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ml.chartshapes+xml"/>
  <Override PartName="/xl/drawings/drawing28.xml" ContentType="application/vnd.openxmlformats-officedocument.drawing+xml"/>
  <Override PartName="/xl/drawings/drawing46.xml" ContentType="application/vnd.openxmlformats-officedocument.drawingml.chartshapes+xml"/>
  <Override PartName="/xl/vbaProject.bin" ContentType="application/vnd.ms-office.vbaProject"/>
  <Default Extension="xml" ContentType="application/xml"/>
  <Override PartName="/xl/drawings/drawing2.xml" ContentType="application/vnd.openxmlformats-officedocument.drawingml.chartshapes+xml"/>
  <Override PartName="/xl/charts/chart49.xml" ContentType="application/vnd.openxmlformats-officedocument.drawingml.chart+xml"/>
  <Override PartName="/xl/drawings/drawing35.xml" ContentType="application/vnd.openxmlformats-officedocument.drawingml.chartshapes+xml"/>
  <Override PartName="/xl/charts/chart67.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drawings/drawing13.xml" ContentType="application/vnd.openxmlformats-officedocument.drawingml.chartshapes+xml"/>
  <Override PartName="/xl/charts/chart38.xml" ContentType="application/vnd.openxmlformats-officedocument.drawingml.chart+xml"/>
  <Override PartName="/xl/drawings/drawing24.xml" ContentType="application/vnd.openxmlformats-officedocument.drawing+xml"/>
  <Override PartName="/xl/charts/chart56.xml" ContentType="application/vnd.openxmlformats-officedocument.drawingml.chart+xml"/>
  <Override PartName="/xl/drawings/drawing42.xml" ContentType="application/vnd.openxmlformats-officedocument.drawing+xml"/>
  <Override PartName="/xl/charts/chart74.xml" ContentType="application/vnd.openxmlformats-officedocument.drawingml.chart+xml"/>
  <Override PartName="/docProps/custom.xml" ContentType="application/vnd.openxmlformats-officedocument.custom-properties+xml"/>
  <Override PartName="/xl/charts/chart16.xml" ContentType="application/vnd.openxmlformats-officedocument.drawingml.chart+xml"/>
  <Override PartName="/xl/charts/chart34.xml" ContentType="application/vnd.openxmlformats-officedocument.drawingml.chart+xml"/>
  <Override PartName="/xl/drawings/drawing20.xml" ContentType="application/vnd.openxmlformats-officedocument.drawingml.chartshapes+xml"/>
  <Override PartName="/xl/drawings/drawing31.xml" ContentType="application/vnd.openxmlformats-officedocument.drawing+xml"/>
  <Override PartName="/xl/charts/chart45.xml" ContentType="application/vnd.openxmlformats-officedocument.drawingml.chart+xml"/>
  <Override PartName="/xl/charts/chart63.xml" ContentType="application/vnd.openxmlformats-officedocument.drawingml.chart+xml"/>
  <Override PartName="/xl/worksheets/sheet29.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charts/chart52.xml" ContentType="application/vnd.openxmlformats-officedocument.drawingml.chart+xml"/>
  <Override PartName="/xl/charts/chart70.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ctrlProps/ctrlProp2.xml" ContentType="application/vnd.ms-excel.controlproperties+xml"/>
  <Override PartName="/xl/worksheets/sheet25.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ml.chartshapes+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drawings/drawing36.xml" ContentType="application/vnd.openxmlformats-officedocument.drawingml.chartshapes+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25.xml" ContentType="application/vnd.openxmlformats-officedocument.drawing+xml"/>
  <Override PartName="/xl/charts/chart39.xml" ContentType="application/vnd.openxmlformats-officedocument.drawingml.chart+xml"/>
  <Override PartName="/xl/charts/chart57.xml" ContentType="application/vnd.openxmlformats-officedocument.drawingml.chart+xml"/>
  <Override PartName="/xl/charts/chart68.xml" ContentType="application/vnd.openxmlformats-officedocument.drawingml.chart+xml"/>
  <Override PartName="/xl/drawings/drawing43.xml" ContentType="application/vnd.openxmlformats-officedocument.drawing+xml"/>
  <Override PartName="/docProps/app.xml" ContentType="application/vnd.openxmlformats-officedocument.extended-properties+xml"/>
  <Override PartName="/xl/charts/chart28.xml" ContentType="application/vnd.openxmlformats-officedocument.drawingml.chart+xml"/>
  <Override PartName="/xl/drawings/drawing14.xml" ContentType="application/vnd.openxmlformats-officedocument.drawing+xml"/>
  <Override PartName="/xl/charts/chart46.xml" ContentType="application/vnd.openxmlformats-officedocument.drawingml.chart+xml"/>
  <Override PartName="/xl/drawings/drawing32.xml" ContentType="application/vnd.openxmlformats-officedocument.drawing+xml"/>
  <Override PartName="/xl/charts/chart17.xml" ContentType="application/vnd.openxmlformats-officedocument.drawingml.chart+xml"/>
  <Override PartName="/xl/charts/chart35.xml" ContentType="application/vnd.openxmlformats-officedocument.drawingml.chart+xml"/>
  <Override PartName="/xl/drawings/drawing21.xml" ContentType="application/vnd.openxmlformats-officedocument.drawing+xml"/>
  <Default Extension="vml" ContentType="application/vnd.openxmlformats-officedocument.vmlDrawing"/>
  <Override PartName="/xl/charts/chart53.xml" ContentType="application/vnd.openxmlformats-officedocument.drawingml.chart+xml"/>
  <Override PartName="/xl/charts/chart64.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charts/chart1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harts/chart42.xml" ContentType="application/vnd.openxmlformats-officedocument.drawingml.chart+xml"/>
  <Override PartName="/xl/charts/chart71.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charts/chart31.xml" ContentType="application/vnd.openxmlformats-officedocument.drawingml.chart+xml"/>
  <Override PartName="/xl/charts/chart60.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37.xml" ContentType="application/vnd.openxmlformats-officedocument.drawing+xml"/>
  <Override PartName="/xl/charts/chart69.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charts/chart29.xml" ContentType="application/vnd.openxmlformats-officedocument.drawingml.chart+xml"/>
  <Override PartName="/xl/drawings/drawing15.xml" ContentType="application/vnd.openxmlformats-officedocument.drawing+xml"/>
  <Override PartName="/xl/drawings/drawing26.xml" ContentType="application/vnd.openxmlformats-officedocument.drawingml.chartshapes+xml"/>
  <Override PartName="/xl/charts/chart58.xml" ContentType="application/vnd.openxmlformats-officedocument.drawingml.chart+xml"/>
  <Override PartName="/xl/drawings/drawing44.xml" ContentType="application/vnd.openxmlformats-officedocument.drawingml.chartshapes+xml"/>
  <Override PartName="/xl/charts/chart18.xml" ContentType="application/vnd.openxmlformats-officedocument.drawingml.chart+xml"/>
  <Override PartName="/xl/charts/chart36.xml" ContentType="application/vnd.openxmlformats-officedocument.drawingml.chart+xml"/>
  <Override PartName="/xl/drawings/drawing22.xml" ContentType="application/vnd.openxmlformats-officedocument.drawing+xml"/>
  <Override PartName="/xl/charts/chart47.xml" ContentType="application/vnd.openxmlformats-officedocument.drawingml.chart+xml"/>
  <Override PartName="/xl/drawings/drawing33.xml" ContentType="application/vnd.openxmlformats-officedocument.drawingml.chartshapes+xml"/>
  <Override PartName="/xl/charts/chart65.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charts/chart25.xml" ContentType="application/vnd.openxmlformats-officedocument.drawingml.chart+xml"/>
  <Override PartName="/xl/drawings/drawing11.xml" ContentType="application/vnd.openxmlformats-officedocument.drawingml.chartshapes+xml"/>
  <Override PartName="/xl/charts/chart54.xml" ContentType="application/vnd.openxmlformats-officedocument.drawingml.chart+xml"/>
  <Override PartName="/xl/drawings/drawing40.xml" ContentType="application/vnd.openxmlformats-officedocument.drawingml.chartshapes+xml"/>
  <Override PartName="/xl/charts/chart72.xml" ContentType="application/vnd.openxmlformats-officedocument.drawingml.chart+xml"/>
  <Override PartName="/xl/worksheets/sheet38.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61.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charts/chart21.xml" ContentType="application/vnd.openxmlformats-officedocument.drawingml.chart+xml"/>
  <Override PartName="/xl/charts/chart50.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drawings/drawing38.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Default Extension="jpeg" ContentType="image/jpeg"/>
  <Override PartName="/xl/drawings/drawing5.xml" ContentType="application/vnd.openxmlformats-officedocument.drawingml.chartshapes+xml"/>
  <Override PartName="/xl/drawings/drawing27.xml" ContentType="application/vnd.openxmlformats-officedocument.drawingml.chartshapes+xml"/>
  <Override PartName="/xl/charts/chart59.xml" ContentType="application/vnd.openxmlformats-officedocument.drawingml.chart+xml"/>
  <Override PartName="/xl/drawings/drawing45.xml" ContentType="application/vnd.openxmlformats-officedocument.drawing+xml"/>
  <Override PartName="/xl/drawings/drawing16.xml" ContentType="application/vnd.openxmlformats-officedocument.drawingml.chartshapes+xml"/>
  <Override PartName="/xl/charts/chart48.xml" ContentType="application/vnd.openxmlformats-officedocument.drawingml.chart+xml"/>
  <Override PartName="/xl/drawings/drawing34.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37.xml" ContentType="application/vnd.openxmlformats-officedocument.drawingml.chart+xml"/>
  <Override PartName="/xl/drawings/drawing23.xml" ContentType="application/vnd.openxmlformats-officedocument.drawing+xml"/>
  <Override PartName="/xl/charts/chart55.xml" ContentType="application/vnd.openxmlformats-officedocument.drawingml.chart+xml"/>
  <Override PartName="/xl/charts/chart66.xml" ContentType="application/vnd.openxmlformats-officedocument.drawingml.chart+xml"/>
  <Override PartName="/xl/drawings/drawing41.xml" ContentType="application/vnd.openxmlformats-officedocument.drawing+xml"/>
  <Override PartName="/xl/charts/chart26.xml" ContentType="application/vnd.openxmlformats-officedocument.drawingml.chart+xml"/>
  <Override PartName="/xl/drawings/drawing12.xml" ContentType="application/vnd.openxmlformats-officedocument.drawing+xml"/>
  <Override PartName="/xl/charts/chart44.xml" ContentType="application/vnd.openxmlformats-officedocument.drawingml.chart+xml"/>
  <Override PartName="/xl/drawings/drawing30.xml" ContentType="application/vnd.openxmlformats-officedocument.drawingml.chartshapes+xml"/>
  <Override PartName="/xl/charts/chart73.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charts/chart15.xml" ContentType="application/vnd.openxmlformats-officedocument.drawingml.chart+xml"/>
  <Override PartName="/xl/charts/chart33.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worksheets/sheet1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ctrlProps/ctrlProp1.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codeName="{B7FE6334-C1A2-E50D-BD3D-5F4D41BBC2E3}"/>
  <workbookPr codeName="ThisWorkbook" defaultThemeVersion="124226"/>
  <bookViews>
    <workbookView xWindow="636" yWindow="-48" windowWidth="18528" windowHeight="10656" tabRatio="819"/>
  </bookViews>
  <sheets>
    <sheet name="Title Page" sheetId="1" r:id="rId1"/>
    <sheet name="Index" sheetId="65" r:id="rId2"/>
    <sheet name="Traffic Plans" sheetId="2" r:id="rId3"/>
    <sheet name="Flowchart" sheetId="63" r:id="rId4"/>
    <sheet name="Assumptions" sheetId="66" r:id="rId5"/>
    <sheet name="Results" sheetId="4" r:id="rId6"/>
    <sheet name="User Inputs" sheetId="5" r:id="rId7"/>
    <sheet name="Changes" sheetId="71" r:id="rId8"/>
    <sheet name="Revenues" sheetId="6" r:id="rId9"/>
    <sheet name="Cost-Benefit" sheetId="7" r:id="rId10"/>
    <sheet name="Travel" sheetId="64" r:id="rId11"/>
    <sheet name="Motor Vs" sheetId="8" r:id="rId12"/>
    <sheet name="Motor Vs Weekends" sheetId="9" r:id="rId13"/>
    <sheet name="Distances" sheetId="70" r:id="rId14"/>
    <sheet name="Approaches" sheetId="13" r:id="rId15"/>
    <sheet name="Breakeven" sheetId="58" r:id="rId16"/>
    <sheet name="Incidence" sheetId="18" r:id="rId17"/>
    <sheet name="Trucks" sheetId="72" r:id="rId18"/>
    <sheet name="Taxis" sheetId="25" r:id="rId19"/>
    <sheet name="Transit" sheetId="62" r:id="rId20"/>
    <sheet name="Subways" sheetId="19" r:id="rId21"/>
    <sheet name="Sub v. Bus" sheetId="20" r:id="rId22"/>
    <sheet name="Park-and-Ride" sheetId="67" r:id="rId23"/>
    <sheet name="Time Switching" sheetId="21" r:id="rId24"/>
    <sheet name="Buses" sheetId="23" r:id="rId25"/>
    <sheet name="Bus Routes" sheetId="69" r:id="rId26"/>
    <sheet name="Bus Boarding" sheetId="24" r:id="rId27"/>
    <sheet name="Weekday Hours" sheetId="15" r:id="rId28"/>
    <sheet name="Weekend Hours" sheetId="16" r:id="rId29"/>
    <sheet name="Weekends" sheetId="17" r:id="rId30"/>
    <sheet name="Delays" sheetId="55" r:id="rId31"/>
    <sheet name="Delays Weekends" sheetId="56" r:id="rId32"/>
    <sheet name="Delay Costs" sheetId="57" r:id="rId33"/>
    <sheet name="Speed-Vol., Cordon" sheetId="27" r:id="rId34"/>
    <sheet name="Speed-Vol., non-Cordon" sheetId="28" r:id="rId35"/>
    <sheet name="VMT" sheetId="26" r:id="rId36"/>
    <sheet name="Elasticities" sheetId="29" r:id="rId37"/>
    <sheet name="Gini" sheetId="22" r:id="rId38"/>
    <sheet name="Cordon" sheetId="30" r:id="rId39"/>
    <sheet name="Emissions" sheetId="10" r:id="rId40"/>
    <sheet name="EMFAC" sheetId="11" r:id="rId41"/>
    <sheet name="Speed-CO2" sheetId="12" r:id="rId42"/>
    <sheet name="Fare Collection" sheetId="31" r:id="rId43"/>
    <sheet name="Pop &amp; Employ" sheetId="32" r:id="rId44"/>
    <sheet name="Parking" sheetId="34" r:id="rId45"/>
    <sheet name="Hub-Bound" sheetId="68" r:id="rId46"/>
    <sheet name="Trip Price" sheetId="37" r:id="rId47"/>
    <sheet name="H.I.S." sheetId="39" r:id="rId48"/>
    <sheet name="River Crossings" sheetId="40" r:id="rId49"/>
    <sheet name="Value of Time" sheetId="41" r:id="rId50"/>
    <sheet name="Toll Rates" sheetId="42" r:id="rId51"/>
    <sheet name="Constants" sheetId="43" r:id="rId52"/>
    <sheet name="Regressions" sheetId="54" r:id="rId53"/>
    <sheet name="FreshDirect" sheetId="60" r:id="rId54"/>
    <sheet name="BTA 1.0" sheetId="44" r:id="rId55"/>
  </sheets>
  <definedNames>
    <definedName name="_ftnref1" localSheetId="33">'Speed-Vol., Cordon'!$B$69</definedName>
    <definedName name="_GoBack" localSheetId="22">'Park-and-Ride'!$B$41</definedName>
    <definedName name="Alpha">'Speed-Vol., non-Cordon'!$X$57</definedName>
    <definedName name="AverageDelay" localSheetId="30">Delays!$M$140</definedName>
    <definedName name="AverageDelay" localSheetId="31">'Delays Weekends'!$M$140</definedName>
    <definedName name="AverageDelay" localSheetId="53">FreshDirect!$M$228</definedName>
    <definedName name="barthB0">'Speed-CO2'!$E$24</definedName>
    <definedName name="barthB1">'Speed-CO2'!$F$24</definedName>
    <definedName name="barthB2">'Speed-CO2'!$G$24</definedName>
    <definedName name="barthB3">'Speed-CO2'!$H$24</definedName>
    <definedName name="barthB4">'Speed-CO2'!$I$24</definedName>
    <definedName name="Beta">'Speed-Vol., non-Cordon'!$X$58</definedName>
    <definedName name="CarsAdded" localSheetId="30">Delays!$N$37</definedName>
    <definedName name="CarsAdded" localSheetId="31">'Delays Weekends'!$N$37</definedName>
    <definedName name="CarsAdded" localSheetId="53">FreshDirect!$O$32</definedName>
    <definedName name="CBDDelayRatio">FreshDirect!$H$196</definedName>
    <definedName name="DelayReductionArray" localSheetId="30">Delays!$Y$120:$Z$172</definedName>
    <definedName name="DelayReductionArray" localSheetId="31">'Delays Weekends'!$H$239:$I$309</definedName>
    <definedName name="DelayReductionArray" localSheetId="53">FreshDirect!$H$252:$I$308</definedName>
    <definedName name="ElastSenseArray">Elasticities!$S$82:$X$142</definedName>
    <definedName name="KSC">'Speed-Vol., Cordon'!$J$113</definedName>
    <definedName name="KSE">'Speed-Vol., Cordon'!$J$114</definedName>
    <definedName name="ldv_co_1">EMFAC!$F$53</definedName>
    <definedName name="ldv_co_2">EMFAC!$E$53</definedName>
    <definedName name="ldv_co0">EMFAC!$G$53</definedName>
    <definedName name="ldv_nox_0">EMFAC!$G$54</definedName>
    <definedName name="ldv_nox_1">EMFAC!$F$54</definedName>
    <definedName name="ldv_nox_2">EMFAC!$E$54</definedName>
    <definedName name="ldv_pm_0">EMFAC!$G$55</definedName>
    <definedName name="ldv_pm_1">EMFAC!$F$55</definedName>
    <definedName name="ldv_pm_2">EMFAC!$E$55</definedName>
    <definedName name="ldv_tog_0">EMFAC!$G$52</definedName>
    <definedName name="ldv_tog_1">EMFAC!$F$52</definedName>
    <definedName name="ldv_tog_2">EMFAC!$E$52</definedName>
    <definedName name="LeftArray">Elasticities!$G$49:$H$52</definedName>
    <definedName name="MaxSpeed">'Speed-Vol., non-Cordon'!$X$32</definedName>
    <definedName name="NonCBDDelayRatio">FreshDirect!$H$199</definedName>
    <definedName name="OutboundOn" localSheetId="30">Delays!$F$63</definedName>
    <definedName name="OutboundOn" localSheetId="31">'Delays Weekends'!$F$63</definedName>
    <definedName name="OutboundOn" localSheetId="53">FreshDirect!$F$55</definedName>
    <definedName name="OutboundResults" localSheetId="30">Delays!$E$166:$K$166</definedName>
    <definedName name="OutboundResults" localSheetId="31">'Delays Weekends'!$E$166:$J$166</definedName>
    <definedName name="PA_Offpeak_Toll_EZPass">Revenues!$G$153</definedName>
    <definedName name="PA_Peak_Toll_EZPass">Revenues!$H$153</definedName>
    <definedName name="_xlnm.Print_Area" localSheetId="42">'Fare Collection'!$B$2:$J$136</definedName>
    <definedName name="_xlnm.Print_Area" localSheetId="16">Incidence!$B$1:$P$45</definedName>
    <definedName name="_xlnm.Print_Area" localSheetId="11">'Motor Vs'!$B$930:$N$977</definedName>
    <definedName name="_xlnm.Print_Area" localSheetId="12">'Motor Vs Weekends'!$B$930:$N$977</definedName>
    <definedName name="_xlnm.Print_Area" localSheetId="44">Parking!$B$2:$J$44</definedName>
    <definedName name="_xlnm.Print_Area" localSheetId="18">Taxis!$A$1</definedName>
    <definedName name="_xlnm.Print_Area" localSheetId="10">Travel!$B$17:$K$41</definedName>
    <definedName name="_xlnm.Print_Area" localSheetId="27">'Weekday Hours'!$B$30:$V$59</definedName>
    <definedName name="_xlnm.Print_Area" localSheetId="28">'Weekend Hours'!$B$30:$V$59</definedName>
    <definedName name="RatioScriptArea">FreshDirect!$K$196:$L$196</definedName>
    <definedName name="RightArray">Elasticities!$S$49:$T$52</definedName>
    <definedName name="SVConstant">'Speed-Vol., non-Cordon'!$S$100</definedName>
    <definedName name="TimePeriodSelector" localSheetId="30">Delays!$F$62</definedName>
    <definedName name="TimePeriodSelector" localSheetId="31">'Delays Weekends'!$F$62</definedName>
    <definedName name="TimePeriodSelector" localSheetId="53">FreshDirect!$F$54</definedName>
    <definedName name="TimeResult" localSheetId="30">Delays!$M$135</definedName>
    <definedName name="TimeResult" localSheetId="31">'Delays Weekends'!$M$135</definedName>
    <definedName name="TimeResult" localSheetId="53">FreshDirect!$M$126</definedName>
    <definedName name="TimeResults" localSheetId="30">Delays!$G$134:$M$134</definedName>
    <definedName name="TimeResults" localSheetId="31">'Delays Weekends'!$G$134:$L$134</definedName>
    <definedName name="Times" localSheetId="30">Delays!$G$59:$M$59</definedName>
    <definedName name="Times" localSheetId="31">'Delays Weekends'!$G$59:$L$59</definedName>
    <definedName name="Times" localSheetId="53">FreshDirect!$G$51:$M$51</definedName>
    <definedName name="TotalResults" localSheetId="30">Delays!$E$164:$K$164</definedName>
    <definedName name="TotalResults" localSheetId="31">'Delays Weekends'!$E$164:$J$164</definedName>
    <definedName name="TrafficReductions">'User Inputs'!$E$151:$H$151</definedName>
    <definedName name="V_sub_k">'Speed-Vol., Cordon'!$K$124</definedName>
    <definedName name="weekday_per_mo">Constants!$J$26</definedName>
    <definedName name="weekday_per_yr">Constants!$J$25</definedName>
    <definedName name="wkday_per_yr">Constants!$J$25</definedName>
    <definedName name="wkend_per_mo">Constants!$J$30</definedName>
    <definedName name="wkend_per_yr">Constants!$J$27</definedName>
    <definedName name="Z_1D5AE30A_CA7C_4B32_AEA4_9F37A560AAA8_.wvu.Cols" localSheetId="16" hidden="1">Incidence!$L:$L,Incidence!$T:$T</definedName>
    <definedName name="Z_1D5AE30A_CA7C_4B32_AEA4_9F37A560AAA8_.wvu.PrintArea" localSheetId="42" hidden="1">'Fare Collection'!$B$2:$J$136</definedName>
    <definedName name="Z_1D5AE30A_CA7C_4B32_AEA4_9F37A560AAA8_.wvu.PrintArea" localSheetId="16" hidden="1">Incidence!$B$1:$P$45</definedName>
    <definedName name="Z_1D5AE30A_CA7C_4B32_AEA4_9F37A560AAA8_.wvu.PrintArea" localSheetId="11" hidden="1">'Motor Vs'!$B$930:$N$977</definedName>
    <definedName name="Z_1D5AE30A_CA7C_4B32_AEA4_9F37A560AAA8_.wvu.PrintArea" localSheetId="12" hidden="1">'Motor Vs Weekends'!$B$930:$N$977</definedName>
    <definedName name="Z_1D5AE30A_CA7C_4B32_AEA4_9F37A560AAA8_.wvu.PrintArea" localSheetId="44" hidden="1">Parking!$B$2:$J$44</definedName>
    <definedName name="Z_1D5AE30A_CA7C_4B32_AEA4_9F37A560AAA8_.wvu.PrintArea" localSheetId="27" hidden="1">'Weekday Hours'!$B$30:$V$59</definedName>
    <definedName name="Z_1D5AE30A_CA7C_4B32_AEA4_9F37A560AAA8_.wvu.PrintArea" localSheetId="28" hidden="1">'Weekend Hours'!$B$30:$V$59</definedName>
    <definedName name="Z_1D5AE30A_CA7C_4B32_AEA4_9F37A560AAA8_.wvu.Rows" localSheetId="40" hidden="1">EMFAC!$42:$46</definedName>
    <definedName name="Z_BD5E6263_A0AD_4076_921A_D4EBD62848EF_.wvu.Cols" localSheetId="16" hidden="1">Incidence!$L:$L,Incidence!$T:$T</definedName>
    <definedName name="Z_BD5E6263_A0AD_4076_921A_D4EBD62848EF_.wvu.PrintArea" localSheetId="42" hidden="1">'Fare Collection'!$B$2:$J$136</definedName>
    <definedName name="Z_BD5E6263_A0AD_4076_921A_D4EBD62848EF_.wvu.PrintArea" localSheetId="16" hidden="1">Incidence!$B$1:$P$45</definedName>
    <definedName name="Z_BD5E6263_A0AD_4076_921A_D4EBD62848EF_.wvu.PrintArea" localSheetId="11" hidden="1">'Motor Vs'!$B$930:$N$977</definedName>
    <definedName name="Z_BD5E6263_A0AD_4076_921A_D4EBD62848EF_.wvu.PrintArea" localSheetId="12" hidden="1">'Motor Vs Weekends'!$B$930:$N$977</definedName>
    <definedName name="Z_BD5E6263_A0AD_4076_921A_D4EBD62848EF_.wvu.PrintArea" localSheetId="44" hidden="1">Parking!$B$2:$J$44</definedName>
    <definedName name="Z_BD5E6263_A0AD_4076_921A_D4EBD62848EF_.wvu.PrintArea" localSheetId="27" hidden="1">'Weekday Hours'!$B$30:$V$59</definedName>
    <definedName name="Z_BD5E6263_A0AD_4076_921A_D4EBD62848EF_.wvu.PrintArea" localSheetId="28" hidden="1">'Weekend Hours'!$B$30:$V$59</definedName>
    <definedName name="Z_BD5E6263_A0AD_4076_921A_D4EBD62848EF_.wvu.Rows" localSheetId="40" hidden="1">EMFAC!$42:$46</definedName>
  </definedNames>
  <calcPr calcId="125725" iterate="1"/>
  <customWorkbookViews>
    <customWorkbookView name="disuser - Personal View" guid="{BD5E6263-A0AD-4076-921A-D4EBD62848EF}" mergeInterval="0" personalView="1" maximized="1" windowWidth="1676" windowHeight="870" tabRatio="804" activeSheetId="10" showComments="commIndAndComment"/>
    <customWorkbookView name="Charles Komanoff - Personal View" guid="{1D5AE30A-CA7C-4B32-AEA4-9F37A560AAA8}" mergeInterval="0" personalView="1" maximized="1" windowWidth="1276" windowHeight="793" tabRatio="804" activeSheetId="10" showStatusbar="0" showComments="commIndAndComment"/>
  </customWorkbookViews>
</workbook>
</file>

<file path=xl/calcChain.xml><?xml version="1.0" encoding="utf-8"?>
<calcChain xmlns="http://schemas.openxmlformats.org/spreadsheetml/2006/main">
  <c r="BJ71" i="60"/>
  <c r="BA71"/>
  <c r="AR71"/>
  <c r="AI71"/>
  <c r="Z71"/>
  <c r="Q71"/>
  <c r="BP70"/>
  <c r="BO70"/>
  <c r="BN70"/>
  <c r="BM70"/>
  <c r="BL70"/>
  <c r="BK70"/>
  <c r="BJ70"/>
  <c r="BG70"/>
  <c r="BF70"/>
  <c r="BE70"/>
  <c r="BD70"/>
  <c r="BC70"/>
  <c r="BB70"/>
  <c r="BA70"/>
  <c r="AX70"/>
  <c r="AW70"/>
  <c r="AV70"/>
  <c r="AU70"/>
  <c r="AT70"/>
  <c r="AS70"/>
  <c r="AR70"/>
  <c r="AO70"/>
  <c r="AN70"/>
  <c r="AM70"/>
  <c r="AL70"/>
  <c r="AK70"/>
  <c r="AJ70"/>
  <c r="AI70"/>
  <c r="AF70"/>
  <c r="AE70"/>
  <c r="AD70"/>
  <c r="AC70"/>
  <c r="AB70"/>
  <c r="AA70"/>
  <c r="Z70"/>
  <c r="W70"/>
  <c r="V70"/>
  <c r="U70"/>
  <c r="T70"/>
  <c r="S70"/>
  <c r="R70"/>
  <c r="Q70"/>
  <c r="BI79" i="56"/>
  <c r="AZ79"/>
  <c r="AQ79"/>
  <c r="AH79"/>
  <c r="Y79"/>
  <c r="BN78"/>
  <c r="BM78"/>
  <c r="BL78"/>
  <c r="BK78"/>
  <c r="BJ78"/>
  <c r="BI78"/>
  <c r="BE78"/>
  <c r="BD78"/>
  <c r="BC78"/>
  <c r="BB78"/>
  <c r="BA78"/>
  <c r="AZ78"/>
  <c r="AV78"/>
  <c r="AU78"/>
  <c r="AT78"/>
  <c r="AS78"/>
  <c r="AR78"/>
  <c r="AQ78"/>
  <c r="AM78"/>
  <c r="AL78"/>
  <c r="AK78"/>
  <c r="AJ78"/>
  <c r="AI78"/>
  <c r="AH78"/>
  <c r="AD78"/>
  <c r="AC78"/>
  <c r="AB78"/>
  <c r="AA78"/>
  <c r="Z78"/>
  <c r="Y78"/>
  <c r="U78"/>
  <c r="T78"/>
  <c r="S78"/>
  <c r="R78"/>
  <c r="Q78"/>
  <c r="P79"/>
  <c r="P78"/>
  <c r="BI79" i="55"/>
  <c r="AZ79"/>
  <c r="AQ79"/>
  <c r="AH79"/>
  <c r="Y79"/>
  <c r="P79"/>
  <c r="BO78"/>
  <c r="BN78"/>
  <c r="BM78"/>
  <c r="BL78"/>
  <c r="BK78"/>
  <c r="BJ78"/>
  <c r="BI78"/>
  <c r="BF78"/>
  <c r="BE78"/>
  <c r="BD78"/>
  <c r="BC78"/>
  <c r="BB78"/>
  <c r="BA78"/>
  <c r="AZ78"/>
  <c r="AW78"/>
  <c r="AV78"/>
  <c r="AU78"/>
  <c r="AT78"/>
  <c r="AS78"/>
  <c r="AR78"/>
  <c r="AQ78"/>
  <c r="AN78"/>
  <c r="AM78"/>
  <c r="AL78"/>
  <c r="AK78"/>
  <c r="AJ78"/>
  <c r="AI78"/>
  <c r="AH78"/>
  <c r="AE78"/>
  <c r="AD78"/>
  <c r="AC78"/>
  <c r="AB78"/>
  <c r="AA78"/>
  <c r="Z78"/>
  <c r="Y78"/>
  <c r="V78"/>
  <c r="U78"/>
  <c r="T78"/>
  <c r="S78"/>
  <c r="R78"/>
  <c r="Q78"/>
  <c r="P78"/>
  <c r="O386" i="25" l="1"/>
  <c r="O385"/>
  <c r="O392"/>
  <c r="O391"/>
  <c r="O390"/>
  <c r="O389"/>
  <c r="O388"/>
  <c r="O387"/>
  <c r="G388"/>
  <c r="AQ393" i="9"/>
  <c r="AQ390"/>
  <c r="AQ144" i="8"/>
  <c r="AQ144" i="9"/>
  <c r="AQ123"/>
  <c r="AQ393" i="8"/>
  <c r="AQ390"/>
  <c r="N192" i="25"/>
  <c r="L93"/>
  <c r="L97"/>
  <c r="N97" s="1"/>
  <c r="V173"/>
  <c r="U173"/>
  <c r="T173"/>
  <c r="S173"/>
  <c r="R173"/>
  <c r="Q173"/>
  <c r="W172"/>
  <c r="W171" l="1"/>
  <c r="T174" l="1"/>
  <c r="U174"/>
  <c r="Q174"/>
  <c r="V174"/>
  <c r="R174"/>
  <c r="W174"/>
  <c r="S174"/>
  <c r="W173"/>
  <c r="O166"/>
  <c r="M172"/>
  <c r="O164"/>
  <c r="O163"/>
  <c r="O165"/>
  <c r="O189"/>
  <c r="O188"/>
  <c r="O187"/>
  <c r="O186"/>
  <c r="O185"/>
  <c r="O184"/>
  <c r="O183"/>
  <c r="O182"/>
  <c r="O181"/>
  <c r="O180"/>
  <c r="O179"/>
  <c r="O178"/>
  <c r="O177"/>
  <c r="B183" s="1"/>
  <c r="O176"/>
  <c r="O175"/>
  <c r="O174"/>
  <c r="O173"/>
  <c r="O172"/>
  <c r="I186"/>
  <c r="L173"/>
  <c r="K173"/>
  <c r="J173"/>
  <c r="I173"/>
  <c r="H173"/>
  <c r="G173"/>
  <c r="F173"/>
  <c r="M171"/>
  <c r="K174" s="1"/>
  <c r="O171"/>
  <c r="O170"/>
  <c r="O169"/>
  <c r="O168"/>
  <c r="O167"/>
  <c r="O162"/>
  <c r="O161"/>
  <c r="O160"/>
  <c r="O159"/>
  <c r="B78" s="1"/>
  <c r="O158"/>
  <c r="O157"/>
  <c r="O156"/>
  <c r="O155"/>
  <c r="O154"/>
  <c r="O153"/>
  <c r="O14"/>
  <c r="O23"/>
  <c r="J151" i="5"/>
  <c r="G36" i="55" s="1"/>
  <c r="H356" i="25"/>
  <c r="H357" s="1"/>
  <c r="G365"/>
  <c r="I358"/>
  <c r="F366" s="1"/>
  <c r="I359"/>
  <c r="F367" s="1"/>
  <c r="L111"/>
  <c r="L113" s="1"/>
  <c r="L115" s="1"/>
  <c r="O461"/>
  <c r="O464"/>
  <c r="N286"/>
  <c r="N290"/>
  <c r="N294"/>
  <c r="AQ10" i="9"/>
  <c r="O355" i="25"/>
  <c r="O359"/>
  <c r="O227"/>
  <c r="O384"/>
  <c r="H389" s="1"/>
  <c r="O402"/>
  <c r="O401"/>
  <c r="O400"/>
  <c r="J80" i="5"/>
  <c r="J81"/>
  <c r="J82"/>
  <c r="J89"/>
  <c r="J423" i="25" s="1"/>
  <c r="J85" i="5"/>
  <c r="G37" i="25"/>
  <c r="L135" s="1"/>
  <c r="G35"/>
  <c r="M45" s="1"/>
  <c r="N43"/>
  <c r="L49"/>
  <c r="N49" s="1"/>
  <c r="B66" s="1"/>
  <c r="G44"/>
  <c r="G75" i="9"/>
  <c r="H27" i="8"/>
  <c r="H27" i="9" s="1"/>
  <c r="M27"/>
  <c r="N27" i="8"/>
  <c r="I32" i="9"/>
  <c r="I35" s="1"/>
  <c r="M30"/>
  <c r="L28" i="56" s="1"/>
  <c r="L32" i="9"/>
  <c r="L35" s="1"/>
  <c r="M32"/>
  <c r="M35" s="1"/>
  <c r="N32"/>
  <c r="N35" s="1"/>
  <c r="I43"/>
  <c r="I45" s="1"/>
  <c r="C31" i="16"/>
  <c r="C32"/>
  <c r="C33"/>
  <c r="C34"/>
  <c r="C35"/>
  <c r="C36"/>
  <c r="C37"/>
  <c r="C38"/>
  <c r="C39"/>
  <c r="C40"/>
  <c r="C41"/>
  <c r="C42"/>
  <c r="C43"/>
  <c r="C44"/>
  <c r="C45"/>
  <c r="C46"/>
  <c r="C47"/>
  <c r="C48"/>
  <c r="C49"/>
  <c r="C50"/>
  <c r="C51"/>
  <c r="C52"/>
  <c r="C53"/>
  <c r="C54"/>
  <c r="I85" i="9"/>
  <c r="J85"/>
  <c r="K85"/>
  <c r="L85"/>
  <c r="K39" i="56" s="1"/>
  <c r="M43" i="9"/>
  <c r="M45" s="1"/>
  <c r="M85"/>
  <c r="N43"/>
  <c r="N45" s="1"/>
  <c r="N85"/>
  <c r="I96"/>
  <c r="J96"/>
  <c r="K96"/>
  <c r="J49" i="56" s="1"/>
  <c r="M96" i="9"/>
  <c r="N96"/>
  <c r="L365" i="25"/>
  <c r="N359"/>
  <c r="K367" s="1"/>
  <c r="I39" i="8"/>
  <c r="G141"/>
  <c r="BI141" s="1"/>
  <c r="H141"/>
  <c r="Z141" s="1"/>
  <c r="I141"/>
  <c r="AA141" s="1"/>
  <c r="J141"/>
  <c r="BL141" s="1"/>
  <c r="K141"/>
  <c r="BD141" s="1"/>
  <c r="L141"/>
  <c r="U141" s="1"/>
  <c r="M141"/>
  <c r="AE141" s="1"/>
  <c r="L35" i="25"/>
  <c r="M35"/>
  <c r="N33"/>
  <c r="C62"/>
  <c r="L54"/>
  <c r="E64" s="1"/>
  <c r="G45"/>
  <c r="O474"/>
  <c r="O192"/>
  <c r="AV313" i="9" s="1"/>
  <c r="O304" i="25"/>
  <c r="AQ326" i="8" s="1"/>
  <c r="AX308"/>
  <c r="AX312" s="1"/>
  <c r="B475" i="25"/>
  <c r="O476"/>
  <c r="O475"/>
  <c r="O473"/>
  <c r="O472"/>
  <c r="O477"/>
  <c r="O471"/>
  <c r="O470"/>
  <c r="L35" i="8"/>
  <c r="O101"/>
  <c r="O503" i="25"/>
  <c r="I35" i="8"/>
  <c r="I96"/>
  <c r="J96"/>
  <c r="M30"/>
  <c r="M32"/>
  <c r="M35"/>
  <c r="M37"/>
  <c r="N35"/>
  <c r="M49"/>
  <c r="I45"/>
  <c r="K85"/>
  <c r="M41"/>
  <c r="M43"/>
  <c r="M45"/>
  <c r="M51"/>
  <c r="M53"/>
  <c r="M55"/>
  <c r="M57"/>
  <c r="M71"/>
  <c r="M62"/>
  <c r="N45"/>
  <c r="B455" i="25"/>
  <c r="O469"/>
  <c r="O468"/>
  <c r="O467"/>
  <c r="O466"/>
  <c r="O465"/>
  <c r="O463"/>
  <c r="O462"/>
  <c r="O460"/>
  <c r="O459"/>
  <c r="O458"/>
  <c r="O457"/>
  <c r="O456"/>
  <c r="O455"/>
  <c r="O454"/>
  <c r="O453"/>
  <c r="AX330" i="9"/>
  <c r="O325" i="8"/>
  <c r="O30"/>
  <c r="O316"/>
  <c r="O314"/>
  <c r="J147" i="5"/>
  <c r="J51" i="4" s="1"/>
  <c r="R89" s="1"/>
  <c r="J144" i="5"/>
  <c r="J141"/>
  <c r="J139"/>
  <c r="J137"/>
  <c r="K54" i="23" s="1"/>
  <c r="J135" i="5"/>
  <c r="J132"/>
  <c r="T475" i="19" s="1"/>
  <c r="J129" i="5"/>
  <c r="J127"/>
  <c r="J125"/>
  <c r="J124"/>
  <c r="Q79" i="19" s="1"/>
  <c r="J123" i="5"/>
  <c r="Q78" i="19" s="1"/>
  <c r="N92" s="1"/>
  <c r="J122" i="5"/>
  <c r="Q77" i="19" s="1"/>
  <c r="J121" i="5"/>
  <c r="J120"/>
  <c r="J119"/>
  <c r="Q74" i="19" s="1"/>
  <c r="E115" i="5"/>
  <c r="J115"/>
  <c r="J112"/>
  <c r="J108"/>
  <c r="L206" i="19" s="1"/>
  <c r="J105" i="5"/>
  <c r="J102"/>
  <c r="J99"/>
  <c r="J93"/>
  <c r="G399" i="8" s="1"/>
  <c r="G401" s="1"/>
  <c r="J87" i="5"/>
  <c r="J86"/>
  <c r="J76"/>
  <c r="J72"/>
  <c r="BG260" i="8" s="1"/>
  <c r="G69" i="5"/>
  <c r="J69" s="1"/>
  <c r="J67"/>
  <c r="J64"/>
  <c r="K319" i="8" s="1"/>
  <c r="J60" i="5"/>
  <c r="J57"/>
  <c r="M282" i="9" s="1"/>
  <c r="L282" s="1"/>
  <c r="J54" i="5"/>
  <c r="J50"/>
  <c r="J47"/>
  <c r="L20" i="40" s="1"/>
  <c r="J42" i="5"/>
  <c r="L266" i="9" s="1"/>
  <c r="L268" s="1"/>
  <c r="J38" i="5"/>
  <c r="H104" i="30" s="1"/>
  <c r="J36" i="5"/>
  <c r="H7" i="16" s="1"/>
  <c r="J35" i="5"/>
  <c r="J34"/>
  <c r="H5" i="16" s="1"/>
  <c r="I52" s="1"/>
  <c r="J33" i="5"/>
  <c r="J32"/>
  <c r="J29"/>
  <c r="E107" i="72" s="1"/>
  <c r="J28" i="5"/>
  <c r="H6" i="15" s="1"/>
  <c r="I40" s="1"/>
  <c r="J27" i="5"/>
  <c r="J26"/>
  <c r="J25"/>
  <c r="F206" i="18" s="1"/>
  <c r="O212" i="62"/>
  <c r="B211"/>
  <c r="O211"/>
  <c r="O213"/>
  <c r="O210"/>
  <c r="B93" i="67"/>
  <c r="O209" i="62"/>
  <c r="O327"/>
  <c r="L165" i="30"/>
  <c r="B165"/>
  <c r="L164"/>
  <c r="L163"/>
  <c r="F164"/>
  <c r="O335" i="29"/>
  <c r="O336"/>
  <c r="O337"/>
  <c r="J380"/>
  <c r="O333"/>
  <c r="O332"/>
  <c r="O331"/>
  <c r="O330"/>
  <c r="O329"/>
  <c r="O341"/>
  <c r="O340"/>
  <c r="O339"/>
  <c r="O328"/>
  <c r="O327"/>
  <c r="O326"/>
  <c r="O325"/>
  <c r="O380"/>
  <c r="O379"/>
  <c r="G369"/>
  <c r="O378"/>
  <c r="O377"/>
  <c r="O376"/>
  <c r="O375"/>
  <c r="O374"/>
  <c r="O373"/>
  <c r="O372"/>
  <c r="O371"/>
  <c r="O370"/>
  <c r="O369"/>
  <c r="O368"/>
  <c r="O354"/>
  <c r="I378"/>
  <c r="I370"/>
  <c r="I367"/>
  <c r="I369"/>
  <c r="I348"/>
  <c r="I347"/>
  <c r="I345"/>
  <c r="G345"/>
  <c r="G357" s="1"/>
  <c r="I344"/>
  <c r="G344"/>
  <c r="O367"/>
  <c r="O366"/>
  <c r="O365"/>
  <c r="O364"/>
  <c r="O363"/>
  <c r="O362"/>
  <c r="O361"/>
  <c r="J371"/>
  <c r="O360"/>
  <c r="O359"/>
  <c r="O358"/>
  <c r="O357"/>
  <c r="O356"/>
  <c r="O355"/>
  <c r="O353"/>
  <c r="O352"/>
  <c r="O351"/>
  <c r="O350"/>
  <c r="O349"/>
  <c r="O348"/>
  <c r="O347"/>
  <c r="O346"/>
  <c r="O345"/>
  <c r="O344"/>
  <c r="O343"/>
  <c r="O342"/>
  <c r="O338"/>
  <c r="O334"/>
  <c r="O324"/>
  <c r="B155"/>
  <c r="O323"/>
  <c r="Q149" i="6"/>
  <c r="Q148"/>
  <c r="J377" i="29"/>
  <c r="J361"/>
  <c r="J355"/>
  <c r="J372"/>
  <c r="G346"/>
  <c r="O8" i="7"/>
  <c r="L4"/>
  <c r="B139"/>
  <c r="B118"/>
  <c r="O144" i="41"/>
  <c r="O76" i="8"/>
  <c r="E143" i="41"/>
  <c r="O142"/>
  <c r="L140"/>
  <c r="K140"/>
  <c r="J140"/>
  <c r="O143"/>
  <c r="O138"/>
  <c r="O154"/>
  <c r="O153"/>
  <c r="O152"/>
  <c r="O151"/>
  <c r="O150"/>
  <c r="G140"/>
  <c r="F140"/>
  <c r="E140"/>
  <c r="O157"/>
  <c r="O156"/>
  <c r="O155"/>
  <c r="O149"/>
  <c r="O148"/>
  <c r="O147"/>
  <c r="O146"/>
  <c r="O145"/>
  <c r="O141"/>
  <c r="O140"/>
  <c r="N147"/>
  <c r="O139"/>
  <c r="O137"/>
  <c r="O136"/>
  <c r="O135"/>
  <c r="O134"/>
  <c r="O133"/>
  <c r="O132"/>
  <c r="O22"/>
  <c r="O11"/>
  <c r="E147"/>
  <c r="H69"/>
  <c r="G107"/>
  <c r="F69"/>
  <c r="O95" i="7"/>
  <c r="O94"/>
  <c r="O93"/>
  <c r="O92"/>
  <c r="O7"/>
  <c r="O6"/>
  <c r="O68"/>
  <c r="O69"/>
  <c r="O70"/>
  <c r="O71"/>
  <c r="O72"/>
  <c r="O91"/>
  <c r="O90"/>
  <c r="O74"/>
  <c r="O73"/>
  <c r="O66"/>
  <c r="O65"/>
  <c r="B80" i="9"/>
  <c r="L79"/>
  <c r="L120" i="30"/>
  <c r="L121"/>
  <c r="L122"/>
  <c r="L123"/>
  <c r="L29"/>
  <c r="L18"/>
  <c r="L55"/>
  <c r="L54"/>
  <c r="L53"/>
  <c r="L52"/>
  <c r="J48"/>
  <c r="I48"/>
  <c r="H48"/>
  <c r="L24"/>
  <c r="L23"/>
  <c r="H21"/>
  <c r="H23"/>
  <c r="H27"/>
  <c r="L22"/>
  <c r="L21"/>
  <c r="L20"/>
  <c r="L19"/>
  <c r="B22"/>
  <c r="L17"/>
  <c r="L16"/>
  <c r="L15"/>
  <c r="L14"/>
  <c r="O16" i="69"/>
  <c r="O891" i="8"/>
  <c r="B96" i="23"/>
  <c r="O368" i="25"/>
  <c r="O113"/>
  <c r="B468" i="18"/>
  <c r="B465"/>
  <c r="B457"/>
  <c r="B25" i="4"/>
  <c r="Q156" i="6"/>
  <c r="Q155"/>
  <c r="Q154"/>
  <c r="Q153"/>
  <c r="Q152"/>
  <c r="Q151"/>
  <c r="Q150"/>
  <c r="Q147"/>
  <c r="Q146"/>
  <c r="Q145"/>
  <c r="Q144"/>
  <c r="B276" i="9"/>
  <c r="O264" i="8"/>
  <c r="B276"/>
  <c r="E27" i="6"/>
  <c r="N187"/>
  <c r="J187"/>
  <c r="O272" i="8"/>
  <c r="B186" i="6"/>
  <c r="O274" i="8"/>
  <c r="B184" i="6"/>
  <c r="Q180"/>
  <c r="Q196"/>
  <c r="Q195"/>
  <c r="Q194"/>
  <c r="Q193"/>
  <c r="Q192"/>
  <c r="Q191"/>
  <c r="Q190"/>
  <c r="Q189"/>
  <c r="B192"/>
  <c r="Q188"/>
  <c r="Q187"/>
  <c r="Q186"/>
  <c r="Q185"/>
  <c r="Q184"/>
  <c r="Q183"/>
  <c r="Q182"/>
  <c r="Q181"/>
  <c r="Q179"/>
  <c r="I6" i="5"/>
  <c r="N10"/>
  <c r="N9"/>
  <c r="N8"/>
  <c r="N7"/>
  <c r="N6"/>
  <c r="N5"/>
  <c r="N4"/>
  <c r="N3"/>
  <c r="O27" i="29"/>
  <c r="O893" i="8"/>
  <c r="B190" i="6"/>
  <c r="AD272" i="9"/>
  <c r="AC272"/>
  <c r="AB272"/>
  <c r="AA272"/>
  <c r="Z272"/>
  <c r="Y272"/>
  <c r="U272"/>
  <c r="AM272" s="1"/>
  <c r="T272"/>
  <c r="S272"/>
  <c r="R272"/>
  <c r="Q272"/>
  <c r="AI272" s="1"/>
  <c r="P272"/>
  <c r="O275"/>
  <c r="O274"/>
  <c r="O273"/>
  <c r="O272"/>
  <c r="O275" i="8"/>
  <c r="O41"/>
  <c r="AH273"/>
  <c r="O273"/>
  <c r="AE272"/>
  <c r="AD272"/>
  <c r="AC272"/>
  <c r="AB272"/>
  <c r="AA272"/>
  <c r="Z272"/>
  <c r="Y272"/>
  <c r="V272"/>
  <c r="U272"/>
  <c r="AM272" s="1"/>
  <c r="T272"/>
  <c r="AL272" s="1"/>
  <c r="S272"/>
  <c r="AK272" s="1"/>
  <c r="R272"/>
  <c r="AJ272" s="1"/>
  <c r="Q272"/>
  <c r="P272"/>
  <c r="AH272" s="1"/>
  <c r="M297" i="9"/>
  <c r="K166" i="6"/>
  <c r="J166"/>
  <c r="O165"/>
  <c r="M165"/>
  <c r="O164"/>
  <c r="M164"/>
  <c r="O163"/>
  <c r="M163"/>
  <c r="F169"/>
  <c r="H168"/>
  <c r="H167"/>
  <c r="H166"/>
  <c r="H165"/>
  <c r="H164"/>
  <c r="H163"/>
  <c r="H169"/>
  <c r="AN272" i="8"/>
  <c r="AI272"/>
  <c r="L107" i="30"/>
  <c r="L106"/>
  <c r="L105"/>
  <c r="L104"/>
  <c r="L59"/>
  <c r="L57"/>
  <c r="L65"/>
  <c r="L64"/>
  <c r="L63"/>
  <c r="L56"/>
  <c r="L40"/>
  <c r="L39"/>
  <c r="N37" i="5"/>
  <c r="N38"/>
  <c r="B105" i="30"/>
  <c r="N39" i="5"/>
  <c r="N40"/>
  <c r="L38" i="30"/>
  <c r="L37"/>
  <c r="L36"/>
  <c r="D38"/>
  <c r="H63"/>
  <c r="L31"/>
  <c r="L30"/>
  <c r="L11"/>
  <c r="L10"/>
  <c r="B64"/>
  <c r="B37"/>
  <c r="I104"/>
  <c r="I36"/>
  <c r="I38" s="1"/>
  <c r="I40" s="1"/>
  <c r="I46" s="1"/>
  <c r="H36"/>
  <c r="H38" s="1"/>
  <c r="H40" s="1"/>
  <c r="H46" s="1"/>
  <c r="J63"/>
  <c r="J36"/>
  <c r="J38" s="1"/>
  <c r="J40" s="1"/>
  <c r="J46" s="1"/>
  <c r="J51" s="1"/>
  <c r="J54" s="1"/>
  <c r="O308" i="9"/>
  <c r="O309"/>
  <c r="O310"/>
  <c r="O311"/>
  <c r="O297" i="8"/>
  <c r="O303"/>
  <c r="G304"/>
  <c r="BN305" i="9"/>
  <c r="BM305"/>
  <c r="BL305"/>
  <c r="BK305"/>
  <c r="BJ305"/>
  <c r="BI305"/>
  <c r="BE305"/>
  <c r="BD305"/>
  <c r="BC305"/>
  <c r="BB305"/>
  <c r="BA305"/>
  <c r="AZ305"/>
  <c r="AD305"/>
  <c r="AC305"/>
  <c r="AB305"/>
  <c r="AA305"/>
  <c r="Z305"/>
  <c r="Y305"/>
  <c r="U305"/>
  <c r="T305"/>
  <c r="S305"/>
  <c r="R305"/>
  <c r="Q305"/>
  <c r="P305"/>
  <c r="O313"/>
  <c r="O312"/>
  <c r="O307"/>
  <c r="O306"/>
  <c r="G307"/>
  <c r="O305"/>
  <c r="O304"/>
  <c r="O303"/>
  <c r="O302"/>
  <c r="O301"/>
  <c r="O300"/>
  <c r="I308"/>
  <c r="BO305" i="8"/>
  <c r="BN305"/>
  <c r="BM305"/>
  <c r="BL305"/>
  <c r="BK305"/>
  <c r="BJ305"/>
  <c r="BI305"/>
  <c r="BF305"/>
  <c r="BE305"/>
  <c r="BD305"/>
  <c r="BC305"/>
  <c r="BB305"/>
  <c r="BA305"/>
  <c r="AZ305"/>
  <c r="O311"/>
  <c r="O309"/>
  <c r="O313"/>
  <c r="O312"/>
  <c r="B316"/>
  <c r="AE305"/>
  <c r="AD305"/>
  <c r="AC305"/>
  <c r="AB305"/>
  <c r="AA305"/>
  <c r="Z305"/>
  <c r="Y305"/>
  <c r="V306"/>
  <c r="U306"/>
  <c r="T306"/>
  <c r="S306"/>
  <c r="R306"/>
  <c r="Q306"/>
  <c r="P306"/>
  <c r="V305"/>
  <c r="U305"/>
  <c r="T305"/>
  <c r="S305"/>
  <c r="R305"/>
  <c r="Q305"/>
  <c r="P305"/>
  <c r="O310"/>
  <c r="O308"/>
  <c r="O307"/>
  <c r="O306"/>
  <c r="O304"/>
  <c r="G307"/>
  <c r="O305"/>
  <c r="O302"/>
  <c r="O301"/>
  <c r="O300"/>
  <c r="O299"/>
  <c r="O298"/>
  <c r="V299"/>
  <c r="U299"/>
  <c r="T299"/>
  <c r="S299"/>
  <c r="R299"/>
  <c r="Q299"/>
  <c r="P299"/>
  <c r="AO6" i="2"/>
  <c r="AO5"/>
  <c r="AM10"/>
  <c r="AM11"/>
  <c r="AM12"/>
  <c r="AM13"/>
  <c r="AM14"/>
  <c r="AM15"/>
  <c r="AM16"/>
  <c r="AM17"/>
  <c r="AM18"/>
  <c r="AM19"/>
  <c r="AM20"/>
  <c r="AM21"/>
  <c r="AM22"/>
  <c r="AM23"/>
  <c r="AM24"/>
  <c r="AM25"/>
  <c r="AM26"/>
  <c r="AM27"/>
  <c r="AM28"/>
  <c r="AM29"/>
  <c r="AM30"/>
  <c r="AM31"/>
  <c r="AM32"/>
  <c r="L76"/>
  <c r="AN92"/>
  <c r="AN91"/>
  <c r="AN90"/>
  <c r="AN89"/>
  <c r="AN88"/>
  <c r="AN87"/>
  <c r="AN86"/>
  <c r="AN85"/>
  <c r="AN84"/>
  <c r="AN83"/>
  <c r="AN82"/>
  <c r="AN81"/>
  <c r="AN80"/>
  <c r="AN79"/>
  <c r="AN78"/>
  <c r="AN77"/>
  <c r="AN76"/>
  <c r="AN75"/>
  <c r="AN74"/>
  <c r="AN73"/>
  <c r="AN72"/>
  <c r="AN71"/>
  <c r="AN70"/>
  <c r="AN69"/>
  <c r="AN67"/>
  <c r="AN66"/>
  <c r="AN65"/>
  <c r="AN64"/>
  <c r="AN63"/>
  <c r="AN62"/>
  <c r="AN61"/>
  <c r="AN60"/>
  <c r="AN59"/>
  <c r="AN58"/>
  <c r="AN57"/>
  <c r="AN56"/>
  <c r="AN55"/>
  <c r="AN54"/>
  <c r="AN53"/>
  <c r="AN52"/>
  <c r="AN51"/>
  <c r="AN50"/>
  <c r="AN49"/>
  <c r="AN48"/>
  <c r="AN47"/>
  <c r="AN46"/>
  <c r="AN45"/>
  <c r="AN44"/>
  <c r="L66"/>
  <c r="L47"/>
  <c r="I320" i="62"/>
  <c r="I315" s="1"/>
  <c r="I363" i="66" s="1"/>
  <c r="AM92" i="2"/>
  <c r="AM91"/>
  <c r="AM90"/>
  <c r="AM89"/>
  <c r="AM88"/>
  <c r="AM87"/>
  <c r="AM86"/>
  <c r="AM85"/>
  <c r="AM84"/>
  <c r="AM83"/>
  <c r="AM82"/>
  <c r="AM81"/>
  <c r="AM80"/>
  <c r="AM79"/>
  <c r="AM78"/>
  <c r="AM77"/>
  <c r="AM76"/>
  <c r="AM75"/>
  <c r="AM74"/>
  <c r="AM73"/>
  <c r="AM72"/>
  <c r="AM71"/>
  <c r="AM70"/>
  <c r="AM69"/>
  <c r="AM67"/>
  <c r="AM66"/>
  <c r="AM65"/>
  <c r="AM64"/>
  <c r="AM63"/>
  <c r="AM62"/>
  <c r="AM61"/>
  <c r="AM60"/>
  <c r="AM59"/>
  <c r="AM58"/>
  <c r="AM57"/>
  <c r="AM56"/>
  <c r="AM55"/>
  <c r="AM54"/>
  <c r="AM53"/>
  <c r="AM52"/>
  <c r="AM51"/>
  <c r="AM50"/>
  <c r="AM49"/>
  <c r="AM48"/>
  <c r="AM47"/>
  <c r="AM46"/>
  <c r="AM45"/>
  <c r="AM44"/>
  <c r="L28"/>
  <c r="AL92"/>
  <c r="AL91"/>
  <c r="AL90"/>
  <c r="AL89"/>
  <c r="AL88"/>
  <c r="AL87"/>
  <c r="AL86"/>
  <c r="AL85"/>
  <c r="AL84"/>
  <c r="AL83"/>
  <c r="AL82"/>
  <c r="AL81"/>
  <c r="AL80"/>
  <c r="AL79"/>
  <c r="AL78"/>
  <c r="AL77"/>
  <c r="AL76"/>
  <c r="AL75"/>
  <c r="AL74"/>
  <c r="AL73"/>
  <c r="AL72"/>
  <c r="AL71"/>
  <c r="AL70"/>
  <c r="AL69"/>
  <c r="AL67"/>
  <c r="AL66"/>
  <c r="AL65"/>
  <c r="AL64"/>
  <c r="AL63"/>
  <c r="AL62"/>
  <c r="AL61"/>
  <c r="AL60"/>
  <c r="AL59"/>
  <c r="AL58"/>
  <c r="AL57"/>
  <c r="AL56"/>
  <c r="AL55"/>
  <c r="AL54"/>
  <c r="AL53"/>
  <c r="AL52"/>
  <c r="AL51"/>
  <c r="AL50"/>
  <c r="AL49"/>
  <c r="AL48"/>
  <c r="AL47"/>
  <c r="AL46"/>
  <c r="AL45"/>
  <c r="AL44"/>
  <c r="O286" i="67"/>
  <c r="O284"/>
  <c r="H177"/>
  <c r="L177"/>
  <c r="O181"/>
  <c r="O180"/>
  <c r="O179"/>
  <c r="O178"/>
  <c r="O177"/>
  <c r="O176"/>
  <c r="O175"/>
  <c r="O174"/>
  <c r="O144"/>
  <c r="O146"/>
  <c r="I203" i="62"/>
  <c r="I308" i="8"/>
  <c r="J40" i="67"/>
  <c r="K20" i="40"/>
  <c r="N48" i="5"/>
  <c r="N47"/>
  <c r="T28"/>
  <c r="N46"/>
  <c r="L47"/>
  <c r="B81" i="40"/>
  <c r="B395" i="18"/>
  <c r="G285"/>
  <c r="X285" s="1"/>
  <c r="AA5"/>
  <c r="AA302"/>
  <c r="AA301"/>
  <c r="AA300"/>
  <c r="AA299"/>
  <c r="AA298"/>
  <c r="AA297"/>
  <c r="AA296"/>
  <c r="AA295"/>
  <c r="AA294"/>
  <c r="AA293"/>
  <c r="AA292"/>
  <c r="AA291"/>
  <c r="AA290"/>
  <c r="AA289"/>
  <c r="AA288"/>
  <c r="AA287"/>
  <c r="AA286"/>
  <c r="AA285"/>
  <c r="AA284"/>
  <c r="AA283"/>
  <c r="AA282"/>
  <c r="AA281"/>
  <c r="AA280"/>
  <c r="AA279"/>
  <c r="AA278"/>
  <c r="AA277"/>
  <c r="AA276"/>
  <c r="AA275"/>
  <c r="AA307"/>
  <c r="AA306"/>
  <c r="AA305"/>
  <c r="AA304"/>
  <c r="AA303"/>
  <c r="B306"/>
  <c r="I104" i="6"/>
  <c r="E289" i="18"/>
  <c r="E288"/>
  <c r="E287"/>
  <c r="E286"/>
  <c r="T297" s="1"/>
  <c r="E285"/>
  <c r="L296" s="1"/>
  <c r="E284"/>
  <c r="E283"/>
  <c r="E282"/>
  <c r="E281"/>
  <c r="X284"/>
  <c r="X289"/>
  <c r="X288"/>
  <c r="X287"/>
  <c r="X286"/>
  <c r="X283"/>
  <c r="X282"/>
  <c r="X281"/>
  <c r="B289"/>
  <c r="B300" s="1"/>
  <c r="B288"/>
  <c r="B299" s="1"/>
  <c r="B287"/>
  <c r="B298" s="1"/>
  <c r="B286"/>
  <c r="B297" s="1"/>
  <c r="B285"/>
  <c r="B296" s="1"/>
  <c r="B284"/>
  <c r="B295" s="1"/>
  <c r="B283"/>
  <c r="B294" s="1"/>
  <c r="B282"/>
  <c r="B293" s="1"/>
  <c r="B281"/>
  <c r="B292" s="1"/>
  <c r="Q105" i="6"/>
  <c r="Q104"/>
  <c r="Q103"/>
  <c r="Q102"/>
  <c r="Q101"/>
  <c r="Q141"/>
  <c r="Q140"/>
  <c r="Q139"/>
  <c r="Q138"/>
  <c r="Q137"/>
  <c r="Q136"/>
  <c r="Q135"/>
  <c r="Q134"/>
  <c r="Q133"/>
  <c r="B119"/>
  <c r="Q132"/>
  <c r="Q131"/>
  <c r="Q130"/>
  <c r="Q129"/>
  <c r="Q128"/>
  <c r="Q127"/>
  <c r="Q126"/>
  <c r="Q125"/>
  <c r="Q124"/>
  <c r="Q123"/>
  <c r="Q122"/>
  <c r="Q121"/>
  <c r="Q120"/>
  <c r="Q118"/>
  <c r="Q117"/>
  <c r="Q116"/>
  <c r="K133"/>
  <c r="I133"/>
  <c r="G133"/>
  <c r="E133"/>
  <c r="M130"/>
  <c r="L130"/>
  <c r="M129"/>
  <c r="J129"/>
  <c r="M128"/>
  <c r="H128"/>
  <c r="M132"/>
  <c r="N132"/>
  <c r="M131"/>
  <c r="L131"/>
  <c r="M127"/>
  <c r="J127"/>
  <c r="M126"/>
  <c r="H126"/>
  <c r="M125"/>
  <c r="N125"/>
  <c r="M124"/>
  <c r="L124"/>
  <c r="M123"/>
  <c r="J123"/>
  <c r="J106"/>
  <c r="T296" i="18"/>
  <c r="J101" i="6"/>
  <c r="F124"/>
  <c r="F130"/>
  <c r="L127"/>
  <c r="N130"/>
  <c r="F123"/>
  <c r="F129"/>
  <c r="L123"/>
  <c r="N131"/>
  <c r="F131"/>
  <c r="H132"/>
  <c r="N124"/>
  <c r="F127"/>
  <c r="H125"/>
  <c r="L129"/>
  <c r="M133"/>
  <c r="N133"/>
  <c r="H124"/>
  <c r="H131"/>
  <c r="H130"/>
  <c r="J125"/>
  <c r="J132"/>
  <c r="L126"/>
  <c r="L128"/>
  <c r="N123"/>
  <c r="N127"/>
  <c r="N129"/>
  <c r="J126"/>
  <c r="J128"/>
  <c r="F126"/>
  <c r="F128"/>
  <c r="H123"/>
  <c r="H127"/>
  <c r="H129"/>
  <c r="P129"/>
  <c r="J124"/>
  <c r="J131"/>
  <c r="J130"/>
  <c r="L125"/>
  <c r="L132"/>
  <c r="N126"/>
  <c r="N128"/>
  <c r="F125"/>
  <c r="F132"/>
  <c r="W259" i="8"/>
  <c r="W259" i="9"/>
  <c r="N15" i="37"/>
  <c r="N16"/>
  <c r="T35" i="5"/>
  <c r="T72" i="6"/>
  <c r="T66"/>
  <c r="AA437" i="18"/>
  <c r="AA436"/>
  <c r="AA435"/>
  <c r="AA434"/>
  <c r="AA433"/>
  <c r="AA432"/>
  <c r="AA431"/>
  <c r="AA430"/>
  <c r="AA429"/>
  <c r="B15"/>
  <c r="B437"/>
  <c r="P132" i="6"/>
  <c r="P127"/>
  <c r="P123"/>
  <c r="P124"/>
  <c r="P131"/>
  <c r="P130"/>
  <c r="P128"/>
  <c r="J133"/>
  <c r="F133"/>
  <c r="L133"/>
  <c r="H133"/>
  <c r="P125"/>
  <c r="P126"/>
  <c r="P133"/>
  <c r="I101"/>
  <c r="I102"/>
  <c r="I106" s="1"/>
  <c r="U434" i="18"/>
  <c r="Q113" i="6"/>
  <c r="Q112"/>
  <c r="R75"/>
  <c r="T74"/>
  <c r="T73"/>
  <c r="T69"/>
  <c r="T68"/>
  <c r="T67"/>
  <c r="S75"/>
  <c r="T75"/>
  <c r="I76" i="5"/>
  <c r="N78"/>
  <c r="N77"/>
  <c r="N76"/>
  <c r="J107" i="6"/>
  <c r="N74" i="5"/>
  <c r="H105"/>
  <c r="I105"/>
  <c r="I107" i="6"/>
  <c r="I108" s="1"/>
  <c r="I109" s="1"/>
  <c r="G105" i="5"/>
  <c r="P21" i="64"/>
  <c r="P20"/>
  <c r="P19"/>
  <c r="P18"/>
  <c r="P42"/>
  <c r="P41"/>
  <c r="P40"/>
  <c r="P39"/>
  <c r="P38"/>
  <c r="P37"/>
  <c r="P36"/>
  <c r="P35"/>
  <c r="P34"/>
  <c r="P33"/>
  <c r="P32"/>
  <c r="P31"/>
  <c r="P30"/>
  <c r="P29"/>
  <c r="P28"/>
  <c r="P27"/>
  <c r="P26"/>
  <c r="P25"/>
  <c r="P24"/>
  <c r="P23"/>
  <c r="P22"/>
  <c r="P17"/>
  <c r="P16"/>
  <c r="P15"/>
  <c r="P14"/>
  <c r="O696" i="7"/>
  <c r="O695"/>
  <c r="O694"/>
  <c r="O684"/>
  <c r="O677"/>
  <c r="O675"/>
  <c r="O655"/>
  <c r="O653"/>
  <c r="O651"/>
  <c r="O650"/>
  <c r="O640"/>
  <c r="O639"/>
  <c r="O633"/>
  <c r="O187"/>
  <c r="I661"/>
  <c r="I660"/>
  <c r="I644"/>
  <c r="I643"/>
  <c r="I642"/>
  <c r="J638"/>
  <c r="B650"/>
  <c r="O218"/>
  <c r="O204"/>
  <c r="O203"/>
  <c r="P194" i="64"/>
  <c r="P193"/>
  <c r="P192"/>
  <c r="P191"/>
  <c r="P190"/>
  <c r="P189"/>
  <c r="P188"/>
  <c r="P187"/>
  <c r="P186"/>
  <c r="P185"/>
  <c r="P184"/>
  <c r="P183"/>
  <c r="P182"/>
  <c r="P181"/>
  <c r="P180"/>
  <c r="P179"/>
  <c r="P178"/>
  <c r="P177"/>
  <c r="P176"/>
  <c r="P175"/>
  <c r="P174"/>
  <c r="P173"/>
  <c r="P172"/>
  <c r="P171"/>
  <c r="P162"/>
  <c r="P163"/>
  <c r="P164"/>
  <c r="P170"/>
  <c r="P168"/>
  <c r="P167"/>
  <c r="P166"/>
  <c r="P165"/>
  <c r="P169"/>
  <c r="P161"/>
  <c r="P160"/>
  <c r="P159"/>
  <c r="P158"/>
  <c r="P157"/>
  <c r="P156"/>
  <c r="P155"/>
  <c r="P154"/>
  <c r="P153"/>
  <c r="P152"/>
  <c r="P151"/>
  <c r="P150"/>
  <c r="P149"/>
  <c r="P148"/>
  <c r="P147"/>
  <c r="P146"/>
  <c r="P145"/>
  <c r="P144"/>
  <c r="P143"/>
  <c r="P142"/>
  <c r="P141"/>
  <c r="P140"/>
  <c r="P139"/>
  <c r="P138"/>
  <c r="B15"/>
  <c r="P49"/>
  <c r="P48"/>
  <c r="P87"/>
  <c r="P88"/>
  <c r="P136"/>
  <c r="H112"/>
  <c r="J134" s="1"/>
  <c r="G112"/>
  <c r="F134" s="1"/>
  <c r="H106"/>
  <c r="J133" s="1"/>
  <c r="G106"/>
  <c r="G101"/>
  <c r="P196"/>
  <c r="P195"/>
  <c r="P137"/>
  <c r="P130"/>
  <c r="P83"/>
  <c r="P82"/>
  <c r="P81"/>
  <c r="P80"/>
  <c r="P79"/>
  <c r="G81"/>
  <c r="H81" s="1"/>
  <c r="O171" i="72"/>
  <c r="O170"/>
  <c r="O169"/>
  <c r="O168"/>
  <c r="P135" i="64"/>
  <c r="P134"/>
  <c r="P133"/>
  <c r="P132"/>
  <c r="P131"/>
  <c r="P129"/>
  <c r="P128"/>
  <c r="P127"/>
  <c r="P126"/>
  <c r="P125"/>
  <c r="P124"/>
  <c r="P123"/>
  <c r="P85"/>
  <c r="P84"/>
  <c r="P78"/>
  <c r="P77"/>
  <c r="P76"/>
  <c r="P75"/>
  <c r="P74"/>
  <c r="P73"/>
  <c r="P72"/>
  <c r="P71"/>
  <c r="O77" i="25"/>
  <c r="D76" i="64" s="1"/>
  <c r="G76"/>
  <c r="H76" s="1"/>
  <c r="O286" i="25"/>
  <c r="O194"/>
  <c r="O142"/>
  <c r="O141"/>
  <c r="B124" i="27"/>
  <c r="P122" i="64"/>
  <c r="P121"/>
  <c r="P86"/>
  <c r="G86"/>
  <c r="P117"/>
  <c r="P113"/>
  <c r="P112"/>
  <c r="P111"/>
  <c r="P110"/>
  <c r="P109"/>
  <c r="P108"/>
  <c r="P107"/>
  <c r="P106"/>
  <c r="P105"/>
  <c r="B107"/>
  <c r="F94" i="68"/>
  <c r="F93"/>
  <c r="F92"/>
  <c r="B113" i="64"/>
  <c r="F91" i="68"/>
  <c r="F90"/>
  <c r="B110" i="64"/>
  <c r="F89" i="68"/>
  <c r="F88"/>
  <c r="F87"/>
  <c r="F86"/>
  <c r="F85"/>
  <c r="F84"/>
  <c r="F83"/>
  <c r="F82"/>
  <c r="F81"/>
  <c r="F80"/>
  <c r="E90"/>
  <c r="F12"/>
  <c r="F11"/>
  <c r="G109" i="64"/>
  <c r="F131" s="1"/>
  <c r="H109"/>
  <c r="J131" s="1"/>
  <c r="N67" i="5"/>
  <c r="N66"/>
  <c r="O202" i="7"/>
  <c r="O201"/>
  <c r="G204"/>
  <c r="O200"/>
  <c r="O199"/>
  <c r="O217"/>
  <c r="O216"/>
  <c r="O195"/>
  <c r="O194"/>
  <c r="O193"/>
  <c r="O192"/>
  <c r="O191"/>
  <c r="O190"/>
  <c r="B193"/>
  <c r="O189"/>
  <c r="O188"/>
  <c r="O186"/>
  <c r="O185"/>
  <c r="O184"/>
  <c r="O183"/>
  <c r="O178"/>
  <c r="O231"/>
  <c r="O230"/>
  <c r="O232"/>
  <c r="O229"/>
  <c r="O227"/>
  <c r="O226"/>
  <c r="B173" i="26"/>
  <c r="B554" i="19"/>
  <c r="B552"/>
  <c r="B270" i="26"/>
  <c r="J263"/>
  <c r="N107" i="5"/>
  <c r="N106"/>
  <c r="M69"/>
  <c r="L355" i="66"/>
  <c r="L354"/>
  <c r="L353"/>
  <c r="L366"/>
  <c r="O323" i="62"/>
  <c r="B357" i="66"/>
  <c r="B336"/>
  <c r="O127" i="62"/>
  <c r="O126"/>
  <c r="O125"/>
  <c r="O200" i="8"/>
  <c r="O870"/>
  <c r="B97" i="67"/>
  <c r="O124" i="62"/>
  <c r="O123"/>
  <c r="O122"/>
  <c r="O121"/>
  <c r="O120"/>
  <c r="O119"/>
  <c r="O118"/>
  <c r="O117"/>
  <c r="O116"/>
  <c r="O115"/>
  <c r="O114"/>
  <c r="O113"/>
  <c r="O112"/>
  <c r="O111"/>
  <c r="O9"/>
  <c r="O8"/>
  <c r="O7"/>
  <c r="O6"/>
  <c r="O205" i="19"/>
  <c r="O338" i="62"/>
  <c r="O334"/>
  <c r="O333"/>
  <c r="O332"/>
  <c r="O331"/>
  <c r="O330"/>
  <c r="O329"/>
  <c r="O328"/>
  <c r="O326"/>
  <c r="O325"/>
  <c r="O324"/>
  <c r="L105" i="5"/>
  <c r="I333" i="62"/>
  <c r="O275" i="23"/>
  <c r="O274"/>
  <c r="B309" i="62"/>
  <c r="O273" i="23"/>
  <c r="AD275"/>
  <c r="G270"/>
  <c r="F270"/>
  <c r="E270"/>
  <c r="D270"/>
  <c r="C270"/>
  <c r="B126" i="62"/>
  <c r="B336"/>
  <c r="B218" i="7"/>
  <c r="G218"/>
  <c r="M268" i="23"/>
  <c r="N268"/>
  <c r="M267"/>
  <c r="N267"/>
  <c r="M266"/>
  <c r="N266"/>
  <c r="M265"/>
  <c r="N265"/>
  <c r="M264"/>
  <c r="N264"/>
  <c r="M263"/>
  <c r="N263"/>
  <c r="M262"/>
  <c r="N262"/>
  <c r="M261"/>
  <c r="N261"/>
  <c r="M260"/>
  <c r="N260"/>
  <c r="M259"/>
  <c r="N259"/>
  <c r="M258"/>
  <c r="N258"/>
  <c r="M257"/>
  <c r="N257"/>
  <c r="M256"/>
  <c r="N256"/>
  <c r="M255"/>
  <c r="N255"/>
  <c r="M254"/>
  <c r="N254"/>
  <c r="M253"/>
  <c r="N253"/>
  <c r="M252"/>
  <c r="N252"/>
  <c r="M251"/>
  <c r="N251"/>
  <c r="M250"/>
  <c r="N250"/>
  <c r="M249"/>
  <c r="N249"/>
  <c r="G58" i="58"/>
  <c r="L25" i="66"/>
  <c r="L20"/>
  <c r="L277"/>
  <c r="L276"/>
  <c r="L275"/>
  <c r="L274"/>
  <c r="L273"/>
  <c r="L272"/>
  <c r="L271"/>
  <c r="L270"/>
  <c r="L269"/>
  <c r="L268"/>
  <c r="L267"/>
  <c r="L266"/>
  <c r="L265"/>
  <c r="L264"/>
  <c r="L263"/>
  <c r="L262"/>
  <c r="L261"/>
  <c r="L260"/>
  <c r="I263"/>
  <c r="O82" i="72"/>
  <c r="O81"/>
  <c r="O80"/>
  <c r="L563" i="66"/>
  <c r="L566"/>
  <c r="L568"/>
  <c r="L540"/>
  <c r="L330"/>
  <c r="L329"/>
  <c r="L328"/>
  <c r="L327"/>
  <c r="L326"/>
  <c r="L325"/>
  <c r="L324"/>
  <c r="L323"/>
  <c r="L322"/>
  <c r="B329"/>
  <c r="L364"/>
  <c r="L363"/>
  <c r="L362"/>
  <c r="L347"/>
  <c r="L346"/>
  <c r="L345"/>
  <c r="I345"/>
  <c r="L259"/>
  <c r="L258"/>
  <c r="L257"/>
  <c r="L256"/>
  <c r="L255"/>
  <c r="L254"/>
  <c r="L253"/>
  <c r="L252"/>
  <c r="L251"/>
  <c r="I255"/>
  <c r="I253"/>
  <c r="I251"/>
  <c r="I247"/>
  <c r="L244"/>
  <c r="L243"/>
  <c r="L242"/>
  <c r="L241"/>
  <c r="L240"/>
  <c r="J241"/>
  <c r="L239"/>
  <c r="L238"/>
  <c r="L237"/>
  <c r="L236"/>
  <c r="L235"/>
  <c r="L234"/>
  <c r="L232"/>
  <c r="E238"/>
  <c r="E237"/>
  <c r="E236"/>
  <c r="E235"/>
  <c r="J52" i="29"/>
  <c r="J51"/>
  <c r="L113" i="66"/>
  <c r="L112"/>
  <c r="I112"/>
  <c r="L118"/>
  <c r="L117"/>
  <c r="I116"/>
  <c r="L116"/>
  <c r="L115"/>
  <c r="I114"/>
  <c r="L114"/>
  <c r="L111"/>
  <c r="L110"/>
  <c r="L109"/>
  <c r="H62"/>
  <c r="I62"/>
  <c r="L63"/>
  <c r="L62"/>
  <c r="I48"/>
  <c r="L49"/>
  <c r="L48"/>
  <c r="Q158" i="6"/>
  <c r="O169"/>
  <c r="K178"/>
  <c r="O388" i="62"/>
  <c r="O387"/>
  <c r="O386"/>
  <c r="O385"/>
  <c r="O384"/>
  <c r="O383"/>
  <c r="O382"/>
  <c r="O381"/>
  <c r="O380"/>
  <c r="O379"/>
  <c r="O378"/>
  <c r="O377"/>
  <c r="O376"/>
  <c r="O375"/>
  <c r="O374"/>
  <c r="O373"/>
  <c r="O372"/>
  <c r="O343"/>
  <c r="O341"/>
  <c r="O340"/>
  <c r="O339"/>
  <c r="B75" i="23"/>
  <c r="B203" i="19"/>
  <c r="M35" i="4"/>
  <c r="M34"/>
  <c r="O1003" i="8"/>
  <c r="O1002"/>
  <c r="O1001"/>
  <c r="O1000"/>
  <c r="O999"/>
  <c r="O998"/>
  <c r="O997"/>
  <c r="O996"/>
  <c r="L139" i="27"/>
  <c r="L138"/>
  <c r="L137"/>
  <c r="L136"/>
  <c r="L135"/>
  <c r="L134"/>
  <c r="L133"/>
  <c r="L132"/>
  <c r="L101"/>
  <c r="L100"/>
  <c r="L99"/>
  <c r="F120"/>
  <c r="I233" i="66"/>
  <c r="N62" i="5"/>
  <c r="N61"/>
  <c r="N60"/>
  <c r="O291" i="9"/>
  <c r="O290"/>
  <c r="O289"/>
  <c r="O292" i="8"/>
  <c r="O291"/>
  <c r="L50" i="58"/>
  <c r="O289" i="8"/>
  <c r="L60" i="5"/>
  <c r="AW985" i="8"/>
  <c r="AV985"/>
  <c r="AU985"/>
  <c r="AT985"/>
  <c r="AS985"/>
  <c r="AR985"/>
  <c r="AQ985"/>
  <c r="AA446" i="18"/>
  <c r="AA445"/>
  <c r="AA415"/>
  <c r="AA447"/>
  <c r="AA428"/>
  <c r="AA448"/>
  <c r="AA427"/>
  <c r="AA426"/>
  <c r="AA425"/>
  <c r="AA424"/>
  <c r="AA423"/>
  <c r="AA422"/>
  <c r="AA421"/>
  <c r="AA420"/>
  <c r="AA419"/>
  <c r="AA416"/>
  <c r="AA414"/>
  <c r="AA413"/>
  <c r="AA412"/>
  <c r="AA411"/>
  <c r="AA410"/>
  <c r="AA409"/>
  <c r="AA408"/>
  <c r="AA407"/>
  <c r="AA406"/>
  <c r="AA405"/>
  <c r="AA404"/>
  <c r="AA403"/>
  <c r="AA402"/>
  <c r="AA401"/>
  <c r="AA397"/>
  <c r="AA396"/>
  <c r="F258" i="66"/>
  <c r="W361" i="18"/>
  <c r="V361"/>
  <c r="AA392"/>
  <c r="AA391"/>
  <c r="AA400"/>
  <c r="B420"/>
  <c r="AA399"/>
  <c r="AA398"/>
  <c r="B418"/>
  <c r="AA395"/>
  <c r="AA394"/>
  <c r="B399"/>
  <c r="AA393"/>
  <c r="AA390"/>
  <c r="AA389"/>
  <c r="AA388"/>
  <c r="AA385"/>
  <c r="AA384"/>
  <c r="AA383"/>
  <c r="AA382"/>
  <c r="G255" i="66"/>
  <c r="AA379" i="18"/>
  <c r="AA378"/>
  <c r="AA377"/>
  <c r="AA376"/>
  <c r="F251" i="66"/>
  <c r="J23" i="58"/>
  <c r="B393" i="18"/>
  <c r="AA17"/>
  <c r="AA16"/>
  <c r="AA308"/>
  <c r="B10"/>
  <c r="AA309"/>
  <c r="AA257"/>
  <c r="AA253"/>
  <c r="AA248"/>
  <c r="AA245"/>
  <c r="AA243"/>
  <c r="AA241"/>
  <c r="AA217"/>
  <c r="AA11"/>
  <c r="AA10"/>
  <c r="AA9"/>
  <c r="AA8"/>
  <c r="AA7"/>
  <c r="B264"/>
  <c r="S390"/>
  <c r="R390"/>
  <c r="Q390"/>
  <c r="P390"/>
  <c r="O390"/>
  <c r="N390"/>
  <c r="M390"/>
  <c r="K390"/>
  <c r="J390"/>
  <c r="I390"/>
  <c r="H390"/>
  <c r="G390"/>
  <c r="S361"/>
  <c r="R361"/>
  <c r="AA370"/>
  <c r="B387"/>
  <c r="AA369"/>
  <c r="L372"/>
  <c r="T372"/>
  <c r="I249" i="66"/>
  <c r="AA387" i="18"/>
  <c r="AA386"/>
  <c r="B391"/>
  <c r="AA381"/>
  <c r="AA380"/>
  <c r="B385"/>
  <c r="AA375"/>
  <c r="AA374"/>
  <c r="AA373"/>
  <c r="AA372"/>
  <c r="AA327"/>
  <c r="AA326"/>
  <c r="B375"/>
  <c r="AA325"/>
  <c r="AA324"/>
  <c r="B379"/>
  <c r="B381"/>
  <c r="AA418"/>
  <c r="AA417"/>
  <c r="B426"/>
  <c r="AA371"/>
  <c r="AA368"/>
  <c r="AA367"/>
  <c r="AA366"/>
  <c r="AA365"/>
  <c r="B368"/>
  <c r="AA364"/>
  <c r="AA314"/>
  <c r="AA363"/>
  <c r="AA362"/>
  <c r="AA361"/>
  <c r="AA360"/>
  <c r="AA359"/>
  <c r="B366"/>
  <c r="AA358"/>
  <c r="AA357"/>
  <c r="AA356"/>
  <c r="AA355"/>
  <c r="B371"/>
  <c r="AA354"/>
  <c r="AA353"/>
  <c r="AA352"/>
  <c r="AA351"/>
  <c r="AA350"/>
  <c r="AA349"/>
  <c r="AA348"/>
  <c r="B351"/>
  <c r="AA347"/>
  <c r="AA346"/>
  <c r="AA345"/>
  <c r="AA344"/>
  <c r="B347"/>
  <c r="AA343"/>
  <c r="AA342"/>
  <c r="AA341"/>
  <c r="AA340"/>
  <c r="B356"/>
  <c r="AA339"/>
  <c r="AA338"/>
  <c r="AA337"/>
  <c r="AA336"/>
  <c r="AA335"/>
  <c r="AA334"/>
  <c r="B337"/>
  <c r="AA333"/>
  <c r="AA332"/>
  <c r="AA331"/>
  <c r="AA330"/>
  <c r="AA329"/>
  <c r="AA328"/>
  <c r="B360"/>
  <c r="AA323"/>
  <c r="AA322"/>
  <c r="AA321"/>
  <c r="B353"/>
  <c r="B333"/>
  <c r="AA320"/>
  <c r="AA319"/>
  <c r="AA318"/>
  <c r="AA317"/>
  <c r="AA316"/>
  <c r="AA315"/>
  <c r="AA313"/>
  <c r="AA312"/>
  <c r="O405" i="62"/>
  <c r="O404"/>
  <c r="O403"/>
  <c r="O402"/>
  <c r="O401"/>
  <c r="O400"/>
  <c r="O399"/>
  <c r="O398"/>
  <c r="B364" i="18"/>
  <c r="F249" i="66"/>
  <c r="B357" i="18"/>
  <c r="B397"/>
  <c r="B327"/>
  <c r="B341"/>
  <c r="B339"/>
  <c r="B329"/>
  <c r="AA187"/>
  <c r="B313"/>
  <c r="AA186"/>
  <c r="AA185"/>
  <c r="AA4"/>
  <c r="AA46"/>
  <c r="AA47"/>
  <c r="AA130"/>
  <c r="F187"/>
  <c r="O128" i="40"/>
  <c r="O127"/>
  <c r="O126"/>
  <c r="B83"/>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G39"/>
  <c r="F39"/>
  <c r="G38"/>
  <c r="F38"/>
  <c r="F47" s="1"/>
  <c r="O51"/>
  <c r="O50"/>
  <c r="O49"/>
  <c r="O48"/>
  <c r="O47"/>
  <c r="O46"/>
  <c r="O45"/>
  <c r="O44"/>
  <c r="O43"/>
  <c r="O41"/>
  <c r="O40"/>
  <c r="O34"/>
  <c r="O33"/>
  <c r="BO258" i="9"/>
  <c r="BO258" i="8"/>
  <c r="AM258"/>
  <c r="H47" i="40"/>
  <c r="I49"/>
  <c r="H49"/>
  <c r="I48"/>
  <c r="H48"/>
  <c r="I47"/>
  <c r="I46"/>
  <c r="H46"/>
  <c r="I45"/>
  <c r="H45"/>
  <c r="I44"/>
  <c r="H44"/>
  <c r="G40"/>
  <c r="G49" s="1"/>
  <c r="I40"/>
  <c r="I39"/>
  <c r="I38"/>
  <c r="I37"/>
  <c r="I36"/>
  <c r="H40"/>
  <c r="H39"/>
  <c r="H38"/>
  <c r="H37"/>
  <c r="H36"/>
  <c r="F40"/>
  <c r="H35"/>
  <c r="I35"/>
  <c r="W213" i="18"/>
  <c r="V213"/>
  <c r="U213"/>
  <c r="S213"/>
  <c r="R213"/>
  <c r="Q213"/>
  <c r="P213"/>
  <c r="O213"/>
  <c r="K213"/>
  <c r="N213"/>
  <c r="M213"/>
  <c r="J213"/>
  <c r="I213"/>
  <c r="H213"/>
  <c r="G213"/>
  <c r="F48" i="40"/>
  <c r="K98" i="18"/>
  <c r="O119" i="9"/>
  <c r="O120"/>
  <c r="O121"/>
  <c r="O74"/>
  <c r="O73"/>
  <c r="O72"/>
  <c r="O71"/>
  <c r="G301"/>
  <c r="O70"/>
  <c r="O69"/>
  <c r="O68"/>
  <c r="O67"/>
  <c r="O66"/>
  <c r="O56"/>
  <c r="O55"/>
  <c r="O54"/>
  <c r="O53"/>
  <c r="O52"/>
  <c r="O51"/>
  <c r="B54"/>
  <c r="L45"/>
  <c r="K66"/>
  <c r="K73"/>
  <c r="O89"/>
  <c r="O88"/>
  <c r="O87"/>
  <c r="O84" i="8"/>
  <c r="O83"/>
  <c r="O82"/>
  <c r="O77"/>
  <c r="O75"/>
  <c r="O74"/>
  <c r="O73"/>
  <c r="O72"/>
  <c r="O71"/>
  <c r="G301"/>
  <c r="O70"/>
  <c r="O69"/>
  <c r="O56"/>
  <c r="O55"/>
  <c r="O54"/>
  <c r="O53"/>
  <c r="O52"/>
  <c r="O51"/>
  <c r="B54"/>
  <c r="O50"/>
  <c r="O49"/>
  <c r="O48"/>
  <c r="O47"/>
  <c r="O46"/>
  <c r="O45"/>
  <c r="L45"/>
  <c r="O50" i="9"/>
  <c r="O57"/>
  <c r="O58"/>
  <c r="O59"/>
  <c r="O60"/>
  <c r="O61"/>
  <c r="O62"/>
  <c r="O63"/>
  <c r="O64"/>
  <c r="O65"/>
  <c r="O77"/>
  <c r="H34" i="56"/>
  <c r="I34" s="1"/>
  <c r="N61" i="9"/>
  <c r="M61"/>
  <c r="L61"/>
  <c r="K61"/>
  <c r="J61"/>
  <c r="I61"/>
  <c r="H61"/>
  <c r="O49"/>
  <c r="O48"/>
  <c r="O47"/>
  <c r="O46"/>
  <c r="O45"/>
  <c r="B52"/>
  <c r="O44"/>
  <c r="O43"/>
  <c r="O42"/>
  <c r="O41"/>
  <c r="F62"/>
  <c r="O40"/>
  <c r="O39"/>
  <c r="B113" i="66"/>
  <c r="O38" i="9"/>
  <c r="O37"/>
  <c r="O36"/>
  <c r="O35"/>
  <c r="O34"/>
  <c r="H61" i="8"/>
  <c r="N61"/>
  <c r="N66"/>
  <c r="N66" i="9"/>
  <c r="M61" i="8"/>
  <c r="M66"/>
  <c r="M66" i="9"/>
  <c r="L61" i="8"/>
  <c r="L66"/>
  <c r="L66" i="9"/>
  <c r="J61" i="8"/>
  <c r="J66"/>
  <c r="J66" i="9"/>
  <c r="I61" i="8"/>
  <c r="I66"/>
  <c r="I66" i="9"/>
  <c r="AL272"/>
  <c r="AH272"/>
  <c r="AJ272"/>
  <c r="AK272"/>
  <c r="H272" i="66"/>
  <c r="B52" i="8"/>
  <c r="H266" i="66"/>
  <c r="L77" i="9"/>
  <c r="K74"/>
  <c r="B60"/>
  <c r="L77" i="8"/>
  <c r="B46" i="9"/>
  <c r="AM258"/>
  <c r="AH265"/>
  <c r="M74"/>
  <c r="B46" i="8"/>
  <c r="B56" i="9"/>
  <c r="K57"/>
  <c r="B58"/>
  <c r="D70"/>
  <c r="B56" i="8"/>
  <c r="F63" i="9"/>
  <c r="F65"/>
  <c r="F64"/>
  <c r="B42"/>
  <c r="O63" i="8"/>
  <c r="H270" i="66"/>
  <c r="O62" i="8"/>
  <c r="O42"/>
  <c r="O40"/>
  <c r="O39"/>
  <c r="O58"/>
  <c r="O57"/>
  <c r="M74"/>
  <c r="O44"/>
  <c r="O43"/>
  <c r="I265" i="66"/>
  <c r="O33" i="8"/>
  <c r="AA251" i="18"/>
  <c r="AA239"/>
  <c r="AA238"/>
  <c r="AA237"/>
  <c r="AA236"/>
  <c r="AA232"/>
  <c r="AA231"/>
  <c r="AA230"/>
  <c r="AA188"/>
  <c r="AA184"/>
  <c r="AA183"/>
  <c r="AA182"/>
  <c r="AA198"/>
  <c r="AA197"/>
  <c r="AA196"/>
  <c r="AA195"/>
  <c r="AA194"/>
  <c r="AA193"/>
  <c r="AA192"/>
  <c r="AA190"/>
  <c r="AA189"/>
  <c r="AA181"/>
  <c r="AA180"/>
  <c r="B349"/>
  <c r="AA179"/>
  <c r="AA178"/>
  <c r="AA177"/>
  <c r="AA176"/>
  <c r="AA175"/>
  <c r="AA174"/>
  <c r="AA173"/>
  <c r="AA172"/>
  <c r="AA171"/>
  <c r="AA170"/>
  <c r="AA169"/>
  <c r="AA168"/>
  <c r="AA167"/>
  <c r="AA166"/>
  <c r="AA165"/>
  <c r="AA164"/>
  <c r="AA163"/>
  <c r="AA162"/>
  <c r="AA161"/>
  <c r="F183"/>
  <c r="AA160"/>
  <c r="AA159"/>
  <c r="AA158"/>
  <c r="AA157"/>
  <c r="AA156"/>
  <c r="AA155"/>
  <c r="B162"/>
  <c r="AA154"/>
  <c r="AA153"/>
  <c r="AA152"/>
  <c r="AA151"/>
  <c r="AA150"/>
  <c r="AA149"/>
  <c r="AA148"/>
  <c r="AA147"/>
  <c r="AA146"/>
  <c r="AA145"/>
  <c r="AA144"/>
  <c r="AA143"/>
  <c r="B335"/>
  <c r="AA142"/>
  <c r="AA141"/>
  <c r="AA140"/>
  <c r="AA139"/>
  <c r="B146"/>
  <c r="AA138"/>
  <c r="AA137"/>
  <c r="AA136"/>
  <c r="AA135"/>
  <c r="AA134"/>
  <c r="AA133"/>
  <c r="B321"/>
  <c r="AA132"/>
  <c r="AA191"/>
  <c r="K101"/>
  <c r="I241" i="66"/>
  <c r="J157" i="18"/>
  <c r="AA311"/>
  <c r="AA310"/>
  <c r="AA274"/>
  <c r="AA273"/>
  <c r="AA272"/>
  <c r="AA271"/>
  <c r="AA270"/>
  <c r="AA269"/>
  <c r="AA268"/>
  <c r="AA267"/>
  <c r="AA266"/>
  <c r="AA265"/>
  <c r="K138"/>
  <c r="K137"/>
  <c r="K136"/>
  <c r="K135"/>
  <c r="AA449"/>
  <c r="AA264"/>
  <c r="AA263"/>
  <c r="G245" i="66"/>
  <c r="AA262" i="18"/>
  <c r="AA261"/>
  <c r="AA260"/>
  <c r="AA259"/>
  <c r="AA258"/>
  <c r="AA256"/>
  <c r="AA255"/>
  <c r="AA254"/>
  <c r="B257"/>
  <c r="AA252"/>
  <c r="AA250"/>
  <c r="AA249"/>
  <c r="AA247"/>
  <c r="AA246"/>
  <c r="AA244"/>
  <c r="AA242"/>
  <c r="AA240"/>
  <c r="AA229"/>
  <c r="H269" i="66"/>
  <c r="D80" i="64"/>
  <c r="B274" i="18"/>
  <c r="B304"/>
  <c r="K151"/>
  <c r="F235" i="66"/>
  <c r="K153" i="18"/>
  <c r="F237" i="66"/>
  <c r="H265"/>
  <c r="B115"/>
  <c r="K152" i="18"/>
  <c r="F236" i="66"/>
  <c r="K154" i="18"/>
  <c r="F238" i="66"/>
  <c r="B58" i="8"/>
  <c r="AH265"/>
  <c r="B86"/>
  <c r="K74"/>
  <c r="B60"/>
  <c r="B323" i="18"/>
  <c r="B140"/>
  <c r="B255"/>
  <c r="B252"/>
  <c r="B245"/>
  <c r="B160"/>
  <c r="B171"/>
  <c r="B272"/>
  <c r="B270"/>
  <c r="F182"/>
  <c r="B158"/>
  <c r="B144"/>
  <c r="B156"/>
  <c r="F62" i="8"/>
  <c r="D70"/>
  <c r="I266" i="66"/>
  <c r="F64" i="8"/>
  <c r="F184" i="18"/>
  <c r="M151"/>
  <c r="AA234"/>
  <c r="AA233"/>
  <c r="AA228"/>
  <c r="AA227"/>
  <c r="AA226"/>
  <c r="AA225"/>
  <c r="AA224"/>
  <c r="B250"/>
  <c r="AA223"/>
  <c r="B248"/>
  <c r="AA222"/>
  <c r="AA221"/>
  <c r="AA220"/>
  <c r="AA219"/>
  <c r="AA218"/>
  <c r="AA216"/>
  <c r="AA215"/>
  <c r="AA214"/>
  <c r="AA213"/>
  <c r="AA212"/>
  <c r="AA211"/>
  <c r="AA210"/>
  <c r="AA209"/>
  <c r="AA208"/>
  <c r="AA207"/>
  <c r="AA206"/>
  <c r="AA205"/>
  <c r="AA204"/>
  <c r="AA203"/>
  <c r="AA202"/>
  <c r="AA201"/>
  <c r="AA200"/>
  <c r="AA199"/>
  <c r="AA131"/>
  <c r="AA120"/>
  <c r="AA119"/>
  <c r="AA94"/>
  <c r="AA92"/>
  <c r="AA85"/>
  <c r="AA93"/>
  <c r="AA91"/>
  <c r="AA129"/>
  <c r="B193"/>
  <c r="AA128"/>
  <c r="AA127"/>
  <c r="AA126"/>
  <c r="AA125"/>
  <c r="B345"/>
  <c r="AA118"/>
  <c r="AA116"/>
  <c r="AA123"/>
  <c r="AA122"/>
  <c r="AA121"/>
  <c r="AA117"/>
  <c r="O984" i="9"/>
  <c r="O983"/>
  <c r="O984" i="8"/>
  <c r="O983"/>
  <c r="O990" i="9"/>
  <c r="O989"/>
  <c r="O990" i="8"/>
  <c r="O989"/>
  <c r="AA235" i="18"/>
  <c r="AA109"/>
  <c r="AA108"/>
  <c r="B433"/>
  <c r="L110"/>
  <c r="T110"/>
  <c r="AA107"/>
  <c r="X110"/>
  <c r="W110"/>
  <c r="V110"/>
  <c r="U110"/>
  <c r="S110"/>
  <c r="S431"/>
  <c r="R110"/>
  <c r="R431"/>
  <c r="Q110"/>
  <c r="Q431"/>
  <c r="P110"/>
  <c r="P431"/>
  <c r="O110"/>
  <c r="O431"/>
  <c r="N110"/>
  <c r="N431"/>
  <c r="M110"/>
  <c r="M431"/>
  <c r="K110"/>
  <c r="K431"/>
  <c r="J110"/>
  <c r="J431"/>
  <c r="I110"/>
  <c r="I431"/>
  <c r="H110"/>
  <c r="H431"/>
  <c r="G110"/>
  <c r="G431"/>
  <c r="G243" i="66"/>
  <c r="J266"/>
  <c r="J265"/>
  <c r="B241" i="18"/>
  <c r="B243"/>
  <c r="B175"/>
  <c r="B178"/>
  <c r="B113"/>
  <c r="B197"/>
  <c r="M225"/>
  <c r="M253"/>
  <c r="M277"/>
  <c r="M147"/>
  <c r="M179"/>
  <c r="M199"/>
  <c r="J225"/>
  <c r="J253"/>
  <c r="J277"/>
  <c r="J147"/>
  <c r="J179"/>
  <c r="J199"/>
  <c r="O225"/>
  <c r="O253"/>
  <c r="O277"/>
  <c r="O147"/>
  <c r="O179"/>
  <c r="O199"/>
  <c r="X225"/>
  <c r="X147"/>
  <c r="X179"/>
  <c r="X199"/>
  <c r="I225"/>
  <c r="I147"/>
  <c r="I179"/>
  <c r="I199"/>
  <c r="N225"/>
  <c r="N253"/>
  <c r="N277"/>
  <c r="N147"/>
  <c r="N179"/>
  <c r="N199"/>
  <c r="R225"/>
  <c r="R253"/>
  <c r="R277"/>
  <c r="R147"/>
  <c r="R179"/>
  <c r="R199"/>
  <c r="W225"/>
  <c r="W147"/>
  <c r="W179"/>
  <c r="W199"/>
  <c r="L225"/>
  <c r="L310"/>
  <c r="L342"/>
  <c r="L369"/>
  <c r="L147"/>
  <c r="L179"/>
  <c r="L199"/>
  <c r="Q225"/>
  <c r="Q253"/>
  <c r="Q277"/>
  <c r="Q147"/>
  <c r="Q179"/>
  <c r="Q199"/>
  <c r="V225"/>
  <c r="V147"/>
  <c r="V179"/>
  <c r="V199"/>
  <c r="G225"/>
  <c r="G253"/>
  <c r="G277"/>
  <c r="G147"/>
  <c r="G179"/>
  <c r="G199"/>
  <c r="K225"/>
  <c r="K253"/>
  <c r="K277"/>
  <c r="K147"/>
  <c r="K179"/>
  <c r="K199"/>
  <c r="P225"/>
  <c r="P253"/>
  <c r="P277"/>
  <c r="P147"/>
  <c r="P179"/>
  <c r="P199"/>
  <c r="U225"/>
  <c r="U147"/>
  <c r="U179"/>
  <c r="U199"/>
  <c r="B229"/>
  <c r="H225"/>
  <c r="H253"/>
  <c r="H277"/>
  <c r="H147"/>
  <c r="H179"/>
  <c r="H199"/>
  <c r="T225"/>
  <c r="T310"/>
  <c r="T342"/>
  <c r="T147"/>
  <c r="T179"/>
  <c r="T199"/>
  <c r="S225"/>
  <c r="S253"/>
  <c r="S277"/>
  <c r="S147"/>
  <c r="S179"/>
  <c r="S199"/>
  <c r="B238"/>
  <c r="B235"/>
  <c r="F129"/>
  <c r="AA99"/>
  <c r="AA98"/>
  <c r="AA97"/>
  <c r="AA96"/>
  <c r="K97"/>
  <c r="K96"/>
  <c r="K95"/>
  <c r="I99"/>
  <c r="AA124"/>
  <c r="AA115"/>
  <c r="AA114"/>
  <c r="AA113"/>
  <c r="AA112"/>
  <c r="AA111"/>
  <c r="AA110"/>
  <c r="AA78"/>
  <c r="AA77"/>
  <c r="AA76"/>
  <c r="AA75"/>
  <c r="AA74"/>
  <c r="AA73"/>
  <c r="AA72"/>
  <c r="AA55"/>
  <c r="AA54"/>
  <c r="AA50"/>
  <c r="O183" i="70"/>
  <c r="O182"/>
  <c r="O181"/>
  <c r="O180"/>
  <c r="O179"/>
  <c r="B73" i="18"/>
  <c r="O178" i="70"/>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E179"/>
  <c r="E172"/>
  <c r="C172"/>
  <c r="O121"/>
  <c r="O120"/>
  <c r="O119"/>
  <c r="O118"/>
  <c r="O117"/>
  <c r="O116"/>
  <c r="O115"/>
  <c r="O114"/>
  <c r="G235" i="66"/>
  <c r="G233"/>
  <c r="U310" i="18"/>
  <c r="U342"/>
  <c r="U369"/>
  <c r="U253"/>
  <c r="U277"/>
  <c r="V310"/>
  <c r="V342"/>
  <c r="V369"/>
  <c r="V253"/>
  <c r="V277"/>
  <c r="I310"/>
  <c r="I342"/>
  <c r="I369"/>
  <c r="I253"/>
  <c r="I277"/>
  <c r="W310"/>
  <c r="W342"/>
  <c r="W369"/>
  <c r="W253"/>
  <c r="W277"/>
  <c r="X310"/>
  <c r="X342"/>
  <c r="X369"/>
  <c r="X253"/>
  <c r="X277"/>
  <c r="P310"/>
  <c r="P342"/>
  <c r="P369"/>
  <c r="P452"/>
  <c r="G310"/>
  <c r="G342"/>
  <c r="G369"/>
  <c r="G452"/>
  <c r="Q310"/>
  <c r="Q342"/>
  <c r="Q369"/>
  <c r="Q452"/>
  <c r="N310"/>
  <c r="N342"/>
  <c r="N369"/>
  <c r="N452"/>
  <c r="J310"/>
  <c r="J342"/>
  <c r="J369"/>
  <c r="J452"/>
  <c r="S310"/>
  <c r="S342"/>
  <c r="S369"/>
  <c r="S452"/>
  <c r="H310"/>
  <c r="H342"/>
  <c r="H369"/>
  <c r="H452"/>
  <c r="K310"/>
  <c r="K342"/>
  <c r="K369"/>
  <c r="K452"/>
  <c r="R310"/>
  <c r="R342"/>
  <c r="R369"/>
  <c r="R452"/>
  <c r="O310"/>
  <c r="O342"/>
  <c r="O369"/>
  <c r="O452"/>
  <c r="M310"/>
  <c r="M342"/>
  <c r="M369"/>
  <c r="M452"/>
  <c r="B319"/>
  <c r="B168"/>
  <c r="M136"/>
  <c r="B116"/>
  <c r="B123"/>
  <c r="C179" i="70"/>
  <c r="E183"/>
  <c r="B55" i="18"/>
  <c r="B54"/>
  <c r="S52"/>
  <c r="S51"/>
  <c r="R52"/>
  <c r="R51"/>
  <c r="C183" i="70"/>
  <c r="AA104" i="18"/>
  <c r="AA105"/>
  <c r="AA103"/>
  <c r="B106"/>
  <c r="AA102"/>
  <c r="AA101"/>
  <c r="AA100"/>
  <c r="AA106"/>
  <c r="AA89"/>
  <c r="AA88"/>
  <c r="AA87"/>
  <c r="F128"/>
  <c r="B120"/>
  <c r="B92"/>
  <c r="B94"/>
  <c r="B104"/>
  <c r="AA86"/>
  <c r="F127"/>
  <c r="AA84"/>
  <c r="AA83"/>
  <c r="B331"/>
  <c r="AA82"/>
  <c r="AA81"/>
  <c r="AA80"/>
  <c r="AA79"/>
  <c r="AA90"/>
  <c r="AA95"/>
  <c r="AA71"/>
  <c r="O187" i="70"/>
  <c r="O188"/>
  <c r="AA69" i="18"/>
  <c r="AA67"/>
  <c r="AA66"/>
  <c r="AA65"/>
  <c r="AA63"/>
  <c r="AA44"/>
  <c r="O59" i="8"/>
  <c r="B150" i="18"/>
  <c r="O75" i="9"/>
  <c r="O66" i="8"/>
  <c r="O65"/>
  <c r="O64"/>
  <c r="O38"/>
  <c r="O37"/>
  <c r="O36"/>
  <c r="O35"/>
  <c r="O108" i="72"/>
  <c r="O107"/>
  <c r="O105"/>
  <c r="O100"/>
  <c r="B86" i="18"/>
  <c r="F65" i="8"/>
  <c r="H271" i="66"/>
  <c r="F63" i="8"/>
  <c r="H176" i="18"/>
  <c r="B42" i="8"/>
  <c r="K57"/>
  <c r="H121" i="18"/>
  <c r="B142"/>
  <c r="B102"/>
  <c r="B100"/>
  <c r="M95"/>
  <c r="B84"/>
  <c r="G105" i="72"/>
  <c r="G107"/>
  <c r="H105"/>
  <c r="K105"/>
  <c r="I105"/>
  <c r="H69" i="5"/>
  <c r="E84" i="72"/>
  <c r="D84"/>
  <c r="O67"/>
  <c r="L115" i="27"/>
  <c r="I181" i="9"/>
  <c r="I181" i="8"/>
  <c r="L123" i="27"/>
  <c r="L122"/>
  <c r="L121"/>
  <c r="L120"/>
  <c r="L119"/>
  <c r="L118"/>
  <c r="L117"/>
  <c r="E120"/>
  <c r="I120"/>
  <c r="H120"/>
  <c r="G120"/>
  <c r="L127"/>
  <c r="L126"/>
  <c r="L125"/>
  <c r="L129"/>
  <c r="L128"/>
  <c r="L124"/>
  <c r="B137"/>
  <c r="L116"/>
  <c r="L114"/>
  <c r="L113"/>
  <c r="L112"/>
  <c r="L111"/>
  <c r="L110"/>
  <c r="L109"/>
  <c r="L108"/>
  <c r="L107"/>
  <c r="L106"/>
  <c r="L105"/>
  <c r="L104"/>
  <c r="L103"/>
  <c r="L98"/>
  <c r="L97"/>
  <c r="L96"/>
  <c r="L95"/>
  <c r="L94"/>
  <c r="L93"/>
  <c r="L85"/>
  <c r="L84"/>
  <c r="L83"/>
  <c r="L82"/>
  <c r="L81"/>
  <c r="L80"/>
  <c r="L79"/>
  <c r="L78"/>
  <c r="L131"/>
  <c r="L130"/>
  <c r="L102"/>
  <c r="L92"/>
  <c r="L91"/>
  <c r="L90"/>
  <c r="L89"/>
  <c r="L88"/>
  <c r="L87"/>
  <c r="L86"/>
  <c r="L77"/>
  <c r="L76"/>
  <c r="L75"/>
  <c r="L74"/>
  <c r="L73"/>
  <c r="L72"/>
  <c r="L71"/>
  <c r="L70"/>
  <c r="L48"/>
  <c r="L47"/>
  <c r="M78" i="8"/>
  <c r="B114" i="27"/>
  <c r="B103"/>
  <c r="B113"/>
  <c r="O288" i="9"/>
  <c r="O287"/>
  <c r="O286"/>
  <c r="O285"/>
  <c r="O284"/>
  <c r="O286" i="8"/>
  <c r="O285"/>
  <c r="L67" i="5"/>
  <c r="O284" i="8"/>
  <c r="L109" i="30"/>
  <c r="L80"/>
  <c r="L79"/>
  <c r="L78"/>
  <c r="L77"/>
  <c r="B109"/>
  <c r="N63" i="5"/>
  <c r="L74" i="30"/>
  <c r="L76"/>
  <c r="L75"/>
  <c r="L73"/>
  <c r="L72"/>
  <c r="B75"/>
  <c r="L71"/>
  <c r="H74"/>
  <c r="H77" s="1"/>
  <c r="I613" i="66" s="1"/>
  <c r="O390" i="7"/>
  <c r="B290" i="9"/>
  <c r="G300"/>
  <c r="H284" i="8"/>
  <c r="H284" i="9"/>
  <c r="J74" i="30"/>
  <c r="I74"/>
  <c r="I77" s="1"/>
  <c r="M299" i="67"/>
  <c r="L299"/>
  <c r="O258"/>
  <c r="O257"/>
  <c r="O247"/>
  <c r="O244"/>
  <c r="O240"/>
  <c r="J295"/>
  <c r="J302"/>
  <c r="H295"/>
  <c r="H302"/>
  <c r="O275"/>
  <c r="O274"/>
  <c r="J274"/>
  <c r="J276"/>
  <c r="H274"/>
  <c r="H276"/>
  <c r="J272"/>
  <c r="J245"/>
  <c r="J259"/>
  <c r="N259"/>
  <c r="H259"/>
  <c r="L259"/>
  <c r="N255"/>
  <c r="L255"/>
  <c r="I255"/>
  <c r="M255"/>
  <c r="N252"/>
  <c r="N272"/>
  <c r="N241"/>
  <c r="N238"/>
  <c r="N295"/>
  <c r="N302"/>
  <c r="H252"/>
  <c r="H272"/>
  <c r="N250"/>
  <c r="L250"/>
  <c r="I241"/>
  <c r="I274"/>
  <c r="I238"/>
  <c r="I295"/>
  <c r="I302"/>
  <c r="I250"/>
  <c r="M250"/>
  <c r="O55"/>
  <c r="O27"/>
  <c r="N274"/>
  <c r="N276"/>
  <c r="I276"/>
  <c r="J261"/>
  <c r="H270"/>
  <c r="N245"/>
  <c r="N261"/>
  <c r="J270"/>
  <c r="I259"/>
  <c r="O214"/>
  <c r="O338"/>
  <c r="O337"/>
  <c r="O336"/>
  <c r="O335"/>
  <c r="O334"/>
  <c r="O333"/>
  <c r="O332"/>
  <c r="O331"/>
  <c r="O330"/>
  <c r="O329"/>
  <c r="O328"/>
  <c r="O327"/>
  <c r="O326"/>
  <c r="O325"/>
  <c r="O324"/>
  <c r="O323"/>
  <c r="O322"/>
  <c r="O321"/>
  <c r="O320"/>
  <c r="O319"/>
  <c r="O318"/>
  <c r="O317"/>
  <c r="O316"/>
  <c r="O315"/>
  <c r="O314"/>
  <c r="O313"/>
  <c r="O312"/>
  <c r="O311"/>
  <c r="O310"/>
  <c r="O309"/>
  <c r="O308"/>
  <c r="O307"/>
  <c r="N307"/>
  <c r="I307"/>
  <c r="M307"/>
  <c r="H307"/>
  <c r="L307"/>
  <c r="O306"/>
  <c r="O305"/>
  <c r="O304"/>
  <c r="O303"/>
  <c r="O302"/>
  <c r="O301"/>
  <c r="O300"/>
  <c r="O299"/>
  <c r="O298"/>
  <c r="O297"/>
  <c r="O296"/>
  <c r="O295"/>
  <c r="B303"/>
  <c r="O294"/>
  <c r="O293"/>
  <c r="O292"/>
  <c r="M292"/>
  <c r="L292"/>
  <c r="O291"/>
  <c r="O290"/>
  <c r="O289"/>
  <c r="O288"/>
  <c r="O287"/>
  <c r="O285"/>
  <c r="O283"/>
  <c r="O282"/>
  <c r="O281"/>
  <c r="O280"/>
  <c r="O279"/>
  <c r="O278"/>
  <c r="O277"/>
  <c r="O276"/>
  <c r="O273"/>
  <c r="O272"/>
  <c r="O271"/>
  <c r="O270"/>
  <c r="O269"/>
  <c r="O268"/>
  <c r="O267"/>
  <c r="O266"/>
  <c r="O265"/>
  <c r="O264"/>
  <c r="O263"/>
  <c r="O262"/>
  <c r="O261"/>
  <c r="O260"/>
  <c r="O259"/>
  <c r="O256"/>
  <c r="O255"/>
  <c r="O254"/>
  <c r="O246"/>
  <c r="O245"/>
  <c r="O243"/>
  <c r="O242"/>
  <c r="B275"/>
  <c r="O241"/>
  <c r="O239"/>
  <c r="O238"/>
  <c r="L238"/>
  <c r="L295"/>
  <c r="L302"/>
  <c r="O237"/>
  <c r="O253"/>
  <c r="O252"/>
  <c r="O251"/>
  <c r="O250"/>
  <c r="O249"/>
  <c r="O248"/>
  <c r="B260"/>
  <c r="O236"/>
  <c r="O235"/>
  <c r="O234"/>
  <c r="O233"/>
  <c r="O232"/>
  <c r="O231"/>
  <c r="O230"/>
  <c r="O229"/>
  <c r="O228"/>
  <c r="O227"/>
  <c r="O226"/>
  <c r="O225"/>
  <c r="O224"/>
  <c r="O223"/>
  <c r="O222"/>
  <c r="O221"/>
  <c r="O220"/>
  <c r="O219"/>
  <c r="O218"/>
  <c r="O217"/>
  <c r="O216"/>
  <c r="O215"/>
  <c r="J152"/>
  <c r="J112"/>
  <c r="B285"/>
  <c r="N270"/>
  <c r="N277"/>
  <c r="J277"/>
  <c r="L270"/>
  <c r="H277"/>
  <c r="B262"/>
  <c r="M259"/>
  <c r="I270"/>
  <c r="L252"/>
  <c r="B305"/>
  <c r="B246"/>
  <c r="I245"/>
  <c r="M238"/>
  <c r="M295"/>
  <c r="M302"/>
  <c r="H245"/>
  <c r="H261"/>
  <c r="O32"/>
  <c r="O185"/>
  <c r="O184"/>
  <c r="M169"/>
  <c r="L169"/>
  <c r="I169"/>
  <c r="H169"/>
  <c r="O162"/>
  <c r="O161"/>
  <c r="O160"/>
  <c r="O159"/>
  <c r="O141"/>
  <c r="O140"/>
  <c r="J124"/>
  <c r="O116"/>
  <c r="O139"/>
  <c r="O138"/>
  <c r="O137"/>
  <c r="O136"/>
  <c r="O135"/>
  <c r="O134"/>
  <c r="O133"/>
  <c r="O132"/>
  <c r="O131"/>
  <c r="O130"/>
  <c r="O129"/>
  <c r="O128"/>
  <c r="O127"/>
  <c r="O126"/>
  <c r="O125"/>
  <c r="O124"/>
  <c r="O123"/>
  <c r="O122"/>
  <c r="O121"/>
  <c r="O120"/>
  <c r="O119"/>
  <c r="O118"/>
  <c r="O117"/>
  <c r="O115"/>
  <c r="O114"/>
  <c r="O113"/>
  <c r="O112"/>
  <c r="O111"/>
  <c r="O110"/>
  <c r="O109"/>
  <c r="O108"/>
  <c r="O107"/>
  <c r="O106"/>
  <c r="O105"/>
  <c r="B127"/>
  <c r="O104"/>
  <c r="O103"/>
  <c r="O102"/>
  <c r="O101"/>
  <c r="O100"/>
  <c r="O99"/>
  <c r="O98"/>
  <c r="O97"/>
  <c r="O96"/>
  <c r="B131"/>
  <c r="O95"/>
  <c r="O94"/>
  <c r="O93"/>
  <c r="O92"/>
  <c r="O91"/>
  <c r="O90"/>
  <c r="O89"/>
  <c r="O88"/>
  <c r="B253"/>
  <c r="O87"/>
  <c r="O86"/>
  <c r="O85"/>
  <c r="O84"/>
  <c r="O83"/>
  <c r="O82"/>
  <c r="B89"/>
  <c r="O81"/>
  <c r="O80"/>
  <c r="O79"/>
  <c r="O78"/>
  <c r="N86"/>
  <c r="N110"/>
  <c r="N124"/>
  <c r="M110"/>
  <c r="L110"/>
  <c r="J136"/>
  <c r="N135"/>
  <c r="M135"/>
  <c r="H135"/>
  <c r="J134"/>
  <c r="J125"/>
  <c r="H125"/>
  <c r="J123"/>
  <c r="I123"/>
  <c r="H123"/>
  <c r="H134"/>
  <c r="O58"/>
  <c r="O57"/>
  <c r="B10"/>
  <c r="O56"/>
  <c r="O26"/>
  <c r="O25"/>
  <c r="O10"/>
  <c r="O9"/>
  <c r="O8"/>
  <c r="O7"/>
  <c r="O6"/>
  <c r="O5"/>
  <c r="O4"/>
  <c r="O213"/>
  <c r="B15"/>
  <c r="O212"/>
  <c r="O211"/>
  <c r="Q226" i="6"/>
  <c r="Q251"/>
  <c r="Q250"/>
  <c r="Q257"/>
  <c r="Q256"/>
  <c r="Q262"/>
  <c r="Q261"/>
  <c r="Q260"/>
  <c r="M50" i="4"/>
  <c r="M42"/>
  <c r="Q239" i="6"/>
  <c r="Q238"/>
  <c r="Q237"/>
  <c r="Q236"/>
  <c r="Q235"/>
  <c r="N143" i="5"/>
  <c r="N142"/>
  <c r="N141"/>
  <c r="B236" i="6"/>
  <c r="J232"/>
  <c r="Q240"/>
  <c r="Q234"/>
  <c r="Q233"/>
  <c r="Q232"/>
  <c r="Q231"/>
  <c r="Q230"/>
  <c r="Q229"/>
  <c r="Q228"/>
  <c r="N116" i="5"/>
  <c r="N114"/>
  <c r="C33" i="71"/>
  <c r="C29"/>
  <c r="M115" i="5"/>
  <c r="N115"/>
  <c r="O47" i="62"/>
  <c r="O46"/>
  <c r="O45"/>
  <c r="N83" i="5"/>
  <c r="N86"/>
  <c r="N87"/>
  <c r="O159" i="23"/>
  <c r="O158"/>
  <c r="O157"/>
  <c r="O156"/>
  <c r="B161"/>
  <c r="O153"/>
  <c r="O152"/>
  <c r="O151"/>
  <c r="O150"/>
  <c r="B155"/>
  <c r="O124"/>
  <c r="O123"/>
  <c r="O122"/>
  <c r="O121"/>
  <c r="O120"/>
  <c r="O117"/>
  <c r="O107"/>
  <c r="O105"/>
  <c r="O104"/>
  <c r="O90"/>
  <c r="O89"/>
  <c r="O88"/>
  <c r="O87"/>
  <c r="O86"/>
  <c r="O85"/>
  <c r="O84"/>
  <c r="O91"/>
  <c r="O83"/>
  <c r="O82"/>
  <c r="O81"/>
  <c r="O80"/>
  <c r="O79"/>
  <c r="O73"/>
  <c r="O71"/>
  <c r="O70"/>
  <c r="O66"/>
  <c r="L113" i="5"/>
  <c r="O65" i="23"/>
  <c r="O64"/>
  <c r="O63"/>
  <c r="O62"/>
  <c r="O61"/>
  <c r="O60"/>
  <c r="B87"/>
  <c r="O59"/>
  <c r="O58"/>
  <c r="O50"/>
  <c r="O49"/>
  <c r="O43"/>
  <c r="O42"/>
  <c r="B159"/>
  <c r="F207" i="18"/>
  <c r="B123" i="23"/>
  <c r="B153"/>
  <c r="M270" i="67"/>
  <c r="L272"/>
  <c r="B115"/>
  <c r="L88"/>
  <c r="L134"/>
  <c r="B239" i="6"/>
  <c r="B121" i="23"/>
  <c r="B112"/>
  <c r="B91"/>
  <c r="B89"/>
  <c r="B61"/>
  <c r="O490" i="19"/>
  <c r="O484"/>
  <c r="O483"/>
  <c r="O474"/>
  <c r="O473"/>
  <c r="O472"/>
  <c r="O468"/>
  <c r="O467"/>
  <c r="O466"/>
  <c r="O465"/>
  <c r="O464"/>
  <c r="O463"/>
  <c r="O462"/>
  <c r="O461"/>
  <c r="B464"/>
  <c r="O460"/>
  <c r="O459"/>
  <c r="O458"/>
  <c r="O495"/>
  <c r="O494"/>
  <c r="O493"/>
  <c r="O492"/>
  <c r="O491"/>
  <c r="O489"/>
  <c r="O488"/>
  <c r="O487"/>
  <c r="O415"/>
  <c r="O414"/>
  <c r="O413"/>
  <c r="O402"/>
  <c r="O401"/>
  <c r="O411"/>
  <c r="O410"/>
  <c r="O398"/>
  <c r="O397"/>
  <c r="O148"/>
  <c r="O147"/>
  <c r="O232"/>
  <c r="O238"/>
  <c r="O237"/>
  <c r="O236"/>
  <c r="O235"/>
  <c r="O234"/>
  <c r="O233"/>
  <c r="O231"/>
  <c r="O230"/>
  <c r="O229"/>
  <c r="O228"/>
  <c r="O227"/>
  <c r="O226"/>
  <c r="O225"/>
  <c r="O218"/>
  <c r="O217"/>
  <c r="O216"/>
  <c r="O215"/>
  <c r="O245" i="62"/>
  <c r="O244"/>
  <c r="O197" i="19"/>
  <c r="O196"/>
  <c r="O195"/>
  <c r="O194"/>
  <c r="O193"/>
  <c r="O192"/>
  <c r="O191"/>
  <c r="O190"/>
  <c r="O189"/>
  <c r="O188"/>
  <c r="O187"/>
  <c r="O186"/>
  <c r="O185"/>
  <c r="O184"/>
  <c r="O183"/>
  <c r="O182"/>
  <c r="O181"/>
  <c r="O180"/>
  <c r="O179"/>
  <c r="O178"/>
  <c r="O177"/>
  <c r="O176"/>
  <c r="O175"/>
  <c r="N117" i="5"/>
  <c r="N113"/>
  <c r="N112"/>
  <c r="N111"/>
  <c r="O168" i="19"/>
  <c r="O167"/>
  <c r="O166"/>
  <c r="O165"/>
  <c r="O146"/>
  <c r="O145"/>
  <c r="O144"/>
  <c r="O154"/>
  <c r="O153"/>
  <c r="O152"/>
  <c r="O141"/>
  <c r="O140"/>
  <c r="O70" i="62"/>
  <c r="O69"/>
  <c r="O68"/>
  <c r="O67"/>
  <c r="O66"/>
  <c r="O65"/>
  <c r="O64"/>
  <c r="O63"/>
  <c r="O62"/>
  <c r="O61"/>
  <c r="O60"/>
  <c r="O59"/>
  <c r="O58"/>
  <c r="K62"/>
  <c r="M62"/>
  <c r="K61"/>
  <c r="M61"/>
  <c r="Z28"/>
  <c r="Y28"/>
  <c r="Z27"/>
  <c r="Y27"/>
  <c r="U28"/>
  <c r="T28"/>
  <c r="U27"/>
  <c r="T27"/>
  <c r="J62"/>
  <c r="L62"/>
  <c r="J61"/>
  <c r="J79" i="5"/>
  <c r="G54" i="29"/>
  <c r="O151" i="25"/>
  <c r="O150"/>
  <c r="C414" s="1"/>
  <c r="O149"/>
  <c r="O66"/>
  <c r="O65"/>
  <c r="O57"/>
  <c r="O56"/>
  <c r="M54"/>
  <c r="E65" s="1"/>
  <c r="H65" s="1"/>
  <c r="M53"/>
  <c r="D65" s="1"/>
  <c r="C65"/>
  <c r="B65"/>
  <c r="B64"/>
  <c r="G64" s="1"/>
  <c r="O96"/>
  <c r="O95"/>
  <c r="O152"/>
  <c r="O148"/>
  <c r="O147"/>
  <c r="O146"/>
  <c r="B149" s="1"/>
  <c r="O145"/>
  <c r="O144"/>
  <c r="O143"/>
  <c r="O140"/>
  <c r="O139"/>
  <c r="B147" s="1"/>
  <c r="O138"/>
  <c r="O137"/>
  <c r="B140" s="1"/>
  <c r="O136"/>
  <c r="O135"/>
  <c r="O134"/>
  <c r="O133"/>
  <c r="K54"/>
  <c r="E63" s="1"/>
  <c r="H63" s="1"/>
  <c r="K53"/>
  <c r="D63" s="1"/>
  <c r="C63"/>
  <c r="B63"/>
  <c r="B62"/>
  <c r="G62" s="1"/>
  <c r="O55"/>
  <c r="O54"/>
  <c r="O53"/>
  <c r="O52"/>
  <c r="I45"/>
  <c r="I44"/>
  <c r="O67"/>
  <c r="O64"/>
  <c r="B106" s="1"/>
  <c r="O63"/>
  <c r="O62"/>
  <c r="O61"/>
  <c r="O60"/>
  <c r="O59"/>
  <c r="O58"/>
  <c r="O51"/>
  <c r="O50"/>
  <c r="E52" s="1"/>
  <c r="O49"/>
  <c r="J53"/>
  <c r="D62" s="1"/>
  <c r="J54"/>
  <c r="E62" s="1"/>
  <c r="H62" s="1"/>
  <c r="M42"/>
  <c r="L42"/>
  <c r="N41"/>
  <c r="N42" s="1"/>
  <c r="O43"/>
  <c r="O42"/>
  <c r="C411" s="1"/>
  <c r="O41"/>
  <c r="O40"/>
  <c r="O39"/>
  <c r="M32"/>
  <c r="L32"/>
  <c r="N31"/>
  <c r="N32" s="1"/>
  <c r="O48"/>
  <c r="O47"/>
  <c r="O46"/>
  <c r="O45"/>
  <c r="O44"/>
  <c r="O38"/>
  <c r="O37"/>
  <c r="B136" s="1"/>
  <c r="O36"/>
  <c r="O35"/>
  <c r="O34"/>
  <c r="O33"/>
  <c r="O32"/>
  <c r="O31"/>
  <c r="O30"/>
  <c r="C42" s="1"/>
  <c r="O29"/>
  <c r="O28"/>
  <c r="O27"/>
  <c r="O26"/>
  <c r="O128" i="72"/>
  <c r="O120"/>
  <c r="J63" i="62"/>
  <c r="L63"/>
  <c r="B67" i="23"/>
  <c r="L61" i="62"/>
  <c r="B486" i="19"/>
  <c r="B492"/>
  <c r="K413"/>
  <c r="B439"/>
  <c r="K414"/>
  <c r="K402"/>
  <c r="J231"/>
  <c r="K401"/>
  <c r="L148"/>
  <c r="B191"/>
  <c r="L147"/>
  <c r="K63" i="62"/>
  <c r="M63"/>
  <c r="B189" i="19"/>
  <c r="B172"/>
  <c r="B170"/>
  <c r="G63" i="25"/>
  <c r="G65"/>
  <c r="N135"/>
  <c r="O127" i="72"/>
  <c r="O126"/>
  <c r="O125"/>
  <c r="O124"/>
  <c r="O123"/>
  <c r="O122"/>
  <c r="O121"/>
  <c r="O119"/>
  <c r="O118"/>
  <c r="O117"/>
  <c r="O116"/>
  <c r="O115"/>
  <c r="O114"/>
  <c r="O113"/>
  <c r="O112"/>
  <c r="O111"/>
  <c r="O110"/>
  <c r="O109"/>
  <c r="D117"/>
  <c r="J125"/>
  <c r="I125"/>
  <c r="H125"/>
  <c r="G125"/>
  <c r="F125"/>
  <c r="E125"/>
  <c r="D125"/>
  <c r="J123"/>
  <c r="I123"/>
  <c r="H123"/>
  <c r="G123"/>
  <c r="F123"/>
  <c r="E123"/>
  <c r="J117"/>
  <c r="I117"/>
  <c r="H117"/>
  <c r="G117"/>
  <c r="E117"/>
  <c r="J113"/>
  <c r="I113"/>
  <c r="G115"/>
  <c r="F115"/>
  <c r="E115"/>
  <c r="D115"/>
  <c r="F117"/>
  <c r="E113"/>
  <c r="F113"/>
  <c r="G113"/>
  <c r="H113"/>
  <c r="L64" i="62"/>
  <c r="J64" s="1"/>
  <c r="N280" i="67"/>
  <c r="H115" i="72"/>
  <c r="I115"/>
  <c r="J115"/>
  <c r="O102"/>
  <c r="O101"/>
  <c r="O99"/>
  <c r="O98"/>
  <c r="O88"/>
  <c r="O87"/>
  <c r="O86"/>
  <c r="O85"/>
  <c r="O60"/>
  <c r="O4"/>
  <c r="O97"/>
  <c r="O96"/>
  <c r="O95"/>
  <c r="O94"/>
  <c r="O93"/>
  <c r="O78"/>
  <c r="O77"/>
  <c r="O76"/>
  <c r="O74"/>
  <c r="O73"/>
  <c r="O61"/>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E51"/>
  <c r="O130"/>
  <c r="O129"/>
  <c r="O47"/>
  <c r="O46"/>
  <c r="O45"/>
  <c r="O44"/>
  <c r="O43"/>
  <c r="O42"/>
  <c r="O50"/>
  <c r="O49"/>
  <c r="O48"/>
  <c r="O41"/>
  <c r="O40"/>
  <c r="O39"/>
  <c r="O38"/>
  <c r="O37"/>
  <c r="O36"/>
  <c r="O35"/>
  <c r="O34"/>
  <c r="O10"/>
  <c r="O9"/>
  <c r="O8"/>
  <c r="O7"/>
  <c r="O6"/>
  <c r="O106"/>
  <c r="O104"/>
  <c r="O103"/>
  <c r="O92"/>
  <c r="O91"/>
  <c r="O90"/>
  <c r="O89"/>
  <c r="O84"/>
  <c r="O83"/>
  <c r="O79"/>
  <c r="O75"/>
  <c r="O72"/>
  <c r="O71"/>
  <c r="O70"/>
  <c r="O69"/>
  <c r="O68"/>
  <c r="O66"/>
  <c r="H89"/>
  <c r="G89"/>
  <c r="F89"/>
  <c r="E89"/>
  <c r="D89"/>
  <c r="J162"/>
  <c r="J161"/>
  <c r="J160"/>
  <c r="J159"/>
  <c r="J158"/>
  <c r="J157"/>
  <c r="J156"/>
  <c r="J155"/>
  <c r="J154"/>
  <c r="J153"/>
  <c r="J152"/>
  <c r="J151"/>
  <c r="J150"/>
  <c r="J149"/>
  <c r="J148"/>
  <c r="J147"/>
  <c r="J146"/>
  <c r="J145"/>
  <c r="J144"/>
  <c r="J143"/>
  <c r="J142"/>
  <c r="J141"/>
  <c r="J140"/>
  <c r="J139"/>
  <c r="J138"/>
  <c r="B93"/>
  <c r="B57"/>
  <c r="I71"/>
  <c r="I69"/>
  <c r="E163"/>
  <c r="E56"/>
  <c r="O65"/>
  <c r="O64"/>
  <c r="O63"/>
  <c r="B74"/>
  <c r="O62"/>
  <c r="O59"/>
  <c r="O58"/>
  <c r="O57"/>
  <c r="O56"/>
  <c r="E129"/>
  <c r="O55"/>
  <c r="O54"/>
  <c r="O53"/>
  <c r="O52"/>
  <c r="O51"/>
  <c r="O33"/>
  <c r="O32"/>
  <c r="B276" i="66"/>
  <c r="O31" i="72"/>
  <c r="O30"/>
  <c r="O29"/>
  <c r="O28"/>
  <c r="O27"/>
  <c r="O26"/>
  <c r="O25"/>
  <c r="O24"/>
  <c r="O23"/>
  <c r="O22"/>
  <c r="O21"/>
  <c r="O20"/>
  <c r="O19"/>
  <c r="O18"/>
  <c r="O17"/>
  <c r="O16"/>
  <c r="O15"/>
  <c r="O14"/>
  <c r="O13"/>
  <c r="O12"/>
  <c r="O11"/>
  <c r="O5"/>
  <c r="O3"/>
  <c r="O2"/>
  <c r="O1"/>
  <c r="H163"/>
  <c r="H56"/>
  <c r="G163"/>
  <c r="G56"/>
  <c r="F163"/>
  <c r="F56"/>
  <c r="D163"/>
  <c r="D56"/>
  <c r="I2"/>
  <c r="O212" i="26"/>
  <c r="O77"/>
  <c r="O76"/>
  <c r="O75"/>
  <c r="O8"/>
  <c r="O37"/>
  <c r="O36"/>
  <c r="O35"/>
  <c r="O34"/>
  <c r="O33"/>
  <c r="O32"/>
  <c r="O31"/>
  <c r="O30"/>
  <c r="O29"/>
  <c r="O28"/>
  <c r="O27"/>
  <c r="O26"/>
  <c r="O25"/>
  <c r="O24"/>
  <c r="O21"/>
  <c r="O18"/>
  <c r="O17"/>
  <c r="J56" i="72"/>
  <c r="J163"/>
  <c r="H165"/>
  <c r="J71"/>
  <c r="J69"/>
  <c r="I70"/>
  <c r="I89"/>
  <c r="O139" i="13"/>
  <c r="O138"/>
  <c r="O137"/>
  <c r="O136"/>
  <c r="O135"/>
  <c r="O132"/>
  <c r="O131"/>
  <c r="O134"/>
  <c r="O140"/>
  <c r="O133"/>
  <c r="O130"/>
  <c r="O129"/>
  <c r="O128"/>
  <c r="O127"/>
  <c r="O12" i="26"/>
  <c r="O11"/>
  <c r="O55" i="13"/>
  <c r="O54"/>
  <c r="O160"/>
  <c r="O159"/>
  <c r="O158"/>
  <c r="O157"/>
  <c r="O156"/>
  <c r="O155"/>
  <c r="O154"/>
  <c r="O153"/>
  <c r="O152"/>
  <c r="O151"/>
  <c r="O150"/>
  <c r="O149"/>
  <c r="O148"/>
  <c r="O147"/>
  <c r="O146"/>
  <c r="O145"/>
  <c r="F82" i="4"/>
  <c r="O144" i="13"/>
  <c r="N144"/>
  <c r="O143"/>
  <c r="O142"/>
  <c r="O141"/>
  <c r="O126"/>
  <c r="O125"/>
  <c r="AW812" i="9"/>
  <c r="K89" i="72"/>
  <c r="J89"/>
  <c r="I90"/>
  <c r="G72"/>
  <c r="D72"/>
  <c r="F72"/>
  <c r="H72"/>
  <c r="E72"/>
  <c r="I72"/>
  <c r="F70"/>
  <c r="D70"/>
  <c r="G70"/>
  <c r="E70"/>
  <c r="H70"/>
  <c r="D164"/>
  <c r="D165"/>
  <c r="F164"/>
  <c r="E164"/>
  <c r="F165"/>
  <c r="G164"/>
  <c r="H164"/>
  <c r="G165"/>
  <c r="J165"/>
  <c r="G91"/>
  <c r="H275" i="66"/>
  <c r="F91" i="72"/>
  <c r="G275" i="66"/>
  <c r="E91" i="72"/>
  <c r="F275" i="66"/>
  <c r="H91" i="72"/>
  <c r="I275" i="66"/>
  <c r="J72" i="72"/>
  <c r="E90"/>
  <c r="G90"/>
  <c r="F90"/>
  <c r="H90"/>
  <c r="D90"/>
  <c r="J164"/>
  <c r="J70"/>
  <c r="I91"/>
  <c r="J275" i="66"/>
  <c r="D166" i="72"/>
  <c r="F166"/>
  <c r="Q395" i="6"/>
  <c r="Q372"/>
  <c r="Q339"/>
  <c r="Q331"/>
  <c r="Q323"/>
  <c r="Q317"/>
  <c r="F313"/>
  <c r="F315" s="1"/>
  <c r="Q241"/>
  <c r="Q242"/>
  <c r="Q243"/>
  <c r="Q244"/>
  <c r="Q245"/>
  <c r="Q246"/>
  <c r="Q247"/>
  <c r="Q248"/>
  <c r="P250"/>
  <c r="I271"/>
  <c r="Q249"/>
  <c r="Q252"/>
  <c r="Q253"/>
  <c r="Q254"/>
  <c r="B261"/>
  <c r="Q255"/>
  <c r="Q258"/>
  <c r="Q259"/>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B249"/>
  <c r="Q308"/>
  <c r="Q309"/>
  <c r="Q310"/>
  <c r="Q311"/>
  <c r="B52" i="66"/>
  <c r="Q312" i="6"/>
  <c r="Q313"/>
  <c r="B316"/>
  <c r="Q314"/>
  <c r="Q315"/>
  <c r="Q316"/>
  <c r="Q318"/>
  <c r="Q319"/>
  <c r="Q320"/>
  <c r="Q321"/>
  <c r="Q322"/>
  <c r="Q324"/>
  <c r="Q325"/>
  <c r="Q326"/>
  <c r="Q327"/>
  <c r="Q328"/>
  <c r="Q329"/>
  <c r="Q330"/>
  <c r="Q332"/>
  <c r="Q333"/>
  <c r="Q334"/>
  <c r="Q335"/>
  <c r="Q336"/>
  <c r="Q337"/>
  <c r="Q338"/>
  <c r="Q340"/>
  <c r="Q341"/>
  <c r="Q342"/>
  <c r="Q343"/>
  <c r="Q344"/>
  <c r="Q345"/>
  <c r="Q346"/>
  <c r="Q347"/>
  <c r="Q348"/>
  <c r="Q349"/>
  <c r="Q350"/>
  <c r="Q351"/>
  <c r="Q352"/>
  <c r="I353"/>
  <c r="I367"/>
  <c r="Q353"/>
  <c r="Q354"/>
  <c r="Q355"/>
  <c r="Q356"/>
  <c r="Q357"/>
  <c r="Q358"/>
  <c r="Q359"/>
  <c r="Q360"/>
  <c r="Q361"/>
  <c r="Q362"/>
  <c r="Q363"/>
  <c r="Q364"/>
  <c r="F365"/>
  <c r="F295"/>
  <c r="J295" s="1"/>
  <c r="G365"/>
  <c r="H365"/>
  <c r="I365"/>
  <c r="F302"/>
  <c r="Q365"/>
  <c r="F366"/>
  <c r="G295"/>
  <c r="G366"/>
  <c r="H366"/>
  <c r="Q366"/>
  <c r="F367"/>
  <c r="G367"/>
  <c r="H367"/>
  <c r="Q367"/>
  <c r="Q368"/>
  <c r="Q369"/>
  <c r="Q370"/>
  <c r="Q371"/>
  <c r="Q373"/>
  <c r="Q374"/>
  <c r="Q375"/>
  <c r="Q376"/>
  <c r="Q377"/>
  <c r="G378"/>
  <c r="H295"/>
  <c r="H378"/>
  <c r="H296"/>
  <c r="I378"/>
  <c r="H302"/>
  <c r="H327" s="1"/>
  <c r="Q378"/>
  <c r="Q379"/>
  <c r="Q380"/>
  <c r="Q381"/>
  <c r="Q382"/>
  <c r="Q383"/>
  <c r="Q384"/>
  <c r="Q385"/>
  <c r="Q386"/>
  <c r="Q387"/>
  <c r="Q388"/>
  <c r="Q389"/>
  <c r="Q390"/>
  <c r="Q391"/>
  <c r="Q392"/>
  <c r="Q393"/>
  <c r="G394"/>
  <c r="I295"/>
  <c r="H394"/>
  <c r="I296"/>
  <c r="I394"/>
  <c r="I302"/>
  <c r="I327" s="1"/>
  <c r="Q394"/>
  <c r="C25" i="71"/>
  <c r="C22"/>
  <c r="C19"/>
  <c r="C16"/>
  <c r="C14"/>
  <c r="F2"/>
  <c r="O56" i="41"/>
  <c r="H27"/>
  <c r="O9"/>
  <c r="G41" i="58"/>
  <c r="I41" s="1"/>
  <c r="H76"/>
  <c r="I76" s="1"/>
  <c r="O202" i="70"/>
  <c r="O201"/>
  <c r="O200"/>
  <c r="O199"/>
  <c r="O197"/>
  <c r="O196"/>
  <c r="O224"/>
  <c r="B197"/>
  <c r="O223"/>
  <c r="O222"/>
  <c r="O221"/>
  <c r="O220"/>
  <c r="O219"/>
  <c r="O218"/>
  <c r="O217"/>
  <c r="O216"/>
  <c r="O215"/>
  <c r="O214"/>
  <c r="O213"/>
  <c r="O212"/>
  <c r="O211"/>
  <c r="O210"/>
  <c r="O209"/>
  <c r="O208"/>
  <c r="O207"/>
  <c r="O206"/>
  <c r="O205"/>
  <c r="O204"/>
  <c r="O203"/>
  <c r="O198"/>
  <c r="O195"/>
  <c r="O194"/>
  <c r="J221"/>
  <c r="I221"/>
  <c r="H221"/>
  <c r="G221"/>
  <c r="F221"/>
  <c r="E221"/>
  <c r="D221"/>
  <c r="C221"/>
  <c r="J220"/>
  <c r="I220"/>
  <c r="H220"/>
  <c r="G220"/>
  <c r="F220"/>
  <c r="E220"/>
  <c r="D220"/>
  <c r="C220"/>
  <c r="J219"/>
  <c r="I219"/>
  <c r="H219"/>
  <c r="G219"/>
  <c r="F219"/>
  <c r="E219"/>
  <c r="D219"/>
  <c r="C219"/>
  <c r="J218"/>
  <c r="I218"/>
  <c r="H218"/>
  <c r="G218"/>
  <c r="F218"/>
  <c r="E218"/>
  <c r="D218"/>
  <c r="C218"/>
  <c r="J217"/>
  <c r="I217"/>
  <c r="H217"/>
  <c r="G217"/>
  <c r="F217"/>
  <c r="E217"/>
  <c r="D217"/>
  <c r="C217"/>
  <c r="J216"/>
  <c r="I216"/>
  <c r="H216"/>
  <c r="G216"/>
  <c r="F216"/>
  <c r="E216"/>
  <c r="D216"/>
  <c r="C216"/>
  <c r="J215"/>
  <c r="I215"/>
  <c r="H215"/>
  <c r="G215"/>
  <c r="F215"/>
  <c r="E215"/>
  <c r="D215"/>
  <c r="C215"/>
  <c r="J214"/>
  <c r="I214"/>
  <c r="H214"/>
  <c r="G214"/>
  <c r="F214"/>
  <c r="E214"/>
  <c r="D214"/>
  <c r="C214"/>
  <c r="J213"/>
  <c r="I213"/>
  <c r="H213"/>
  <c r="G213"/>
  <c r="F213"/>
  <c r="E213"/>
  <c r="D213"/>
  <c r="C213"/>
  <c r="J212"/>
  <c r="I212"/>
  <c r="H212"/>
  <c r="G212"/>
  <c r="F212"/>
  <c r="E212"/>
  <c r="D212"/>
  <c r="C212"/>
  <c r="J211"/>
  <c r="I211"/>
  <c r="H211"/>
  <c r="G211"/>
  <c r="F211"/>
  <c r="E211"/>
  <c r="D211"/>
  <c r="C211"/>
  <c r="J210"/>
  <c r="I210"/>
  <c r="H210"/>
  <c r="G210"/>
  <c r="F210"/>
  <c r="E210"/>
  <c r="D210"/>
  <c r="C210"/>
  <c r="J209"/>
  <c r="I209"/>
  <c r="H209"/>
  <c r="G209"/>
  <c r="F209"/>
  <c r="E209"/>
  <c r="D209"/>
  <c r="C209"/>
  <c r="J208"/>
  <c r="I208"/>
  <c r="H208"/>
  <c r="G208"/>
  <c r="F208"/>
  <c r="E208"/>
  <c r="D208"/>
  <c r="C208"/>
  <c r="J207"/>
  <c r="I207"/>
  <c r="H207"/>
  <c r="G207"/>
  <c r="F207"/>
  <c r="E207"/>
  <c r="D207"/>
  <c r="C207"/>
  <c r="J206"/>
  <c r="I206"/>
  <c r="H206"/>
  <c r="G206"/>
  <c r="F206"/>
  <c r="E206"/>
  <c r="D206"/>
  <c r="C206"/>
  <c r="O12"/>
  <c r="O11"/>
  <c r="O10"/>
  <c r="O9"/>
  <c r="O8"/>
  <c r="O7"/>
  <c r="O6"/>
  <c r="O5"/>
  <c r="O4"/>
  <c r="B259" i="6"/>
  <c r="J224" i="70"/>
  <c r="B108" i="25"/>
  <c r="B253" i="6"/>
  <c r="B251"/>
  <c r="J166" i="72"/>
  <c r="K91"/>
  <c r="J90"/>
  <c r="G315" i="6"/>
  <c r="B320"/>
  <c r="G296"/>
  <c r="H315"/>
  <c r="I315"/>
  <c r="H271"/>
  <c r="B278"/>
  <c r="B285"/>
  <c r="F296"/>
  <c r="B272"/>
  <c r="F271"/>
  <c r="G271"/>
  <c r="F327"/>
  <c r="I366"/>
  <c r="G302"/>
  <c r="G327" s="1"/>
  <c r="O1078" i="8"/>
  <c r="O1077"/>
  <c r="O1076"/>
  <c r="O1075"/>
  <c r="O1074"/>
  <c r="O1073"/>
  <c r="O1072"/>
  <c r="O1071"/>
  <c r="O1070"/>
  <c r="O1069"/>
  <c r="O1068"/>
  <c r="O1067"/>
  <c r="O1066"/>
  <c r="O1065"/>
  <c r="O1064"/>
  <c r="O1063"/>
  <c r="O1062"/>
  <c r="O1061"/>
  <c r="O1060"/>
  <c r="O1059"/>
  <c r="O1058"/>
  <c r="O1057"/>
  <c r="O1056"/>
  <c r="O1055"/>
  <c r="O1054"/>
  <c r="O1053"/>
  <c r="O1052"/>
  <c r="O1051"/>
  <c r="O1050"/>
  <c r="O1049"/>
  <c r="O1048"/>
  <c r="O1047"/>
  <c r="O1046"/>
  <c r="O1045"/>
  <c r="O1044"/>
  <c r="O1043"/>
  <c r="O1042"/>
  <c r="O1041"/>
  <c r="O1040"/>
  <c r="O1039"/>
  <c r="O1038"/>
  <c r="O1037"/>
  <c r="O1036"/>
  <c r="O1035"/>
  <c r="O1034"/>
  <c r="O1033"/>
  <c r="O1032"/>
  <c r="O1031"/>
  <c r="O1030"/>
  <c r="O1029"/>
  <c r="O1028"/>
  <c r="O1027"/>
  <c r="O1026"/>
  <c r="O1025"/>
  <c r="O1024"/>
  <c r="O1023"/>
  <c r="O1022"/>
  <c r="O1021"/>
  <c r="O1020"/>
  <c r="O1019"/>
  <c r="O1018"/>
  <c r="O1017"/>
  <c r="O1016"/>
  <c r="O1015"/>
  <c r="O1014"/>
  <c r="O1013"/>
  <c r="O1012"/>
  <c r="O1011"/>
  <c r="O1010"/>
  <c r="O1009"/>
  <c r="O1008"/>
  <c r="O1007"/>
  <c r="O1006"/>
  <c r="O1005"/>
  <c r="O1004"/>
  <c r="O995"/>
  <c r="M39" i="56"/>
  <c r="L39"/>
  <c r="J39"/>
  <c r="AE129" i="9"/>
  <c r="V129"/>
  <c r="H123" i="66"/>
  <c r="I125"/>
  <c r="I124"/>
  <c r="I123"/>
  <c r="I122"/>
  <c r="I121"/>
  <c r="I120"/>
  <c r="M81" i="9"/>
  <c r="O83"/>
  <c r="B126" i="66"/>
  <c r="O82" i="9"/>
  <c r="M421"/>
  <c r="O81"/>
  <c r="B84"/>
  <c r="O80"/>
  <c r="O79"/>
  <c r="O80" i="8"/>
  <c r="O87"/>
  <c r="O86"/>
  <c r="O85"/>
  <c r="O81"/>
  <c r="B117" i="66"/>
  <c r="O79" i="8"/>
  <c r="D121" i="66"/>
  <c r="M81" i="8"/>
  <c r="O193" i="70"/>
  <c r="O192"/>
  <c r="O191"/>
  <c r="O190"/>
  <c r="O189"/>
  <c r="O186"/>
  <c r="O185"/>
  <c r="B74" i="18"/>
  <c r="O184" i="70"/>
  <c r="O134"/>
  <c r="O133"/>
  <c r="O132"/>
  <c r="O131"/>
  <c r="O130"/>
  <c r="O129"/>
  <c r="O128"/>
  <c r="O127"/>
  <c r="O126"/>
  <c r="O125"/>
  <c r="O124"/>
  <c r="O123"/>
  <c r="O122"/>
  <c r="O113"/>
  <c r="B72" i="18"/>
  <c r="O112" i="70"/>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O29"/>
  <c r="O28"/>
  <c r="O27"/>
  <c r="O26"/>
  <c r="O25"/>
  <c r="O24"/>
  <c r="O23"/>
  <c r="O22"/>
  <c r="O21"/>
  <c r="O20"/>
  <c r="I224"/>
  <c r="O19"/>
  <c r="O18"/>
  <c r="O17"/>
  <c r="O16"/>
  <c r="O15"/>
  <c r="O14"/>
  <c r="O13"/>
  <c r="O3"/>
  <c r="O2"/>
  <c r="O1"/>
  <c r="E134"/>
  <c r="E125"/>
  <c r="E113"/>
  <c r="E95"/>
  <c r="C95"/>
  <c r="E89"/>
  <c r="C89"/>
  <c r="E68"/>
  <c r="C68"/>
  <c r="E42"/>
  <c r="C42"/>
  <c r="I2"/>
  <c r="E46"/>
  <c r="E51"/>
  <c r="B33" i="13"/>
  <c r="B80" i="8"/>
  <c r="B84"/>
  <c r="C134" i="70"/>
  <c r="C125"/>
  <c r="F179"/>
  <c r="C113"/>
  <c r="J14" i="58"/>
  <c r="B104" i="67"/>
  <c r="L41" i="58"/>
  <c r="J58"/>
  <c r="M421" i="8"/>
  <c r="B287" i="34"/>
  <c r="E97" i="70"/>
  <c r="H39" i="56"/>
  <c r="V137" i="9"/>
  <c r="AN129"/>
  <c r="C51" i="70"/>
  <c r="O108" i="9"/>
  <c r="O104" i="8"/>
  <c r="G76" i="58"/>
  <c r="C97" i="70"/>
  <c r="O1" i="13"/>
  <c r="N1" i="5"/>
  <c r="F9"/>
  <c r="M28" i="4"/>
  <c r="O79" i="5"/>
  <c r="O69"/>
  <c r="O28"/>
  <c r="R84"/>
  <c r="R79"/>
  <c r="AV978" i="9"/>
  <c r="AU978"/>
  <c r="AT978"/>
  <c r="AS978"/>
  <c r="AR978"/>
  <c r="AQ978"/>
  <c r="O296"/>
  <c r="O295"/>
  <c r="H310"/>
  <c r="O294"/>
  <c r="O293"/>
  <c r="B986"/>
  <c r="O292"/>
  <c r="O281" i="8"/>
  <c r="O280"/>
  <c r="O279"/>
  <c r="O278"/>
  <c r="B78" i="68"/>
  <c r="O277" i="8"/>
  <c r="O276"/>
  <c r="O271"/>
  <c r="O270"/>
  <c r="N54" i="5"/>
  <c r="F79" i="68"/>
  <c r="N58" i="5"/>
  <c r="N57"/>
  <c r="N56"/>
  <c r="N55"/>
  <c r="F78" i="68"/>
  <c r="F77"/>
  <c r="L54" i="5"/>
  <c r="F76" i="68"/>
  <c r="F75"/>
  <c r="F74"/>
  <c r="B277" i="9"/>
  <c r="F73" i="68"/>
  <c r="F72"/>
  <c r="F71"/>
  <c r="F70"/>
  <c r="F69"/>
  <c r="F68"/>
  <c r="F9"/>
  <c r="F8"/>
  <c r="F7"/>
  <c r="F67"/>
  <c r="F66"/>
  <c r="J54" i="40"/>
  <c r="J53"/>
  <c r="Q162" i="6"/>
  <c r="L50" i="5"/>
  <c r="H293" i="8"/>
  <c r="M169" i="6"/>
  <c r="I207"/>
  <c r="P74"/>
  <c r="P73"/>
  <c r="P72"/>
  <c r="P71"/>
  <c r="P70"/>
  <c r="P69"/>
  <c r="P68"/>
  <c r="P67"/>
  <c r="P66"/>
  <c r="J74"/>
  <c r="J73"/>
  <c r="J72"/>
  <c r="J71"/>
  <c r="J70"/>
  <c r="J69"/>
  <c r="J68"/>
  <c r="J67"/>
  <c r="J66"/>
  <c r="H74"/>
  <c r="H73"/>
  <c r="H72"/>
  <c r="H71"/>
  <c r="H70"/>
  <c r="H69"/>
  <c r="H68"/>
  <c r="H67"/>
  <c r="H66"/>
  <c r="K88"/>
  <c r="N75"/>
  <c r="M75"/>
  <c r="Q82"/>
  <c r="P75"/>
  <c r="I206"/>
  <c r="O75"/>
  <c r="O72" i="40"/>
  <c r="O71"/>
  <c r="O70"/>
  <c r="O81"/>
  <c r="O82"/>
  <c r="O169" i="23"/>
  <c r="O168"/>
  <c r="O167"/>
  <c r="O166"/>
  <c r="O165"/>
  <c r="J43" i="19"/>
  <c r="D118" i="4"/>
  <c r="O1" i="69"/>
  <c r="O23" i="13"/>
  <c r="O22"/>
  <c r="N68" i="5"/>
  <c r="O69" i="40"/>
  <c r="O68"/>
  <c r="O67"/>
  <c r="O66"/>
  <c r="B78"/>
  <c r="O65"/>
  <c r="O64"/>
  <c r="O63"/>
  <c r="O62"/>
  <c r="O61"/>
  <c r="O60"/>
  <c r="L62"/>
  <c r="L64"/>
  <c r="L65"/>
  <c r="K63"/>
  <c r="K62"/>
  <c r="J64"/>
  <c r="J65"/>
  <c r="I64"/>
  <c r="I65"/>
  <c r="H64"/>
  <c r="H65"/>
  <c r="N65" i="5"/>
  <c r="N64"/>
  <c r="B320" i="8"/>
  <c r="O23" i="40"/>
  <c r="K131"/>
  <c r="L8"/>
  <c r="O85"/>
  <c r="O84"/>
  <c r="O83"/>
  <c r="O80"/>
  <c r="O79"/>
  <c r="O78"/>
  <c r="O77"/>
  <c r="O76"/>
  <c r="O75"/>
  <c r="O74"/>
  <c r="O73"/>
  <c r="O132"/>
  <c r="O131"/>
  <c r="B8"/>
  <c r="O130"/>
  <c r="O129"/>
  <c r="O59"/>
  <c r="O58"/>
  <c r="O57"/>
  <c r="O56"/>
  <c r="O55"/>
  <c r="O54"/>
  <c r="O53"/>
  <c r="O52"/>
  <c r="O42"/>
  <c r="O38"/>
  <c r="O39"/>
  <c r="O37"/>
  <c r="O36"/>
  <c r="O35"/>
  <c r="O32"/>
  <c r="O31"/>
  <c r="O30"/>
  <c r="O29"/>
  <c r="O28"/>
  <c r="O27"/>
  <c r="O26"/>
  <c r="O25"/>
  <c r="O24"/>
  <c r="O22"/>
  <c r="O21"/>
  <c r="O20"/>
  <c r="O19"/>
  <c r="O18"/>
  <c r="O17"/>
  <c r="O16"/>
  <c r="O15"/>
  <c r="O14"/>
  <c r="O13"/>
  <c r="O12"/>
  <c r="O11"/>
  <c r="O10"/>
  <c r="O9"/>
  <c r="O8"/>
  <c r="O7"/>
  <c r="O6"/>
  <c r="O5"/>
  <c r="O4"/>
  <c r="O3"/>
  <c r="O2"/>
  <c r="O1"/>
  <c r="Q33" i="6"/>
  <c r="Q210"/>
  <c r="Q209"/>
  <c r="Q208"/>
  <c r="Q207"/>
  <c r="Q206"/>
  <c r="Q205"/>
  <c r="Q204"/>
  <c r="Q203"/>
  <c r="Q202"/>
  <c r="Q201"/>
  <c r="Q200"/>
  <c r="Q199"/>
  <c r="Q198"/>
  <c r="Q197"/>
  <c r="Q178"/>
  <c r="Q177"/>
  <c r="Q176"/>
  <c r="Q175"/>
  <c r="Q174"/>
  <c r="Q173"/>
  <c r="Q172"/>
  <c r="Q171"/>
  <c r="Q170"/>
  <c r="Q169"/>
  <c r="J178"/>
  <c r="Q168"/>
  <c r="Q167"/>
  <c r="Q166"/>
  <c r="Q165"/>
  <c r="Q164"/>
  <c r="Q163"/>
  <c r="Q161"/>
  <c r="Q160"/>
  <c r="Q159"/>
  <c r="Q157"/>
  <c r="Q143"/>
  <c r="Q142"/>
  <c r="Q119"/>
  <c r="Q115"/>
  <c r="Q114"/>
  <c r="Q111"/>
  <c r="J112"/>
  <c r="Q110"/>
  <c r="Q109"/>
  <c r="Q108"/>
  <c r="Q107"/>
  <c r="J108"/>
  <c r="Q106"/>
  <c r="Q100"/>
  <c r="J114"/>
  <c r="Q99"/>
  <c r="Q98"/>
  <c r="Q97"/>
  <c r="Q96"/>
  <c r="Q95"/>
  <c r="Q94"/>
  <c r="Q93"/>
  <c r="Q92"/>
  <c r="Q91"/>
  <c r="Q90"/>
  <c r="Q89"/>
  <c r="Q88"/>
  <c r="Q87"/>
  <c r="Q86"/>
  <c r="Q85"/>
  <c r="Q84"/>
  <c r="Q83"/>
  <c r="Q81"/>
  <c r="Q80"/>
  <c r="Q79"/>
  <c r="Q78"/>
  <c r="Q77"/>
  <c r="Q76"/>
  <c r="Q75"/>
  <c r="Q74"/>
  <c r="Q73"/>
  <c r="Q72"/>
  <c r="Q71"/>
  <c r="Q70"/>
  <c r="Q69"/>
  <c r="Q68"/>
  <c r="Q67"/>
  <c r="Q66"/>
  <c r="D292" i="18"/>
  <c r="Q65" i="6"/>
  <c r="Q64"/>
  <c r="Q63"/>
  <c r="Q62"/>
  <c r="Q61"/>
  <c r="Q60"/>
  <c r="Q59"/>
  <c r="Q58"/>
  <c r="Q57"/>
  <c r="Q56"/>
  <c r="Q55"/>
  <c r="Q54"/>
  <c r="Q53"/>
  <c r="Q52"/>
  <c r="Q51"/>
  <c r="Q50"/>
  <c r="Q49"/>
  <c r="B262" i="18"/>
  <c r="Q48" i="6"/>
  <c r="Q47"/>
  <c r="H48"/>
  <c r="Q46"/>
  <c r="Q45"/>
  <c r="Q44"/>
  <c r="Q43"/>
  <c r="Q42"/>
  <c r="Q41"/>
  <c r="Q40"/>
  <c r="Q39"/>
  <c r="Q38"/>
  <c r="Q37"/>
  <c r="Q36"/>
  <c r="Q35"/>
  <c r="Q34"/>
  <c r="Q32"/>
  <c r="Q31"/>
  <c r="Q30"/>
  <c r="Q29"/>
  <c r="Q28"/>
  <c r="Q27"/>
  <c r="Q26"/>
  <c r="Q25"/>
  <c r="Q24"/>
  <c r="Q23"/>
  <c r="Q22"/>
  <c r="Q21"/>
  <c r="Q20"/>
  <c r="Q19"/>
  <c r="Q18"/>
  <c r="Q17"/>
  <c r="Q16"/>
  <c r="Q15"/>
  <c r="Q14"/>
  <c r="Q13"/>
  <c r="Q12"/>
  <c r="Q11"/>
  <c r="Q10"/>
  <c r="Q9"/>
  <c r="Q8"/>
  <c r="Q7"/>
  <c r="Q6"/>
  <c r="Q5"/>
  <c r="Q4"/>
  <c r="Q3"/>
  <c r="Q2"/>
  <c r="Q1"/>
  <c r="L751" i="66"/>
  <c r="O76" i="41"/>
  <c r="F70"/>
  <c r="L470" i="66"/>
  <c r="L388"/>
  <c r="L387"/>
  <c r="L386"/>
  <c r="L385"/>
  <c r="L384"/>
  <c r="L411"/>
  <c r="I223"/>
  <c r="B194" i="6"/>
  <c r="B188"/>
  <c r="J104"/>
  <c r="R86"/>
  <c r="M76" i="5"/>
  <c r="J206" i="6"/>
  <c r="J113"/>
  <c r="B47" i="66"/>
  <c r="B49"/>
  <c r="I8" i="40"/>
  <c r="H31" i="6"/>
  <c r="K43" i="19"/>
  <c r="I100" i="6"/>
  <c r="J207"/>
  <c r="E31"/>
  <c r="K66" i="40"/>
  <c r="J100" i="6"/>
  <c r="J88"/>
  <c r="B85" i="40"/>
  <c r="B10"/>
  <c r="B18"/>
  <c r="B23"/>
  <c r="K64"/>
  <c r="K65"/>
  <c r="G108" i="41"/>
  <c r="F63"/>
  <c r="E71"/>
  <c r="E64"/>
  <c r="E65"/>
  <c r="O103" i="62"/>
  <c r="O102"/>
  <c r="H102"/>
  <c r="H108"/>
  <c r="I329" i="66"/>
  <c r="O110" i="62"/>
  <c r="O109"/>
  <c r="O108"/>
  <c r="O91"/>
  <c r="O90"/>
  <c r="O89"/>
  <c r="O88"/>
  <c r="O87"/>
  <c r="O86"/>
  <c r="O85"/>
  <c r="O84"/>
  <c r="H88"/>
  <c r="H86"/>
  <c r="H84"/>
  <c r="O30" i="23"/>
  <c r="O31"/>
  <c r="O32"/>
  <c r="O180"/>
  <c r="O189"/>
  <c r="I176"/>
  <c r="J176" s="1"/>
  <c r="J178" s="1"/>
  <c r="J172"/>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19"/>
  <c r="O118"/>
  <c r="B111" i="7"/>
  <c r="H90" i="62"/>
  <c r="B91"/>
  <c r="O164" i="23"/>
  <c r="O163"/>
  <c r="O162"/>
  <c r="O161"/>
  <c r="O160"/>
  <c r="O155"/>
  <c r="O114"/>
  <c r="O113"/>
  <c r="O154"/>
  <c r="O112"/>
  <c r="O147"/>
  <c r="O146"/>
  <c r="O145"/>
  <c r="O144"/>
  <c r="O149"/>
  <c r="O148"/>
  <c r="B165"/>
  <c r="O143"/>
  <c r="O142"/>
  <c r="O141"/>
  <c r="O140"/>
  <c r="O139"/>
  <c r="O138"/>
  <c r="O137"/>
  <c r="O136"/>
  <c r="O135"/>
  <c r="O134"/>
  <c r="B137"/>
  <c r="O133"/>
  <c r="O132"/>
  <c r="B139"/>
  <c r="O131"/>
  <c r="O130"/>
  <c r="O116"/>
  <c r="O115"/>
  <c r="O127"/>
  <c r="O126"/>
  <c r="O125"/>
  <c r="O111"/>
  <c r="B116"/>
  <c r="O110"/>
  <c r="O109"/>
  <c r="O108"/>
  <c r="O129"/>
  <c r="O128"/>
  <c r="O106"/>
  <c r="O103"/>
  <c r="O102"/>
  <c r="B110"/>
  <c r="O101"/>
  <c r="O100"/>
  <c r="B103"/>
  <c r="O99"/>
  <c r="O98"/>
  <c r="O97"/>
  <c r="O96"/>
  <c r="O95"/>
  <c r="O94"/>
  <c r="B114"/>
  <c r="B106" i="26"/>
  <c r="B163" i="23"/>
  <c r="E25" i="6"/>
  <c r="B149" i="23"/>
  <c r="B101"/>
  <c r="O78"/>
  <c r="O77"/>
  <c r="O76"/>
  <c r="O75"/>
  <c r="O74"/>
  <c r="O72"/>
  <c r="O69"/>
  <c r="O68"/>
  <c r="B71"/>
  <c r="O37"/>
  <c r="O36"/>
  <c r="B59"/>
  <c r="O35"/>
  <c r="O34"/>
  <c r="O33"/>
  <c r="I37"/>
  <c r="H37"/>
  <c r="I36"/>
  <c r="H36"/>
  <c r="O93"/>
  <c r="O92"/>
  <c r="O67"/>
  <c r="B147"/>
  <c r="O57"/>
  <c r="O56"/>
  <c r="B157"/>
  <c r="O55"/>
  <c r="O54"/>
  <c r="O53"/>
  <c r="O52"/>
  <c r="O51"/>
  <c r="O48"/>
  <c r="O47"/>
  <c r="O46"/>
  <c r="O45"/>
  <c r="O44"/>
  <c r="O41"/>
  <c r="B119"/>
  <c r="O40"/>
  <c r="O39"/>
  <c r="H41"/>
  <c r="H43"/>
  <c r="L54"/>
  <c r="L56" s="1"/>
  <c r="N140" i="5"/>
  <c r="N139"/>
  <c r="N138"/>
  <c r="N137"/>
  <c r="O283" i="7"/>
  <c r="O278"/>
  <c r="O277"/>
  <c r="O214" i="19"/>
  <c r="O213"/>
  <c r="O535"/>
  <c r="O534"/>
  <c r="O533"/>
  <c r="O532"/>
  <c r="O531"/>
  <c r="O530"/>
  <c r="K48"/>
  <c r="K49" s="1"/>
  <c r="O525"/>
  <c r="O520"/>
  <c r="O471"/>
  <c r="K496"/>
  <c r="O56"/>
  <c r="O70"/>
  <c r="O158"/>
  <c r="O157"/>
  <c r="N133" i="5"/>
  <c r="N132"/>
  <c r="N131"/>
  <c r="O541" i="19"/>
  <c r="O540"/>
  <c r="O539"/>
  <c r="O538"/>
  <c r="O537"/>
  <c r="O536"/>
  <c r="O529"/>
  <c r="O528"/>
  <c r="O527"/>
  <c r="H211" i="26"/>
  <c r="I432" i="66"/>
  <c r="T469" i="19"/>
  <c r="T470"/>
  <c r="O518"/>
  <c r="O517"/>
  <c r="R496"/>
  <c r="R470"/>
  <c r="N549" s="1"/>
  <c r="O519"/>
  <c r="O516"/>
  <c r="O515"/>
  <c r="O514"/>
  <c r="O513"/>
  <c r="O512"/>
  <c r="O511"/>
  <c r="O521"/>
  <c r="O510"/>
  <c r="O509"/>
  <c r="O508"/>
  <c r="O507"/>
  <c r="B510"/>
  <c r="O506"/>
  <c r="O505"/>
  <c r="O504"/>
  <c r="O503"/>
  <c r="O502"/>
  <c r="O501"/>
  <c r="L505"/>
  <c r="O500"/>
  <c r="L504"/>
  <c r="O499"/>
  <c r="O498"/>
  <c r="O497"/>
  <c r="J499"/>
  <c r="O496"/>
  <c r="O482"/>
  <c r="O481"/>
  <c r="B484"/>
  <c r="O470"/>
  <c r="B490"/>
  <c r="O469"/>
  <c r="B212" i="26"/>
  <c r="O480" i="19"/>
  <c r="O479"/>
  <c r="O486"/>
  <c r="O485"/>
  <c r="B488"/>
  <c r="O478"/>
  <c r="O477"/>
  <c r="O476"/>
  <c r="O475"/>
  <c r="O457"/>
  <c r="O456"/>
  <c r="O455"/>
  <c r="O454"/>
  <c r="O453"/>
  <c r="O452"/>
  <c r="R9"/>
  <c r="R459"/>
  <c r="O439"/>
  <c r="O438"/>
  <c r="O437"/>
  <c r="O436"/>
  <c r="B181"/>
  <c r="O156"/>
  <c r="O151"/>
  <c r="O150"/>
  <c r="O164"/>
  <c r="O163"/>
  <c r="B437"/>
  <c r="O56" i="62"/>
  <c r="O41"/>
  <c r="O40"/>
  <c r="B300" i="67"/>
  <c r="O71" i="62"/>
  <c r="O57"/>
  <c r="O55"/>
  <c r="O54"/>
  <c r="O53"/>
  <c r="O44"/>
  <c r="O43"/>
  <c r="O16"/>
  <c r="I25"/>
  <c r="J323" i="66"/>
  <c r="I24" i="62"/>
  <c r="H25"/>
  <c r="I323" i="66"/>
  <c r="H24" i="62"/>
  <c r="I20"/>
  <c r="I19"/>
  <c r="I50"/>
  <c r="H20"/>
  <c r="I322" i="66"/>
  <c r="H19" i="62"/>
  <c r="H50"/>
  <c r="O34"/>
  <c r="O33"/>
  <c r="O32"/>
  <c r="O31"/>
  <c r="O30"/>
  <c r="O29"/>
  <c r="O28"/>
  <c r="O27"/>
  <c r="O26"/>
  <c r="O25"/>
  <c r="O24"/>
  <c r="O23"/>
  <c r="O22"/>
  <c r="O21"/>
  <c r="V54" i="19"/>
  <c r="V53"/>
  <c r="V52"/>
  <c r="V51"/>
  <c r="V50"/>
  <c r="V49"/>
  <c r="V48"/>
  <c r="V47"/>
  <c r="V46"/>
  <c r="V45"/>
  <c r="V44"/>
  <c r="V43"/>
  <c r="V42"/>
  <c r="V41"/>
  <c r="V40"/>
  <c r="V39"/>
  <c r="V38"/>
  <c r="V37"/>
  <c r="V36"/>
  <c r="V35"/>
  <c r="V34"/>
  <c r="V33"/>
  <c r="V32"/>
  <c r="V31"/>
  <c r="T56"/>
  <c r="U52"/>
  <c r="R56"/>
  <c r="S52"/>
  <c r="O100" i="62"/>
  <c r="O99"/>
  <c r="O98"/>
  <c r="O97"/>
  <c r="O96"/>
  <c r="O95"/>
  <c r="O94"/>
  <c r="H95"/>
  <c r="H100"/>
  <c r="H106"/>
  <c r="I328" i="66"/>
  <c r="H94" i="62"/>
  <c r="O107"/>
  <c r="O106"/>
  <c r="B22" i="23"/>
  <c r="O105" i="62"/>
  <c r="O104"/>
  <c r="G327" i="66"/>
  <c r="O101" i="62"/>
  <c r="H92"/>
  <c r="O93"/>
  <c r="O92"/>
  <c r="O83"/>
  <c r="O82"/>
  <c r="O81"/>
  <c r="B85"/>
  <c r="O80"/>
  <c r="B87"/>
  <c r="O79"/>
  <c r="O78"/>
  <c r="O77"/>
  <c r="O76"/>
  <c r="O75"/>
  <c r="O74"/>
  <c r="O73"/>
  <c r="O72"/>
  <c r="O52"/>
  <c r="O51"/>
  <c r="O50"/>
  <c r="O48"/>
  <c r="O42"/>
  <c r="B170" i="67"/>
  <c r="O39" i="62"/>
  <c r="O38"/>
  <c r="B325" i="66"/>
  <c r="O37" i="62"/>
  <c r="O49"/>
  <c r="O36"/>
  <c r="O35"/>
  <c r="O20"/>
  <c r="O19"/>
  <c r="O18"/>
  <c r="O17"/>
  <c r="O15"/>
  <c r="O14"/>
  <c r="O13"/>
  <c r="O12"/>
  <c r="O11"/>
  <c r="O10"/>
  <c r="O5"/>
  <c r="O4"/>
  <c r="B52" i="23"/>
  <c r="F322" i="66"/>
  <c r="H42" i="23"/>
  <c r="J322" i="66"/>
  <c r="B482" i="19"/>
  <c r="L506"/>
  <c r="H98" i="62"/>
  <c r="B133" i="23"/>
  <c r="L116" i="5"/>
  <c r="B514" i="19"/>
  <c r="B512"/>
  <c r="B57" i="23"/>
  <c r="J467" i="19"/>
  <c r="B83" i="23"/>
  <c r="B106"/>
  <c r="B143"/>
  <c r="B151"/>
  <c r="B65"/>
  <c r="B80"/>
  <c r="B69"/>
  <c r="B472" i="66"/>
  <c r="J500" i="19"/>
  <c r="R467"/>
  <c r="R468"/>
  <c r="B187"/>
  <c r="B217"/>
  <c r="B229"/>
  <c r="B35" i="62"/>
  <c r="B68"/>
  <c r="B32"/>
  <c r="B67"/>
  <c r="T496" i="19"/>
  <c r="L112" i="5"/>
  <c r="F25" i="71"/>
  <c r="I51" i="62"/>
  <c r="I34"/>
  <c r="H51"/>
  <c r="H34"/>
  <c r="N273" i="19"/>
  <c r="B314" i="6"/>
  <c r="B274" i="19"/>
  <c r="B386" i="66"/>
  <c r="B23" i="19"/>
  <c r="B103" i="62"/>
  <c r="B109"/>
  <c r="B89"/>
  <c r="B54"/>
  <c r="B56"/>
  <c r="B156" i="19"/>
  <c r="B107" i="62"/>
  <c r="B131" i="23"/>
  <c r="B135"/>
  <c r="B78"/>
  <c r="B132" i="7"/>
  <c r="B535" i="19"/>
  <c r="B518"/>
  <c r="B516"/>
  <c r="B520"/>
  <c r="B478"/>
  <c r="T459"/>
  <c r="B441"/>
  <c r="E24" i="62"/>
  <c r="E50"/>
  <c r="B99"/>
  <c r="B96"/>
  <c r="B105"/>
  <c r="V56" i="19"/>
  <c r="W36"/>
  <c r="S31"/>
  <c r="S35"/>
  <c r="S39"/>
  <c r="S43"/>
  <c r="S47"/>
  <c r="S51"/>
  <c r="U31"/>
  <c r="U35"/>
  <c r="U39"/>
  <c r="U43"/>
  <c r="U47"/>
  <c r="U51"/>
  <c r="S34"/>
  <c r="S38"/>
  <c r="S42"/>
  <c r="S46"/>
  <c r="S50"/>
  <c r="S54"/>
  <c r="U34"/>
  <c r="U38"/>
  <c r="U42"/>
  <c r="U46"/>
  <c r="U50"/>
  <c r="U54"/>
  <c r="S33"/>
  <c r="S37"/>
  <c r="S41"/>
  <c r="S45"/>
  <c r="S49"/>
  <c r="S53"/>
  <c r="U33"/>
  <c r="U37"/>
  <c r="U41"/>
  <c r="U45"/>
  <c r="U49"/>
  <c r="U53"/>
  <c r="S32"/>
  <c r="S36"/>
  <c r="S40"/>
  <c r="S44"/>
  <c r="S48"/>
  <c r="U32"/>
  <c r="U36"/>
  <c r="U40"/>
  <c r="U44"/>
  <c r="U48"/>
  <c r="H104" i="62"/>
  <c r="B101"/>
  <c r="B93"/>
  <c r="O29" i="23"/>
  <c r="O24"/>
  <c r="I327" i="66"/>
  <c r="J22" i="19"/>
  <c r="R461" s="1"/>
  <c r="R463" s="1"/>
  <c r="H53" i="62"/>
  <c r="AM155" i="19"/>
  <c r="AK155"/>
  <c r="AI155"/>
  <c r="AG155"/>
  <c r="AE155"/>
  <c r="AC155"/>
  <c r="AA155"/>
  <c r="Y155"/>
  <c r="W155"/>
  <c r="U155"/>
  <c r="S155"/>
  <c r="Q155"/>
  <c r="AL155"/>
  <c r="AJ155"/>
  <c r="AH155"/>
  <c r="AF155"/>
  <c r="AD155"/>
  <c r="AB155"/>
  <c r="Z155"/>
  <c r="X155"/>
  <c r="V155"/>
  <c r="T155"/>
  <c r="R155"/>
  <c r="P155"/>
  <c r="I53" i="62"/>
  <c r="I55"/>
  <c r="K51" i="23"/>
  <c r="I51"/>
  <c r="L51"/>
  <c r="J51"/>
  <c r="H51"/>
  <c r="T467" i="19"/>
  <c r="T468"/>
  <c r="H56" i="62"/>
  <c r="W31" i="19"/>
  <c r="W34"/>
  <c r="W53"/>
  <c r="W43"/>
  <c r="W50"/>
  <c r="W52"/>
  <c r="W37"/>
  <c r="W39"/>
  <c r="W45"/>
  <c r="W46"/>
  <c r="W35"/>
  <c r="W44"/>
  <c r="W33"/>
  <c r="W41"/>
  <c r="W42"/>
  <c r="W47"/>
  <c r="W40"/>
  <c r="W49"/>
  <c r="W54"/>
  <c r="W38"/>
  <c r="W51"/>
  <c r="W48"/>
  <c r="W32"/>
  <c r="U56"/>
  <c r="S56"/>
  <c r="O1"/>
  <c r="O304"/>
  <c r="O34"/>
  <c r="O33"/>
  <c r="O4"/>
  <c r="O3"/>
  <c r="O13"/>
  <c r="O12"/>
  <c r="O11"/>
  <c r="O10"/>
  <c r="L184" i="66"/>
  <c r="L183"/>
  <c r="L182"/>
  <c r="O992" i="9"/>
  <c r="O991"/>
  <c r="O988"/>
  <c r="B990"/>
  <c r="O987"/>
  <c r="O986"/>
  <c r="O985"/>
  <c r="O982"/>
  <c r="B984"/>
  <c r="O981"/>
  <c r="O980"/>
  <c r="O979"/>
  <c r="O978"/>
  <c r="O977"/>
  <c r="O993"/>
  <c r="O988" i="8"/>
  <c r="B990"/>
  <c r="O986"/>
  <c r="O982"/>
  <c r="B984"/>
  <c r="O981"/>
  <c r="O980"/>
  <c r="O979"/>
  <c r="O978"/>
  <c r="O325" i="9"/>
  <c r="O324"/>
  <c r="O323"/>
  <c r="O322"/>
  <c r="O324" i="8"/>
  <c r="O323"/>
  <c r="J84" i="58"/>
  <c r="O322" i="8"/>
  <c r="O321"/>
  <c r="B324"/>
  <c r="O320"/>
  <c r="O319"/>
  <c r="O318"/>
  <c r="O321" i="9"/>
  <c r="B324"/>
  <c r="O320"/>
  <c r="O319"/>
  <c r="O340"/>
  <c r="O339"/>
  <c r="I56" i="62"/>
  <c r="B982" i="9"/>
  <c r="H55" i="62"/>
  <c r="I385" i="66"/>
  <c r="B988" i="9"/>
  <c r="B320"/>
  <c r="L64" i="5"/>
  <c r="W56" i="19"/>
  <c r="X453" i="18"/>
  <c r="V464"/>
  <c r="V467"/>
  <c r="AA476"/>
  <c r="AA475"/>
  <c r="AA474"/>
  <c r="AA473"/>
  <c r="AA472"/>
  <c r="AA471"/>
  <c r="AA470"/>
  <c r="AA469"/>
  <c r="I464"/>
  <c r="I467"/>
  <c r="AA468"/>
  <c r="AA467"/>
  <c r="B472"/>
  <c r="S464"/>
  <c r="S467"/>
  <c r="R464"/>
  <c r="R467"/>
  <c r="Q464"/>
  <c r="Q467"/>
  <c r="P464"/>
  <c r="P467"/>
  <c r="O464"/>
  <c r="O467"/>
  <c r="N464"/>
  <c r="N467"/>
  <c r="M464"/>
  <c r="M467"/>
  <c r="K464"/>
  <c r="K467"/>
  <c r="J464"/>
  <c r="J467"/>
  <c r="H464"/>
  <c r="H467"/>
  <c r="G464"/>
  <c r="AA466"/>
  <c r="AA465"/>
  <c r="AA464"/>
  <c r="AA463"/>
  <c r="AA462"/>
  <c r="AA461"/>
  <c r="AA460"/>
  <c r="AA459"/>
  <c r="AA458"/>
  <c r="AA457"/>
  <c r="AA456"/>
  <c r="AA455"/>
  <c r="AA454"/>
  <c r="AA453"/>
  <c r="AA452"/>
  <c r="AA451"/>
  <c r="AA450"/>
  <c r="L461"/>
  <c r="L460"/>
  <c r="L459"/>
  <c r="S456"/>
  <c r="R456"/>
  <c r="Q456"/>
  <c r="P456"/>
  <c r="O456"/>
  <c r="N456"/>
  <c r="M456"/>
  <c r="K456"/>
  <c r="J456"/>
  <c r="L453"/>
  <c r="H456"/>
  <c r="G456"/>
  <c r="O80" i="29"/>
  <c r="X464" i="18"/>
  <c r="T460"/>
  <c r="B474"/>
  <c r="G467"/>
  <c r="X467"/>
  <c r="T459"/>
  <c r="T453"/>
  <c r="T461"/>
  <c r="O89" i="7"/>
  <c r="O88"/>
  <c r="O56"/>
  <c r="O55"/>
  <c r="O51"/>
  <c r="J50"/>
  <c r="O228"/>
  <c r="O225"/>
  <c r="O224"/>
  <c r="O172"/>
  <c r="O222"/>
  <c r="O220"/>
  <c r="O211"/>
  <c r="O210"/>
  <c r="O209"/>
  <c r="O127"/>
  <c r="O126"/>
  <c r="O206"/>
  <c r="O208"/>
  <c r="O145"/>
  <c r="O143"/>
  <c r="O142"/>
  <c r="O125"/>
  <c r="O124"/>
  <c r="O141"/>
  <c r="O140"/>
  <c r="O139"/>
  <c r="O138"/>
  <c r="O137"/>
  <c r="O123"/>
  <c r="O122"/>
  <c r="O128"/>
  <c r="O121"/>
  <c r="O120"/>
  <c r="O119"/>
  <c r="O118"/>
  <c r="O117"/>
  <c r="O116"/>
  <c r="M104"/>
  <c r="I63" i="66"/>
  <c r="O154" i="7"/>
  <c r="O153"/>
  <c r="O146"/>
  <c r="O106"/>
  <c r="O105"/>
  <c r="O107"/>
  <c r="O108"/>
  <c r="O104"/>
  <c r="D63" i="66"/>
  <c r="O103" i="7"/>
  <c r="O176"/>
  <c r="O147"/>
  <c r="O144"/>
  <c r="O135"/>
  <c r="O134"/>
  <c r="O133"/>
  <c r="O132"/>
  <c r="O131"/>
  <c r="O130"/>
  <c r="O129"/>
  <c r="I35" i="20"/>
  <c r="I34"/>
  <c r="I33"/>
  <c r="B113" i="7"/>
  <c r="I22" i="20"/>
  <c r="O136" i="7"/>
  <c r="O115"/>
  <c r="O114"/>
  <c r="O113"/>
  <c r="O112"/>
  <c r="O111"/>
  <c r="O110"/>
  <c r="O109"/>
  <c r="O102"/>
  <c r="I32" i="20"/>
  <c r="I31"/>
  <c r="B443" i="66"/>
  <c r="I30" i="20"/>
  <c r="F30"/>
  <c r="G30"/>
  <c r="I73"/>
  <c r="I72"/>
  <c r="I71"/>
  <c r="I70"/>
  <c r="I69"/>
  <c r="I68"/>
  <c r="I67"/>
  <c r="I66"/>
  <c r="I65"/>
  <c r="I64"/>
  <c r="I63"/>
  <c r="I62"/>
  <c r="I61"/>
  <c r="I60"/>
  <c r="I59"/>
  <c r="I58"/>
  <c r="I57"/>
  <c r="I56"/>
  <c r="I55"/>
  <c r="I54"/>
  <c r="I53"/>
  <c r="I52"/>
  <c r="I51"/>
  <c r="I50"/>
  <c r="I49"/>
  <c r="I48"/>
  <c r="I47"/>
  <c r="I46"/>
  <c r="I45"/>
  <c r="I44"/>
  <c r="I43"/>
  <c r="I42"/>
  <c r="I41"/>
  <c r="I40"/>
  <c r="I39"/>
  <c r="I38"/>
  <c r="I37"/>
  <c r="I36"/>
  <c r="I29"/>
  <c r="I28"/>
  <c r="I27"/>
  <c r="I26"/>
  <c r="I25"/>
  <c r="I24"/>
  <c r="I23"/>
  <c r="I21"/>
  <c r="I20"/>
  <c r="I19"/>
  <c r="I18"/>
  <c r="I17"/>
  <c r="I16"/>
  <c r="I15"/>
  <c r="I14"/>
  <c r="I13"/>
  <c r="I12"/>
  <c r="I11"/>
  <c r="I10"/>
  <c r="I9"/>
  <c r="I8"/>
  <c r="I7"/>
  <c r="I6"/>
  <c r="I5"/>
  <c r="I4"/>
  <c r="I3"/>
  <c r="I2"/>
  <c r="I1"/>
  <c r="B171" i="7"/>
  <c r="D62" i="66"/>
  <c r="J141" i="41"/>
  <c r="B231" i="7"/>
  <c r="B229"/>
  <c r="B224"/>
  <c r="B210"/>
  <c r="B124"/>
  <c r="B144"/>
  <c r="F146"/>
  <c r="F128"/>
  <c r="B115"/>
  <c r="B136"/>
  <c r="B32" i="20"/>
  <c r="B134" i="7"/>
  <c r="O77" i="29"/>
  <c r="O76"/>
  <c r="O75"/>
  <c r="O74"/>
  <c r="O73"/>
  <c r="O68"/>
  <c r="O61"/>
  <c r="O60"/>
  <c r="O59"/>
  <c r="O58"/>
  <c r="O57"/>
  <c r="O56"/>
  <c r="O55"/>
  <c r="O72"/>
  <c r="O71"/>
  <c r="O70"/>
  <c r="O69"/>
  <c r="O67"/>
  <c r="O66"/>
  <c r="O65"/>
  <c r="O64"/>
  <c r="O63"/>
  <c r="O62"/>
  <c r="O71" i="26"/>
  <c r="O70"/>
  <c r="O69"/>
  <c r="I73" i="29"/>
  <c r="B185" i="19"/>
  <c r="B183"/>
  <c r="B56" i="29"/>
  <c r="B74"/>
  <c r="O67" i="67"/>
  <c r="O66"/>
  <c r="L2" i="69"/>
  <c r="O2"/>
  <c r="O3"/>
  <c r="O4"/>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E284"/>
  <c r="O283"/>
  <c r="F283"/>
  <c r="O282"/>
  <c r="F282"/>
  <c r="O281"/>
  <c r="F281"/>
  <c r="F284"/>
  <c r="O280"/>
  <c r="O279"/>
  <c r="O278"/>
  <c r="E278"/>
  <c r="O277"/>
  <c r="O276"/>
  <c r="O275"/>
  <c r="O274"/>
  <c r="O273"/>
  <c r="O272"/>
  <c r="O271"/>
  <c r="O270"/>
  <c r="O269"/>
  <c r="O268"/>
  <c r="O267"/>
  <c r="O266"/>
  <c r="O265"/>
  <c r="O264"/>
  <c r="O263"/>
  <c r="O262"/>
  <c r="O261"/>
  <c r="O260"/>
  <c r="O259"/>
  <c r="O258"/>
  <c r="O257"/>
  <c r="O256"/>
  <c r="O255"/>
  <c r="O254"/>
  <c r="O253"/>
  <c r="O252"/>
  <c r="O251"/>
  <c r="O250"/>
  <c r="O249"/>
  <c r="O248"/>
  <c r="E248"/>
  <c r="O247"/>
  <c r="F247"/>
  <c r="O246"/>
  <c r="F246"/>
  <c r="O245"/>
  <c r="F245"/>
  <c r="O244"/>
  <c r="F244"/>
  <c r="O243"/>
  <c r="F243"/>
  <c r="F248"/>
  <c r="G25"/>
  <c r="O242"/>
  <c r="O241"/>
  <c r="O240"/>
  <c r="E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E199"/>
  <c r="O198"/>
  <c r="O197"/>
  <c r="F197"/>
  <c r="E197"/>
  <c r="O196"/>
  <c r="G196"/>
  <c r="E250"/>
  <c r="O195"/>
  <c r="O194"/>
  <c r="O193"/>
  <c r="O192"/>
  <c r="E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E145"/>
  <c r="O144"/>
  <c r="O143"/>
  <c r="E143"/>
  <c r="O142"/>
  <c r="F142"/>
  <c r="O141"/>
  <c r="F141"/>
  <c r="O140"/>
  <c r="F140"/>
  <c r="O139"/>
  <c r="F139"/>
  <c r="O138"/>
  <c r="F138"/>
  <c r="F143"/>
  <c r="G23"/>
  <c r="O137"/>
  <c r="O136"/>
  <c r="O135"/>
  <c r="O134"/>
  <c r="E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E78"/>
  <c r="O77"/>
  <c r="O76"/>
  <c r="E76"/>
  <c r="O75"/>
  <c r="F75"/>
  <c r="O74"/>
  <c r="F74"/>
  <c r="O73"/>
  <c r="F73"/>
  <c r="O72"/>
  <c r="F72"/>
  <c r="O71"/>
  <c r="F71"/>
  <c r="O70"/>
  <c r="F70"/>
  <c r="O69"/>
  <c r="F69"/>
  <c r="O68"/>
  <c r="F68"/>
  <c r="O67"/>
  <c r="F67"/>
  <c r="O66"/>
  <c r="F66"/>
  <c r="O65"/>
  <c r="F65"/>
  <c r="F76"/>
  <c r="O64"/>
  <c r="O63"/>
  <c r="O62"/>
  <c r="E62"/>
  <c r="O61"/>
  <c r="O60"/>
  <c r="O59"/>
  <c r="O58"/>
  <c r="O57"/>
  <c r="O56"/>
  <c r="O55"/>
  <c r="O54"/>
  <c r="O53"/>
  <c r="O52"/>
  <c r="O51"/>
  <c r="O50"/>
  <c r="O49"/>
  <c r="O48"/>
  <c r="O47"/>
  <c r="O46"/>
  <c r="O45"/>
  <c r="O44"/>
  <c r="O43"/>
  <c r="O42"/>
  <c r="O41"/>
  <c r="O40"/>
  <c r="O39"/>
  <c r="O38"/>
  <c r="O37"/>
  <c r="O36"/>
  <c r="O35"/>
  <c r="O34"/>
  <c r="O33"/>
  <c r="O32"/>
  <c r="O31"/>
  <c r="O30"/>
  <c r="O29"/>
  <c r="G29"/>
  <c r="O28"/>
  <c r="O27"/>
  <c r="M27"/>
  <c r="O26"/>
  <c r="D26"/>
  <c r="O25"/>
  <c r="D25"/>
  <c r="O24"/>
  <c r="B120" i="7"/>
  <c r="H24" i="69"/>
  <c r="G24"/>
  <c r="D24"/>
  <c r="O23"/>
  <c r="H23"/>
  <c r="D23"/>
  <c r="O22"/>
  <c r="H22"/>
  <c r="D22"/>
  <c r="O21"/>
  <c r="O20"/>
  <c r="O19"/>
  <c r="O18"/>
  <c r="O17"/>
  <c r="O15"/>
  <c r="O14"/>
  <c r="O13"/>
  <c r="O12"/>
  <c r="O11"/>
  <c r="O10"/>
  <c r="O9"/>
  <c r="O8"/>
  <c r="O7"/>
  <c r="O6"/>
  <c r="O5"/>
  <c r="F16" i="68"/>
  <c r="F15"/>
  <c r="F13"/>
  <c r="F10"/>
  <c r="F25"/>
  <c r="E56"/>
  <c r="H93" i="13"/>
  <c r="E55" i="68"/>
  <c r="H94" i="13"/>
  <c r="E49" i="68"/>
  <c r="H92" i="13"/>
  <c r="E48" i="68"/>
  <c r="H91" i="13"/>
  <c r="E42" i="68"/>
  <c r="E41"/>
  <c r="H89" i="13"/>
  <c r="E40" i="68"/>
  <c r="H88" i="13"/>
  <c r="E39" i="68"/>
  <c r="H87" i="13"/>
  <c r="E33" i="68"/>
  <c r="E32"/>
  <c r="E31"/>
  <c r="E30"/>
  <c r="E29"/>
  <c r="E28"/>
  <c r="E27"/>
  <c r="E26"/>
  <c r="E25"/>
  <c r="E24"/>
  <c r="E23"/>
  <c r="E22"/>
  <c r="F57"/>
  <c r="B75"/>
  <c r="D57"/>
  <c r="C57"/>
  <c r="F65"/>
  <c r="F64"/>
  <c r="F63"/>
  <c r="F62"/>
  <c r="F61"/>
  <c r="F60"/>
  <c r="B28" i="8"/>
  <c r="F59" i="68"/>
  <c r="F58"/>
  <c r="F56"/>
  <c r="F55"/>
  <c r="F54"/>
  <c r="F53"/>
  <c r="F52"/>
  <c r="F51"/>
  <c r="F50"/>
  <c r="D50"/>
  <c r="C50"/>
  <c r="F49"/>
  <c r="F48"/>
  <c r="F47"/>
  <c r="F46"/>
  <c r="F45"/>
  <c r="F44"/>
  <c r="F43"/>
  <c r="D43"/>
  <c r="C43"/>
  <c r="F41"/>
  <c r="F42"/>
  <c r="F40"/>
  <c r="F39"/>
  <c r="F38"/>
  <c r="F37"/>
  <c r="F36"/>
  <c r="F35"/>
  <c r="F34"/>
  <c r="D34"/>
  <c r="C34"/>
  <c r="F33"/>
  <c r="F32"/>
  <c r="F30"/>
  <c r="F31"/>
  <c r="F29"/>
  <c r="F28"/>
  <c r="F27"/>
  <c r="F26"/>
  <c r="F24"/>
  <c r="F23"/>
  <c r="F22"/>
  <c r="F21"/>
  <c r="F20"/>
  <c r="F19"/>
  <c r="F18"/>
  <c r="F17"/>
  <c r="F14"/>
  <c r="F6"/>
  <c r="F5"/>
  <c r="F4"/>
  <c r="F3"/>
  <c r="F2"/>
  <c r="E2"/>
  <c r="F1"/>
  <c r="N169" i="67"/>
  <c r="O171"/>
  <c r="O170"/>
  <c r="O169"/>
  <c r="O204"/>
  <c r="O208"/>
  <c r="O1"/>
  <c r="O34"/>
  <c r="O33"/>
  <c r="B95"/>
  <c r="J94"/>
  <c r="J130"/>
  <c r="I94"/>
  <c r="I130"/>
  <c r="H94"/>
  <c r="H130"/>
  <c r="O35"/>
  <c r="O54"/>
  <c r="O53"/>
  <c r="O51"/>
  <c r="O50"/>
  <c r="O49"/>
  <c r="O48"/>
  <c r="O143"/>
  <c r="O142"/>
  <c r="N177"/>
  <c r="I177"/>
  <c r="M177"/>
  <c r="O31"/>
  <c r="O30"/>
  <c r="O29"/>
  <c r="O28"/>
  <c r="O19"/>
  <c r="O68"/>
  <c r="O64"/>
  <c r="O65"/>
  <c r="O63"/>
  <c r="O62"/>
  <c r="O61"/>
  <c r="O60"/>
  <c r="O59"/>
  <c r="O24"/>
  <c r="O23"/>
  <c r="O21"/>
  <c r="O20"/>
  <c r="O18"/>
  <c r="O44"/>
  <c r="O43"/>
  <c r="O42"/>
  <c r="O41"/>
  <c r="O188"/>
  <c r="O196"/>
  <c r="O199"/>
  <c r="O198"/>
  <c r="O197"/>
  <c r="O195"/>
  <c r="M167"/>
  <c r="L167"/>
  <c r="O158"/>
  <c r="I86"/>
  <c r="M86"/>
  <c r="O46"/>
  <c r="O45"/>
  <c r="J46"/>
  <c r="J38"/>
  <c r="O397" i="62"/>
  <c r="O396"/>
  <c r="O395"/>
  <c r="O394"/>
  <c r="O393"/>
  <c r="O392"/>
  <c r="O391"/>
  <c r="O390"/>
  <c r="O389"/>
  <c r="J120"/>
  <c r="I120"/>
  <c r="B111" i="67"/>
  <c r="N81"/>
  <c r="N136"/>
  <c r="O47"/>
  <c r="O40"/>
  <c r="O39"/>
  <c r="O38"/>
  <c r="M155"/>
  <c r="L155"/>
  <c r="N112"/>
  <c r="N123"/>
  <c r="M112"/>
  <c r="M123"/>
  <c r="L112"/>
  <c r="L123"/>
  <c r="N92"/>
  <c r="N125"/>
  <c r="M152"/>
  <c r="L152"/>
  <c r="O151"/>
  <c r="O150"/>
  <c r="L86"/>
  <c r="L135"/>
  <c r="N88"/>
  <c r="N134"/>
  <c r="O203"/>
  <c r="O202"/>
  <c r="O201"/>
  <c r="O200"/>
  <c r="O194"/>
  <c r="O193"/>
  <c r="O192"/>
  <c r="O191"/>
  <c r="O190"/>
  <c r="O189"/>
  <c r="O187"/>
  <c r="O186"/>
  <c r="O183"/>
  <c r="O154"/>
  <c r="O182"/>
  <c r="O173"/>
  <c r="O172"/>
  <c r="O168"/>
  <c r="O167"/>
  <c r="O166"/>
  <c r="O165"/>
  <c r="O164"/>
  <c r="O163"/>
  <c r="O157"/>
  <c r="O156"/>
  <c r="O77"/>
  <c r="O155"/>
  <c r="O153"/>
  <c r="O152"/>
  <c r="O149"/>
  <c r="O148"/>
  <c r="O147"/>
  <c r="O145"/>
  <c r="J103"/>
  <c r="I103"/>
  <c r="H103"/>
  <c r="H126" s="1"/>
  <c r="I92"/>
  <c r="I88"/>
  <c r="I252"/>
  <c r="O76"/>
  <c r="O52"/>
  <c r="O210"/>
  <c r="O209"/>
  <c r="O207"/>
  <c r="O206"/>
  <c r="O205"/>
  <c r="O75"/>
  <c r="O74"/>
  <c r="O73"/>
  <c r="O72"/>
  <c r="O37"/>
  <c r="O36"/>
  <c r="O71"/>
  <c r="O70"/>
  <c r="O69"/>
  <c r="O22"/>
  <c r="O17"/>
  <c r="O16"/>
  <c r="O15"/>
  <c r="O14"/>
  <c r="O13"/>
  <c r="O12"/>
  <c r="O11"/>
  <c r="O3"/>
  <c r="O2"/>
  <c r="B82"/>
  <c r="C60" i="68"/>
  <c r="E201" i="69"/>
  <c r="D60" i="68"/>
  <c r="E66"/>
  <c r="E288" i="69"/>
  <c r="G26"/>
  <c r="B178" i="67"/>
  <c r="B308"/>
  <c r="E63" i="68"/>
  <c r="H90" i="13"/>
  <c r="E147" i="69"/>
  <c r="J26"/>
  <c r="N26"/>
  <c r="D27"/>
  <c r="E24"/>
  <c r="B173" i="67"/>
  <c r="B143"/>
  <c r="B283"/>
  <c r="I261"/>
  <c r="I272"/>
  <c r="I277"/>
  <c r="M252"/>
  <c r="B251"/>
  <c r="B160"/>
  <c r="B162"/>
  <c r="I125"/>
  <c r="M88"/>
  <c r="M134"/>
  <c r="I134"/>
  <c r="B101"/>
  <c r="B109"/>
  <c r="B157"/>
  <c r="B87"/>
  <c r="H156"/>
  <c r="L94"/>
  <c r="L130"/>
  <c r="B175"/>
  <c r="E252" i="69"/>
  <c r="H25"/>
  <c r="H27"/>
  <c r="G22"/>
  <c r="G27"/>
  <c r="E80"/>
  <c r="E290"/>
  <c r="J23"/>
  <c r="J24"/>
  <c r="J25"/>
  <c r="E57" i="68"/>
  <c r="E50"/>
  <c r="E43"/>
  <c r="E34"/>
  <c r="B54" i="67"/>
  <c r="B145"/>
  <c r="J39"/>
  <c r="B47"/>
  <c r="J2"/>
  <c r="L29" i="66"/>
  <c r="O562" i="25"/>
  <c r="O561"/>
  <c r="O560"/>
  <c r="O559"/>
  <c r="O496"/>
  <c r="O495"/>
  <c r="L13" i="66"/>
  <c r="H95" i="13"/>
  <c r="E60" i="68"/>
  <c r="G50"/>
  <c r="J22" i="69"/>
  <c r="E22"/>
  <c r="E25"/>
  <c r="E23"/>
  <c r="E26"/>
  <c r="M272" i="67"/>
  <c r="L156"/>
  <c r="H159"/>
  <c r="H161"/>
  <c r="H172"/>
  <c r="M156"/>
  <c r="I159"/>
  <c r="M159"/>
  <c r="I156"/>
  <c r="N24" i="69"/>
  <c r="J27"/>
  <c r="K22"/>
  <c r="N22"/>
  <c r="K25"/>
  <c r="N25"/>
  <c r="K23"/>
  <c r="N23"/>
  <c r="M94" i="67"/>
  <c r="M130"/>
  <c r="J156"/>
  <c r="N94"/>
  <c r="N130"/>
  <c r="L36" i="66"/>
  <c r="L35"/>
  <c r="L34"/>
  <c r="L33"/>
  <c r="L32"/>
  <c r="L31"/>
  <c r="L30"/>
  <c r="L28"/>
  <c r="L27"/>
  <c r="L26"/>
  <c r="L24"/>
  <c r="L23"/>
  <c r="L22"/>
  <c r="L21"/>
  <c r="L19"/>
  <c r="L18"/>
  <c r="L17"/>
  <c r="L16"/>
  <c r="L15"/>
  <c r="L14"/>
  <c r="L12"/>
  <c r="L10"/>
  <c r="O177" i="41"/>
  <c r="O176"/>
  <c r="O175"/>
  <c r="O174"/>
  <c r="O173"/>
  <c r="O172"/>
  <c r="O171"/>
  <c r="O170"/>
  <c r="O169"/>
  <c r="O168"/>
  <c r="O167"/>
  <c r="O166"/>
  <c r="O165"/>
  <c r="O164"/>
  <c r="O163"/>
  <c r="O162"/>
  <c r="O161"/>
  <c r="O160"/>
  <c r="O159"/>
  <c r="O158"/>
  <c r="O131"/>
  <c r="O130"/>
  <c r="O129"/>
  <c r="O128"/>
  <c r="O127"/>
  <c r="B220" i="7"/>
  <c r="O126" i="41"/>
  <c r="O125"/>
  <c r="O124"/>
  <c r="O123"/>
  <c r="O122"/>
  <c r="O121"/>
  <c r="O120"/>
  <c r="O119"/>
  <c r="O118"/>
  <c r="O117"/>
  <c r="O116"/>
  <c r="O115"/>
  <c r="O114"/>
  <c r="O113"/>
  <c r="O112"/>
  <c r="O111"/>
  <c r="O110"/>
  <c r="O109"/>
  <c r="O108"/>
  <c r="O107"/>
  <c r="O106"/>
  <c r="O105"/>
  <c r="N149"/>
  <c r="O104"/>
  <c r="O103"/>
  <c r="O102"/>
  <c r="O101"/>
  <c r="O100"/>
  <c r="O99"/>
  <c r="O98"/>
  <c r="O97"/>
  <c r="O96"/>
  <c r="O95"/>
  <c r="O94"/>
  <c r="O93"/>
  <c r="O92"/>
  <c r="O91"/>
  <c r="O90"/>
  <c r="O89"/>
  <c r="O88"/>
  <c r="O87"/>
  <c r="O86"/>
  <c r="O85"/>
  <c r="O84"/>
  <c r="O83"/>
  <c r="O82"/>
  <c r="O81"/>
  <c r="O80"/>
  <c r="O79"/>
  <c r="O78"/>
  <c r="O77"/>
  <c r="O75"/>
  <c r="O74"/>
  <c r="O73"/>
  <c r="O72"/>
  <c r="O71"/>
  <c r="O70"/>
  <c r="O69"/>
  <c r="O68"/>
  <c r="O67"/>
  <c r="O66"/>
  <c r="O65"/>
  <c r="O64"/>
  <c r="O63"/>
  <c r="E141"/>
  <c r="O62"/>
  <c r="O61"/>
  <c r="O60"/>
  <c r="O59"/>
  <c r="O58"/>
  <c r="O57"/>
  <c r="O55"/>
  <c r="O54"/>
  <c r="O53"/>
  <c r="O52"/>
  <c r="O51"/>
  <c r="O50"/>
  <c r="O49"/>
  <c r="O48"/>
  <c r="O47"/>
  <c r="O46"/>
  <c r="O45"/>
  <c r="O44"/>
  <c r="O43"/>
  <c r="O42"/>
  <c r="O41"/>
  <c r="O40"/>
  <c r="O39"/>
  <c r="O38"/>
  <c r="O37"/>
  <c r="O36"/>
  <c r="O35"/>
  <c r="O34"/>
  <c r="O33"/>
  <c r="O32"/>
  <c r="O31"/>
  <c r="O30"/>
  <c r="O29"/>
  <c r="O28"/>
  <c r="O27"/>
  <c r="O26"/>
  <c r="O25"/>
  <c r="O24"/>
  <c r="O23"/>
  <c r="O21"/>
  <c r="O20"/>
  <c r="O19"/>
  <c r="O18"/>
  <c r="O17"/>
  <c r="O16"/>
  <c r="O15"/>
  <c r="O14"/>
  <c r="O13"/>
  <c r="O12"/>
  <c r="O10"/>
  <c r="O8"/>
  <c r="O7"/>
  <c r="O6"/>
  <c r="O5"/>
  <c r="O4"/>
  <c r="O3"/>
  <c r="O2"/>
  <c r="O1"/>
  <c r="L752" i="66"/>
  <c r="L750"/>
  <c r="L749"/>
  <c r="L748"/>
  <c r="L747"/>
  <c r="L746"/>
  <c r="L745"/>
  <c r="L744"/>
  <c r="L743"/>
  <c r="L742"/>
  <c r="L741"/>
  <c r="L740"/>
  <c r="L739"/>
  <c r="L738"/>
  <c r="L737"/>
  <c r="L736"/>
  <c r="L735"/>
  <c r="L734"/>
  <c r="L733"/>
  <c r="L732"/>
  <c r="L731"/>
  <c r="L730"/>
  <c r="L729"/>
  <c r="L728"/>
  <c r="L727"/>
  <c r="L726"/>
  <c r="L725"/>
  <c r="L724"/>
  <c r="L723"/>
  <c r="L722"/>
  <c r="L720"/>
  <c r="L718"/>
  <c r="D730"/>
  <c r="D728"/>
  <c r="D727"/>
  <c r="D726"/>
  <c r="D725"/>
  <c r="L699"/>
  <c r="L698"/>
  <c r="I698"/>
  <c r="I695"/>
  <c r="I693"/>
  <c r="I692"/>
  <c r="H694"/>
  <c r="G695"/>
  <c r="G694"/>
  <c r="G693"/>
  <c r="G692"/>
  <c r="F695"/>
  <c r="F694"/>
  <c r="F693"/>
  <c r="F692"/>
  <c r="L721"/>
  <c r="L719"/>
  <c r="L717"/>
  <c r="L716"/>
  <c r="L715"/>
  <c r="L714"/>
  <c r="L713"/>
  <c r="L712"/>
  <c r="L711"/>
  <c r="L710"/>
  <c r="L709"/>
  <c r="L708"/>
  <c r="L707"/>
  <c r="L706"/>
  <c r="L705"/>
  <c r="L704"/>
  <c r="L703"/>
  <c r="L702"/>
  <c r="L701"/>
  <c r="L700"/>
  <c r="L697"/>
  <c r="L696"/>
  <c r="L695"/>
  <c r="L694"/>
  <c r="L693"/>
  <c r="L692"/>
  <c r="L691"/>
  <c r="L690"/>
  <c r="L689"/>
  <c r="L688"/>
  <c r="L687"/>
  <c r="L686"/>
  <c r="L685"/>
  <c r="L684"/>
  <c r="L683"/>
  <c r="L630"/>
  <c r="L633"/>
  <c r="L634"/>
  <c r="L635"/>
  <c r="L636"/>
  <c r="L637"/>
  <c r="L638"/>
  <c r="L639"/>
  <c r="L640"/>
  <c r="L641"/>
  <c r="F615"/>
  <c r="E615"/>
  <c r="F614"/>
  <c r="I626"/>
  <c r="I619"/>
  <c r="I606"/>
  <c r="I603"/>
  <c r="I602"/>
  <c r="I601"/>
  <c r="I597"/>
  <c r="I596"/>
  <c r="I592"/>
  <c r="I590"/>
  <c r="L682"/>
  <c r="L681"/>
  <c r="L680"/>
  <c r="L679"/>
  <c r="L678"/>
  <c r="L677"/>
  <c r="L676"/>
  <c r="L675"/>
  <c r="L674"/>
  <c r="L673"/>
  <c r="L672"/>
  <c r="L671"/>
  <c r="L670"/>
  <c r="L669"/>
  <c r="L668"/>
  <c r="L667"/>
  <c r="L666"/>
  <c r="L665"/>
  <c r="L664"/>
  <c r="L663"/>
  <c r="L662"/>
  <c r="L661"/>
  <c r="L660"/>
  <c r="L659"/>
  <c r="L658"/>
  <c r="L657"/>
  <c r="L656"/>
  <c r="L655"/>
  <c r="L654"/>
  <c r="L653"/>
  <c r="L652"/>
  <c r="L651"/>
  <c r="L650"/>
  <c r="L649"/>
  <c r="L648"/>
  <c r="L647"/>
  <c r="L646"/>
  <c r="L645"/>
  <c r="L644"/>
  <c r="L643"/>
  <c r="L642"/>
  <c r="L632"/>
  <c r="L631"/>
  <c r="L629"/>
  <c r="L628"/>
  <c r="L627"/>
  <c r="L626"/>
  <c r="L625"/>
  <c r="L624"/>
  <c r="L623"/>
  <c r="L622"/>
  <c r="L621"/>
  <c r="L620"/>
  <c r="L619"/>
  <c r="L618"/>
  <c r="L617"/>
  <c r="L616"/>
  <c r="L615"/>
  <c r="L614"/>
  <c r="L613"/>
  <c r="L612"/>
  <c r="L611"/>
  <c r="L610"/>
  <c r="L609"/>
  <c r="L608"/>
  <c r="L607"/>
  <c r="L606"/>
  <c r="L605"/>
  <c r="L604"/>
  <c r="L603"/>
  <c r="L602"/>
  <c r="L601"/>
  <c r="L600"/>
  <c r="L599"/>
  <c r="L598"/>
  <c r="L597"/>
  <c r="L596"/>
  <c r="L595"/>
  <c r="L594"/>
  <c r="L593"/>
  <c r="G584"/>
  <c r="L417"/>
  <c r="L592"/>
  <c r="L591"/>
  <c r="L590"/>
  <c r="L589"/>
  <c r="L588"/>
  <c r="L587"/>
  <c r="L586"/>
  <c r="L585"/>
  <c r="L584"/>
  <c r="L583"/>
  <c r="L582"/>
  <c r="L581"/>
  <c r="L580"/>
  <c r="L579"/>
  <c r="L578"/>
  <c r="L577"/>
  <c r="L576"/>
  <c r="L575"/>
  <c r="L574"/>
  <c r="L573"/>
  <c r="L572"/>
  <c r="L571"/>
  <c r="L570"/>
  <c r="L569"/>
  <c r="L567"/>
  <c r="L565"/>
  <c r="L564"/>
  <c r="L562"/>
  <c r="B566"/>
  <c r="L561"/>
  <c r="L560"/>
  <c r="L559"/>
  <c r="L558"/>
  <c r="L557"/>
  <c r="L556"/>
  <c r="L555"/>
  <c r="L554"/>
  <c r="L553"/>
  <c r="L552"/>
  <c r="L551"/>
  <c r="L550"/>
  <c r="L549"/>
  <c r="L548"/>
  <c r="L547"/>
  <c r="L546"/>
  <c r="L545"/>
  <c r="L544"/>
  <c r="L543"/>
  <c r="L542"/>
  <c r="L541"/>
  <c r="L539"/>
  <c r="L538"/>
  <c r="L537"/>
  <c r="L536"/>
  <c r="L535"/>
  <c r="L534"/>
  <c r="L533"/>
  <c r="L532"/>
  <c r="L531"/>
  <c r="L530"/>
  <c r="L529"/>
  <c r="L528"/>
  <c r="L527"/>
  <c r="L526"/>
  <c r="L525"/>
  <c r="L524"/>
  <c r="L523"/>
  <c r="L522"/>
  <c r="L521"/>
  <c r="L520"/>
  <c r="L519"/>
  <c r="L518"/>
  <c r="L517"/>
  <c r="E519"/>
  <c r="D521"/>
  <c r="D520"/>
  <c r="D518"/>
  <c r="D517"/>
  <c r="D510"/>
  <c r="D509"/>
  <c r="D508"/>
  <c r="D507"/>
  <c r="D506"/>
  <c r="D505"/>
  <c r="D504"/>
  <c r="E521"/>
  <c r="E520"/>
  <c r="E518"/>
  <c r="E517"/>
  <c r="E510"/>
  <c r="E509"/>
  <c r="E508"/>
  <c r="E507"/>
  <c r="E506"/>
  <c r="E505"/>
  <c r="E504"/>
  <c r="C519"/>
  <c r="C521"/>
  <c r="C520"/>
  <c r="C518"/>
  <c r="C517"/>
  <c r="C510"/>
  <c r="C509"/>
  <c r="C508"/>
  <c r="C507"/>
  <c r="C506"/>
  <c r="C505"/>
  <c r="C504"/>
  <c r="H493"/>
  <c r="H492"/>
  <c r="H491"/>
  <c r="H490"/>
  <c r="H489"/>
  <c r="E493"/>
  <c r="E492"/>
  <c r="E491"/>
  <c r="E490"/>
  <c r="E489"/>
  <c r="E488"/>
  <c r="E487"/>
  <c r="J493"/>
  <c r="I493"/>
  <c r="J492"/>
  <c r="I492"/>
  <c r="J491"/>
  <c r="I491"/>
  <c r="J490"/>
  <c r="I490"/>
  <c r="J489"/>
  <c r="I489"/>
  <c r="G493"/>
  <c r="F493"/>
  <c r="G492"/>
  <c r="F492"/>
  <c r="G491"/>
  <c r="F491"/>
  <c r="G490"/>
  <c r="F490"/>
  <c r="G489"/>
  <c r="F489"/>
  <c r="G488"/>
  <c r="F488"/>
  <c r="G487"/>
  <c r="F487"/>
  <c r="L480"/>
  <c r="L453"/>
  <c r="I211" i="26"/>
  <c r="I567" i="66"/>
  <c r="I564"/>
  <c r="B569"/>
  <c r="B567"/>
  <c r="B565"/>
  <c r="B564"/>
  <c r="B562"/>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79"/>
  <c r="L478"/>
  <c r="L477"/>
  <c r="L476"/>
  <c r="I560"/>
  <c r="I474"/>
  <c r="L465"/>
  <c r="I466"/>
  <c r="I460"/>
  <c r="B469"/>
  <c r="B466"/>
  <c r="B462"/>
  <c r="L475"/>
  <c r="L474"/>
  <c r="L473"/>
  <c r="L472"/>
  <c r="L471"/>
  <c r="L469"/>
  <c r="L468"/>
  <c r="L467"/>
  <c r="L466"/>
  <c r="L464"/>
  <c r="L463"/>
  <c r="L462"/>
  <c r="L461"/>
  <c r="L460"/>
  <c r="L459"/>
  <c r="L458"/>
  <c r="L457"/>
  <c r="L456"/>
  <c r="L431"/>
  <c r="L430"/>
  <c r="L429"/>
  <c r="L428"/>
  <c r="I428"/>
  <c r="O106" i="13"/>
  <c r="O105"/>
  <c r="O104"/>
  <c r="I105"/>
  <c r="J105" s="1"/>
  <c r="I450" i="66"/>
  <c r="I447"/>
  <c r="I441"/>
  <c r="H441"/>
  <c r="J273" i="62"/>
  <c r="L455" i="66"/>
  <c r="L454"/>
  <c r="L452"/>
  <c r="L451"/>
  <c r="L450"/>
  <c r="L449"/>
  <c r="L448"/>
  <c r="L447"/>
  <c r="L446"/>
  <c r="L445"/>
  <c r="L444"/>
  <c r="L443"/>
  <c r="L442"/>
  <c r="L441"/>
  <c r="L440"/>
  <c r="L439"/>
  <c r="L438"/>
  <c r="L437"/>
  <c r="L436"/>
  <c r="L435"/>
  <c r="I435"/>
  <c r="L414"/>
  <c r="I412"/>
  <c r="L213"/>
  <c r="L212"/>
  <c r="L211"/>
  <c r="L210"/>
  <c r="L209"/>
  <c r="L208"/>
  <c r="L207"/>
  <c r="L206"/>
  <c r="L205"/>
  <c r="L204"/>
  <c r="L203"/>
  <c r="L202"/>
  <c r="L201"/>
  <c r="L200"/>
  <c r="L199"/>
  <c r="L198"/>
  <c r="I401"/>
  <c r="I400"/>
  <c r="G401"/>
  <c r="G400"/>
  <c r="L434"/>
  <c r="L433"/>
  <c r="L432"/>
  <c r="L427"/>
  <c r="L426"/>
  <c r="L425"/>
  <c r="L424"/>
  <c r="L423"/>
  <c r="L422"/>
  <c r="L421"/>
  <c r="L420"/>
  <c r="L419"/>
  <c r="L418"/>
  <c r="B578"/>
  <c r="L416"/>
  <c r="L415"/>
  <c r="L413"/>
  <c r="L412"/>
  <c r="L410"/>
  <c r="L409"/>
  <c r="L408"/>
  <c r="L407"/>
  <c r="L406"/>
  <c r="L405"/>
  <c r="L404"/>
  <c r="L403"/>
  <c r="L402"/>
  <c r="L401"/>
  <c r="L400"/>
  <c r="L399"/>
  <c r="L398"/>
  <c r="L397"/>
  <c r="B391"/>
  <c r="L396"/>
  <c r="L395"/>
  <c r="L394"/>
  <c r="L393"/>
  <c r="L392"/>
  <c r="L391"/>
  <c r="L390"/>
  <c r="L389"/>
  <c r="L383"/>
  <c r="L382"/>
  <c r="L381"/>
  <c r="L380"/>
  <c r="L379"/>
  <c r="L378"/>
  <c r="L377"/>
  <c r="L376"/>
  <c r="I380"/>
  <c r="H380"/>
  <c r="G380"/>
  <c r="I376"/>
  <c r="I378"/>
  <c r="I372"/>
  <c r="I369"/>
  <c r="L352"/>
  <c r="L341"/>
  <c r="L340"/>
  <c r="L339"/>
  <c r="L338"/>
  <c r="L337"/>
  <c r="L336"/>
  <c r="L335"/>
  <c r="L334"/>
  <c r="L332"/>
  <c r="L331"/>
  <c r="L321"/>
  <c r="B331"/>
  <c r="L375"/>
  <c r="L374"/>
  <c r="L373"/>
  <c r="L372"/>
  <c r="L371"/>
  <c r="L370"/>
  <c r="B379"/>
  <c r="L369"/>
  <c r="L368"/>
  <c r="L367"/>
  <c r="L365"/>
  <c r="L361"/>
  <c r="L360"/>
  <c r="L359"/>
  <c r="L358"/>
  <c r="L357"/>
  <c r="L356"/>
  <c r="L351"/>
  <c r="L350"/>
  <c r="L349"/>
  <c r="L348"/>
  <c r="L344"/>
  <c r="L343"/>
  <c r="L342"/>
  <c r="L333"/>
  <c r="L320"/>
  <c r="L319"/>
  <c r="I359"/>
  <c r="I342"/>
  <c r="L8"/>
  <c r="L7"/>
  <c r="L6"/>
  <c r="L156"/>
  <c r="L280"/>
  <c r="L279"/>
  <c r="L318"/>
  <c r="L317"/>
  <c r="L316"/>
  <c r="L315"/>
  <c r="L314"/>
  <c r="L313"/>
  <c r="L312"/>
  <c r="L311"/>
  <c r="L310"/>
  <c r="L309"/>
  <c r="L308"/>
  <c r="J317"/>
  <c r="I317"/>
  <c r="J316"/>
  <c r="I316"/>
  <c r="J315"/>
  <c r="I315"/>
  <c r="I314"/>
  <c r="J314"/>
  <c r="I307"/>
  <c r="I306"/>
  <c r="I305"/>
  <c r="L292"/>
  <c r="I291"/>
  <c r="I303"/>
  <c r="I302"/>
  <c r="L307"/>
  <c r="L306"/>
  <c r="L305"/>
  <c r="L304"/>
  <c r="L303"/>
  <c r="L302"/>
  <c r="L301"/>
  <c r="L300"/>
  <c r="L299"/>
  <c r="L298"/>
  <c r="L297"/>
  <c r="L296"/>
  <c r="L295"/>
  <c r="L294"/>
  <c r="L293"/>
  <c r="L291"/>
  <c r="L290"/>
  <c r="L289"/>
  <c r="L288"/>
  <c r="L287"/>
  <c r="L286"/>
  <c r="I301"/>
  <c r="I299"/>
  <c r="I298"/>
  <c r="I296"/>
  <c r="I295"/>
  <c r="I294"/>
  <c r="I290"/>
  <c r="I288"/>
  <c r="I287"/>
  <c r="I286"/>
  <c r="I285"/>
  <c r="L285"/>
  <c r="L284"/>
  <c r="L283"/>
  <c r="L282"/>
  <c r="L281"/>
  <c r="L278"/>
  <c r="L250"/>
  <c r="L249"/>
  <c r="L248"/>
  <c r="L247"/>
  <c r="L246"/>
  <c r="L245"/>
  <c r="L233"/>
  <c r="L231"/>
  <c r="L230"/>
  <c r="L229"/>
  <c r="L228"/>
  <c r="L227"/>
  <c r="I231"/>
  <c r="L226"/>
  <c r="L225"/>
  <c r="L224"/>
  <c r="L223"/>
  <c r="L222"/>
  <c r="L221"/>
  <c r="L220"/>
  <c r="L219"/>
  <c r="L218"/>
  <c r="L217"/>
  <c r="L216"/>
  <c r="L215"/>
  <c r="L214"/>
  <c r="L197"/>
  <c r="L196"/>
  <c r="L195"/>
  <c r="L194"/>
  <c r="L193"/>
  <c r="L192"/>
  <c r="L191"/>
  <c r="L190"/>
  <c r="I189"/>
  <c r="I188"/>
  <c r="G191"/>
  <c r="G189"/>
  <c r="G188"/>
  <c r="I177"/>
  <c r="L164"/>
  <c r="I166"/>
  <c r="I165"/>
  <c r="H166"/>
  <c r="H165"/>
  <c r="G166"/>
  <c r="G165"/>
  <c r="F166"/>
  <c r="F165"/>
  <c r="E166"/>
  <c r="E165"/>
  <c r="D166"/>
  <c r="D165"/>
  <c r="C166"/>
  <c r="C165"/>
  <c r="L189"/>
  <c r="L188"/>
  <c r="L187"/>
  <c r="L186"/>
  <c r="L185"/>
  <c r="L181"/>
  <c r="L180"/>
  <c r="L179"/>
  <c r="L178"/>
  <c r="L177"/>
  <c r="L176"/>
  <c r="L175"/>
  <c r="L174"/>
  <c r="L173"/>
  <c r="L172"/>
  <c r="L171"/>
  <c r="L170"/>
  <c r="L169"/>
  <c r="L168"/>
  <c r="L167"/>
  <c r="L166"/>
  <c r="L165"/>
  <c r="L163"/>
  <c r="L162"/>
  <c r="L161"/>
  <c r="L160"/>
  <c r="L159"/>
  <c r="L158"/>
  <c r="L157"/>
  <c r="L155"/>
  <c r="L154"/>
  <c r="L153"/>
  <c r="L152"/>
  <c r="L151"/>
  <c r="L142"/>
  <c r="L143"/>
  <c r="L141"/>
  <c r="L150"/>
  <c r="L149"/>
  <c r="L148"/>
  <c r="L147"/>
  <c r="L146"/>
  <c r="L145"/>
  <c r="L144"/>
  <c r="L140"/>
  <c r="L139"/>
  <c r="L138"/>
  <c r="L137"/>
  <c r="L136"/>
  <c r="L135"/>
  <c r="L134"/>
  <c r="L133"/>
  <c r="L132"/>
  <c r="L131"/>
  <c r="L130"/>
  <c r="L129"/>
  <c r="L128"/>
  <c r="L127"/>
  <c r="L126"/>
  <c r="L125"/>
  <c r="L124"/>
  <c r="L123"/>
  <c r="L122"/>
  <c r="L121"/>
  <c r="L120"/>
  <c r="L11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1"/>
  <c r="L60"/>
  <c r="D64"/>
  <c r="L59"/>
  <c r="L58"/>
  <c r="L57"/>
  <c r="L56"/>
  <c r="L55"/>
  <c r="L54"/>
  <c r="L53"/>
  <c r="L52"/>
  <c r="L51"/>
  <c r="L50"/>
  <c r="L47"/>
  <c r="L46"/>
  <c r="L45"/>
  <c r="L44"/>
  <c r="L43"/>
  <c r="L42"/>
  <c r="L41"/>
  <c r="L40"/>
  <c r="L39"/>
  <c r="L38"/>
  <c r="L37"/>
  <c r="L11"/>
  <c r="L9"/>
  <c r="L5"/>
  <c r="L4"/>
  <c r="L3"/>
  <c r="L2"/>
  <c r="L1"/>
  <c r="I73"/>
  <c r="H63"/>
  <c r="E149" i="41"/>
  <c r="B50" i="67"/>
  <c r="B738" i="66"/>
  <c r="B56" i="41"/>
  <c r="G57" i="68"/>
  <c r="E74"/>
  <c r="E64"/>
  <c r="L11" i="40"/>
  <c r="G43" i="68"/>
  <c r="B12" i="66"/>
  <c r="B599"/>
  <c r="B359"/>
  <c r="B364"/>
  <c r="B194"/>
  <c r="L40" i="58"/>
  <c r="F31" i="57"/>
  <c r="K24" i="69"/>
  <c r="G60" i="68"/>
  <c r="E67"/>
  <c r="G34"/>
  <c r="L159" i="67"/>
  <c r="L161"/>
  <c r="L172"/>
  <c r="I161"/>
  <c r="I172"/>
  <c r="M161"/>
  <c r="M172"/>
  <c r="J159"/>
  <c r="J161"/>
  <c r="J13" i="58"/>
  <c r="H107" i="41"/>
  <c r="J57" i="58"/>
  <c r="J75"/>
  <c r="B76" i="41"/>
  <c r="E99" i="66"/>
  <c r="H489" i="25"/>
  <c r="B206" i="7"/>
  <c r="B740" i="66"/>
  <c r="N27" i="69"/>
  <c r="K26"/>
  <c r="K27"/>
  <c r="N156" i="67"/>
  <c r="G617" i="66"/>
  <c r="B744"/>
  <c r="B742"/>
  <c r="G696"/>
  <c r="B650"/>
  <c r="B595"/>
  <c r="B621"/>
  <c r="B607"/>
  <c r="B577"/>
  <c r="B605"/>
  <c r="B576"/>
  <c r="B575"/>
  <c r="B487"/>
  <c r="B153"/>
  <c r="N159" i="67"/>
  <c r="N161"/>
  <c r="O401" i="7"/>
  <c r="I46" i="66"/>
  <c r="L126" i="30"/>
  <c r="L35"/>
  <c r="L34"/>
  <c r="B40"/>
  <c r="L33"/>
  <c r="L32"/>
  <c r="L45"/>
  <c r="B46"/>
  <c r="L51"/>
  <c r="L50"/>
  <c r="L49"/>
  <c r="L26"/>
  <c r="L129"/>
  <c r="L128"/>
  <c r="E629" i="66"/>
  <c r="L127" i="30"/>
  <c r="L8"/>
  <c r="L6"/>
  <c r="K74" i="6"/>
  <c r="K73"/>
  <c r="K72"/>
  <c r="K71"/>
  <c r="K70"/>
  <c r="K69"/>
  <c r="K68"/>
  <c r="K67"/>
  <c r="K66"/>
  <c r="F75"/>
  <c r="D75"/>
  <c r="O994" i="9"/>
  <c r="X148" i="17"/>
  <c r="X147"/>
  <c r="X146"/>
  <c r="X145"/>
  <c r="X144"/>
  <c r="X143"/>
  <c r="X142"/>
  <c r="X141"/>
  <c r="X140"/>
  <c r="X139"/>
  <c r="X138"/>
  <c r="X137"/>
  <c r="X136"/>
  <c r="X135"/>
  <c r="X134"/>
  <c r="X133"/>
  <c r="X132"/>
  <c r="X131"/>
  <c r="X130"/>
  <c r="X129"/>
  <c r="X128"/>
  <c r="X127"/>
  <c r="X126"/>
  <c r="X125"/>
  <c r="X124"/>
  <c r="X123"/>
  <c r="X122"/>
  <c r="X121"/>
  <c r="X120"/>
  <c r="X119"/>
  <c r="X118"/>
  <c r="X117"/>
  <c r="X116"/>
  <c r="X115"/>
  <c r="X114"/>
  <c r="X113"/>
  <c r="X112"/>
  <c r="X111"/>
  <c r="X110"/>
  <c r="X109"/>
  <c r="X108"/>
  <c r="X107"/>
  <c r="X106"/>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X8"/>
  <c r="X7"/>
  <c r="X6"/>
  <c r="X5"/>
  <c r="X4"/>
  <c r="X3"/>
  <c r="X2"/>
  <c r="X1"/>
  <c r="H75" i="6"/>
  <c r="I2" i="66"/>
  <c r="M139" i="4"/>
  <c r="M138"/>
  <c r="M137"/>
  <c r="M136"/>
  <c r="Q64"/>
  <c r="Q63"/>
  <c r="S64"/>
  <c r="S63"/>
  <c r="O608" i="7"/>
  <c r="O607"/>
  <c r="O606"/>
  <c r="I611"/>
  <c r="I612"/>
  <c r="K506"/>
  <c r="K505"/>
  <c r="K504"/>
  <c r="O347"/>
  <c r="O408"/>
  <c r="O409"/>
  <c r="O410"/>
  <c r="O411"/>
  <c r="O412"/>
  <c r="O402"/>
  <c r="O403"/>
  <c r="O404"/>
  <c r="O405"/>
  <c r="O406"/>
  <c r="O396"/>
  <c r="O395"/>
  <c r="O394"/>
  <c r="O393"/>
  <c r="O392"/>
  <c r="O372"/>
  <c r="I372"/>
  <c r="H372"/>
  <c r="G372"/>
  <c r="L375"/>
  <c r="O366"/>
  <c r="O365"/>
  <c r="O370"/>
  <c r="O364"/>
  <c r="O363"/>
  <c r="O362"/>
  <c r="O361"/>
  <c r="O351"/>
  <c r="O360"/>
  <c r="O354"/>
  <c r="O353"/>
  <c r="O352"/>
  <c r="O350"/>
  <c r="O349"/>
  <c r="O348"/>
  <c r="O346"/>
  <c r="O345"/>
  <c r="O344"/>
  <c r="O343"/>
  <c r="O342"/>
  <c r="O341"/>
  <c r="O340"/>
  <c r="G357"/>
  <c r="G356"/>
  <c r="O339"/>
  <c r="O338"/>
  <c r="O337"/>
  <c r="O332"/>
  <c r="O331"/>
  <c r="O330"/>
  <c r="O329"/>
  <c r="O328"/>
  <c r="O327"/>
  <c r="O326"/>
  <c r="O325"/>
  <c r="O324"/>
  <c r="O323"/>
  <c r="O322"/>
  <c r="O321"/>
  <c r="O320"/>
  <c r="O319"/>
  <c r="O318"/>
  <c r="O317"/>
  <c r="O316"/>
  <c r="O315"/>
  <c r="O314"/>
  <c r="O313"/>
  <c r="O312"/>
  <c r="O311"/>
  <c r="L333"/>
  <c r="O400"/>
  <c r="O399"/>
  <c r="O398"/>
  <c r="O397"/>
  <c r="O391"/>
  <c r="O389"/>
  <c r="O388"/>
  <c r="O387"/>
  <c r="O386"/>
  <c r="O385"/>
  <c r="O384"/>
  <c r="O383"/>
  <c r="O382"/>
  <c r="O381"/>
  <c r="O380"/>
  <c r="O379"/>
  <c r="O378"/>
  <c r="O377"/>
  <c r="O376"/>
  <c r="O375"/>
  <c r="O374"/>
  <c r="O373"/>
  <c r="O371"/>
  <c r="O369"/>
  <c r="O368"/>
  <c r="O367"/>
  <c r="O359"/>
  <c r="O358"/>
  <c r="O357"/>
  <c r="O356"/>
  <c r="O355"/>
  <c r="O336"/>
  <c r="O335"/>
  <c r="O334"/>
  <c r="O333"/>
  <c r="O310"/>
  <c r="O309"/>
  <c r="O308"/>
  <c r="O307"/>
  <c r="O306"/>
  <c r="O305"/>
  <c r="O304"/>
  <c r="O303"/>
  <c r="O302"/>
  <c r="O301"/>
  <c r="O300"/>
  <c r="O299"/>
  <c r="O298"/>
  <c r="O297"/>
  <c r="O296"/>
  <c r="J302"/>
  <c r="J308"/>
  <c r="J301"/>
  <c r="J305"/>
  <c r="J300"/>
  <c r="I306"/>
  <c r="O551"/>
  <c r="O550"/>
  <c r="AG369" i="10"/>
  <c r="AG368"/>
  <c r="AG367"/>
  <c r="AG366"/>
  <c r="AG365"/>
  <c r="AG364"/>
  <c r="AG363"/>
  <c r="AG362"/>
  <c r="AG361"/>
  <c r="AG360"/>
  <c r="AG359"/>
  <c r="AG358"/>
  <c r="AG357"/>
  <c r="AG356"/>
  <c r="AG355"/>
  <c r="AG354"/>
  <c r="AG353"/>
  <c r="AG352"/>
  <c r="AG351"/>
  <c r="AG350"/>
  <c r="AG349"/>
  <c r="AG348"/>
  <c r="AG347"/>
  <c r="AG346"/>
  <c r="AG345"/>
  <c r="AG344"/>
  <c r="AG343"/>
  <c r="AG342"/>
  <c r="AG341"/>
  <c r="AG340"/>
  <c r="AG339"/>
  <c r="AG338"/>
  <c r="AG337"/>
  <c r="O523" i="7"/>
  <c r="O522"/>
  <c r="O460"/>
  <c r="B390"/>
  <c r="B550"/>
  <c r="B401"/>
  <c r="B384"/>
  <c r="B679"/>
  <c r="B81" i="66"/>
  <c r="B334" i="7"/>
  <c r="I385"/>
  <c r="H385"/>
  <c r="G386"/>
  <c r="G397"/>
  <c r="I386"/>
  <c r="H386"/>
  <c r="G387"/>
  <c r="G398"/>
  <c r="I387"/>
  <c r="G388"/>
  <c r="I388"/>
  <c r="H388"/>
  <c r="G385"/>
  <c r="H387"/>
  <c r="I305"/>
  <c r="I307"/>
  <c r="I308"/>
  <c r="G358"/>
  <c r="G355"/>
  <c r="B359"/>
  <c r="B337"/>
  <c r="H305"/>
  <c r="H308"/>
  <c r="O454"/>
  <c r="O453"/>
  <c r="O452"/>
  <c r="O451"/>
  <c r="O450"/>
  <c r="O449"/>
  <c r="O448"/>
  <c r="B523"/>
  <c r="O447"/>
  <c r="O446"/>
  <c r="L336"/>
  <c r="M104" i="4"/>
  <c r="M103"/>
  <c r="M101"/>
  <c r="M10"/>
  <c r="M5"/>
  <c r="M4"/>
  <c r="M81"/>
  <c r="M80"/>
  <c r="M79"/>
  <c r="M78"/>
  <c r="M77"/>
  <c r="M76"/>
  <c r="M75"/>
  <c r="M74"/>
  <c r="M73"/>
  <c r="M72"/>
  <c r="M71"/>
  <c r="M70"/>
  <c r="M69"/>
  <c r="M68"/>
  <c r="M67"/>
  <c r="M66"/>
  <c r="M65"/>
  <c r="M64"/>
  <c r="M63"/>
  <c r="M62"/>
  <c r="M61"/>
  <c r="M60"/>
  <c r="M59"/>
  <c r="M58"/>
  <c r="M57"/>
  <c r="M56"/>
  <c r="M55"/>
  <c r="M54"/>
  <c r="M53"/>
  <c r="M52"/>
  <c r="M51"/>
  <c r="M49"/>
  <c r="B50"/>
  <c r="M48"/>
  <c r="M47"/>
  <c r="M46"/>
  <c r="M45"/>
  <c r="M44"/>
  <c r="M43"/>
  <c r="M41"/>
  <c r="M40"/>
  <c r="M39"/>
  <c r="M38"/>
  <c r="M37"/>
  <c r="M36"/>
  <c r="M33"/>
  <c r="M32"/>
  <c r="M31"/>
  <c r="M30"/>
  <c r="M29"/>
  <c r="M27"/>
  <c r="M26"/>
  <c r="M25"/>
  <c r="M24"/>
  <c r="M23"/>
  <c r="M22"/>
  <c r="M21"/>
  <c r="M20"/>
  <c r="M19"/>
  <c r="M18"/>
  <c r="M17"/>
  <c r="M16"/>
  <c r="M15"/>
  <c r="M14"/>
  <c r="M13"/>
  <c r="F19" i="71"/>
  <c r="M12" i="4"/>
  <c r="M11"/>
  <c r="M9"/>
  <c r="M8"/>
  <c r="M7"/>
  <c r="M6"/>
  <c r="M3"/>
  <c r="M2"/>
  <c r="N105" i="5"/>
  <c r="N104"/>
  <c r="N103"/>
  <c r="N102"/>
  <c r="O230" i="26"/>
  <c r="O238"/>
  <c r="O237"/>
  <c r="O236"/>
  <c r="O235"/>
  <c r="O234"/>
  <c r="O233"/>
  <c r="O232"/>
  <c r="O231"/>
  <c r="O229"/>
  <c r="O228"/>
  <c r="O227"/>
  <c r="O226"/>
  <c r="O225"/>
  <c r="O224"/>
  <c r="O223"/>
  <c r="O222"/>
  <c r="O221"/>
  <c r="O220"/>
  <c r="O219"/>
  <c r="O218"/>
  <c r="O217"/>
  <c r="O216"/>
  <c r="O215"/>
  <c r="O214"/>
  <c r="O213"/>
  <c r="B220"/>
  <c r="O211"/>
  <c r="O210"/>
  <c r="O209"/>
  <c r="O208"/>
  <c r="O207"/>
  <c r="O206"/>
  <c r="O205"/>
  <c r="B215"/>
  <c r="O204"/>
  <c r="O203"/>
  <c r="O202"/>
  <c r="O201"/>
  <c r="O200"/>
  <c r="O199"/>
  <c r="B202"/>
  <c r="O198"/>
  <c r="O197"/>
  <c r="O196"/>
  <c r="O195"/>
  <c r="O194"/>
  <c r="O193"/>
  <c r="O192"/>
  <c r="O191"/>
  <c r="O190"/>
  <c r="O189"/>
  <c r="O174"/>
  <c r="O187"/>
  <c r="O186"/>
  <c r="O185"/>
  <c r="O184"/>
  <c r="O183"/>
  <c r="O179"/>
  <c r="H176"/>
  <c r="O181"/>
  <c r="O180"/>
  <c r="O178"/>
  <c r="O177"/>
  <c r="O182"/>
  <c r="O176"/>
  <c r="O175"/>
  <c r="O173"/>
  <c r="O172"/>
  <c r="O171"/>
  <c r="O170"/>
  <c r="B179"/>
  <c r="O188"/>
  <c r="O169"/>
  <c r="O168"/>
  <c r="O167"/>
  <c r="O166"/>
  <c r="O163"/>
  <c r="O158"/>
  <c r="O157"/>
  <c r="O165"/>
  <c r="O164"/>
  <c r="B167"/>
  <c r="O269"/>
  <c r="O268"/>
  <c r="O267"/>
  <c r="B568" i="66"/>
  <c r="O266" i="26"/>
  <c r="O265"/>
  <c r="O264"/>
  <c r="O263"/>
  <c r="O262"/>
  <c r="O261"/>
  <c r="O260"/>
  <c r="O259"/>
  <c r="O258"/>
  <c r="O23"/>
  <c r="O22"/>
  <c r="O20"/>
  <c r="O19"/>
  <c r="O16"/>
  <c r="O15"/>
  <c r="O14"/>
  <c r="O13"/>
  <c r="O10"/>
  <c r="O9"/>
  <c r="O7"/>
  <c r="O6"/>
  <c r="O5"/>
  <c r="O4"/>
  <c r="O3"/>
  <c r="O2"/>
  <c r="O1"/>
  <c r="O257"/>
  <c r="O256"/>
  <c r="O255"/>
  <c r="O254"/>
  <c r="O253"/>
  <c r="O247"/>
  <c r="O245"/>
  <c r="O249"/>
  <c r="O252"/>
  <c r="O251"/>
  <c r="O250"/>
  <c r="O156"/>
  <c r="O153"/>
  <c r="O151"/>
  <c r="O149"/>
  <c r="O146"/>
  <c r="O129"/>
  <c r="I116"/>
  <c r="I139" s="1"/>
  <c r="H116"/>
  <c r="O248"/>
  <c r="O246"/>
  <c r="O244"/>
  <c r="O243"/>
  <c r="O242"/>
  <c r="O241"/>
  <c r="O240"/>
  <c r="O239"/>
  <c r="O162"/>
  <c r="O161"/>
  <c r="O160"/>
  <c r="O159"/>
  <c r="O155"/>
  <c r="O154"/>
  <c r="O152"/>
  <c r="O150"/>
  <c r="O148"/>
  <c r="O147"/>
  <c r="O145"/>
  <c r="O144"/>
  <c r="O143"/>
  <c r="O142"/>
  <c r="O141"/>
  <c r="O140"/>
  <c r="O139"/>
  <c r="O138"/>
  <c r="O137"/>
  <c r="O136"/>
  <c r="O135"/>
  <c r="O134"/>
  <c r="O133"/>
  <c r="O132"/>
  <c r="B227"/>
  <c r="O131"/>
  <c r="O130"/>
  <c r="O128"/>
  <c r="B149"/>
  <c r="O127"/>
  <c r="O126"/>
  <c r="O125"/>
  <c r="O124"/>
  <c r="B191"/>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4"/>
  <c r="O73"/>
  <c r="O72"/>
  <c r="O68"/>
  <c r="O67"/>
  <c r="O66"/>
  <c r="O65"/>
  <c r="O64"/>
  <c r="O63"/>
  <c r="O62"/>
  <c r="O61"/>
  <c r="O60"/>
  <c r="O59"/>
  <c r="O58"/>
  <c r="O57"/>
  <c r="O56"/>
  <c r="O55"/>
  <c r="O54"/>
  <c r="O53"/>
  <c r="O52"/>
  <c r="O51"/>
  <c r="B559" i="66"/>
  <c r="O50" i="26"/>
  <c r="O49"/>
  <c r="O48"/>
  <c r="O47"/>
  <c r="O46"/>
  <c r="O45"/>
  <c r="O44"/>
  <c r="O43"/>
  <c r="O42"/>
  <c r="O41"/>
  <c r="O40"/>
  <c r="O39"/>
  <c r="O38"/>
  <c r="O314" i="62"/>
  <c r="O313"/>
  <c r="O312"/>
  <c r="O311"/>
  <c r="I54" i="23"/>
  <c r="I56" s="1"/>
  <c r="O371" i="62"/>
  <c r="O370"/>
  <c r="O369"/>
  <c r="O368"/>
  <c r="O367"/>
  <c r="O366"/>
  <c r="O365"/>
  <c r="O364"/>
  <c r="O363"/>
  <c r="O362"/>
  <c r="O361"/>
  <c r="O360"/>
  <c r="O359"/>
  <c r="O358"/>
  <c r="O357"/>
  <c r="O356"/>
  <c r="O355"/>
  <c r="O354"/>
  <c r="O353"/>
  <c r="O352"/>
  <c r="O351"/>
  <c r="O350"/>
  <c r="O349"/>
  <c r="O348"/>
  <c r="O347"/>
  <c r="O346"/>
  <c r="O345"/>
  <c r="O344"/>
  <c r="O342"/>
  <c r="O337"/>
  <c r="O336"/>
  <c r="O335"/>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O272" i="23"/>
  <c r="O271"/>
  <c r="O270"/>
  <c r="AD273"/>
  <c r="O269"/>
  <c r="O243"/>
  <c r="O239"/>
  <c r="O238"/>
  <c r="O237"/>
  <c r="O236"/>
  <c r="O235"/>
  <c r="O242"/>
  <c r="O241"/>
  <c r="O266"/>
  <c r="O267"/>
  <c r="O254"/>
  <c r="O268"/>
  <c r="O265"/>
  <c r="O261"/>
  <c r="O257"/>
  <c r="O260"/>
  <c r="O264"/>
  <c r="O258"/>
  <c r="O259"/>
  <c r="O256"/>
  <c r="O253"/>
  <c r="O263"/>
  <c r="O262"/>
  <c r="O255"/>
  <c r="O249"/>
  <c r="O251"/>
  <c r="O252"/>
  <c r="O250"/>
  <c r="O248"/>
  <c r="O247"/>
  <c r="O246"/>
  <c r="O245"/>
  <c r="Y270"/>
  <c r="O244"/>
  <c r="O240"/>
  <c r="O234"/>
  <c r="O233"/>
  <c r="O232"/>
  <c r="O231"/>
  <c r="O230"/>
  <c r="O229"/>
  <c r="O228"/>
  <c r="R268"/>
  <c r="S268"/>
  <c r="Z73" i="19"/>
  <c r="H6" i="16"/>
  <c r="S264" i="9" s="1"/>
  <c r="H4" i="16"/>
  <c r="Q264" i="9" s="1"/>
  <c r="H5" i="15"/>
  <c r="AL264" i="8" s="1"/>
  <c r="O281" i="62"/>
  <c r="O280"/>
  <c r="O279"/>
  <c r="O278"/>
  <c r="O277"/>
  <c r="O276"/>
  <c r="O275"/>
  <c r="O274"/>
  <c r="O273"/>
  <c r="P232" i="23"/>
  <c r="O272" i="62"/>
  <c r="O271"/>
  <c r="O270"/>
  <c r="O269"/>
  <c r="B280"/>
  <c r="O268"/>
  <c r="O267"/>
  <c r="O266"/>
  <c r="O265"/>
  <c r="O264"/>
  <c r="O263"/>
  <c r="J267"/>
  <c r="I267"/>
  <c r="J279"/>
  <c r="I279"/>
  <c r="N294"/>
  <c r="M294"/>
  <c r="O322"/>
  <c r="O321"/>
  <c r="O320"/>
  <c r="O319"/>
  <c r="O318"/>
  <c r="O317"/>
  <c r="O316"/>
  <c r="O315"/>
  <c r="O310"/>
  <c r="O309"/>
  <c r="O299"/>
  <c r="O297"/>
  <c r="O295"/>
  <c r="O289"/>
  <c r="O288"/>
  <c r="O285"/>
  <c r="O260"/>
  <c r="O258"/>
  <c r="O257"/>
  <c r="I300"/>
  <c r="M300"/>
  <c r="J300"/>
  <c r="N300"/>
  <c r="I298"/>
  <c r="K298"/>
  <c r="J298"/>
  <c r="L298"/>
  <c r="I296"/>
  <c r="M296"/>
  <c r="J296"/>
  <c r="N296"/>
  <c r="O308"/>
  <c r="O307"/>
  <c r="O306"/>
  <c r="O305"/>
  <c r="U232" i="23"/>
  <c r="O304" i="62"/>
  <c r="O303"/>
  <c r="B306"/>
  <c r="O302"/>
  <c r="O301"/>
  <c r="O300"/>
  <c r="O298"/>
  <c r="O296"/>
  <c r="L284"/>
  <c r="O294"/>
  <c r="O293"/>
  <c r="O292"/>
  <c r="O291"/>
  <c r="O290"/>
  <c r="O287"/>
  <c r="O286"/>
  <c r="O284"/>
  <c r="O283"/>
  <c r="O282"/>
  <c r="J292"/>
  <c r="L292"/>
  <c r="I292"/>
  <c r="K292"/>
  <c r="J275"/>
  <c r="I275"/>
  <c r="I273"/>
  <c r="I152" i="7"/>
  <c r="O262" i="62"/>
  <c r="O261"/>
  <c r="O259"/>
  <c r="O256"/>
  <c r="O255"/>
  <c r="O254"/>
  <c r="O253"/>
  <c r="O252"/>
  <c r="O251"/>
  <c r="O250"/>
  <c r="O249"/>
  <c r="O248"/>
  <c r="O247"/>
  <c r="O246"/>
  <c r="O243"/>
  <c r="O242"/>
  <c r="O149"/>
  <c r="O148"/>
  <c r="O147"/>
  <c r="I268" i="23"/>
  <c r="J268"/>
  <c r="I252"/>
  <c r="J252"/>
  <c r="I262"/>
  <c r="J262"/>
  <c r="I250"/>
  <c r="J250"/>
  <c r="I263"/>
  <c r="J263"/>
  <c r="I254"/>
  <c r="J254"/>
  <c r="I258"/>
  <c r="J258"/>
  <c r="I251"/>
  <c r="J251"/>
  <c r="I253"/>
  <c r="J253"/>
  <c r="I255"/>
  <c r="J255"/>
  <c r="K255"/>
  <c r="I256"/>
  <c r="J256"/>
  <c r="I249"/>
  <c r="J249"/>
  <c r="I259"/>
  <c r="J259"/>
  <c r="H260"/>
  <c r="I260"/>
  <c r="J260"/>
  <c r="H266"/>
  <c r="I266"/>
  <c r="J266"/>
  <c r="I267"/>
  <c r="J267"/>
  <c r="I257"/>
  <c r="J257"/>
  <c r="I261"/>
  <c r="J261"/>
  <c r="I265"/>
  <c r="J265"/>
  <c r="I264"/>
  <c r="J264"/>
  <c r="O557" i="25"/>
  <c r="O556"/>
  <c r="O555"/>
  <c r="O554"/>
  <c r="O553"/>
  <c r="O552"/>
  <c r="O551"/>
  <c r="O550"/>
  <c r="O549"/>
  <c r="O548"/>
  <c r="O547"/>
  <c r="L550"/>
  <c r="K2" i="60"/>
  <c r="G2" i="54"/>
  <c r="J2" i="43"/>
  <c r="O2" i="42"/>
  <c r="K2" i="41"/>
  <c r="L2" i="40"/>
  <c r="H2" i="39"/>
  <c r="K2" i="37"/>
  <c r="I2" i="32"/>
  <c r="I2" i="31"/>
  <c r="J2" i="12"/>
  <c r="J2" i="10"/>
  <c r="H2" i="30"/>
  <c r="J1" i="22"/>
  <c r="I2" i="29"/>
  <c r="K2" i="26"/>
  <c r="L1" i="28"/>
  <c r="K1" i="27"/>
  <c r="L1" i="17"/>
  <c r="L1" i="65"/>
  <c r="H2" i="5"/>
  <c r="M2" i="6"/>
  <c r="K2" i="7"/>
  <c r="G2" i="8"/>
  <c r="G2" i="9"/>
  <c r="M2" i="55"/>
  <c r="M2" i="56"/>
  <c r="E2" i="16"/>
  <c r="E2" i="15"/>
  <c r="H2" i="23"/>
  <c r="J1" i="21"/>
  <c r="N2" i="19"/>
  <c r="K2" i="25"/>
  <c r="P97" i="64"/>
  <c r="P216"/>
  <c r="P215"/>
  <c r="O273" i="7"/>
  <c r="O274"/>
  <c r="L53" i="27"/>
  <c r="L52"/>
  <c r="N16" i="5"/>
  <c r="O267" i="8"/>
  <c r="O269" i="9"/>
  <c r="N59" i="5"/>
  <c r="O278" i="19"/>
  <c r="O277"/>
  <c r="O276"/>
  <c r="O279"/>
  <c r="O275"/>
  <c r="O274"/>
  <c r="O273"/>
  <c r="B413" i="66"/>
  <c r="AJ273" i="19"/>
  <c r="AB273"/>
  <c r="T273"/>
  <c r="O35"/>
  <c r="O272" i="25"/>
  <c r="O271"/>
  <c r="O268"/>
  <c r="O267"/>
  <c r="O266"/>
  <c r="O265"/>
  <c r="O264"/>
  <c r="O263"/>
  <c r="O262"/>
  <c r="O261"/>
  <c r="O252"/>
  <c r="O251"/>
  <c r="AO175" i="2"/>
  <c r="AO174"/>
  <c r="AO173"/>
  <c r="AO172"/>
  <c r="AO171"/>
  <c r="AO170"/>
  <c r="AO169"/>
  <c r="AO168"/>
  <c r="AO167"/>
  <c r="AO166"/>
  <c r="AO165"/>
  <c r="AO164"/>
  <c r="AO163"/>
  <c r="AO162"/>
  <c r="AO161"/>
  <c r="AO160"/>
  <c r="AO159"/>
  <c r="O270" i="19"/>
  <c r="N247" i="15"/>
  <c r="N246"/>
  <c r="N245"/>
  <c r="N244"/>
  <c r="N243"/>
  <c r="N242"/>
  <c r="N241"/>
  <c r="N240"/>
  <c r="N239"/>
  <c r="N238"/>
  <c r="N237"/>
  <c r="N236"/>
  <c r="N235"/>
  <c r="N234"/>
  <c r="N233"/>
  <c r="B237"/>
  <c r="N232"/>
  <c r="N231"/>
  <c r="N230"/>
  <c r="N229"/>
  <c r="N228"/>
  <c r="N227"/>
  <c r="N226"/>
  <c r="N225"/>
  <c r="B234"/>
  <c r="N224"/>
  <c r="N223"/>
  <c r="N222"/>
  <c r="N221"/>
  <c r="N220"/>
  <c r="N219"/>
  <c r="N218"/>
  <c r="N217"/>
  <c r="N216"/>
  <c r="N215"/>
  <c r="N214"/>
  <c r="N213"/>
  <c r="N212"/>
  <c r="N211"/>
  <c r="N210"/>
  <c r="N209"/>
  <c r="N89" i="16"/>
  <c r="N88"/>
  <c r="N87"/>
  <c r="N86"/>
  <c r="N85"/>
  <c r="N84"/>
  <c r="N83"/>
  <c r="N208" i="15"/>
  <c r="N207"/>
  <c r="N206"/>
  <c r="N205"/>
  <c r="N204"/>
  <c r="N203"/>
  <c r="N202"/>
  <c r="N201"/>
  <c r="N200"/>
  <c r="N199"/>
  <c r="N198"/>
  <c r="N197"/>
  <c r="N196"/>
  <c r="N195"/>
  <c r="N194"/>
  <c r="N193"/>
  <c r="N192"/>
  <c r="N191"/>
  <c r="N190"/>
  <c r="N189"/>
  <c r="N188"/>
  <c r="N187"/>
  <c r="N186"/>
  <c r="N185"/>
  <c r="N184"/>
  <c r="N183"/>
  <c r="N182"/>
  <c r="N181"/>
  <c r="N180"/>
  <c r="N179"/>
  <c r="J183"/>
  <c r="N178"/>
  <c r="N177"/>
  <c r="N176"/>
  <c r="N175"/>
  <c r="N174"/>
  <c r="N173"/>
  <c r="N172"/>
  <c r="N171"/>
  <c r="N170"/>
  <c r="N169"/>
  <c r="N94"/>
  <c r="O430" i="25"/>
  <c r="O429"/>
  <c r="O32" i="34"/>
  <c r="G36"/>
  <c r="F36"/>
  <c r="O30"/>
  <c r="O29"/>
  <c r="O28"/>
  <c r="I119"/>
  <c r="H127" s="1"/>
  <c r="O160"/>
  <c r="O159"/>
  <c r="O158"/>
  <c r="O20"/>
  <c r="O13"/>
  <c r="O9"/>
  <c r="M135" i="4"/>
  <c r="M134"/>
  <c r="M133"/>
  <c r="M132"/>
  <c r="M131"/>
  <c r="M130"/>
  <c r="M129"/>
  <c r="M128"/>
  <c r="M127"/>
  <c r="M126"/>
  <c r="M125"/>
  <c r="M124"/>
  <c r="M123"/>
  <c r="M122"/>
  <c r="M121"/>
  <c r="M120"/>
  <c r="M119"/>
  <c r="M118"/>
  <c r="M117"/>
  <c r="M116"/>
  <c r="M115"/>
  <c r="M114"/>
  <c r="H27" i="6"/>
  <c r="M113" i="4"/>
  <c r="M112"/>
  <c r="M111"/>
  <c r="M110"/>
  <c r="M109"/>
  <c r="M108"/>
  <c r="M107"/>
  <c r="M106"/>
  <c r="M105"/>
  <c r="M102"/>
  <c r="M100"/>
  <c r="M99"/>
  <c r="M98"/>
  <c r="M97"/>
  <c r="M96"/>
  <c r="M95"/>
  <c r="M94"/>
  <c r="M93"/>
  <c r="M92"/>
  <c r="M91"/>
  <c r="M90"/>
  <c r="J144" i="13"/>
  <c r="M89" i="4"/>
  <c r="M88"/>
  <c r="M87"/>
  <c r="G15"/>
  <c r="M86"/>
  <c r="M85"/>
  <c r="M84"/>
  <c r="M83"/>
  <c r="M82"/>
  <c r="O404" i="25"/>
  <c r="O403"/>
  <c r="O399"/>
  <c r="O398"/>
  <c r="O397"/>
  <c r="O396"/>
  <c r="O395"/>
  <c r="O236"/>
  <c r="O235"/>
  <c r="O234"/>
  <c r="O233"/>
  <c r="O232"/>
  <c r="O231"/>
  <c r="B232" s="1"/>
  <c r="O230"/>
  <c r="O229"/>
  <c r="O317"/>
  <c r="O315"/>
  <c r="O316"/>
  <c r="O314"/>
  <c r="O313"/>
  <c r="O312"/>
  <c r="O311"/>
  <c r="O310"/>
  <c r="B31" i="5"/>
  <c r="N75"/>
  <c r="N73"/>
  <c r="N72"/>
  <c r="BF261" i="9"/>
  <c r="N71" i="5"/>
  <c r="N85"/>
  <c r="N84"/>
  <c r="O21" i="25"/>
  <c r="O20"/>
  <c r="O19"/>
  <c r="O18"/>
  <c r="O16"/>
  <c r="N245"/>
  <c r="O431"/>
  <c r="O428"/>
  <c r="O426"/>
  <c r="O425"/>
  <c r="O407"/>
  <c r="O406"/>
  <c r="O423"/>
  <c r="O422"/>
  <c r="O421"/>
  <c r="H494" s="1"/>
  <c r="O420"/>
  <c r="O419"/>
  <c r="O418"/>
  <c r="O417"/>
  <c r="O416"/>
  <c r="O370"/>
  <c r="O369"/>
  <c r="O367"/>
  <c r="O366"/>
  <c r="O365"/>
  <c r="O364"/>
  <c r="O363"/>
  <c r="O362"/>
  <c r="O361"/>
  <c r="L326"/>
  <c r="L338" s="1"/>
  <c r="K326"/>
  <c r="K348" s="1"/>
  <c r="L325"/>
  <c r="L337" s="1"/>
  <c r="K325"/>
  <c r="K347" s="1"/>
  <c r="O279"/>
  <c r="O278"/>
  <c r="O277"/>
  <c r="O242"/>
  <c r="O241"/>
  <c r="O240"/>
  <c r="O239"/>
  <c r="O224"/>
  <c r="O223"/>
  <c r="O220"/>
  <c r="O219"/>
  <c r="O228"/>
  <c r="O226"/>
  <c r="O225"/>
  <c r="O222"/>
  <c r="O221"/>
  <c r="B224" s="1"/>
  <c r="O218"/>
  <c r="O217"/>
  <c r="O216"/>
  <c r="O215"/>
  <c r="O214"/>
  <c r="O213"/>
  <c r="O212"/>
  <c r="B222"/>
  <c r="B218"/>
  <c r="O305"/>
  <c r="AQ326" i="9"/>
  <c r="O301" i="25"/>
  <c r="O300"/>
  <c r="O276"/>
  <c r="O275"/>
  <c r="O274"/>
  <c r="O273"/>
  <c r="O270"/>
  <c r="O269"/>
  <c r="O260"/>
  <c r="O259"/>
  <c r="O258"/>
  <c r="L245"/>
  <c r="O257"/>
  <c r="O256"/>
  <c r="O255"/>
  <c r="O254"/>
  <c r="O253"/>
  <c r="O250"/>
  <c r="O249"/>
  <c r="O248"/>
  <c r="O247"/>
  <c r="B252" s="1"/>
  <c r="O246"/>
  <c r="O245"/>
  <c r="O244"/>
  <c r="O243"/>
  <c r="B246" s="1"/>
  <c r="O238"/>
  <c r="O237"/>
  <c r="O209"/>
  <c r="O208"/>
  <c r="O207"/>
  <c r="O206"/>
  <c r="O205"/>
  <c r="O204"/>
  <c r="O203"/>
  <c r="O202"/>
  <c r="O211"/>
  <c r="O210"/>
  <c r="O201"/>
  <c r="O200"/>
  <c r="B209" s="1"/>
  <c r="O199"/>
  <c r="O198"/>
  <c r="O197"/>
  <c r="O196"/>
  <c r="O195"/>
  <c r="L198"/>
  <c r="O332" i="19"/>
  <c r="J103" i="29"/>
  <c r="I425" i="66"/>
  <c r="I103" i="29"/>
  <c r="H425" i="66"/>
  <c r="O322" i="29"/>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4"/>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3"/>
  <c r="O182"/>
  <c r="O181"/>
  <c r="O180"/>
  <c r="O179"/>
  <c r="O178"/>
  <c r="O177"/>
  <c r="O176"/>
  <c r="O175"/>
  <c r="O174"/>
  <c r="O173"/>
  <c r="O172"/>
  <c r="O171"/>
  <c r="O170"/>
  <c r="O169"/>
  <c r="O168"/>
  <c r="O167"/>
  <c r="O166"/>
  <c r="O165"/>
  <c r="O164"/>
  <c r="O163"/>
  <c r="O162"/>
  <c r="O161"/>
  <c r="O160"/>
  <c r="O159"/>
  <c r="O158"/>
  <c r="O157"/>
  <c r="O156"/>
  <c r="O155"/>
  <c r="O154"/>
  <c r="O153"/>
  <c r="O152"/>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B375" i="19"/>
  <c r="O90" i="29"/>
  <c r="O89"/>
  <c r="O88"/>
  <c r="O87"/>
  <c r="J420" i="66"/>
  <c r="O86" i="29"/>
  <c r="O85"/>
  <c r="O84"/>
  <c r="O83"/>
  <c r="O82"/>
  <c r="O81"/>
  <c r="O79"/>
  <c r="O78"/>
  <c r="O54"/>
  <c r="B205" i="25"/>
  <c r="O53" i="29"/>
  <c r="B199" i="25"/>
  <c r="O52" i="29"/>
  <c r="O51"/>
  <c r="O50"/>
  <c r="O49"/>
  <c r="B168" i="19"/>
  <c r="O48" i="29"/>
  <c r="O47"/>
  <c r="O46"/>
  <c r="O45"/>
  <c r="O44"/>
  <c r="O43"/>
  <c r="O42"/>
  <c r="O41"/>
  <c r="O40"/>
  <c r="O39"/>
  <c r="O38"/>
  <c r="O37"/>
  <c r="O36"/>
  <c r="O35"/>
  <c r="O34"/>
  <c r="O33"/>
  <c r="O32"/>
  <c r="O31"/>
  <c r="O30"/>
  <c r="O29"/>
  <c r="O28"/>
  <c r="O26"/>
  <c r="O25"/>
  <c r="O24"/>
  <c r="O23"/>
  <c r="O22"/>
  <c r="O21"/>
  <c r="O20"/>
  <c r="O19"/>
  <c r="O18"/>
  <c r="O17"/>
  <c r="O16"/>
  <c r="O15"/>
  <c r="O14"/>
  <c r="O13"/>
  <c r="O12"/>
  <c r="O11"/>
  <c r="O10"/>
  <c r="O9"/>
  <c r="O8"/>
  <c r="O7"/>
  <c r="O6"/>
  <c r="O5"/>
  <c r="O4"/>
  <c r="O3"/>
  <c r="O2"/>
  <c r="O1"/>
  <c r="O178" i="62"/>
  <c r="O176"/>
  <c r="O157" i="34"/>
  <c r="O156"/>
  <c r="O155"/>
  <c r="O154"/>
  <c r="O153"/>
  <c r="O152"/>
  <c r="O151"/>
  <c r="O78"/>
  <c r="R83"/>
  <c r="R94"/>
  <c r="S94"/>
  <c r="R93"/>
  <c r="S93"/>
  <c r="R92"/>
  <c r="S92"/>
  <c r="R91"/>
  <c r="R90"/>
  <c r="R89"/>
  <c r="S89"/>
  <c r="R88"/>
  <c r="R87"/>
  <c r="R86"/>
  <c r="R85"/>
  <c r="S85"/>
  <c r="R84"/>
  <c r="S78"/>
  <c r="R78"/>
  <c r="U76"/>
  <c r="O150"/>
  <c r="O149"/>
  <c r="O148"/>
  <c r="O147"/>
  <c r="O146"/>
  <c r="O145"/>
  <c r="O144"/>
  <c r="O143"/>
  <c r="O142"/>
  <c r="O141"/>
  <c r="O140"/>
  <c r="O139"/>
  <c r="O138"/>
  <c r="F141"/>
  <c r="F143"/>
  <c r="F135"/>
  <c r="F150"/>
  <c r="O131"/>
  <c r="O128"/>
  <c r="O137"/>
  <c r="O136"/>
  <c r="O135"/>
  <c r="O134"/>
  <c r="O133"/>
  <c r="O132"/>
  <c r="O130"/>
  <c r="O129"/>
  <c r="B132"/>
  <c r="O127"/>
  <c r="O125"/>
  <c r="O124"/>
  <c r="O62"/>
  <c r="O61"/>
  <c r="O68"/>
  <c r="O67"/>
  <c r="O66"/>
  <c r="I123"/>
  <c r="O126"/>
  <c r="O123"/>
  <c r="O122"/>
  <c r="O121"/>
  <c r="O120"/>
  <c r="O119"/>
  <c r="O118"/>
  <c r="O117"/>
  <c r="O116"/>
  <c r="O115"/>
  <c r="O114"/>
  <c r="O113"/>
  <c r="O112"/>
  <c r="O111"/>
  <c r="O110"/>
  <c r="O109"/>
  <c r="O108"/>
  <c r="H106"/>
  <c r="H105"/>
  <c r="H104"/>
  <c r="F106"/>
  <c r="F104"/>
  <c r="F105"/>
  <c r="E106"/>
  <c r="G106"/>
  <c r="I106"/>
  <c r="E105"/>
  <c r="G105"/>
  <c r="E104"/>
  <c r="G104"/>
  <c r="F75"/>
  <c r="O79"/>
  <c r="O77"/>
  <c r="O76"/>
  <c r="O75"/>
  <c r="J79"/>
  <c r="O74"/>
  <c r="O107"/>
  <c r="O106"/>
  <c r="O105"/>
  <c r="O104"/>
  <c r="O103"/>
  <c r="O102"/>
  <c r="O101"/>
  <c r="O100"/>
  <c r="O99"/>
  <c r="J71"/>
  <c r="O98"/>
  <c r="J67"/>
  <c r="O97"/>
  <c r="J69"/>
  <c r="O96"/>
  <c r="O95"/>
  <c r="O94"/>
  <c r="O93"/>
  <c r="O92"/>
  <c r="O91"/>
  <c r="O90"/>
  <c r="O89"/>
  <c r="O88"/>
  <c r="O87"/>
  <c r="O86"/>
  <c r="O85"/>
  <c r="O84"/>
  <c r="O83"/>
  <c r="O82"/>
  <c r="O81"/>
  <c r="O80"/>
  <c r="O73"/>
  <c r="J78"/>
  <c r="O72"/>
  <c r="O71"/>
  <c r="O70"/>
  <c r="O69"/>
  <c r="J73"/>
  <c r="O65"/>
  <c r="O64"/>
  <c r="O63"/>
  <c r="O60"/>
  <c r="O59"/>
  <c r="O58"/>
  <c r="J10"/>
  <c r="O428"/>
  <c r="F73"/>
  <c r="E73"/>
  <c r="O379" i="19"/>
  <c r="O378"/>
  <c r="AG144" i="24"/>
  <c r="AG143"/>
  <c r="AG142"/>
  <c r="AG141"/>
  <c r="AG140"/>
  <c r="AG139"/>
  <c r="AG138"/>
  <c r="AG137"/>
  <c r="AG136"/>
  <c r="AG135"/>
  <c r="AG134"/>
  <c r="AG133"/>
  <c r="AG132"/>
  <c r="AG131"/>
  <c r="AG130"/>
  <c r="AG129"/>
  <c r="B132"/>
  <c r="AG128"/>
  <c r="AG127"/>
  <c r="AG126"/>
  <c r="AG125"/>
  <c r="AG124"/>
  <c r="AG123"/>
  <c r="AG122"/>
  <c r="AG121"/>
  <c r="AG120"/>
  <c r="AG119"/>
  <c r="AG118"/>
  <c r="AG117"/>
  <c r="AG116"/>
  <c r="AG115"/>
  <c r="AG114"/>
  <c r="AG113"/>
  <c r="AG112"/>
  <c r="AG111"/>
  <c r="AG110"/>
  <c r="AG109"/>
  <c r="AG108"/>
  <c r="AG107"/>
  <c r="AG106"/>
  <c r="AG105"/>
  <c r="AG104"/>
  <c r="AG103"/>
  <c r="AG102"/>
  <c r="AG101"/>
  <c r="AG100"/>
  <c r="AG99"/>
  <c r="AG98"/>
  <c r="AG97"/>
  <c r="B117"/>
  <c r="AG96"/>
  <c r="AG95"/>
  <c r="AG94"/>
  <c r="AG93"/>
  <c r="AG92"/>
  <c r="AG91"/>
  <c r="AG90"/>
  <c r="AG89"/>
  <c r="AG88"/>
  <c r="AG87"/>
  <c r="AG86"/>
  <c r="AG85"/>
  <c r="AG84"/>
  <c r="AG83"/>
  <c r="AG82"/>
  <c r="AG81"/>
  <c r="AG80"/>
  <c r="AG79"/>
  <c r="AG78"/>
  <c r="AG77"/>
  <c r="AG76"/>
  <c r="AG75"/>
  <c r="AG74"/>
  <c r="AG73"/>
  <c r="AG72"/>
  <c r="AG71"/>
  <c r="AG70"/>
  <c r="AG69"/>
  <c r="AG68"/>
  <c r="AG67"/>
  <c r="AG66"/>
  <c r="AG65"/>
  <c r="AG64"/>
  <c r="AG63"/>
  <c r="AG62"/>
  <c r="AG61"/>
  <c r="AG60"/>
  <c r="AG59"/>
  <c r="AG58"/>
  <c r="AG57"/>
  <c r="AG56"/>
  <c r="AG55"/>
  <c r="AG54"/>
  <c r="AG53"/>
  <c r="AG52"/>
  <c r="AG51"/>
  <c r="AG50"/>
  <c r="AG49"/>
  <c r="AG48"/>
  <c r="AG47"/>
  <c r="AG46"/>
  <c r="AG45"/>
  <c r="AG44"/>
  <c r="AG43"/>
  <c r="AG42"/>
  <c r="AG41"/>
  <c r="AG40"/>
  <c r="AG39"/>
  <c r="AG38"/>
  <c r="AG37"/>
  <c r="AG36"/>
  <c r="AG35"/>
  <c r="AG34"/>
  <c r="AG33"/>
  <c r="AG32"/>
  <c r="AG31"/>
  <c r="AG30"/>
  <c r="AG29"/>
  <c r="AG28"/>
  <c r="AG27"/>
  <c r="AG26"/>
  <c r="AG25"/>
  <c r="AG24"/>
  <c r="AG23"/>
  <c r="AG22"/>
  <c r="AG21"/>
  <c r="AG20"/>
  <c r="AG19"/>
  <c r="AG18"/>
  <c r="AG17"/>
  <c r="AG16"/>
  <c r="AG15"/>
  <c r="AG14"/>
  <c r="AG13"/>
  <c r="AG12"/>
  <c r="AG11"/>
  <c r="AG10"/>
  <c r="AG9"/>
  <c r="AG8"/>
  <c r="O546" i="25"/>
  <c r="O545"/>
  <c r="O544"/>
  <c r="O543"/>
  <c r="O542"/>
  <c r="O541"/>
  <c r="O540"/>
  <c r="O539"/>
  <c r="O538"/>
  <c r="O537"/>
  <c r="O536"/>
  <c r="O535"/>
  <c r="O534"/>
  <c r="O533"/>
  <c r="O532"/>
  <c r="O531"/>
  <c r="O530"/>
  <c r="O529"/>
  <c r="O528"/>
  <c r="O527"/>
  <c r="O526"/>
  <c r="B538" s="1"/>
  <c r="O525"/>
  <c r="O524"/>
  <c r="O523"/>
  <c r="J532"/>
  <c r="J526"/>
  <c r="J530" s="1"/>
  <c r="O427" i="34"/>
  <c r="O426"/>
  <c r="O425"/>
  <c r="O424"/>
  <c r="O423"/>
  <c r="O422"/>
  <c r="O421"/>
  <c r="O420"/>
  <c r="O419"/>
  <c r="O418"/>
  <c r="O417"/>
  <c r="O416"/>
  <c r="O415"/>
  <c r="O414"/>
  <c r="O413"/>
  <c r="O412"/>
  <c r="O411"/>
  <c r="O410"/>
  <c r="O409"/>
  <c r="O408"/>
  <c r="O407"/>
  <c r="O406"/>
  <c r="O405"/>
  <c r="O404"/>
  <c r="O403"/>
  <c r="O402"/>
  <c r="O401"/>
  <c r="O400"/>
  <c r="O399"/>
  <c r="O398"/>
  <c r="O397"/>
  <c r="O396"/>
  <c r="O395"/>
  <c r="O394"/>
  <c r="O393"/>
  <c r="O392"/>
  <c r="O391"/>
  <c r="O390"/>
  <c r="O389"/>
  <c r="O56"/>
  <c r="O303"/>
  <c r="O388"/>
  <c r="O387"/>
  <c r="O386"/>
  <c r="O385"/>
  <c r="B388"/>
  <c r="O384"/>
  <c r="O383"/>
  <c r="O382"/>
  <c r="O381"/>
  <c r="O380"/>
  <c r="O379"/>
  <c r="O378"/>
  <c r="O377"/>
  <c r="O376"/>
  <c r="O375"/>
  <c r="O374"/>
  <c r="O373"/>
  <c r="O372"/>
  <c r="O369"/>
  <c r="O370"/>
  <c r="O371"/>
  <c r="O368"/>
  <c r="O367"/>
  <c r="B370"/>
  <c r="O366"/>
  <c r="O365"/>
  <c r="O364"/>
  <c r="O363"/>
  <c r="O362"/>
  <c r="O361"/>
  <c r="O360"/>
  <c r="O359"/>
  <c r="O358"/>
  <c r="O357"/>
  <c r="O356"/>
  <c r="O355"/>
  <c r="O354"/>
  <c r="O353"/>
  <c r="O352"/>
  <c r="O351"/>
  <c r="O350"/>
  <c r="O349"/>
  <c r="O348"/>
  <c r="O347"/>
  <c r="J18"/>
  <c r="O346"/>
  <c r="F359"/>
  <c r="P162" i="60"/>
  <c r="F357" i="34"/>
  <c r="O345"/>
  <c r="O17"/>
  <c r="O18"/>
  <c r="O19"/>
  <c r="G53" i="60"/>
  <c r="Q53" s="1"/>
  <c r="Z53" s="1"/>
  <c r="AI53" s="1"/>
  <c r="AR53" s="1"/>
  <c r="BA53" s="1"/>
  <c r="BJ53" s="1"/>
  <c r="BS53" s="1"/>
  <c r="P261"/>
  <c r="P260"/>
  <c r="P232"/>
  <c r="P222"/>
  <c r="P221"/>
  <c r="P220"/>
  <c r="P219"/>
  <c r="P218"/>
  <c r="P217"/>
  <c r="P216"/>
  <c r="P215"/>
  <c r="P214"/>
  <c r="P122"/>
  <c r="P9"/>
  <c r="P8"/>
  <c r="P7"/>
  <c r="P6"/>
  <c r="P5"/>
  <c r="P4"/>
  <c r="O55" i="34"/>
  <c r="O54"/>
  <c r="O53"/>
  <c r="O52"/>
  <c r="O51"/>
  <c r="O16"/>
  <c r="O15"/>
  <c r="O14"/>
  <c r="J611" i="25"/>
  <c r="O613"/>
  <c r="O612"/>
  <c r="O611"/>
  <c r="O610"/>
  <c r="O609"/>
  <c r="O608"/>
  <c r="O607"/>
  <c r="B612" s="1"/>
  <c r="O606"/>
  <c r="O605"/>
  <c r="B610" s="1"/>
  <c r="O604"/>
  <c r="O603"/>
  <c r="O602"/>
  <c r="O601"/>
  <c r="O600"/>
  <c r="O599"/>
  <c r="O598"/>
  <c r="O597"/>
  <c r="O596"/>
  <c r="O595"/>
  <c r="O594"/>
  <c r="O593"/>
  <c r="O592"/>
  <c r="O591"/>
  <c r="O590"/>
  <c r="O589"/>
  <c r="O588"/>
  <c r="O587"/>
  <c r="O586"/>
  <c r="O585"/>
  <c r="O584"/>
  <c r="J585"/>
  <c r="J587" s="1"/>
  <c r="O570"/>
  <c r="O569"/>
  <c r="O583"/>
  <c r="O582"/>
  <c r="O581"/>
  <c r="O580"/>
  <c r="O579"/>
  <c r="O578"/>
  <c r="O577"/>
  <c r="O576"/>
  <c r="O575"/>
  <c r="O574"/>
  <c r="O573"/>
  <c r="O25"/>
  <c r="J41" i="43"/>
  <c r="J40"/>
  <c r="O57" i="13"/>
  <c r="O532" i="7"/>
  <c r="O531"/>
  <c r="O466"/>
  <c r="O465"/>
  <c r="O464"/>
  <c r="O517"/>
  <c r="O516"/>
  <c r="O515"/>
  <c r="O514"/>
  <c r="O513"/>
  <c r="O512"/>
  <c r="O524"/>
  <c r="O528"/>
  <c r="O530"/>
  <c r="O529"/>
  <c r="O527"/>
  <c r="O526"/>
  <c r="O525"/>
  <c r="O521"/>
  <c r="O520"/>
  <c r="O519"/>
  <c r="O518"/>
  <c r="O511"/>
  <c r="O510"/>
  <c r="O509"/>
  <c r="O508"/>
  <c r="O507"/>
  <c r="O506"/>
  <c r="O505"/>
  <c r="O504"/>
  <c r="O503"/>
  <c r="O502"/>
  <c r="O501"/>
  <c r="L495"/>
  <c r="K499"/>
  <c r="L492"/>
  <c r="L494"/>
  <c r="L505"/>
  <c r="J506"/>
  <c r="J507"/>
  <c r="O494"/>
  <c r="O500"/>
  <c r="O491"/>
  <c r="O490"/>
  <c r="O489"/>
  <c r="O488"/>
  <c r="O487"/>
  <c r="O499"/>
  <c r="O498"/>
  <c r="O497"/>
  <c r="O496"/>
  <c r="O495"/>
  <c r="O493"/>
  <c r="O492"/>
  <c r="O486"/>
  <c r="O485"/>
  <c r="O484"/>
  <c r="O483"/>
  <c r="O482"/>
  <c r="O481"/>
  <c r="O480"/>
  <c r="O479"/>
  <c r="O478"/>
  <c r="O477"/>
  <c r="O476"/>
  <c r="O475"/>
  <c r="O474"/>
  <c r="O473"/>
  <c r="O472"/>
  <c r="O471"/>
  <c r="O470"/>
  <c r="O469"/>
  <c r="O468"/>
  <c r="O81"/>
  <c r="K527"/>
  <c r="K528" s="1"/>
  <c r="J527"/>
  <c r="J528" s="1"/>
  <c r="O61"/>
  <c r="O537"/>
  <c r="O536"/>
  <c r="O535"/>
  <c r="O534"/>
  <c r="O533"/>
  <c r="O467"/>
  <c r="O463"/>
  <c r="O462"/>
  <c r="AG336" i="10"/>
  <c r="AG335"/>
  <c r="AG334"/>
  <c r="AG333"/>
  <c r="AG332"/>
  <c r="AG331"/>
  <c r="AG330"/>
  <c r="AG329"/>
  <c r="AG328"/>
  <c r="AG327"/>
  <c r="AG326"/>
  <c r="AG325"/>
  <c r="AG324"/>
  <c r="AG323"/>
  <c r="AG322"/>
  <c r="AG321"/>
  <c r="AG320"/>
  <c r="AG319"/>
  <c r="AG318"/>
  <c r="AG317"/>
  <c r="AG316"/>
  <c r="AG315"/>
  <c r="AG314"/>
  <c r="AG313"/>
  <c r="AG312"/>
  <c r="AG311"/>
  <c r="AG310"/>
  <c r="AG309"/>
  <c r="AG308"/>
  <c r="AG307"/>
  <c r="AG306"/>
  <c r="AG305"/>
  <c r="AG304"/>
  <c r="AG303"/>
  <c r="AG302"/>
  <c r="AG301"/>
  <c r="AG300"/>
  <c r="AG299"/>
  <c r="AG298"/>
  <c r="AG297"/>
  <c r="AG296"/>
  <c r="AG295"/>
  <c r="AG294"/>
  <c r="AG293"/>
  <c r="AG292"/>
  <c r="AG291"/>
  <c r="AG290"/>
  <c r="AG289"/>
  <c r="AG288"/>
  <c r="AG287"/>
  <c r="AG286"/>
  <c r="AG285"/>
  <c r="AG284"/>
  <c r="AG283"/>
  <c r="AG282"/>
  <c r="AG281"/>
  <c r="AG280"/>
  <c r="AG279"/>
  <c r="AG278"/>
  <c r="AG277"/>
  <c r="AG276"/>
  <c r="AG275"/>
  <c r="AG274"/>
  <c r="AG273"/>
  <c r="AG272"/>
  <c r="AG271"/>
  <c r="AG270"/>
  <c r="AG269"/>
  <c r="AG268"/>
  <c r="AG267"/>
  <c r="AG266"/>
  <c r="AG265"/>
  <c r="AG264"/>
  <c r="AG263"/>
  <c r="AG262"/>
  <c r="AG261"/>
  <c r="AG260"/>
  <c r="AG259"/>
  <c r="AG258"/>
  <c r="AG257"/>
  <c r="AG256"/>
  <c r="AG255"/>
  <c r="AG254"/>
  <c r="AG253"/>
  <c r="AG252"/>
  <c r="AG251"/>
  <c r="AG250"/>
  <c r="AG249"/>
  <c r="AG248"/>
  <c r="AG247"/>
  <c r="AG246"/>
  <c r="AG245"/>
  <c r="AG244"/>
  <c r="AG243"/>
  <c r="AG242"/>
  <c r="AG241"/>
  <c r="AG240"/>
  <c r="AG239"/>
  <c r="AG238"/>
  <c r="AG237"/>
  <c r="AG236"/>
  <c r="AG235"/>
  <c r="AG234"/>
  <c r="AG233"/>
  <c r="AG232"/>
  <c r="AG231"/>
  <c r="AG230"/>
  <c r="AG229"/>
  <c r="AG228"/>
  <c r="AG227"/>
  <c r="AG226"/>
  <c r="AG225"/>
  <c r="AG224"/>
  <c r="AG223"/>
  <c r="AG222"/>
  <c r="AG221"/>
  <c r="AG220"/>
  <c r="AG219"/>
  <c r="AG218"/>
  <c r="AG217"/>
  <c r="AG216"/>
  <c r="AG215"/>
  <c r="AG214"/>
  <c r="AG213"/>
  <c r="AG212"/>
  <c r="AG211"/>
  <c r="AG210"/>
  <c r="AG209"/>
  <c r="AG208"/>
  <c r="AG207"/>
  <c r="AG206"/>
  <c r="AG205"/>
  <c r="AG204"/>
  <c r="AG203"/>
  <c r="AG202"/>
  <c r="AG201"/>
  <c r="AG200"/>
  <c r="AG199"/>
  <c r="AG198"/>
  <c r="AG197"/>
  <c r="AG196"/>
  <c r="AG195"/>
  <c r="AG194"/>
  <c r="AG193"/>
  <c r="AG192"/>
  <c r="AG191"/>
  <c r="AG190"/>
  <c r="AG189"/>
  <c r="AG188"/>
  <c r="AG187"/>
  <c r="AG186"/>
  <c r="AG185"/>
  <c r="AG184"/>
  <c r="AG183"/>
  <c r="AG182"/>
  <c r="AG181"/>
  <c r="AG180"/>
  <c r="AG179"/>
  <c r="AG178"/>
  <c r="AG177"/>
  <c r="AG176"/>
  <c r="AG175"/>
  <c r="AG174"/>
  <c r="AG173"/>
  <c r="AG172"/>
  <c r="AG171"/>
  <c r="AG170"/>
  <c r="AG169"/>
  <c r="AG168"/>
  <c r="AG167"/>
  <c r="AG166"/>
  <c r="AG165"/>
  <c r="AG164"/>
  <c r="AG163"/>
  <c r="AG162"/>
  <c r="AG161"/>
  <c r="AG160"/>
  <c r="AG159"/>
  <c r="AG158"/>
  <c r="AG157"/>
  <c r="AG156"/>
  <c r="AG155"/>
  <c r="AG154"/>
  <c r="AG153"/>
  <c r="AG152"/>
  <c r="AG151"/>
  <c r="AG150"/>
  <c r="AG149"/>
  <c r="AG148"/>
  <c r="AG147"/>
  <c r="AG146"/>
  <c r="AG145"/>
  <c r="AG144"/>
  <c r="AG143"/>
  <c r="AG142"/>
  <c r="AG141"/>
  <c r="AG140"/>
  <c r="AG139"/>
  <c r="AG138"/>
  <c r="AG137"/>
  <c r="AG136"/>
  <c r="AG135"/>
  <c r="AG134"/>
  <c r="AG133"/>
  <c r="AG132"/>
  <c r="AG131"/>
  <c r="AG130"/>
  <c r="AG129"/>
  <c r="AG128"/>
  <c r="AG127"/>
  <c r="AG126"/>
  <c r="AG125"/>
  <c r="AG124"/>
  <c r="AG123"/>
  <c r="AG122"/>
  <c r="AG121"/>
  <c r="AG120"/>
  <c r="AG119"/>
  <c r="AG118"/>
  <c r="AG117"/>
  <c r="AG116"/>
  <c r="AG115"/>
  <c r="AG114"/>
  <c r="AG113"/>
  <c r="AG112"/>
  <c r="AG111"/>
  <c r="AG110"/>
  <c r="AG109"/>
  <c r="AG108"/>
  <c r="AG107"/>
  <c r="AG106"/>
  <c r="AG105"/>
  <c r="AG104"/>
  <c r="AG103"/>
  <c r="AG102"/>
  <c r="AG101"/>
  <c r="AG100"/>
  <c r="AG99"/>
  <c r="AG98"/>
  <c r="AG97"/>
  <c r="AG96"/>
  <c r="AG95"/>
  <c r="AG94"/>
  <c r="AG93"/>
  <c r="AG92"/>
  <c r="AG91"/>
  <c r="AG90"/>
  <c r="AG89"/>
  <c r="AG88"/>
  <c r="AG87"/>
  <c r="AG86"/>
  <c r="AG85"/>
  <c r="AG84"/>
  <c r="AG83"/>
  <c r="AG82"/>
  <c r="AG81"/>
  <c r="AG80"/>
  <c r="AG79"/>
  <c r="AG78"/>
  <c r="AG77"/>
  <c r="AG76"/>
  <c r="AG75"/>
  <c r="AG74"/>
  <c r="AG73"/>
  <c r="AG72"/>
  <c r="AG71"/>
  <c r="AG70"/>
  <c r="AG69"/>
  <c r="AG68"/>
  <c r="AG67"/>
  <c r="AG66"/>
  <c r="AG65"/>
  <c r="AG64"/>
  <c r="AG63"/>
  <c r="AG62"/>
  <c r="AG61"/>
  <c r="AG60"/>
  <c r="AG59"/>
  <c r="AG58"/>
  <c r="AG57"/>
  <c r="AG56"/>
  <c r="AG55"/>
  <c r="AG54"/>
  <c r="AG53"/>
  <c r="AG52"/>
  <c r="AG51"/>
  <c r="AG50"/>
  <c r="AG49"/>
  <c r="AG48"/>
  <c r="AG47"/>
  <c r="AG46"/>
  <c r="AG45"/>
  <c r="AG44"/>
  <c r="AG43"/>
  <c r="AG42"/>
  <c r="AG41"/>
  <c r="AG40"/>
  <c r="AG39"/>
  <c r="AG38"/>
  <c r="AG37"/>
  <c r="AG36"/>
  <c r="AG35"/>
  <c r="AG34"/>
  <c r="AG33"/>
  <c r="AG32"/>
  <c r="AG31"/>
  <c r="AG30"/>
  <c r="AG29"/>
  <c r="AG28"/>
  <c r="AG27"/>
  <c r="AG26"/>
  <c r="AG25"/>
  <c r="AG24"/>
  <c r="AG23"/>
  <c r="AG22"/>
  <c r="AG21"/>
  <c r="AG20"/>
  <c r="AG19"/>
  <c r="AG18"/>
  <c r="AG17"/>
  <c r="AG16"/>
  <c r="AG15"/>
  <c r="AG14"/>
  <c r="AG13"/>
  <c r="AG12"/>
  <c r="AG11"/>
  <c r="AG10"/>
  <c r="AG9"/>
  <c r="AG8"/>
  <c r="AG7"/>
  <c r="AG6"/>
  <c r="AG5"/>
  <c r="B675" i="66"/>
  <c r="AG4" i="10"/>
  <c r="AG3"/>
  <c r="AG2"/>
  <c r="AG1"/>
  <c r="O540" i="7"/>
  <c r="O161"/>
  <c r="O167"/>
  <c r="O162"/>
  <c r="O158"/>
  <c r="I162"/>
  <c r="AG148" i="24"/>
  <c r="B159" i="7"/>
  <c r="AG145" i="24"/>
  <c r="AG146"/>
  <c r="F147"/>
  <c r="AG149"/>
  <c r="C75"/>
  <c r="B125"/>
  <c r="W75"/>
  <c r="W77"/>
  <c r="U78"/>
  <c r="V78"/>
  <c r="O80"/>
  <c r="O81"/>
  <c r="Q82"/>
  <c r="W32"/>
  <c r="Y82"/>
  <c r="Y83"/>
  <c r="O85"/>
  <c r="S86"/>
  <c r="T86"/>
  <c r="Y87"/>
  <c r="O89"/>
  <c r="W89"/>
  <c r="AA90"/>
  <c r="Y90"/>
  <c r="S91"/>
  <c r="T91"/>
  <c r="Y91"/>
  <c r="S92"/>
  <c r="T92"/>
  <c r="O93"/>
  <c r="Y93"/>
  <c r="S94"/>
  <c r="T94"/>
  <c r="O95"/>
  <c r="Y95"/>
  <c r="S96"/>
  <c r="T96"/>
  <c r="O9" i="19"/>
  <c r="O8"/>
  <c r="P115" i="64"/>
  <c r="P116"/>
  <c r="P118"/>
  <c r="P119"/>
  <c r="P120"/>
  <c r="P44"/>
  <c r="P43"/>
  <c r="P13"/>
  <c r="P12"/>
  <c r="P11"/>
  <c r="P10"/>
  <c r="P9"/>
  <c r="P8"/>
  <c r="P7"/>
  <c r="P6"/>
  <c r="P5"/>
  <c r="P4"/>
  <c r="G59"/>
  <c r="G60"/>
  <c r="I195" i="23"/>
  <c r="P384" i="19"/>
  <c r="I196" i="23"/>
  <c r="Q384" i="19"/>
  <c r="I197" i="23"/>
  <c r="R384" i="19"/>
  <c r="I198" i="23"/>
  <c r="S384" i="19"/>
  <c r="I199" i="23"/>
  <c r="T384" i="19"/>
  <c r="I200" i="23"/>
  <c r="U384" i="19"/>
  <c r="I201" i="23"/>
  <c r="V384" i="19"/>
  <c r="I202" i="23"/>
  <c r="W384" i="19"/>
  <c r="I203" i="23"/>
  <c r="X384" i="19"/>
  <c r="I204" i="23"/>
  <c r="Y384" i="19"/>
  <c r="I205" i="23"/>
  <c r="Z384" i="19"/>
  <c r="I206" i="23"/>
  <c r="AA384" i="19"/>
  <c r="I207" i="23"/>
  <c r="AB384" i="19"/>
  <c r="I208" i="23"/>
  <c r="AC384" i="19"/>
  <c r="I209" i="23"/>
  <c r="I210"/>
  <c r="AE384" i="19"/>
  <c r="I211" i="23"/>
  <c r="AF384" i="19"/>
  <c r="AF388" s="1"/>
  <c r="I212" i="23"/>
  <c r="AG384" i="19"/>
  <c r="I213" i="23"/>
  <c r="AH384" i="19"/>
  <c r="AH388" s="1"/>
  <c r="I214" i="23"/>
  <c r="AI384" i="19"/>
  <c r="AI388" s="1"/>
  <c r="I215" i="23"/>
  <c r="AJ384" i="19"/>
  <c r="AJ388" s="1"/>
  <c r="I216" i="23"/>
  <c r="AK384" i="19"/>
  <c r="I217" i="23"/>
  <c r="AL384" i="19"/>
  <c r="I218" i="23"/>
  <c r="AM384" i="19"/>
  <c r="P94" i="64"/>
  <c r="P91"/>
  <c r="O129" i="19"/>
  <c r="B390" i="66"/>
  <c r="O412" i="19"/>
  <c r="P210" i="64"/>
  <c r="P209"/>
  <c r="P208"/>
  <c r="P207"/>
  <c r="P206"/>
  <c r="P205"/>
  <c r="P204"/>
  <c r="P203"/>
  <c r="P202"/>
  <c r="P201"/>
  <c r="P200"/>
  <c r="P199"/>
  <c r="B214"/>
  <c r="P198"/>
  <c r="P197"/>
  <c r="P114"/>
  <c r="P104"/>
  <c r="P103"/>
  <c r="P102"/>
  <c r="P101"/>
  <c r="P100"/>
  <c r="P99"/>
  <c r="P98"/>
  <c r="P96"/>
  <c r="B116"/>
  <c r="P95"/>
  <c r="P93"/>
  <c r="P92"/>
  <c r="P90"/>
  <c r="P89"/>
  <c r="P70"/>
  <c r="P69"/>
  <c r="P68"/>
  <c r="P67"/>
  <c r="P66"/>
  <c r="P65"/>
  <c r="P64"/>
  <c r="P63"/>
  <c r="P62"/>
  <c r="P61"/>
  <c r="P60"/>
  <c r="P59"/>
  <c r="P58"/>
  <c r="P57"/>
  <c r="P56"/>
  <c r="P55"/>
  <c r="P54"/>
  <c r="P53"/>
  <c r="P52"/>
  <c r="P51"/>
  <c r="P50"/>
  <c r="P47"/>
  <c r="O99" i="19"/>
  <c r="P213" i="64"/>
  <c r="P212"/>
  <c r="P217"/>
  <c r="P214"/>
  <c r="P211"/>
  <c r="G203"/>
  <c r="I91" i="66"/>
  <c r="H203" i="64"/>
  <c r="I92" i="66"/>
  <c r="Z144" i="39"/>
  <c r="Z143"/>
  <c r="Z142"/>
  <c r="Z141"/>
  <c r="Z140"/>
  <c r="Z139"/>
  <c r="B40" i="8"/>
  <c r="Z138" i="39"/>
  <c r="Z137"/>
  <c r="Z136"/>
  <c r="Z135"/>
  <c r="Z134"/>
  <c r="Z133"/>
  <c r="Z132"/>
  <c r="Z131"/>
  <c r="B111" i="66"/>
  <c r="Z130" i="39"/>
  <c r="Z129"/>
  <c r="Z128"/>
  <c r="Z127"/>
  <c r="Z126"/>
  <c r="Z125"/>
  <c r="Z124"/>
  <c r="Z123"/>
  <c r="Z122"/>
  <c r="Z121"/>
  <c r="Z120"/>
  <c r="Z119"/>
  <c r="Z118"/>
  <c r="Z117"/>
  <c r="Z116"/>
  <c r="Z115"/>
  <c r="Z114"/>
  <c r="Z113"/>
  <c r="Z112"/>
  <c r="Z111"/>
  <c r="Z110"/>
  <c r="Z109"/>
  <c r="Z108"/>
  <c r="Z107"/>
  <c r="Z106"/>
  <c r="Z105"/>
  <c r="Z104"/>
  <c r="Z103"/>
  <c r="Z102"/>
  <c r="Z101"/>
  <c r="Z100"/>
  <c r="Z99"/>
  <c r="Z98"/>
  <c r="Z97"/>
  <c r="Z96"/>
  <c r="Z95"/>
  <c r="Z94"/>
  <c r="Z93"/>
  <c r="Z92"/>
  <c r="Z91"/>
  <c r="Z90"/>
  <c r="Z89"/>
  <c r="Z88"/>
  <c r="Z87"/>
  <c r="Z86"/>
  <c r="Z85"/>
  <c r="Z84"/>
  <c r="Z83"/>
  <c r="Z82"/>
  <c r="Z81"/>
  <c r="Z80"/>
  <c r="Z79"/>
  <c r="Z78"/>
  <c r="Z77"/>
  <c r="Z76"/>
  <c r="Z75"/>
  <c r="Z74"/>
  <c r="Z73"/>
  <c r="Z72"/>
  <c r="Z71"/>
  <c r="Z70"/>
  <c r="Z69"/>
  <c r="Z68"/>
  <c r="Z67"/>
  <c r="Z66"/>
  <c r="Z65"/>
  <c r="Z64"/>
  <c r="Z63"/>
  <c r="Z62"/>
  <c r="Z61"/>
  <c r="Z60"/>
  <c r="Z59"/>
  <c r="Z58"/>
  <c r="Z57"/>
  <c r="Z56"/>
  <c r="Z55"/>
  <c r="Z54"/>
  <c r="Z53"/>
  <c r="Z52"/>
  <c r="Z51"/>
  <c r="Z50"/>
  <c r="Z49"/>
  <c r="Z48"/>
  <c r="Z47"/>
  <c r="Z46"/>
  <c r="Z45"/>
  <c r="Z44"/>
  <c r="Z43"/>
  <c r="Z42"/>
  <c r="Z41"/>
  <c r="Z40"/>
  <c r="Z39"/>
  <c r="Z38"/>
  <c r="Z37"/>
  <c r="Z36"/>
  <c r="Z35"/>
  <c r="Z34"/>
  <c r="Z33"/>
  <c r="Z32"/>
  <c r="Z31"/>
  <c r="Z30"/>
  <c r="Z29"/>
  <c r="Z28"/>
  <c r="Z27"/>
  <c r="Z26"/>
  <c r="Z25"/>
  <c r="Z24"/>
  <c r="Z23"/>
  <c r="Z22"/>
  <c r="Z21"/>
  <c r="Z20"/>
  <c r="Z19"/>
  <c r="Z18"/>
  <c r="Z17"/>
  <c r="Z16"/>
  <c r="Z15"/>
  <c r="Z14"/>
  <c r="Z13"/>
  <c r="Z12"/>
  <c r="Z11"/>
  <c r="Z10"/>
  <c r="Z9"/>
  <c r="Z8"/>
  <c r="Z7"/>
  <c r="Z6"/>
  <c r="Z5"/>
  <c r="Z4"/>
  <c r="Z3"/>
  <c r="Z2"/>
  <c r="Z1"/>
  <c r="P224" i="64"/>
  <c r="P223"/>
  <c r="P222"/>
  <c r="P221"/>
  <c r="P220"/>
  <c r="P219"/>
  <c r="P218"/>
  <c r="G199"/>
  <c r="P46"/>
  <c r="P45"/>
  <c r="P3"/>
  <c r="P2"/>
  <c r="P1"/>
  <c r="J2"/>
  <c r="L195" i="56"/>
  <c r="L194"/>
  <c r="L193"/>
  <c r="L192"/>
  <c r="L191"/>
  <c r="L190"/>
  <c r="O202"/>
  <c r="O201"/>
  <c r="O200"/>
  <c r="O199"/>
  <c r="O198"/>
  <c r="O197"/>
  <c r="O196"/>
  <c r="O195"/>
  <c r="L59"/>
  <c r="O194"/>
  <c r="K59"/>
  <c r="I163" s="1"/>
  <c r="O193"/>
  <c r="J59"/>
  <c r="J62" s="1"/>
  <c r="J63" s="1"/>
  <c r="O192"/>
  <c r="I59"/>
  <c r="O191"/>
  <c r="H59"/>
  <c r="F146" s="1"/>
  <c r="O177"/>
  <c r="O182"/>
  <c r="O190"/>
  <c r="G59"/>
  <c r="O189"/>
  <c r="O188"/>
  <c r="O187"/>
  <c r="O186"/>
  <c r="O185"/>
  <c r="O184"/>
  <c r="O183"/>
  <c r="E182"/>
  <c r="F182"/>
  <c r="G182"/>
  <c r="H182"/>
  <c r="I182"/>
  <c r="J182"/>
  <c r="O181"/>
  <c r="E181"/>
  <c r="F181"/>
  <c r="G181"/>
  <c r="H181"/>
  <c r="I181"/>
  <c r="J181"/>
  <c r="O180"/>
  <c r="E180"/>
  <c r="F180"/>
  <c r="G180"/>
  <c r="H180"/>
  <c r="I180"/>
  <c r="J180"/>
  <c r="O179"/>
  <c r="E179"/>
  <c r="F179"/>
  <c r="G179"/>
  <c r="H179"/>
  <c r="I179"/>
  <c r="J179"/>
  <c r="O178"/>
  <c r="E178"/>
  <c r="F178"/>
  <c r="G178"/>
  <c r="H178"/>
  <c r="I178"/>
  <c r="J178"/>
  <c r="E177"/>
  <c r="F177"/>
  <c r="G177"/>
  <c r="H177"/>
  <c r="I177"/>
  <c r="J177"/>
  <c r="O176"/>
  <c r="O175"/>
  <c r="O174"/>
  <c r="O173"/>
  <c r="O172"/>
  <c r="O171"/>
  <c r="O170"/>
  <c r="O7"/>
  <c r="O6"/>
  <c r="O5"/>
  <c r="O4"/>
  <c r="O232" i="55"/>
  <c r="O231"/>
  <c r="O230"/>
  <c r="O229"/>
  <c r="O228"/>
  <c r="O227"/>
  <c r="O226"/>
  <c r="O225"/>
  <c r="O224"/>
  <c r="O223"/>
  <c r="O222"/>
  <c r="O221"/>
  <c r="O220"/>
  <c r="O219"/>
  <c r="O218"/>
  <c r="O217"/>
  <c r="O216"/>
  <c r="O215"/>
  <c r="O214"/>
  <c r="O213"/>
  <c r="O212"/>
  <c r="O211"/>
  <c r="O210"/>
  <c r="O209"/>
  <c r="O208"/>
  <c r="O207"/>
  <c r="O206"/>
  <c r="O205"/>
  <c r="O204"/>
  <c r="O203"/>
  <c r="O202"/>
  <c r="O201"/>
  <c r="O200"/>
  <c r="O199"/>
  <c r="O198"/>
  <c r="O187"/>
  <c r="O186"/>
  <c r="M59"/>
  <c r="H31"/>
  <c r="H39"/>
  <c r="I39"/>
  <c r="L28"/>
  <c r="K31"/>
  <c r="J39"/>
  <c r="K39"/>
  <c r="J49"/>
  <c r="L49"/>
  <c r="M49"/>
  <c r="M61"/>
  <c r="K147" s="1"/>
  <c r="K175" s="1"/>
  <c r="L59"/>
  <c r="L62" s="1"/>
  <c r="L63" s="1"/>
  <c r="L61"/>
  <c r="U61" s="1"/>
  <c r="AD61" s="1"/>
  <c r="AM61" s="1"/>
  <c r="AV61" s="1"/>
  <c r="BE61" s="1"/>
  <c r="BN61" s="1"/>
  <c r="K59"/>
  <c r="K61"/>
  <c r="J59"/>
  <c r="H146" s="1"/>
  <c r="J61"/>
  <c r="H147"/>
  <c r="H175" s="1"/>
  <c r="I59"/>
  <c r="G146" s="1"/>
  <c r="D151" s="1"/>
  <c r="B24" i="57" s="1"/>
  <c r="B91" s="1"/>
  <c r="I61" i="55"/>
  <c r="H59"/>
  <c r="H61"/>
  <c r="F147" s="1"/>
  <c r="F175" s="1"/>
  <c r="G59"/>
  <c r="G62" s="1"/>
  <c r="G63" s="1"/>
  <c r="K183"/>
  <c r="J183"/>
  <c r="I183"/>
  <c r="H183"/>
  <c r="G183"/>
  <c r="F183"/>
  <c r="E183"/>
  <c r="K182"/>
  <c r="J182"/>
  <c r="I182"/>
  <c r="H182"/>
  <c r="G182"/>
  <c r="F182"/>
  <c r="E182"/>
  <c r="K181"/>
  <c r="J181"/>
  <c r="I181"/>
  <c r="H181"/>
  <c r="G181"/>
  <c r="F181"/>
  <c r="E181"/>
  <c r="K180"/>
  <c r="J180"/>
  <c r="I180"/>
  <c r="H180"/>
  <c r="G180"/>
  <c r="F180"/>
  <c r="E180"/>
  <c r="K179"/>
  <c r="J179"/>
  <c r="I179"/>
  <c r="H179"/>
  <c r="G179"/>
  <c r="F179"/>
  <c r="E179"/>
  <c r="K178"/>
  <c r="J178"/>
  <c r="I178"/>
  <c r="H178"/>
  <c r="G178"/>
  <c r="F178"/>
  <c r="E178"/>
  <c r="K177"/>
  <c r="J177"/>
  <c r="I177"/>
  <c r="H177"/>
  <c r="G177"/>
  <c r="F177"/>
  <c r="E177"/>
  <c r="K40"/>
  <c r="F2" i="63"/>
  <c r="N25" i="5"/>
  <c r="E30"/>
  <c r="N29"/>
  <c r="N32"/>
  <c r="N36"/>
  <c r="N153"/>
  <c r="N152"/>
  <c r="N151"/>
  <c r="B203" i="8"/>
  <c r="N150" i="5"/>
  <c r="N149"/>
  <c r="N148"/>
  <c r="N147"/>
  <c r="N146"/>
  <c r="N145"/>
  <c r="N144"/>
  <c r="N136"/>
  <c r="N135"/>
  <c r="B55" i="23"/>
  <c r="N134" i="5"/>
  <c r="N130"/>
  <c r="N129"/>
  <c r="B476" i="19"/>
  <c r="N128" i="5"/>
  <c r="N127"/>
  <c r="N126"/>
  <c r="N125"/>
  <c r="N124"/>
  <c r="N123"/>
  <c r="N122"/>
  <c r="N121"/>
  <c r="N120"/>
  <c r="N119"/>
  <c r="N118"/>
  <c r="N110"/>
  <c r="N109"/>
  <c r="N108"/>
  <c r="N101"/>
  <c r="N100"/>
  <c r="N99"/>
  <c r="N98"/>
  <c r="N97"/>
  <c r="N96"/>
  <c r="N95"/>
  <c r="N94"/>
  <c r="N93"/>
  <c r="N92"/>
  <c r="N91"/>
  <c r="N90"/>
  <c r="N89"/>
  <c r="N88"/>
  <c r="N82"/>
  <c r="N81"/>
  <c r="N80"/>
  <c r="N79"/>
  <c r="M84" s="1"/>
  <c r="N70"/>
  <c r="N69"/>
  <c r="T34"/>
  <c r="N53"/>
  <c r="N52"/>
  <c r="N51"/>
  <c r="N50"/>
  <c r="L270" i="9"/>
  <c r="N49" i="5"/>
  <c r="N45"/>
  <c r="N44"/>
  <c r="N43"/>
  <c r="N42"/>
  <c r="N41"/>
  <c r="N35"/>
  <c r="N34"/>
  <c r="N33"/>
  <c r="N31"/>
  <c r="N30"/>
  <c r="N28"/>
  <c r="N27"/>
  <c r="N26"/>
  <c r="N24"/>
  <c r="N23"/>
  <c r="N22"/>
  <c r="N21"/>
  <c r="N20"/>
  <c r="N19"/>
  <c r="N18"/>
  <c r="N17"/>
  <c r="N15"/>
  <c r="N14"/>
  <c r="N13"/>
  <c r="N12"/>
  <c r="N11"/>
  <c r="N2"/>
  <c r="O85" i="7"/>
  <c r="O84"/>
  <c r="O83"/>
  <c r="O82"/>
  <c r="O80"/>
  <c r="O79"/>
  <c r="O78"/>
  <c r="O77"/>
  <c r="O76"/>
  <c r="O75"/>
  <c r="O67"/>
  <c r="O64"/>
  <c r="O63"/>
  <c r="O62"/>
  <c r="O60"/>
  <c r="O59"/>
  <c r="O58"/>
  <c r="O57"/>
  <c r="O54"/>
  <c r="O53"/>
  <c r="O52"/>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L124" i="30"/>
  <c r="L119"/>
  <c r="L118"/>
  <c r="L117"/>
  <c r="L116"/>
  <c r="L115"/>
  <c r="L114"/>
  <c r="L113"/>
  <c r="L112"/>
  <c r="L111"/>
  <c r="L110"/>
  <c r="L108"/>
  <c r="L103"/>
  <c r="L102"/>
  <c r="L101"/>
  <c r="B107"/>
  <c r="L100"/>
  <c r="L98"/>
  <c r="L97"/>
  <c r="L96"/>
  <c r="L95"/>
  <c r="L94"/>
  <c r="L93"/>
  <c r="L92"/>
  <c r="L91"/>
  <c r="L90"/>
  <c r="L89"/>
  <c r="L83"/>
  <c r="L82"/>
  <c r="L81"/>
  <c r="L66"/>
  <c r="L62"/>
  <c r="I67"/>
  <c r="J45"/>
  <c r="I43"/>
  <c r="I45"/>
  <c r="L16" i="40"/>
  <c r="O196" i="62"/>
  <c r="AO64" i="2"/>
  <c r="AO63"/>
  <c r="AO62"/>
  <c r="AO61"/>
  <c r="AO60"/>
  <c r="AO59"/>
  <c r="AO58"/>
  <c r="AO57"/>
  <c r="AO56"/>
  <c r="AO55"/>
  <c r="AO54"/>
  <c r="AO53"/>
  <c r="AO52"/>
  <c r="AO51"/>
  <c r="AO50"/>
  <c r="AO49"/>
  <c r="AO48"/>
  <c r="AO47"/>
  <c r="AO46"/>
  <c r="AO45"/>
  <c r="AO44"/>
  <c r="AO43"/>
  <c r="AO42"/>
  <c r="AO41"/>
  <c r="AO40"/>
  <c r="AO39"/>
  <c r="AO38"/>
  <c r="AO37"/>
  <c r="AO36"/>
  <c r="AO35"/>
  <c r="AO34"/>
  <c r="AO33"/>
  <c r="AO32"/>
  <c r="AO31"/>
  <c r="AO30"/>
  <c r="AO29"/>
  <c r="AO28"/>
  <c r="AO27"/>
  <c r="AO26"/>
  <c r="AO25"/>
  <c r="AO24"/>
  <c r="AO23"/>
  <c r="AO22"/>
  <c r="AO21"/>
  <c r="AO20"/>
  <c r="AO19"/>
  <c r="AO18"/>
  <c r="AO17"/>
  <c r="AO16"/>
  <c r="AO65"/>
  <c r="AO81"/>
  <c r="AO9"/>
  <c r="AO101"/>
  <c r="AO158"/>
  <c r="H168" i="62"/>
  <c r="I180"/>
  <c r="I182"/>
  <c r="I331" i="66"/>
  <c r="I168" i="62"/>
  <c r="G218"/>
  <c r="G219"/>
  <c r="G220"/>
  <c r="G221"/>
  <c r="G222"/>
  <c r="G223"/>
  <c r="G224"/>
  <c r="G225"/>
  <c r="G226"/>
  <c r="G227"/>
  <c r="G228"/>
  <c r="G229"/>
  <c r="G230"/>
  <c r="G231"/>
  <c r="G232"/>
  <c r="G233"/>
  <c r="G234"/>
  <c r="G235"/>
  <c r="G236"/>
  <c r="G237"/>
  <c r="G238"/>
  <c r="G239"/>
  <c r="G240"/>
  <c r="G241"/>
  <c r="O202" i="19"/>
  <c r="O203"/>
  <c r="O204"/>
  <c r="O206"/>
  <c r="L108" i="5"/>
  <c r="O206" i="62"/>
  <c r="O203"/>
  <c r="L99" i="5"/>
  <c r="O241" i="62"/>
  <c r="O240"/>
  <c r="O239"/>
  <c r="O238"/>
  <c r="O237"/>
  <c r="O236"/>
  <c r="O235"/>
  <c r="O234"/>
  <c r="O233"/>
  <c r="O232"/>
  <c r="O231"/>
  <c r="O230"/>
  <c r="O229"/>
  <c r="O228"/>
  <c r="O227"/>
  <c r="O226"/>
  <c r="O225"/>
  <c r="O224"/>
  <c r="O223"/>
  <c r="O222"/>
  <c r="O221"/>
  <c r="O220"/>
  <c r="O219"/>
  <c r="O218"/>
  <c r="O217"/>
  <c r="O216"/>
  <c r="O215"/>
  <c r="O214"/>
  <c r="O208"/>
  <c r="O207"/>
  <c r="O205"/>
  <c r="O204"/>
  <c r="O202"/>
  <c r="O201"/>
  <c r="O200"/>
  <c r="O199"/>
  <c r="O198"/>
  <c r="O197"/>
  <c r="O195"/>
  <c r="O194"/>
  <c r="O193"/>
  <c r="O192"/>
  <c r="O191"/>
  <c r="O190"/>
  <c r="O189"/>
  <c r="O188"/>
  <c r="O187"/>
  <c r="B196"/>
  <c r="O186"/>
  <c r="O185"/>
  <c r="O184"/>
  <c r="O183"/>
  <c r="O182"/>
  <c r="O181"/>
  <c r="O180"/>
  <c r="O179"/>
  <c r="O177"/>
  <c r="O175"/>
  <c r="O174"/>
  <c r="O173"/>
  <c r="O172"/>
  <c r="O171"/>
  <c r="O170"/>
  <c r="O169"/>
  <c r="O168"/>
  <c r="O167"/>
  <c r="O166"/>
  <c r="O165"/>
  <c r="O164"/>
  <c r="O163"/>
  <c r="O162"/>
  <c r="O161"/>
  <c r="O160"/>
  <c r="D173"/>
  <c r="O159"/>
  <c r="O158"/>
  <c r="O157"/>
  <c r="O156"/>
  <c r="O155"/>
  <c r="O154"/>
  <c r="O153"/>
  <c r="O152"/>
  <c r="O151"/>
  <c r="O150"/>
  <c r="O146"/>
  <c r="O145"/>
  <c r="O144"/>
  <c r="O143"/>
  <c r="O142"/>
  <c r="O141"/>
  <c r="O140"/>
  <c r="O139"/>
  <c r="O138"/>
  <c r="O137"/>
  <c r="O136"/>
  <c r="O135"/>
  <c r="O134"/>
  <c r="O133"/>
  <c r="O132"/>
  <c r="O131"/>
  <c r="O130"/>
  <c r="O129"/>
  <c r="O128"/>
  <c r="O3"/>
  <c r="O2"/>
  <c r="O1"/>
  <c r="K130" i="40"/>
  <c r="BN335" i="9"/>
  <c r="BN336"/>
  <c r="BK336"/>
  <c r="BK335"/>
  <c r="BE335"/>
  <c r="BE336"/>
  <c r="BB336"/>
  <c r="BB335"/>
  <c r="BN336" i="8"/>
  <c r="BN338" s="1"/>
  <c r="BN335"/>
  <c r="BK336"/>
  <c r="BK338" s="1"/>
  <c r="BK335"/>
  <c r="BE336"/>
  <c r="BE338" s="1"/>
  <c r="BE335"/>
  <c r="BB336"/>
  <c r="BB338" s="1"/>
  <c r="BB335"/>
  <c r="AM336"/>
  <c r="AM335"/>
  <c r="AJ336"/>
  <c r="AJ338" s="1"/>
  <c r="AJ335"/>
  <c r="AD336"/>
  <c r="AD335"/>
  <c r="AA336"/>
  <c r="AA338" s="1"/>
  <c r="AA335"/>
  <c r="AM335" i="9"/>
  <c r="AM336"/>
  <c r="AJ336"/>
  <c r="AJ335"/>
  <c r="AD335"/>
  <c r="AD336"/>
  <c r="AA336"/>
  <c r="AA335"/>
  <c r="U336"/>
  <c r="R336"/>
  <c r="U335"/>
  <c r="R335"/>
  <c r="O253"/>
  <c r="O280"/>
  <c r="O296" i="8"/>
  <c r="O295"/>
  <c r="H310"/>
  <c r="U336"/>
  <c r="R336"/>
  <c r="R338" s="1"/>
  <c r="U335"/>
  <c r="R335"/>
  <c r="O338"/>
  <c r="O337"/>
  <c r="J22" i="43"/>
  <c r="J24"/>
  <c r="J25"/>
  <c r="O18" i="19"/>
  <c r="I1" i="62"/>
  <c r="K165" i="57"/>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O140" i="55"/>
  <c r="B10"/>
  <c r="O7"/>
  <c r="O6"/>
  <c r="O5"/>
  <c r="O4"/>
  <c r="O332" i="9"/>
  <c r="O330"/>
  <c r="O331"/>
  <c r="O329"/>
  <c r="O332" i="8"/>
  <c r="O330"/>
  <c r="O331"/>
  <c r="O329"/>
  <c r="K7" i="57"/>
  <c r="K6"/>
  <c r="K5"/>
  <c r="K4"/>
  <c r="K3"/>
  <c r="K8"/>
  <c r="O399" i="8"/>
  <c r="B402"/>
  <c r="O411" i="25"/>
  <c r="O413"/>
  <c r="AO105" i="2"/>
  <c r="AO83"/>
  <c r="AO103"/>
  <c r="AO157"/>
  <c r="AO156"/>
  <c r="AO155"/>
  <c r="AO154"/>
  <c r="AO153"/>
  <c r="AO152"/>
  <c r="AO121"/>
  <c r="AO120"/>
  <c r="AO119"/>
  <c r="AO118"/>
  <c r="AO117"/>
  <c r="AO116"/>
  <c r="AO115"/>
  <c r="AO114"/>
  <c r="AO113"/>
  <c r="AO112"/>
  <c r="AO111"/>
  <c r="AO110"/>
  <c r="AO109"/>
  <c r="AO108"/>
  <c r="AO107"/>
  <c r="AO106"/>
  <c r="AO104"/>
  <c r="AO102"/>
  <c r="AO100"/>
  <c r="AO99"/>
  <c r="AO98"/>
  <c r="AO97"/>
  <c r="AO96"/>
  <c r="AO95"/>
  <c r="AO94"/>
  <c r="AO93"/>
  <c r="AO92"/>
  <c r="AO91"/>
  <c r="AO90"/>
  <c r="AO89"/>
  <c r="AO88"/>
  <c r="AO87"/>
  <c r="AO86"/>
  <c r="AO85"/>
  <c r="AO84"/>
  <c r="AO82"/>
  <c r="AO80"/>
  <c r="AO79"/>
  <c r="AO78"/>
  <c r="AO77"/>
  <c r="AO76"/>
  <c r="AO75"/>
  <c r="AO74"/>
  <c r="AO73"/>
  <c r="AO72"/>
  <c r="AO71"/>
  <c r="AO70"/>
  <c r="AO69"/>
  <c r="AO68"/>
  <c r="AO67"/>
  <c r="AO66"/>
  <c r="AO15"/>
  <c r="AO14"/>
  <c r="AO13"/>
  <c r="AO10"/>
  <c r="AO12"/>
  <c r="AO11"/>
  <c r="AO8"/>
  <c r="AO7"/>
  <c r="AO4"/>
  <c r="AO3"/>
  <c r="AO2"/>
  <c r="AO1"/>
  <c r="O268" i="8"/>
  <c r="L42" i="5"/>
  <c r="O393" i="9"/>
  <c r="F121" i="17"/>
  <c r="M121"/>
  <c r="F122"/>
  <c r="M122"/>
  <c r="F123"/>
  <c r="M123"/>
  <c r="F124"/>
  <c r="M124"/>
  <c r="F125"/>
  <c r="M125"/>
  <c r="F126"/>
  <c r="M126"/>
  <c r="F127"/>
  <c r="M127"/>
  <c r="F128"/>
  <c r="M128"/>
  <c r="F129"/>
  <c r="M129"/>
  <c r="F130"/>
  <c r="M130"/>
  <c r="F131"/>
  <c r="M131"/>
  <c r="F132"/>
  <c r="M132"/>
  <c r="F133"/>
  <c r="M133"/>
  <c r="F134"/>
  <c r="M134"/>
  <c r="F135"/>
  <c r="M135"/>
  <c r="F136"/>
  <c r="M136"/>
  <c r="F137"/>
  <c r="M137"/>
  <c r="F138"/>
  <c r="M138"/>
  <c r="F139"/>
  <c r="M139"/>
  <c r="F140"/>
  <c r="M140"/>
  <c r="F141"/>
  <c r="M141"/>
  <c r="F142"/>
  <c r="M142"/>
  <c r="F143"/>
  <c r="M143"/>
  <c r="F144"/>
  <c r="M144"/>
  <c r="D121"/>
  <c r="K121"/>
  <c r="D122"/>
  <c r="K122"/>
  <c r="D123"/>
  <c r="K123"/>
  <c r="D124"/>
  <c r="K124"/>
  <c r="D125"/>
  <c r="K125"/>
  <c r="D126"/>
  <c r="K126"/>
  <c r="D127"/>
  <c r="K127"/>
  <c r="D128"/>
  <c r="K128"/>
  <c r="D129"/>
  <c r="K129"/>
  <c r="O129"/>
  <c r="D130"/>
  <c r="K130"/>
  <c r="D131"/>
  <c r="K131"/>
  <c r="D132"/>
  <c r="K132"/>
  <c r="D133"/>
  <c r="K133"/>
  <c r="D134"/>
  <c r="K134"/>
  <c r="D135"/>
  <c r="K135"/>
  <c r="D136"/>
  <c r="K136"/>
  <c r="D137"/>
  <c r="K137"/>
  <c r="D138"/>
  <c r="K138"/>
  <c r="D139"/>
  <c r="K139"/>
  <c r="D140"/>
  <c r="K140"/>
  <c r="D141"/>
  <c r="K141"/>
  <c r="D142"/>
  <c r="K142"/>
  <c r="D143"/>
  <c r="K143"/>
  <c r="D144"/>
  <c r="K144"/>
  <c r="G121"/>
  <c r="N121"/>
  <c r="G122"/>
  <c r="N122"/>
  <c r="G123"/>
  <c r="N123"/>
  <c r="G124"/>
  <c r="N124"/>
  <c r="G125"/>
  <c r="N125"/>
  <c r="G126"/>
  <c r="N126"/>
  <c r="G127"/>
  <c r="N127"/>
  <c r="G128"/>
  <c r="N128"/>
  <c r="G129"/>
  <c r="N129"/>
  <c r="G130"/>
  <c r="N130"/>
  <c r="G131"/>
  <c r="N131"/>
  <c r="G132"/>
  <c r="N132"/>
  <c r="U132"/>
  <c r="G133"/>
  <c r="N133"/>
  <c r="U133"/>
  <c r="G134"/>
  <c r="N134"/>
  <c r="U134"/>
  <c r="G135"/>
  <c r="N135"/>
  <c r="G136"/>
  <c r="N136"/>
  <c r="G137"/>
  <c r="N137"/>
  <c r="G138"/>
  <c r="N138"/>
  <c r="U138"/>
  <c r="G139"/>
  <c r="N139"/>
  <c r="G140"/>
  <c r="N140"/>
  <c r="G141"/>
  <c r="N141"/>
  <c r="G142"/>
  <c r="N142"/>
  <c r="G143"/>
  <c r="N143"/>
  <c r="U143"/>
  <c r="G144"/>
  <c r="N144"/>
  <c r="E121"/>
  <c r="S121"/>
  <c r="L121"/>
  <c r="E122"/>
  <c r="L122"/>
  <c r="S122"/>
  <c r="E123"/>
  <c r="L123"/>
  <c r="E124"/>
  <c r="L124"/>
  <c r="E125"/>
  <c r="L125"/>
  <c r="E126"/>
  <c r="L126"/>
  <c r="E127"/>
  <c r="L127"/>
  <c r="E128"/>
  <c r="L128"/>
  <c r="E129"/>
  <c r="L129"/>
  <c r="E130"/>
  <c r="L130"/>
  <c r="E131"/>
  <c r="L131"/>
  <c r="E132"/>
  <c r="L132"/>
  <c r="E133"/>
  <c r="L133"/>
  <c r="E134"/>
  <c r="L134"/>
  <c r="E135"/>
  <c r="L135"/>
  <c r="E136"/>
  <c r="S136"/>
  <c r="L136"/>
  <c r="E137"/>
  <c r="I137"/>
  <c r="L137"/>
  <c r="E138"/>
  <c r="L138"/>
  <c r="E139"/>
  <c r="L139"/>
  <c r="E140"/>
  <c r="L140"/>
  <c r="E141"/>
  <c r="L141"/>
  <c r="E142"/>
  <c r="S142"/>
  <c r="L142"/>
  <c r="E143"/>
  <c r="L143"/>
  <c r="E144"/>
  <c r="L144"/>
  <c r="M26" i="9"/>
  <c r="N26"/>
  <c r="G33" i="12"/>
  <c r="J16" i="43"/>
  <c r="O265" i="9"/>
  <c r="O299"/>
  <c r="O298"/>
  <c r="O297"/>
  <c r="O283"/>
  <c r="O282"/>
  <c r="O281"/>
  <c r="O264"/>
  <c r="O263"/>
  <c r="O262"/>
  <c r="O270"/>
  <c r="O253" i="8"/>
  <c r="O282"/>
  <c r="L69" i="5"/>
  <c r="O262" i="8"/>
  <c r="O263"/>
  <c r="O265"/>
  <c r="O266"/>
  <c r="O283"/>
  <c r="O287"/>
  <c r="G300"/>
  <c r="O288"/>
  <c r="O290"/>
  <c r="G90" i="39"/>
  <c r="G91"/>
  <c r="G94"/>
  <c r="G100"/>
  <c r="G117"/>
  <c r="P90"/>
  <c r="P91"/>
  <c r="P94"/>
  <c r="P100"/>
  <c r="P117"/>
  <c r="C55" i="15"/>
  <c r="K55"/>
  <c r="L51"/>
  <c r="L41"/>
  <c r="O27" i="8"/>
  <c r="J556" i="7"/>
  <c r="I556"/>
  <c r="J555"/>
  <c r="I555"/>
  <c r="J554"/>
  <c r="I554"/>
  <c r="J553"/>
  <c r="I553"/>
  <c r="O452" i="25"/>
  <c r="O478"/>
  <c r="O479"/>
  <c r="O480"/>
  <c r="O481"/>
  <c r="O482"/>
  <c r="O483"/>
  <c r="O484"/>
  <c r="O485"/>
  <c r="O486"/>
  <c r="O487"/>
  <c r="O488"/>
  <c r="O489"/>
  <c r="O490"/>
  <c r="O491"/>
  <c r="O492"/>
  <c r="O493"/>
  <c r="O494"/>
  <c r="H496" s="1"/>
  <c r="O497"/>
  <c r="O414"/>
  <c r="I63" i="41"/>
  <c r="D722" i="66" s="1"/>
  <c r="G63" i="41"/>
  <c r="G101"/>
  <c r="F64"/>
  <c r="H29"/>
  <c r="I737" i="66"/>
  <c r="H53" i="41"/>
  <c r="H54"/>
  <c r="I739" i="66"/>
  <c r="I64" i="41"/>
  <c r="J90"/>
  <c r="F107"/>
  <c r="E91"/>
  <c r="G91" s="1"/>
  <c r="I70"/>
  <c r="D729" i="66" s="1"/>
  <c r="G70" i="41"/>
  <c r="O107" i="25"/>
  <c r="O149" i="8"/>
  <c r="B58" i="27"/>
  <c r="O177" i="55"/>
  <c r="B353" i="19"/>
  <c r="O197" i="7"/>
  <c r="B202"/>
  <c r="O207"/>
  <c r="E142" i="30"/>
  <c r="J141"/>
  <c r="G148"/>
  <c r="F142"/>
  <c r="E143"/>
  <c r="J11" i="43"/>
  <c r="F143" i="30"/>
  <c r="E144"/>
  <c r="F144"/>
  <c r="E145"/>
  <c r="E151"/>
  <c r="F145"/>
  <c r="F146"/>
  <c r="G146"/>
  <c r="L160"/>
  <c r="L198"/>
  <c r="L197"/>
  <c r="L196"/>
  <c r="L195"/>
  <c r="L194"/>
  <c r="L193"/>
  <c r="L192"/>
  <c r="L191"/>
  <c r="L190"/>
  <c r="L189"/>
  <c r="L188"/>
  <c r="L187"/>
  <c r="L186"/>
  <c r="L185"/>
  <c r="L184"/>
  <c r="L183"/>
  <c r="L182"/>
  <c r="L181"/>
  <c r="L180"/>
  <c r="L179"/>
  <c r="L178"/>
  <c r="L177"/>
  <c r="L176"/>
  <c r="L175"/>
  <c r="L174"/>
  <c r="L173"/>
  <c r="L172"/>
  <c r="L171"/>
  <c r="L170"/>
  <c r="L169"/>
  <c r="L168"/>
  <c r="L167"/>
  <c r="L166"/>
  <c r="L162"/>
  <c r="L161"/>
  <c r="L159"/>
  <c r="L158"/>
  <c r="L157"/>
  <c r="L156"/>
  <c r="L155"/>
  <c r="L154"/>
  <c r="L153"/>
  <c r="L152"/>
  <c r="L151"/>
  <c r="L150"/>
  <c r="L149"/>
  <c r="L148"/>
  <c r="L147"/>
  <c r="L146"/>
  <c r="L145"/>
  <c r="L144"/>
  <c r="L143"/>
  <c r="L142"/>
  <c r="L141"/>
  <c r="L140"/>
  <c r="L139"/>
  <c r="L138"/>
  <c r="L137"/>
  <c r="L136"/>
  <c r="L135"/>
  <c r="L134"/>
  <c r="L133"/>
  <c r="L132"/>
  <c r="L131"/>
  <c r="L130"/>
  <c r="L125"/>
  <c r="L99"/>
  <c r="L88"/>
  <c r="L87"/>
  <c r="L86"/>
  <c r="L85"/>
  <c r="L84"/>
  <c r="L70"/>
  <c r="L69"/>
  <c r="L68"/>
  <c r="L67"/>
  <c r="B78"/>
  <c r="L61"/>
  <c r="L60"/>
  <c r="B66"/>
  <c r="L58"/>
  <c r="L48"/>
  <c r="L47"/>
  <c r="L46"/>
  <c r="L44"/>
  <c r="L43"/>
  <c r="L42"/>
  <c r="L41"/>
  <c r="L28"/>
  <c r="L27"/>
  <c r="B35"/>
  <c r="L25"/>
  <c r="L13"/>
  <c r="L12"/>
  <c r="L9"/>
  <c r="L7"/>
  <c r="L5"/>
  <c r="L4"/>
  <c r="L3"/>
  <c r="L2"/>
  <c r="L1"/>
  <c r="AA489" i="18"/>
  <c r="AA488"/>
  <c r="AA487"/>
  <c r="AA486"/>
  <c r="AA485"/>
  <c r="AA484"/>
  <c r="AA483"/>
  <c r="AA482"/>
  <c r="AA481"/>
  <c r="AA480"/>
  <c r="AA479"/>
  <c r="AA478"/>
  <c r="AA477"/>
  <c r="AA70"/>
  <c r="B317"/>
  <c r="AA68"/>
  <c r="AA64"/>
  <c r="AA62"/>
  <c r="AA61"/>
  <c r="AA60"/>
  <c r="AA59"/>
  <c r="AA58"/>
  <c r="AA57"/>
  <c r="AA56"/>
  <c r="B231" i="66"/>
  <c r="AA53" i="18"/>
  <c r="AA52"/>
  <c r="AA51"/>
  <c r="AA49"/>
  <c r="AA48"/>
  <c r="AA45"/>
  <c r="AA43"/>
  <c r="AA42"/>
  <c r="AA41"/>
  <c r="AA40"/>
  <c r="AA39"/>
  <c r="AA38"/>
  <c r="AA37"/>
  <c r="AA36"/>
  <c r="AA35"/>
  <c r="AA34"/>
  <c r="AA33"/>
  <c r="AA32"/>
  <c r="AA31"/>
  <c r="AA30"/>
  <c r="AA29"/>
  <c r="AA28"/>
  <c r="AA27"/>
  <c r="AA26"/>
  <c r="AA25"/>
  <c r="AA24"/>
  <c r="AA23"/>
  <c r="AA22"/>
  <c r="AA21"/>
  <c r="AA20"/>
  <c r="AA19"/>
  <c r="B6"/>
  <c r="AA18"/>
  <c r="AA6"/>
  <c r="AA3"/>
  <c r="AA2"/>
  <c r="AA1"/>
  <c r="O87" i="7"/>
  <c r="O86"/>
  <c r="I151"/>
  <c r="I34" i="23"/>
  <c r="J36"/>
  <c r="F77" i="24"/>
  <c r="F78"/>
  <c r="F79"/>
  <c r="F80"/>
  <c r="F81"/>
  <c r="F82"/>
  <c r="F83"/>
  <c r="F84"/>
  <c r="F85"/>
  <c r="F86"/>
  <c r="F87"/>
  <c r="F88"/>
  <c r="F89"/>
  <c r="F90"/>
  <c r="F91"/>
  <c r="F92"/>
  <c r="F93"/>
  <c r="F94"/>
  <c r="F95"/>
  <c r="F96"/>
  <c r="I77"/>
  <c r="K77"/>
  <c r="X77"/>
  <c r="L77"/>
  <c r="I78"/>
  <c r="L78"/>
  <c r="N78"/>
  <c r="I79"/>
  <c r="K79"/>
  <c r="L79"/>
  <c r="I80"/>
  <c r="L80"/>
  <c r="N80"/>
  <c r="I81"/>
  <c r="P81"/>
  <c r="L81"/>
  <c r="I82"/>
  <c r="L82"/>
  <c r="N82"/>
  <c r="I83"/>
  <c r="L83"/>
  <c r="N83"/>
  <c r="I84"/>
  <c r="L84"/>
  <c r="I85"/>
  <c r="L85"/>
  <c r="N85"/>
  <c r="I86"/>
  <c r="L86"/>
  <c r="K86"/>
  <c r="I87"/>
  <c r="L87"/>
  <c r="N87"/>
  <c r="I88"/>
  <c r="L88"/>
  <c r="I89"/>
  <c r="L89"/>
  <c r="I90"/>
  <c r="L90"/>
  <c r="K90"/>
  <c r="I91"/>
  <c r="L91"/>
  <c r="N91"/>
  <c r="I92"/>
  <c r="L92"/>
  <c r="I93"/>
  <c r="L93"/>
  <c r="N93"/>
  <c r="Z93"/>
  <c r="I94"/>
  <c r="L94"/>
  <c r="I95"/>
  <c r="L95"/>
  <c r="N95"/>
  <c r="Z95"/>
  <c r="I96"/>
  <c r="L96"/>
  <c r="E97"/>
  <c r="I117"/>
  <c r="I118"/>
  <c r="C105" i="41"/>
  <c r="O271" i="7"/>
  <c r="O270"/>
  <c r="O269"/>
  <c r="O268"/>
  <c r="O267"/>
  <c r="O266"/>
  <c r="O587"/>
  <c r="O586"/>
  <c r="O585"/>
  <c r="O584"/>
  <c r="O583"/>
  <c r="O582"/>
  <c r="O581"/>
  <c r="O580"/>
  <c r="O579"/>
  <c r="O578"/>
  <c r="O577"/>
  <c r="O576"/>
  <c r="O575"/>
  <c r="O574"/>
  <c r="O573"/>
  <c r="O572"/>
  <c r="O571"/>
  <c r="O570"/>
  <c r="O569"/>
  <c r="O568"/>
  <c r="O567"/>
  <c r="O566"/>
  <c r="O565"/>
  <c r="O564"/>
  <c r="O563"/>
  <c r="BD25" i="8"/>
  <c r="BC25"/>
  <c r="BD24"/>
  <c r="BC24"/>
  <c r="BD23"/>
  <c r="BC23"/>
  <c r="BD22"/>
  <c r="BC22"/>
  <c r="BD21"/>
  <c r="BC21"/>
  <c r="BD20"/>
  <c r="BC20"/>
  <c r="O501" i="25"/>
  <c r="O558"/>
  <c r="O522"/>
  <c r="O521"/>
  <c r="O97"/>
  <c r="O293"/>
  <c r="O289"/>
  <c r="O298"/>
  <c r="B31" i="8" s="1"/>
  <c r="O848"/>
  <c r="G302"/>
  <c r="O288" i="25"/>
  <c r="O292"/>
  <c r="O296"/>
  <c r="O282"/>
  <c r="O294"/>
  <c r="O284"/>
  <c r="O290"/>
  <c r="O280"/>
  <c r="O299"/>
  <c r="O297"/>
  <c r="O295"/>
  <c r="O291"/>
  <c r="O287"/>
  <c r="O285"/>
  <c r="O283"/>
  <c r="O281"/>
  <c r="O193"/>
  <c r="O191"/>
  <c r="O167" i="8"/>
  <c r="O147"/>
  <c r="E127" i="41"/>
  <c r="G127" s="1"/>
  <c r="I108"/>
  <c r="K108" s="1"/>
  <c r="L108" s="1"/>
  <c r="M125" s="1"/>
  <c r="J729" i="66" s="1"/>
  <c r="I102" i="41"/>
  <c r="I101"/>
  <c r="J126"/>
  <c r="F108"/>
  <c r="E58" i="13"/>
  <c r="E59"/>
  <c r="E60"/>
  <c r="E61"/>
  <c r="E62"/>
  <c r="E65"/>
  <c r="E66"/>
  <c r="E67"/>
  <c r="E68"/>
  <c r="E69"/>
  <c r="H58"/>
  <c r="H59"/>
  <c r="H60"/>
  <c r="H61"/>
  <c r="H62"/>
  <c r="H65"/>
  <c r="H66"/>
  <c r="H67"/>
  <c r="H68"/>
  <c r="H69"/>
  <c r="O344" i="34"/>
  <c r="O343"/>
  <c r="O342"/>
  <c r="O341"/>
  <c r="O340"/>
  <c r="O339"/>
  <c r="O338"/>
  <c r="O337"/>
  <c r="O336"/>
  <c r="R248" i="8"/>
  <c r="R249"/>
  <c r="R250"/>
  <c r="AA244"/>
  <c r="AA245"/>
  <c r="AA249"/>
  <c r="AA246"/>
  <c r="AA250"/>
  <c r="S248"/>
  <c r="S249"/>
  <c r="S250"/>
  <c r="U248"/>
  <c r="U249"/>
  <c r="U241"/>
  <c r="U250"/>
  <c r="AB244"/>
  <c r="AB245"/>
  <c r="AB249"/>
  <c r="AB246"/>
  <c r="AB250"/>
  <c r="AD244"/>
  <c r="AD245"/>
  <c r="AD246"/>
  <c r="AD250"/>
  <c r="T248"/>
  <c r="T249"/>
  <c r="T250"/>
  <c r="AC244"/>
  <c r="AC245"/>
  <c r="AC249"/>
  <c r="AC246"/>
  <c r="AC250"/>
  <c r="Q248"/>
  <c r="Q249"/>
  <c r="Q250"/>
  <c r="V248"/>
  <c r="V249"/>
  <c r="V241"/>
  <c r="V250"/>
  <c r="Z244"/>
  <c r="Z245"/>
  <c r="Z249"/>
  <c r="Z246"/>
  <c r="Z250"/>
  <c r="AE244"/>
  <c r="AE245"/>
  <c r="BF245"/>
  <c r="AE246"/>
  <c r="AE250"/>
  <c r="P248"/>
  <c r="P249"/>
  <c r="P250"/>
  <c r="Y244"/>
  <c r="Y245"/>
  <c r="Y249"/>
  <c r="Y246"/>
  <c r="Y250"/>
  <c r="O335" i="34"/>
  <c r="O334"/>
  <c r="O333"/>
  <c r="O332"/>
  <c r="O331"/>
  <c r="O330"/>
  <c r="O329"/>
  <c r="O328"/>
  <c r="O327"/>
  <c r="O326"/>
  <c r="O325"/>
  <c r="O324"/>
  <c r="O323"/>
  <c r="O322"/>
  <c r="O321"/>
  <c r="O320"/>
  <c r="O319"/>
  <c r="O318"/>
  <c r="O317"/>
  <c r="O316"/>
  <c r="O315"/>
  <c r="O314"/>
  <c r="O313"/>
  <c r="O312"/>
  <c r="O311"/>
  <c r="O310"/>
  <c r="O309"/>
  <c r="O308"/>
  <c r="O307"/>
  <c r="O306"/>
  <c r="O305"/>
  <c r="O304"/>
  <c r="J15"/>
  <c r="H317"/>
  <c r="H323" s="1"/>
  <c r="G317"/>
  <c r="G323" s="1"/>
  <c r="F317"/>
  <c r="K352" s="1"/>
  <c r="E317"/>
  <c r="J352"/>
  <c r="D317"/>
  <c r="D323" s="1"/>
  <c r="C317"/>
  <c r="B317"/>
  <c r="G352" s="1"/>
  <c r="H316"/>
  <c r="M351" s="1"/>
  <c r="G316"/>
  <c r="F316"/>
  <c r="F322" s="1"/>
  <c r="E316"/>
  <c r="D316"/>
  <c r="I351" s="1"/>
  <c r="C316"/>
  <c r="H351" s="1"/>
  <c r="B316"/>
  <c r="B322" s="1"/>
  <c r="O255" i="8"/>
  <c r="B319" i="34"/>
  <c r="G250" i="60"/>
  <c r="L26"/>
  <c r="M26"/>
  <c r="H27"/>
  <c r="K27"/>
  <c r="G51"/>
  <c r="Q51" s="1"/>
  <c r="Z51" s="1"/>
  <c r="AI51" s="1"/>
  <c r="AR51" s="1"/>
  <c r="BA51" s="1"/>
  <c r="BJ51" s="1"/>
  <c r="BS51" s="1"/>
  <c r="J34"/>
  <c r="H34"/>
  <c r="I34"/>
  <c r="K34"/>
  <c r="H236"/>
  <c r="N34"/>
  <c r="H237"/>
  <c r="J44"/>
  <c r="L44"/>
  <c r="M44"/>
  <c r="H51"/>
  <c r="H54" s="1"/>
  <c r="H55" s="1"/>
  <c r="H53"/>
  <c r="R53" s="1"/>
  <c r="AA53" s="1"/>
  <c r="AJ53" s="1"/>
  <c r="AS53" s="1"/>
  <c r="BB53" s="1"/>
  <c r="BK53" s="1"/>
  <c r="BT53" s="1"/>
  <c r="I51"/>
  <c r="I53"/>
  <c r="S53" s="1"/>
  <c r="AB53" s="1"/>
  <c r="AK53" s="1"/>
  <c r="AT53" s="1"/>
  <c r="BC53" s="1"/>
  <c r="BL53" s="1"/>
  <c r="BU53" s="1"/>
  <c r="J51"/>
  <c r="T51" s="1"/>
  <c r="AC51" s="1"/>
  <c r="AL51" s="1"/>
  <c r="AU51" s="1"/>
  <c r="BD51" s="1"/>
  <c r="BM51" s="1"/>
  <c r="BV51" s="1"/>
  <c r="J53"/>
  <c r="T53" s="1"/>
  <c r="AC53" s="1"/>
  <c r="AL53" s="1"/>
  <c r="AU53" s="1"/>
  <c r="BD53" s="1"/>
  <c r="BM53" s="1"/>
  <c r="BV53" s="1"/>
  <c r="K51"/>
  <c r="U51" s="1"/>
  <c r="AD51" s="1"/>
  <c r="AM51" s="1"/>
  <c r="AV51" s="1"/>
  <c r="BE51" s="1"/>
  <c r="BN51" s="1"/>
  <c r="BW51" s="1"/>
  <c r="K53"/>
  <c r="U53" s="1"/>
  <c r="AD53" s="1"/>
  <c r="AM53" s="1"/>
  <c r="AV53" s="1"/>
  <c r="BE53" s="1"/>
  <c r="BN53" s="1"/>
  <c r="BW53" s="1"/>
  <c r="L51"/>
  <c r="L146" s="1"/>
  <c r="L53"/>
  <c r="V53"/>
  <c r="AE53" s="1"/>
  <c r="AN53" s="1"/>
  <c r="AW53" s="1"/>
  <c r="BF53" s="1"/>
  <c r="BO53" s="1"/>
  <c r="BX53" s="1"/>
  <c r="M51"/>
  <c r="M54" s="1"/>
  <c r="M55" s="1"/>
  <c r="M53"/>
  <c r="W53" s="1"/>
  <c r="AF53" s="1"/>
  <c r="AO53" s="1"/>
  <c r="AX53" s="1"/>
  <c r="BG53" s="1"/>
  <c r="BP53" s="1"/>
  <c r="BY53" s="1"/>
  <c r="K35"/>
  <c r="H235"/>
  <c r="N35"/>
  <c r="J150" i="30"/>
  <c r="J158"/>
  <c r="J157"/>
  <c r="F183"/>
  <c r="F184"/>
  <c r="F175"/>
  <c r="F176"/>
  <c r="F177"/>
  <c r="L152" i="60"/>
  <c r="M150"/>
  <c r="M152"/>
  <c r="P137"/>
  <c r="P138"/>
  <c r="P140"/>
  <c r="P198"/>
  <c r="P196"/>
  <c r="E231"/>
  <c r="P181"/>
  <c r="P183"/>
  <c r="P199"/>
  <c r="P225"/>
  <c r="P224"/>
  <c r="P223"/>
  <c r="P213"/>
  <c r="P212"/>
  <c r="P211"/>
  <c r="P210"/>
  <c r="P209"/>
  <c r="P208"/>
  <c r="P207"/>
  <c r="P206"/>
  <c r="P205"/>
  <c r="P204"/>
  <c r="P203"/>
  <c r="P202"/>
  <c r="P201"/>
  <c r="P200"/>
  <c r="P197"/>
  <c r="P195"/>
  <c r="P194"/>
  <c r="P193"/>
  <c r="P192"/>
  <c r="P191"/>
  <c r="P190"/>
  <c r="P189"/>
  <c r="P188"/>
  <c r="P187"/>
  <c r="P186"/>
  <c r="P185"/>
  <c r="P184"/>
  <c r="P182"/>
  <c r="P180"/>
  <c r="P179"/>
  <c r="P178"/>
  <c r="P177"/>
  <c r="P176"/>
  <c r="P175"/>
  <c r="P78"/>
  <c r="P164"/>
  <c r="P148"/>
  <c r="P161"/>
  <c r="B165"/>
  <c r="P167"/>
  <c r="P166"/>
  <c r="P165"/>
  <c r="P163"/>
  <c r="P160"/>
  <c r="P159"/>
  <c r="P142"/>
  <c r="P158"/>
  <c r="P157"/>
  <c r="B160"/>
  <c r="P152"/>
  <c r="P155"/>
  <c r="P153"/>
  <c r="P168"/>
  <c r="P156"/>
  <c r="P154"/>
  <c r="P151"/>
  <c r="P150"/>
  <c r="P149"/>
  <c r="P147"/>
  <c r="P146"/>
  <c r="P145"/>
  <c r="P144"/>
  <c r="P34"/>
  <c r="P114"/>
  <c r="P117"/>
  <c r="P120"/>
  <c r="K152"/>
  <c r="J152"/>
  <c r="I152"/>
  <c r="H152"/>
  <c r="G152"/>
  <c r="M52"/>
  <c r="M147" s="1"/>
  <c r="L52"/>
  <c r="L147" s="1"/>
  <c r="P93"/>
  <c r="P143"/>
  <c r="P141"/>
  <c r="P136"/>
  <c r="P250"/>
  <c r="N25"/>
  <c r="P252"/>
  <c r="P251"/>
  <c r="P249"/>
  <c r="P248"/>
  <c r="P247"/>
  <c r="P246"/>
  <c r="P245"/>
  <c r="P244"/>
  <c r="P243"/>
  <c r="P242"/>
  <c r="P241"/>
  <c r="P240"/>
  <c r="P239"/>
  <c r="P238"/>
  <c r="P237"/>
  <c r="P236"/>
  <c r="P235"/>
  <c r="P234"/>
  <c r="P233"/>
  <c r="P231"/>
  <c r="P230"/>
  <c r="P229"/>
  <c r="P228"/>
  <c r="P227"/>
  <c r="P226"/>
  <c r="P174"/>
  <c r="P173"/>
  <c r="P172"/>
  <c r="P171"/>
  <c r="P170"/>
  <c r="P169"/>
  <c r="P139"/>
  <c r="P135"/>
  <c r="P134"/>
  <c r="P133"/>
  <c r="P132"/>
  <c r="P131"/>
  <c r="P130"/>
  <c r="B358" i="34"/>
  <c r="P129" i="60"/>
  <c r="P128"/>
  <c r="P127"/>
  <c r="P126"/>
  <c r="P125"/>
  <c r="P124"/>
  <c r="P123"/>
  <c r="P121"/>
  <c r="P119"/>
  <c r="P118"/>
  <c r="P116"/>
  <c r="P115"/>
  <c r="P113"/>
  <c r="P112"/>
  <c r="P111"/>
  <c r="P110"/>
  <c r="P109"/>
  <c r="B114"/>
  <c r="P108"/>
  <c r="P107"/>
  <c r="P106"/>
  <c r="P105"/>
  <c r="P104"/>
  <c r="P103"/>
  <c r="P102"/>
  <c r="P101"/>
  <c r="P100"/>
  <c r="P99"/>
  <c r="P98"/>
  <c r="P97"/>
  <c r="P96"/>
  <c r="P95"/>
  <c r="P94"/>
  <c r="P92"/>
  <c r="P91"/>
  <c r="P90"/>
  <c r="P89"/>
  <c r="P88"/>
  <c r="P87"/>
  <c r="P86"/>
  <c r="P85"/>
  <c r="P84"/>
  <c r="P83"/>
  <c r="P82"/>
  <c r="P81"/>
  <c r="P80"/>
  <c r="P79"/>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3"/>
  <c r="P32"/>
  <c r="P31"/>
  <c r="P30"/>
  <c r="P29"/>
  <c r="P28"/>
  <c r="P27"/>
  <c r="P26"/>
  <c r="P25"/>
  <c r="P24"/>
  <c r="P23"/>
  <c r="P22"/>
  <c r="P21"/>
  <c r="P20"/>
  <c r="P19"/>
  <c r="P18"/>
  <c r="P17"/>
  <c r="P16"/>
  <c r="P15"/>
  <c r="P14"/>
  <c r="P13"/>
  <c r="P12"/>
  <c r="P11"/>
  <c r="P10"/>
  <c r="P3"/>
  <c r="P2"/>
  <c r="K83" i="57"/>
  <c r="B123" i="60"/>
  <c r="O302" i="34"/>
  <c r="O256"/>
  <c r="O293"/>
  <c r="O284"/>
  <c r="B263"/>
  <c r="O286"/>
  <c r="O242"/>
  <c r="B255"/>
  <c r="O253"/>
  <c r="O243"/>
  <c r="O240"/>
  <c r="B243"/>
  <c r="O233"/>
  <c r="O228"/>
  <c r="O222"/>
  <c r="B225"/>
  <c r="O257"/>
  <c r="O296"/>
  <c r="I228"/>
  <c r="O267"/>
  <c r="B271"/>
  <c r="O294"/>
  <c r="I277"/>
  <c r="I210"/>
  <c r="I212"/>
  <c r="O277"/>
  <c r="O288"/>
  <c r="B293"/>
  <c r="O290"/>
  <c r="O212"/>
  <c r="O301"/>
  <c r="O300"/>
  <c r="O299"/>
  <c r="O298"/>
  <c r="O297"/>
  <c r="O295"/>
  <c r="O292"/>
  <c r="O291"/>
  <c r="O289"/>
  <c r="O287"/>
  <c r="O285"/>
  <c r="O283"/>
  <c r="O282"/>
  <c r="O281"/>
  <c r="O280"/>
  <c r="B285"/>
  <c r="O279"/>
  <c r="O278"/>
  <c r="O271"/>
  <c r="O270"/>
  <c r="O269"/>
  <c r="O268"/>
  <c r="O266"/>
  <c r="O265"/>
  <c r="O264"/>
  <c r="O262"/>
  <c r="O255"/>
  <c r="B258"/>
  <c r="O258"/>
  <c r="O276"/>
  <c r="O275"/>
  <c r="O274"/>
  <c r="O273"/>
  <c r="O272"/>
  <c r="O263"/>
  <c r="O261"/>
  <c r="O260"/>
  <c r="O259"/>
  <c r="O254"/>
  <c r="O252"/>
  <c r="O251"/>
  <c r="O250"/>
  <c r="O249"/>
  <c r="O248"/>
  <c r="O247"/>
  <c r="O246"/>
  <c r="O245"/>
  <c r="O244"/>
  <c r="O241"/>
  <c r="O239"/>
  <c r="O238"/>
  <c r="O237"/>
  <c r="O236"/>
  <c r="O226"/>
  <c r="O235"/>
  <c r="O234"/>
  <c r="O232"/>
  <c r="O231"/>
  <c r="O230"/>
  <c r="O229"/>
  <c r="O227"/>
  <c r="O225"/>
  <c r="O224"/>
  <c r="O223"/>
  <c r="O221"/>
  <c r="O220"/>
  <c r="O219"/>
  <c r="O218"/>
  <c r="B221"/>
  <c r="O217"/>
  <c r="O216"/>
  <c r="O215"/>
  <c r="O214"/>
  <c r="B217"/>
  <c r="O213"/>
  <c r="O211"/>
  <c r="O210"/>
  <c r="O209"/>
  <c r="O208"/>
  <c r="O207"/>
  <c r="O206"/>
  <c r="O205"/>
  <c r="O200"/>
  <c r="B250"/>
  <c r="O196"/>
  <c r="O198"/>
  <c r="B201"/>
  <c r="O192"/>
  <c r="O189"/>
  <c r="O204"/>
  <c r="O203"/>
  <c r="O202"/>
  <c r="O201"/>
  <c r="O199"/>
  <c r="O197"/>
  <c r="O195"/>
  <c r="O194"/>
  <c r="O193"/>
  <c r="O191"/>
  <c r="O190"/>
  <c r="O188"/>
  <c r="O187"/>
  <c r="O186"/>
  <c r="O185"/>
  <c r="O184"/>
  <c r="O183"/>
  <c r="O182"/>
  <c r="O181"/>
  <c r="O180"/>
  <c r="O179"/>
  <c r="O178"/>
  <c r="O177"/>
  <c r="O176"/>
  <c r="O175"/>
  <c r="O174"/>
  <c r="O173"/>
  <c r="O172"/>
  <c r="O171"/>
  <c r="O170"/>
  <c r="O169"/>
  <c r="O168"/>
  <c r="O167"/>
  <c r="O166"/>
  <c r="O165"/>
  <c r="O164"/>
  <c r="O163"/>
  <c r="O162"/>
  <c r="O161"/>
  <c r="J12"/>
  <c r="O57"/>
  <c r="O50"/>
  <c r="O49"/>
  <c r="O48"/>
  <c r="O47"/>
  <c r="O46"/>
  <c r="O45"/>
  <c r="O44"/>
  <c r="O43"/>
  <c r="O42"/>
  <c r="O41"/>
  <c r="O40"/>
  <c r="O39"/>
  <c r="O38"/>
  <c r="O37"/>
  <c r="O36"/>
  <c r="O35"/>
  <c r="O34"/>
  <c r="O33"/>
  <c r="O31"/>
  <c r="O27"/>
  <c r="O21"/>
  <c r="J8"/>
  <c r="O26"/>
  <c r="O25"/>
  <c r="O24"/>
  <c r="O23"/>
  <c r="O22"/>
  <c r="O12"/>
  <c r="O11"/>
  <c r="O10"/>
  <c r="O8"/>
  <c r="O7"/>
  <c r="O6"/>
  <c r="O5"/>
  <c r="O4"/>
  <c r="O3"/>
  <c r="O2"/>
  <c r="O1"/>
  <c r="I196"/>
  <c r="O408" i="25"/>
  <c r="I191" i="66"/>
  <c r="O393" i="25"/>
  <c r="O306"/>
  <c r="O441"/>
  <c r="B99" i="23" s="1"/>
  <c r="O290" i="19"/>
  <c r="L444" i="25"/>
  <c r="J318" i="66" s="1"/>
  <c r="O437" i="25"/>
  <c r="D440" s="1"/>
  <c r="O451"/>
  <c r="O450"/>
  <c r="O449"/>
  <c r="V386" i="9" s="1"/>
  <c r="O448" i="25"/>
  <c r="O447"/>
  <c r="O446"/>
  <c r="O445"/>
  <c r="O444"/>
  <c r="O443"/>
  <c r="O442"/>
  <c r="O440"/>
  <c r="O439"/>
  <c r="O438"/>
  <c r="O436"/>
  <c r="O435"/>
  <c r="O434"/>
  <c r="O433"/>
  <c r="G65" i="37"/>
  <c r="H65"/>
  <c r="I65"/>
  <c r="O307" i="25"/>
  <c r="O314" i="9"/>
  <c r="O279"/>
  <c r="O276"/>
  <c r="O343" i="19"/>
  <c r="B216" i="25"/>
  <c r="P133" i="19"/>
  <c r="L131"/>
  <c r="J28"/>
  <c r="L31"/>
  <c r="Q133"/>
  <c r="R133"/>
  <c r="S133"/>
  <c r="AD133"/>
  <c r="AD135" s="1"/>
  <c r="AD137" s="1"/>
  <c r="AE133"/>
  <c r="AF133"/>
  <c r="AF135" s="1"/>
  <c r="AF137" s="1"/>
  <c r="AG133"/>
  <c r="AH133"/>
  <c r="AH135" s="1"/>
  <c r="AH137" s="1"/>
  <c r="AH312" s="1"/>
  <c r="AH314" s="1"/>
  <c r="AI133"/>
  <c r="AM133"/>
  <c r="O293" i="8"/>
  <c r="B986"/>
  <c r="J94" i="29"/>
  <c r="I422" i="66"/>
  <c r="I94" i="29"/>
  <c r="H422" i="66"/>
  <c r="O326" i="9"/>
  <c r="O338"/>
  <c r="O377"/>
  <c r="O381"/>
  <c r="M391"/>
  <c r="O405"/>
  <c r="M419"/>
  <c r="O412"/>
  <c r="O326" i="8"/>
  <c r="O340"/>
  <c r="O377"/>
  <c r="O381"/>
  <c r="M391"/>
  <c r="O405"/>
  <c r="M419"/>
  <c r="O412"/>
  <c r="O334" i="9"/>
  <c r="O122"/>
  <c r="O317"/>
  <c r="O334" i="8"/>
  <c r="O122"/>
  <c r="H77"/>
  <c r="O317"/>
  <c r="H326" i="25"/>
  <c r="H348" s="1"/>
  <c r="G326"/>
  <c r="F377" s="1"/>
  <c r="K377" s="1"/>
  <c r="H325"/>
  <c r="H337" s="1"/>
  <c r="G325"/>
  <c r="G347" s="1"/>
  <c r="H182" i="15"/>
  <c r="H183"/>
  <c r="BO422" i="9"/>
  <c r="BF422"/>
  <c r="AN422"/>
  <c r="O195"/>
  <c r="B428"/>
  <c r="O414"/>
  <c r="O167"/>
  <c r="O423"/>
  <c r="O422"/>
  <c r="O421"/>
  <c r="O420"/>
  <c r="O419"/>
  <c r="O418"/>
  <c r="M420"/>
  <c r="O417"/>
  <c r="O388"/>
  <c r="O413"/>
  <c r="W247"/>
  <c r="AF247"/>
  <c r="P249"/>
  <c r="N23" i="37"/>
  <c r="J111" i="29"/>
  <c r="J100"/>
  <c r="I424" i="66"/>
  <c r="Q249" i="9"/>
  <c r="R249"/>
  <c r="S249"/>
  <c r="T249"/>
  <c r="U249"/>
  <c r="Y239"/>
  <c r="Y241"/>
  <c r="Y240"/>
  <c r="Y249"/>
  <c r="Z239"/>
  <c r="Z241"/>
  <c r="Z240"/>
  <c r="Z249"/>
  <c r="AA239"/>
  <c r="AA241"/>
  <c r="AA240"/>
  <c r="AA249"/>
  <c r="AB239"/>
  <c r="AB241"/>
  <c r="AB240"/>
  <c r="AB249"/>
  <c r="AC239"/>
  <c r="AC241"/>
  <c r="AC240"/>
  <c r="AC249"/>
  <c r="AD239"/>
  <c r="AD241"/>
  <c r="AD240"/>
  <c r="AD249"/>
  <c r="L119" i="25"/>
  <c r="AZ245" i="9"/>
  <c r="BA245"/>
  <c r="BJ245"/>
  <c r="BJ249"/>
  <c r="BB245"/>
  <c r="BB249"/>
  <c r="BC245"/>
  <c r="BC249"/>
  <c r="BD245"/>
  <c r="BD249"/>
  <c r="BE245"/>
  <c r="BE249"/>
  <c r="O141"/>
  <c r="B412"/>
  <c r="O407"/>
  <c r="B411"/>
  <c r="O366"/>
  <c r="O177"/>
  <c r="B404"/>
  <c r="O399"/>
  <c r="B402"/>
  <c r="O394"/>
  <c r="O149"/>
  <c r="B152"/>
  <c r="O383"/>
  <c r="O118"/>
  <c r="B169"/>
  <c r="O568" i="25"/>
  <c r="J447"/>
  <c r="BO392" i="9"/>
  <c r="BF392"/>
  <c r="AN392"/>
  <c r="O392"/>
  <c r="O389"/>
  <c r="O391"/>
  <c r="O390"/>
  <c r="O378"/>
  <c r="M389"/>
  <c r="O387"/>
  <c r="O386"/>
  <c r="O385"/>
  <c r="O414" i="8"/>
  <c r="O419"/>
  <c r="O421"/>
  <c r="O383"/>
  <c r="O389"/>
  <c r="O391"/>
  <c r="O422"/>
  <c r="O420"/>
  <c r="O418"/>
  <c r="M420"/>
  <c r="O417"/>
  <c r="O416"/>
  <c r="O415"/>
  <c r="O378"/>
  <c r="M389"/>
  <c r="O388"/>
  <c r="M418"/>
  <c r="O438"/>
  <c r="O413"/>
  <c r="O435"/>
  <c r="B230" i="10"/>
  <c r="O410" i="8"/>
  <c r="O408"/>
  <c r="O393"/>
  <c r="O392"/>
  <c r="O390"/>
  <c r="O387"/>
  <c r="O386"/>
  <c r="O385"/>
  <c r="O384"/>
  <c r="AD384" i="19"/>
  <c r="J177" i="23"/>
  <c r="J174"/>
  <c r="O393" i="19"/>
  <c r="AL263"/>
  <c r="AL265"/>
  <c r="F138" i="15"/>
  <c r="F137"/>
  <c r="G138"/>
  <c r="U263" i="19"/>
  <c r="U265"/>
  <c r="F140" i="15"/>
  <c r="M286" i="19"/>
  <c r="Y263"/>
  <c r="Y265"/>
  <c r="X263"/>
  <c r="X265"/>
  <c r="V263"/>
  <c r="V265"/>
  <c r="O422"/>
  <c r="O426"/>
  <c r="B420"/>
  <c r="O420"/>
  <c r="O416"/>
  <c r="O149"/>
  <c r="O421"/>
  <c r="O419"/>
  <c r="O418"/>
  <c r="O403"/>
  <c r="O417"/>
  <c r="O408"/>
  <c r="J410"/>
  <c r="O406"/>
  <c r="O94"/>
  <c r="O97"/>
  <c r="O407"/>
  <c r="O405"/>
  <c r="O404"/>
  <c r="O292"/>
  <c r="B407"/>
  <c r="I444" i="25"/>
  <c r="I318" i="66" s="1"/>
  <c r="O409" i="9"/>
  <c r="O411"/>
  <c r="O130"/>
  <c r="O416"/>
  <c r="O415"/>
  <c r="O410"/>
  <c r="O408"/>
  <c r="O406"/>
  <c r="O374"/>
  <c r="AH377"/>
  <c r="O376"/>
  <c r="O380"/>
  <c r="O128"/>
  <c r="O159"/>
  <c r="O382"/>
  <c r="O427"/>
  <c r="O382" i="8"/>
  <c r="O411"/>
  <c r="O407"/>
  <c r="O409"/>
  <c r="O366"/>
  <c r="O130"/>
  <c r="AH410"/>
  <c r="O423"/>
  <c r="O406"/>
  <c r="O141"/>
  <c r="B412"/>
  <c r="B411"/>
  <c r="O374"/>
  <c r="B378"/>
  <c r="O376"/>
  <c r="O380"/>
  <c r="O402"/>
  <c r="O404"/>
  <c r="O424"/>
  <c r="O320" i="19"/>
  <c r="O344"/>
  <c r="O342"/>
  <c r="O341"/>
  <c r="O340"/>
  <c r="O339"/>
  <c r="O338"/>
  <c r="O337"/>
  <c r="O336"/>
  <c r="O335"/>
  <c r="O334"/>
  <c r="O333"/>
  <c r="O331"/>
  <c r="O318"/>
  <c r="B336"/>
  <c r="O346"/>
  <c r="O42"/>
  <c r="O137"/>
  <c r="O159" i="8"/>
  <c r="O400"/>
  <c r="O128"/>
  <c r="O129" i="25"/>
  <c r="O128"/>
  <c r="O127"/>
  <c r="O126"/>
  <c r="O125"/>
  <c r="O116"/>
  <c r="O115"/>
  <c r="O119"/>
  <c r="B118" s="1"/>
  <c r="O79"/>
  <c r="O111"/>
  <c r="B114" s="1"/>
  <c r="O432"/>
  <c r="O309"/>
  <c r="J62" i="29"/>
  <c r="J63"/>
  <c r="G582" i="66"/>
  <c r="O24" i="25"/>
  <c r="O22"/>
  <c r="O17"/>
  <c r="O15"/>
  <c r="O13"/>
  <c r="O12"/>
  <c r="O11"/>
  <c r="O10"/>
  <c r="O9"/>
  <c r="O8"/>
  <c r="O7"/>
  <c r="O6"/>
  <c r="O5"/>
  <c r="O4"/>
  <c r="O3"/>
  <c r="O104"/>
  <c r="O101"/>
  <c r="O100"/>
  <c r="O99"/>
  <c r="O84"/>
  <c r="O360"/>
  <c r="O105"/>
  <c r="C413" s="1"/>
  <c r="O102"/>
  <c r="J62" s="1"/>
  <c r="O73"/>
  <c r="L196" i="55"/>
  <c r="L195"/>
  <c r="L194"/>
  <c r="L193"/>
  <c r="L192"/>
  <c r="L191"/>
  <c r="L190"/>
  <c r="L49" i="56"/>
  <c r="M49"/>
  <c r="E147" i="55"/>
  <c r="E175"/>
  <c r="O140" i="56"/>
  <c r="B10"/>
  <c r="O302" i="25"/>
  <c r="O564" i="19"/>
  <c r="O563"/>
  <c r="O562"/>
  <c r="O561"/>
  <c r="O560"/>
  <c r="O559"/>
  <c r="O558"/>
  <c r="O557"/>
  <c r="O556"/>
  <c r="O555"/>
  <c r="O554"/>
  <c r="O553"/>
  <c r="O552"/>
  <c r="O551"/>
  <c r="O550"/>
  <c r="O549"/>
  <c r="O548"/>
  <c r="O547"/>
  <c r="O546"/>
  <c r="O545"/>
  <c r="O544"/>
  <c r="O543"/>
  <c r="T21"/>
  <c r="J181" i="23"/>
  <c r="T12" i="19"/>
  <c r="R8"/>
  <c r="O38" i="23"/>
  <c r="B145" i="24"/>
  <c r="B126"/>
  <c r="B119"/>
  <c r="AG153"/>
  <c r="AG152"/>
  <c r="AG151"/>
  <c r="AG150"/>
  <c r="AG147"/>
  <c r="AG7"/>
  <c r="AG6"/>
  <c r="AG5"/>
  <c r="AG4"/>
  <c r="AG3"/>
  <c r="AG2"/>
  <c r="AG1"/>
  <c r="E54"/>
  <c r="O34"/>
  <c r="P34"/>
  <c r="Q34"/>
  <c r="R34"/>
  <c r="AA34"/>
  <c r="S34"/>
  <c r="T34"/>
  <c r="U34"/>
  <c r="V34"/>
  <c r="W34"/>
  <c r="X34"/>
  <c r="Y34"/>
  <c r="Z34"/>
  <c r="O35"/>
  <c r="P35"/>
  <c r="Q35"/>
  <c r="R35"/>
  <c r="AA35"/>
  <c r="S35"/>
  <c r="T35"/>
  <c r="U35"/>
  <c r="V35"/>
  <c r="W35"/>
  <c r="X35"/>
  <c r="Y35"/>
  <c r="Z35"/>
  <c r="O36"/>
  <c r="P36"/>
  <c r="Q36"/>
  <c r="R36"/>
  <c r="AA36"/>
  <c r="S36"/>
  <c r="T36"/>
  <c r="U36"/>
  <c r="V36"/>
  <c r="W36"/>
  <c r="X36"/>
  <c r="Y36"/>
  <c r="Z36"/>
  <c r="O37"/>
  <c r="P37"/>
  <c r="Q37"/>
  <c r="R37"/>
  <c r="AA37"/>
  <c r="S37"/>
  <c r="T37"/>
  <c r="U37"/>
  <c r="V37"/>
  <c r="W37"/>
  <c r="X37"/>
  <c r="Y37"/>
  <c r="Z37"/>
  <c r="O38"/>
  <c r="P38"/>
  <c r="Q38"/>
  <c r="R38"/>
  <c r="AA38"/>
  <c r="S38"/>
  <c r="T38"/>
  <c r="U38"/>
  <c r="V38"/>
  <c r="W38"/>
  <c r="X38"/>
  <c r="Y38"/>
  <c r="Z38"/>
  <c r="O39"/>
  <c r="P39"/>
  <c r="Q39"/>
  <c r="R39"/>
  <c r="AA39"/>
  <c r="S39"/>
  <c r="T39"/>
  <c r="U39"/>
  <c r="V39"/>
  <c r="W39"/>
  <c r="X39"/>
  <c r="Y39"/>
  <c r="Z39"/>
  <c r="O40"/>
  <c r="P40"/>
  <c r="Q40"/>
  <c r="R40"/>
  <c r="AA40"/>
  <c r="S40"/>
  <c r="T40"/>
  <c r="U40"/>
  <c r="V40"/>
  <c r="W40"/>
  <c r="X40"/>
  <c r="Y40"/>
  <c r="Z40"/>
  <c r="O41"/>
  <c r="P41"/>
  <c r="Q41"/>
  <c r="R41"/>
  <c r="AA41"/>
  <c r="S41"/>
  <c r="T41"/>
  <c r="U41"/>
  <c r="V41"/>
  <c r="W41"/>
  <c r="X41"/>
  <c r="Y41"/>
  <c r="Z41"/>
  <c r="O42"/>
  <c r="P42"/>
  <c r="Q42"/>
  <c r="R42"/>
  <c r="AA42"/>
  <c r="S42"/>
  <c r="T42"/>
  <c r="U42"/>
  <c r="V42"/>
  <c r="W42"/>
  <c r="X42"/>
  <c r="Y42"/>
  <c r="Z42"/>
  <c r="O43"/>
  <c r="P43"/>
  <c r="Q43"/>
  <c r="R43"/>
  <c r="AA43"/>
  <c r="S43"/>
  <c r="T43"/>
  <c r="U43"/>
  <c r="V43"/>
  <c r="W43"/>
  <c r="X43"/>
  <c r="Y43"/>
  <c r="Z43"/>
  <c r="O44"/>
  <c r="P44"/>
  <c r="Q44"/>
  <c r="R44"/>
  <c r="AA44"/>
  <c r="S44"/>
  <c r="T44"/>
  <c r="U44"/>
  <c r="V44"/>
  <c r="W44"/>
  <c r="X44"/>
  <c r="Y44"/>
  <c r="Z44"/>
  <c r="O45"/>
  <c r="P45"/>
  <c r="Q45"/>
  <c r="R45"/>
  <c r="AA45"/>
  <c r="S45"/>
  <c r="T45"/>
  <c r="AC45"/>
  <c r="U45"/>
  <c r="V45"/>
  <c r="W45"/>
  <c r="X45"/>
  <c r="Y45"/>
  <c r="Z45"/>
  <c r="O46"/>
  <c r="P46"/>
  <c r="Q46"/>
  <c r="R46"/>
  <c r="AA46"/>
  <c r="S46"/>
  <c r="T46"/>
  <c r="U46"/>
  <c r="V46"/>
  <c r="W46"/>
  <c r="X46"/>
  <c r="Y46"/>
  <c r="Z46"/>
  <c r="AD46"/>
  <c r="O47"/>
  <c r="P47"/>
  <c r="Q47"/>
  <c r="R47"/>
  <c r="AA47"/>
  <c r="S47"/>
  <c r="T47"/>
  <c r="U47"/>
  <c r="V47"/>
  <c r="AC47"/>
  <c r="W47"/>
  <c r="X47"/>
  <c r="Y47"/>
  <c r="Z47"/>
  <c r="AD47"/>
  <c r="O48"/>
  <c r="P48"/>
  <c r="Q48"/>
  <c r="R48"/>
  <c r="AB48"/>
  <c r="AA48"/>
  <c r="S48"/>
  <c r="T48"/>
  <c r="U48"/>
  <c r="V48"/>
  <c r="W48"/>
  <c r="X48"/>
  <c r="Y48"/>
  <c r="Z48"/>
  <c r="O49"/>
  <c r="P49"/>
  <c r="Q49"/>
  <c r="R49"/>
  <c r="AA49"/>
  <c r="S49"/>
  <c r="T49"/>
  <c r="U49"/>
  <c r="V49"/>
  <c r="W49"/>
  <c r="X49"/>
  <c r="Y49"/>
  <c r="Z49"/>
  <c r="O50"/>
  <c r="P50"/>
  <c r="Q50"/>
  <c r="R50"/>
  <c r="AA50"/>
  <c r="S50"/>
  <c r="T50"/>
  <c r="U50"/>
  <c r="V50"/>
  <c r="W50"/>
  <c r="X50"/>
  <c r="Y50"/>
  <c r="Z50"/>
  <c r="O51"/>
  <c r="P51"/>
  <c r="Q51"/>
  <c r="R51"/>
  <c r="AA51"/>
  <c r="S51"/>
  <c r="T51"/>
  <c r="U51"/>
  <c r="V51"/>
  <c r="W51"/>
  <c r="X51"/>
  <c r="Y51"/>
  <c r="Z51"/>
  <c r="O52"/>
  <c r="P52"/>
  <c r="Q52"/>
  <c r="R52"/>
  <c r="AA52"/>
  <c r="S52"/>
  <c r="T52"/>
  <c r="U52"/>
  <c r="V52"/>
  <c r="W52"/>
  <c r="X52"/>
  <c r="Y52"/>
  <c r="Z52"/>
  <c r="O53"/>
  <c r="P53"/>
  <c r="Q53"/>
  <c r="R53"/>
  <c r="AA53"/>
  <c r="S53"/>
  <c r="T53"/>
  <c r="U53"/>
  <c r="V53"/>
  <c r="W53"/>
  <c r="X53"/>
  <c r="Y53"/>
  <c r="Z53"/>
  <c r="M97"/>
  <c r="J97"/>
  <c r="H97"/>
  <c r="G97"/>
  <c r="F34"/>
  <c r="F35"/>
  <c r="F36"/>
  <c r="F37"/>
  <c r="F38"/>
  <c r="F39"/>
  <c r="F40"/>
  <c r="F41"/>
  <c r="F42"/>
  <c r="F43"/>
  <c r="F44"/>
  <c r="F45"/>
  <c r="F46"/>
  <c r="F47"/>
  <c r="F48"/>
  <c r="F49"/>
  <c r="F50"/>
  <c r="F51"/>
  <c r="F52"/>
  <c r="F53"/>
  <c r="H54"/>
  <c r="G54"/>
  <c r="N54"/>
  <c r="M54"/>
  <c r="L54"/>
  <c r="K54"/>
  <c r="J54"/>
  <c r="I54"/>
  <c r="O80" i="25"/>
  <c r="B120" s="1"/>
  <c r="O117"/>
  <c r="O118"/>
  <c r="O81"/>
  <c r="O87"/>
  <c r="O538" i="7"/>
  <c r="O443"/>
  <c r="P259" i="60"/>
  <c r="P258"/>
  <c r="P257"/>
  <c r="P256"/>
  <c r="P255"/>
  <c r="P254"/>
  <c r="P253"/>
  <c r="K52"/>
  <c r="U52" s="1"/>
  <c r="AD52" s="1"/>
  <c r="AM52" s="1"/>
  <c r="AV52" s="1"/>
  <c r="BE52" s="1"/>
  <c r="BN52" s="1"/>
  <c r="BW52" s="1"/>
  <c r="J52"/>
  <c r="I52"/>
  <c r="S52" s="1"/>
  <c r="AB52" s="1"/>
  <c r="AK52" s="1"/>
  <c r="AT52" s="1"/>
  <c r="BC52" s="1"/>
  <c r="BL52" s="1"/>
  <c r="BU52" s="1"/>
  <c r="H52"/>
  <c r="R52" s="1"/>
  <c r="AA52" s="1"/>
  <c r="AJ52" s="1"/>
  <c r="AS52" s="1"/>
  <c r="BB52" s="1"/>
  <c r="BK52" s="1"/>
  <c r="BT52" s="1"/>
  <c r="G52"/>
  <c r="G147" s="1"/>
  <c r="E238"/>
  <c r="F238"/>
  <c r="G238"/>
  <c r="K79" i="57"/>
  <c r="H83"/>
  <c r="BZ72" i="60"/>
  <c r="BZ70"/>
  <c r="O51"/>
  <c r="X51" s="1"/>
  <c r="AG51" s="1"/>
  <c r="AP51" s="1"/>
  <c r="AY51" s="1"/>
  <c r="BH51" s="1"/>
  <c r="BQ51" s="1"/>
  <c r="BZ51" s="1"/>
  <c r="P1"/>
  <c r="B26"/>
  <c r="J27"/>
  <c r="Q27"/>
  <c r="Z27"/>
  <c r="AI27"/>
  <c r="AR27"/>
  <c r="BA27"/>
  <c r="BJ27"/>
  <c r="K44"/>
  <c r="AI65"/>
  <c r="Z73"/>
  <c r="BA73"/>
  <c r="B77"/>
  <c r="O181" i="8"/>
  <c r="O190"/>
  <c r="B113" i="60"/>
  <c r="O966" i="8"/>
  <c r="B121" i="60"/>
  <c r="I2" i="58"/>
  <c r="O212" i="7"/>
  <c r="G14" i="58"/>
  <c r="D44" i="57"/>
  <c r="D43"/>
  <c r="D42"/>
  <c r="D41"/>
  <c r="D40"/>
  <c r="D39"/>
  <c r="D28"/>
  <c r="D27"/>
  <c r="D26"/>
  <c r="D25"/>
  <c r="D24"/>
  <c r="D23"/>
  <c r="D22"/>
  <c r="K99"/>
  <c r="K98"/>
  <c r="N1037" i="8"/>
  <c r="B1039"/>
  <c r="M1037"/>
  <c r="L1037"/>
  <c r="K1037"/>
  <c r="J1037"/>
  <c r="I1037"/>
  <c r="H1037"/>
  <c r="G1037"/>
  <c r="O346"/>
  <c r="B1035"/>
  <c r="K78" i="57"/>
  <c r="H82"/>
  <c r="K108"/>
  <c r="K107"/>
  <c r="K106"/>
  <c r="K105"/>
  <c r="K104"/>
  <c r="K103"/>
  <c r="K102"/>
  <c r="K101"/>
  <c r="K100"/>
  <c r="K97"/>
  <c r="K96"/>
  <c r="K95"/>
  <c r="K94"/>
  <c r="K93"/>
  <c r="K92"/>
  <c r="K91"/>
  <c r="K90"/>
  <c r="K89"/>
  <c r="K88"/>
  <c r="K87"/>
  <c r="K86"/>
  <c r="K85"/>
  <c r="K84"/>
  <c r="K82"/>
  <c r="K81"/>
  <c r="K80"/>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2"/>
  <c r="K1"/>
  <c r="O184" i="9"/>
  <c r="Y5"/>
  <c r="AN133"/>
  <c r="AN137"/>
  <c r="L60" i="56"/>
  <c r="U60" s="1"/>
  <c r="AD60" s="1"/>
  <c r="AM60" s="1"/>
  <c r="AV60" s="1"/>
  <c r="BE60" s="1"/>
  <c r="BN60" s="1"/>
  <c r="K60"/>
  <c r="J60"/>
  <c r="S60" s="1"/>
  <c r="AB60" s="1"/>
  <c r="AK60" s="1"/>
  <c r="AT60" s="1"/>
  <c r="BC60" s="1"/>
  <c r="BL60" s="1"/>
  <c r="I60"/>
  <c r="C41" i="57" s="1"/>
  <c r="C103" s="1"/>
  <c r="H60" i="56"/>
  <c r="C40" i="57" s="1"/>
  <c r="C102" s="1"/>
  <c r="G60" i="56"/>
  <c r="B45" i="57"/>
  <c r="B107" s="1"/>
  <c r="M60" i="55"/>
  <c r="C28" i="57" s="1"/>
  <c r="C95" s="1"/>
  <c r="L60" i="55"/>
  <c r="K60"/>
  <c r="J60"/>
  <c r="I60"/>
  <c r="H60"/>
  <c r="C23" i="57" s="1"/>
  <c r="C90" s="1"/>
  <c r="G60" i="55"/>
  <c r="P60" s="1"/>
  <c r="Y60" s="1"/>
  <c r="AH60" s="1"/>
  <c r="AQ60" s="1"/>
  <c r="AZ60" s="1"/>
  <c r="BI60" s="1"/>
  <c r="B29" i="57"/>
  <c r="B96" s="1"/>
  <c r="I1"/>
  <c r="O946" i="8"/>
  <c r="B1005"/>
  <c r="O97" i="7"/>
  <c r="O96"/>
  <c r="O98"/>
  <c r="H114" i="26"/>
  <c r="F60" i="18"/>
  <c r="P60"/>
  <c r="F294" i="29"/>
  <c r="E294"/>
  <c r="F293"/>
  <c r="E293"/>
  <c r="F292"/>
  <c r="E292"/>
  <c r="F291"/>
  <c r="E291"/>
  <c r="F290"/>
  <c r="E290"/>
  <c r="F289"/>
  <c r="E289"/>
  <c r="F288"/>
  <c r="E288"/>
  <c r="F287"/>
  <c r="E287"/>
  <c r="F286"/>
  <c r="E286"/>
  <c r="F285"/>
  <c r="E285"/>
  <c r="F284"/>
  <c r="E284"/>
  <c r="F283"/>
  <c r="E283"/>
  <c r="F282"/>
  <c r="E282"/>
  <c r="F281"/>
  <c r="E281"/>
  <c r="F280"/>
  <c r="E280"/>
  <c r="F279"/>
  <c r="E279"/>
  <c r="F278"/>
  <c r="E278"/>
  <c r="F277"/>
  <c r="E277"/>
  <c r="F276"/>
  <c r="E276"/>
  <c r="F275"/>
  <c r="E275"/>
  <c r="F274"/>
  <c r="E274"/>
  <c r="F273"/>
  <c r="E273"/>
  <c r="F272"/>
  <c r="E272"/>
  <c r="F271"/>
  <c r="E271"/>
  <c r="F270"/>
  <c r="E270"/>
  <c r="F269"/>
  <c r="E269"/>
  <c r="F268"/>
  <c r="E268"/>
  <c r="F267"/>
  <c r="E267"/>
  <c r="F266"/>
  <c r="E266"/>
  <c r="F265"/>
  <c r="E265"/>
  <c r="F264"/>
  <c r="E264"/>
  <c r="F263"/>
  <c r="E263"/>
  <c r="F262"/>
  <c r="E262"/>
  <c r="F261"/>
  <c r="E261"/>
  <c r="F260"/>
  <c r="E260"/>
  <c r="F259"/>
  <c r="E259"/>
  <c r="F258"/>
  <c r="E258"/>
  <c r="F257"/>
  <c r="E257"/>
  <c r="F256"/>
  <c r="E256"/>
  <c r="F255"/>
  <c r="E255"/>
  <c r="F254"/>
  <c r="E254"/>
  <c r="F253"/>
  <c r="E253"/>
  <c r="F252"/>
  <c r="E252"/>
  <c r="F251"/>
  <c r="E251"/>
  <c r="F250"/>
  <c r="E250"/>
  <c r="F249"/>
  <c r="E249"/>
  <c r="F248"/>
  <c r="E248"/>
  <c r="F247"/>
  <c r="E247"/>
  <c r="F246"/>
  <c r="E246"/>
  <c r="F245"/>
  <c r="E245"/>
  <c r="F244"/>
  <c r="E244"/>
  <c r="F243"/>
  <c r="E243"/>
  <c r="F242"/>
  <c r="E242"/>
  <c r="F241"/>
  <c r="E241"/>
  <c r="F240"/>
  <c r="E240"/>
  <c r="F239"/>
  <c r="E239"/>
  <c r="F238"/>
  <c r="E238"/>
  <c r="F237"/>
  <c r="E237"/>
  <c r="F236"/>
  <c r="E236"/>
  <c r="F235"/>
  <c r="E235"/>
  <c r="F234"/>
  <c r="E234"/>
  <c r="F233"/>
  <c r="E233"/>
  <c r="F232"/>
  <c r="E232"/>
  <c r="F231"/>
  <c r="E231"/>
  <c r="F230"/>
  <c r="E230"/>
  <c r="F229"/>
  <c r="E229"/>
  <c r="F228"/>
  <c r="E228"/>
  <c r="F227"/>
  <c r="E227"/>
  <c r="F226"/>
  <c r="E226"/>
  <c r="F225"/>
  <c r="E225"/>
  <c r="F224"/>
  <c r="E224"/>
  <c r="F223"/>
  <c r="E223"/>
  <c r="F222"/>
  <c r="E222"/>
  <c r="F221"/>
  <c r="E221"/>
  <c r="F220"/>
  <c r="E220"/>
  <c r="F219"/>
  <c r="E219"/>
  <c r="D219"/>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AA105" i="28"/>
  <c r="AA104"/>
  <c r="K145" i="27"/>
  <c r="C200" s="1"/>
  <c r="D224"/>
  <c r="D223"/>
  <c r="D222"/>
  <c r="D221"/>
  <c r="D164"/>
  <c r="D163"/>
  <c r="D162"/>
  <c r="D161"/>
  <c r="D160"/>
  <c r="D159"/>
  <c r="D158"/>
  <c r="D157"/>
  <c r="D156"/>
  <c r="D155"/>
  <c r="D154"/>
  <c r="D153"/>
  <c r="D152"/>
  <c r="D151"/>
  <c r="D150"/>
  <c r="D149"/>
  <c r="D148"/>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X143" i="29"/>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V145"/>
  <c r="U143"/>
  <c r="V143"/>
  <c r="W143"/>
  <c r="U144"/>
  <c r="V144"/>
  <c r="W144"/>
  <c r="U145"/>
  <c r="W145"/>
  <c r="U146"/>
  <c r="V146"/>
  <c r="W146"/>
  <c r="U147"/>
  <c r="V147"/>
  <c r="W147"/>
  <c r="U148"/>
  <c r="V148"/>
  <c r="W148"/>
  <c r="U149"/>
  <c r="V149"/>
  <c r="W149"/>
  <c r="U150"/>
  <c r="V150"/>
  <c r="W150"/>
  <c r="U151"/>
  <c r="V151"/>
  <c r="W151"/>
  <c r="U152"/>
  <c r="V152"/>
  <c r="W152"/>
  <c r="U153"/>
  <c r="V153"/>
  <c r="W153"/>
  <c r="U154"/>
  <c r="V154"/>
  <c r="W154"/>
  <c r="U155"/>
  <c r="V155"/>
  <c r="W155"/>
  <c r="U156"/>
  <c r="V156"/>
  <c r="W156"/>
  <c r="U157"/>
  <c r="V157"/>
  <c r="W157"/>
  <c r="U158"/>
  <c r="V158"/>
  <c r="W158"/>
  <c r="U159"/>
  <c r="V159"/>
  <c r="W159"/>
  <c r="U160"/>
  <c r="V160"/>
  <c r="W160"/>
  <c r="U161"/>
  <c r="V161"/>
  <c r="W161"/>
  <c r="U162"/>
  <c r="V162"/>
  <c r="W162"/>
  <c r="U163"/>
  <c r="V163"/>
  <c r="W163"/>
  <c r="U164"/>
  <c r="V164"/>
  <c r="W164"/>
  <c r="U165"/>
  <c r="V165"/>
  <c r="W165"/>
  <c r="U166"/>
  <c r="V166"/>
  <c r="W166"/>
  <c r="U167"/>
  <c r="V167"/>
  <c r="W167"/>
  <c r="U168"/>
  <c r="V168"/>
  <c r="W168"/>
  <c r="U169"/>
  <c r="V169"/>
  <c r="W169"/>
  <c r="U170"/>
  <c r="V170"/>
  <c r="W170"/>
  <c r="U171"/>
  <c r="V171"/>
  <c r="W171"/>
  <c r="U172"/>
  <c r="V172"/>
  <c r="W172"/>
  <c r="U173"/>
  <c r="V173"/>
  <c r="W173"/>
  <c r="U174"/>
  <c r="V174"/>
  <c r="W174"/>
  <c r="U175"/>
  <c r="V175"/>
  <c r="W175"/>
  <c r="U176"/>
  <c r="V176"/>
  <c r="W176"/>
  <c r="U177"/>
  <c r="V177"/>
  <c r="W177"/>
  <c r="U178"/>
  <c r="V178"/>
  <c r="W178"/>
  <c r="U179"/>
  <c r="V179"/>
  <c r="W179"/>
  <c r="U180"/>
  <c r="V180"/>
  <c r="W180"/>
  <c r="U181"/>
  <c r="V181"/>
  <c r="W181"/>
  <c r="U182"/>
  <c r="V182"/>
  <c r="W182"/>
  <c r="U183"/>
  <c r="V183"/>
  <c r="W183"/>
  <c r="U184"/>
  <c r="V184"/>
  <c r="W184"/>
  <c r="U185"/>
  <c r="V185"/>
  <c r="W185"/>
  <c r="U186"/>
  <c r="V186"/>
  <c r="W186"/>
  <c r="U187"/>
  <c r="V187"/>
  <c r="W187"/>
  <c r="U188"/>
  <c r="V188"/>
  <c r="W188"/>
  <c r="U189"/>
  <c r="V189"/>
  <c r="W189"/>
  <c r="U190"/>
  <c r="V190"/>
  <c r="W190"/>
  <c r="U191"/>
  <c r="V191"/>
  <c r="W191"/>
  <c r="U192"/>
  <c r="V192"/>
  <c r="W192"/>
  <c r="U193"/>
  <c r="V193"/>
  <c r="W193"/>
  <c r="U194"/>
  <c r="V194"/>
  <c r="W194"/>
  <c r="U195"/>
  <c r="V195"/>
  <c r="W195"/>
  <c r="U196"/>
  <c r="V196"/>
  <c r="W196"/>
  <c r="U197"/>
  <c r="V197"/>
  <c r="W197"/>
  <c r="U198"/>
  <c r="V198"/>
  <c r="W198"/>
  <c r="U199"/>
  <c r="V199"/>
  <c r="W199"/>
  <c r="U200"/>
  <c r="V200"/>
  <c r="W200"/>
  <c r="U201"/>
  <c r="V201"/>
  <c r="W201"/>
  <c r="U202"/>
  <c r="V202"/>
  <c r="W202"/>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143"/>
  <c r="M1" i="4"/>
  <c r="J2"/>
  <c r="I680" i="7"/>
  <c r="I601"/>
  <c r="I603"/>
  <c r="O153" i="55"/>
  <c r="B151"/>
  <c r="O160" i="56"/>
  <c r="O159"/>
  <c r="O148"/>
  <c r="O134"/>
  <c r="O62"/>
  <c r="O160" i="55"/>
  <c r="O159"/>
  <c r="O144"/>
  <c r="O165"/>
  <c r="O158"/>
  <c r="J309" i="56"/>
  <c r="J308"/>
  <c r="J307"/>
  <c r="J306"/>
  <c r="J305"/>
  <c r="J304"/>
  <c r="J303"/>
  <c r="J302"/>
  <c r="J301"/>
  <c r="J300"/>
  <c r="J299"/>
  <c r="J298"/>
  <c r="J297"/>
  <c r="J296"/>
  <c r="J295"/>
  <c r="J294"/>
  <c r="J293"/>
  <c r="J292"/>
  <c r="J291"/>
  <c r="J290"/>
  <c r="J289"/>
  <c r="J288"/>
  <c r="J287"/>
  <c r="J286"/>
  <c r="J285"/>
  <c r="J284"/>
  <c r="J283"/>
  <c r="J282"/>
  <c r="J281"/>
  <c r="J280"/>
  <c r="J279"/>
  <c r="J278"/>
  <c r="J277"/>
  <c r="J276"/>
  <c r="J275"/>
  <c r="J274"/>
  <c r="J273"/>
  <c r="J272"/>
  <c r="J271"/>
  <c r="J270"/>
  <c r="J269"/>
  <c r="J268"/>
  <c r="J267"/>
  <c r="J266"/>
  <c r="J265"/>
  <c r="J264"/>
  <c r="J263"/>
  <c r="J262"/>
  <c r="J261"/>
  <c r="J260"/>
  <c r="J259"/>
  <c r="J258"/>
  <c r="J257"/>
  <c r="J256"/>
  <c r="J255"/>
  <c r="J254"/>
  <c r="J253"/>
  <c r="J252"/>
  <c r="J251"/>
  <c r="J250"/>
  <c r="J249"/>
  <c r="J248"/>
  <c r="J247"/>
  <c r="J246"/>
  <c r="J245"/>
  <c r="J244"/>
  <c r="J243"/>
  <c r="J242"/>
  <c r="J241"/>
  <c r="J240"/>
  <c r="J239"/>
  <c r="O223" i="7"/>
  <c r="O94" i="8"/>
  <c r="O203"/>
  <c r="O966" i="9"/>
  <c r="B130" i="56"/>
  <c r="O190" i="9"/>
  <c r="B123" i="56"/>
  <c r="O158"/>
  <c r="O152"/>
  <c r="B151"/>
  <c r="O232"/>
  <c r="O231"/>
  <c r="O230"/>
  <c r="O229"/>
  <c r="O228"/>
  <c r="O227"/>
  <c r="O226"/>
  <c r="O225"/>
  <c r="O224"/>
  <c r="O223"/>
  <c r="O222"/>
  <c r="O221"/>
  <c r="O220"/>
  <c r="O219"/>
  <c r="O218"/>
  <c r="O217"/>
  <c r="O216"/>
  <c r="O215"/>
  <c r="O214"/>
  <c r="O213"/>
  <c r="O212"/>
  <c r="O211"/>
  <c r="O210"/>
  <c r="O209"/>
  <c r="O208"/>
  <c r="O207"/>
  <c r="O169"/>
  <c r="O168"/>
  <c r="O167"/>
  <c r="O166"/>
  <c r="O165"/>
  <c r="O164"/>
  <c r="O163"/>
  <c r="O162"/>
  <c r="O161"/>
  <c r="O157"/>
  <c r="O156"/>
  <c r="O155"/>
  <c r="O154"/>
  <c r="O153"/>
  <c r="O151"/>
  <c r="O150"/>
  <c r="O149"/>
  <c r="O147"/>
  <c r="O146"/>
  <c r="O145"/>
  <c r="O144"/>
  <c r="O143"/>
  <c r="O142"/>
  <c r="O141"/>
  <c r="O139"/>
  <c r="O138"/>
  <c r="O137"/>
  <c r="O136"/>
  <c r="O135"/>
  <c r="B22"/>
  <c r="O133"/>
  <c r="O132"/>
  <c r="O131"/>
  <c r="O130"/>
  <c r="O129"/>
  <c r="O128"/>
  <c r="O127"/>
  <c r="O126"/>
  <c r="O125"/>
  <c r="O124"/>
  <c r="O123"/>
  <c r="O122"/>
  <c r="O121"/>
  <c r="O120"/>
  <c r="O119"/>
  <c r="O118"/>
  <c r="O117"/>
  <c r="B18"/>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1"/>
  <c r="O60"/>
  <c r="O59"/>
  <c r="Y33"/>
  <c r="O58"/>
  <c r="O57"/>
  <c r="O56"/>
  <c r="O55"/>
  <c r="O54"/>
  <c r="O53"/>
  <c r="O52"/>
  <c r="O51"/>
  <c r="O50"/>
  <c r="O49"/>
  <c r="O48"/>
  <c r="O47"/>
  <c r="O46"/>
  <c r="O45"/>
  <c r="O44"/>
  <c r="O43"/>
  <c r="O42"/>
  <c r="O41"/>
  <c r="O40"/>
  <c r="O39"/>
  <c r="O38"/>
  <c r="O37"/>
  <c r="O35"/>
  <c r="O36"/>
  <c r="O34"/>
  <c r="O33"/>
  <c r="O32"/>
  <c r="O31"/>
  <c r="O30"/>
  <c r="O29"/>
  <c r="O28"/>
  <c r="B21"/>
  <c r="O27"/>
  <c r="O26"/>
  <c r="O25"/>
  <c r="O24"/>
  <c r="O23"/>
  <c r="O22"/>
  <c r="O21"/>
  <c r="H27"/>
  <c r="O20"/>
  <c r="O19"/>
  <c r="O18"/>
  <c r="O17"/>
  <c r="O16"/>
  <c r="O15"/>
  <c r="O14"/>
  <c r="O13"/>
  <c r="J147"/>
  <c r="J175"/>
  <c r="I147"/>
  <c r="I175"/>
  <c r="H147"/>
  <c r="H175"/>
  <c r="G147"/>
  <c r="G175"/>
  <c r="F147"/>
  <c r="F175"/>
  <c r="E147"/>
  <c r="E175"/>
  <c r="B135"/>
  <c r="P61" i="55"/>
  <c r="Y61"/>
  <c r="AH61"/>
  <c r="AQ61"/>
  <c r="AZ61"/>
  <c r="BI61"/>
  <c r="N59"/>
  <c r="W59" s="1"/>
  <c r="AF59" s="1"/>
  <c r="AO59" s="1"/>
  <c r="AX59" s="1"/>
  <c r="BG59" s="1"/>
  <c r="BP59" s="1"/>
  <c r="P61" i="56"/>
  <c r="Y61"/>
  <c r="Q61"/>
  <c r="Z61"/>
  <c r="AI61"/>
  <c r="AR61"/>
  <c r="BA61"/>
  <c r="BJ61"/>
  <c r="R61"/>
  <c r="AA61"/>
  <c r="AJ61"/>
  <c r="AS61"/>
  <c r="BB61"/>
  <c r="BK61"/>
  <c r="S61"/>
  <c r="AB61"/>
  <c r="AK61"/>
  <c r="AT61"/>
  <c r="BC61"/>
  <c r="BL61"/>
  <c r="T61"/>
  <c r="AC61"/>
  <c r="AL61"/>
  <c r="AU61"/>
  <c r="BD61"/>
  <c r="BM61"/>
  <c r="U61"/>
  <c r="AD61"/>
  <c r="AM61"/>
  <c r="AV61"/>
  <c r="BE61"/>
  <c r="BN61"/>
  <c r="N59"/>
  <c r="O134" i="55"/>
  <c r="O62"/>
  <c r="B135"/>
  <c r="G133" i="56"/>
  <c r="O66" i="55"/>
  <c r="AH73"/>
  <c r="O61"/>
  <c r="O68"/>
  <c r="O39"/>
  <c r="O69"/>
  <c r="B108" i="56"/>
  <c r="B108" i="55"/>
  <c r="O199" i="9"/>
  <c r="B203"/>
  <c r="AE168" i="55"/>
  <c r="AE167"/>
  <c r="AE166"/>
  <c r="AE165"/>
  <c r="AE164"/>
  <c r="AE163"/>
  <c r="AE162"/>
  <c r="AE161"/>
  <c r="AE160"/>
  <c r="AE159"/>
  <c r="AE158"/>
  <c r="AE157"/>
  <c r="AE156"/>
  <c r="AE155"/>
  <c r="AE154"/>
  <c r="AE153"/>
  <c r="AE152"/>
  <c r="AE151"/>
  <c r="AE150"/>
  <c r="AE149"/>
  <c r="AE148"/>
  <c r="AA169"/>
  <c r="AA168"/>
  <c r="AA167"/>
  <c r="AA166"/>
  <c r="AA165"/>
  <c r="AA164"/>
  <c r="AA163"/>
  <c r="AA162"/>
  <c r="AA161"/>
  <c r="AA160"/>
  <c r="AA159"/>
  <c r="AA158"/>
  <c r="AA157"/>
  <c r="AA156"/>
  <c r="AA155"/>
  <c r="AA154"/>
  <c r="AA153"/>
  <c r="AA152"/>
  <c r="AA151"/>
  <c r="AA150"/>
  <c r="AA149"/>
  <c r="AA148"/>
  <c r="AA147"/>
  <c r="AA146"/>
  <c r="AA145"/>
  <c r="AA144"/>
  <c r="AA143"/>
  <c r="AA142"/>
  <c r="AA141"/>
  <c r="AA140"/>
  <c r="AA139"/>
  <c r="AA138"/>
  <c r="AA137"/>
  <c r="AA136"/>
  <c r="AA135"/>
  <c r="AA134"/>
  <c r="AA133"/>
  <c r="AA132"/>
  <c r="AA131"/>
  <c r="AA130"/>
  <c r="AA129"/>
  <c r="AA128"/>
  <c r="AA127"/>
  <c r="AA126"/>
  <c r="AA125"/>
  <c r="AA124"/>
  <c r="AA123"/>
  <c r="AA122"/>
  <c r="AA121"/>
  <c r="AA120"/>
  <c r="O161" i="8"/>
  <c r="O20" i="13"/>
  <c r="N18" i="16"/>
  <c r="B26"/>
  <c r="N57"/>
  <c r="K49" i="56"/>
  <c r="BI34" i="8"/>
  <c r="AZ34"/>
  <c r="AZ31" i="56"/>
  <c r="AQ34" i="8"/>
  <c r="AQ31" i="55"/>
  <c r="AH34" i="8"/>
  <c r="AH31" i="56"/>
  <c r="Y34" i="8"/>
  <c r="Y31" i="56"/>
  <c r="P34" i="8"/>
  <c r="P31" i="55"/>
  <c r="J31" i="56"/>
  <c r="B28"/>
  <c r="O1"/>
  <c r="O2"/>
  <c r="O3"/>
  <c r="O8"/>
  <c r="O9"/>
  <c r="O10"/>
  <c r="O11"/>
  <c r="O12"/>
  <c r="N61"/>
  <c r="L149"/>
  <c r="L150"/>
  <c r="L151"/>
  <c r="L152"/>
  <c r="L153"/>
  <c r="L154"/>
  <c r="O12" i="55"/>
  <c r="O136"/>
  <c r="O139"/>
  <c r="O162"/>
  <c r="O161"/>
  <c r="O157"/>
  <c r="O156"/>
  <c r="B252" i="34"/>
  <c r="O155" i="55"/>
  <c r="O154"/>
  <c r="O152"/>
  <c r="O151"/>
  <c r="O150"/>
  <c r="O149"/>
  <c r="O148"/>
  <c r="O147"/>
  <c r="O146"/>
  <c r="O145"/>
  <c r="O143"/>
  <c r="O142"/>
  <c r="O63"/>
  <c r="O21"/>
  <c r="O64"/>
  <c r="O117"/>
  <c r="B18"/>
  <c r="L155"/>
  <c r="L154"/>
  <c r="L153"/>
  <c r="L152"/>
  <c r="L151"/>
  <c r="L150"/>
  <c r="L149"/>
  <c r="I127" i="31"/>
  <c r="I122"/>
  <c r="X89" i="28"/>
  <c r="W89"/>
  <c r="V89"/>
  <c r="U89"/>
  <c r="T89"/>
  <c r="S89"/>
  <c r="R89"/>
  <c r="O197" i="55"/>
  <c r="O196"/>
  <c r="O195"/>
  <c r="O194"/>
  <c r="O193"/>
  <c r="O192"/>
  <c r="O191"/>
  <c r="O190"/>
  <c r="O189"/>
  <c r="O188"/>
  <c r="O185"/>
  <c r="O184"/>
  <c r="O183"/>
  <c r="O182"/>
  <c r="O181"/>
  <c r="O180"/>
  <c r="O179"/>
  <c r="O178"/>
  <c r="O176"/>
  <c r="O175"/>
  <c r="O174"/>
  <c r="O173"/>
  <c r="O172"/>
  <c r="O171"/>
  <c r="O170"/>
  <c r="O169"/>
  <c r="O168"/>
  <c r="O167"/>
  <c r="O166"/>
  <c r="O112"/>
  <c r="O86"/>
  <c r="K49"/>
  <c r="J31"/>
  <c r="B28"/>
  <c r="O1"/>
  <c r="O2"/>
  <c r="O3"/>
  <c r="O8"/>
  <c r="O9"/>
  <c r="O10"/>
  <c r="O11"/>
  <c r="O13"/>
  <c r="O14"/>
  <c r="O15"/>
  <c r="O16"/>
  <c r="O17"/>
  <c r="O113"/>
  <c r="O18"/>
  <c r="O19"/>
  <c r="O20"/>
  <c r="O28"/>
  <c r="B21" s="1"/>
  <c r="O135"/>
  <c r="B22"/>
  <c r="O22"/>
  <c r="O23"/>
  <c r="O24"/>
  <c r="O25"/>
  <c r="O26"/>
  <c r="O27"/>
  <c r="O29"/>
  <c r="O30"/>
  <c r="O31"/>
  <c r="O32"/>
  <c r="O33"/>
  <c r="O59"/>
  <c r="BI33"/>
  <c r="O34"/>
  <c r="O36"/>
  <c r="O35"/>
  <c r="O37"/>
  <c r="O38"/>
  <c r="O40"/>
  <c r="O41"/>
  <c r="O42"/>
  <c r="O43"/>
  <c r="O44"/>
  <c r="O51"/>
  <c r="O45"/>
  <c r="O46"/>
  <c r="O47"/>
  <c r="O48"/>
  <c r="O49"/>
  <c r="O50"/>
  <c r="O52"/>
  <c r="O53"/>
  <c r="O54"/>
  <c r="O55"/>
  <c r="O56"/>
  <c r="O57"/>
  <c r="O58"/>
  <c r="O60"/>
  <c r="O65"/>
  <c r="O67"/>
  <c r="O70"/>
  <c r="O71"/>
  <c r="O72"/>
  <c r="O73"/>
  <c r="O74"/>
  <c r="O75"/>
  <c r="O76"/>
  <c r="O77"/>
  <c r="O78"/>
  <c r="O79"/>
  <c r="O80"/>
  <c r="O81"/>
  <c r="O82"/>
  <c r="O83"/>
  <c r="O84"/>
  <c r="O85"/>
  <c r="O87"/>
  <c r="O88"/>
  <c r="O89"/>
  <c r="O90"/>
  <c r="O91"/>
  <c r="O92"/>
  <c r="O93"/>
  <c r="O94"/>
  <c r="O95"/>
  <c r="O96"/>
  <c r="O97"/>
  <c r="O98"/>
  <c r="O99"/>
  <c r="O100"/>
  <c r="O101"/>
  <c r="O102"/>
  <c r="O105"/>
  <c r="B103"/>
  <c r="O106"/>
  <c r="O103"/>
  <c r="O104"/>
  <c r="O107"/>
  <c r="O108"/>
  <c r="O109"/>
  <c r="O110"/>
  <c r="O111"/>
  <c r="O114"/>
  <c r="O115"/>
  <c r="B113"/>
  <c r="O116"/>
  <c r="O118"/>
  <c r="O119"/>
  <c r="O120"/>
  <c r="O121"/>
  <c r="O122"/>
  <c r="O123"/>
  <c r="O124"/>
  <c r="O125"/>
  <c r="O126"/>
  <c r="O127"/>
  <c r="O128"/>
  <c r="O129"/>
  <c r="Q177"/>
  <c r="O130"/>
  <c r="O131"/>
  <c r="O132"/>
  <c r="O133"/>
  <c r="O137"/>
  <c r="O138"/>
  <c r="O141"/>
  <c r="O163"/>
  <c r="O164"/>
  <c r="O594" i="7"/>
  <c r="O593"/>
  <c r="O442"/>
  <c r="O441"/>
  <c r="O440"/>
  <c r="O439"/>
  <c r="I137" i="26"/>
  <c r="O630" i="7"/>
  <c r="O629"/>
  <c r="O628"/>
  <c r="O627"/>
  <c r="O626"/>
  <c r="O625"/>
  <c r="O556"/>
  <c r="O555"/>
  <c r="O554"/>
  <c r="O553"/>
  <c r="O562"/>
  <c r="O561"/>
  <c r="O560"/>
  <c r="O559"/>
  <c r="O558"/>
  <c r="O557"/>
  <c r="O552"/>
  <c r="O549"/>
  <c r="O548"/>
  <c r="O547"/>
  <c r="O546"/>
  <c r="O545"/>
  <c r="O544"/>
  <c r="O543"/>
  <c r="O542"/>
  <c r="O541"/>
  <c r="O445"/>
  <c r="U15" i="10"/>
  <c r="T13"/>
  <c r="I674" i="66"/>
  <c r="U8" i="10"/>
  <c r="I672" i="66"/>
  <c r="U10" i="10"/>
  <c r="I673" i="66"/>
  <c r="F99" i="40"/>
  <c r="K99"/>
  <c r="D25" i="54"/>
  <c r="K43" i="42"/>
  <c r="L43"/>
  <c r="M43"/>
  <c r="F43"/>
  <c r="D38" i="37"/>
  <c r="H38"/>
  <c r="I38"/>
  <c r="K36"/>
  <c r="L36"/>
  <c r="M35"/>
  <c r="M65"/>
  <c r="F100" i="40"/>
  <c r="K100"/>
  <c r="F101"/>
  <c r="K101"/>
  <c r="D26" i="54"/>
  <c r="G26" s="1"/>
  <c r="K44" i="42"/>
  <c r="L44"/>
  <c r="M44"/>
  <c r="F44"/>
  <c r="D39" i="37"/>
  <c r="H39"/>
  <c r="I39"/>
  <c r="G45" i="42"/>
  <c r="K45"/>
  <c r="H45"/>
  <c r="L45"/>
  <c r="I45"/>
  <c r="M45"/>
  <c r="F45"/>
  <c r="D40" i="37"/>
  <c r="H40"/>
  <c r="I40"/>
  <c r="F102" i="40"/>
  <c r="K102"/>
  <c r="F103"/>
  <c r="K103"/>
  <c r="D27" i="54"/>
  <c r="K46" i="42"/>
  <c r="L46"/>
  <c r="M46"/>
  <c r="F46"/>
  <c r="D41" i="37"/>
  <c r="G41"/>
  <c r="H41"/>
  <c r="I41"/>
  <c r="G47" i="42"/>
  <c r="K47"/>
  <c r="H47"/>
  <c r="L47"/>
  <c r="I47"/>
  <c r="M47"/>
  <c r="F47"/>
  <c r="D42" i="37"/>
  <c r="G42"/>
  <c r="H42"/>
  <c r="I42"/>
  <c r="F104" i="40"/>
  <c r="K104"/>
  <c r="F105"/>
  <c r="K105"/>
  <c r="D28" i="54"/>
  <c r="G29" s="1"/>
  <c r="K48" i="42"/>
  <c r="L48"/>
  <c r="M48"/>
  <c r="F48"/>
  <c r="D43" i="37"/>
  <c r="G43"/>
  <c r="H43"/>
  <c r="I43"/>
  <c r="K49" i="42"/>
  <c r="L49"/>
  <c r="M49"/>
  <c r="F49"/>
  <c r="D44" i="37"/>
  <c r="G44"/>
  <c r="H44"/>
  <c r="I44"/>
  <c r="F106" i="40"/>
  <c r="K106"/>
  <c r="F107"/>
  <c r="K107"/>
  <c r="D29" i="54"/>
  <c r="K50" i="42"/>
  <c r="L50"/>
  <c r="M50"/>
  <c r="F50"/>
  <c r="D45" i="37"/>
  <c r="G45"/>
  <c r="H45"/>
  <c r="I45"/>
  <c r="K51" i="42"/>
  <c r="L51"/>
  <c r="M51"/>
  <c r="F51"/>
  <c r="D46" i="37"/>
  <c r="G46"/>
  <c r="H46"/>
  <c r="I46"/>
  <c r="F108" i="40"/>
  <c r="K108"/>
  <c r="F109"/>
  <c r="K109"/>
  <c r="D30" i="54"/>
  <c r="G52" i="42"/>
  <c r="K52"/>
  <c r="H52"/>
  <c r="L52"/>
  <c r="I52"/>
  <c r="M52"/>
  <c r="F52"/>
  <c r="D47" i="37"/>
  <c r="G47"/>
  <c r="H47"/>
  <c r="I47"/>
  <c r="J47"/>
  <c r="K53" i="42"/>
  <c r="L53"/>
  <c r="M53"/>
  <c r="F53"/>
  <c r="D48" i="37"/>
  <c r="G48"/>
  <c r="H48"/>
  <c r="I48"/>
  <c r="F110" i="40"/>
  <c r="K110"/>
  <c r="F111"/>
  <c r="K111"/>
  <c r="D31" i="54"/>
  <c r="G54" i="42"/>
  <c r="K54"/>
  <c r="H54"/>
  <c r="L54"/>
  <c r="I54"/>
  <c r="M54"/>
  <c r="F54"/>
  <c r="D49" i="37"/>
  <c r="G49"/>
  <c r="H49"/>
  <c r="I49"/>
  <c r="K55" i="42"/>
  <c r="L55"/>
  <c r="M55"/>
  <c r="F55"/>
  <c r="D50" i="37"/>
  <c r="G50"/>
  <c r="H50"/>
  <c r="I50"/>
  <c r="J50"/>
  <c r="F112" i="40"/>
  <c r="K112"/>
  <c r="F113"/>
  <c r="K113"/>
  <c r="D32" i="54"/>
  <c r="K56" i="42"/>
  <c r="L56"/>
  <c r="M56"/>
  <c r="F56"/>
  <c r="D51" i="37"/>
  <c r="G51"/>
  <c r="H51"/>
  <c r="I51"/>
  <c r="K57" i="42"/>
  <c r="L57"/>
  <c r="M57"/>
  <c r="F57"/>
  <c r="D52" i="37"/>
  <c r="G52"/>
  <c r="H52"/>
  <c r="I52"/>
  <c r="F114" i="40"/>
  <c r="K114"/>
  <c r="F115"/>
  <c r="K115"/>
  <c r="D33" i="54"/>
  <c r="G58" i="42"/>
  <c r="K58"/>
  <c r="H58"/>
  <c r="L58"/>
  <c r="I58"/>
  <c r="M58"/>
  <c r="F58"/>
  <c r="D53" i="37"/>
  <c r="G53"/>
  <c r="H53"/>
  <c r="I53"/>
  <c r="K59" i="42"/>
  <c r="L59"/>
  <c r="M59"/>
  <c r="F59"/>
  <c r="D54" i="37"/>
  <c r="G54"/>
  <c r="H54"/>
  <c r="I54"/>
  <c r="F116" i="40"/>
  <c r="K116"/>
  <c r="F117"/>
  <c r="K117"/>
  <c r="D34" i="54"/>
  <c r="K60" i="42"/>
  <c r="L60"/>
  <c r="M60"/>
  <c r="F60"/>
  <c r="D55" i="37"/>
  <c r="G55"/>
  <c r="H55"/>
  <c r="I55"/>
  <c r="G61" i="42"/>
  <c r="K61"/>
  <c r="H61"/>
  <c r="L61"/>
  <c r="I61"/>
  <c r="M61"/>
  <c r="F61"/>
  <c r="D56" i="37"/>
  <c r="G56"/>
  <c r="H56"/>
  <c r="I56"/>
  <c r="F118" i="40"/>
  <c r="K118"/>
  <c r="F119"/>
  <c r="K119"/>
  <c r="D35" i="54"/>
  <c r="K62" i="42"/>
  <c r="L62"/>
  <c r="M62"/>
  <c r="F62"/>
  <c r="D57" i="37"/>
  <c r="G57"/>
  <c r="H57"/>
  <c r="I57"/>
  <c r="K63" i="42"/>
  <c r="L63"/>
  <c r="M63"/>
  <c r="F63"/>
  <c r="D58" i="37"/>
  <c r="G58"/>
  <c r="H58"/>
  <c r="I58"/>
  <c r="F120" i="40"/>
  <c r="K120"/>
  <c r="F121"/>
  <c r="K121"/>
  <c r="D36" i="54"/>
  <c r="K64" i="42"/>
  <c r="L64"/>
  <c r="M64"/>
  <c r="F64"/>
  <c r="D59" i="37"/>
  <c r="G59"/>
  <c r="H59"/>
  <c r="I59"/>
  <c r="K65" i="42"/>
  <c r="L65"/>
  <c r="M65"/>
  <c r="F65"/>
  <c r="D60" i="37"/>
  <c r="G60"/>
  <c r="H60"/>
  <c r="I60"/>
  <c r="L60"/>
  <c r="C122" i="40"/>
  <c r="F122"/>
  <c r="K122"/>
  <c r="F123"/>
  <c r="K123"/>
  <c r="F124"/>
  <c r="K124"/>
  <c r="F125"/>
  <c r="K125"/>
  <c r="F126"/>
  <c r="K126"/>
  <c r="D37" i="54"/>
  <c r="C66" i="42"/>
  <c r="L66"/>
  <c r="M66"/>
  <c r="D61" i="37"/>
  <c r="G61"/>
  <c r="H61"/>
  <c r="I61"/>
  <c r="K61"/>
  <c r="L61"/>
  <c r="K67" i="42"/>
  <c r="L67"/>
  <c r="M67"/>
  <c r="F67"/>
  <c r="D62" i="37"/>
  <c r="G62"/>
  <c r="H62"/>
  <c r="I62"/>
  <c r="G68" i="42"/>
  <c r="K68"/>
  <c r="H68"/>
  <c r="L68"/>
  <c r="I68"/>
  <c r="M68"/>
  <c r="F68"/>
  <c r="D63" i="37"/>
  <c r="G63"/>
  <c r="H63"/>
  <c r="I63"/>
  <c r="K69" i="42"/>
  <c r="L69"/>
  <c r="M69"/>
  <c r="F69"/>
  <c r="D64" i="37"/>
  <c r="G64"/>
  <c r="H64"/>
  <c r="I64"/>
  <c r="G70" i="42"/>
  <c r="K70"/>
  <c r="H70"/>
  <c r="L70"/>
  <c r="N70"/>
  <c r="I70"/>
  <c r="M70"/>
  <c r="F70"/>
  <c r="D65" i="37"/>
  <c r="L65"/>
  <c r="B57" i="54"/>
  <c r="B58"/>
  <c r="B59"/>
  <c r="B60"/>
  <c r="B61"/>
  <c r="B62"/>
  <c r="B63"/>
  <c r="B64"/>
  <c r="B65"/>
  <c r="B66"/>
  <c r="B67"/>
  <c r="B68"/>
  <c r="G50" i="26"/>
  <c r="L67"/>
  <c r="J2" i="44"/>
  <c r="J9" i="43"/>
  <c r="J15"/>
  <c r="F13" i="42"/>
  <c r="F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5"/>
  <c r="B76"/>
  <c r="B77"/>
  <c r="B78"/>
  <c r="B79"/>
  <c r="F15"/>
  <c r="K15"/>
  <c r="L15"/>
  <c r="M15"/>
  <c r="F16"/>
  <c r="K16"/>
  <c r="L16"/>
  <c r="M16"/>
  <c r="F17"/>
  <c r="K17"/>
  <c r="L17"/>
  <c r="M17"/>
  <c r="F18"/>
  <c r="K18"/>
  <c r="L18"/>
  <c r="M18"/>
  <c r="F19"/>
  <c r="K19"/>
  <c r="L19"/>
  <c r="M19"/>
  <c r="F20"/>
  <c r="K20"/>
  <c r="L20"/>
  <c r="M20"/>
  <c r="F21"/>
  <c r="K21"/>
  <c r="L21"/>
  <c r="M21"/>
  <c r="F22"/>
  <c r="K22"/>
  <c r="L22"/>
  <c r="M22"/>
  <c r="F23"/>
  <c r="K23"/>
  <c r="L23"/>
  <c r="M23"/>
  <c r="F24"/>
  <c r="K24"/>
  <c r="L24"/>
  <c r="M24"/>
  <c r="F25"/>
  <c r="K25"/>
  <c r="L25"/>
  <c r="M25"/>
  <c r="F26"/>
  <c r="K26"/>
  <c r="L26"/>
  <c r="M26"/>
  <c r="F27"/>
  <c r="K27"/>
  <c r="L27"/>
  <c r="M27"/>
  <c r="F28"/>
  <c r="K28"/>
  <c r="L28"/>
  <c r="M28"/>
  <c r="F29"/>
  <c r="K29"/>
  <c r="N29"/>
  <c r="J29"/>
  <c r="L29"/>
  <c r="M29"/>
  <c r="F30"/>
  <c r="K30"/>
  <c r="L30"/>
  <c r="M30"/>
  <c r="F31"/>
  <c r="K31"/>
  <c r="L31"/>
  <c r="M31"/>
  <c r="F32"/>
  <c r="K32"/>
  <c r="L32"/>
  <c r="M32"/>
  <c r="F33"/>
  <c r="K33"/>
  <c r="L33"/>
  <c r="M33"/>
  <c r="F34"/>
  <c r="K34"/>
  <c r="L34"/>
  <c r="M34"/>
  <c r="F35"/>
  <c r="K35"/>
  <c r="L35"/>
  <c r="M35"/>
  <c r="N35"/>
  <c r="J35"/>
  <c r="F91" i="40"/>
  <c r="K91"/>
  <c r="F36" i="42"/>
  <c r="K36"/>
  <c r="L36"/>
  <c r="M36"/>
  <c r="F92" i="40"/>
  <c r="K92"/>
  <c r="F37" i="42"/>
  <c r="K37"/>
  <c r="L37"/>
  <c r="M37"/>
  <c r="F93" i="40"/>
  <c r="K93"/>
  <c r="F38" i="42"/>
  <c r="K38"/>
  <c r="L38"/>
  <c r="M38"/>
  <c r="F94" i="40"/>
  <c r="K94"/>
  <c r="F39" i="42"/>
  <c r="K39"/>
  <c r="L39"/>
  <c r="M39"/>
  <c r="F95" i="40"/>
  <c r="K95"/>
  <c r="F40" i="42"/>
  <c r="G40"/>
  <c r="K40"/>
  <c r="H40"/>
  <c r="L40"/>
  <c r="I40"/>
  <c r="M40"/>
  <c r="F96" i="40"/>
  <c r="K96"/>
  <c r="T40" i="42"/>
  <c r="F41"/>
  <c r="K41"/>
  <c r="L41"/>
  <c r="N41"/>
  <c r="J41"/>
  <c r="M41"/>
  <c r="F97" i="40"/>
  <c r="K97"/>
  <c r="T41" i="42"/>
  <c r="F42"/>
  <c r="K42"/>
  <c r="L42"/>
  <c r="M42"/>
  <c r="F98" i="40"/>
  <c r="K98"/>
  <c r="T42" i="42"/>
  <c r="T43"/>
  <c r="T44"/>
  <c r="T45"/>
  <c r="T46"/>
  <c r="T47"/>
  <c r="T48"/>
  <c r="T49"/>
  <c r="T50"/>
  <c r="T51"/>
  <c r="T52"/>
  <c r="T53"/>
  <c r="T54"/>
  <c r="T55"/>
  <c r="T56"/>
  <c r="T57"/>
  <c r="T58"/>
  <c r="T59"/>
  <c r="T60"/>
  <c r="T61"/>
  <c r="T62"/>
  <c r="T63"/>
  <c r="T64"/>
  <c r="T65"/>
  <c r="T66"/>
  <c r="T67"/>
  <c r="T68"/>
  <c r="T69"/>
  <c r="T70"/>
  <c r="T71"/>
  <c r="K53" i="40"/>
  <c r="L53"/>
  <c r="K54"/>
  <c r="L54"/>
  <c r="B92"/>
  <c r="B93"/>
  <c r="B94"/>
  <c r="B95"/>
  <c r="B96"/>
  <c r="B97"/>
  <c r="B98"/>
  <c r="B99"/>
  <c r="B100"/>
  <c r="B101"/>
  <c r="B102"/>
  <c r="B103"/>
  <c r="B104"/>
  <c r="B105"/>
  <c r="B106"/>
  <c r="B107"/>
  <c r="B108"/>
  <c r="B109"/>
  <c r="B110"/>
  <c r="B111"/>
  <c r="B112"/>
  <c r="B113"/>
  <c r="B114"/>
  <c r="B115"/>
  <c r="B116"/>
  <c r="B117"/>
  <c r="B118"/>
  <c r="B119"/>
  <c r="B120"/>
  <c r="B121"/>
  <c r="B122"/>
  <c r="B123"/>
  <c r="B124"/>
  <c r="B125"/>
  <c r="B126"/>
  <c r="G80"/>
  <c r="E18" i="39"/>
  <c r="H18"/>
  <c r="N18"/>
  <c r="Q18"/>
  <c r="E19"/>
  <c r="H19"/>
  <c r="I19"/>
  <c r="J19"/>
  <c r="N19"/>
  <c r="Q19"/>
  <c r="E20"/>
  <c r="H20"/>
  <c r="I20"/>
  <c r="J20"/>
  <c r="N20"/>
  <c r="Q20"/>
  <c r="C21"/>
  <c r="E21"/>
  <c r="F21"/>
  <c r="G21"/>
  <c r="L21"/>
  <c r="N21"/>
  <c r="O21"/>
  <c r="P21"/>
  <c r="D28"/>
  <c r="F28"/>
  <c r="E28"/>
  <c r="D29"/>
  <c r="E29"/>
  <c r="F29"/>
  <c r="I29"/>
  <c r="D30"/>
  <c r="E30"/>
  <c r="C50"/>
  <c r="D45"/>
  <c r="E50"/>
  <c r="G45"/>
  <c r="G46"/>
  <c r="G47"/>
  <c r="G48"/>
  <c r="G49"/>
  <c r="C72"/>
  <c r="C73"/>
  <c r="C74"/>
  <c r="G72"/>
  <c r="G73"/>
  <c r="F82"/>
  <c r="I82"/>
  <c r="O82"/>
  <c r="R82"/>
  <c r="F83"/>
  <c r="I83"/>
  <c r="O83"/>
  <c r="O84"/>
  <c r="O85"/>
  <c r="O86"/>
  <c r="O87"/>
  <c r="R83"/>
  <c r="F84"/>
  <c r="I84"/>
  <c r="R84"/>
  <c r="F85"/>
  <c r="I85"/>
  <c r="R85"/>
  <c r="F86"/>
  <c r="I86"/>
  <c r="R86"/>
  <c r="F87"/>
  <c r="I87"/>
  <c r="J87"/>
  <c r="R87"/>
  <c r="D88"/>
  <c r="E88"/>
  <c r="G88"/>
  <c r="H88"/>
  <c r="M88"/>
  <c r="N88"/>
  <c r="P88"/>
  <c r="Q88"/>
  <c r="D89"/>
  <c r="E89"/>
  <c r="G89"/>
  <c r="H89"/>
  <c r="M89"/>
  <c r="N89"/>
  <c r="P89"/>
  <c r="Q89"/>
  <c r="D90"/>
  <c r="D91"/>
  <c r="H90"/>
  <c r="H91"/>
  <c r="M90"/>
  <c r="M91"/>
  <c r="M120"/>
  <c r="M119"/>
  <c r="H136"/>
  <c r="Q90"/>
  <c r="Q91"/>
  <c r="F92"/>
  <c r="F93"/>
  <c r="F95"/>
  <c r="F96"/>
  <c r="F97"/>
  <c r="F98"/>
  <c r="F99"/>
  <c r="F101"/>
  <c r="F102"/>
  <c r="F103"/>
  <c r="F104"/>
  <c r="F105"/>
  <c r="F106"/>
  <c r="F107"/>
  <c r="F108"/>
  <c r="F109"/>
  <c r="F110"/>
  <c r="F111"/>
  <c r="F112"/>
  <c r="F113"/>
  <c r="F114"/>
  <c r="F115"/>
  <c r="F116"/>
  <c r="I92"/>
  <c r="I93"/>
  <c r="I95"/>
  <c r="I96"/>
  <c r="I97"/>
  <c r="I98"/>
  <c r="I99"/>
  <c r="I101"/>
  <c r="I102"/>
  <c r="I103"/>
  <c r="I104"/>
  <c r="I105"/>
  <c r="I106"/>
  <c r="J106"/>
  <c r="I107"/>
  <c r="J107"/>
  <c r="I108"/>
  <c r="J108"/>
  <c r="I109"/>
  <c r="I110"/>
  <c r="I111"/>
  <c r="I112"/>
  <c r="J112"/>
  <c r="I113"/>
  <c r="I114"/>
  <c r="I115"/>
  <c r="I116"/>
  <c r="M94"/>
  <c r="M100"/>
  <c r="M117"/>
  <c r="O92"/>
  <c r="O93"/>
  <c r="R92"/>
  <c r="R93"/>
  <c r="D94"/>
  <c r="H94"/>
  <c r="Q94"/>
  <c r="O95"/>
  <c r="O96"/>
  <c r="O97"/>
  <c r="O98"/>
  <c r="O99"/>
  <c r="R95"/>
  <c r="R96"/>
  <c r="R97"/>
  <c r="R98"/>
  <c r="R99"/>
  <c r="D100"/>
  <c r="H100"/>
  <c r="Q100"/>
  <c r="O101"/>
  <c r="O102"/>
  <c r="O103"/>
  <c r="O104"/>
  <c r="O105"/>
  <c r="O106"/>
  <c r="O107"/>
  <c r="O108"/>
  <c r="O109"/>
  <c r="O110"/>
  <c r="O111"/>
  <c r="O112"/>
  <c r="O113"/>
  <c r="O114"/>
  <c r="O115"/>
  <c r="O116"/>
  <c r="R101"/>
  <c r="R102"/>
  <c r="R103"/>
  <c r="S103"/>
  <c r="R104"/>
  <c r="R105"/>
  <c r="R106"/>
  <c r="R107"/>
  <c r="S107"/>
  <c r="R108"/>
  <c r="R109"/>
  <c r="R110"/>
  <c r="R111"/>
  <c r="R112"/>
  <c r="R113"/>
  <c r="R114"/>
  <c r="S114"/>
  <c r="R115"/>
  <c r="R116"/>
  <c r="S116"/>
  <c r="D117"/>
  <c r="H117"/>
  <c r="Q117"/>
  <c r="E118"/>
  <c r="N118"/>
  <c r="P118"/>
  <c r="U118"/>
  <c r="E119"/>
  <c r="G141"/>
  <c r="N119"/>
  <c r="H141"/>
  <c r="R14" i="37"/>
  <c r="S14"/>
  <c r="R15"/>
  <c r="S15"/>
  <c r="R16"/>
  <c r="S16"/>
  <c r="H33"/>
  <c r="I33"/>
  <c r="H34"/>
  <c r="I34"/>
  <c r="H35"/>
  <c r="I35"/>
  <c r="L35"/>
  <c r="H36"/>
  <c r="I36"/>
  <c r="H37"/>
  <c r="I37"/>
  <c r="J2" i="34"/>
  <c r="I34"/>
  <c r="I694" i="66"/>
  <c r="H35" i="34"/>
  <c r="H695" i="66"/>
  <c r="E12" i="32"/>
  <c r="E13"/>
  <c r="N13"/>
  <c r="E14"/>
  <c r="N14"/>
  <c r="E16"/>
  <c r="N16"/>
  <c r="E15"/>
  <c r="O11"/>
  <c r="N12"/>
  <c r="O12"/>
  <c r="O13"/>
  <c r="O14"/>
  <c r="N15"/>
  <c r="O15"/>
  <c r="O16"/>
  <c r="E19"/>
  <c r="N19"/>
  <c r="E20"/>
  <c r="N20"/>
  <c r="O18"/>
  <c r="O19"/>
  <c r="O20"/>
  <c r="E23"/>
  <c r="E24"/>
  <c r="N24"/>
  <c r="E25"/>
  <c r="N25"/>
  <c r="E26"/>
  <c r="N26"/>
  <c r="E27"/>
  <c r="N27"/>
  <c r="E28"/>
  <c r="N28"/>
  <c r="E29"/>
  <c r="N29"/>
  <c r="O22"/>
  <c r="O23"/>
  <c r="O24"/>
  <c r="O25"/>
  <c r="O26"/>
  <c r="O27"/>
  <c r="O28"/>
  <c r="O29"/>
  <c r="E32"/>
  <c r="E33"/>
  <c r="N33"/>
  <c r="E34"/>
  <c r="N34"/>
  <c r="E35"/>
  <c r="N35"/>
  <c r="E36"/>
  <c r="N36"/>
  <c r="E37"/>
  <c r="E38"/>
  <c r="N38"/>
  <c r="E39"/>
  <c r="N39"/>
  <c r="E40"/>
  <c r="N40"/>
  <c r="E41"/>
  <c r="N41"/>
  <c r="E42"/>
  <c r="N42"/>
  <c r="E43"/>
  <c r="E44"/>
  <c r="E45"/>
  <c r="N45"/>
  <c r="O31"/>
  <c r="N32"/>
  <c r="O32"/>
  <c r="O33"/>
  <c r="O34"/>
  <c r="O35"/>
  <c r="O36"/>
  <c r="N37"/>
  <c r="O37"/>
  <c r="O38"/>
  <c r="O39"/>
  <c r="O40"/>
  <c r="O41"/>
  <c r="O42"/>
  <c r="O43"/>
  <c r="N44"/>
  <c r="O44"/>
  <c r="O45"/>
  <c r="E48"/>
  <c r="E49"/>
  <c r="E50"/>
  <c r="N50"/>
  <c r="O47"/>
  <c r="O48"/>
  <c r="N49"/>
  <c r="O49"/>
  <c r="O50"/>
  <c r="E52"/>
  <c r="N52"/>
  <c r="K52"/>
  <c r="O52"/>
  <c r="I25" i="31"/>
  <c r="I38"/>
  <c r="I102"/>
  <c r="I48"/>
  <c r="I70"/>
  <c r="I73"/>
  <c r="I76"/>
  <c r="I82"/>
  <c r="I79"/>
  <c r="I80"/>
  <c r="I88"/>
  <c r="I95"/>
  <c r="I96"/>
  <c r="H45" i="30"/>
  <c r="H70"/>
  <c r="F178"/>
  <c r="X29" i="28"/>
  <c r="N89"/>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L1" i="27"/>
  <c r="L2"/>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9"/>
  <c r="L50"/>
  <c r="B75"/>
  <c r="L51"/>
  <c r="L54"/>
  <c r="L55"/>
  <c r="L56"/>
  <c r="L57"/>
  <c r="L58"/>
  <c r="F59"/>
  <c r="G59"/>
  <c r="H59"/>
  <c r="L59"/>
  <c r="O118" i="8"/>
  <c r="L60" i="27"/>
  <c r="L61"/>
  <c r="L62"/>
  <c r="L63"/>
  <c r="L64"/>
  <c r="L65"/>
  <c r="L66"/>
  <c r="L67"/>
  <c r="L68"/>
  <c r="L69"/>
  <c r="O187" i="8"/>
  <c r="E50" i="26"/>
  <c r="E51"/>
  <c r="I90"/>
  <c r="I91"/>
  <c r="J91"/>
  <c r="I92"/>
  <c r="J92"/>
  <c r="I93"/>
  <c r="J93"/>
  <c r="I94"/>
  <c r="J94"/>
  <c r="I95"/>
  <c r="J95"/>
  <c r="H96"/>
  <c r="O300" i="19"/>
  <c r="O53"/>
  <c r="O47"/>
  <c r="O49"/>
  <c r="O1" i="25"/>
  <c r="O2"/>
  <c r="O68"/>
  <c r="O69"/>
  <c r="O70"/>
  <c r="O71"/>
  <c r="O72"/>
  <c r="O74"/>
  <c r="O75"/>
  <c r="O76"/>
  <c r="O78"/>
  <c r="O82"/>
  <c r="O83"/>
  <c r="L85"/>
  <c r="I289" i="66" s="1"/>
  <c r="O85" i="25"/>
  <c r="O86"/>
  <c r="O88"/>
  <c r="B112" s="1"/>
  <c r="O89"/>
  <c r="B533" s="1"/>
  <c r="O90"/>
  <c r="O91"/>
  <c r="O92"/>
  <c r="O93"/>
  <c r="B96" s="1"/>
  <c r="O94"/>
  <c r="O98"/>
  <c r="B94" s="1"/>
  <c r="O103"/>
  <c r="O106"/>
  <c r="O108"/>
  <c r="O109"/>
  <c r="O110"/>
  <c r="O112"/>
  <c r="O114"/>
  <c r="O120"/>
  <c r="O121"/>
  <c r="O122"/>
  <c r="J76" i="58" s="1"/>
  <c r="O123" i="25"/>
  <c r="O124"/>
  <c r="O130"/>
  <c r="AQ809" i="9" s="1"/>
  <c r="O131" i="25"/>
  <c r="O132"/>
  <c r="O190"/>
  <c r="O303"/>
  <c r="O308"/>
  <c r="B197" s="1"/>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6"/>
  <c r="O357"/>
  <c r="O358"/>
  <c r="O371"/>
  <c r="O372"/>
  <c r="O373"/>
  <c r="O374"/>
  <c r="O375"/>
  <c r="B203" s="1"/>
  <c r="O376"/>
  <c r="O377"/>
  <c r="O378"/>
  <c r="O379"/>
  <c r="B574" s="1"/>
  <c r="O380"/>
  <c r="O381"/>
  <c r="O382"/>
  <c r="O383"/>
  <c r="O394"/>
  <c r="O405"/>
  <c r="O409"/>
  <c r="O410"/>
  <c r="O412"/>
  <c r="O415"/>
  <c r="O424"/>
  <c r="O427"/>
  <c r="O498"/>
  <c r="O499"/>
  <c r="O500"/>
  <c r="O502"/>
  <c r="O504"/>
  <c r="O505"/>
  <c r="O506"/>
  <c r="O507"/>
  <c r="O508"/>
  <c r="O509"/>
  <c r="O510"/>
  <c r="O511"/>
  <c r="O512"/>
  <c r="O513"/>
  <c r="O514"/>
  <c r="O515"/>
  <c r="O516"/>
  <c r="O517"/>
  <c r="O518"/>
  <c r="C278" i="66" s="1"/>
  <c r="O519" i="25"/>
  <c r="O520"/>
  <c r="O563"/>
  <c r="O564"/>
  <c r="O565"/>
  <c r="O566"/>
  <c r="O567"/>
  <c r="O571"/>
  <c r="B576" s="1"/>
  <c r="O572"/>
  <c r="J1" i="24"/>
  <c r="O1" i="23"/>
  <c r="O2"/>
  <c r="O3"/>
  <c r="O4"/>
  <c r="O5"/>
  <c r="O6"/>
  <c r="O7"/>
  <c r="O8"/>
  <c r="O9"/>
  <c r="D220"/>
  <c r="E220"/>
  <c r="F220"/>
  <c r="G220"/>
  <c r="H220"/>
  <c r="O10"/>
  <c r="O11"/>
  <c r="O12"/>
  <c r="O13"/>
  <c r="O14"/>
  <c r="O15"/>
  <c r="O16"/>
  <c r="B179"/>
  <c r="O17"/>
  <c r="O18"/>
  <c r="O19"/>
  <c r="O20"/>
  <c r="O21"/>
  <c r="O23" i="19"/>
  <c r="O26"/>
  <c r="O22" i="23"/>
  <c r="O23"/>
  <c r="B465" i="66"/>
  <c r="O25" i="23"/>
  <c r="O26"/>
  <c r="O27"/>
  <c r="O28"/>
  <c r="O170"/>
  <c r="O171"/>
  <c r="O172"/>
  <c r="O173"/>
  <c r="O174"/>
  <c r="O28" i="19"/>
  <c r="B375" i="66"/>
  <c r="O175" i="23"/>
  <c r="O176"/>
  <c r="O177"/>
  <c r="O178"/>
  <c r="O30" i="19"/>
  <c r="O179" i="23"/>
  <c r="O181"/>
  <c r="O182"/>
  <c r="O183"/>
  <c r="O184"/>
  <c r="O185"/>
  <c r="O186"/>
  <c r="O187"/>
  <c r="O188"/>
  <c r="O190"/>
  <c r="C18" i="22"/>
  <c r="A20" s="1"/>
  <c r="D18"/>
  <c r="A21" s="1"/>
  <c r="E18"/>
  <c r="A22" s="1"/>
  <c r="F18"/>
  <c r="A23" s="1"/>
  <c r="G18"/>
  <c r="A24" s="1"/>
  <c r="H18"/>
  <c r="A25" s="1"/>
  <c r="I18"/>
  <c r="A26" s="1"/>
  <c r="J18"/>
  <c r="A27" s="1"/>
  <c r="K18"/>
  <c r="A28" s="1"/>
  <c r="L18"/>
  <c r="A29" s="1"/>
  <c r="M18"/>
  <c r="A30" s="1"/>
  <c r="N18"/>
  <c r="A31" s="1"/>
  <c r="O18"/>
  <c r="A32" s="1"/>
  <c r="P18"/>
  <c r="A33" s="1"/>
  <c r="Q18"/>
  <c r="A34" s="1"/>
  <c r="R18"/>
  <c r="A35" s="1"/>
  <c r="S18"/>
  <c r="A36" s="1"/>
  <c r="T18"/>
  <c r="A37" s="1"/>
  <c r="U18"/>
  <c r="A38" s="1"/>
  <c r="V18"/>
  <c r="A39" s="1"/>
  <c r="W18"/>
  <c r="A40" s="1"/>
  <c r="X18"/>
  <c r="A41" s="1"/>
  <c r="Y18"/>
  <c r="A42" s="1"/>
  <c r="Z18"/>
  <c r="A43" s="1"/>
  <c r="C51"/>
  <c r="A53" s="1"/>
  <c r="D51"/>
  <c r="A54" s="1"/>
  <c r="E51"/>
  <c r="A55" s="1"/>
  <c r="F51"/>
  <c r="A56" s="1"/>
  <c r="G51"/>
  <c r="A57" s="1"/>
  <c r="H51"/>
  <c r="A58"/>
  <c r="I51"/>
  <c r="A59" s="1"/>
  <c r="J51"/>
  <c r="A60" s="1"/>
  <c r="K51"/>
  <c r="A61" s="1"/>
  <c r="L51"/>
  <c r="A62" s="1"/>
  <c r="M51"/>
  <c r="A63" s="1"/>
  <c r="N51"/>
  <c r="A64" s="1"/>
  <c r="O51"/>
  <c r="A65" s="1"/>
  <c r="P51"/>
  <c r="A66" s="1"/>
  <c r="Q51"/>
  <c r="A67" s="1"/>
  <c r="R51"/>
  <c r="A68"/>
  <c r="S51"/>
  <c r="A69" s="1"/>
  <c r="T51"/>
  <c r="A70"/>
  <c r="U51"/>
  <c r="A71" s="1"/>
  <c r="V51"/>
  <c r="A72" s="1"/>
  <c r="W51"/>
  <c r="A73" s="1"/>
  <c r="X51"/>
  <c r="A74"/>
  <c r="Y51"/>
  <c r="A75" s="1"/>
  <c r="Z51"/>
  <c r="A76"/>
  <c r="H1" i="20"/>
  <c r="J55"/>
  <c r="K55"/>
  <c r="L55"/>
  <c r="M55"/>
  <c r="N55"/>
  <c r="O55"/>
  <c r="P55"/>
  <c r="Q55"/>
  <c r="R55"/>
  <c r="S55"/>
  <c r="T55"/>
  <c r="U55"/>
  <c r="V55"/>
  <c r="W55"/>
  <c r="X55"/>
  <c r="Y55"/>
  <c r="Z55"/>
  <c r="AA55"/>
  <c r="AB55"/>
  <c r="AC55"/>
  <c r="AD55"/>
  <c r="AE55"/>
  <c r="AF55"/>
  <c r="AG55"/>
  <c r="O159" i="19"/>
  <c r="B164"/>
  <c r="O2"/>
  <c r="O5"/>
  <c r="O6"/>
  <c r="O7"/>
  <c r="O14"/>
  <c r="O15"/>
  <c r="O16"/>
  <c r="O17"/>
  <c r="O19"/>
  <c r="O20"/>
  <c r="O21"/>
  <c r="O22"/>
  <c r="B462"/>
  <c r="O24"/>
  <c r="O25"/>
  <c r="O27"/>
  <c r="O29"/>
  <c r="O31"/>
  <c r="B377" i="66"/>
  <c r="O32" i="19"/>
  <c r="O36"/>
  <c r="O37"/>
  <c r="B538"/>
  <c r="O38"/>
  <c r="O39"/>
  <c r="O40"/>
  <c r="O41"/>
  <c r="B382" i="66"/>
  <c r="O43" i="19"/>
  <c r="O44"/>
  <c r="B466"/>
  <c r="O45"/>
  <c r="O46"/>
  <c r="B387"/>
  <c r="O48"/>
  <c r="O50"/>
  <c r="O51"/>
  <c r="O52"/>
  <c r="O54"/>
  <c r="O55"/>
  <c r="O57"/>
  <c r="O58"/>
  <c r="O59"/>
  <c r="O60"/>
  <c r="O61"/>
  <c r="O62"/>
  <c r="O63"/>
  <c r="O64"/>
  <c r="O65"/>
  <c r="O66"/>
  <c r="O74"/>
  <c r="O93"/>
  <c r="O82"/>
  <c r="O79"/>
  <c r="O67"/>
  <c r="O68"/>
  <c r="O69"/>
  <c r="O71"/>
  <c r="O72"/>
  <c r="O73"/>
  <c r="B160"/>
  <c r="AG74"/>
  <c r="AJ74"/>
  <c r="AL74"/>
  <c r="AL85"/>
  <c r="AL75"/>
  <c r="AL76"/>
  <c r="AL77"/>
  <c r="AL78"/>
  <c r="AL79"/>
  <c r="AL80"/>
  <c r="AL81"/>
  <c r="AL82"/>
  <c r="AL83"/>
  <c r="AL84"/>
  <c r="AL86"/>
  <c r="AL87"/>
  <c r="AL88"/>
  <c r="AL89"/>
  <c r="AL90"/>
  <c r="AL91"/>
  <c r="AL92"/>
  <c r="AL93"/>
  <c r="AL94"/>
  <c r="AL95"/>
  <c r="AL96"/>
  <c r="AL97"/>
  <c r="O75"/>
  <c r="AG75"/>
  <c r="AJ75"/>
  <c r="O76"/>
  <c r="AG76"/>
  <c r="AJ76"/>
  <c r="O77"/>
  <c r="AG77"/>
  <c r="AJ77"/>
  <c r="O78"/>
  <c r="AG78"/>
  <c r="AJ78"/>
  <c r="AG79"/>
  <c r="AJ79"/>
  <c r="O80"/>
  <c r="AG80"/>
  <c r="AJ80"/>
  <c r="O81"/>
  <c r="AG81"/>
  <c r="AJ81"/>
  <c r="AG82"/>
  <c r="AJ82"/>
  <c r="O83"/>
  <c r="AG83"/>
  <c r="AJ83"/>
  <c r="O84"/>
  <c r="AG84"/>
  <c r="AJ84"/>
  <c r="O85"/>
  <c r="AG85"/>
  <c r="AJ85"/>
  <c r="O86"/>
  <c r="AG86"/>
  <c r="AJ86"/>
  <c r="O87"/>
  <c r="AG87"/>
  <c r="AJ87"/>
  <c r="O88"/>
  <c r="AG88"/>
  <c r="AJ88"/>
  <c r="O89"/>
  <c r="AG89"/>
  <c r="AJ89"/>
  <c r="O90"/>
  <c r="AG90"/>
  <c r="AJ90"/>
  <c r="O91"/>
  <c r="AG91"/>
  <c r="AJ91"/>
  <c r="O92"/>
  <c r="AG92"/>
  <c r="AJ92"/>
  <c r="AG93"/>
  <c r="AJ93"/>
  <c r="AG94"/>
  <c r="AJ94"/>
  <c r="O95"/>
  <c r="AG95"/>
  <c r="AJ95"/>
  <c r="O96"/>
  <c r="AG96"/>
  <c r="AJ96"/>
  <c r="AG97"/>
  <c r="AJ97"/>
  <c r="O98"/>
  <c r="AF99"/>
  <c r="AI99"/>
  <c r="O100"/>
  <c r="O101"/>
  <c r="O102"/>
  <c r="O103"/>
  <c r="O104"/>
  <c r="O105"/>
  <c r="O106"/>
  <c r="O107"/>
  <c r="O108"/>
  <c r="O109"/>
  <c r="O110"/>
  <c r="O111"/>
  <c r="O112"/>
  <c r="O113"/>
  <c r="O114"/>
  <c r="O115"/>
  <c r="O116"/>
  <c r="O117"/>
  <c r="O118"/>
  <c r="O119"/>
  <c r="O120"/>
  <c r="O121"/>
  <c r="O122"/>
  <c r="O123"/>
  <c r="O124"/>
  <c r="O125"/>
  <c r="O126"/>
  <c r="O127"/>
  <c r="O128"/>
  <c r="O130"/>
  <c r="O131"/>
  <c r="O132"/>
  <c r="O133"/>
  <c r="T133"/>
  <c r="U133"/>
  <c r="V133"/>
  <c r="W133"/>
  <c r="W135" s="1"/>
  <c r="X133"/>
  <c r="X135" s="1"/>
  <c r="Y133"/>
  <c r="Z133"/>
  <c r="Z135" s="1"/>
  <c r="AA133"/>
  <c r="AA135" s="1"/>
  <c r="AB133"/>
  <c r="AB135" s="1"/>
  <c r="AC133"/>
  <c r="AJ133"/>
  <c r="AK133"/>
  <c r="AK135" s="1"/>
  <c r="AL133"/>
  <c r="O134"/>
  <c r="O135"/>
  <c r="O136"/>
  <c r="O138"/>
  <c r="O139"/>
  <c r="B142"/>
  <c r="O142"/>
  <c r="O143"/>
  <c r="B146"/>
  <c r="O155"/>
  <c r="O160"/>
  <c r="O161"/>
  <c r="O162"/>
  <c r="O169"/>
  <c r="O170"/>
  <c r="O171"/>
  <c r="O172"/>
  <c r="O173"/>
  <c r="O174"/>
  <c r="O198"/>
  <c r="O199"/>
  <c r="B200"/>
  <c r="O200"/>
  <c r="O201"/>
  <c r="O207"/>
  <c r="O208"/>
  <c r="O209"/>
  <c r="O210"/>
  <c r="O211"/>
  <c r="O212"/>
  <c r="O219"/>
  <c r="O316"/>
  <c r="O220"/>
  <c r="O221"/>
  <c r="O222"/>
  <c r="O223"/>
  <c r="O224"/>
  <c r="O239"/>
  <c r="O240"/>
  <c r="O241"/>
  <c r="O242"/>
  <c r="O243"/>
  <c r="O244"/>
  <c r="O245"/>
  <c r="O246"/>
  <c r="O247"/>
  <c r="B284"/>
  <c r="O248"/>
  <c r="O249"/>
  <c r="B286"/>
  <c r="O250"/>
  <c r="O251"/>
  <c r="O252"/>
  <c r="O253"/>
  <c r="O254"/>
  <c r="O255"/>
  <c r="O257"/>
  <c r="O256"/>
  <c r="O258"/>
  <c r="O259"/>
  <c r="O260"/>
  <c r="O261"/>
  <c r="O262"/>
  <c r="O263"/>
  <c r="T263"/>
  <c r="T265"/>
  <c r="W263"/>
  <c r="Z263"/>
  <c r="Z265"/>
  <c r="AA263"/>
  <c r="AB263"/>
  <c r="AB265"/>
  <c r="AC263"/>
  <c r="AJ263"/>
  <c r="AK263"/>
  <c r="AK265"/>
  <c r="O264"/>
  <c r="O265"/>
  <c r="W265"/>
  <c r="AA265"/>
  <c r="AC265"/>
  <c r="AJ265"/>
  <c r="O266"/>
  <c r="O267"/>
  <c r="B276"/>
  <c r="O268"/>
  <c r="B271"/>
  <c r="O269"/>
  <c r="O271"/>
  <c r="O272"/>
  <c r="O280"/>
  <c r="O281"/>
  <c r="O282"/>
  <c r="O283"/>
  <c r="O284"/>
  <c r="O285"/>
  <c r="O286"/>
  <c r="O287"/>
  <c r="O288"/>
  <c r="O289"/>
  <c r="O291"/>
  <c r="O293"/>
  <c r="O294"/>
  <c r="O295"/>
  <c r="O296"/>
  <c r="O297"/>
  <c r="O298"/>
  <c r="O299"/>
  <c r="O301"/>
  <c r="O302"/>
  <c r="O303"/>
  <c r="O305"/>
  <c r="O306"/>
  <c r="O307"/>
  <c r="O308"/>
  <c r="O309"/>
  <c r="O310"/>
  <c r="O311"/>
  <c r="O312"/>
  <c r="O313"/>
  <c r="O314"/>
  <c r="O315"/>
  <c r="O317"/>
  <c r="O319"/>
  <c r="B321"/>
  <c r="O321"/>
  <c r="O322"/>
  <c r="O323"/>
  <c r="O324"/>
  <c r="O325"/>
  <c r="O326"/>
  <c r="O327"/>
  <c r="O328"/>
  <c r="O329"/>
  <c r="O330"/>
  <c r="O345"/>
  <c r="O347"/>
  <c r="O348"/>
  <c r="O349"/>
  <c r="O350"/>
  <c r="B359"/>
  <c r="O351"/>
  <c r="O352"/>
  <c r="O353"/>
  <c r="O354"/>
  <c r="B372"/>
  <c r="O355"/>
  <c r="O356"/>
  <c r="O357"/>
  <c r="O358"/>
  <c r="O359"/>
  <c r="O360"/>
  <c r="O361"/>
  <c r="O362"/>
  <c r="O363"/>
  <c r="O364"/>
  <c r="O365"/>
  <c r="O373"/>
  <c r="O374"/>
  <c r="O366"/>
  <c r="O367"/>
  <c r="O368"/>
  <c r="O369"/>
  <c r="O370"/>
  <c r="O371"/>
  <c r="O372"/>
  <c r="O375"/>
  <c r="O376"/>
  <c r="O377"/>
  <c r="O391"/>
  <c r="B394"/>
  <c r="O380"/>
  <c r="O381"/>
  <c r="O382"/>
  <c r="O383"/>
  <c r="O384"/>
  <c r="O385"/>
  <c r="O386"/>
  <c r="O387"/>
  <c r="O388"/>
  <c r="O389"/>
  <c r="O390"/>
  <c r="O392"/>
  <c r="O394"/>
  <c r="O395"/>
  <c r="J397"/>
  <c r="O396"/>
  <c r="O399"/>
  <c r="O400"/>
  <c r="O409"/>
  <c r="O423"/>
  <c r="O424"/>
  <c r="O425"/>
  <c r="O427"/>
  <c r="O428"/>
  <c r="O429"/>
  <c r="O430"/>
  <c r="O431"/>
  <c r="O432"/>
  <c r="B435"/>
  <c r="O433"/>
  <c r="O434"/>
  <c r="O435"/>
  <c r="O440"/>
  <c r="O441"/>
  <c r="O442"/>
  <c r="B447"/>
  <c r="O443"/>
  <c r="O444"/>
  <c r="O445"/>
  <c r="O446"/>
  <c r="B450"/>
  <c r="O447"/>
  <c r="O448"/>
  <c r="O449"/>
  <c r="O450"/>
  <c r="O451"/>
  <c r="O522"/>
  <c r="O523"/>
  <c r="O524"/>
  <c r="O526"/>
  <c r="O542"/>
  <c r="O1" i="18"/>
  <c r="L58"/>
  <c r="T58"/>
  <c r="O61" i="8"/>
  <c r="M75" i="18"/>
  <c r="B38" i="8"/>
  <c r="V263" i="18"/>
  <c r="P482"/>
  <c r="P484"/>
  <c r="L484"/>
  <c r="H501"/>
  <c r="J501"/>
  <c r="K501"/>
  <c r="F513"/>
  <c r="F525"/>
  <c r="G528"/>
  <c r="J528" s="1"/>
  <c r="G529"/>
  <c r="G530"/>
  <c r="J530" s="1"/>
  <c r="G531"/>
  <c r="F532"/>
  <c r="F538"/>
  <c r="G535"/>
  <c r="J535" s="1"/>
  <c r="G536"/>
  <c r="J536" s="1"/>
  <c r="G537"/>
  <c r="J537" s="1"/>
  <c r="G538"/>
  <c r="J538" s="1"/>
  <c r="V120" i="17"/>
  <c r="B37"/>
  <c r="H47"/>
  <c r="I47"/>
  <c r="O47"/>
  <c r="P47"/>
  <c r="R47"/>
  <c r="S47"/>
  <c r="T47"/>
  <c r="V47"/>
  <c r="U47"/>
  <c r="H48"/>
  <c r="I48"/>
  <c r="O48"/>
  <c r="P48"/>
  <c r="R48"/>
  <c r="S48"/>
  <c r="T48"/>
  <c r="U48"/>
  <c r="H49"/>
  <c r="I49"/>
  <c r="O49"/>
  <c r="P49"/>
  <c r="R49"/>
  <c r="S49"/>
  <c r="T49"/>
  <c r="V49"/>
  <c r="U49"/>
  <c r="W49"/>
  <c r="H50"/>
  <c r="I50"/>
  <c r="O50"/>
  <c r="P50"/>
  <c r="R50"/>
  <c r="S50"/>
  <c r="T50"/>
  <c r="U50"/>
  <c r="W50"/>
  <c r="H51"/>
  <c r="I51"/>
  <c r="O51"/>
  <c r="P51"/>
  <c r="R51"/>
  <c r="S51"/>
  <c r="T51"/>
  <c r="V51"/>
  <c r="U51"/>
  <c r="H52"/>
  <c r="I52"/>
  <c r="O52"/>
  <c r="P52"/>
  <c r="R52"/>
  <c r="S52"/>
  <c r="T52"/>
  <c r="U52"/>
  <c r="W52"/>
  <c r="H53"/>
  <c r="I53"/>
  <c r="O53"/>
  <c r="P53"/>
  <c r="R53"/>
  <c r="S53"/>
  <c r="T53"/>
  <c r="V53"/>
  <c r="U53"/>
  <c r="W53"/>
  <c r="H54"/>
  <c r="I54"/>
  <c r="O54"/>
  <c r="P54"/>
  <c r="R54"/>
  <c r="S54"/>
  <c r="T54"/>
  <c r="U54"/>
  <c r="W54"/>
  <c r="H55"/>
  <c r="I55"/>
  <c r="O55"/>
  <c r="P55"/>
  <c r="R55"/>
  <c r="S55"/>
  <c r="T55"/>
  <c r="V55"/>
  <c r="U55"/>
  <c r="W55"/>
  <c r="H56"/>
  <c r="I56"/>
  <c r="O56"/>
  <c r="P56"/>
  <c r="R56"/>
  <c r="S56"/>
  <c r="T56"/>
  <c r="U56"/>
  <c r="H57"/>
  <c r="I57"/>
  <c r="O57"/>
  <c r="P57"/>
  <c r="R57"/>
  <c r="S57"/>
  <c r="T57"/>
  <c r="V57"/>
  <c r="U57"/>
  <c r="W57"/>
  <c r="H58"/>
  <c r="I58"/>
  <c r="O58"/>
  <c r="P58"/>
  <c r="R58"/>
  <c r="S58"/>
  <c r="T58"/>
  <c r="U58"/>
  <c r="W58"/>
  <c r="H59"/>
  <c r="I59"/>
  <c r="O59"/>
  <c r="P59"/>
  <c r="R59"/>
  <c r="S59"/>
  <c r="T59"/>
  <c r="V59"/>
  <c r="U59"/>
  <c r="W59"/>
  <c r="H60"/>
  <c r="I60"/>
  <c r="O60"/>
  <c r="P60"/>
  <c r="R60"/>
  <c r="S60"/>
  <c r="T60"/>
  <c r="U60"/>
  <c r="W60"/>
  <c r="H61"/>
  <c r="I61"/>
  <c r="O61"/>
  <c r="P61"/>
  <c r="R61"/>
  <c r="S61"/>
  <c r="T61"/>
  <c r="V61"/>
  <c r="U61"/>
  <c r="W61"/>
  <c r="H62"/>
  <c r="I62"/>
  <c r="O62"/>
  <c r="P62"/>
  <c r="R62"/>
  <c r="S62"/>
  <c r="T62"/>
  <c r="U62"/>
  <c r="W62"/>
  <c r="H63"/>
  <c r="I63"/>
  <c r="O63"/>
  <c r="P63"/>
  <c r="R63"/>
  <c r="S63"/>
  <c r="T63"/>
  <c r="V63"/>
  <c r="U63"/>
  <c r="W63"/>
  <c r="H64"/>
  <c r="I64"/>
  <c r="O64"/>
  <c r="P64"/>
  <c r="R64"/>
  <c r="S64"/>
  <c r="T64"/>
  <c r="U64"/>
  <c r="H65"/>
  <c r="I65"/>
  <c r="O65"/>
  <c r="P65"/>
  <c r="R65"/>
  <c r="S65"/>
  <c r="T65"/>
  <c r="V65"/>
  <c r="U65"/>
  <c r="W65"/>
  <c r="H66"/>
  <c r="I66"/>
  <c r="O66"/>
  <c r="P66"/>
  <c r="R66"/>
  <c r="S66"/>
  <c r="T66"/>
  <c r="U66"/>
  <c r="W66"/>
  <c r="H67"/>
  <c r="I67"/>
  <c r="O67"/>
  <c r="P67"/>
  <c r="R67"/>
  <c r="S67"/>
  <c r="T67"/>
  <c r="V67"/>
  <c r="U67"/>
  <c r="W67"/>
  <c r="H68"/>
  <c r="I68"/>
  <c r="O68"/>
  <c r="P68"/>
  <c r="R68"/>
  <c r="S68"/>
  <c r="T68"/>
  <c r="U68"/>
  <c r="W68"/>
  <c r="H69"/>
  <c r="I69"/>
  <c r="O69"/>
  <c r="P69"/>
  <c r="R69"/>
  <c r="S69"/>
  <c r="T69"/>
  <c r="V69"/>
  <c r="U69"/>
  <c r="W69"/>
  <c r="H70"/>
  <c r="I70"/>
  <c r="O70"/>
  <c r="P70"/>
  <c r="R70"/>
  <c r="S70"/>
  <c r="T70"/>
  <c r="U70"/>
  <c r="W70"/>
  <c r="D72"/>
  <c r="E72"/>
  <c r="F72"/>
  <c r="H72"/>
  <c r="G72"/>
  <c r="I72"/>
  <c r="K72"/>
  <c r="L72"/>
  <c r="M72"/>
  <c r="N72"/>
  <c r="H84"/>
  <c r="I84"/>
  <c r="O84"/>
  <c r="P84"/>
  <c r="R84"/>
  <c r="S84"/>
  <c r="T84"/>
  <c r="V84"/>
  <c r="U84"/>
  <c r="H85"/>
  <c r="I85"/>
  <c r="O85"/>
  <c r="P85"/>
  <c r="R85"/>
  <c r="S85"/>
  <c r="T85"/>
  <c r="V85"/>
  <c r="U85"/>
  <c r="W85"/>
  <c r="H86"/>
  <c r="I86"/>
  <c r="O86"/>
  <c r="P86"/>
  <c r="R86"/>
  <c r="S86"/>
  <c r="T86"/>
  <c r="U86"/>
  <c r="W86"/>
  <c r="H87"/>
  <c r="I87"/>
  <c r="O87"/>
  <c r="P87"/>
  <c r="R87"/>
  <c r="S87"/>
  <c r="T87"/>
  <c r="U87"/>
  <c r="W87"/>
  <c r="H88"/>
  <c r="I88"/>
  <c r="O88"/>
  <c r="P88"/>
  <c r="R88"/>
  <c r="S88"/>
  <c r="T88"/>
  <c r="V88"/>
  <c r="U88"/>
  <c r="W88"/>
  <c r="H89"/>
  <c r="I89"/>
  <c r="O89"/>
  <c r="P89"/>
  <c r="R89"/>
  <c r="S89"/>
  <c r="T89"/>
  <c r="V89"/>
  <c r="U89"/>
  <c r="H90"/>
  <c r="I90"/>
  <c r="O90"/>
  <c r="P90"/>
  <c r="R90"/>
  <c r="S90"/>
  <c r="W90"/>
  <c r="T90"/>
  <c r="V90"/>
  <c r="U90"/>
  <c r="H91"/>
  <c r="I91"/>
  <c r="O91"/>
  <c r="P91"/>
  <c r="R91"/>
  <c r="S91"/>
  <c r="T91"/>
  <c r="V91"/>
  <c r="U91"/>
  <c r="H92"/>
  <c r="I92"/>
  <c r="O92"/>
  <c r="P92"/>
  <c r="R92"/>
  <c r="S92"/>
  <c r="T92"/>
  <c r="U92"/>
  <c r="W92"/>
  <c r="H93"/>
  <c r="I93"/>
  <c r="O93"/>
  <c r="P93"/>
  <c r="R93"/>
  <c r="S93"/>
  <c r="T93"/>
  <c r="V93"/>
  <c r="U93"/>
  <c r="W93"/>
  <c r="H94"/>
  <c r="I94"/>
  <c r="O94"/>
  <c r="P94"/>
  <c r="R94"/>
  <c r="S94"/>
  <c r="T94"/>
  <c r="V94"/>
  <c r="U94"/>
  <c r="H95"/>
  <c r="I95"/>
  <c r="O95"/>
  <c r="P95"/>
  <c r="R95"/>
  <c r="S95"/>
  <c r="T95"/>
  <c r="V95"/>
  <c r="U95"/>
  <c r="H96"/>
  <c r="I96"/>
  <c r="O96"/>
  <c r="P96"/>
  <c r="R96"/>
  <c r="S96"/>
  <c r="T96"/>
  <c r="U96"/>
  <c r="W96"/>
  <c r="H97"/>
  <c r="I97"/>
  <c r="O97"/>
  <c r="P97"/>
  <c r="R97"/>
  <c r="S97"/>
  <c r="T97"/>
  <c r="V97"/>
  <c r="U97"/>
  <c r="W97"/>
  <c r="H98"/>
  <c r="I98"/>
  <c r="O98"/>
  <c r="P98"/>
  <c r="R98"/>
  <c r="S98"/>
  <c r="T98"/>
  <c r="V98"/>
  <c r="U98"/>
  <c r="H99"/>
  <c r="I99"/>
  <c r="O99"/>
  <c r="P99"/>
  <c r="R99"/>
  <c r="S99"/>
  <c r="T99"/>
  <c r="V99"/>
  <c r="U99"/>
  <c r="H100"/>
  <c r="I100"/>
  <c r="O100"/>
  <c r="P100"/>
  <c r="R100"/>
  <c r="S100"/>
  <c r="T100"/>
  <c r="U100"/>
  <c r="W100"/>
  <c r="H101"/>
  <c r="I101"/>
  <c r="O101"/>
  <c r="P101"/>
  <c r="R101"/>
  <c r="S101"/>
  <c r="T101"/>
  <c r="V101"/>
  <c r="U101"/>
  <c r="W101"/>
  <c r="H102"/>
  <c r="I102"/>
  <c r="O102"/>
  <c r="P102"/>
  <c r="R102"/>
  <c r="S102"/>
  <c r="T102"/>
  <c r="V102"/>
  <c r="U102"/>
  <c r="H103"/>
  <c r="I103"/>
  <c r="O103"/>
  <c r="P103"/>
  <c r="R103"/>
  <c r="S103"/>
  <c r="T103"/>
  <c r="V103"/>
  <c r="U103"/>
  <c r="H104"/>
  <c r="I104"/>
  <c r="O104"/>
  <c r="P104"/>
  <c r="R104"/>
  <c r="S104"/>
  <c r="T104"/>
  <c r="U104"/>
  <c r="W104"/>
  <c r="H105"/>
  <c r="I105"/>
  <c r="O105"/>
  <c r="P105"/>
  <c r="R105"/>
  <c r="S105"/>
  <c r="T105"/>
  <c r="V105"/>
  <c r="U105"/>
  <c r="W105"/>
  <c r="H106"/>
  <c r="I106"/>
  <c r="O106"/>
  <c r="P106"/>
  <c r="R106"/>
  <c r="S106"/>
  <c r="T106"/>
  <c r="V106"/>
  <c r="U106"/>
  <c r="H107"/>
  <c r="I107"/>
  <c r="O107"/>
  <c r="P107"/>
  <c r="R107"/>
  <c r="S107"/>
  <c r="T107"/>
  <c r="V107"/>
  <c r="U107"/>
  <c r="D109"/>
  <c r="E109"/>
  <c r="F109"/>
  <c r="G109"/>
  <c r="I109"/>
  <c r="K109"/>
  <c r="L109"/>
  <c r="M109"/>
  <c r="O109"/>
  <c r="N109"/>
  <c r="P109"/>
  <c r="I121"/>
  <c r="O121"/>
  <c r="P121"/>
  <c r="H122"/>
  <c r="I122"/>
  <c r="O122"/>
  <c r="P122"/>
  <c r="H123"/>
  <c r="I123"/>
  <c r="O123"/>
  <c r="P123"/>
  <c r="O124"/>
  <c r="P124"/>
  <c r="O125"/>
  <c r="P125"/>
  <c r="H126"/>
  <c r="I126"/>
  <c r="O126"/>
  <c r="P126"/>
  <c r="H127"/>
  <c r="I127"/>
  <c r="O127"/>
  <c r="P127"/>
  <c r="I128"/>
  <c r="O128"/>
  <c r="P128"/>
  <c r="H129"/>
  <c r="P129"/>
  <c r="I130"/>
  <c r="O130"/>
  <c r="H131"/>
  <c r="O131"/>
  <c r="P131"/>
  <c r="H132"/>
  <c r="O132"/>
  <c r="P132"/>
  <c r="I133"/>
  <c r="O133"/>
  <c r="P133"/>
  <c r="H134"/>
  <c r="I134"/>
  <c r="H135"/>
  <c r="O135"/>
  <c r="P135"/>
  <c r="I136"/>
  <c r="O136"/>
  <c r="P136"/>
  <c r="O137"/>
  <c r="P137"/>
  <c r="H138"/>
  <c r="I138"/>
  <c r="O138"/>
  <c r="P138"/>
  <c r="H139"/>
  <c r="I139"/>
  <c r="O139"/>
  <c r="P139"/>
  <c r="O140"/>
  <c r="P140"/>
  <c r="I141"/>
  <c r="O141"/>
  <c r="P141"/>
  <c r="H142"/>
  <c r="I142"/>
  <c r="O142"/>
  <c r="P142"/>
  <c r="H143"/>
  <c r="I143"/>
  <c r="O143"/>
  <c r="P143"/>
  <c r="O144"/>
  <c r="P144"/>
  <c r="G146"/>
  <c r="K146"/>
  <c r="N1" i="16"/>
  <c r="N2"/>
  <c r="N3"/>
  <c r="N4"/>
  <c r="N5"/>
  <c r="N6"/>
  <c r="N7"/>
  <c r="N8"/>
  <c r="N9"/>
  <c r="N10"/>
  <c r="N11"/>
  <c r="N12"/>
  <c r="N13"/>
  <c r="N14"/>
  <c r="N15"/>
  <c r="N16"/>
  <c r="N17"/>
  <c r="N19"/>
  <c r="N20"/>
  <c r="N21"/>
  <c r="N22"/>
  <c r="N23"/>
  <c r="N24"/>
  <c r="N25"/>
  <c r="N26"/>
  <c r="N27"/>
  <c r="N28"/>
  <c r="N29"/>
  <c r="N30"/>
  <c r="N31"/>
  <c r="N32"/>
  <c r="N33"/>
  <c r="N34"/>
  <c r="N35"/>
  <c r="N36"/>
  <c r="N37"/>
  <c r="N38"/>
  <c r="N39"/>
  <c r="N40"/>
  <c r="N41"/>
  <c r="N42"/>
  <c r="N43"/>
  <c r="N44"/>
  <c r="N45"/>
  <c r="N46"/>
  <c r="N47"/>
  <c r="N48"/>
  <c r="N49"/>
  <c r="N50"/>
  <c r="N51"/>
  <c r="N52"/>
  <c r="N53"/>
  <c r="N54"/>
  <c r="N55"/>
  <c r="N56"/>
  <c r="N58"/>
  <c r="N59"/>
  <c r="N60"/>
  <c r="N61"/>
  <c r="N62"/>
  <c r="N63"/>
  <c r="N64"/>
  <c r="N65"/>
  <c r="N66"/>
  <c r="N67"/>
  <c r="N68"/>
  <c r="N69"/>
  <c r="N70"/>
  <c r="N71"/>
  <c r="N72"/>
  <c r="N73"/>
  <c r="N74"/>
  <c r="N75"/>
  <c r="N76"/>
  <c r="N77"/>
  <c r="N78"/>
  <c r="N79"/>
  <c r="N80"/>
  <c r="N81"/>
  <c r="N82"/>
  <c r="N1" i="15"/>
  <c r="N2"/>
  <c r="N3"/>
  <c r="N4"/>
  <c r="N5"/>
  <c r="N6"/>
  <c r="N7"/>
  <c r="N8"/>
  <c r="N9"/>
  <c r="N10"/>
  <c r="N11"/>
  <c r="N12"/>
  <c r="N13"/>
  <c r="N14"/>
  <c r="N15"/>
  <c r="N16"/>
  <c r="N17"/>
  <c r="N18"/>
  <c r="N19"/>
  <c r="N20"/>
  <c r="N21"/>
  <c r="N22"/>
  <c r="N23"/>
  <c r="N24"/>
  <c r="N25"/>
  <c r="N26"/>
  <c r="N27"/>
  <c r="N28"/>
  <c r="N29"/>
  <c r="N30"/>
  <c r="C57"/>
  <c r="F36"/>
  <c r="F40"/>
  <c r="N31"/>
  <c r="N32"/>
  <c r="N33"/>
  <c r="N34"/>
  <c r="N35"/>
  <c r="N36"/>
  <c r="N37"/>
  <c r="N38"/>
  <c r="N39"/>
  <c r="N40"/>
  <c r="N41"/>
  <c r="F42"/>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5"/>
  <c r="N96"/>
  <c r="N97"/>
  <c r="N98"/>
  <c r="N99"/>
  <c r="N100"/>
  <c r="N101"/>
  <c r="N102"/>
  <c r="N103"/>
  <c r="N104"/>
  <c r="N105"/>
  <c r="B129"/>
  <c r="N106"/>
  <c r="N107"/>
  <c r="N108"/>
  <c r="N109"/>
  <c r="N110"/>
  <c r="C111"/>
  <c r="N111"/>
  <c r="C112"/>
  <c r="N112"/>
  <c r="C113"/>
  <c r="N113"/>
  <c r="C114"/>
  <c r="N114"/>
  <c r="C115"/>
  <c r="N115"/>
  <c r="C116"/>
  <c r="N116"/>
  <c r="C117"/>
  <c r="N117"/>
  <c r="C118"/>
  <c r="N118"/>
  <c r="C119"/>
  <c r="N119"/>
  <c r="C120"/>
  <c r="N120"/>
  <c r="C121"/>
  <c r="N121"/>
  <c r="C122"/>
  <c r="N122"/>
  <c r="C123"/>
  <c r="N123"/>
  <c r="C124"/>
  <c r="N124"/>
  <c r="C125"/>
  <c r="N125"/>
  <c r="C126"/>
  <c r="N126"/>
  <c r="C127"/>
  <c r="N127"/>
  <c r="N128"/>
  <c r="N129"/>
  <c r="N130"/>
  <c r="N131"/>
  <c r="N132"/>
  <c r="N133"/>
  <c r="N134"/>
  <c r="N135"/>
  <c r="N136"/>
  <c r="N137"/>
  <c r="N138"/>
  <c r="F139"/>
  <c r="G139"/>
  <c r="N139"/>
  <c r="N140"/>
  <c r="F141"/>
  <c r="G141"/>
  <c r="N141"/>
  <c r="F142"/>
  <c r="G142"/>
  <c r="N142"/>
  <c r="F143"/>
  <c r="G143"/>
  <c r="N143"/>
  <c r="F144"/>
  <c r="G144"/>
  <c r="N144"/>
  <c r="F145"/>
  <c r="G145"/>
  <c r="N145"/>
  <c r="F146"/>
  <c r="G146"/>
  <c r="N146"/>
  <c r="F147"/>
  <c r="G147"/>
  <c r="N147"/>
  <c r="N148"/>
  <c r="H216"/>
  <c r="H220"/>
  <c r="H223"/>
  <c r="H227"/>
  <c r="N149"/>
  <c r="N150"/>
  <c r="N151"/>
  <c r="N152"/>
  <c r="N153"/>
  <c r="N154"/>
  <c r="N155"/>
  <c r="N156"/>
  <c r="N157"/>
  <c r="N158"/>
  <c r="N159"/>
  <c r="N160"/>
  <c r="N161"/>
  <c r="N162"/>
  <c r="N163"/>
  <c r="N164"/>
  <c r="N165"/>
  <c r="N166"/>
  <c r="O315" i="8"/>
  <c r="B318"/>
  <c r="O344"/>
  <c r="N167" i="15"/>
  <c r="N168"/>
  <c r="H190"/>
  <c r="I191"/>
  <c r="I190"/>
  <c r="J2" i="13"/>
  <c r="O2"/>
  <c r="O3"/>
  <c r="O4"/>
  <c r="O5"/>
  <c r="O6"/>
  <c r="O7"/>
  <c r="O8"/>
  <c r="O9"/>
  <c r="O10"/>
  <c r="O11"/>
  <c r="O12"/>
  <c r="O13"/>
  <c r="O14"/>
  <c r="O15"/>
  <c r="O16"/>
  <c r="O17"/>
  <c r="O18"/>
  <c r="O19"/>
  <c r="O21"/>
  <c r="O24"/>
  <c r="O25"/>
  <c r="O26"/>
  <c r="O27"/>
  <c r="O28"/>
  <c r="O29"/>
  <c r="G31"/>
  <c r="H31"/>
  <c r="I31"/>
  <c r="L87" i="8"/>
  <c r="J31" i="13"/>
  <c r="K31"/>
  <c r="O30"/>
  <c r="O31"/>
  <c r="O32"/>
  <c r="O68" i="8"/>
  <c r="O88"/>
  <c r="O33" i="13"/>
  <c r="O34"/>
  <c r="O35"/>
  <c r="O36"/>
  <c r="O37"/>
  <c r="O38"/>
  <c r="O39"/>
  <c r="O40"/>
  <c r="O41"/>
  <c r="O42"/>
  <c r="O43"/>
  <c r="O44"/>
  <c r="O45"/>
  <c r="O46"/>
  <c r="O47"/>
  <c r="O48"/>
  <c r="O49"/>
  <c r="O50"/>
  <c r="O51"/>
  <c r="O52"/>
  <c r="O53"/>
  <c r="O56"/>
  <c r="O58"/>
  <c r="O59"/>
  <c r="O60"/>
  <c r="O61"/>
  <c r="O62"/>
  <c r="C63"/>
  <c r="D63"/>
  <c r="F63"/>
  <c r="G63"/>
  <c r="O63"/>
  <c r="O64"/>
  <c r="O65"/>
  <c r="O66"/>
  <c r="O67"/>
  <c r="O68"/>
  <c r="O69"/>
  <c r="C70"/>
  <c r="D70"/>
  <c r="F70"/>
  <c r="G70"/>
  <c r="G72"/>
  <c r="O70"/>
  <c r="O71"/>
  <c r="O72"/>
  <c r="O73"/>
  <c r="O74"/>
  <c r="O75"/>
  <c r="O76"/>
  <c r="O77"/>
  <c r="O78"/>
  <c r="O79"/>
  <c r="O80"/>
  <c r="O81"/>
  <c r="O82"/>
  <c r="O83"/>
  <c r="O84"/>
  <c r="O85"/>
  <c r="O86"/>
  <c r="O87"/>
  <c r="O88"/>
  <c r="O89"/>
  <c r="O90"/>
  <c r="O91"/>
  <c r="O92"/>
  <c r="G93"/>
  <c r="O93"/>
  <c r="C195" i="15"/>
  <c r="G94" i="13"/>
  <c r="O94"/>
  <c r="O95"/>
  <c r="O96"/>
  <c r="O97"/>
  <c r="O98"/>
  <c r="O99"/>
  <c r="O100"/>
  <c r="O101"/>
  <c r="O102"/>
  <c r="O103"/>
  <c r="O107"/>
  <c r="O108"/>
  <c r="O109"/>
  <c r="O110"/>
  <c r="O111"/>
  <c r="O112"/>
  <c r="O113"/>
  <c r="O114"/>
  <c r="O115"/>
  <c r="O116"/>
  <c r="O117"/>
  <c r="O118"/>
  <c r="O119"/>
  <c r="O120"/>
  <c r="O121"/>
  <c r="O122"/>
  <c r="O123"/>
  <c r="O124"/>
  <c r="D37" i="12"/>
  <c r="E37"/>
  <c r="G37"/>
  <c r="H37"/>
  <c r="D38"/>
  <c r="E38"/>
  <c r="G38"/>
  <c r="H38"/>
  <c r="D39"/>
  <c r="E39"/>
  <c r="G39"/>
  <c r="H39"/>
  <c r="D40"/>
  <c r="E40"/>
  <c r="G40"/>
  <c r="H40"/>
  <c r="D41"/>
  <c r="E41"/>
  <c r="G41"/>
  <c r="H41"/>
  <c r="D42"/>
  <c r="E42"/>
  <c r="G42"/>
  <c r="H42"/>
  <c r="D43"/>
  <c r="E43"/>
  <c r="G43"/>
  <c r="H43"/>
  <c r="D44"/>
  <c r="E44"/>
  <c r="G44"/>
  <c r="H44"/>
  <c r="D45"/>
  <c r="E45"/>
  <c r="G45"/>
  <c r="H45"/>
  <c r="D46"/>
  <c r="E46"/>
  <c r="G46"/>
  <c r="H46"/>
  <c r="D47"/>
  <c r="E47"/>
  <c r="G47"/>
  <c r="H47"/>
  <c r="D48"/>
  <c r="E48"/>
  <c r="G48"/>
  <c r="H48"/>
  <c r="D49"/>
  <c r="E49"/>
  <c r="G49"/>
  <c r="H49"/>
  <c r="D50"/>
  <c r="E50"/>
  <c r="G50"/>
  <c r="H50"/>
  <c r="D51"/>
  <c r="E51"/>
  <c r="G51"/>
  <c r="H51"/>
  <c r="D52"/>
  <c r="E52"/>
  <c r="G52"/>
  <c r="H52"/>
  <c r="D53"/>
  <c r="E53"/>
  <c r="G53"/>
  <c r="H53"/>
  <c r="D54"/>
  <c r="E54"/>
  <c r="G54"/>
  <c r="H54"/>
  <c r="D55"/>
  <c r="E55"/>
  <c r="G55"/>
  <c r="H55"/>
  <c r="D56"/>
  <c r="E56"/>
  <c r="G56"/>
  <c r="H56"/>
  <c r="D57"/>
  <c r="E57"/>
  <c r="G57"/>
  <c r="H57"/>
  <c r="D58"/>
  <c r="E58"/>
  <c r="G58"/>
  <c r="H58"/>
  <c r="D59"/>
  <c r="E59"/>
  <c r="G59"/>
  <c r="H59"/>
  <c r="D60"/>
  <c r="E60"/>
  <c r="G60"/>
  <c r="H60"/>
  <c r="D61"/>
  <c r="E61"/>
  <c r="G61"/>
  <c r="H61"/>
  <c r="D62"/>
  <c r="E62"/>
  <c r="G62"/>
  <c r="H62"/>
  <c r="D63"/>
  <c r="E63"/>
  <c r="G63"/>
  <c r="H63"/>
  <c r="D64"/>
  <c r="E64"/>
  <c r="G64"/>
  <c r="H64"/>
  <c r="D65"/>
  <c r="E65"/>
  <c r="G65"/>
  <c r="H65"/>
  <c r="D66"/>
  <c r="E66"/>
  <c r="G66"/>
  <c r="H66"/>
  <c r="D67"/>
  <c r="E67"/>
  <c r="G67"/>
  <c r="H67"/>
  <c r="D68"/>
  <c r="E68"/>
  <c r="G68"/>
  <c r="H68"/>
  <c r="D69"/>
  <c r="E69"/>
  <c r="G69"/>
  <c r="H69"/>
  <c r="D70"/>
  <c r="E70"/>
  <c r="G70"/>
  <c r="H70"/>
  <c r="D71"/>
  <c r="E71"/>
  <c r="G71"/>
  <c r="H71"/>
  <c r="D72"/>
  <c r="E72"/>
  <c r="G72"/>
  <c r="H72"/>
  <c r="D73"/>
  <c r="E73"/>
  <c r="G73"/>
  <c r="H73"/>
  <c r="D74"/>
  <c r="E74"/>
  <c r="G74"/>
  <c r="H74"/>
  <c r="D75"/>
  <c r="E75"/>
  <c r="G75"/>
  <c r="H75"/>
  <c r="D76"/>
  <c r="E76"/>
  <c r="G76"/>
  <c r="H76"/>
  <c r="D77"/>
  <c r="E77"/>
  <c r="G77"/>
  <c r="H77"/>
  <c r="D78"/>
  <c r="E78"/>
  <c r="G78"/>
  <c r="H78"/>
  <c r="D79"/>
  <c r="E79"/>
  <c r="G79"/>
  <c r="H79"/>
  <c r="D80"/>
  <c r="E80"/>
  <c r="G80"/>
  <c r="H80"/>
  <c r="D81"/>
  <c r="E81"/>
  <c r="G81"/>
  <c r="H81"/>
  <c r="D82"/>
  <c r="E82"/>
  <c r="G82"/>
  <c r="H82"/>
  <c r="D83"/>
  <c r="E83"/>
  <c r="G83"/>
  <c r="H83"/>
  <c r="D84"/>
  <c r="E84"/>
  <c r="G84"/>
  <c r="H84"/>
  <c r="D85"/>
  <c r="E85"/>
  <c r="G85"/>
  <c r="H85"/>
  <c r="D86"/>
  <c r="E86"/>
  <c r="G86"/>
  <c r="H86"/>
  <c r="D87"/>
  <c r="E87"/>
  <c r="G87"/>
  <c r="H87"/>
  <c r="D88"/>
  <c r="E88"/>
  <c r="G88"/>
  <c r="H88"/>
  <c r="D89"/>
  <c r="E89"/>
  <c r="G89"/>
  <c r="H89"/>
  <c r="D90"/>
  <c r="E90"/>
  <c r="G90"/>
  <c r="H90"/>
  <c r="D91"/>
  <c r="E91"/>
  <c r="G91"/>
  <c r="H91"/>
  <c r="D92"/>
  <c r="E92"/>
  <c r="G92"/>
  <c r="H92"/>
  <c r="D93"/>
  <c r="E93"/>
  <c r="G93"/>
  <c r="H93"/>
  <c r="D94"/>
  <c r="E94"/>
  <c r="G94"/>
  <c r="H94"/>
  <c r="D95"/>
  <c r="E95"/>
  <c r="G95"/>
  <c r="H95"/>
  <c r="D96"/>
  <c r="E96"/>
  <c r="G96"/>
  <c r="H96"/>
  <c r="D97"/>
  <c r="E97"/>
  <c r="G97"/>
  <c r="H97"/>
  <c r="D98"/>
  <c r="E98"/>
  <c r="G98"/>
  <c r="H98"/>
  <c r="D99"/>
  <c r="E99"/>
  <c r="G99"/>
  <c r="H99"/>
  <c r="D100"/>
  <c r="E100"/>
  <c r="G100"/>
  <c r="H100"/>
  <c r="D101"/>
  <c r="E101"/>
  <c r="G101"/>
  <c r="H101"/>
  <c r="D102"/>
  <c r="E102"/>
  <c r="G102"/>
  <c r="H102"/>
  <c r="D103"/>
  <c r="E103"/>
  <c r="G103"/>
  <c r="H103"/>
  <c r="D104"/>
  <c r="E104"/>
  <c r="G104"/>
  <c r="H104"/>
  <c r="D105"/>
  <c r="E105"/>
  <c r="G105"/>
  <c r="H105"/>
  <c r="D106"/>
  <c r="E106"/>
  <c r="G106"/>
  <c r="H106"/>
  <c r="D107"/>
  <c r="E107"/>
  <c r="G107"/>
  <c r="H107"/>
  <c r="D108"/>
  <c r="E108"/>
  <c r="G108"/>
  <c r="H108"/>
  <c r="D109"/>
  <c r="E109"/>
  <c r="G109"/>
  <c r="H109"/>
  <c r="D110"/>
  <c r="E110"/>
  <c r="G110"/>
  <c r="H110"/>
  <c r="D111"/>
  <c r="E111"/>
  <c r="G111"/>
  <c r="H111"/>
  <c r="D112"/>
  <c r="E112"/>
  <c r="G112"/>
  <c r="H112"/>
  <c r="D113"/>
  <c r="E113"/>
  <c r="G113"/>
  <c r="H113"/>
  <c r="D114"/>
  <c r="E114"/>
  <c r="G114"/>
  <c r="H114"/>
  <c r="D115"/>
  <c r="E115"/>
  <c r="G115"/>
  <c r="H115"/>
  <c r="D116"/>
  <c r="E116"/>
  <c r="G116"/>
  <c r="H116"/>
  <c r="D117"/>
  <c r="E117"/>
  <c r="G117"/>
  <c r="H117"/>
  <c r="D118"/>
  <c r="E118"/>
  <c r="G118"/>
  <c r="H118"/>
  <c r="D119"/>
  <c r="E119"/>
  <c r="G119"/>
  <c r="H119"/>
  <c r="D120"/>
  <c r="E120"/>
  <c r="G120"/>
  <c r="H120"/>
  <c r="D121"/>
  <c r="E121"/>
  <c r="G121"/>
  <c r="H121"/>
  <c r="D122"/>
  <c r="E122"/>
  <c r="G122"/>
  <c r="H122"/>
  <c r="D123"/>
  <c r="E123"/>
  <c r="G123"/>
  <c r="H123"/>
  <c r="D124"/>
  <c r="E124"/>
  <c r="G124"/>
  <c r="H124"/>
  <c r="D125"/>
  <c r="E125"/>
  <c r="G125"/>
  <c r="H125"/>
  <c r="D126"/>
  <c r="E126"/>
  <c r="G126"/>
  <c r="H126"/>
  <c r="D127"/>
  <c r="E127"/>
  <c r="G127"/>
  <c r="H127"/>
  <c r="D128"/>
  <c r="E128"/>
  <c r="G128"/>
  <c r="H128"/>
  <c r="D129"/>
  <c r="E129"/>
  <c r="G129"/>
  <c r="H129"/>
  <c r="D130"/>
  <c r="E130"/>
  <c r="G130"/>
  <c r="H130"/>
  <c r="D131"/>
  <c r="E131"/>
  <c r="G131"/>
  <c r="H131"/>
  <c r="D132"/>
  <c r="E132"/>
  <c r="G132"/>
  <c r="H132"/>
  <c r="D133"/>
  <c r="E133"/>
  <c r="G133"/>
  <c r="H133"/>
  <c r="D134"/>
  <c r="E134"/>
  <c r="G134"/>
  <c r="H134"/>
  <c r="D135"/>
  <c r="E135"/>
  <c r="G135"/>
  <c r="H135"/>
  <c r="D136"/>
  <c r="E136"/>
  <c r="G136"/>
  <c r="H136"/>
  <c r="J2" i="11"/>
  <c r="J24"/>
  <c r="R24"/>
  <c r="Z24"/>
  <c r="J25"/>
  <c r="R25"/>
  <c r="Z25"/>
  <c r="J26"/>
  <c r="R26"/>
  <c r="Z26"/>
  <c r="J27"/>
  <c r="R27"/>
  <c r="Z27"/>
  <c r="J28"/>
  <c r="R28"/>
  <c r="Z28"/>
  <c r="J29"/>
  <c r="R29"/>
  <c r="Z29"/>
  <c r="J30"/>
  <c r="R30"/>
  <c r="Z30"/>
  <c r="J31"/>
  <c r="R31"/>
  <c r="Z31"/>
  <c r="J32"/>
  <c r="R32"/>
  <c r="Z32"/>
  <c r="J33"/>
  <c r="R33"/>
  <c r="Z33"/>
  <c r="J34"/>
  <c r="R34"/>
  <c r="Z34"/>
  <c r="J35"/>
  <c r="R35"/>
  <c r="Z35"/>
  <c r="J36"/>
  <c r="R36"/>
  <c r="Z36"/>
  <c r="J37"/>
  <c r="R37"/>
  <c r="Z37"/>
  <c r="J38"/>
  <c r="R38"/>
  <c r="Z38"/>
  <c r="J39"/>
  <c r="R39"/>
  <c r="Z39"/>
  <c r="J40"/>
  <c r="R40"/>
  <c r="Z40"/>
  <c r="J41"/>
  <c r="R41"/>
  <c r="Z41"/>
  <c r="J42"/>
  <c r="R42"/>
  <c r="Z42"/>
  <c r="J43"/>
  <c r="R43"/>
  <c r="Z43"/>
  <c r="J44"/>
  <c r="R44"/>
  <c r="Z44"/>
  <c r="J45"/>
  <c r="R45"/>
  <c r="Z45"/>
  <c r="J46"/>
  <c r="R46"/>
  <c r="Z46"/>
  <c r="E52" a="1"/>
  <c r="F52"/>
  <c r="M52" a="1"/>
  <c r="O52"/>
  <c r="U52" a="1"/>
  <c r="V52"/>
  <c r="E53" a="1"/>
  <c r="G53"/>
  <c r="M53" a="1"/>
  <c r="M53"/>
  <c r="U53" a="1"/>
  <c r="E54" a="1"/>
  <c r="F54"/>
  <c r="M54" a="1"/>
  <c r="U54" a="1"/>
  <c r="U54"/>
  <c r="U6" i="10"/>
  <c r="G23"/>
  <c r="H23"/>
  <c r="I23"/>
  <c r="J23"/>
  <c r="K23"/>
  <c r="L23"/>
  <c r="M23"/>
  <c r="N23"/>
  <c r="P23"/>
  <c r="Q23"/>
  <c r="R23"/>
  <c r="S23"/>
  <c r="T23"/>
  <c r="U23"/>
  <c r="V23"/>
  <c r="W23"/>
  <c r="G24"/>
  <c r="H24"/>
  <c r="I24"/>
  <c r="J24"/>
  <c r="K24"/>
  <c r="L24"/>
  <c r="M24"/>
  <c r="P24"/>
  <c r="Q24"/>
  <c r="R24"/>
  <c r="S24"/>
  <c r="T24"/>
  <c r="U24"/>
  <c r="O184" i="8"/>
  <c r="O919"/>
  <c r="B173" i="10"/>
  <c r="O1" i="9"/>
  <c r="O2"/>
  <c r="O3"/>
  <c r="O4"/>
  <c r="O5"/>
  <c r="O6"/>
  <c r="O7"/>
  <c r="O8"/>
  <c r="O9"/>
  <c r="O10"/>
  <c r="O11"/>
  <c r="O12"/>
  <c r="O13"/>
  <c r="O14"/>
  <c r="O15"/>
  <c r="O16"/>
  <c r="O17"/>
  <c r="O18"/>
  <c r="O19"/>
  <c r="O20"/>
  <c r="O21"/>
  <c r="O22"/>
  <c r="O23"/>
  <c r="O24"/>
  <c r="O25"/>
  <c r="O26"/>
  <c r="M28"/>
  <c r="O27"/>
  <c r="B104"/>
  <c r="O28"/>
  <c r="O29"/>
  <c r="O30"/>
  <c r="O31"/>
  <c r="K32"/>
  <c r="O32"/>
  <c r="O33"/>
  <c r="P33"/>
  <c r="Y33"/>
  <c r="AH33"/>
  <c r="AQ33"/>
  <c r="AZ33"/>
  <c r="BI33"/>
  <c r="O113"/>
  <c r="O76"/>
  <c r="O78"/>
  <c r="O84"/>
  <c r="O85"/>
  <c r="O86"/>
  <c r="O90"/>
  <c r="O91"/>
  <c r="O92"/>
  <c r="O93"/>
  <c r="O94"/>
  <c r="O95"/>
  <c r="O96"/>
  <c r="O97"/>
  <c r="O98"/>
  <c r="O99"/>
  <c r="O100"/>
  <c r="O101"/>
  <c r="O102"/>
  <c r="O103"/>
  <c r="O104"/>
  <c r="O105"/>
  <c r="O106"/>
  <c r="O107"/>
  <c r="O109"/>
  <c r="O110"/>
  <c r="O111"/>
  <c r="O208"/>
  <c r="O112"/>
  <c r="O114"/>
  <c r="O115"/>
  <c r="O116"/>
  <c r="O117"/>
  <c r="N118"/>
  <c r="W118"/>
  <c r="AF118"/>
  <c r="AO118"/>
  <c r="AX118"/>
  <c r="BG118"/>
  <c r="BP118"/>
  <c r="O123"/>
  <c r="O125"/>
  <c r="O124"/>
  <c r="O126"/>
  <c r="O127"/>
  <c r="O129"/>
  <c r="O131"/>
  <c r="O132"/>
  <c r="AV405"/>
  <c r="O133"/>
  <c r="O134"/>
  <c r="O135"/>
  <c r="O456"/>
  <c r="O136"/>
  <c r="O137"/>
  <c r="O138"/>
  <c r="O139"/>
  <c r="O140"/>
  <c r="V141"/>
  <c r="AN141" s="1"/>
  <c r="AE141"/>
  <c r="O142"/>
  <c r="O143"/>
  <c r="O144"/>
  <c r="O145"/>
  <c r="O146"/>
  <c r="O147"/>
  <c r="O148"/>
  <c r="O150"/>
  <c r="O151"/>
  <c r="O152"/>
  <c r="O153"/>
  <c r="O154"/>
  <c r="O155"/>
  <c r="O156"/>
  <c r="O157"/>
  <c r="O158"/>
  <c r="O163"/>
  <c r="O160"/>
  <c r="O161"/>
  <c r="B164"/>
  <c r="O162"/>
  <c r="O164"/>
  <c r="O165"/>
  <c r="O166"/>
  <c r="O168"/>
  <c r="B171"/>
  <c r="O169"/>
  <c r="O170"/>
  <c r="O171"/>
  <c r="O172"/>
  <c r="O173"/>
  <c r="O174"/>
  <c r="O175"/>
  <c r="O176"/>
  <c r="O178"/>
  <c r="O179"/>
  <c r="O180"/>
  <c r="O181"/>
  <c r="O182"/>
  <c r="O183"/>
  <c r="V184"/>
  <c r="O188"/>
  <c r="B185"/>
  <c r="O185"/>
  <c r="O186"/>
  <c r="O187"/>
  <c r="O189"/>
  <c r="O191"/>
  <c r="O192"/>
  <c r="O193"/>
  <c r="O194"/>
  <c r="O196"/>
  <c r="O197"/>
  <c r="O198"/>
  <c r="O200"/>
  <c r="V200"/>
  <c r="AN200"/>
  <c r="AE200"/>
  <c r="AW200"/>
  <c r="BF200"/>
  <c r="BO200"/>
  <c r="O204"/>
  <c r="B201"/>
  <c r="O201"/>
  <c r="O202"/>
  <c r="O199" i="8"/>
  <c r="O203" i="9"/>
  <c r="O205"/>
  <c r="O206"/>
  <c r="O207"/>
  <c r="O209"/>
  <c r="O210"/>
  <c r="O211"/>
  <c r="O212"/>
  <c r="O213"/>
  <c r="O214"/>
  <c r="O215"/>
  <c r="O216"/>
  <c r="O217"/>
  <c r="O218"/>
  <c r="O219"/>
  <c r="O220"/>
  <c r="O221"/>
  <c r="O222"/>
  <c r="O223"/>
  <c r="O224"/>
  <c r="O225"/>
  <c r="O226"/>
  <c r="O227"/>
  <c r="O228"/>
  <c r="O229"/>
  <c r="O230"/>
  <c r="O231"/>
  <c r="O232"/>
  <c r="O233"/>
  <c r="O234"/>
  <c r="O235"/>
  <c r="O236"/>
  <c r="O237"/>
  <c r="O239"/>
  <c r="O242"/>
  <c r="O238"/>
  <c r="O240"/>
  <c r="O241"/>
  <c r="P242"/>
  <c r="Q242"/>
  <c r="R242"/>
  <c r="S242"/>
  <c r="T242"/>
  <c r="U242"/>
  <c r="AZ242"/>
  <c r="BA242"/>
  <c r="BB242"/>
  <c r="BC242"/>
  <c r="BD242"/>
  <c r="BE242"/>
  <c r="BI242"/>
  <c r="BJ242"/>
  <c r="BK242"/>
  <c r="BL242"/>
  <c r="BM242"/>
  <c r="BN242"/>
  <c r="O243"/>
  <c r="O244"/>
  <c r="O246"/>
  <c r="O245"/>
  <c r="O247"/>
  <c r="O248"/>
  <c r="O249"/>
  <c r="O250"/>
  <c r="O251"/>
  <c r="AV377"/>
  <c r="O252"/>
  <c r="O254"/>
  <c r="O255"/>
  <c r="O256"/>
  <c r="O257"/>
  <c r="O258"/>
  <c r="O259"/>
  <c r="O260"/>
  <c r="O261"/>
  <c r="O266"/>
  <c r="O267"/>
  <c r="O268"/>
  <c r="O271"/>
  <c r="H293"/>
  <c r="O277"/>
  <c r="O278"/>
  <c r="O315"/>
  <c r="O316"/>
  <c r="O318"/>
  <c r="O327"/>
  <c r="B339"/>
  <c r="O328"/>
  <c r="B340"/>
  <c r="O333"/>
  <c r="O335"/>
  <c r="O336"/>
  <c r="O337"/>
  <c r="O341"/>
  <c r="O342"/>
  <c r="O343"/>
  <c r="O344"/>
  <c r="O345"/>
  <c r="O346"/>
  <c r="O347"/>
  <c r="O348"/>
  <c r="BV348"/>
  <c r="O349"/>
  <c r="O350"/>
  <c r="O351"/>
  <c r="O352"/>
  <c r="O353"/>
  <c r="O354"/>
  <c r="O355"/>
  <c r="O356"/>
  <c r="O357"/>
  <c r="O358"/>
  <c r="O359"/>
  <c r="O360"/>
  <c r="O361"/>
  <c r="O362"/>
  <c r="O363"/>
  <c r="O364"/>
  <c r="O365"/>
  <c r="O367"/>
  <c r="O368"/>
  <c r="B457"/>
  <c r="O369"/>
  <c r="O370"/>
  <c r="O371"/>
  <c r="O372"/>
  <c r="O373"/>
  <c r="O375"/>
  <c r="O379"/>
  <c r="O384"/>
  <c r="O395"/>
  <c r="O396"/>
  <c r="O397"/>
  <c r="O398"/>
  <c r="O400"/>
  <c r="O401"/>
  <c r="O402"/>
  <c r="O403"/>
  <c r="O404"/>
  <c r="O424"/>
  <c r="O425"/>
  <c r="B907"/>
  <c r="O426"/>
  <c r="O428"/>
  <c r="O429"/>
  <c r="O430"/>
  <c r="O431"/>
  <c r="O432"/>
  <c r="O433"/>
  <c r="O434"/>
  <c r="O435"/>
  <c r="O436"/>
  <c r="O437"/>
  <c r="O438"/>
  <c r="O439"/>
  <c r="O440"/>
  <c r="O441"/>
  <c r="O442"/>
  <c r="O443"/>
  <c r="O444"/>
  <c r="O445"/>
  <c r="O446"/>
  <c r="O447"/>
  <c r="O448"/>
  <c r="O449"/>
  <c r="O450"/>
  <c r="O451"/>
  <c r="O452"/>
  <c r="O453"/>
  <c r="O454"/>
  <c r="O455"/>
  <c r="O457"/>
  <c r="O458"/>
  <c r="B510"/>
  <c r="O459"/>
  <c r="O460"/>
  <c r="O461"/>
  <c r="O462"/>
  <c r="O463"/>
  <c r="O464"/>
  <c r="O465"/>
  <c r="O466"/>
  <c r="O467"/>
  <c r="O468"/>
  <c r="O469"/>
  <c r="O470"/>
  <c r="O471"/>
  <c r="O472"/>
  <c r="M471"/>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8"/>
  <c r="O639"/>
  <c r="O640"/>
  <c r="O641"/>
  <c r="O642"/>
  <c r="O643"/>
  <c r="O644"/>
  <c r="O645"/>
  <c r="O646"/>
  <c r="O647"/>
  <c r="O648"/>
  <c r="O649"/>
  <c r="O650"/>
  <c r="O651"/>
  <c r="O652"/>
  <c r="O653"/>
  <c r="O654"/>
  <c r="O655"/>
  <c r="O656"/>
  <c r="B703"/>
  <c r="O657"/>
  <c r="O658"/>
  <c r="O659"/>
  <c r="O660"/>
  <c r="O661"/>
  <c r="O662"/>
  <c r="O663"/>
  <c r="O664"/>
  <c r="O665"/>
  <c r="O666"/>
  <c r="O667"/>
  <c r="O668"/>
  <c r="O669"/>
  <c r="O670"/>
  <c r="O671"/>
  <c r="O672"/>
  <c r="O673"/>
  <c r="O674"/>
  <c r="O675"/>
  <c r="O676"/>
  <c r="O677"/>
  <c r="O678"/>
  <c r="O679"/>
  <c r="O680"/>
  <c r="O681"/>
  <c r="O682"/>
  <c r="O683"/>
  <c r="O684"/>
  <c r="O685"/>
  <c r="O686"/>
  <c r="O687"/>
  <c r="O688"/>
  <c r="O689"/>
  <c r="O690"/>
  <c r="O691"/>
  <c r="O692"/>
  <c r="O693"/>
  <c r="O694"/>
  <c r="O695"/>
  <c r="O696"/>
  <c r="O697"/>
  <c r="O698"/>
  <c r="O699"/>
  <c r="O700"/>
  <c r="O701"/>
  <c r="O702"/>
  <c r="O703"/>
  <c r="O704"/>
  <c r="O705"/>
  <c r="O706"/>
  <c r="O707"/>
  <c r="O708"/>
  <c r="O709"/>
  <c r="O710"/>
  <c r="O711"/>
  <c r="O712"/>
  <c r="O713"/>
  <c r="O714"/>
  <c r="O715"/>
  <c r="O716"/>
  <c r="O717"/>
  <c r="O718"/>
  <c r="O719"/>
  <c r="O720"/>
  <c r="O721"/>
  <c r="O722"/>
  <c r="O723"/>
  <c r="O724"/>
  <c r="O725"/>
  <c r="O726"/>
  <c r="O727"/>
  <c r="O728"/>
  <c r="O729"/>
  <c r="O730"/>
  <c r="O731"/>
  <c r="O732"/>
  <c r="O733"/>
  <c r="O734"/>
  <c r="O735"/>
  <c r="O736"/>
  <c r="O737"/>
  <c r="O738"/>
  <c r="O739"/>
  <c r="O740"/>
  <c r="O741"/>
  <c r="O742"/>
  <c r="O743"/>
  <c r="O744"/>
  <c r="O745"/>
  <c r="O746"/>
  <c r="O747"/>
  <c r="O748"/>
  <c r="O749"/>
  <c r="O750"/>
  <c r="O751"/>
  <c r="O752"/>
  <c r="B799"/>
  <c r="O753"/>
  <c r="O754"/>
  <c r="O755"/>
  <c r="O756"/>
  <c r="O757"/>
  <c r="O758"/>
  <c r="O759"/>
  <c r="O760"/>
  <c r="O761"/>
  <c r="O762"/>
  <c r="O763"/>
  <c r="O764"/>
  <c r="O765"/>
  <c r="O766"/>
  <c r="O767"/>
  <c r="O768"/>
  <c r="O769"/>
  <c r="O770"/>
  <c r="O771"/>
  <c r="O772"/>
  <c r="O773"/>
  <c r="O774"/>
  <c r="O775"/>
  <c r="O776"/>
  <c r="O777"/>
  <c r="O778"/>
  <c r="O779"/>
  <c r="O780"/>
  <c r="O781"/>
  <c r="O782"/>
  <c r="O783"/>
  <c r="O784"/>
  <c r="O785"/>
  <c r="O786"/>
  <c r="O787"/>
  <c r="O788"/>
  <c r="O789"/>
  <c r="O790"/>
  <c r="O791"/>
  <c r="O792"/>
  <c r="O793"/>
  <c r="O794"/>
  <c r="O795"/>
  <c r="O796"/>
  <c r="O797"/>
  <c r="O798"/>
  <c r="O799"/>
  <c r="O800"/>
  <c r="B847"/>
  <c r="O801"/>
  <c r="O802"/>
  <c r="O803"/>
  <c r="O804"/>
  <c r="O805"/>
  <c r="O806"/>
  <c r="O807"/>
  <c r="O808"/>
  <c r="O809"/>
  <c r="O810"/>
  <c r="O811"/>
  <c r="O812"/>
  <c r="O813"/>
  <c r="O814"/>
  <c r="O815"/>
  <c r="O816"/>
  <c r="O817"/>
  <c r="O818"/>
  <c r="O819"/>
  <c r="O820"/>
  <c r="O821"/>
  <c r="O822"/>
  <c r="O823"/>
  <c r="O824"/>
  <c r="O825"/>
  <c r="O826"/>
  <c r="O827"/>
  <c r="O828"/>
  <c r="O829"/>
  <c r="O830"/>
  <c r="O831"/>
  <c r="O832"/>
  <c r="O833"/>
  <c r="O834"/>
  <c r="O835"/>
  <c r="O836"/>
  <c r="O837"/>
  <c r="O838"/>
  <c r="O839"/>
  <c r="O840"/>
  <c r="O841"/>
  <c r="O842"/>
  <c r="O843"/>
  <c r="O844"/>
  <c r="O845"/>
  <c r="O846"/>
  <c r="B978"/>
  <c r="O847"/>
  <c r="O848"/>
  <c r="G302"/>
  <c r="O849"/>
  <c r="O850"/>
  <c r="O851"/>
  <c r="O852"/>
  <c r="O853"/>
  <c r="O854"/>
  <c r="O855"/>
  <c r="O856"/>
  <c r="O857"/>
  <c r="O858"/>
  <c r="O859"/>
  <c r="O860"/>
  <c r="O861"/>
  <c r="O862"/>
  <c r="O863"/>
  <c r="O864"/>
  <c r="O865"/>
  <c r="O866"/>
  <c r="O867"/>
  <c r="O868"/>
  <c r="O869"/>
  <c r="O870"/>
  <c r="O871"/>
  <c r="O872"/>
  <c r="O873"/>
  <c r="O874"/>
  <c r="O875"/>
  <c r="O876"/>
  <c r="O877"/>
  <c r="O878"/>
  <c r="O879"/>
  <c r="O880"/>
  <c r="O881"/>
  <c r="O882"/>
  <c r="O883"/>
  <c r="O884"/>
  <c r="B961"/>
  <c r="O885"/>
  <c r="O886"/>
  <c r="O887"/>
  <c r="O888"/>
  <c r="O889"/>
  <c r="O890"/>
  <c r="O891"/>
  <c r="O892"/>
  <c r="O893"/>
  <c r="O894"/>
  <c r="O895"/>
  <c r="O896"/>
  <c r="O897"/>
  <c r="O898"/>
  <c r="O899"/>
  <c r="O900"/>
  <c r="O901"/>
  <c r="O902"/>
  <c r="O903"/>
  <c r="O904"/>
  <c r="O905"/>
  <c r="O906"/>
  <c r="O907"/>
  <c r="O908"/>
  <c r="O909"/>
  <c r="O910"/>
  <c r="O911"/>
  <c r="O912"/>
  <c r="O913"/>
  <c r="B967"/>
  <c r="O914"/>
  <c r="O915"/>
  <c r="O916"/>
  <c r="O917"/>
  <c r="O918"/>
  <c r="O919"/>
  <c r="O920"/>
  <c r="O921"/>
  <c r="O922"/>
  <c r="O923"/>
  <c r="O924"/>
  <c r="O925"/>
  <c r="O926"/>
  <c r="O927"/>
  <c r="O928"/>
  <c r="O929"/>
  <c r="O930"/>
  <c r="O931"/>
  <c r="O932"/>
  <c r="O933"/>
  <c r="O934"/>
  <c r="O935"/>
  <c r="O936"/>
  <c r="O937"/>
  <c r="O938"/>
  <c r="O939"/>
  <c r="O940"/>
  <c r="O941"/>
  <c r="O942"/>
  <c r="O943"/>
  <c r="O944"/>
  <c r="O945"/>
  <c r="O946"/>
  <c r="O947"/>
  <c r="O948"/>
  <c r="O949"/>
  <c r="O950"/>
  <c r="O951"/>
  <c r="O952"/>
  <c r="O953"/>
  <c r="O954"/>
  <c r="O955"/>
  <c r="O956"/>
  <c r="O957"/>
  <c r="O958"/>
  <c r="O959"/>
  <c r="O960"/>
  <c r="O961"/>
  <c r="O962"/>
  <c r="O963"/>
  <c r="O964"/>
  <c r="O965"/>
  <c r="O967"/>
  <c r="O968"/>
  <c r="O969"/>
  <c r="O970"/>
  <c r="O971"/>
  <c r="O972"/>
  <c r="O973"/>
  <c r="O974"/>
  <c r="O975"/>
  <c r="O976"/>
  <c r="O1" i="8"/>
  <c r="O2"/>
  <c r="O3"/>
  <c r="O4"/>
  <c r="O5"/>
  <c r="O6"/>
  <c r="O7"/>
  <c r="O8"/>
  <c r="O9"/>
  <c r="O10"/>
  <c r="O11"/>
  <c r="O12"/>
  <c r="O13"/>
  <c r="O14"/>
  <c r="O15"/>
  <c r="O16"/>
  <c r="O17"/>
  <c r="O18"/>
  <c r="O19"/>
  <c r="O20"/>
  <c r="O21"/>
  <c r="O22"/>
  <c r="O23"/>
  <c r="O24"/>
  <c r="O25"/>
  <c r="O26"/>
  <c r="O28"/>
  <c r="O29"/>
  <c r="O31"/>
  <c r="O32"/>
  <c r="H264" i="66"/>
  <c r="O34" i="8"/>
  <c r="O60"/>
  <c r="O113"/>
  <c r="BI60"/>
  <c r="O67"/>
  <c r="O78"/>
  <c r="O89"/>
  <c r="O90"/>
  <c r="O91"/>
  <c r="O92"/>
  <c r="O93"/>
  <c r="O95"/>
  <c r="O96"/>
  <c r="B99"/>
  <c r="O97"/>
  <c r="O98"/>
  <c r="O99"/>
  <c r="O100"/>
  <c r="O102"/>
  <c r="O103"/>
  <c r="O105"/>
  <c r="M69" i="26"/>
  <c r="O106" i="8"/>
  <c r="O107"/>
  <c r="O108"/>
  <c r="O109"/>
  <c r="O110"/>
  <c r="O111"/>
  <c r="O112"/>
  <c r="O114"/>
  <c r="O115"/>
  <c r="O116"/>
  <c r="O117"/>
  <c r="N118"/>
  <c r="W118"/>
  <c r="AF118"/>
  <c r="AO118"/>
  <c r="AX118"/>
  <c r="BG118"/>
  <c r="BP118"/>
  <c r="O119"/>
  <c r="O120"/>
  <c r="O121"/>
  <c r="O123"/>
  <c r="O125"/>
  <c r="E130" i="66"/>
  <c r="O124" i="8"/>
  <c r="O126"/>
  <c r="O127"/>
  <c r="O129"/>
  <c r="O131"/>
  <c r="O132"/>
  <c r="O133"/>
  <c r="B138"/>
  <c r="O134"/>
  <c r="O135"/>
  <c r="AV405"/>
  <c r="O509"/>
  <c r="O136"/>
  <c r="O137"/>
  <c r="O138"/>
  <c r="O139"/>
  <c r="O140"/>
  <c r="O142"/>
  <c r="O143"/>
  <c r="B52" i="55"/>
  <c r="O144" i="8"/>
  <c r="O145"/>
  <c r="O146"/>
  <c r="O148"/>
  <c r="O150"/>
  <c r="O151"/>
  <c r="O152"/>
  <c r="O153"/>
  <c r="O154"/>
  <c r="O155"/>
  <c r="O156"/>
  <c r="O157"/>
  <c r="O158"/>
  <c r="O160"/>
  <c r="O162"/>
  <c r="O163"/>
  <c r="O164"/>
  <c r="O165"/>
  <c r="O166"/>
  <c r="O168"/>
  <c r="B171"/>
  <c r="O169"/>
  <c r="O170"/>
  <c r="O171"/>
  <c r="O172"/>
  <c r="O173"/>
  <c r="O174"/>
  <c r="O175"/>
  <c r="O176"/>
  <c r="O177"/>
  <c r="B404"/>
  <c r="O178"/>
  <c r="B121" i="27"/>
  <c r="O179" i="8"/>
  <c r="O180"/>
  <c r="O182"/>
  <c r="O183"/>
  <c r="O188"/>
  <c r="O185"/>
  <c r="O186"/>
  <c r="O189"/>
  <c r="O191"/>
  <c r="O192"/>
  <c r="O193"/>
  <c r="O194"/>
  <c r="O195"/>
  <c r="B428"/>
  <c r="O196"/>
  <c r="O197"/>
  <c r="O198"/>
  <c r="O204"/>
  <c r="O201"/>
  <c r="O202"/>
  <c r="O205"/>
  <c r="O206"/>
  <c r="O207"/>
  <c r="O208"/>
  <c r="O209"/>
  <c r="B119" i="27"/>
  <c r="O210" i="8"/>
  <c r="O211"/>
  <c r="O212"/>
  <c r="O213"/>
  <c r="O214"/>
  <c r="O215"/>
  <c r="O216"/>
  <c r="O217"/>
  <c r="O218"/>
  <c r="O219"/>
  <c r="O220"/>
  <c r="O221"/>
  <c r="O222"/>
  <c r="O223"/>
  <c r="O224"/>
  <c r="O225"/>
  <c r="O226"/>
  <c r="O227"/>
  <c r="O228"/>
  <c r="O229"/>
  <c r="O230"/>
  <c r="O231"/>
  <c r="O232"/>
  <c r="O233"/>
  <c r="O234"/>
  <c r="O235"/>
  <c r="O236"/>
  <c r="O237"/>
  <c r="O239"/>
  <c r="O241"/>
  <c r="O240"/>
  <c r="O242"/>
  <c r="O238"/>
  <c r="P242"/>
  <c r="Q242"/>
  <c r="R242"/>
  <c r="S242"/>
  <c r="T242"/>
  <c r="Y242"/>
  <c r="Z242"/>
  <c r="AA242"/>
  <c r="AB242"/>
  <c r="AC242"/>
  <c r="AD242"/>
  <c r="AE242"/>
  <c r="AZ242"/>
  <c r="BA242"/>
  <c r="BB242"/>
  <c r="BC242"/>
  <c r="BD242"/>
  <c r="BE242"/>
  <c r="BF242"/>
  <c r="BI242"/>
  <c r="BJ242"/>
  <c r="BK242"/>
  <c r="BL242"/>
  <c r="BM242"/>
  <c r="BN242"/>
  <c r="BO242"/>
  <c r="O243"/>
  <c r="O244"/>
  <c r="O246"/>
  <c r="BF244"/>
  <c r="O245"/>
  <c r="BC245"/>
  <c r="BC249"/>
  <c r="O247"/>
  <c r="O248"/>
  <c r="O249"/>
  <c r="O250"/>
  <c r="O251"/>
  <c r="O252"/>
  <c r="O254"/>
  <c r="O256"/>
  <c r="F25" i="40"/>
  <c r="O257" i="8"/>
  <c r="O258"/>
  <c r="O259"/>
  <c r="J102" i="6"/>
  <c r="O260" i="8"/>
  <c r="O261"/>
  <c r="O269"/>
  <c r="L72" i="5"/>
  <c r="O294" i="8"/>
  <c r="O327"/>
  <c r="B339"/>
  <c r="O328"/>
  <c r="B340"/>
  <c r="O333"/>
  <c r="O335"/>
  <c r="O336"/>
  <c r="O339"/>
  <c r="O341"/>
  <c r="O342"/>
  <c r="O343"/>
  <c r="O345"/>
  <c r="O347"/>
  <c r="O348"/>
  <c r="BV348"/>
  <c r="O349"/>
  <c r="O350"/>
  <c r="O351"/>
  <c r="O352"/>
  <c r="O353"/>
  <c r="O354"/>
  <c r="O355"/>
  <c r="O356"/>
  <c r="O357"/>
  <c r="O358"/>
  <c r="O359"/>
  <c r="O360"/>
  <c r="O361"/>
  <c r="O362"/>
  <c r="O363"/>
  <c r="O364"/>
  <c r="O365"/>
  <c r="O367"/>
  <c r="O368"/>
  <c r="B457"/>
  <c r="O369"/>
  <c r="O370"/>
  <c r="O371"/>
  <c r="O372"/>
  <c r="O373"/>
  <c r="O375"/>
  <c r="O379"/>
  <c r="O394"/>
  <c r="O395"/>
  <c r="O396"/>
  <c r="O397"/>
  <c r="O398"/>
  <c r="O401"/>
  <c r="O403"/>
  <c r="O425"/>
  <c r="B907"/>
  <c r="O426"/>
  <c r="O427"/>
  <c r="O428"/>
  <c r="O429"/>
  <c r="O430"/>
  <c r="O431"/>
  <c r="O432"/>
  <c r="O433"/>
  <c r="O434"/>
  <c r="O436"/>
  <c r="O437"/>
  <c r="O439"/>
  <c r="O440"/>
  <c r="O456"/>
  <c r="O441"/>
  <c r="O442"/>
  <c r="O443"/>
  <c r="O444"/>
  <c r="O445"/>
  <c r="O446"/>
  <c r="O447"/>
  <c r="O448"/>
  <c r="O449"/>
  <c r="O450"/>
  <c r="O451"/>
  <c r="O452"/>
  <c r="O453"/>
  <c r="O454"/>
  <c r="O455"/>
  <c r="O463"/>
  <c r="O458"/>
  <c r="O457"/>
  <c r="O459"/>
  <c r="O460"/>
  <c r="O461"/>
  <c r="O462"/>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10"/>
  <c r="O511"/>
  <c r="O512"/>
  <c r="O513"/>
  <c r="O514"/>
  <c r="O515"/>
  <c r="O516"/>
  <c r="O517"/>
  <c r="O518"/>
  <c r="O519"/>
  <c r="O520"/>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8"/>
  <c r="O639"/>
  <c r="O640"/>
  <c r="O641"/>
  <c r="O642"/>
  <c r="O643"/>
  <c r="O644"/>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O682"/>
  <c r="O683"/>
  <c r="O684"/>
  <c r="O685"/>
  <c r="O686"/>
  <c r="O687"/>
  <c r="O688"/>
  <c r="O689"/>
  <c r="O690"/>
  <c r="O691"/>
  <c r="O692"/>
  <c r="O693"/>
  <c r="O694"/>
  <c r="O695"/>
  <c r="O696"/>
  <c r="O697"/>
  <c r="O698"/>
  <c r="O699"/>
  <c r="O700"/>
  <c r="O701"/>
  <c r="O702"/>
  <c r="O703"/>
  <c r="O704"/>
  <c r="O705"/>
  <c r="O706"/>
  <c r="O707"/>
  <c r="O708"/>
  <c r="O709"/>
  <c r="O710"/>
  <c r="O711"/>
  <c r="O712"/>
  <c r="O713"/>
  <c r="O714"/>
  <c r="O715"/>
  <c r="O716"/>
  <c r="O717"/>
  <c r="O718"/>
  <c r="O719"/>
  <c r="O720"/>
  <c r="O721"/>
  <c r="O722"/>
  <c r="O723"/>
  <c r="O724"/>
  <c r="O725"/>
  <c r="O726"/>
  <c r="O727"/>
  <c r="O728"/>
  <c r="O729"/>
  <c r="O730"/>
  <c r="O731"/>
  <c r="O732"/>
  <c r="O733"/>
  <c r="O734"/>
  <c r="O735"/>
  <c r="O736"/>
  <c r="O737"/>
  <c r="O738"/>
  <c r="O739"/>
  <c r="O740"/>
  <c r="O741"/>
  <c r="O742"/>
  <c r="O743"/>
  <c r="O744"/>
  <c r="O745"/>
  <c r="O746"/>
  <c r="O747"/>
  <c r="O748"/>
  <c r="O749"/>
  <c r="O750"/>
  <c r="O751"/>
  <c r="O752"/>
  <c r="O753"/>
  <c r="O754"/>
  <c r="O755"/>
  <c r="O756"/>
  <c r="O757"/>
  <c r="O758"/>
  <c r="O759"/>
  <c r="O760"/>
  <c r="O761"/>
  <c r="O762"/>
  <c r="O763"/>
  <c r="O764"/>
  <c r="O765"/>
  <c r="O766"/>
  <c r="O767"/>
  <c r="O768"/>
  <c r="O769"/>
  <c r="O770"/>
  <c r="O771"/>
  <c r="O772"/>
  <c r="O773"/>
  <c r="O774"/>
  <c r="O775"/>
  <c r="O776"/>
  <c r="O777"/>
  <c r="O778"/>
  <c r="O779"/>
  <c r="O780"/>
  <c r="O781"/>
  <c r="O782"/>
  <c r="O783"/>
  <c r="O784"/>
  <c r="O785"/>
  <c r="O786"/>
  <c r="O787"/>
  <c r="O788"/>
  <c r="O789"/>
  <c r="O790"/>
  <c r="O791"/>
  <c r="O792"/>
  <c r="O793"/>
  <c r="O794"/>
  <c r="O795"/>
  <c r="O796"/>
  <c r="O797"/>
  <c r="O798"/>
  <c r="O799"/>
  <c r="O800"/>
  <c r="O801"/>
  <c r="O802"/>
  <c r="O803"/>
  <c r="O804"/>
  <c r="O805"/>
  <c r="O806"/>
  <c r="O807"/>
  <c r="O808"/>
  <c r="O809"/>
  <c r="O810"/>
  <c r="O811"/>
  <c r="O812"/>
  <c r="O813"/>
  <c r="O814"/>
  <c r="O815"/>
  <c r="O816"/>
  <c r="O817"/>
  <c r="O818"/>
  <c r="O819"/>
  <c r="O820"/>
  <c r="O821"/>
  <c r="O822"/>
  <c r="O823"/>
  <c r="O824"/>
  <c r="O825"/>
  <c r="O826"/>
  <c r="O827"/>
  <c r="O828"/>
  <c r="O829"/>
  <c r="O830"/>
  <c r="O831"/>
  <c r="O832"/>
  <c r="O833"/>
  <c r="O834"/>
  <c r="O835"/>
  <c r="O836"/>
  <c r="O837"/>
  <c r="O838"/>
  <c r="O839"/>
  <c r="O840"/>
  <c r="O841"/>
  <c r="O842"/>
  <c r="O843"/>
  <c r="O844"/>
  <c r="O845"/>
  <c r="O846"/>
  <c r="B978"/>
  <c r="O847"/>
  <c r="O849"/>
  <c r="O850"/>
  <c r="O851"/>
  <c r="O852"/>
  <c r="O853"/>
  <c r="O854"/>
  <c r="O855"/>
  <c r="O856"/>
  <c r="O857"/>
  <c r="O858"/>
  <c r="O859"/>
  <c r="O860"/>
  <c r="O861"/>
  <c r="O862"/>
  <c r="O863"/>
  <c r="O864"/>
  <c r="O865"/>
  <c r="O866"/>
  <c r="O867"/>
  <c r="O868"/>
  <c r="O869"/>
  <c r="O871"/>
  <c r="O872"/>
  <c r="O873"/>
  <c r="O874"/>
  <c r="O875"/>
  <c r="O876"/>
  <c r="O877"/>
  <c r="O878"/>
  <c r="O879"/>
  <c r="O880"/>
  <c r="O881"/>
  <c r="O882"/>
  <c r="O883"/>
  <c r="O884"/>
  <c r="B961"/>
  <c r="O885"/>
  <c r="O886"/>
  <c r="O887"/>
  <c r="O888"/>
  <c r="O889"/>
  <c r="O890"/>
  <c r="O892"/>
  <c r="O894"/>
  <c r="O895"/>
  <c r="O896"/>
  <c r="O897"/>
  <c r="O898"/>
  <c r="O899"/>
  <c r="O900"/>
  <c r="O901"/>
  <c r="O902"/>
  <c r="O903"/>
  <c r="O904"/>
  <c r="O905"/>
  <c r="O906"/>
  <c r="O907"/>
  <c r="O908"/>
  <c r="O909"/>
  <c r="O910"/>
  <c r="O911"/>
  <c r="B191" i="7"/>
  <c r="O912" i="8"/>
  <c r="O913"/>
  <c r="B967"/>
  <c r="O914"/>
  <c r="O915"/>
  <c r="O916"/>
  <c r="O917"/>
  <c r="O918"/>
  <c r="O920"/>
  <c r="O921"/>
  <c r="O922"/>
  <c r="O923"/>
  <c r="O924"/>
  <c r="B242" i="67"/>
  <c r="O925" i="8"/>
  <c r="O926"/>
  <c r="O927"/>
  <c r="O928"/>
  <c r="O929"/>
  <c r="O930"/>
  <c r="O931"/>
  <c r="O932"/>
  <c r="O933"/>
  <c r="O934"/>
  <c r="O935"/>
  <c r="O936"/>
  <c r="O937"/>
  <c r="O938"/>
  <c r="O939"/>
  <c r="O940"/>
  <c r="O941"/>
  <c r="O942"/>
  <c r="O943"/>
  <c r="O944"/>
  <c r="O945"/>
  <c r="O947"/>
  <c r="O948"/>
  <c r="O949"/>
  <c r="O950"/>
  <c r="O951"/>
  <c r="O952"/>
  <c r="O953"/>
  <c r="O954"/>
  <c r="O955"/>
  <c r="O956"/>
  <c r="O957"/>
  <c r="O958"/>
  <c r="O959"/>
  <c r="O960"/>
  <c r="O961"/>
  <c r="O962"/>
  <c r="B234" i="34"/>
  <c r="O963" i="8"/>
  <c r="B198" i="7"/>
  <c r="O964" i="8"/>
  <c r="O965"/>
  <c r="O967"/>
  <c r="O968"/>
  <c r="O969"/>
  <c r="O970"/>
  <c r="O971"/>
  <c r="O972"/>
  <c r="B215" i="7"/>
  <c r="O973" i="8"/>
  <c r="O974"/>
  <c r="O975"/>
  <c r="O976"/>
  <c r="O977"/>
  <c r="B982"/>
  <c r="O985"/>
  <c r="B988"/>
  <c r="O987"/>
  <c r="O991"/>
  <c r="O992"/>
  <c r="O993"/>
  <c r="O994"/>
  <c r="O1" i="7"/>
  <c r="O2"/>
  <c r="O3"/>
  <c r="O4"/>
  <c r="O5"/>
  <c r="O9"/>
  <c r="O99"/>
  <c r="O100"/>
  <c r="O101"/>
  <c r="O177"/>
  <c r="O179"/>
  <c r="O180"/>
  <c r="O181"/>
  <c r="O182"/>
  <c r="O196"/>
  <c r="O198"/>
  <c r="O205"/>
  <c r="B208"/>
  <c r="O213"/>
  <c r="O214"/>
  <c r="O215"/>
  <c r="O219"/>
  <c r="B222"/>
  <c r="O221"/>
  <c r="O148"/>
  <c r="O149"/>
  <c r="O150"/>
  <c r="O151"/>
  <c r="O152"/>
  <c r="O155"/>
  <c r="O156"/>
  <c r="O157"/>
  <c r="O159"/>
  <c r="O160"/>
  <c r="O163"/>
  <c r="O164"/>
  <c r="O165"/>
  <c r="O166"/>
  <c r="O168"/>
  <c r="O169"/>
  <c r="O170"/>
  <c r="O171"/>
  <c r="O173"/>
  <c r="O174"/>
  <c r="O175"/>
  <c r="O233"/>
  <c r="O234"/>
  <c r="O235"/>
  <c r="O236"/>
  <c r="O237"/>
  <c r="O238"/>
  <c r="O239"/>
  <c r="O240"/>
  <c r="O241"/>
  <c r="O242"/>
  <c r="O243"/>
  <c r="O244"/>
  <c r="O245"/>
  <c r="O246"/>
  <c r="O247"/>
  <c r="O248"/>
  <c r="O249"/>
  <c r="O250"/>
  <c r="O251"/>
  <c r="O252"/>
  <c r="O253"/>
  <c r="O254"/>
  <c r="O255"/>
  <c r="O256"/>
  <c r="O257"/>
  <c r="O258"/>
  <c r="O259"/>
  <c r="O260"/>
  <c r="O261"/>
  <c r="O262"/>
  <c r="O263"/>
  <c r="O264"/>
  <c r="O265"/>
  <c r="O272"/>
  <c r="O275"/>
  <c r="O276"/>
  <c r="O279"/>
  <c r="O280"/>
  <c r="O281"/>
  <c r="O282"/>
  <c r="O284"/>
  <c r="O285"/>
  <c r="O286"/>
  <c r="O287"/>
  <c r="O288"/>
  <c r="O289"/>
  <c r="O290"/>
  <c r="O291"/>
  <c r="O292"/>
  <c r="O293"/>
  <c r="O294"/>
  <c r="O295"/>
  <c r="O407"/>
  <c r="B411"/>
  <c r="O413"/>
  <c r="O414"/>
  <c r="O415"/>
  <c r="O416"/>
  <c r="O433"/>
  <c r="O417"/>
  <c r="O418"/>
  <c r="O419"/>
  <c r="O420"/>
  <c r="O421"/>
  <c r="O422"/>
  <c r="O423"/>
  <c r="O425"/>
  <c r="O424"/>
  <c r="O426"/>
  <c r="O427"/>
  <c r="O429"/>
  <c r="O428"/>
  <c r="O430"/>
  <c r="O431"/>
  <c r="O432"/>
  <c r="O434"/>
  <c r="O435"/>
  <c r="O436"/>
  <c r="O437"/>
  <c r="O438"/>
  <c r="O444"/>
  <c r="O455"/>
  <c r="O456"/>
  <c r="O457"/>
  <c r="O458"/>
  <c r="O459"/>
  <c r="O461"/>
  <c r="O539"/>
  <c r="O588"/>
  <c r="O589"/>
  <c r="O590"/>
  <c r="O591"/>
  <c r="O592"/>
  <c r="O595"/>
  <c r="O596"/>
  <c r="O597"/>
  <c r="O598"/>
  <c r="O599"/>
  <c r="O600"/>
  <c r="O601"/>
  <c r="O602"/>
  <c r="O603"/>
  <c r="O604"/>
  <c r="O605"/>
  <c r="O609"/>
  <c r="O610"/>
  <c r="O611"/>
  <c r="O612"/>
  <c r="O613"/>
  <c r="O614"/>
  <c r="O615"/>
  <c r="O616"/>
  <c r="O617"/>
  <c r="O618"/>
  <c r="O619"/>
  <c r="O620"/>
  <c r="O621"/>
  <c r="O622"/>
  <c r="O623"/>
  <c r="O624"/>
  <c r="O631"/>
  <c r="O632"/>
  <c r="O634"/>
  <c r="O635"/>
  <c r="O636"/>
  <c r="O637"/>
  <c r="O638"/>
  <c r="O641"/>
  <c r="O642"/>
  <c r="O643"/>
  <c r="O644"/>
  <c r="O645"/>
  <c r="O646"/>
  <c r="O647"/>
  <c r="O648"/>
  <c r="O649"/>
  <c r="O652"/>
  <c r="O654"/>
  <c r="O656"/>
  <c r="O657"/>
  <c r="O658"/>
  <c r="O659"/>
  <c r="O660"/>
  <c r="O661"/>
  <c r="O662"/>
  <c r="O663"/>
  <c r="O664"/>
  <c r="O665"/>
  <c r="O666"/>
  <c r="O667"/>
  <c r="O668"/>
  <c r="O669"/>
  <c r="O670"/>
  <c r="O671"/>
  <c r="O672"/>
  <c r="O673"/>
  <c r="O674"/>
  <c r="O676"/>
  <c r="O678"/>
  <c r="O679"/>
  <c r="O680"/>
  <c r="O681"/>
  <c r="O682"/>
  <c r="O683"/>
  <c r="O685"/>
  <c r="O686"/>
  <c r="O687"/>
  <c r="O688"/>
  <c r="O689"/>
  <c r="O690"/>
  <c r="O691"/>
  <c r="O692"/>
  <c r="O693"/>
  <c r="E51" i="6"/>
  <c r="I75"/>
  <c r="Q211"/>
  <c r="Q212"/>
  <c r="Q213"/>
  <c r="Q214"/>
  <c r="Q215"/>
  <c r="Q216"/>
  <c r="Q217"/>
  <c r="Q218"/>
  <c r="Q219"/>
  <c r="Q220"/>
  <c r="Q221"/>
  <c r="Q222"/>
  <c r="Q223"/>
  <c r="Q224"/>
  <c r="Q225"/>
  <c r="Q227"/>
  <c r="C48" i="4"/>
  <c r="N2" i="2"/>
  <c r="V427" i="9"/>
  <c r="N40" i="42"/>
  <c r="J40"/>
  <c r="N68"/>
  <c r="J68"/>
  <c r="W54" i="11"/>
  <c r="G54"/>
  <c r="W52"/>
  <c r="N52" i="42"/>
  <c r="J52"/>
  <c r="B200" i="60"/>
  <c r="B281" i="34"/>
  <c r="AB35" i="24"/>
  <c r="AC53"/>
  <c r="AB51"/>
  <c r="AC49"/>
  <c r="AD42"/>
  <c r="AC41"/>
  <c r="AB39"/>
  <c r="AD38"/>
  <c r="AC37"/>
  <c r="B197" i="60"/>
  <c r="B283" i="34"/>
  <c r="N232" i="28"/>
  <c r="N231"/>
  <c r="N230"/>
  <c r="N229"/>
  <c r="N228"/>
  <c r="N227"/>
  <c r="N226"/>
  <c r="N225"/>
  <c r="N224"/>
  <c r="N223"/>
  <c r="N222"/>
  <c r="N221"/>
  <c r="N220"/>
  <c r="N219"/>
  <c r="N218"/>
  <c r="N217"/>
  <c r="N216"/>
  <c r="N215"/>
  <c r="N214"/>
  <c r="N213"/>
  <c r="N212"/>
  <c r="N211"/>
  <c r="N210"/>
  <c r="N209"/>
  <c r="N208"/>
  <c r="N207"/>
  <c r="N206"/>
  <c r="N205"/>
  <c r="N204"/>
  <c r="N203"/>
  <c r="N202"/>
  <c r="N201"/>
  <c r="N200"/>
  <c r="N199"/>
  <c r="N198"/>
  <c r="N197"/>
  <c r="N196"/>
  <c r="N195"/>
  <c r="N194"/>
  <c r="N193"/>
  <c r="N192"/>
  <c r="N191"/>
  <c r="N190"/>
  <c r="N189"/>
  <c r="N188"/>
  <c r="N187"/>
  <c r="N186"/>
  <c r="N185"/>
  <c r="N184"/>
  <c r="N183"/>
  <c r="N182"/>
  <c r="N181"/>
  <c r="N180"/>
  <c r="N179"/>
  <c r="N178"/>
  <c r="N177"/>
  <c r="N176"/>
  <c r="N175"/>
  <c r="N174"/>
  <c r="N173"/>
  <c r="N172"/>
  <c r="N171"/>
  <c r="N170"/>
  <c r="N169"/>
  <c r="N168"/>
  <c r="N167"/>
  <c r="N166"/>
  <c r="N165"/>
  <c r="N164"/>
  <c r="N163"/>
  <c r="N162"/>
  <c r="N161"/>
  <c r="N160"/>
  <c r="N159"/>
  <c r="N158"/>
  <c r="N157"/>
  <c r="N156"/>
  <c r="N155"/>
  <c r="N154"/>
  <c r="N153"/>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I83" i="31"/>
  <c r="I97"/>
  <c r="I98"/>
  <c r="C57" i="39"/>
  <c r="D49"/>
  <c r="F48"/>
  <c r="D47"/>
  <c r="AH33" i="55"/>
  <c r="B124" i="24"/>
  <c r="B115" i="60"/>
  <c r="N61" i="42"/>
  <c r="J61"/>
  <c r="N47"/>
  <c r="J47"/>
  <c r="BS83" i="60"/>
  <c r="BU83"/>
  <c r="BV83"/>
  <c r="BY83"/>
  <c r="BU84"/>
  <c r="BV84"/>
  <c r="F35" i="15"/>
  <c r="F33"/>
  <c r="AB53" i="24"/>
  <c r="AC46"/>
  <c r="AD43"/>
  <c r="AD41"/>
  <c r="AC39"/>
  <c r="AB37"/>
  <c r="AB36"/>
  <c r="B144"/>
  <c r="BS60" i="60"/>
  <c r="BT66"/>
  <c r="BU66"/>
  <c r="BV66"/>
  <c r="BX60"/>
  <c r="BY60"/>
  <c r="BS66"/>
  <c r="BT60"/>
  <c r="BU60"/>
  <c r="BV60"/>
  <c r="BV76"/>
  <c r="BW66"/>
  <c r="BX66"/>
  <c r="E18" i="32"/>
  <c r="N18"/>
  <c r="R117" i="39"/>
  <c r="J102"/>
  <c r="J95"/>
  <c r="O88"/>
  <c r="K62" i="37"/>
  <c r="K63"/>
  <c r="L63"/>
  <c r="F54" i="24"/>
  <c r="F55"/>
  <c r="AD52"/>
  <c r="AD49"/>
  <c r="AB42"/>
  <c r="AC38"/>
  <c r="AD36"/>
  <c r="AD35"/>
  <c r="BL335" i="9"/>
  <c r="BI335"/>
  <c r="BM335"/>
  <c r="BJ335"/>
  <c r="BC335"/>
  <c r="BI335" i="8"/>
  <c r="AZ335" i="9"/>
  <c r="BD335"/>
  <c r="BA335"/>
  <c r="BO335" i="8"/>
  <c r="BM335"/>
  <c r="BM337" s="1"/>
  <c r="BJ335"/>
  <c r="AZ335"/>
  <c r="AZ337" s="1"/>
  <c r="BD335"/>
  <c r="BA335"/>
  <c r="BA337" s="1"/>
  <c r="AH335"/>
  <c r="AL335"/>
  <c r="AK335"/>
  <c r="BL335"/>
  <c r="BL337" s="1"/>
  <c r="BC335"/>
  <c r="AN335"/>
  <c r="AN337" s="1"/>
  <c r="AI335"/>
  <c r="Y335"/>
  <c r="Y337" s="1"/>
  <c r="AC335"/>
  <c r="Z335"/>
  <c r="AH335" i="9"/>
  <c r="AI335"/>
  <c r="AB335"/>
  <c r="P335"/>
  <c r="T335"/>
  <c r="S335"/>
  <c r="Q335"/>
  <c r="V335" i="8"/>
  <c r="V337" s="1"/>
  <c r="T335"/>
  <c r="S335"/>
  <c r="S337" s="1"/>
  <c r="Q335"/>
  <c r="BF335"/>
  <c r="BF337" s="1"/>
  <c r="AE335"/>
  <c r="AB335"/>
  <c r="AB337" s="1"/>
  <c r="AL335" i="9"/>
  <c r="AK335"/>
  <c r="Y335"/>
  <c r="AC335"/>
  <c r="Z335"/>
  <c r="P335" i="8"/>
  <c r="P337" s="1"/>
  <c r="N96" i="24"/>
  <c r="K95"/>
  <c r="N94"/>
  <c r="K93"/>
  <c r="N92"/>
  <c r="K91"/>
  <c r="N90"/>
  <c r="Z90"/>
  <c r="N88"/>
  <c r="K87"/>
  <c r="N86"/>
  <c r="K85"/>
  <c r="N84"/>
  <c r="K83"/>
  <c r="K82"/>
  <c r="N81"/>
  <c r="K80"/>
  <c r="N79"/>
  <c r="K78"/>
  <c r="N77"/>
  <c r="D52" i="15"/>
  <c r="D47"/>
  <c r="D43"/>
  <c r="D39"/>
  <c r="D35"/>
  <c r="G120" i="39"/>
  <c r="G119"/>
  <c r="G124"/>
  <c r="BM336" i="9"/>
  <c r="BL336"/>
  <c r="BI336"/>
  <c r="BD336"/>
  <c r="BO336" i="8"/>
  <c r="BL336"/>
  <c r="BL338" s="1"/>
  <c r="BJ336" i="9"/>
  <c r="BC336"/>
  <c r="BA336"/>
  <c r="AZ336"/>
  <c r="BM336" i="8"/>
  <c r="BF336"/>
  <c r="BD336"/>
  <c r="AN336"/>
  <c r="AN338" s="1"/>
  <c r="BJ336"/>
  <c r="BI336"/>
  <c r="BI338" s="1"/>
  <c r="BA336"/>
  <c r="AZ336"/>
  <c r="AZ338" s="1"/>
  <c r="AL336"/>
  <c r="AE336"/>
  <c r="AE338" s="1"/>
  <c r="AC336"/>
  <c r="AH336" i="9"/>
  <c r="AC336"/>
  <c r="S336"/>
  <c r="Q336"/>
  <c r="P336"/>
  <c r="V336" i="8"/>
  <c r="T336"/>
  <c r="S336"/>
  <c r="Q336"/>
  <c r="Q338" s="1"/>
  <c r="P336"/>
  <c r="BC336"/>
  <c r="AK336"/>
  <c r="AI336"/>
  <c r="AI338" s="1"/>
  <c r="AH336"/>
  <c r="AB336"/>
  <c r="AB338" s="1"/>
  <c r="Z336"/>
  <c r="Y336"/>
  <c r="Y338" s="1"/>
  <c r="AL336" i="9"/>
  <c r="AK336"/>
  <c r="AI336"/>
  <c r="AB336"/>
  <c r="Z336"/>
  <c r="Y336"/>
  <c r="T336"/>
  <c r="D51" i="15"/>
  <c r="D32"/>
  <c r="D34"/>
  <c r="D36"/>
  <c r="D38"/>
  <c r="D40"/>
  <c r="D42"/>
  <c r="D44"/>
  <c r="D46"/>
  <c r="D48"/>
  <c r="D50"/>
  <c r="D53"/>
  <c r="L62" i="37"/>
  <c r="J38"/>
  <c r="F53" i="15"/>
  <c r="F51"/>
  <c r="F49"/>
  <c r="F47"/>
  <c r="F45"/>
  <c r="F43"/>
  <c r="F41"/>
  <c r="F39"/>
  <c r="F37"/>
  <c r="F34"/>
  <c r="I141" i="39"/>
  <c r="G143"/>
  <c r="S115"/>
  <c r="J93"/>
  <c r="I89"/>
  <c r="C58"/>
  <c r="D48"/>
  <c r="F47"/>
  <c r="D46"/>
  <c r="AB49" i="24"/>
  <c r="AC42"/>
  <c r="AB40"/>
  <c r="AB38"/>
  <c r="AE38"/>
  <c r="K96"/>
  <c r="K94"/>
  <c r="K92"/>
  <c r="L34" i="15"/>
  <c r="L32"/>
  <c r="L54"/>
  <c r="L39"/>
  <c r="L37"/>
  <c r="L44"/>
  <c r="L42"/>
  <c r="L50"/>
  <c r="L48"/>
  <c r="L46"/>
  <c r="L53"/>
  <c r="D54"/>
  <c r="D45"/>
  <c r="D37"/>
  <c r="I70" i="60"/>
  <c r="I143" i="39"/>
  <c r="E165" i="56"/>
  <c r="F165"/>
  <c r="G165"/>
  <c r="H165"/>
  <c r="I165"/>
  <c r="J165"/>
  <c r="K37" i="37"/>
  <c r="L37"/>
  <c r="W48" i="17"/>
  <c r="J92" i="39"/>
  <c r="J94"/>
  <c r="J98"/>
  <c r="I100"/>
  <c r="J82"/>
  <c r="F48" i="15"/>
  <c r="J109" i="39"/>
  <c r="N48" i="32"/>
  <c r="E47"/>
  <c r="N47"/>
  <c r="S98" i="39"/>
  <c r="E11" i="32"/>
  <c r="N11"/>
  <c r="H120" i="39"/>
  <c r="H119"/>
  <c r="N50" i="42"/>
  <c r="J50"/>
  <c r="AZ81" i="56"/>
  <c r="AQ81"/>
  <c r="P33"/>
  <c r="AZ33"/>
  <c r="AQ33"/>
  <c r="B75"/>
  <c r="P33" i="55"/>
  <c r="S102" i="39"/>
  <c r="R18"/>
  <c r="Y81" i="56"/>
  <c r="AH33"/>
  <c r="AD45" i="24"/>
  <c r="O90" i="39"/>
  <c r="O91"/>
  <c r="BI81" i="56"/>
  <c r="BI33"/>
  <c r="K26" i="16"/>
  <c r="E54" i="56"/>
  <c r="AD48" i="24"/>
  <c r="AH31" i="55"/>
  <c r="AD37" i="24"/>
  <c r="L39" i="55"/>
  <c r="P93" i="24"/>
  <c r="P80"/>
  <c r="K81"/>
  <c r="D31" i="15"/>
  <c r="R82" i="24"/>
  <c r="K88"/>
  <c r="K84"/>
  <c r="L47" i="15"/>
  <c r="P95" i="24"/>
  <c r="Z82"/>
  <c r="S79"/>
  <c r="T79"/>
  <c r="Q79"/>
  <c r="R79"/>
  <c r="W78"/>
  <c r="U77"/>
  <c r="V77"/>
  <c r="AA77"/>
  <c r="O77"/>
  <c r="P77"/>
  <c r="B135"/>
  <c r="S77"/>
  <c r="T77"/>
  <c r="AC77"/>
  <c r="N52" i="11"/>
  <c r="E54"/>
  <c r="V54"/>
  <c r="H33" i="34"/>
  <c r="H693" i="66"/>
  <c r="G376" i="25"/>
  <c r="L376" s="1"/>
  <c r="B130" i="34"/>
  <c r="H109"/>
  <c r="B197"/>
  <c r="B297"/>
  <c r="B123"/>
  <c r="B378"/>
  <c r="B266"/>
  <c r="B386"/>
  <c r="B146"/>
  <c r="B291"/>
  <c r="I347"/>
  <c r="B376"/>
  <c r="B136"/>
  <c r="B256"/>
  <c r="B382"/>
  <c r="B300"/>
  <c r="B144"/>
  <c r="B289"/>
  <c r="B364"/>
  <c r="B368"/>
  <c r="B374"/>
  <c r="F109"/>
  <c r="B380"/>
  <c r="B223"/>
  <c r="B254"/>
  <c r="U73"/>
  <c r="U70"/>
  <c r="U78"/>
  <c r="U69"/>
  <c r="U77"/>
  <c r="U66"/>
  <c r="U74"/>
  <c r="U67"/>
  <c r="U71"/>
  <c r="U75"/>
  <c r="S83"/>
  <c r="S87"/>
  <c r="S91"/>
  <c r="S86"/>
  <c r="R97"/>
  <c r="U68"/>
  <c r="U72"/>
  <c r="S84"/>
  <c r="S88"/>
  <c r="R96"/>
  <c r="R95"/>
  <c r="U91"/>
  <c r="R98"/>
  <c r="G67"/>
  <c r="H338" i="25"/>
  <c r="K337"/>
  <c r="K338"/>
  <c r="B230"/>
  <c r="B307"/>
  <c r="B301"/>
  <c r="B531"/>
  <c r="L347"/>
  <c r="L348"/>
  <c r="I214" i="34"/>
  <c r="I290"/>
  <c r="F149"/>
  <c r="F151"/>
  <c r="I104"/>
  <c r="B120"/>
  <c r="B128"/>
  <c r="J77"/>
  <c r="J75"/>
  <c r="B135"/>
  <c r="J182" i="15"/>
  <c r="F52"/>
  <c r="F46"/>
  <c r="L36"/>
  <c r="L45"/>
  <c r="D49"/>
  <c r="F54"/>
  <c r="F31"/>
  <c r="L35"/>
  <c r="L38"/>
  <c r="L49"/>
  <c r="B527" i="25"/>
  <c r="B296"/>
  <c r="B283"/>
  <c r="B260"/>
  <c r="M456" i="9"/>
  <c r="M458"/>
  <c r="M460"/>
  <c r="M463"/>
  <c r="M467"/>
  <c r="AC248" i="8"/>
  <c r="B274" i="25"/>
  <c r="G69" i="34"/>
  <c r="I69"/>
  <c r="U109" i="17"/>
  <c r="O117" i="39"/>
  <c r="S101"/>
  <c r="R100"/>
  <c r="O94"/>
  <c r="S92"/>
  <c r="F89"/>
  <c r="I88"/>
  <c r="I90"/>
  <c r="I91"/>
  <c r="V98"/>
  <c r="W98"/>
  <c r="K26" i="15"/>
  <c r="B26"/>
  <c r="S110" i="39"/>
  <c r="H118"/>
  <c r="S113"/>
  <c r="S97"/>
  <c r="O100"/>
  <c r="O118"/>
  <c r="Q118"/>
  <c r="D118"/>
  <c r="M118"/>
  <c r="J113"/>
  <c r="V113"/>
  <c r="W113"/>
  <c r="F100"/>
  <c r="AC52" i="24"/>
  <c r="AC51"/>
  <c r="AC50"/>
  <c r="F90" i="39"/>
  <c r="F91"/>
  <c r="J84"/>
  <c r="B69" i="55"/>
  <c r="AD39" i="24"/>
  <c r="AE39"/>
  <c r="G140" i="15"/>
  <c r="L204" i="25"/>
  <c r="N204" s="1"/>
  <c r="J577"/>
  <c r="B163" i="60"/>
  <c r="B143"/>
  <c r="F97" i="24"/>
  <c r="F98"/>
  <c r="I120"/>
  <c r="L31" i="15"/>
  <c r="L43"/>
  <c r="V92" i="39"/>
  <c r="W92"/>
  <c r="R264" i="23"/>
  <c r="S264"/>
  <c r="R265"/>
  <c r="S265"/>
  <c r="R261"/>
  <c r="S261"/>
  <c r="R257"/>
  <c r="S257"/>
  <c r="R267"/>
  <c r="S267"/>
  <c r="R266"/>
  <c r="S266"/>
  <c r="R260"/>
  <c r="S260"/>
  <c r="R249"/>
  <c r="S249"/>
  <c r="R259"/>
  <c r="S259"/>
  <c r="R256"/>
  <c r="S256"/>
  <c r="R255"/>
  <c r="S255"/>
  <c r="R253"/>
  <c r="S253"/>
  <c r="R251"/>
  <c r="S251"/>
  <c r="R258"/>
  <c r="S258"/>
  <c r="R254"/>
  <c r="S254"/>
  <c r="R263"/>
  <c r="S263"/>
  <c r="R250"/>
  <c r="S250"/>
  <c r="R252"/>
  <c r="S252"/>
  <c r="R262"/>
  <c r="S262"/>
  <c r="B407" i="66"/>
  <c r="L102" i="5"/>
  <c r="B325" i="62"/>
  <c r="B354" i="66"/>
  <c r="B402"/>
  <c r="G64" i="41"/>
  <c r="G102"/>
  <c r="G103"/>
  <c r="P249" i="23"/>
  <c r="Q249" s="1"/>
  <c r="P250"/>
  <c r="Q250" s="1"/>
  <c r="B341" i="62"/>
  <c r="B694" i="7"/>
  <c r="B696"/>
  <c r="B122" i="30"/>
  <c r="B24"/>
  <c r="B49"/>
  <c r="T33" i="5"/>
  <c r="E48"/>
  <c r="B38"/>
  <c r="B42"/>
  <c r="B47"/>
  <c r="B50"/>
  <c r="B54"/>
  <c r="C39"/>
  <c r="D186" i="66"/>
  <c r="G306" i="9"/>
  <c r="G299"/>
  <c r="B970"/>
  <c r="AQ703"/>
  <c r="B316"/>
  <c r="G304"/>
  <c r="B295"/>
  <c r="H312"/>
  <c r="H34" i="30"/>
  <c r="I34"/>
  <c r="J34"/>
  <c r="I604" i="66"/>
  <c r="B126" i="30"/>
  <c r="E43" i="5"/>
  <c r="BO244" i="8"/>
  <c r="BF299"/>
  <c r="BF306"/>
  <c r="Z248"/>
  <c r="Z306"/>
  <c r="Z299"/>
  <c r="Y248"/>
  <c r="Y306"/>
  <c r="Y299"/>
  <c r="AD306"/>
  <c r="AD299"/>
  <c r="BB244"/>
  <c r="AA299"/>
  <c r="AA306"/>
  <c r="B295"/>
  <c r="H312"/>
  <c r="AB299"/>
  <c r="AB306"/>
  <c r="AE248"/>
  <c r="AE299"/>
  <c r="AE306"/>
  <c r="BD244"/>
  <c r="AC306"/>
  <c r="AC299"/>
  <c r="G306"/>
  <c r="G299"/>
  <c r="B168" i="67"/>
  <c r="B153"/>
  <c r="M12" i="2"/>
  <c r="M13"/>
  <c r="M11"/>
  <c r="B966" i="9"/>
  <c r="B912"/>
  <c r="B968"/>
  <c r="B972"/>
  <c r="B969"/>
  <c r="B99"/>
  <c r="E85"/>
  <c r="B297" i="67"/>
  <c r="B254" i="26"/>
  <c r="B966" i="8"/>
  <c r="B972"/>
  <c r="B969"/>
  <c r="B256" i="26"/>
  <c r="B189" i="7"/>
  <c r="B968" i="8"/>
  <c r="B165" i="67"/>
  <c r="T27" i="5"/>
  <c r="K38" i="37"/>
  <c r="K64"/>
  <c r="L64"/>
  <c r="J61"/>
  <c r="J57"/>
  <c r="J49"/>
  <c r="J46"/>
  <c r="B684" i="7"/>
  <c r="B677"/>
  <c r="B675"/>
  <c r="B655"/>
  <c r="B653"/>
  <c r="B74" i="66"/>
  <c r="B216" i="64"/>
  <c r="D59"/>
  <c r="B119"/>
  <c r="B97"/>
  <c r="I203"/>
  <c r="I93" i="66"/>
  <c r="B294" i="25"/>
  <c r="B292"/>
  <c r="L79" i="5"/>
  <c r="B200" i="7"/>
  <c r="B217"/>
  <c r="B1003" i="8"/>
  <c r="AQ713" i="9"/>
  <c r="AQ520"/>
  <c r="AQ809" i="8"/>
  <c r="AQ617"/>
  <c r="AQ138"/>
  <c r="AQ761" i="9"/>
  <c r="AQ569"/>
  <c r="AQ857" i="8"/>
  <c r="AQ665"/>
  <c r="AQ468"/>
  <c r="N19" i="42"/>
  <c r="J19"/>
  <c r="B65" i="55"/>
  <c r="H27"/>
  <c r="B164" i="8"/>
  <c r="B224" i="66"/>
  <c r="B141"/>
  <c r="I119" i="24"/>
  <c r="I78" i="55"/>
  <c r="L998" i="8"/>
  <c r="H70" i="60"/>
  <c r="U96" i="34"/>
  <c r="X78" i="24"/>
  <c r="AE42"/>
  <c r="B134" i="27"/>
  <c r="B139" i="66"/>
  <c r="J115" i="39"/>
  <c r="V115"/>
  <c r="W115"/>
  <c r="J96"/>
  <c r="I94"/>
  <c r="F94"/>
  <c r="J83"/>
  <c r="S82"/>
  <c r="V82"/>
  <c r="W82"/>
  <c r="F30"/>
  <c r="BI81" i="55"/>
  <c r="AQ81"/>
  <c r="Y81"/>
  <c r="AZ81"/>
  <c r="AH81"/>
  <c r="AB46" i="24"/>
  <c r="AE46"/>
  <c r="N33" i="60"/>
  <c r="B36"/>
  <c r="B485" i="18"/>
  <c r="H263" i="66"/>
  <c r="J102"/>
  <c r="F51" i="29"/>
  <c r="F580" i="66"/>
  <c r="B266" i="26"/>
  <c r="B563" i="66"/>
  <c r="D34" i="4"/>
  <c r="D35"/>
  <c r="N21" i="42"/>
  <c r="J21"/>
  <c r="J60" i="37"/>
  <c r="J59"/>
  <c r="N64" i="42"/>
  <c r="J55" i="37"/>
  <c r="J52"/>
  <c r="J51"/>
  <c r="J48"/>
  <c r="J43"/>
  <c r="N44" i="42"/>
  <c r="E54" i="55"/>
  <c r="Q177" i="56"/>
  <c r="F47" i="57"/>
  <c r="AB44" i="24"/>
  <c r="B122" i="60"/>
  <c r="Z83" i="24"/>
  <c r="L33" i="15"/>
  <c r="J264" i="66"/>
  <c r="I264"/>
  <c r="S127" i="17"/>
  <c r="S123"/>
  <c r="U141"/>
  <c r="U127"/>
  <c r="U123"/>
  <c r="U122"/>
  <c r="W122"/>
  <c r="R143"/>
  <c r="R135"/>
  <c r="R131"/>
  <c r="R130"/>
  <c r="R127"/>
  <c r="T143"/>
  <c r="V143"/>
  <c r="T139"/>
  <c r="T135"/>
  <c r="V135"/>
  <c r="T127"/>
  <c r="T123"/>
  <c r="M9" i="2"/>
  <c r="W96" i="24"/>
  <c r="X96"/>
  <c r="Q96"/>
  <c r="R96"/>
  <c r="AA95"/>
  <c r="W94"/>
  <c r="X94"/>
  <c r="Q94"/>
  <c r="R94"/>
  <c r="AA93"/>
  <c r="W92"/>
  <c r="X92"/>
  <c r="AD92"/>
  <c r="Q92"/>
  <c r="R92"/>
  <c r="U91"/>
  <c r="V91"/>
  <c r="Q91"/>
  <c r="R91"/>
  <c r="U90"/>
  <c r="V90"/>
  <c r="O90"/>
  <c r="P90"/>
  <c r="S89"/>
  <c r="T89"/>
  <c r="S88"/>
  <c r="T88"/>
  <c r="Q87"/>
  <c r="R87"/>
  <c r="Y85"/>
  <c r="Z85"/>
  <c r="S84"/>
  <c r="T84"/>
  <c r="Q83"/>
  <c r="R83"/>
  <c r="U82"/>
  <c r="V82"/>
  <c r="U81"/>
  <c r="V81"/>
  <c r="U80"/>
  <c r="V80"/>
  <c r="AA79"/>
  <c r="O78"/>
  <c r="P78"/>
  <c r="B73" i="26"/>
  <c r="I105" i="8"/>
  <c r="B1001"/>
  <c r="B646" i="66"/>
  <c r="B11" i="4"/>
  <c r="B290" i="8"/>
  <c r="B288"/>
  <c r="L57" i="5"/>
  <c r="P81" i="56"/>
  <c r="B87"/>
  <c r="Y33" i="55"/>
  <c r="AZ33"/>
  <c r="P81"/>
  <c r="AQ33"/>
  <c r="B422" i="18"/>
  <c r="B232"/>
  <c r="B347" i="9"/>
  <c r="H77"/>
  <c r="C254"/>
  <c r="I44" i="60"/>
  <c r="H49" i="56"/>
  <c r="C254" i="8"/>
  <c r="B410" i="18"/>
  <c r="B61" i="30"/>
  <c r="B102"/>
  <c r="U51" i="18"/>
  <c r="B90"/>
  <c r="B134"/>
  <c r="J55"/>
  <c r="L126" i="40"/>
  <c r="M126"/>
  <c r="L98"/>
  <c r="M98"/>
  <c r="O42" i="42"/>
  <c r="L96" i="40"/>
  <c r="M96"/>
  <c r="O40" i="42"/>
  <c r="P40" s="1"/>
  <c r="N35" i="37" s="1"/>
  <c r="L114" i="40"/>
  <c r="M114"/>
  <c r="O58" i="42"/>
  <c r="P58" s="1"/>
  <c r="N53" i="37" s="1"/>
  <c r="B50" i="9"/>
  <c r="B50" i="8"/>
  <c r="B64" i="72"/>
  <c r="H169" i="18"/>
  <c r="Q244" i="9"/>
  <c r="Q246"/>
  <c r="Q250" s="1"/>
  <c r="U244"/>
  <c r="U246"/>
  <c r="U250" s="1"/>
  <c r="B36"/>
  <c r="B38"/>
  <c r="B36" i="8"/>
  <c r="BL245"/>
  <c r="BL249"/>
  <c r="H114" i="18"/>
  <c r="B80"/>
  <c r="U52" i="11"/>
  <c r="V338" i="8"/>
  <c r="B166" i="19"/>
  <c r="L115" i="5"/>
  <c r="S111" i="39"/>
  <c r="N23" i="42"/>
  <c r="J23"/>
  <c r="N22"/>
  <c r="J22"/>
  <c r="G60" i="18"/>
  <c r="G62"/>
  <c r="G66"/>
  <c r="S60"/>
  <c r="S62"/>
  <c r="Q73" i="60"/>
  <c r="AR73"/>
  <c r="BJ73"/>
  <c r="H153"/>
  <c r="H143" i="39"/>
  <c r="I46"/>
  <c r="I49"/>
  <c r="BS76" i="60"/>
  <c r="AE37" i="24"/>
  <c r="B207" i="67"/>
  <c r="I67" i="29"/>
  <c r="S108" i="39"/>
  <c r="S99"/>
  <c r="N31" i="42"/>
  <c r="J31"/>
  <c r="N15"/>
  <c r="J15"/>
  <c r="G133" i="55"/>
  <c r="M388" i="9"/>
  <c r="M388" i="8"/>
  <c r="B142" i="25"/>
  <c r="B110" i="60"/>
  <c r="S86" i="39"/>
  <c r="J85"/>
  <c r="J89"/>
  <c r="S87"/>
  <c r="R19"/>
  <c r="N37" i="42"/>
  <c r="J37"/>
  <c r="N36"/>
  <c r="J36"/>
  <c r="N34"/>
  <c r="J34"/>
  <c r="N33"/>
  <c r="J33"/>
  <c r="N26"/>
  <c r="J26"/>
  <c r="N17"/>
  <c r="J17"/>
  <c r="J63" i="37"/>
  <c r="J62"/>
  <c r="J58"/>
  <c r="N62" i="42"/>
  <c r="J62"/>
  <c r="J56" i="37"/>
  <c r="J54"/>
  <c r="J53"/>
  <c r="J45"/>
  <c r="J44"/>
  <c r="J41"/>
  <c r="M36"/>
  <c r="M37"/>
  <c r="M38"/>
  <c r="M39"/>
  <c r="M40"/>
  <c r="M41"/>
  <c r="M42"/>
  <c r="M43"/>
  <c r="M44"/>
  <c r="M45"/>
  <c r="M46"/>
  <c r="M47"/>
  <c r="M48"/>
  <c r="M49"/>
  <c r="M50"/>
  <c r="M51"/>
  <c r="M52"/>
  <c r="M53"/>
  <c r="M54"/>
  <c r="M55"/>
  <c r="M56"/>
  <c r="M57"/>
  <c r="M58"/>
  <c r="M59"/>
  <c r="M60"/>
  <c r="M61"/>
  <c r="M62"/>
  <c r="M63"/>
  <c r="M64"/>
  <c r="B75" i="55"/>
  <c r="B85"/>
  <c r="B52" i="56"/>
  <c r="B69"/>
  <c r="AB43" i="24"/>
  <c r="B47" i="60"/>
  <c r="B94"/>
  <c r="B104"/>
  <c r="B139"/>
  <c r="B158"/>
  <c r="F101" i="41"/>
  <c r="F102"/>
  <c r="J102"/>
  <c r="H106"/>
  <c r="H104"/>
  <c r="H105"/>
  <c r="F65"/>
  <c r="B747" i="66"/>
  <c r="P120" i="39"/>
  <c r="P119"/>
  <c r="H124"/>
  <c r="H130"/>
  <c r="B71" i="18"/>
  <c r="F141" i="70"/>
  <c r="F136"/>
  <c r="F138"/>
  <c r="F120"/>
  <c r="Q190" i="55"/>
  <c r="C412" i="25"/>
  <c r="S144" i="17"/>
  <c r="S139"/>
  <c r="S138"/>
  <c r="S135"/>
  <c r="S131"/>
  <c r="S125"/>
  <c r="U142"/>
  <c r="W142"/>
  <c r="H137"/>
  <c r="R137"/>
  <c r="R122"/>
  <c r="T142"/>
  <c r="T138"/>
  <c r="T133"/>
  <c r="T126"/>
  <c r="T122"/>
  <c r="V122"/>
  <c r="L270" i="8"/>
  <c r="L181" i="55"/>
  <c r="Q190" i="56"/>
  <c r="U139" i="17"/>
  <c r="W139"/>
  <c r="U137"/>
  <c r="U136"/>
  <c r="U128"/>
  <c r="U124"/>
  <c r="R142"/>
  <c r="R141"/>
  <c r="R132"/>
  <c r="R126"/>
  <c r="R125"/>
  <c r="T129"/>
  <c r="L182" i="55"/>
  <c r="Y96" i="24"/>
  <c r="U96"/>
  <c r="V96"/>
  <c r="AC96"/>
  <c r="AA96"/>
  <c r="O96"/>
  <c r="W95"/>
  <c r="X95"/>
  <c r="AD95"/>
  <c r="U95"/>
  <c r="V95"/>
  <c r="S95"/>
  <c r="T95"/>
  <c r="Q95"/>
  <c r="R95"/>
  <c r="AB95"/>
  <c r="Y94"/>
  <c r="Z94"/>
  <c r="U94"/>
  <c r="V94"/>
  <c r="AC94"/>
  <c r="AA94"/>
  <c r="O94"/>
  <c r="W93"/>
  <c r="X93"/>
  <c r="AD93"/>
  <c r="U93"/>
  <c r="V93"/>
  <c r="S93"/>
  <c r="T93"/>
  <c r="Q93"/>
  <c r="R93"/>
  <c r="Y92"/>
  <c r="Z92"/>
  <c r="U92"/>
  <c r="V92"/>
  <c r="AA92"/>
  <c r="O92"/>
  <c r="W91"/>
  <c r="X91"/>
  <c r="AA91"/>
  <c r="AC91"/>
  <c r="O91"/>
  <c r="P91"/>
  <c r="W90"/>
  <c r="X90"/>
  <c r="S90"/>
  <c r="T90"/>
  <c r="Q90"/>
  <c r="R90"/>
  <c r="Y89"/>
  <c r="U89"/>
  <c r="V89"/>
  <c r="AA89"/>
  <c r="W88"/>
  <c r="X88"/>
  <c r="Q88"/>
  <c r="R88"/>
  <c r="S87"/>
  <c r="T87"/>
  <c r="Y86"/>
  <c r="Z86"/>
  <c r="Q86"/>
  <c r="R86"/>
  <c r="AA85"/>
  <c r="W84"/>
  <c r="X84"/>
  <c r="Q84"/>
  <c r="R84"/>
  <c r="S83"/>
  <c r="T83"/>
  <c r="W82"/>
  <c r="X82"/>
  <c r="S82"/>
  <c r="T82"/>
  <c r="Y81"/>
  <c r="Z81"/>
  <c r="AA81"/>
  <c r="W80"/>
  <c r="X80"/>
  <c r="AA80"/>
  <c r="W79"/>
  <c r="X79"/>
  <c r="Y78"/>
  <c r="Z78"/>
  <c r="AD78"/>
  <c r="AA78"/>
  <c r="V74"/>
  <c r="B228" i="15"/>
  <c r="L144" i="13"/>
  <c r="Y359" i="10"/>
  <c r="B449" i="7"/>
  <c r="D14" i="4"/>
  <c r="J60" i="18"/>
  <c r="J62"/>
  <c r="I86" i="66"/>
  <c r="B63" i="18"/>
  <c r="B69"/>
  <c r="B67"/>
  <c r="B65"/>
  <c r="S244" i="9"/>
  <c r="S246"/>
  <c r="S250" s="1"/>
  <c r="P244"/>
  <c r="R244"/>
  <c r="T244"/>
  <c r="P246"/>
  <c r="P250" s="1"/>
  <c r="R246"/>
  <c r="R250" s="1"/>
  <c r="T246"/>
  <c r="T250" s="1"/>
  <c r="AQ348"/>
  <c r="AH410"/>
  <c r="B334"/>
  <c r="AQ381"/>
  <c r="B415"/>
  <c r="B909"/>
  <c r="AH134"/>
  <c r="B126"/>
  <c r="P144"/>
  <c r="L31" i="55"/>
  <c r="L33"/>
  <c r="H44" i="60"/>
  <c r="BB245" i="8"/>
  <c r="BK245"/>
  <c r="BK249"/>
  <c r="H49" i="55"/>
  <c r="AZ244" i="8"/>
  <c r="L27" i="60"/>
  <c r="L28"/>
  <c r="H31" i="56"/>
  <c r="K31"/>
  <c r="P461" i="8"/>
  <c r="E382" i="9"/>
  <c r="AQ858"/>
  <c r="AQ666"/>
  <c r="AQ655"/>
  <c r="AQ618"/>
  <c r="AQ570"/>
  <c r="AQ526"/>
  <c r="AQ522"/>
  <c r="P513"/>
  <c r="AQ474"/>
  <c r="B159"/>
  <c r="B398"/>
  <c r="B288"/>
  <c r="L43" i="58"/>
  <c r="AQ810" i="8"/>
  <c r="AQ762"/>
  <c r="AQ714"/>
  <c r="AQ666"/>
  <c r="AQ618"/>
  <c r="AQ570"/>
  <c r="AQ526"/>
  <c r="AQ522"/>
  <c r="P513"/>
  <c r="L186"/>
  <c r="B187"/>
  <c r="B186"/>
  <c r="AQ510"/>
  <c r="AQ655"/>
  <c r="B468"/>
  <c r="L178" i="55"/>
  <c r="L177"/>
  <c r="B468" i="9"/>
  <c r="B980"/>
  <c r="B130"/>
  <c r="H280"/>
  <c r="H283"/>
  <c r="AQ810"/>
  <c r="AQ799"/>
  <c r="AQ762"/>
  <c r="AQ751"/>
  <c r="AQ714"/>
  <c r="B520"/>
  <c r="AQ510"/>
  <c r="AQ470"/>
  <c r="P461"/>
  <c r="B892"/>
  <c r="AQ847"/>
  <c r="B655"/>
  <c r="AQ607"/>
  <c r="B607"/>
  <c r="AQ559"/>
  <c r="AV378"/>
  <c r="B138"/>
  <c r="B375"/>
  <c r="B408"/>
  <c r="B980" i="8"/>
  <c r="B130"/>
  <c r="H280"/>
  <c r="H283"/>
  <c r="B117" i="13"/>
  <c r="AQ847" i="8"/>
  <c r="AQ858"/>
  <c r="B520"/>
  <c r="L42" i="58"/>
  <c r="B847" i="8"/>
  <c r="AQ799"/>
  <c r="B799"/>
  <c r="AQ751"/>
  <c r="B751"/>
  <c r="AQ703"/>
  <c r="B655"/>
  <c r="AQ607"/>
  <c r="B607"/>
  <c r="AQ559"/>
  <c r="P243"/>
  <c r="B375"/>
  <c r="B408"/>
  <c r="B159"/>
  <c r="B210" i="67"/>
  <c r="AQ474" i="8"/>
  <c r="AQ470"/>
  <c r="B648" i="66"/>
  <c r="L178" i="56"/>
  <c r="L181"/>
  <c r="L179"/>
  <c r="L182"/>
  <c r="L183" i="55"/>
  <c r="L180"/>
  <c r="L179"/>
  <c r="F33" i="71"/>
  <c r="F29"/>
  <c r="D18" i="5"/>
  <c r="B19" i="4"/>
  <c r="F22" i="71"/>
  <c r="F16"/>
  <c r="F14"/>
  <c r="B167" i="23"/>
  <c r="B145"/>
  <c r="B141"/>
  <c r="B45"/>
  <c r="K379" i="19"/>
  <c r="AJ135"/>
  <c r="V135"/>
  <c r="B220"/>
  <c r="B222"/>
  <c r="B194"/>
  <c r="J230"/>
  <c r="J233"/>
  <c r="J234"/>
  <c r="B460"/>
  <c r="B278"/>
  <c r="B42"/>
  <c r="I176" i="26"/>
  <c r="L43" i="19"/>
  <c r="B537"/>
  <c r="E24" i="6"/>
  <c r="F172" i="23"/>
  <c r="B373" i="66"/>
  <c r="F176" i="23"/>
  <c r="B543" i="25"/>
  <c r="AQ420" i="9"/>
  <c r="B250" i="25"/>
  <c r="F376"/>
  <c r="K376" s="1"/>
  <c r="B195"/>
  <c r="B529"/>
  <c r="B551"/>
  <c r="B311"/>
  <c r="B297"/>
  <c r="G377"/>
  <c r="L377" s="1"/>
  <c r="B285"/>
  <c r="B151"/>
  <c r="B101"/>
  <c r="B580"/>
  <c r="B535"/>
  <c r="B290"/>
  <c r="B248"/>
  <c r="B438"/>
  <c r="B289"/>
  <c r="B258"/>
  <c r="B398"/>
  <c r="B220"/>
  <c r="B116"/>
  <c r="G348"/>
  <c r="L89" i="5"/>
  <c r="V386" i="8"/>
  <c r="AE386"/>
  <c r="AE386" i="9"/>
  <c r="D122" i="25"/>
  <c r="B110"/>
  <c r="B592"/>
  <c r="B86"/>
  <c r="B427"/>
  <c r="B309"/>
  <c r="B305"/>
  <c r="B76" i="26"/>
  <c r="I66" i="13"/>
  <c r="J66"/>
  <c r="B124"/>
  <c r="C72"/>
  <c r="I65"/>
  <c r="J65"/>
  <c r="E63"/>
  <c r="E70"/>
  <c r="I61"/>
  <c r="J61"/>
  <c r="I58"/>
  <c r="J58"/>
  <c r="B379" i="9"/>
  <c r="B150"/>
  <c r="AQ412"/>
  <c r="AH60"/>
  <c r="W61" i="56"/>
  <c r="J30" i="13"/>
  <c r="J32" s="1"/>
  <c r="J114" s="1"/>
  <c r="G123" i="66"/>
  <c r="K40" i="56"/>
  <c r="BA244" i="8"/>
  <c r="AA248"/>
  <c r="U242"/>
  <c r="BD245"/>
  <c r="BD249"/>
  <c r="B900" i="9"/>
  <c r="B186"/>
  <c r="AQ363"/>
  <c r="AZ144"/>
  <c r="B378"/>
  <c r="AQ331"/>
  <c r="Y144"/>
  <c r="Y243"/>
  <c r="BF249" i="8"/>
  <c r="BO245"/>
  <c r="BO249"/>
  <c r="BM244"/>
  <c r="BD248"/>
  <c r="B120" i="55"/>
  <c r="B219" i="34"/>
  <c r="B150" i="8"/>
  <c r="AE249"/>
  <c r="AZ245"/>
  <c r="BA245"/>
  <c r="BA249"/>
  <c r="Y144"/>
  <c r="B182"/>
  <c r="BL245" i="9"/>
  <c r="BL249"/>
  <c r="Q251" i="8"/>
  <c r="Q255"/>
  <c r="T251"/>
  <c r="S251"/>
  <c r="B201"/>
  <c r="B490" i="18"/>
  <c r="B349" i="19"/>
  <c r="J77" i="58"/>
  <c r="B227" i="34"/>
  <c r="B123" i="55"/>
  <c r="B333" i="8"/>
  <c r="B237" i="34"/>
  <c r="AH377" i="8"/>
  <c r="B120" i="56"/>
  <c r="B152" i="8"/>
  <c r="B126"/>
  <c r="B392"/>
  <c r="B422"/>
  <c r="B104" i="56"/>
  <c r="B398" i="8"/>
  <c r="B347"/>
  <c r="B901" i="9"/>
  <c r="AQ60"/>
  <c r="B960"/>
  <c r="B182"/>
  <c r="J66" i="58"/>
  <c r="B210" i="64"/>
  <c r="J60" i="58"/>
  <c r="J15"/>
  <c r="J78"/>
  <c r="J16"/>
  <c r="B903" i="8"/>
  <c r="J59" i="58"/>
  <c r="B104" i="55"/>
  <c r="E382" i="8"/>
  <c r="L34" i="60"/>
  <c r="M10" i="2"/>
  <c r="B102" i="64"/>
  <c r="C44" i="57"/>
  <c r="C106" s="1"/>
  <c r="P526" i="8"/>
  <c r="B208" i="64"/>
  <c r="B129" i="41"/>
  <c r="P474" i="8"/>
  <c r="B892"/>
  <c r="B169"/>
  <c r="B415"/>
  <c r="B909"/>
  <c r="B367"/>
  <c r="B130" i="55"/>
  <c r="J146"/>
  <c r="D154" s="1"/>
  <c r="B27" i="57" s="1"/>
  <c r="B94" s="1"/>
  <c r="H163" i="55"/>
  <c r="I146" i="56"/>
  <c r="I174" s="1"/>
  <c r="D181" s="1"/>
  <c r="D194" s="1"/>
  <c r="B173" i="66"/>
  <c r="L37" i="29"/>
  <c r="B379" i="8"/>
  <c r="J62" i="55"/>
  <c r="J63" s="1"/>
  <c r="B229" i="34"/>
  <c r="M390" i="8"/>
  <c r="B960"/>
  <c r="AQ379"/>
  <c r="W51" i="60"/>
  <c r="AF51" s="1"/>
  <c r="AO51" s="1"/>
  <c r="AX51" s="1"/>
  <c r="BG51" s="1"/>
  <c r="BP51" s="1"/>
  <c r="BY51" s="1"/>
  <c r="B516" i="8"/>
  <c r="B170" i="60"/>
  <c r="B898" i="8"/>
  <c r="L108" i="40"/>
  <c r="L109"/>
  <c r="M109"/>
  <c r="O53" i="42"/>
  <c r="P53" s="1"/>
  <c r="L91" i="40"/>
  <c r="M91"/>
  <c r="O35" i="42"/>
  <c r="P35" s="1"/>
  <c r="N30" i="37" s="1"/>
  <c r="L123" i="40"/>
  <c r="M123"/>
  <c r="O67" i="42"/>
  <c r="L119" i="40"/>
  <c r="M119"/>
  <c r="O63" i="42"/>
  <c r="P63" s="1"/>
  <c r="L116" i="40"/>
  <c r="M116"/>
  <c r="O60" i="42"/>
  <c r="P60" s="1"/>
  <c r="N55" i="37" s="1"/>
  <c r="O55" s="1"/>
  <c r="Q55" s="1"/>
  <c r="L112" i="40"/>
  <c r="M112"/>
  <c r="O56" i="42"/>
  <c r="L118" i="40"/>
  <c r="L117"/>
  <c r="M117"/>
  <c r="O61" i="42"/>
  <c r="P61" s="1"/>
  <c r="N56" i="37" s="1"/>
  <c r="L101" i="40"/>
  <c r="M101"/>
  <c r="O45" i="42"/>
  <c r="G30" i="54"/>
  <c r="B48" i="23"/>
  <c r="B470" i="66"/>
  <c r="I69" i="13"/>
  <c r="J69"/>
  <c r="B22"/>
  <c r="I62"/>
  <c r="J62"/>
  <c r="B75"/>
  <c r="L110" i="40"/>
  <c r="M110"/>
  <c r="O54" i="42"/>
  <c r="L95" i="40"/>
  <c r="M95"/>
  <c r="O39" i="42"/>
  <c r="P39" s="1"/>
  <c r="N34" i="37" s="1"/>
  <c r="L93" i="40"/>
  <c r="M93"/>
  <c r="O37" i="42"/>
  <c r="P37" s="1"/>
  <c r="N32" i="37" s="1"/>
  <c r="L124" i="40"/>
  <c r="M124"/>
  <c r="O68" i="42"/>
  <c r="P68" s="1"/>
  <c r="N63" i="37" s="1"/>
  <c r="O63" s="1"/>
  <c r="Q63" s="1"/>
  <c r="L122" i="40"/>
  <c r="M122"/>
  <c r="O66" i="42"/>
  <c r="P66" s="1"/>
  <c r="L100" i="40"/>
  <c r="M100"/>
  <c r="O44" i="42"/>
  <c r="L97" i="40"/>
  <c r="M97"/>
  <c r="O41" i="42"/>
  <c r="P41" s="1"/>
  <c r="N36" i="37" s="1"/>
  <c r="H259" i="8"/>
  <c r="H259" i="9"/>
  <c r="I51" i="16"/>
  <c r="L106" i="40"/>
  <c r="M106"/>
  <c r="O50" i="42"/>
  <c r="P50" s="1"/>
  <c r="N45" i="37" s="1"/>
  <c r="B128" i="23"/>
  <c r="B480" i="19"/>
  <c r="B179"/>
  <c r="I114" i="26"/>
  <c r="J37" i="23"/>
  <c r="B29"/>
  <c r="AL135" i="19"/>
  <c r="T135"/>
  <c r="AC135"/>
  <c r="Y135"/>
  <c r="U135"/>
  <c r="B283" i="7"/>
  <c r="B531" i="19"/>
  <c r="B214"/>
  <c r="B527"/>
  <c r="B533"/>
  <c r="B529"/>
  <c r="B525"/>
  <c r="B539"/>
  <c r="B317"/>
  <c r="S135"/>
  <c r="S137" s="1"/>
  <c r="S263" s="1"/>
  <c r="B22" i="20"/>
  <c r="B498" i="19"/>
  <c r="B508"/>
  <c r="B95" i="64"/>
  <c r="B54" i="19"/>
  <c r="B56" i="66"/>
  <c r="B323" i="19"/>
  <c r="AL99"/>
  <c r="Q135"/>
  <c r="Q137"/>
  <c r="F159"/>
  <c r="B396"/>
  <c r="AM81"/>
  <c r="AM75"/>
  <c r="B151"/>
  <c r="B319"/>
  <c r="B428"/>
  <c r="AM78"/>
  <c r="B237"/>
  <c r="B331"/>
  <c r="B313"/>
  <c r="B280"/>
  <c r="B59" i="20"/>
  <c r="B136" i="19"/>
  <c r="G96"/>
  <c r="G92"/>
  <c r="G88"/>
  <c r="G84"/>
  <c r="G80"/>
  <c r="G76"/>
  <c r="D96"/>
  <c r="D92"/>
  <c r="D88"/>
  <c r="D84"/>
  <c r="D80"/>
  <c r="D76"/>
  <c r="G97"/>
  <c r="G93"/>
  <c r="G89"/>
  <c r="G85"/>
  <c r="G81"/>
  <c r="G77"/>
  <c r="D97"/>
  <c r="D93"/>
  <c r="D89"/>
  <c r="D85"/>
  <c r="D81"/>
  <c r="D77"/>
  <c r="G94"/>
  <c r="G90"/>
  <c r="G86"/>
  <c r="G82"/>
  <c r="G78"/>
  <c r="G74"/>
  <c r="D94"/>
  <c r="D90"/>
  <c r="D86"/>
  <c r="D82"/>
  <c r="D78"/>
  <c r="D74"/>
  <c r="G95"/>
  <c r="G91"/>
  <c r="G87"/>
  <c r="G83"/>
  <c r="G79"/>
  <c r="G75"/>
  <c r="D95"/>
  <c r="D91"/>
  <c r="D87"/>
  <c r="D83"/>
  <c r="D79"/>
  <c r="D75"/>
  <c r="J131"/>
  <c r="B138"/>
  <c r="B133"/>
  <c r="B103"/>
  <c r="B256"/>
  <c r="B58"/>
  <c r="B47"/>
  <c r="B210"/>
  <c r="P66"/>
  <c r="B416" i="66"/>
  <c r="P254" i="23"/>
  <c r="Q254" s="1"/>
  <c r="I155" i="7"/>
  <c r="I121" i="62"/>
  <c r="I125"/>
  <c r="B176"/>
  <c r="K296"/>
  <c r="K300"/>
  <c r="F26" i="20"/>
  <c r="F31" s="1"/>
  <c r="H442" i="66" s="1"/>
  <c r="J121" i="62"/>
  <c r="J125"/>
  <c r="P257" i="23"/>
  <c r="Q257" s="1"/>
  <c r="B268" i="62"/>
  <c r="M292"/>
  <c r="B126" i="7"/>
  <c r="B23" i="20"/>
  <c r="B153" i="7"/>
  <c r="B34" i="20"/>
  <c r="B156" i="7"/>
  <c r="B122" i="62"/>
  <c r="T59" i="56"/>
  <c r="AC59" s="1"/>
  <c r="AL59" s="1"/>
  <c r="AU59" s="1"/>
  <c r="BD59" s="1"/>
  <c r="BM59" s="1"/>
  <c r="K62"/>
  <c r="K63" s="1"/>
  <c r="G32" i="69"/>
  <c r="B24" i="23"/>
  <c r="J145" i="24"/>
  <c r="J148" s="1"/>
  <c r="I158" i="7" s="1"/>
  <c r="K146" i="60"/>
  <c r="M146"/>
  <c r="L247" i="25"/>
  <c r="L249" s="1"/>
  <c r="AE135" i="19"/>
  <c r="AE137" s="1"/>
  <c r="P135"/>
  <c r="B282"/>
  <c r="B212"/>
  <c r="AM97"/>
  <c r="B392"/>
  <c r="K377"/>
  <c r="B547"/>
  <c r="B174"/>
  <c r="B365" i="8"/>
  <c r="C181" i="62"/>
  <c r="B37" i="19"/>
  <c r="F109" i="41"/>
  <c r="J109"/>
  <c r="F103"/>
  <c r="B322" i="9"/>
  <c r="B318"/>
  <c r="B459" i="8"/>
  <c r="P530"/>
  <c r="AQ381"/>
  <c r="AZ89"/>
  <c r="BI144"/>
  <c r="B369"/>
  <c r="B464"/>
  <c r="B322"/>
  <c r="P89"/>
  <c r="P60"/>
  <c r="AQ60"/>
  <c r="B334"/>
  <c r="B516" i="9"/>
  <c r="AV377" i="8"/>
  <c r="B9" i="40"/>
  <c r="I82" i="26"/>
  <c r="B963" i="8"/>
  <c r="B106" i="67"/>
  <c r="B87" i="10"/>
  <c r="B962" i="8"/>
  <c r="B93" i="41"/>
  <c r="B245" i="26"/>
  <c r="B70"/>
  <c r="O60" i="18"/>
  <c r="N60"/>
  <c r="L60"/>
  <c r="T456"/>
  <c r="L456"/>
  <c r="H60"/>
  <c r="H62"/>
  <c r="H66"/>
  <c r="H68"/>
  <c r="M60"/>
  <c r="K60"/>
  <c r="K62"/>
  <c r="K66"/>
  <c r="K68"/>
  <c r="I60"/>
  <c r="I62"/>
  <c r="Q60"/>
  <c r="I100" i="29"/>
  <c r="H424" i="66"/>
  <c r="I92" i="29"/>
  <c r="B68"/>
  <c r="B77" i="66"/>
  <c r="I91" i="29"/>
  <c r="H421" i="66"/>
  <c r="J91" i="29"/>
  <c r="I421" i="66"/>
  <c r="F62" i="29"/>
  <c r="H101"/>
  <c r="B218" i="26"/>
  <c r="B570" i="66"/>
  <c r="B182" i="26"/>
  <c r="H163" i="56"/>
  <c r="G62"/>
  <c r="G63" s="1"/>
  <c r="BN337" i="8"/>
  <c r="C160" i="27"/>
  <c r="C164"/>
  <c r="C204"/>
  <c r="C216"/>
  <c r="C169"/>
  <c r="C188"/>
  <c r="C166"/>
  <c r="C209"/>
  <c r="C191"/>
  <c r="C174"/>
  <c r="C170"/>
  <c r="C195"/>
  <c r="C185"/>
  <c r="C211"/>
  <c r="C206"/>
  <c r="G211" i="64"/>
  <c r="C201" i="27"/>
  <c r="C154"/>
  <c r="C159"/>
  <c r="C198"/>
  <c r="C155"/>
  <c r="C194"/>
  <c r="C193"/>
  <c r="C221"/>
  <c r="C172"/>
  <c r="C186"/>
  <c r="C162"/>
  <c r="C196"/>
  <c r="C148"/>
  <c r="C220"/>
  <c r="L52" i="15"/>
  <c r="Z338" i="8"/>
  <c r="AK338"/>
  <c r="C42" i="57"/>
  <c r="C104" s="1"/>
  <c r="C199" i="27"/>
  <c r="C176"/>
  <c r="C149"/>
  <c r="C205"/>
  <c r="C181"/>
  <c r="C179"/>
  <c r="C177"/>
  <c r="C167"/>
  <c r="C158"/>
  <c r="C213"/>
  <c r="C214"/>
  <c r="C157"/>
  <c r="C152"/>
  <c r="C212"/>
  <c r="C203"/>
  <c r="J163" i="55"/>
  <c r="H7" i="15"/>
  <c r="R264" i="8" s="1"/>
  <c r="C22" i="57"/>
  <c r="C89" s="1"/>
  <c r="L194" i="25"/>
  <c r="J39" i="43"/>
  <c r="C168" i="27"/>
  <c r="C184"/>
  <c r="C182"/>
  <c r="C192"/>
  <c r="C210"/>
  <c r="C224"/>
  <c r="C223"/>
  <c r="C189"/>
  <c r="C153"/>
  <c r="C217"/>
  <c r="C175"/>
  <c r="C208"/>
  <c r="C180"/>
  <c r="C218"/>
  <c r="O70" i="42"/>
  <c r="P70" s="1"/>
  <c r="G82" i="40"/>
  <c r="G84"/>
  <c r="I67" i="34"/>
  <c r="H67"/>
  <c r="G73"/>
  <c r="H78" i="55"/>
  <c r="F156" i="34"/>
  <c r="AB93" i="24"/>
  <c r="B970" i="8"/>
  <c r="BC338"/>
  <c r="T338"/>
  <c r="BF338"/>
  <c r="AE337"/>
  <c r="Q337"/>
  <c r="AC337"/>
  <c r="AH337"/>
  <c r="V102" i="39"/>
  <c r="W102"/>
  <c r="BT76" i="60"/>
  <c r="AE49" i="24"/>
  <c r="AZ60" i="9"/>
  <c r="B106" i="13"/>
  <c r="B903" i="9"/>
  <c r="B191"/>
  <c r="BI144"/>
  <c r="E101"/>
  <c r="U55" i="11" a="1"/>
  <c r="V55"/>
  <c r="B167" i="15"/>
  <c r="B482" i="66"/>
  <c r="W107" i="17"/>
  <c r="W106"/>
  <c r="W103"/>
  <c r="W102"/>
  <c r="W99"/>
  <c r="W98"/>
  <c r="W95"/>
  <c r="W94"/>
  <c r="W91"/>
  <c r="W89"/>
  <c r="W84"/>
  <c r="P72"/>
  <c r="V66"/>
  <c r="V64"/>
  <c r="V62"/>
  <c r="V60"/>
  <c r="V50"/>
  <c r="V48"/>
  <c r="F540" i="18"/>
  <c r="K378" i="19"/>
  <c r="B261"/>
  <c r="B224"/>
  <c r="AM94"/>
  <c r="AM86"/>
  <c r="AM79"/>
  <c r="I594" i="66"/>
  <c r="I50" i="31"/>
  <c r="H32" i="34"/>
  <c r="V108" i="39"/>
  <c r="J99"/>
  <c r="V99"/>
  <c r="W99"/>
  <c r="J97"/>
  <c r="V97"/>
  <c r="W97"/>
  <c r="N30" i="42"/>
  <c r="J30"/>
  <c r="N25"/>
  <c r="J25"/>
  <c r="N24"/>
  <c r="J24"/>
  <c r="N18"/>
  <c r="J18"/>
  <c r="N65"/>
  <c r="J65"/>
  <c r="AD90" i="24"/>
  <c r="BX76" i="60"/>
  <c r="B91" i="6"/>
  <c r="B199"/>
  <c r="B679" i="66"/>
  <c r="B148" i="8"/>
  <c r="F72" i="13"/>
  <c r="D53" i="64"/>
  <c r="D107" i="66"/>
  <c r="H109" i="17"/>
  <c r="V104"/>
  <c r="V100"/>
  <c r="V96"/>
  <c r="V92"/>
  <c r="O72"/>
  <c r="V70"/>
  <c r="V68"/>
  <c r="W64"/>
  <c r="V58"/>
  <c r="V56"/>
  <c r="V54"/>
  <c r="V52"/>
  <c r="W47"/>
  <c r="B394" i="66"/>
  <c r="AM93" i="19"/>
  <c r="AM80"/>
  <c r="AM77"/>
  <c r="B311"/>
  <c r="B443"/>
  <c r="K40"/>
  <c r="B169" i="26"/>
  <c r="B200"/>
  <c r="B165"/>
  <c r="I85" i="31"/>
  <c r="I90"/>
  <c r="I103"/>
  <c r="I104"/>
  <c r="I105"/>
  <c r="S109" i="39"/>
  <c r="V109"/>
  <c r="W109"/>
  <c r="V107"/>
  <c r="I117"/>
  <c r="I118"/>
  <c r="J116"/>
  <c r="V116"/>
  <c r="W116"/>
  <c r="D120"/>
  <c r="D119"/>
  <c r="G136"/>
  <c r="D50"/>
  <c r="N38" i="42"/>
  <c r="J38"/>
  <c r="N27"/>
  <c r="J27"/>
  <c r="G60" i="26"/>
  <c r="I558" i="66"/>
  <c r="J70" i="42"/>
  <c r="J64"/>
  <c r="AC43" i="24"/>
  <c r="AB41"/>
  <c r="AC40"/>
  <c r="AB34"/>
  <c r="S104" i="39"/>
  <c r="S112"/>
  <c r="V112"/>
  <c r="W112"/>
  <c r="S96"/>
  <c r="V96"/>
  <c r="W96"/>
  <c r="J105"/>
  <c r="Q120"/>
  <c r="Q21"/>
  <c r="R21"/>
  <c r="S21"/>
  <c r="H21"/>
  <c r="I21"/>
  <c r="I18"/>
  <c r="L94" i="40"/>
  <c r="M94"/>
  <c r="O38" i="42"/>
  <c r="P38" s="1"/>
  <c r="N33" i="37" s="1"/>
  <c r="L92" i="40"/>
  <c r="M92"/>
  <c r="O36" i="42"/>
  <c r="P36" s="1"/>
  <c r="N31" i="37" s="1"/>
  <c r="N28" i="42"/>
  <c r="J28"/>
  <c r="L125" i="40"/>
  <c r="M125"/>
  <c r="O69" i="42"/>
  <c r="L121" i="40"/>
  <c r="M121"/>
  <c r="O65" i="42"/>
  <c r="P65" s="1"/>
  <c r="N60" i="37" s="1"/>
  <c r="O60" s="1"/>
  <c r="Q60" s="1"/>
  <c r="L120" i="40"/>
  <c r="M120"/>
  <c r="O64" i="42"/>
  <c r="P64" s="1"/>
  <c r="N59" i="37" s="1"/>
  <c r="O59" s="1"/>
  <c r="Q59" s="1"/>
  <c r="E36" i="54" s="1"/>
  <c r="N63" i="42"/>
  <c r="J63"/>
  <c r="N60"/>
  <c r="J60"/>
  <c r="N58"/>
  <c r="J58"/>
  <c r="N56"/>
  <c r="J56"/>
  <c r="L113" i="40"/>
  <c r="M113"/>
  <c r="O57" i="42"/>
  <c r="L111" i="40"/>
  <c r="L105"/>
  <c r="M105"/>
  <c r="O49" i="42"/>
  <c r="N46"/>
  <c r="J46"/>
  <c r="J39" i="37"/>
  <c r="L99" i="40"/>
  <c r="AZ31" i="55"/>
  <c r="AH73" i="56"/>
  <c r="B87" i="55"/>
  <c r="B146"/>
  <c r="B113" i="56"/>
  <c r="B146"/>
  <c r="I682" i="7"/>
  <c r="I80" i="66"/>
  <c r="R60" i="18"/>
  <c r="H238" i="60"/>
  <c r="AD51" i="24"/>
  <c r="AE51"/>
  <c r="AD50"/>
  <c r="AB45"/>
  <c r="AC44"/>
  <c r="AC36"/>
  <c r="AE36"/>
  <c r="AC35"/>
  <c r="AE35"/>
  <c r="G338" i="25"/>
  <c r="I309" i="66"/>
  <c r="G251" i="60"/>
  <c r="N26"/>
  <c r="Y251" i="8"/>
  <c r="Y255"/>
  <c r="B324" i="34"/>
  <c r="C334" s="1"/>
  <c r="N57" i="42"/>
  <c r="N55"/>
  <c r="J55"/>
  <c r="N53"/>
  <c r="J53"/>
  <c r="N51"/>
  <c r="J51"/>
  <c r="J42" i="37"/>
  <c r="J44" i="42"/>
  <c r="B9" i="13"/>
  <c r="B85" i="56"/>
  <c r="AB52" i="24"/>
  <c r="AE52"/>
  <c r="AC48"/>
  <c r="AE48"/>
  <c r="AB47"/>
  <c r="AD44"/>
  <c r="B171" i="26"/>
  <c r="B206"/>
  <c r="J64" i="29"/>
  <c r="G583" i="66"/>
  <c r="G581"/>
  <c r="B409" i="19"/>
  <c r="G337" i="25"/>
  <c r="I308" i="66"/>
  <c r="J44" i="19"/>
  <c r="I374" i="66"/>
  <c r="AC89" i="24"/>
  <c r="B215" i="34"/>
  <c r="B241"/>
  <c r="B268"/>
  <c r="B79" i="60"/>
  <c r="P251" i="8"/>
  <c r="H70" i="13"/>
  <c r="B623" i="66"/>
  <c r="B612"/>
  <c r="E616"/>
  <c r="H484" i="25"/>
  <c r="D41" i="15"/>
  <c r="I481" i="66"/>
  <c r="W138" i="17"/>
  <c r="W136"/>
  <c r="W127"/>
  <c r="L93" i="5"/>
  <c r="B637" i="66"/>
  <c r="AD338" i="8"/>
  <c r="B208" i="26"/>
  <c r="L177" i="56"/>
  <c r="B212" i="64"/>
  <c r="P89" i="24"/>
  <c r="L40" i="15"/>
  <c r="D33"/>
  <c r="I45" i="39"/>
  <c r="G118"/>
  <c r="S143" i="17"/>
  <c r="W143"/>
  <c r="S141"/>
  <c r="W141"/>
  <c r="S140"/>
  <c r="S137"/>
  <c r="W137"/>
  <c r="S133"/>
  <c r="W133"/>
  <c r="S129"/>
  <c r="S128"/>
  <c r="W128"/>
  <c r="S126"/>
  <c r="R139"/>
  <c r="V139"/>
  <c r="R138"/>
  <c r="V138"/>
  <c r="R136"/>
  <c r="R123"/>
  <c r="V123"/>
  <c r="T144"/>
  <c r="T140"/>
  <c r="T137"/>
  <c r="V137"/>
  <c r="T134"/>
  <c r="T131"/>
  <c r="V131"/>
  <c r="T128"/>
  <c r="T124"/>
  <c r="T121"/>
  <c r="L84" i="5"/>
  <c r="U337" i="8"/>
  <c r="AA337"/>
  <c r="B316" i="62"/>
  <c r="I184"/>
  <c r="B89" i="66"/>
  <c r="B92" i="64"/>
  <c r="P96" i="24"/>
  <c r="AB96"/>
  <c r="P94"/>
  <c r="Z91"/>
  <c r="P85"/>
  <c r="Q77"/>
  <c r="R77"/>
  <c r="Y77"/>
  <c r="Z77"/>
  <c r="Q78"/>
  <c r="R78"/>
  <c r="AB78"/>
  <c r="S78"/>
  <c r="T78"/>
  <c r="AC78"/>
  <c r="O79"/>
  <c r="P79"/>
  <c r="AB79"/>
  <c r="U79"/>
  <c r="V79"/>
  <c r="Y79"/>
  <c r="Z79"/>
  <c r="AD79"/>
  <c r="Q80"/>
  <c r="R80"/>
  <c r="S80"/>
  <c r="T80"/>
  <c r="AC80"/>
  <c r="Y80"/>
  <c r="Z80"/>
  <c r="Q81"/>
  <c r="S81"/>
  <c r="T81"/>
  <c r="W81"/>
  <c r="X81"/>
  <c r="O82"/>
  <c r="P82"/>
  <c r="AA82"/>
  <c r="AD82"/>
  <c r="O83"/>
  <c r="P83"/>
  <c r="AA83"/>
  <c r="U83"/>
  <c r="V83"/>
  <c r="W83"/>
  <c r="X83"/>
  <c r="AD83"/>
  <c r="O84"/>
  <c r="P84"/>
  <c r="AA84"/>
  <c r="U84"/>
  <c r="V84"/>
  <c r="Y84"/>
  <c r="Z84"/>
  <c r="Q85"/>
  <c r="R85"/>
  <c r="AB85"/>
  <c r="S85"/>
  <c r="T85"/>
  <c r="U85"/>
  <c r="V85"/>
  <c r="W85"/>
  <c r="X85"/>
  <c r="O86"/>
  <c r="P86"/>
  <c r="AA86"/>
  <c r="U86"/>
  <c r="V86"/>
  <c r="W86"/>
  <c r="X86"/>
  <c r="O87"/>
  <c r="P87"/>
  <c r="AA87"/>
  <c r="U87"/>
  <c r="V87"/>
  <c r="W87"/>
  <c r="X87"/>
  <c r="O88"/>
  <c r="P88"/>
  <c r="AA88"/>
  <c r="U88"/>
  <c r="V88"/>
  <c r="Y88"/>
  <c r="Z88"/>
  <c r="Q89"/>
  <c r="B138"/>
  <c r="J190" i="26"/>
  <c r="G26" i="20"/>
  <c r="G31" s="1"/>
  <c r="G33" s="1"/>
  <c r="M298" i="62"/>
  <c r="B27" i="20"/>
  <c r="T268" i="23"/>
  <c r="B521" i="7"/>
  <c r="Y354" i="10"/>
  <c r="B71" i="66"/>
  <c r="B136" i="24"/>
  <c r="B426" i="66"/>
  <c r="B366" i="19"/>
  <c r="B558" i="25"/>
  <c r="J123" i="26"/>
  <c r="I348" i="66"/>
  <c r="K294" i="62"/>
  <c r="B204" i="26"/>
  <c r="B264" i="25"/>
  <c r="B266"/>
  <c r="E300" i="66"/>
  <c r="B226" i="25"/>
  <c r="B315"/>
  <c r="B268"/>
  <c r="H234"/>
  <c r="B211"/>
  <c r="B588"/>
  <c r="H55" i="41"/>
  <c r="J64"/>
  <c r="E52" i="11"/>
  <c r="G52"/>
  <c r="O53"/>
  <c r="N53"/>
  <c r="J23" i="23"/>
  <c r="I462" i="66"/>
  <c r="L54" i="60"/>
  <c r="L55" s="1"/>
  <c r="R51"/>
  <c r="AA51" s="1"/>
  <c r="AJ51" s="1"/>
  <c r="AS51" s="1"/>
  <c r="BB51" s="1"/>
  <c r="BK51" s="1"/>
  <c r="BT51" s="1"/>
  <c r="L263" i="18"/>
  <c r="I245" i="66"/>
  <c r="H211" i="64"/>
  <c r="I87" i="66"/>
  <c r="E150" i="30"/>
  <c r="G150"/>
  <c r="J67"/>
  <c r="F149"/>
  <c r="G152"/>
  <c r="F151"/>
  <c r="G151"/>
  <c r="E149"/>
  <c r="B28"/>
  <c r="G149"/>
  <c r="E146"/>
  <c r="E152"/>
  <c r="F152"/>
  <c r="F150"/>
  <c r="F148"/>
  <c r="I70"/>
  <c r="E148"/>
  <c r="J109" i="6"/>
  <c r="AQ379" i="9"/>
  <c r="BK245"/>
  <c r="BK249"/>
  <c r="Y246"/>
  <c r="Y250" s="1"/>
  <c r="AC244"/>
  <c r="AB244"/>
  <c r="AB299" s="1"/>
  <c r="P478"/>
  <c r="B459"/>
  <c r="B962"/>
  <c r="P526"/>
  <c r="P522"/>
  <c r="P243"/>
  <c r="Y237"/>
  <c r="B148"/>
  <c r="BN245"/>
  <c r="BN249"/>
  <c r="BA249"/>
  <c r="B333"/>
  <c r="AH61" i="56"/>
  <c r="AF61"/>
  <c r="P530" i="9"/>
  <c r="P510"/>
  <c r="P60"/>
  <c r="B166"/>
  <c r="BM245"/>
  <c r="BM249"/>
  <c r="B963"/>
  <c r="B914"/>
  <c r="P470"/>
  <c r="B367"/>
  <c r="Y60"/>
  <c r="AD242"/>
  <c r="G163" i="55"/>
  <c r="P144" i="8"/>
  <c r="E101"/>
  <c r="BK244"/>
  <c r="H322" i="34"/>
  <c r="AQ348" i="8"/>
  <c r="AA251"/>
  <c r="AA255"/>
  <c r="D324" i="34"/>
  <c r="G334" s="1"/>
  <c r="AQ31" i="56"/>
  <c r="AH89" i="8"/>
  <c r="AZ144"/>
  <c r="Y89"/>
  <c r="B912"/>
  <c r="AQ412"/>
  <c r="AQ89"/>
  <c r="D322" i="34"/>
  <c r="K62" i="55"/>
  <c r="K63" s="1"/>
  <c r="B914" i="8"/>
  <c r="P31" i="56"/>
  <c r="AZ60" i="8"/>
  <c r="AH60"/>
  <c r="E53" i="6"/>
  <c r="B900" i="8"/>
  <c r="V242"/>
  <c r="Y60"/>
  <c r="P59" i="55"/>
  <c r="Y59" s="1"/>
  <c r="AH59" s="1"/>
  <c r="AQ59" s="1"/>
  <c r="AZ59" s="1"/>
  <c r="BI59" s="1"/>
  <c r="BF248" i="8"/>
  <c r="BI89"/>
  <c r="B466"/>
  <c r="AQ410"/>
  <c r="V251"/>
  <c r="V255"/>
  <c r="R251"/>
  <c r="B247" i="26"/>
  <c r="BM245" i="8"/>
  <c r="BM249"/>
  <c r="AC251"/>
  <c r="AC255"/>
  <c r="F324" i="34"/>
  <c r="E334" s="1"/>
  <c r="Y237" i="8"/>
  <c r="Y31" i="55"/>
  <c r="B95" i="60"/>
  <c r="U251" i="8"/>
  <c r="U255"/>
  <c r="B372" i="34"/>
  <c r="I528" i="18"/>
  <c r="J111" i="6"/>
  <c r="J75"/>
  <c r="E54"/>
  <c r="B95"/>
  <c r="E323" i="34"/>
  <c r="J147" i="55"/>
  <c r="J175" s="1"/>
  <c r="W52" i="60"/>
  <c r="AF52" s="1"/>
  <c r="AO52" s="1"/>
  <c r="AX52" s="1"/>
  <c r="BG52" s="1"/>
  <c r="BP52" s="1"/>
  <c r="BY52" s="1"/>
  <c r="K54"/>
  <c r="K55" s="1"/>
  <c r="S61" i="55"/>
  <c r="AB61" s="1"/>
  <c r="AK61" s="1"/>
  <c r="AT61" s="1"/>
  <c r="BC61" s="1"/>
  <c r="BL61" s="1"/>
  <c r="S191" i="28"/>
  <c r="I389" i="7"/>
  <c r="G396"/>
  <c r="H358"/>
  <c r="I358"/>
  <c r="I399"/>
  <c r="H389"/>
  <c r="H357"/>
  <c r="I357"/>
  <c r="I398"/>
  <c r="G389"/>
  <c r="G399"/>
  <c r="H356"/>
  <c r="I356"/>
  <c r="I397"/>
  <c r="H355"/>
  <c r="I355"/>
  <c r="I396"/>
  <c r="B451"/>
  <c r="S175" i="28"/>
  <c r="I352" i="34"/>
  <c r="H62" i="56"/>
  <c r="H63" s="1"/>
  <c r="S108" i="28"/>
  <c r="Q60" i="56"/>
  <c r="Z60" s="1"/>
  <c r="AI60" s="1"/>
  <c r="AR60" s="1"/>
  <c r="BA60" s="1"/>
  <c r="BJ60" s="1"/>
  <c r="I62" i="55"/>
  <c r="I63" s="1"/>
  <c r="G146" i="60"/>
  <c r="I146" i="55"/>
  <c r="D153" s="1"/>
  <c r="B26" i="57" s="1"/>
  <c r="B93" s="1"/>
  <c r="Q60" i="55"/>
  <c r="Z60" s="1"/>
  <c r="AI60" s="1"/>
  <c r="AR60" s="1"/>
  <c r="BA60" s="1"/>
  <c r="BJ60" s="1"/>
  <c r="E146"/>
  <c r="R59"/>
  <c r="AA59" s="1"/>
  <c r="AJ59" s="1"/>
  <c r="AS59" s="1"/>
  <c r="BB59" s="1"/>
  <c r="BK59" s="1"/>
  <c r="E163"/>
  <c r="F163" i="56"/>
  <c r="S59"/>
  <c r="AB59" s="1"/>
  <c r="AK59" s="1"/>
  <c r="AT59" s="1"/>
  <c r="BC59" s="1"/>
  <c r="BL59" s="1"/>
  <c r="I662" i="7"/>
  <c r="L504"/>
  <c r="L506"/>
  <c r="N61" i="55"/>
  <c r="W61" s="1"/>
  <c r="AF61" s="1"/>
  <c r="AO61" s="1"/>
  <c r="AX61" s="1"/>
  <c r="BG61" s="1"/>
  <c r="BP61" s="1"/>
  <c r="H146" i="60"/>
  <c r="V59" i="55"/>
  <c r="AE59" s="1"/>
  <c r="AN59" s="1"/>
  <c r="AW59" s="1"/>
  <c r="BF59" s="1"/>
  <c r="BO59" s="1"/>
  <c r="S184" i="28"/>
  <c r="L352" i="34"/>
  <c r="V51" i="60"/>
  <c r="AE51" s="1"/>
  <c r="AN51" s="1"/>
  <c r="AW51" s="1"/>
  <c r="BF51" s="1"/>
  <c r="BO51" s="1"/>
  <c r="BX51" s="1"/>
  <c r="G37" i="54"/>
  <c r="B447" i="7"/>
  <c r="B460"/>
  <c r="B454"/>
  <c r="B466"/>
  <c r="I613"/>
  <c r="I616"/>
  <c r="I619"/>
  <c r="B168"/>
  <c r="I645"/>
  <c r="B432"/>
  <c r="B530"/>
  <c r="B428"/>
  <c r="B434"/>
  <c r="L497"/>
  <c r="L500" s="1"/>
  <c r="B436"/>
  <c r="B167"/>
  <c r="B233" i="26"/>
  <c r="B235"/>
  <c r="I221"/>
  <c r="H221"/>
  <c r="B237"/>
  <c r="B184"/>
  <c r="I185"/>
  <c r="H185"/>
  <c r="G35" i="54"/>
  <c r="G28"/>
  <c r="B151" i="26"/>
  <c r="B153"/>
  <c r="H139"/>
  <c r="G96"/>
  <c r="D112"/>
  <c r="J90"/>
  <c r="J96"/>
  <c r="B129"/>
  <c r="D135"/>
  <c r="G34" i="54"/>
  <c r="J159" i="30"/>
  <c r="B175" i="23"/>
  <c r="B178" i="62"/>
  <c r="B276"/>
  <c r="S199" i="28"/>
  <c r="S132"/>
  <c r="J146" i="60"/>
  <c r="S186" i="28"/>
  <c r="S114"/>
  <c r="V61" i="55"/>
  <c r="AE61" s="1"/>
  <c r="AN61" s="1"/>
  <c r="AW61" s="1"/>
  <c r="BF61" s="1"/>
  <c r="BO61" s="1"/>
  <c r="S200" i="28"/>
  <c r="AA267" i="19"/>
  <c r="S109" i="28"/>
  <c r="S123"/>
  <c r="R60" i="56"/>
  <c r="AA60" s="1"/>
  <c r="AJ60" s="1"/>
  <c r="AS60" s="1"/>
  <c r="BB60" s="1"/>
  <c r="BK60" s="1"/>
  <c r="G174" i="55"/>
  <c r="D179" s="1"/>
  <c r="S151" i="28"/>
  <c r="S152"/>
  <c r="S115"/>
  <c r="S59" i="55"/>
  <c r="AB59" s="1"/>
  <c r="AK59" s="1"/>
  <c r="AT59" s="1"/>
  <c r="BC59" s="1"/>
  <c r="BL59" s="1"/>
  <c r="S157" i="28"/>
  <c r="S195"/>
  <c r="V60" i="55"/>
  <c r="AE60" s="1"/>
  <c r="AN60" s="1"/>
  <c r="AW60" s="1"/>
  <c r="BF60" s="1"/>
  <c r="BO60" s="1"/>
  <c r="Q59" i="56"/>
  <c r="Z59" s="1"/>
  <c r="AI59" s="1"/>
  <c r="AR59" s="1"/>
  <c r="BA59" s="1"/>
  <c r="BJ59" s="1"/>
  <c r="S139" i="28"/>
  <c r="S161"/>
  <c r="V52" i="60"/>
  <c r="AE52" s="1"/>
  <c r="AN52" s="1"/>
  <c r="AW52" s="1"/>
  <c r="BF52" s="1"/>
  <c r="BO52" s="1"/>
  <c r="BX52" s="1"/>
  <c r="U59" i="55"/>
  <c r="AD59" s="1"/>
  <c r="AM59" s="1"/>
  <c r="AV59" s="1"/>
  <c r="BE59" s="1"/>
  <c r="BN59" s="1"/>
  <c r="I146" i="60"/>
  <c r="S118" i="28"/>
  <c r="C322" i="34"/>
  <c r="H146" i="56"/>
  <c r="G54" i="60"/>
  <c r="G55" s="1"/>
  <c r="E146" i="56"/>
  <c r="J54" i="60"/>
  <c r="J55" s="1"/>
  <c r="K351" i="34"/>
  <c r="H147" i="60"/>
  <c r="P338" i="8"/>
  <c r="S197" i="28"/>
  <c r="S130"/>
  <c r="F146" i="55"/>
  <c r="S159" i="28"/>
  <c r="G351" i="34"/>
  <c r="S155" i="28"/>
  <c r="Q61" i="55"/>
  <c r="Z61" s="1"/>
  <c r="AI61" s="1"/>
  <c r="AR61" s="1"/>
  <c r="BA61" s="1"/>
  <c r="BJ61" s="1"/>
  <c r="G36" i="54"/>
  <c r="AM95" i="19"/>
  <c r="B370"/>
  <c r="AJ267"/>
  <c r="AJ275" s="1"/>
  <c r="AA271"/>
  <c r="B208"/>
  <c r="AM135"/>
  <c r="AM137" s="1"/>
  <c r="B361"/>
  <c r="B29"/>
  <c r="AM91"/>
  <c r="AM82"/>
  <c r="B315"/>
  <c r="B417"/>
  <c r="B421"/>
  <c r="I124" i="24"/>
  <c r="I121"/>
  <c r="AE47"/>
  <c r="AD77"/>
  <c r="AC79"/>
  <c r="T97"/>
  <c r="G70" i="60"/>
  <c r="B751" i="9"/>
  <c r="B466"/>
  <c r="P457"/>
  <c r="V86" i="17"/>
  <c r="T109"/>
  <c r="N43" i="32"/>
  <c r="E31"/>
  <c r="N31"/>
  <c r="H105" i="8"/>
  <c r="H81" i="26"/>
  <c r="L72"/>
  <c r="L75" s="1"/>
  <c r="Z242" i="9"/>
  <c r="P478" i="8"/>
  <c r="U53" i="11"/>
  <c r="V53"/>
  <c r="W53"/>
  <c r="I530" i="18"/>
  <c r="B259" i="19"/>
  <c r="B185" i="8"/>
  <c r="J110" i="39"/>
  <c r="V110"/>
  <c r="W110"/>
  <c r="J103"/>
  <c r="V103"/>
  <c r="F117"/>
  <c r="L103" i="40"/>
  <c r="M103"/>
  <c r="O47" i="42"/>
  <c r="P47" s="1"/>
  <c r="N42" i="37" s="1"/>
  <c r="Q28" i="60"/>
  <c r="BA28"/>
  <c r="AR28"/>
  <c r="AI28"/>
  <c r="Z28"/>
  <c r="BJ28"/>
  <c r="AD248" i="8"/>
  <c r="BE244"/>
  <c r="H73" i="34"/>
  <c r="H77"/>
  <c r="I73"/>
  <c r="K39" i="37"/>
  <c r="L38"/>
  <c r="G130" i="39"/>
  <c r="B559" i="8"/>
  <c r="P510"/>
  <c r="B518"/>
  <c r="B510"/>
  <c r="AQ459"/>
  <c r="P459"/>
  <c r="B898" i="9"/>
  <c r="I531" i="18"/>
  <c r="J531"/>
  <c r="J111" i="39"/>
  <c r="V111"/>
  <c r="W111"/>
  <c r="J104"/>
  <c r="V104"/>
  <c r="W104"/>
  <c r="Q119"/>
  <c r="R89"/>
  <c r="S83"/>
  <c r="R90"/>
  <c r="R91"/>
  <c r="M108" i="40"/>
  <c r="O52" i="42"/>
  <c r="P52" s="1"/>
  <c r="N47" i="37" s="1"/>
  <c r="M153" i="60"/>
  <c r="L153"/>
  <c r="K153"/>
  <c r="J153"/>
  <c r="AD249" i="8"/>
  <c r="BE245"/>
  <c r="AB248"/>
  <c r="AB251"/>
  <c r="AB255"/>
  <c r="E324" i="34"/>
  <c r="BC244" i="8"/>
  <c r="J65" i="41"/>
  <c r="M34" i="60"/>
  <c r="L31" i="13"/>
  <c r="M39" i="55"/>
  <c r="S134" i="17"/>
  <c r="W134"/>
  <c r="P134"/>
  <c r="S130"/>
  <c r="P130"/>
  <c r="L146"/>
  <c r="R133"/>
  <c r="V133"/>
  <c r="H133"/>
  <c r="R124"/>
  <c r="V124"/>
  <c r="H124"/>
  <c r="AE45" i="24"/>
  <c r="G127" i="34"/>
  <c r="G129" s="1"/>
  <c r="G78" i="55"/>
  <c r="U85" i="34"/>
  <c r="L118" i="5"/>
  <c r="T72" i="17"/>
  <c r="M55" i="11" a="1"/>
  <c r="AL338" i="8"/>
  <c r="BC337"/>
  <c r="BJ337"/>
  <c r="R337"/>
  <c r="AD244" i="9"/>
  <c r="BE244" s="1"/>
  <c r="Z251" i="8"/>
  <c r="Z255"/>
  <c r="C324" i="34"/>
  <c r="P237" i="8"/>
  <c r="M78" i="55"/>
  <c r="BU76" i="60"/>
  <c r="BV85"/>
  <c r="AC242" i="9"/>
  <c r="B464"/>
  <c r="D72" i="13"/>
  <c r="W107" i="39"/>
  <c r="N45" i="42"/>
  <c r="J45"/>
  <c r="K70" i="60"/>
  <c r="K78" i="55"/>
  <c r="U83" i="34"/>
  <c r="U93"/>
  <c r="U98"/>
  <c r="U88"/>
  <c r="U87"/>
  <c r="U92"/>
  <c r="U97"/>
  <c r="U95"/>
  <c r="U89"/>
  <c r="AB77" i="24"/>
  <c r="BJ245" i="8"/>
  <c r="BJ249"/>
  <c r="N54" i="11"/>
  <c r="M54"/>
  <c r="O54"/>
  <c r="B433" i="19"/>
  <c r="J65" i="37"/>
  <c r="AA242" i="9"/>
  <c r="Y242"/>
  <c r="M418"/>
  <c r="M390"/>
  <c r="B426"/>
  <c r="B422"/>
  <c r="G109" i="34"/>
  <c r="I105"/>
  <c r="B201" i="25"/>
  <c r="U338" i="8"/>
  <c r="BB337"/>
  <c r="BD338"/>
  <c r="BE337"/>
  <c r="BO337"/>
  <c r="BD337"/>
  <c r="AK337"/>
  <c r="AI337"/>
  <c r="AC338"/>
  <c r="BI337"/>
  <c r="S338"/>
  <c r="AH338"/>
  <c r="AD337"/>
  <c r="AM338"/>
  <c r="BO338"/>
  <c r="AM337"/>
  <c r="AL337"/>
  <c r="Z337"/>
  <c r="BK337"/>
  <c r="U267" i="19"/>
  <c r="BJ338" i="8"/>
  <c r="B703"/>
  <c r="BI244"/>
  <c r="B166"/>
  <c r="AQ420"/>
  <c r="B518" i="9"/>
  <c r="B559"/>
  <c r="W56" i="17"/>
  <c r="S72"/>
  <c r="J114" i="39"/>
  <c r="V114"/>
  <c r="W114"/>
  <c r="P255" i="8"/>
  <c r="T255"/>
  <c r="S255"/>
  <c r="L78" i="55"/>
  <c r="L70" i="60"/>
  <c r="B901" i="8"/>
  <c r="AV378"/>
  <c r="B30" i="10"/>
  <c r="B354" i="34"/>
  <c r="B191" i="8"/>
  <c r="B149" i="60"/>
  <c r="N23" i="32"/>
  <c r="E22"/>
  <c r="N22"/>
  <c r="S85" i="39"/>
  <c r="V85"/>
  <c r="W85"/>
  <c r="AD40" i="24"/>
  <c r="AE40"/>
  <c r="X54"/>
  <c r="AD34"/>
  <c r="Z54"/>
  <c r="V54"/>
  <c r="AC34"/>
  <c r="AC54"/>
  <c r="B392" i="9"/>
  <c r="B396"/>
  <c r="P474"/>
  <c r="Z244"/>
  <c r="AA246"/>
  <c r="AA250" s="1"/>
  <c r="AA244"/>
  <c r="AB246"/>
  <c r="AB250" s="1"/>
  <c r="Y244"/>
  <c r="Y299" s="1"/>
  <c r="AC246"/>
  <c r="AC250" s="1"/>
  <c r="Z246"/>
  <c r="Z250"/>
  <c r="AD246"/>
  <c r="AD250" s="1"/>
  <c r="H121" i="17"/>
  <c r="D146"/>
  <c r="R121"/>
  <c r="T130"/>
  <c r="V130"/>
  <c r="H130"/>
  <c r="F146"/>
  <c r="H146"/>
  <c r="D55" i="15"/>
  <c r="O120" i="39"/>
  <c r="O119"/>
  <c r="B369" i="9"/>
  <c r="AB242"/>
  <c r="E55" i="11" a="1"/>
  <c r="AE251" i="8"/>
  <c r="BM338"/>
  <c r="AJ271" i="19"/>
  <c r="AJ277" s="1"/>
  <c r="BA338" i="8"/>
  <c r="AJ337"/>
  <c r="T337"/>
  <c r="H69" i="34"/>
  <c r="U94"/>
  <c r="AQ459" i="9"/>
  <c r="U86" i="34"/>
  <c r="U84"/>
  <c r="B445" i="19"/>
  <c r="W103" i="39"/>
  <c r="R109" i="17"/>
  <c r="S109"/>
  <c r="W109"/>
  <c r="AE44" i="24"/>
  <c r="AE43"/>
  <c r="AE41"/>
  <c r="R54"/>
  <c r="P54"/>
  <c r="AQ363" i="8"/>
  <c r="AX330"/>
  <c r="AQ331"/>
  <c r="BA248"/>
  <c r="E53" i="11"/>
  <c r="F53"/>
  <c r="W51" i="17"/>
  <c r="U72"/>
  <c r="W72"/>
  <c r="B400" i="19"/>
  <c r="AM96"/>
  <c r="AM84"/>
  <c r="AM89"/>
  <c r="AM88"/>
  <c r="AM76"/>
  <c r="AM74"/>
  <c r="AM87"/>
  <c r="AM92"/>
  <c r="AM83"/>
  <c r="B60" i="27"/>
  <c r="AQ123" i="8"/>
  <c r="B396"/>
  <c r="R94" i="39"/>
  <c r="R118"/>
  <c r="S93"/>
  <c r="S94"/>
  <c r="F45"/>
  <c r="G50"/>
  <c r="F49"/>
  <c r="F46"/>
  <c r="R20"/>
  <c r="U20"/>
  <c r="V20"/>
  <c r="BI31" i="55"/>
  <c r="BI31" i="56"/>
  <c r="N560" i="19"/>
  <c r="I436" i="66" s="1"/>
  <c r="N550" i="19"/>
  <c r="B167" i="60"/>
  <c r="B156"/>
  <c r="F185" i="30"/>
  <c r="F187"/>
  <c r="J153"/>
  <c r="J155"/>
  <c r="J156" s="1"/>
  <c r="BX83" i="60"/>
  <c r="BT84"/>
  <c r="BT83"/>
  <c r="BW84"/>
  <c r="BS84"/>
  <c r="BX84"/>
  <c r="I97" i="24"/>
  <c r="K89"/>
  <c r="K97"/>
  <c r="S124" i="17"/>
  <c r="I124"/>
  <c r="E146"/>
  <c r="I146"/>
  <c r="U131"/>
  <c r="W131"/>
  <c r="I131"/>
  <c r="U129"/>
  <c r="W129"/>
  <c r="I129"/>
  <c r="V97" i="24"/>
  <c r="V93" i="39"/>
  <c r="I48"/>
  <c r="P470" i="8"/>
  <c r="AM90" i="19"/>
  <c r="W108" i="39"/>
  <c r="S95"/>
  <c r="S100"/>
  <c r="V87"/>
  <c r="W87"/>
  <c r="N20" i="42"/>
  <c r="J20"/>
  <c r="J64" i="37"/>
  <c r="N69" i="42"/>
  <c r="J69"/>
  <c r="J57"/>
  <c r="G153" i="60"/>
  <c r="V95" i="39"/>
  <c r="J100"/>
  <c r="J32" i="34"/>
  <c r="S105" i="39"/>
  <c r="S84"/>
  <c r="R88"/>
  <c r="I30"/>
  <c r="F31"/>
  <c r="S18"/>
  <c r="K66" i="42"/>
  <c r="N66"/>
  <c r="F66"/>
  <c r="B338" i="19"/>
  <c r="B325"/>
  <c r="I67" i="13"/>
  <c r="N89" i="24"/>
  <c r="N97"/>
  <c r="R89"/>
  <c r="AB89"/>
  <c r="U126" i="17"/>
  <c r="W126"/>
  <c r="N146"/>
  <c r="P146"/>
  <c r="R134"/>
  <c r="V134"/>
  <c r="O134"/>
  <c r="S90" i="34"/>
  <c r="S99" s="1"/>
  <c r="R99"/>
  <c r="G77"/>
  <c r="U90"/>
  <c r="AB80" i="24"/>
  <c r="I47" i="39"/>
  <c r="I50" s="1"/>
  <c r="BU85" i="60"/>
  <c r="P522" i="8"/>
  <c r="AQ10"/>
  <c r="M52" i="11"/>
  <c r="AM85" i="19"/>
  <c r="O89" i="39"/>
  <c r="N32" i="42"/>
  <c r="J32"/>
  <c r="N16"/>
  <c r="J16"/>
  <c r="N54"/>
  <c r="J54"/>
  <c r="AB50" i="24"/>
  <c r="AE50"/>
  <c r="T54"/>
  <c r="Z96"/>
  <c r="AZ249" i="9"/>
  <c r="BI245"/>
  <c r="BI249"/>
  <c r="B127" i="56"/>
  <c r="B127" i="55"/>
  <c r="B426" i="8"/>
  <c r="B118" i="60"/>
  <c r="U144" i="17"/>
  <c r="W144"/>
  <c r="I144"/>
  <c r="U140"/>
  <c r="W140"/>
  <c r="I140"/>
  <c r="U135"/>
  <c r="W135"/>
  <c r="I135"/>
  <c r="I125"/>
  <c r="U125"/>
  <c r="W125"/>
  <c r="R140"/>
  <c r="V140"/>
  <c r="H140"/>
  <c r="R128"/>
  <c r="V128"/>
  <c r="H128"/>
  <c r="T132"/>
  <c r="V132"/>
  <c r="M146"/>
  <c r="O146"/>
  <c r="F148" i="24"/>
  <c r="B146"/>
  <c r="S97" i="34"/>
  <c r="V87" i="17"/>
  <c r="R72"/>
  <c r="S106" i="39"/>
  <c r="V106"/>
  <c r="W106"/>
  <c r="J101"/>
  <c r="N42" i="42"/>
  <c r="J42"/>
  <c r="N67"/>
  <c r="J67"/>
  <c r="L115" i="40"/>
  <c r="L107"/>
  <c r="M107"/>
  <c r="O51" i="42"/>
  <c r="P51" s="1"/>
  <c r="N46" i="37" s="1"/>
  <c r="N49" i="42"/>
  <c r="J49"/>
  <c r="H63" i="13"/>
  <c r="I68"/>
  <c r="J68"/>
  <c r="I59"/>
  <c r="J59"/>
  <c r="AC92" i="24"/>
  <c r="AC90"/>
  <c r="AC86"/>
  <c r="R81"/>
  <c r="F32" i="15"/>
  <c r="F38"/>
  <c r="F44"/>
  <c r="F50"/>
  <c r="B431" i="19"/>
  <c r="L129"/>
  <c r="F88" i="39"/>
  <c r="J86"/>
  <c r="L104" i="40"/>
  <c r="J97" i="29"/>
  <c r="I423" i="66"/>
  <c r="I97" i="29"/>
  <c r="H423" i="66"/>
  <c r="B61" i="60"/>
  <c r="B154"/>
  <c r="S132" i="17"/>
  <c r="W132"/>
  <c r="I132"/>
  <c r="R144"/>
  <c r="V144"/>
  <c r="H144"/>
  <c r="T141"/>
  <c r="V141"/>
  <c r="H141"/>
  <c r="T136"/>
  <c r="V136"/>
  <c r="H136"/>
  <c r="T125"/>
  <c r="V125"/>
  <c r="H125"/>
  <c r="H193" i="15"/>
  <c r="N39" i="42"/>
  <c r="J39"/>
  <c r="N59"/>
  <c r="J59"/>
  <c r="J40" i="37"/>
  <c r="N298" i="62"/>
  <c r="N48" i="42"/>
  <c r="J48"/>
  <c r="N43"/>
  <c r="J43"/>
  <c r="AQ410" i="9"/>
  <c r="I153" i="60"/>
  <c r="I60" i="13"/>
  <c r="J60"/>
  <c r="L97" i="24"/>
  <c r="P92"/>
  <c r="L102" i="40"/>
  <c r="AD53" i="24"/>
  <c r="AE53"/>
  <c r="B67" i="60"/>
  <c r="B208"/>
  <c r="U130" i="17"/>
  <c r="W130"/>
  <c r="U121"/>
  <c r="R129"/>
  <c r="V129"/>
  <c r="AC93" i="24"/>
  <c r="AC88"/>
  <c r="Z87"/>
  <c r="AD87"/>
  <c r="AC84"/>
  <c r="AC81"/>
  <c r="B137"/>
  <c r="L296" i="62"/>
  <c r="L294"/>
  <c r="AI135" i="19"/>
  <c r="AI137" s="1"/>
  <c r="AG135"/>
  <c r="AG137" s="1"/>
  <c r="R135"/>
  <c r="P266" i="23"/>
  <c r="Q266"/>
  <c r="B293" i="62"/>
  <c r="S153" i="28"/>
  <c r="O53" i="60"/>
  <c r="X53"/>
  <c r="AG53" s="1"/>
  <c r="AP53" s="1"/>
  <c r="AY53" s="1"/>
  <c r="BH53" s="1"/>
  <c r="BQ53" s="1"/>
  <c r="BZ53" s="1"/>
  <c r="L300" i="62"/>
  <c r="J45" i="4"/>
  <c r="R84" s="1"/>
  <c r="N292" i="62"/>
  <c r="T266" i="23"/>
  <c r="U266" s="1"/>
  <c r="K252"/>
  <c r="P252"/>
  <c r="Q252" s="1"/>
  <c r="T260"/>
  <c r="U260" s="1"/>
  <c r="K251"/>
  <c r="P251"/>
  <c r="Q251" s="1"/>
  <c r="P265"/>
  <c r="Q265" s="1"/>
  <c r="K265"/>
  <c r="K257"/>
  <c r="I220"/>
  <c r="P255"/>
  <c r="Q255" s="1"/>
  <c r="P261"/>
  <c r="Q261" s="1"/>
  <c r="K261"/>
  <c r="P256"/>
  <c r="Q256" s="1"/>
  <c r="K256"/>
  <c r="P264"/>
  <c r="Q264" s="1"/>
  <c r="K264"/>
  <c r="K259"/>
  <c r="P259"/>
  <c r="Q259" s="1"/>
  <c r="K263"/>
  <c r="P263"/>
  <c r="Q263" s="1"/>
  <c r="P262"/>
  <c r="Q262" s="1"/>
  <c r="K262"/>
  <c r="K267"/>
  <c r="P267"/>
  <c r="Q267" s="1"/>
  <c r="P260"/>
  <c r="Q260" s="1"/>
  <c r="K260"/>
  <c r="K253"/>
  <c r="P253"/>
  <c r="Q253" s="1"/>
  <c r="K268"/>
  <c r="P268"/>
  <c r="Q268" s="1"/>
  <c r="P258"/>
  <c r="Q258" s="1"/>
  <c r="K258"/>
  <c r="K249"/>
  <c r="K254"/>
  <c r="K250"/>
  <c r="K266"/>
  <c r="BF261" i="8"/>
  <c r="W58" i="20"/>
  <c r="J44" i="4"/>
  <c r="R83" s="1"/>
  <c r="B17"/>
  <c r="V58" i="20"/>
  <c r="L58"/>
  <c r="J58"/>
  <c r="AF58"/>
  <c r="M58"/>
  <c r="AG58"/>
  <c r="P58"/>
  <c r="R58"/>
  <c r="S58"/>
  <c r="K58"/>
  <c r="AB58"/>
  <c r="I174" i="7"/>
  <c r="N58" i="20"/>
  <c r="O58"/>
  <c r="Y58"/>
  <c r="AE58"/>
  <c r="Q58"/>
  <c r="AC58"/>
  <c r="AA58"/>
  <c r="I44" i="15"/>
  <c r="X58" i="20"/>
  <c r="Z58"/>
  <c r="U58"/>
  <c r="AD58"/>
  <c r="T58"/>
  <c r="I147" i="60"/>
  <c r="X267" i="19"/>
  <c r="AL271"/>
  <c r="AN384"/>
  <c r="H352" i="34"/>
  <c r="C323"/>
  <c r="F323"/>
  <c r="S264" i="8"/>
  <c r="S96" i="34"/>
  <c r="J529" i="18"/>
  <c r="I529"/>
  <c r="I532" s="1"/>
  <c r="C25" i="57"/>
  <c r="C92" s="1"/>
  <c r="S60" i="55"/>
  <c r="AB60" s="1"/>
  <c r="AK60" s="1"/>
  <c r="AT60" s="1"/>
  <c r="BC60" s="1"/>
  <c r="BL60" s="1"/>
  <c r="M352" i="34"/>
  <c r="S138" i="28"/>
  <c r="C187" i="27"/>
  <c r="C219"/>
  <c r="C190"/>
  <c r="C165"/>
  <c r="C202"/>
  <c r="C222"/>
  <c r="C171"/>
  <c r="C150"/>
  <c r="C156"/>
  <c r="C151"/>
  <c r="C163"/>
  <c r="C183"/>
  <c r="C207"/>
  <c r="C197"/>
  <c r="C173"/>
  <c r="C178"/>
  <c r="C215"/>
  <c r="C161"/>
  <c r="S173" i="28"/>
  <c r="J101" i="41"/>
  <c r="J49" i="67"/>
  <c r="J107" i="41"/>
  <c r="J108"/>
  <c r="J63"/>
  <c r="J48" i="67"/>
  <c r="J53" s="1"/>
  <c r="J71" i="41"/>
  <c r="J70"/>
  <c r="G65"/>
  <c r="I598" i="66"/>
  <c r="I51" i="30"/>
  <c r="I54" s="1"/>
  <c r="BB244" i="9"/>
  <c r="AA306"/>
  <c r="AA299"/>
  <c r="T299"/>
  <c r="S248"/>
  <c r="S306"/>
  <c r="S299"/>
  <c r="U248"/>
  <c r="U251" s="1"/>
  <c r="U255" s="1"/>
  <c r="U306"/>
  <c r="U299"/>
  <c r="R248"/>
  <c r="R251" s="1"/>
  <c r="R255" s="1"/>
  <c r="R306"/>
  <c r="R299"/>
  <c r="Z299"/>
  <c r="AD299"/>
  <c r="BD244"/>
  <c r="AC306"/>
  <c r="AC299"/>
  <c r="BC244"/>
  <c r="AB306"/>
  <c r="P248"/>
  <c r="P251" s="1"/>
  <c r="BC299" i="8"/>
  <c r="BC306"/>
  <c r="BO248"/>
  <c r="BO251"/>
  <c r="BO255"/>
  <c r="BO299"/>
  <c r="BO306"/>
  <c r="BD299"/>
  <c r="BD306"/>
  <c r="BM248"/>
  <c r="BM299"/>
  <c r="BM306"/>
  <c r="BI248"/>
  <c r="BI299"/>
  <c r="BI306"/>
  <c r="BE306"/>
  <c r="BE299"/>
  <c r="BK248"/>
  <c r="BK299"/>
  <c r="BK306"/>
  <c r="BJ244"/>
  <c r="BA306"/>
  <c r="BA299"/>
  <c r="AZ248"/>
  <c r="AZ299"/>
  <c r="AZ306"/>
  <c r="BB248"/>
  <c r="BB299"/>
  <c r="BB306"/>
  <c r="B57" i="5"/>
  <c r="B60"/>
  <c r="B64"/>
  <c r="K270" i="23"/>
  <c r="AB92" i="24"/>
  <c r="AD85"/>
  <c r="AB86"/>
  <c r="AB90"/>
  <c r="AE90"/>
  <c r="V127" i="17"/>
  <c r="W123"/>
  <c r="AD96" i="24"/>
  <c r="S20" i="39"/>
  <c r="AB84" i="24"/>
  <c r="AC83"/>
  <c r="AB94"/>
  <c r="AD94"/>
  <c r="J263" i="66"/>
  <c r="BM251" i="8"/>
  <c r="BM255"/>
  <c r="BK251"/>
  <c r="BK255"/>
  <c r="I49" i="55"/>
  <c r="I49" i="56"/>
  <c r="J26" i="43"/>
  <c r="E223" i="18"/>
  <c r="C34" i="54"/>
  <c r="C35"/>
  <c r="P42" i="42"/>
  <c r="N37" i="37" s="1"/>
  <c r="C30" i="54"/>
  <c r="M118" i="40"/>
  <c r="O62" i="42"/>
  <c r="P62" s="1"/>
  <c r="N57" i="37" s="1"/>
  <c r="O57" s="1"/>
  <c r="Q57" s="1"/>
  <c r="C28" i="54"/>
  <c r="G64" i="18"/>
  <c r="T263"/>
  <c r="W263"/>
  <c r="I66"/>
  <c r="I68"/>
  <c r="I64"/>
  <c r="AJ251" i="8"/>
  <c r="AJ255"/>
  <c r="G80" i="64"/>
  <c r="G82"/>
  <c r="F129" s="1"/>
  <c r="U55" i="11"/>
  <c r="W55"/>
  <c r="AE93" i="24"/>
  <c r="AD80"/>
  <c r="AE94"/>
  <c r="S66" i="18"/>
  <c r="S68"/>
  <c r="R62"/>
  <c r="R64"/>
  <c r="N62"/>
  <c r="N66"/>
  <c r="N68"/>
  <c r="I131" i="67"/>
  <c r="I127"/>
  <c r="H131"/>
  <c r="H127"/>
  <c r="H128" s="1"/>
  <c r="P44" i="42"/>
  <c r="N39" i="37" s="1"/>
  <c r="O39" s="1"/>
  <c r="Q39" s="1"/>
  <c r="P56" i="42"/>
  <c r="N51" i="37" s="1"/>
  <c r="O51" s="1"/>
  <c r="Q51" s="1"/>
  <c r="N58"/>
  <c r="P62" i="18"/>
  <c r="P64"/>
  <c r="I299" i="67"/>
  <c r="J292"/>
  <c r="N292" s="1"/>
  <c r="J299"/>
  <c r="N299" s="1"/>
  <c r="H299"/>
  <c r="P252" i="6"/>
  <c r="P249" s="1"/>
  <c r="B275" s="1"/>
  <c r="N991" i="8"/>
  <c r="J48" i="19"/>
  <c r="J49" s="1"/>
  <c r="I164" i="62"/>
  <c r="H164"/>
  <c r="I160"/>
  <c r="F218" i="60"/>
  <c r="J27" i="43"/>
  <c r="J30"/>
  <c r="I203" i="7"/>
  <c r="K173" i="23"/>
  <c r="K172"/>
  <c r="H160" i="62"/>
  <c r="V142" i="17"/>
  <c r="K177" i="23"/>
  <c r="I124" i="39"/>
  <c r="T265" i="23"/>
  <c r="U265" s="1"/>
  <c r="T249"/>
  <c r="T253"/>
  <c r="T263"/>
  <c r="U263" s="1"/>
  <c r="V263" s="1"/>
  <c r="W263" s="1"/>
  <c r="X263" s="1"/>
  <c r="T261"/>
  <c r="T259"/>
  <c r="T250"/>
  <c r="U250" s="1"/>
  <c r="Z250" s="1"/>
  <c r="AA250" s="1"/>
  <c r="AB250" s="1"/>
  <c r="AC250" s="1"/>
  <c r="AD250" s="1"/>
  <c r="T255"/>
  <c r="U255" s="1"/>
  <c r="Z89" i="24"/>
  <c r="X89"/>
  <c r="BX85" i="60"/>
  <c r="AD88" i="24"/>
  <c r="AC85"/>
  <c r="AD84"/>
  <c r="AD81"/>
  <c r="AE78"/>
  <c r="AD91"/>
  <c r="AE96"/>
  <c r="M70" i="60"/>
  <c r="Q62" i="18"/>
  <c r="Q64"/>
  <c r="O62"/>
  <c r="O64"/>
  <c r="BD251" i="8"/>
  <c r="BD255"/>
  <c r="AB91" i="24"/>
  <c r="AC95"/>
  <c r="AE95"/>
  <c r="I16" i="17"/>
  <c r="V126"/>
  <c r="S19" i="39"/>
  <c r="U19"/>
  <c r="V19"/>
  <c r="T257" i="23"/>
  <c r="T256"/>
  <c r="U256" s="1"/>
  <c r="V256" s="1"/>
  <c r="W256" s="1"/>
  <c r="X256" s="1"/>
  <c r="T258"/>
  <c r="U258" s="1"/>
  <c r="T252"/>
  <c r="U252" s="1"/>
  <c r="T267"/>
  <c r="T251"/>
  <c r="U251" s="1"/>
  <c r="T262"/>
  <c r="T264"/>
  <c r="U264" s="1"/>
  <c r="Z264" s="1"/>
  <c r="AA264" s="1"/>
  <c r="AB264" s="1"/>
  <c r="AC264" s="1"/>
  <c r="AD264" s="1"/>
  <c r="T254"/>
  <c r="L62" i="18"/>
  <c r="G68"/>
  <c r="J64"/>
  <c r="J66"/>
  <c r="J68"/>
  <c r="K64"/>
  <c r="K70"/>
  <c r="K79"/>
  <c r="BB249" i="8"/>
  <c r="BB251"/>
  <c r="BB255"/>
  <c r="L31" i="56"/>
  <c r="J77" i="30"/>
  <c r="J79" s="1"/>
  <c r="M303" i="62"/>
  <c r="I35" i="26"/>
  <c r="N48" i="37"/>
  <c r="O48" s="1"/>
  <c r="Q48" s="1"/>
  <c r="E72" i="13"/>
  <c r="H72"/>
  <c r="I741" i="66"/>
  <c r="K69" i="41"/>
  <c r="K107"/>
  <c r="L112"/>
  <c r="AH251" i="8"/>
  <c r="AH255"/>
  <c r="AL251"/>
  <c r="AL255"/>
  <c r="AZ249"/>
  <c r="AZ251"/>
  <c r="AZ255"/>
  <c r="BI245"/>
  <c r="BI249"/>
  <c r="BI251"/>
  <c r="BI255"/>
  <c r="BF251"/>
  <c r="BF255"/>
  <c r="P67" i="42"/>
  <c r="N62" i="37"/>
  <c r="O62" s="1"/>
  <c r="Q62" s="1"/>
  <c r="P45" i="42"/>
  <c r="N40" i="37" s="1"/>
  <c r="O40" s="1"/>
  <c r="Q40" s="1"/>
  <c r="D153" i="56"/>
  <c r="B43" i="57" s="1"/>
  <c r="B105" s="1"/>
  <c r="J174" i="55"/>
  <c r="D182" s="1"/>
  <c r="D195" s="1"/>
  <c r="C36" i="54"/>
  <c r="F36" s="1"/>
  <c r="P54" i="42"/>
  <c r="N49" i="37" s="1"/>
  <c r="C32" i="54"/>
  <c r="M104" i="40"/>
  <c r="O48" i="42"/>
  <c r="P48" s="1"/>
  <c r="N43" i="37" s="1"/>
  <c r="O43" s="1"/>
  <c r="Q43" s="1"/>
  <c r="E28" i="54" s="1"/>
  <c r="C26"/>
  <c r="F27" s="1"/>
  <c r="R465" i="19"/>
  <c r="R475"/>
  <c r="R477" s="1"/>
  <c r="H44" i="23"/>
  <c r="P49" i="42"/>
  <c r="N44" i="37" s="1"/>
  <c r="O44" s="1"/>
  <c r="Q44" s="1"/>
  <c r="S265" i="19"/>
  <c r="AH263"/>
  <c r="AK150"/>
  <c r="AG150"/>
  <c r="AG178" s="1"/>
  <c r="AC150"/>
  <c r="AC178" s="1"/>
  <c r="AC180" s="1"/>
  <c r="Y150"/>
  <c r="Y178" s="1"/>
  <c r="U150"/>
  <c r="U178" s="1"/>
  <c r="U180" s="1"/>
  <c r="Q150"/>
  <c r="AM150"/>
  <c r="AM427" s="1"/>
  <c r="AI150"/>
  <c r="AI178" s="1"/>
  <c r="AE150"/>
  <c r="AA150"/>
  <c r="W150"/>
  <c r="S150"/>
  <c r="S178" s="1"/>
  <c r="S180" s="1"/>
  <c r="AL150"/>
  <c r="AH150"/>
  <c r="AD150"/>
  <c r="Z150"/>
  <c r="V150"/>
  <c r="R150"/>
  <c r="R427" s="1"/>
  <c r="AJ150"/>
  <c r="AJ178" s="1"/>
  <c r="AF150"/>
  <c r="AF178" s="1"/>
  <c r="AB150"/>
  <c r="X150"/>
  <c r="X178" s="1"/>
  <c r="X180" s="1"/>
  <c r="X182" s="1"/>
  <c r="T150"/>
  <c r="T178" s="1"/>
  <c r="P150"/>
  <c r="H75"/>
  <c r="J87"/>
  <c r="AC310"/>
  <c r="E87"/>
  <c r="J86"/>
  <c r="AB310"/>
  <c r="E86"/>
  <c r="AE310"/>
  <c r="J89"/>
  <c r="E89"/>
  <c r="E88"/>
  <c r="AD310"/>
  <c r="J88"/>
  <c r="H79"/>
  <c r="H95"/>
  <c r="H78"/>
  <c r="H94"/>
  <c r="H81"/>
  <c r="H97"/>
  <c r="H80"/>
  <c r="H96"/>
  <c r="J83"/>
  <c r="Y310"/>
  <c r="E83"/>
  <c r="J82"/>
  <c r="X310"/>
  <c r="E82"/>
  <c r="G99"/>
  <c r="H74"/>
  <c r="J85"/>
  <c r="AA310"/>
  <c r="E85"/>
  <c r="E84"/>
  <c r="J84"/>
  <c r="Z310"/>
  <c r="H91"/>
  <c r="H90"/>
  <c r="H77"/>
  <c r="H93"/>
  <c r="H76"/>
  <c r="H92"/>
  <c r="J79"/>
  <c r="U310"/>
  <c r="E79"/>
  <c r="J95"/>
  <c r="AK310"/>
  <c r="E95"/>
  <c r="E78"/>
  <c r="J78"/>
  <c r="T310"/>
  <c r="J94"/>
  <c r="AJ310"/>
  <c r="E94"/>
  <c r="J81"/>
  <c r="W310"/>
  <c r="E81"/>
  <c r="E97"/>
  <c r="J97"/>
  <c r="AM310"/>
  <c r="J80"/>
  <c r="V310"/>
  <c r="E80"/>
  <c r="AL310"/>
  <c r="E96"/>
  <c r="J96"/>
  <c r="H87"/>
  <c r="H86"/>
  <c r="H89"/>
  <c r="H88"/>
  <c r="J75"/>
  <c r="Q310"/>
  <c r="E75"/>
  <c r="J91"/>
  <c r="AG310"/>
  <c r="E91"/>
  <c r="P310"/>
  <c r="J74"/>
  <c r="D99"/>
  <c r="E74"/>
  <c r="J90"/>
  <c r="AF310"/>
  <c r="E90"/>
  <c r="E77"/>
  <c r="J77"/>
  <c r="S310"/>
  <c r="AI310"/>
  <c r="J93"/>
  <c r="E93"/>
  <c r="R310"/>
  <c r="E76"/>
  <c r="J76"/>
  <c r="E92"/>
  <c r="AH310"/>
  <c r="J92"/>
  <c r="H83"/>
  <c r="H82"/>
  <c r="H85"/>
  <c r="H84"/>
  <c r="P137"/>
  <c r="P312" s="1"/>
  <c r="P314" s="1"/>
  <c r="F36" i="20"/>
  <c r="J36" s="1"/>
  <c r="K44" i="19"/>
  <c r="L44" s="1"/>
  <c r="I381" i="66" s="1"/>
  <c r="H381"/>
  <c r="G381"/>
  <c r="K303" i="62"/>
  <c r="K305"/>
  <c r="H96" i="67"/>
  <c r="H100" s="1"/>
  <c r="I96"/>
  <c r="I100" s="1"/>
  <c r="H105"/>
  <c r="I105"/>
  <c r="R255" i="8"/>
  <c r="E168" i="66"/>
  <c r="M62" i="18"/>
  <c r="M66"/>
  <c r="M68"/>
  <c r="H64"/>
  <c r="P69" i="42"/>
  <c r="N64" i="37" s="1"/>
  <c r="O64" s="1"/>
  <c r="Q64" s="1"/>
  <c r="E318" i="34"/>
  <c r="F168" i="66"/>
  <c r="B318" i="34"/>
  <c r="C333" s="1"/>
  <c r="C168" i="66"/>
  <c r="V72" i="17"/>
  <c r="G318" i="34"/>
  <c r="H168" i="66"/>
  <c r="H318" i="34"/>
  <c r="I168" i="66"/>
  <c r="J144" i="26"/>
  <c r="AD86" i="24"/>
  <c r="J70" i="60"/>
  <c r="J78" i="55"/>
  <c r="AC82" i="24"/>
  <c r="S64" i="18"/>
  <c r="J21" i="39"/>
  <c r="U21"/>
  <c r="V21"/>
  <c r="H692" i="66"/>
  <c r="H696" s="1"/>
  <c r="H36" i="34"/>
  <c r="I36"/>
  <c r="I120" i="39"/>
  <c r="I119"/>
  <c r="N65" i="37"/>
  <c r="H28" i="39" s="1"/>
  <c r="I28" s="1"/>
  <c r="I31" s="1"/>
  <c r="I32" s="1"/>
  <c r="I33" s="1"/>
  <c r="F132" i="64"/>
  <c r="I456" i="66"/>
  <c r="N303" i="62"/>
  <c r="L303"/>
  <c r="L305"/>
  <c r="Z97" i="24"/>
  <c r="X97"/>
  <c r="AE80"/>
  <c r="I70" i="13"/>
  <c r="J70"/>
  <c r="AB54" i="24"/>
  <c r="P57" i="42"/>
  <c r="N52" i="37" s="1"/>
  <c r="F318" i="34"/>
  <c r="E333" s="1"/>
  <c r="G168" i="66"/>
  <c r="C318" i="34"/>
  <c r="D168" i="66"/>
  <c r="I646" i="7"/>
  <c r="I76" i="66"/>
  <c r="AB88" i="24"/>
  <c r="AE88"/>
  <c r="AC87"/>
  <c r="AC97"/>
  <c r="AB87"/>
  <c r="AE85"/>
  <c r="AB83"/>
  <c r="AE83"/>
  <c r="AB82"/>
  <c r="AE82"/>
  <c r="N28" i="60"/>
  <c r="BW58"/>
  <c r="BY64"/>
  <c r="C25" i="54"/>
  <c r="M99" i="40"/>
  <c r="O43" i="42"/>
  <c r="P43" s="1"/>
  <c r="N38" i="37" s="1"/>
  <c r="O38" s="1"/>
  <c r="Q38" s="1"/>
  <c r="E25" i="54" s="1"/>
  <c r="M111" i="40"/>
  <c r="O55" i="42"/>
  <c r="P55" s="1"/>
  <c r="N50" i="37" s="1"/>
  <c r="O50" s="1"/>
  <c r="Q50" s="1"/>
  <c r="C31" i="54"/>
  <c r="J18" i="39"/>
  <c r="U18"/>
  <c r="V18"/>
  <c r="I136"/>
  <c r="C37" i="54"/>
  <c r="L55" i="15"/>
  <c r="N141" i="8"/>
  <c r="AB248" i="9"/>
  <c r="J69" i="41"/>
  <c r="J103"/>
  <c r="J28" i="23"/>
  <c r="I464" i="66"/>
  <c r="AC248" i="9"/>
  <c r="E157" i="30"/>
  <c r="F157"/>
  <c r="J70"/>
  <c r="E156"/>
  <c r="F156"/>
  <c r="E155"/>
  <c r="F155"/>
  <c r="E158"/>
  <c r="F158"/>
  <c r="E159"/>
  <c r="F159"/>
  <c r="I208" i="6"/>
  <c r="AQ61" i="56"/>
  <c r="AO61"/>
  <c r="M31" i="55"/>
  <c r="M27" i="60"/>
  <c r="AD251" i="8"/>
  <c r="AM251"/>
  <c r="AM255"/>
  <c r="H398" i="7"/>
  <c r="J398"/>
  <c r="I400"/>
  <c r="H397"/>
  <c r="J397"/>
  <c r="H396"/>
  <c r="H399"/>
  <c r="J399"/>
  <c r="G400"/>
  <c r="L507"/>
  <c r="AD248" i="9"/>
  <c r="AD251" s="1"/>
  <c r="AA248"/>
  <c r="D152" i="56"/>
  <c r="B42" i="57" s="1"/>
  <c r="B104" s="1"/>
  <c r="H174" i="56"/>
  <c r="D180"/>
  <c r="D193" s="1"/>
  <c r="E55" i="11"/>
  <c r="F55"/>
  <c r="G55"/>
  <c r="L71" i="41"/>
  <c r="F118" i="39"/>
  <c r="W121" i="17"/>
  <c r="U146"/>
  <c r="V86" i="39"/>
  <c r="W86"/>
  <c r="J90"/>
  <c r="J91"/>
  <c r="E77" i="34"/>
  <c r="G135"/>
  <c r="S88" i="39"/>
  <c r="V84"/>
  <c r="AE77" i="24"/>
  <c r="S90" i="39"/>
  <c r="S91"/>
  <c r="V83"/>
  <c r="S89"/>
  <c r="AB81" i="24"/>
  <c r="AE81"/>
  <c r="R97"/>
  <c r="W93" i="39"/>
  <c r="V94"/>
  <c r="AN251" i="8"/>
  <c r="AN255"/>
  <c r="AE255"/>
  <c r="H324" i="34"/>
  <c r="J106" i="41"/>
  <c r="L106"/>
  <c r="M123"/>
  <c r="J727" i="66"/>
  <c r="J105" i="41"/>
  <c r="L105"/>
  <c r="M122"/>
  <c r="J726" i="66"/>
  <c r="J104" i="41"/>
  <c r="L104"/>
  <c r="K101"/>
  <c r="L101" s="1"/>
  <c r="H13" i="58" s="1"/>
  <c r="BC248" i="8"/>
  <c r="BC251"/>
  <c r="BC255"/>
  <c r="BL244"/>
  <c r="BE248"/>
  <c r="BN244"/>
  <c r="I63" i="13"/>
  <c r="AD54" i="24"/>
  <c r="J88" i="39"/>
  <c r="AE34" i="24"/>
  <c r="AE54"/>
  <c r="AE79"/>
  <c r="F120" i="39"/>
  <c r="AE92" i="24"/>
  <c r="J67" i="13"/>
  <c r="BT85" i="60"/>
  <c r="BA251" i="8"/>
  <c r="BA255"/>
  <c r="C29" i="54"/>
  <c r="F30" s="1"/>
  <c r="P97" i="24"/>
  <c r="AI251" i="8"/>
  <c r="AI255"/>
  <c r="AE86" i="24"/>
  <c r="R120" i="39"/>
  <c r="R119"/>
  <c r="C33" i="54"/>
  <c r="F33" s="1"/>
  <c r="M115" i="40"/>
  <c r="O59" i="42"/>
  <c r="P59" s="1"/>
  <c r="N54" i="37" s="1"/>
  <c r="V101" i="39"/>
  <c r="J117"/>
  <c r="J118"/>
  <c r="G71" i="34"/>
  <c r="U99"/>
  <c r="W124" i="17"/>
  <c r="S146"/>
  <c r="C59" i="39"/>
  <c r="H48"/>
  <c r="H49"/>
  <c r="H46"/>
  <c r="H45"/>
  <c r="BN245" i="8"/>
  <c r="BN249"/>
  <c r="BE249"/>
  <c r="K102" i="41"/>
  <c r="L102" s="1"/>
  <c r="M119" s="1"/>
  <c r="J723" i="66" s="1"/>
  <c r="M55" i="11"/>
  <c r="O55"/>
  <c r="N55"/>
  <c r="L109" i="41"/>
  <c r="M126"/>
  <c r="J730" i="66"/>
  <c r="M102" i="40"/>
  <c r="O46" i="42"/>
  <c r="P46" s="1"/>
  <c r="N41" i="37" s="1"/>
  <c r="C27" i="54"/>
  <c r="V105" i="39"/>
  <c r="W105"/>
  <c r="S117"/>
  <c r="S118"/>
  <c r="W95"/>
  <c r="V100"/>
  <c r="W100"/>
  <c r="R146" i="17"/>
  <c r="V121"/>
  <c r="J67" i="41"/>
  <c r="L67"/>
  <c r="J68"/>
  <c r="L68"/>
  <c r="J66"/>
  <c r="L66"/>
  <c r="G57" i="58"/>
  <c r="K63" i="41"/>
  <c r="L63" s="1"/>
  <c r="I130" i="39"/>
  <c r="G131"/>
  <c r="L39" i="37"/>
  <c r="K40"/>
  <c r="AE84" i="24"/>
  <c r="T146" i="17"/>
  <c r="AD89" i="24"/>
  <c r="AE89"/>
  <c r="J66" i="42"/>
  <c r="N61" i="37"/>
  <c r="O61" s="1"/>
  <c r="Q61" s="1"/>
  <c r="F50" i="39"/>
  <c r="H47"/>
  <c r="AK251" i="8"/>
  <c r="AK255"/>
  <c r="Y248" i="9"/>
  <c r="BS85" i="60"/>
  <c r="V109" i="17"/>
  <c r="H132" i="67"/>
  <c r="I132"/>
  <c r="BB248" i="9"/>
  <c r="BB251" s="1"/>
  <c r="BB255" s="1"/>
  <c r="BB306"/>
  <c r="BC306"/>
  <c r="BL248" i="8"/>
  <c r="BL251"/>
  <c r="BL255"/>
  <c r="BL299"/>
  <c r="BL306"/>
  <c r="BN248"/>
  <c r="BN306"/>
  <c r="BN299"/>
  <c r="BJ248"/>
  <c r="BJ251"/>
  <c r="BJ255"/>
  <c r="BJ306"/>
  <c r="BJ299"/>
  <c r="B67" i="5"/>
  <c r="B69"/>
  <c r="B72"/>
  <c r="C26"/>
  <c r="I269" i="66"/>
  <c r="I272"/>
  <c r="F29" i="54"/>
  <c r="I70" i="18"/>
  <c r="M73" i="8"/>
  <c r="M83"/>
  <c r="M63"/>
  <c r="D318" i="34"/>
  <c r="G333" s="1"/>
  <c r="T62" i="18"/>
  <c r="L64"/>
  <c r="S70"/>
  <c r="S79"/>
  <c r="R66"/>
  <c r="R68"/>
  <c r="R70"/>
  <c r="R79"/>
  <c r="P66"/>
  <c r="P68"/>
  <c r="P70"/>
  <c r="P79"/>
  <c r="Q66"/>
  <c r="Q68"/>
  <c r="Q70"/>
  <c r="Q79"/>
  <c r="O66"/>
  <c r="O68"/>
  <c r="O70"/>
  <c r="O79"/>
  <c r="AE87" i="24"/>
  <c r="L68" i="18"/>
  <c r="AE91" i="24"/>
  <c r="H126" i="39"/>
  <c r="G126"/>
  <c r="I126"/>
  <c r="P253" i="6"/>
  <c r="I17" i="17"/>
  <c r="I18" s="1"/>
  <c r="N991" i="9"/>
  <c r="J203" i="7"/>
  <c r="G218" i="60"/>
  <c r="H218" s="1"/>
  <c r="K176" i="23"/>
  <c r="K178" s="1"/>
  <c r="J29" i="43"/>
  <c r="I200" i="34"/>
  <c r="I249" s="1"/>
  <c r="I172" i="62"/>
  <c r="H172"/>
  <c r="H173" s="1"/>
  <c r="H175" s="1"/>
  <c r="H177" s="1"/>
  <c r="K83" i="18"/>
  <c r="K85"/>
  <c r="J70"/>
  <c r="J79"/>
  <c r="G70"/>
  <c r="G79"/>
  <c r="L66"/>
  <c r="AD255" i="8"/>
  <c r="G324" i="34"/>
  <c r="N152" i="67"/>
  <c r="H108"/>
  <c r="M121" i="41"/>
  <c r="J725" i="66"/>
  <c r="H57" i="58"/>
  <c r="F32" i="54"/>
  <c r="I47" i="23"/>
  <c r="J47"/>
  <c r="K47"/>
  <c r="L47"/>
  <c r="H47"/>
  <c r="F118" i="4"/>
  <c r="H127" i="23"/>
  <c r="AH386" i="19"/>
  <c r="R386"/>
  <c r="R388"/>
  <c r="S386"/>
  <c r="S388"/>
  <c r="S312"/>
  <c r="S314" s="1"/>
  <c r="AF386"/>
  <c r="P129"/>
  <c r="K74"/>
  <c r="J99"/>
  <c r="N54"/>
  <c r="AG129"/>
  <c r="K91"/>
  <c r="AM129"/>
  <c r="K97"/>
  <c r="W129"/>
  <c r="K81"/>
  <c r="T386"/>
  <c r="T388"/>
  <c r="T312"/>
  <c r="T314"/>
  <c r="AK386"/>
  <c r="AK388"/>
  <c r="AK312"/>
  <c r="AK314"/>
  <c r="U129"/>
  <c r="U427"/>
  <c r="K79"/>
  <c r="Z386"/>
  <c r="Z388"/>
  <c r="Z312"/>
  <c r="Z314"/>
  <c r="AA312"/>
  <c r="AA314"/>
  <c r="AA386"/>
  <c r="AA388"/>
  <c r="Y386"/>
  <c r="Y388"/>
  <c r="Y312"/>
  <c r="Y314"/>
  <c r="AB312"/>
  <c r="AB314"/>
  <c r="AB386"/>
  <c r="AB388"/>
  <c r="AC129"/>
  <c r="K87"/>
  <c r="AH129"/>
  <c r="K92"/>
  <c r="AI386"/>
  <c r="AG386"/>
  <c r="AG388"/>
  <c r="Q129"/>
  <c r="K75"/>
  <c r="AL386"/>
  <c r="AL388"/>
  <c r="AL312"/>
  <c r="AL314"/>
  <c r="AM386"/>
  <c r="AM388"/>
  <c r="W312"/>
  <c r="W314"/>
  <c r="W386"/>
  <c r="W388"/>
  <c r="K94"/>
  <c r="AJ129"/>
  <c r="U312"/>
  <c r="U314"/>
  <c r="U386"/>
  <c r="U388"/>
  <c r="AC386"/>
  <c r="AC388"/>
  <c r="AC312"/>
  <c r="AC314"/>
  <c r="R129"/>
  <c r="K76"/>
  <c r="AI129"/>
  <c r="K93"/>
  <c r="Q386"/>
  <c r="Q388"/>
  <c r="Q312"/>
  <c r="Q314" s="1"/>
  <c r="V129"/>
  <c r="K80"/>
  <c r="AJ386"/>
  <c r="AJ312"/>
  <c r="AJ314"/>
  <c r="X129"/>
  <c r="K82"/>
  <c r="AD386"/>
  <c r="AD388"/>
  <c r="AE386"/>
  <c r="AE388"/>
  <c r="S129"/>
  <c r="K77"/>
  <c r="AF129"/>
  <c r="AF427"/>
  <c r="K90"/>
  <c r="P386"/>
  <c r="AN310"/>
  <c r="AL129"/>
  <c r="AL427"/>
  <c r="K96"/>
  <c r="V312"/>
  <c r="V314"/>
  <c r="V386"/>
  <c r="V388"/>
  <c r="T129"/>
  <c r="K78"/>
  <c r="AK129"/>
  <c r="K95"/>
  <c r="Z129"/>
  <c r="K84"/>
  <c r="AA129"/>
  <c r="AA427"/>
  <c r="K85"/>
  <c r="X312"/>
  <c r="X314"/>
  <c r="X386"/>
  <c r="X388"/>
  <c r="Y129"/>
  <c r="K83"/>
  <c r="K88"/>
  <c r="AD129"/>
  <c r="AD427"/>
  <c r="AE129"/>
  <c r="K89"/>
  <c r="K86"/>
  <c r="AB129"/>
  <c r="U261" i="23"/>
  <c r="V261" s="1"/>
  <c r="W261" s="1"/>
  <c r="X261" s="1"/>
  <c r="U254"/>
  <c r="U249"/>
  <c r="V249" s="1"/>
  <c r="W249" s="1"/>
  <c r="X249" s="1"/>
  <c r="U253"/>
  <c r="V253" s="1"/>
  <c r="W253" s="1"/>
  <c r="X253" s="1"/>
  <c r="U257"/>
  <c r="U267"/>
  <c r="U262"/>
  <c r="Z262" s="1"/>
  <c r="AA262" s="1"/>
  <c r="AB262" s="1"/>
  <c r="AC262" s="1"/>
  <c r="AD262" s="1"/>
  <c r="U259"/>
  <c r="V259" s="1"/>
  <c r="W259" s="1"/>
  <c r="X259" s="1"/>
  <c r="U268"/>
  <c r="V268" s="1"/>
  <c r="W268" s="1"/>
  <c r="X268" s="1"/>
  <c r="M64" i="18"/>
  <c r="N64"/>
  <c r="H70"/>
  <c r="H79"/>
  <c r="I138" i="39"/>
  <c r="H138"/>
  <c r="BZ64" i="60"/>
  <c r="BY66"/>
  <c r="BY84"/>
  <c r="AD97" i="24"/>
  <c r="L107" i="41"/>
  <c r="M124"/>
  <c r="J728" i="66"/>
  <c r="G138" i="39"/>
  <c r="BW83" i="60"/>
  <c r="BZ58"/>
  <c r="BW60"/>
  <c r="F31" i="54"/>
  <c r="M86" i="41"/>
  <c r="G726" i="66"/>
  <c r="M85" i="41"/>
  <c r="G725" i="66"/>
  <c r="L74" i="41"/>
  <c r="M87"/>
  <c r="G727" i="66"/>
  <c r="M90" i="41"/>
  <c r="G730" i="66"/>
  <c r="G36" i="20"/>
  <c r="K36" s="1"/>
  <c r="I469" i="66"/>
  <c r="E160" i="30"/>
  <c r="AZ61" i="56"/>
  <c r="AX61"/>
  <c r="M31"/>
  <c r="BN251" i="8"/>
  <c r="BN255"/>
  <c r="H400" i="7"/>
  <c r="J400"/>
  <c r="L400"/>
  <c r="L407"/>
  <c r="J396"/>
  <c r="H34" i="55"/>
  <c r="I34" s="1"/>
  <c r="G132" i="39"/>
  <c r="G133"/>
  <c r="H29" i="60"/>
  <c r="I29" s="1"/>
  <c r="K41" i="37"/>
  <c r="L40"/>
  <c r="F119" i="39"/>
  <c r="AE56" i="24"/>
  <c r="AE55"/>
  <c r="F56"/>
  <c r="J45" i="43"/>
  <c r="G45" i="6"/>
  <c r="W101" i="39"/>
  <c r="V117"/>
  <c r="W117"/>
  <c r="J63" i="13"/>
  <c r="I72"/>
  <c r="AB97" i="24"/>
  <c r="V146" i="17"/>
  <c r="BE251" i="8"/>
  <c r="BE255"/>
  <c r="S120" i="39"/>
  <c r="S119"/>
  <c r="AE97" i="24"/>
  <c r="J120" i="39"/>
  <c r="J119"/>
  <c r="H131"/>
  <c r="H132"/>
  <c r="H133"/>
  <c r="I131"/>
  <c r="I71" i="34"/>
  <c r="G75"/>
  <c r="I75"/>
  <c r="I77"/>
  <c r="F77"/>
  <c r="H129"/>
  <c r="G155" s="1"/>
  <c r="G157" s="1"/>
  <c r="W94" i="39"/>
  <c r="V118"/>
  <c r="W118"/>
  <c r="V89"/>
  <c r="W89"/>
  <c r="W83"/>
  <c r="V90"/>
  <c r="D59"/>
  <c r="D57"/>
  <c r="D58"/>
  <c r="V88"/>
  <c r="W88"/>
  <c r="W84"/>
  <c r="H135" i="34"/>
  <c r="H150"/>
  <c r="F145"/>
  <c r="G149"/>
  <c r="G150"/>
  <c r="H50" i="39"/>
  <c r="W146" i="17"/>
  <c r="C33" i="5"/>
  <c r="B76"/>
  <c r="B79"/>
  <c r="B84"/>
  <c r="B89"/>
  <c r="B93"/>
  <c r="B99"/>
  <c r="B102"/>
  <c r="V264" i="23"/>
  <c r="W264" s="1"/>
  <c r="X264" s="1"/>
  <c r="V257"/>
  <c r="W257" s="1"/>
  <c r="X257" s="1"/>
  <c r="Z257"/>
  <c r="AA257" s="1"/>
  <c r="AB257" s="1"/>
  <c r="AC257" s="1"/>
  <c r="AF257" s="1"/>
  <c r="AG257" s="1"/>
  <c r="V266"/>
  <c r="W266" s="1"/>
  <c r="X266" s="1"/>
  <c r="Z266"/>
  <c r="AA266" s="1"/>
  <c r="AB266" s="1"/>
  <c r="AC266" s="1"/>
  <c r="AE266" s="1"/>
  <c r="V252"/>
  <c r="W252" s="1"/>
  <c r="X252" s="1"/>
  <c r="Z252"/>
  <c r="AA252" s="1"/>
  <c r="AB252" s="1"/>
  <c r="AC252" s="1"/>
  <c r="AE252" s="1"/>
  <c r="V254"/>
  <c r="W254" s="1"/>
  <c r="X254" s="1"/>
  <c r="Z254"/>
  <c r="AA254" s="1"/>
  <c r="AB254" s="1"/>
  <c r="AC254" s="1"/>
  <c r="Z261"/>
  <c r="AA261" s="1"/>
  <c r="AB261" s="1"/>
  <c r="AC261" s="1"/>
  <c r="AE261" s="1"/>
  <c r="M64" i="8"/>
  <c r="I270" i="66"/>
  <c r="I51" i="29"/>
  <c r="G190" i="66" s="1"/>
  <c r="I110"/>
  <c r="I52" i="29"/>
  <c r="I190" i="66" s="1"/>
  <c r="I79" i="18"/>
  <c r="I83"/>
  <c r="B40" i="9"/>
  <c r="K73" i="8"/>
  <c r="G61" i="64"/>
  <c r="I211" s="1"/>
  <c r="T68" i="18"/>
  <c r="T66"/>
  <c r="T64"/>
  <c r="E141" i="70"/>
  <c r="E138"/>
  <c r="Q83" i="18"/>
  <c r="Q85"/>
  <c r="E136" i="70"/>
  <c r="V70" i="18"/>
  <c r="V79" s="1"/>
  <c r="V83" s="1"/>
  <c r="L48" i="19"/>
  <c r="N48" s="1"/>
  <c r="I216" i="34"/>
  <c r="L70" i="18"/>
  <c r="P83"/>
  <c r="P85"/>
  <c r="O83"/>
  <c r="O85"/>
  <c r="R83"/>
  <c r="R85"/>
  <c r="S83"/>
  <c r="N70"/>
  <c r="N79"/>
  <c r="Q76" i="19"/>
  <c r="N89" s="1"/>
  <c r="AE159" s="1"/>
  <c r="Q75"/>
  <c r="N96" s="1"/>
  <c r="N91"/>
  <c r="P143"/>
  <c r="P144" s="1"/>
  <c r="P316"/>
  <c r="AG316"/>
  <c r="W316"/>
  <c r="U316"/>
  <c r="T316"/>
  <c r="X316"/>
  <c r="V316"/>
  <c r="V427"/>
  <c r="AC316"/>
  <c r="AE316"/>
  <c r="Y316"/>
  <c r="Y427"/>
  <c r="AH316"/>
  <c r="AM316"/>
  <c r="AA143"/>
  <c r="AA144"/>
  <c r="AA145" s="1"/>
  <c r="AA139"/>
  <c r="AA140"/>
  <c r="N19" i="22"/>
  <c r="B31" s="1"/>
  <c r="X19"/>
  <c r="AK139" i="19"/>
  <c r="AK140"/>
  <c r="AK143"/>
  <c r="AK144"/>
  <c r="AK145" s="1"/>
  <c r="AF143"/>
  <c r="AF144" s="1"/>
  <c r="AF145" s="1"/>
  <c r="S19" i="22"/>
  <c r="AF139" i="19"/>
  <c r="X143"/>
  <c r="X144"/>
  <c r="X145" s="1"/>
  <c r="K19" i="22"/>
  <c r="B28" s="1"/>
  <c r="X139" i="19"/>
  <c r="X140"/>
  <c r="V143"/>
  <c r="V144"/>
  <c r="V145" s="1"/>
  <c r="V139"/>
  <c r="V140"/>
  <c r="V147" s="1"/>
  <c r="I19" i="22"/>
  <c r="B26" s="1"/>
  <c r="V19"/>
  <c r="B39" s="1"/>
  <c r="AC143" i="19"/>
  <c r="AC144"/>
  <c r="P19" i="22"/>
  <c r="B33"/>
  <c r="AC139" i="19"/>
  <c r="AC140"/>
  <c r="AN77"/>
  <c r="AN89"/>
  <c r="L87"/>
  <c r="AN97"/>
  <c r="L96"/>
  <c r="AN80"/>
  <c r="L79"/>
  <c r="AN84"/>
  <c r="L93"/>
  <c r="L75"/>
  <c r="L81"/>
  <c r="L76"/>
  <c r="L88"/>
  <c r="L97"/>
  <c r="L92"/>
  <c r="AN88"/>
  <c r="L78"/>
  <c r="L95"/>
  <c r="AN85"/>
  <c r="AN81"/>
  <c r="AN93"/>
  <c r="AN75"/>
  <c r="AN87"/>
  <c r="AN96"/>
  <c r="AN86"/>
  <c r="L83"/>
  <c r="AN74"/>
  <c r="L85"/>
  <c r="AN83"/>
  <c r="L90"/>
  <c r="AN79"/>
  <c r="L80"/>
  <c r="AN92"/>
  <c r="AN82"/>
  <c r="L94"/>
  <c r="AN91"/>
  <c r="L77"/>
  <c r="L86"/>
  <c r="AN76"/>
  <c r="L89"/>
  <c r="L84"/>
  <c r="AN95"/>
  <c r="L74"/>
  <c r="AN90"/>
  <c r="L91"/>
  <c r="AN94"/>
  <c r="G94" i="64"/>
  <c r="H94" s="1"/>
  <c r="AN78" i="19"/>
  <c r="L82"/>
  <c r="AA316"/>
  <c r="AK316"/>
  <c r="AB139"/>
  <c r="AB140"/>
  <c r="O19" i="22"/>
  <c r="O28" s="1"/>
  <c r="AB316" i="19"/>
  <c r="AB143"/>
  <c r="AB144"/>
  <c r="AB145" s="1"/>
  <c r="AD316"/>
  <c r="Q19" i="22"/>
  <c r="B34" s="1"/>
  <c r="E34" s="1"/>
  <c r="AL139" i="19"/>
  <c r="AL140"/>
  <c r="Y19" i="22"/>
  <c r="Y28" s="1"/>
  <c r="AL143" i="19"/>
  <c r="AL144"/>
  <c r="AL145" s="1"/>
  <c r="AJ143"/>
  <c r="AJ144"/>
  <c r="AJ145" s="1"/>
  <c r="AJ139"/>
  <c r="AJ140"/>
  <c r="W19" i="22"/>
  <c r="AJ316" i="19"/>
  <c r="D19" i="22"/>
  <c r="B21" s="1"/>
  <c r="Q139" i="19"/>
  <c r="Q140" s="1"/>
  <c r="Q143"/>
  <c r="Q144" s="1"/>
  <c r="Q316"/>
  <c r="W139"/>
  <c r="W140"/>
  <c r="W141" s="1"/>
  <c r="W143"/>
  <c r="W144"/>
  <c r="W145" s="1"/>
  <c r="J19" i="22"/>
  <c r="B27" s="1"/>
  <c r="H27" s="1"/>
  <c r="T19"/>
  <c r="B37" s="1"/>
  <c r="D37" s="1"/>
  <c r="AL316" i="19"/>
  <c r="AF316"/>
  <c r="R19" i="22"/>
  <c r="B35" s="1"/>
  <c r="AE143" i="19"/>
  <c r="AE144" s="1"/>
  <c r="AE139"/>
  <c r="AE140" s="1"/>
  <c r="Y143"/>
  <c r="Y144"/>
  <c r="Y145" s="1"/>
  <c r="Y139"/>
  <c r="Y140"/>
  <c r="Y141" s="1"/>
  <c r="L19" i="22"/>
  <c r="B29" s="1"/>
  <c r="Z139" i="19"/>
  <c r="Z140"/>
  <c r="Z143"/>
  <c r="Z144"/>
  <c r="Z145" s="1"/>
  <c r="M19" i="22"/>
  <c r="T143" i="19"/>
  <c r="T144"/>
  <c r="T145" s="1"/>
  <c r="T139"/>
  <c r="T140"/>
  <c r="G19" i="22"/>
  <c r="B24" s="1"/>
  <c r="V24" s="1"/>
  <c r="P388" i="19"/>
  <c r="AN386"/>
  <c r="AN388"/>
  <c r="F19" i="22"/>
  <c r="B23" s="1"/>
  <c r="S139" i="19"/>
  <c r="S140" s="1"/>
  <c r="S316"/>
  <c r="S143"/>
  <c r="E19" i="22"/>
  <c r="B22" s="1"/>
  <c r="Z22" s="1"/>
  <c r="U143" i="19"/>
  <c r="U144"/>
  <c r="U145" s="1"/>
  <c r="U139"/>
  <c r="U140"/>
  <c r="H19" i="22"/>
  <c r="B25" s="1"/>
  <c r="C19"/>
  <c r="AN129" i="19"/>
  <c r="AI316"/>
  <c r="Z316"/>
  <c r="U19" i="22"/>
  <c r="Z19"/>
  <c r="B43" s="1"/>
  <c r="G43" s="1"/>
  <c r="R316" i="19"/>
  <c r="M70" i="18"/>
  <c r="M79"/>
  <c r="BY76" i="60"/>
  <c r="BZ66"/>
  <c r="V148" i="17"/>
  <c r="BW76" i="60"/>
  <c r="BZ60"/>
  <c r="BW85"/>
  <c r="BZ83"/>
  <c r="BY85"/>
  <c r="BZ84"/>
  <c r="L69" i="41"/>
  <c r="BI61" i="56"/>
  <c r="BP61"/>
  <c r="BG61"/>
  <c r="L41" i="37"/>
  <c r="O41"/>
  <c r="Q41" s="1"/>
  <c r="K42"/>
  <c r="AE98" i="24"/>
  <c r="J119"/>
  <c r="AE99"/>
  <c r="J74" i="13"/>
  <c r="F18"/>
  <c r="J72"/>
  <c r="G151" i="34"/>
  <c r="H149"/>
  <c r="H151"/>
  <c r="G156"/>
  <c r="H156"/>
  <c r="V91" i="39"/>
  <c r="W90"/>
  <c r="C105" i="5"/>
  <c r="B105"/>
  <c r="B108"/>
  <c r="B112"/>
  <c r="B115"/>
  <c r="B118"/>
  <c r="B129"/>
  <c r="B132"/>
  <c r="B135"/>
  <c r="B137"/>
  <c r="B139"/>
  <c r="B141"/>
  <c r="B144"/>
  <c r="B147"/>
  <c r="B151"/>
  <c r="M65" i="8"/>
  <c r="I271" i="66"/>
  <c r="I85" i="18"/>
  <c r="T70"/>
  <c r="BZ85" i="60"/>
  <c r="BZ76"/>
  <c r="L49" i="19"/>
  <c r="N49" s="1"/>
  <c r="E119" i="70"/>
  <c r="M83" i="18"/>
  <c r="M85"/>
  <c r="H83"/>
  <c r="H85"/>
  <c r="L79"/>
  <c r="T79"/>
  <c r="G83"/>
  <c r="J83"/>
  <c r="J85"/>
  <c r="S85"/>
  <c r="Q141" i="19"/>
  <c r="AJ141"/>
  <c r="AL141"/>
  <c r="AB141"/>
  <c r="AC141"/>
  <c r="AK141"/>
  <c r="T141"/>
  <c r="V141"/>
  <c r="N82"/>
  <c r="N524"/>
  <c r="U27" i="22"/>
  <c r="O27"/>
  <c r="F29"/>
  <c r="S29"/>
  <c r="P29"/>
  <c r="N29"/>
  <c r="M37"/>
  <c r="I37"/>
  <c r="I43"/>
  <c r="AD130" i="19"/>
  <c r="U130"/>
  <c r="AG130"/>
  <c r="AL130"/>
  <c r="Z130"/>
  <c r="AN130"/>
  <c r="AJ130"/>
  <c r="S130"/>
  <c r="AH130"/>
  <c r="P130"/>
  <c r="AF130"/>
  <c r="G91" i="64"/>
  <c r="X130" i="19"/>
  <c r="V130"/>
  <c r="Y130"/>
  <c r="T130"/>
  <c r="R130"/>
  <c r="AK130"/>
  <c r="AI130"/>
  <c r="AN316"/>
  <c r="AB130"/>
  <c r="AC130"/>
  <c r="W130"/>
  <c r="AM130"/>
  <c r="AE130"/>
  <c r="Q130"/>
  <c r="AA130"/>
  <c r="V22" i="22"/>
  <c r="T22"/>
  <c r="K28"/>
  <c r="H28"/>
  <c r="I28"/>
  <c r="V28"/>
  <c r="H25"/>
  <c r="E25"/>
  <c r="P24"/>
  <c r="G24"/>
  <c r="L99" i="19"/>
  <c r="AN99"/>
  <c r="L21" i="17"/>
  <c r="I526" i="66"/>
  <c r="E45" i="6"/>
  <c r="F45" s="1"/>
  <c r="M88" i="41"/>
  <c r="G728" i="66"/>
  <c r="L9" i="40"/>
  <c r="L10" s="1"/>
  <c r="J38" i="43"/>
  <c r="J120" i="24"/>
  <c r="J122"/>
  <c r="F99"/>
  <c r="L42" i="37"/>
  <c r="O42"/>
  <c r="Q42" s="1"/>
  <c r="K43"/>
  <c r="V120" i="39"/>
  <c r="W91"/>
  <c r="G85" i="18"/>
  <c r="L83"/>
  <c r="E120" i="70"/>
  <c r="U70" i="18" s="1"/>
  <c r="U79" s="1"/>
  <c r="U83" s="1"/>
  <c r="U85" s="1"/>
  <c r="N83"/>
  <c r="J164" i="26"/>
  <c r="J166" s="1"/>
  <c r="J168" s="1"/>
  <c r="H177" s="1"/>
  <c r="J199"/>
  <c r="J201" s="1"/>
  <c r="N57" i="19"/>
  <c r="V119" i="39"/>
  <c r="W119"/>
  <c r="W120"/>
  <c r="L43" i="37"/>
  <c r="K44"/>
  <c r="J123" i="24"/>
  <c r="J125"/>
  <c r="J126"/>
  <c r="T83" i="18"/>
  <c r="L85"/>
  <c r="I103"/>
  <c r="N85"/>
  <c r="K45" i="37"/>
  <c r="L44"/>
  <c r="I105" i="18"/>
  <c r="I316"/>
  <c r="I318"/>
  <c r="I330"/>
  <c r="I332"/>
  <c r="T85"/>
  <c r="L45" i="37"/>
  <c r="O45"/>
  <c r="Q45" s="1"/>
  <c r="K46"/>
  <c r="I108" i="18"/>
  <c r="I432"/>
  <c r="I436"/>
  <c r="L46" i="37"/>
  <c r="O46"/>
  <c r="Q46" s="1"/>
  <c r="K47"/>
  <c r="K48"/>
  <c r="L47"/>
  <c r="O47"/>
  <c r="Q47" s="1"/>
  <c r="J64" i="23"/>
  <c r="K64"/>
  <c r="K66" s="1"/>
  <c r="L64"/>
  <c r="L66" s="1"/>
  <c r="H64"/>
  <c r="I64"/>
  <c r="I66" s="1"/>
  <c r="L48" i="37"/>
  <c r="K49"/>
  <c r="I110" i="6"/>
  <c r="K50" i="37"/>
  <c r="L49"/>
  <c r="O49"/>
  <c r="Q49" s="1"/>
  <c r="L50"/>
  <c r="K51"/>
  <c r="K52"/>
  <c r="L51"/>
  <c r="K53"/>
  <c r="L52"/>
  <c r="O52"/>
  <c r="Q52" s="1"/>
  <c r="K54"/>
  <c r="L53"/>
  <c r="O53"/>
  <c r="Q53" s="1"/>
  <c r="K55"/>
  <c r="L54"/>
  <c r="O54"/>
  <c r="Q54" s="1"/>
  <c r="K56"/>
  <c r="L55"/>
  <c r="K57"/>
  <c r="L56"/>
  <c r="O56"/>
  <c r="Q56" s="1"/>
  <c r="K58"/>
  <c r="L57"/>
  <c r="L58"/>
  <c r="O58"/>
  <c r="Q58" s="1"/>
  <c r="K59"/>
  <c r="L59"/>
  <c r="C64" i="25"/>
  <c r="L53"/>
  <c r="D64" s="1"/>
  <c r="I280" i="67"/>
  <c r="H280"/>
  <c r="J280"/>
  <c r="E165" i="55"/>
  <c r="F165"/>
  <c r="G165"/>
  <c r="H165"/>
  <c r="I165"/>
  <c r="J165"/>
  <c r="K165"/>
  <c r="L180" i="56" l="1"/>
  <c r="AV316" i="8"/>
  <c r="H388" i="25"/>
  <c r="F183"/>
  <c r="U23" i="22"/>
  <c r="M23"/>
  <c r="F160" i="30"/>
  <c r="I645" i="66" s="1"/>
  <c r="E26" i="54"/>
  <c r="H26" s="1"/>
  <c r="X271" i="19"/>
  <c r="I329" i="6"/>
  <c r="I332" s="1"/>
  <c r="J38" i="40"/>
  <c r="E33" i="54"/>
  <c r="L43" i="22"/>
  <c r="Z37"/>
  <c r="L18" i="40"/>
  <c r="Y24" i="22"/>
  <c r="T24"/>
  <c r="J22"/>
  <c r="G96" i="64"/>
  <c r="Q43" i="22"/>
  <c r="S37"/>
  <c r="T37"/>
  <c r="D27"/>
  <c r="P34"/>
  <c r="AL148" i="19"/>
  <c r="T25" i="22"/>
  <c r="T148" i="19"/>
  <c r="AE147"/>
  <c r="V262" i="23"/>
  <c r="W262" s="1"/>
  <c r="X262" s="1"/>
  <c r="F26" i="54"/>
  <c r="Z24" i="22"/>
  <c r="M27"/>
  <c r="J24"/>
  <c r="D22"/>
  <c r="S27"/>
  <c r="T34"/>
  <c r="AK147" i="19"/>
  <c r="AL147"/>
  <c r="U43" i="22"/>
  <c r="C37"/>
  <c r="D29"/>
  <c r="AJ148" i="19"/>
  <c r="U33" i="22"/>
  <c r="F39"/>
  <c r="G28"/>
  <c r="K31"/>
  <c r="BK141" i="8"/>
  <c r="K43" i="6"/>
  <c r="L282" i="25"/>
  <c r="AQ569" i="8"/>
  <c r="AQ468" i="9"/>
  <c r="AQ857"/>
  <c r="AQ713" i="8"/>
  <c r="AQ617" i="9"/>
  <c r="B276" i="25"/>
  <c r="B138"/>
  <c r="N116"/>
  <c r="AQ142" i="9"/>
  <c r="AQ142" i="8"/>
  <c r="AQ761"/>
  <c r="AQ665" i="9"/>
  <c r="AQ520" i="8"/>
  <c r="AQ138" i="9"/>
  <c r="B127" i="25"/>
  <c r="B541"/>
  <c r="B554"/>
  <c r="B207"/>
  <c r="B256"/>
  <c r="B270"/>
  <c r="B556"/>
  <c r="AG159" i="19"/>
  <c r="AG163" s="1"/>
  <c r="I111" i="6"/>
  <c r="I112" s="1"/>
  <c r="X159" i="19"/>
  <c r="X163" s="1"/>
  <c r="I41" i="16"/>
  <c r="AJ264" i="9"/>
  <c r="AL159" i="19"/>
  <c r="BC264" i="8"/>
  <c r="I45" i="15"/>
  <c r="M282" i="8"/>
  <c r="L282" s="1"/>
  <c r="AB264"/>
  <c r="I50" i="15"/>
  <c r="I43" i="16"/>
  <c r="G36" i="56"/>
  <c r="L266" i="8"/>
  <c r="L268" s="1"/>
  <c r="I47" i="16"/>
  <c r="AK264" i="8"/>
  <c r="I38" i="15"/>
  <c r="I44" i="16"/>
  <c r="AJ264" i="8"/>
  <c r="AH159" i="19"/>
  <c r="AH163" s="1"/>
  <c r="I410" i="66"/>
  <c r="Z206" i="19"/>
  <c r="X206"/>
  <c r="AK206"/>
  <c r="AI206"/>
  <c r="W206"/>
  <c r="V206"/>
  <c r="N75"/>
  <c r="Q159" s="1"/>
  <c r="Q163" s="1"/>
  <c r="N97"/>
  <c r="AM159" s="1"/>
  <c r="N77"/>
  <c r="S159" s="1"/>
  <c r="S163" s="1"/>
  <c r="N76"/>
  <c r="R159" s="1"/>
  <c r="E207" i="18"/>
  <c r="BG260" i="9"/>
  <c r="I107" i="72"/>
  <c r="F107"/>
  <c r="AJ268" i="9"/>
  <c r="L324" i="62"/>
  <c r="K56" i="23"/>
  <c r="K58" s="1"/>
  <c r="E206" i="18"/>
  <c r="H107" i="72"/>
  <c r="E204" i="18"/>
  <c r="AA264" i="8"/>
  <c r="AA268" s="1"/>
  <c r="I39" i="15"/>
  <c r="I48" i="16"/>
  <c r="J138" i="31"/>
  <c r="I43" i="4" s="1"/>
  <c r="I46" i="7" s="1"/>
  <c r="I37" i="15"/>
  <c r="H3"/>
  <c r="E205" i="18"/>
  <c r="B98" i="25"/>
  <c r="B606"/>
  <c r="B254"/>
  <c r="B228"/>
  <c r="L46"/>
  <c r="B293"/>
  <c r="B299"/>
  <c r="H64"/>
  <c r="L105" s="1"/>
  <c r="E413" s="1"/>
  <c r="B167"/>
  <c r="AG199" i="19"/>
  <c r="N74"/>
  <c r="P159" s="1"/>
  <c r="P199" s="1"/>
  <c r="G399" i="9"/>
  <c r="G401" s="1"/>
  <c r="L21" i="40"/>
  <c r="L22" s="1"/>
  <c r="N78" i="19"/>
  <c r="T159" s="1"/>
  <c r="T163" s="1"/>
  <c r="X184"/>
  <c r="I353" i="66"/>
  <c r="I421" i="18"/>
  <c r="AG167" i="19"/>
  <c r="N84"/>
  <c r="Z159" s="1"/>
  <c r="Z163" s="1"/>
  <c r="N87"/>
  <c r="AC159" s="1"/>
  <c r="N88"/>
  <c r="AD159" s="1"/>
  <c r="AD199" s="1"/>
  <c r="J108" i="30"/>
  <c r="J110" s="1"/>
  <c r="AL206" i="19"/>
  <c r="R206"/>
  <c r="T206"/>
  <c r="P206"/>
  <c r="AA206"/>
  <c r="N93"/>
  <c r="AI159" s="1"/>
  <c r="AI163" s="1"/>
  <c r="Y206"/>
  <c r="AE206"/>
  <c r="AB206"/>
  <c r="AC206"/>
  <c r="AG206"/>
  <c r="AD264" i="9"/>
  <c r="AD268" s="1"/>
  <c r="AM264"/>
  <c r="AM268" s="1"/>
  <c r="R57" i="20"/>
  <c r="BC268" i="8"/>
  <c r="AH206" i="19"/>
  <c r="AM206"/>
  <c r="U206"/>
  <c r="AD206"/>
  <c r="S206"/>
  <c r="AF206"/>
  <c r="Q206"/>
  <c r="AJ206"/>
  <c r="J142" i="67"/>
  <c r="N142" s="1"/>
  <c r="H142"/>
  <c r="L142" s="1"/>
  <c r="J35" i="22"/>
  <c r="F35"/>
  <c r="G35"/>
  <c r="W35"/>
  <c r="H21"/>
  <c r="I21"/>
  <c r="L21"/>
  <c r="N21"/>
  <c r="O21"/>
  <c r="R21"/>
  <c r="D21"/>
  <c r="J21"/>
  <c r="U21"/>
  <c r="P21"/>
  <c r="T21"/>
  <c r="S21"/>
  <c r="G21"/>
  <c r="M21"/>
  <c r="X21"/>
  <c r="K21"/>
  <c r="C21"/>
  <c r="V21"/>
  <c r="BE248" i="9"/>
  <c r="BE251" s="1"/>
  <c r="BE255" s="1"/>
  <c r="BN244"/>
  <c r="BN248" s="1"/>
  <c r="BN251" s="1"/>
  <c r="BN255" s="1"/>
  <c r="BE299"/>
  <c r="BE306"/>
  <c r="F174" i="56"/>
  <c r="D178" s="1"/>
  <c r="D191" s="1"/>
  <c r="D150"/>
  <c r="B40" i="57" s="1"/>
  <c r="B102" s="1"/>
  <c r="M57" i="20"/>
  <c r="C25" i="22"/>
  <c r="J28"/>
  <c r="N43"/>
  <c r="AG165" i="19"/>
  <c r="I23" i="22"/>
  <c r="S165" i="19"/>
  <c r="S169" s="1"/>
  <c r="D39" i="22"/>
  <c r="H24"/>
  <c r="K25"/>
  <c r="V31"/>
  <c r="C28"/>
  <c r="N28"/>
  <c r="R28"/>
  <c r="D28"/>
  <c r="O22"/>
  <c r="H22"/>
  <c r="K37"/>
  <c r="J29"/>
  <c r="M29"/>
  <c r="W27"/>
  <c r="T27"/>
  <c r="K27"/>
  <c r="D34"/>
  <c r="N94" i="19"/>
  <c r="AJ159" s="1"/>
  <c r="AI245" s="1"/>
  <c r="R22" i="22"/>
  <c r="F21"/>
  <c r="Q24"/>
  <c r="W34"/>
  <c r="P139" i="19"/>
  <c r="P140" s="1"/>
  <c r="M118" i="41"/>
  <c r="J722" i="66" s="1"/>
  <c r="AD306" i="9"/>
  <c r="E34" i="54"/>
  <c r="H34" s="1"/>
  <c r="H319" i="6"/>
  <c r="F329"/>
  <c r="F332" s="1"/>
  <c r="M112" i="5"/>
  <c r="AB251" i="9"/>
  <c r="AB255" s="1"/>
  <c r="BJ141" i="8"/>
  <c r="K174" i="23"/>
  <c r="L297" i="18"/>
  <c r="J33" i="22"/>
  <c r="K24"/>
  <c r="U25"/>
  <c r="F28"/>
  <c r="P28"/>
  <c r="L28"/>
  <c r="Y147" i="19"/>
  <c r="X165"/>
  <c r="X169" s="1"/>
  <c r="S167"/>
  <c r="AA57" i="20"/>
  <c r="S199" i="19"/>
  <c r="N57" i="20"/>
  <c r="Q39" i="22"/>
  <c r="W25"/>
  <c r="E28"/>
  <c r="T28"/>
  <c r="Y22"/>
  <c r="V37"/>
  <c r="R37"/>
  <c r="H37"/>
  <c r="L29"/>
  <c r="N27"/>
  <c r="W148" i="19"/>
  <c r="X43" i="22"/>
  <c r="F34" i="54"/>
  <c r="AI427" i="19"/>
  <c r="AL267"/>
  <c r="I103" i="41"/>
  <c r="K103" s="1"/>
  <c r="L103" s="1"/>
  <c r="M120" s="1"/>
  <c r="J724" i="66" s="1"/>
  <c r="F319" i="6"/>
  <c r="B129" i="25"/>
  <c r="H347"/>
  <c r="B31" i="9"/>
  <c r="S175" i="25"/>
  <c r="S176" s="1"/>
  <c r="S177" s="1"/>
  <c r="S178" s="1"/>
  <c r="U175"/>
  <c r="U176" s="1"/>
  <c r="U177" s="1"/>
  <c r="U178" s="1"/>
  <c r="V175"/>
  <c r="V176" s="1"/>
  <c r="V177" s="1"/>
  <c r="R175"/>
  <c r="R176" s="1"/>
  <c r="R177" s="1"/>
  <c r="R178" s="1"/>
  <c r="W175"/>
  <c r="T175"/>
  <c r="T176" s="1"/>
  <c r="T177" s="1"/>
  <c r="T178" s="1"/>
  <c r="Q175"/>
  <c r="Q176" s="1"/>
  <c r="Q177" s="1"/>
  <c r="Q178" s="1"/>
  <c r="B262"/>
  <c r="B303"/>
  <c r="J534"/>
  <c r="V178"/>
  <c r="P147" i="19"/>
  <c r="P145"/>
  <c r="Z260" i="23"/>
  <c r="AA260" s="1"/>
  <c r="AB260" s="1"/>
  <c r="AC260" s="1"/>
  <c r="AE260" s="1"/>
  <c r="V260"/>
  <c r="W260" s="1"/>
  <c r="X260" s="1"/>
  <c r="Y251" i="9"/>
  <c r="Y255" s="1"/>
  <c r="B78" i="22"/>
  <c r="X26"/>
  <c r="P26"/>
  <c r="I26"/>
  <c r="M26"/>
  <c r="R26"/>
  <c r="J26"/>
  <c r="F26"/>
  <c r="V297" i="18"/>
  <c r="Q296"/>
  <c r="W297"/>
  <c r="G297"/>
  <c r="U297"/>
  <c r="M297"/>
  <c r="W296"/>
  <c r="O296"/>
  <c r="AC163" i="19"/>
  <c r="AC165" s="1"/>
  <c r="AC169" s="1"/>
  <c r="AD243"/>
  <c r="AD280" s="1"/>
  <c r="AD284" s="1"/>
  <c r="AC257"/>
  <c r="AC261" s="1"/>
  <c r="Z258" i="23"/>
  <c r="AA258" s="1"/>
  <c r="AB258" s="1"/>
  <c r="AC258" s="1"/>
  <c r="AD258" s="1"/>
  <c r="V258"/>
  <c r="W258" s="1"/>
  <c r="X258" s="1"/>
  <c r="H174" i="55"/>
  <c r="D180" s="1"/>
  <c r="D193" s="1"/>
  <c r="D152"/>
  <c r="B25" i="57" s="1"/>
  <c r="B92" s="1"/>
  <c r="E30" i="54"/>
  <c r="AI255" i="19"/>
  <c r="AI259" s="1"/>
  <c r="AC57" i="20"/>
  <c r="Z265" i="23"/>
  <c r="AA265" s="1"/>
  <c r="AB265" s="1"/>
  <c r="AC265" s="1"/>
  <c r="AD265" s="1"/>
  <c r="V265"/>
  <c r="W265" s="1"/>
  <c r="X265" s="1"/>
  <c r="S268" i="8"/>
  <c r="AB267" i="19"/>
  <c r="AB275" s="1"/>
  <c r="U271"/>
  <c r="AL268" i="8"/>
  <c r="B255" i="6"/>
  <c r="I112" i="64"/>
  <c r="J112" s="1"/>
  <c r="BB141" i="8"/>
  <c r="BA141"/>
  <c r="S268" i="9"/>
  <c r="C120" i="70"/>
  <c r="G23" i="22"/>
  <c r="P23"/>
  <c r="X199" i="19"/>
  <c r="N47"/>
  <c r="B42" i="22"/>
  <c r="Y42" s="1"/>
  <c r="AH165" i="19"/>
  <c r="Q35" i="22"/>
  <c r="Q21"/>
  <c r="Y21"/>
  <c r="W21"/>
  <c r="Z23"/>
  <c r="D23"/>
  <c r="Y23"/>
  <c r="Q199" i="19"/>
  <c r="P141"/>
  <c r="P148" s="1"/>
  <c r="H33" i="22"/>
  <c r="X24"/>
  <c r="D24"/>
  <c r="R24"/>
  <c r="C24"/>
  <c r="L24"/>
  <c r="V25"/>
  <c r="Z31"/>
  <c r="Q28"/>
  <c r="Z28"/>
  <c r="Q22"/>
  <c r="G22"/>
  <c r="L22"/>
  <c r="K22"/>
  <c r="P43"/>
  <c r="Z43"/>
  <c r="Q29"/>
  <c r="E27"/>
  <c r="V34"/>
  <c r="Q34"/>
  <c r="N80" i="19"/>
  <c r="V159" s="1"/>
  <c r="N85"/>
  <c r="AA159" s="1"/>
  <c r="Z257" s="1"/>
  <c r="Z261" s="1"/>
  <c r="N83"/>
  <c r="Y159" s="1"/>
  <c r="X257" s="1"/>
  <c r="X261" s="1"/>
  <c r="S141"/>
  <c r="P251" i="6"/>
  <c r="I274" s="1"/>
  <c r="G284" s="1"/>
  <c r="I303" s="1"/>
  <c r="I305" s="1"/>
  <c r="Z253" i="23"/>
  <c r="AA253" s="1"/>
  <c r="AB253" s="1"/>
  <c r="AC253" s="1"/>
  <c r="AD253" s="1"/>
  <c r="P265" i="19"/>
  <c r="S427"/>
  <c r="AG427"/>
  <c r="F28" i="54"/>
  <c r="AZ244" i="9"/>
  <c r="AC251"/>
  <c r="G31" i="54"/>
  <c r="AL178" i="19"/>
  <c r="AL180" s="1"/>
  <c r="AL184" s="1"/>
  <c r="J23" i="22"/>
  <c r="X167" i="19"/>
  <c r="X171" s="1"/>
  <c r="X173" s="1"/>
  <c r="X35" i="22"/>
  <c r="L35"/>
  <c r="E21"/>
  <c r="Z21"/>
  <c r="R23"/>
  <c r="N23"/>
  <c r="O33"/>
  <c r="E24"/>
  <c r="F24"/>
  <c r="W24"/>
  <c r="N24"/>
  <c r="G25"/>
  <c r="Z25"/>
  <c r="F22"/>
  <c r="P22"/>
  <c r="N22"/>
  <c r="E22"/>
  <c r="V43"/>
  <c r="K43"/>
  <c r="W29"/>
  <c r="E29"/>
  <c r="G27"/>
  <c r="N34"/>
  <c r="N86" i="19"/>
  <c r="AB159" s="1"/>
  <c r="AC255" s="1"/>
  <c r="AC259" s="1"/>
  <c r="T147"/>
  <c r="Y148"/>
  <c r="T427"/>
  <c r="Z259" i="23"/>
  <c r="AA259" s="1"/>
  <c r="AB259" s="1"/>
  <c r="AC259" s="1"/>
  <c r="AE259" s="1"/>
  <c r="P263" i="19"/>
  <c r="I442" i="66"/>
  <c r="E32" i="54"/>
  <c r="G73" i="64"/>
  <c r="G77" s="1"/>
  <c r="F128" s="1"/>
  <c r="Y306" i="9"/>
  <c r="Q268"/>
  <c r="T477" i="19"/>
  <c r="T479" s="1"/>
  <c r="T481" s="1"/>
  <c r="T483" s="1"/>
  <c r="Q141" i="8"/>
  <c r="AI141" s="1"/>
  <c r="V148" i="19"/>
  <c r="O24" i="22"/>
  <c r="P243" i="19"/>
  <c r="P280" s="1"/>
  <c r="P284" s="1"/>
  <c r="AJ427"/>
  <c r="F37" i="54"/>
  <c r="I174" i="55"/>
  <c r="D181" s="1"/>
  <c r="D489" i="25" s="1"/>
  <c r="F35" i="54"/>
  <c r="I177" i="26"/>
  <c r="J177" s="1"/>
  <c r="G27" i="54"/>
  <c r="I157" i="7"/>
  <c r="I160" s="1"/>
  <c r="I161" s="1"/>
  <c r="R141" i="8"/>
  <c r="L33" i="56"/>
  <c r="G115" i="64"/>
  <c r="F130"/>
  <c r="R163" i="19"/>
  <c r="R167" s="1"/>
  <c r="R255"/>
  <c r="R259" s="1"/>
  <c r="S243"/>
  <c r="L57" i="20"/>
  <c r="S255" i="19"/>
  <c r="S259" s="1"/>
  <c r="R199"/>
  <c r="R245"/>
  <c r="R257"/>
  <c r="R261" s="1"/>
  <c r="N546"/>
  <c r="J203" i="26"/>
  <c r="AD265" i="19"/>
  <c r="AD263"/>
  <c r="AD312"/>
  <c r="AD314" s="1"/>
  <c r="AD139"/>
  <c r="AD143"/>
  <c r="AD144" s="1"/>
  <c r="Z251" i="23"/>
  <c r="AA251" s="1"/>
  <c r="AB251" s="1"/>
  <c r="AC251" s="1"/>
  <c r="V251"/>
  <c r="W251" s="1"/>
  <c r="X251" s="1"/>
  <c r="Z255"/>
  <c r="AA255" s="1"/>
  <c r="AB255" s="1"/>
  <c r="AC255" s="1"/>
  <c r="AE255" s="1"/>
  <c r="V255"/>
  <c r="W255" s="1"/>
  <c r="X255" s="1"/>
  <c r="K46" i="7"/>
  <c r="I47"/>
  <c r="AK148" i="19"/>
  <c r="E39" i="22"/>
  <c r="K39"/>
  <c r="Z39"/>
  <c r="H39"/>
  <c r="C39"/>
  <c r="T39"/>
  <c r="R39"/>
  <c r="Y39"/>
  <c r="P39"/>
  <c r="J39"/>
  <c r="S39"/>
  <c r="G39"/>
  <c r="B36"/>
  <c r="S24"/>
  <c r="S28"/>
  <c r="G31"/>
  <c r="S31"/>
  <c r="N31"/>
  <c r="U31"/>
  <c r="R31"/>
  <c r="M31"/>
  <c r="J31"/>
  <c r="W31"/>
  <c r="D31"/>
  <c r="P31"/>
  <c r="C31"/>
  <c r="F31"/>
  <c r="Q178" i="19"/>
  <c r="Q180" s="1"/>
  <c r="Q182" s="1"/>
  <c r="Q186" s="1"/>
  <c r="Q427"/>
  <c r="Z306" i="9"/>
  <c r="Z248"/>
  <c r="Z251" s="1"/>
  <c r="Z255" s="1"/>
  <c r="BA244"/>
  <c r="N78" i="55"/>
  <c r="BH70" i="60"/>
  <c r="O70"/>
  <c r="C24" i="57"/>
  <c r="C91" s="1"/>
  <c r="R60" i="55"/>
  <c r="AA60" s="1"/>
  <c r="AJ60" s="1"/>
  <c r="AS60" s="1"/>
  <c r="BB60" s="1"/>
  <c r="BK60" s="1"/>
  <c r="V271" i="19"/>
  <c r="V267"/>
  <c r="D723" i="66"/>
  <c r="I65" i="41"/>
  <c r="K64"/>
  <c r="L64" s="1"/>
  <c r="U28" i="22"/>
  <c r="U22"/>
  <c r="U24"/>
  <c r="B38"/>
  <c r="B20"/>
  <c r="C22"/>
  <c r="B30"/>
  <c r="C30" s="1"/>
  <c r="M34"/>
  <c r="M22"/>
  <c r="M28"/>
  <c r="M24"/>
  <c r="N37"/>
  <c r="U37"/>
  <c r="L37"/>
  <c r="W37"/>
  <c r="F37"/>
  <c r="Y37"/>
  <c r="P37"/>
  <c r="J37"/>
  <c r="E37"/>
  <c r="G37"/>
  <c r="Q37"/>
  <c r="X37"/>
  <c r="AC145" i="19"/>
  <c r="AC148" s="1"/>
  <c r="AC147"/>
  <c r="I22" i="22"/>
  <c r="I24"/>
  <c r="AA24" s="1"/>
  <c r="N79" i="19"/>
  <c r="U159" s="1"/>
  <c r="U163" s="1"/>
  <c r="U167" s="1"/>
  <c r="U171" s="1"/>
  <c r="N95"/>
  <c r="AK159" s="1"/>
  <c r="AD257" i="23"/>
  <c r="AE257"/>
  <c r="V267"/>
  <c r="W267" s="1"/>
  <c r="X267" s="1"/>
  <c r="Z267"/>
  <c r="AA267" s="1"/>
  <c r="AB267" s="1"/>
  <c r="AC267" s="1"/>
  <c r="AB178" i="19"/>
  <c r="AB180" s="1"/>
  <c r="AB184" s="1"/>
  <c r="AB188" s="1"/>
  <c r="AB427"/>
  <c r="AH178"/>
  <c r="AH180" s="1"/>
  <c r="AH184" s="1"/>
  <c r="AH427"/>
  <c r="BK244" i="9"/>
  <c r="BK248" s="1"/>
  <c r="BK251" s="1"/>
  <c r="BK255" s="1"/>
  <c r="BB299"/>
  <c r="F155" i="34"/>
  <c r="I129"/>
  <c r="AE312" i="19"/>
  <c r="AE314" s="1"/>
  <c r="AE265"/>
  <c r="AE263"/>
  <c r="G147" i="55"/>
  <c r="G175" s="1"/>
  <c r="R61"/>
  <c r="AA61" s="1"/>
  <c r="AJ61" s="1"/>
  <c r="AS61" s="1"/>
  <c r="BB61" s="1"/>
  <c r="BK61" s="1"/>
  <c r="J146" i="56"/>
  <c r="U59"/>
  <c r="AD59" s="1"/>
  <c r="AM59" s="1"/>
  <c r="AV59" s="1"/>
  <c r="BE59" s="1"/>
  <c r="BN59" s="1"/>
  <c r="L62"/>
  <c r="L63" s="1"/>
  <c r="J163"/>
  <c r="J126" i="67"/>
  <c r="J155"/>
  <c r="N103"/>
  <c r="N126" s="1"/>
  <c r="H96" i="13"/>
  <c r="I94" s="1"/>
  <c r="I106" i="64"/>
  <c r="J106" s="1"/>
  <c r="F133"/>
  <c r="AM245" i="19"/>
  <c r="M296" i="18"/>
  <c r="P297"/>
  <c r="H296"/>
  <c r="O297"/>
  <c r="U296"/>
  <c r="N297"/>
  <c r="S296"/>
  <c r="I113" i="6"/>
  <c r="I114" s="1"/>
  <c r="I115" s="1"/>
  <c r="I48" i="4" s="1"/>
  <c r="I68" i="23"/>
  <c r="K68"/>
  <c r="AJ268" i="8"/>
  <c r="AB268"/>
  <c r="Z165" i="19"/>
  <c r="Z169" s="1"/>
  <c r="P35" i="22"/>
  <c r="Y35"/>
  <c r="U35"/>
  <c r="O35"/>
  <c r="Z35"/>
  <c r="D35"/>
  <c r="X23"/>
  <c r="T23"/>
  <c r="C23"/>
  <c r="W23"/>
  <c r="H23"/>
  <c r="Q23"/>
  <c r="Y257" i="19"/>
  <c r="Y261" s="1"/>
  <c r="AC199"/>
  <c r="AI199"/>
  <c r="T57" i="20"/>
  <c r="AJ255" i="19"/>
  <c r="AJ259" s="1"/>
  <c r="Z199"/>
  <c r="E27" i="54"/>
  <c r="H27" s="1"/>
  <c r="O39" i="22"/>
  <c r="U39"/>
  <c r="M39"/>
  <c r="K33"/>
  <c r="X33"/>
  <c r="C33"/>
  <c r="X31"/>
  <c r="I31"/>
  <c r="O31"/>
  <c r="S26"/>
  <c r="G26"/>
  <c r="S22"/>
  <c r="O43"/>
  <c r="G42"/>
  <c r="AB148" i="19"/>
  <c r="I88" i="66"/>
  <c r="Z256" i="23"/>
  <c r="AA256" s="1"/>
  <c r="AB256" s="1"/>
  <c r="AC256" s="1"/>
  <c r="Z263"/>
  <c r="AA263" s="1"/>
  <c r="AB263" s="1"/>
  <c r="AC263" s="1"/>
  <c r="AE263" s="1"/>
  <c r="V250"/>
  <c r="W250" s="1"/>
  <c r="X250" s="1"/>
  <c r="I696" i="66"/>
  <c r="K147" i="60"/>
  <c r="K17" i="17"/>
  <c r="L17" s="1"/>
  <c r="L24" s="1"/>
  <c r="K18"/>
  <c r="K16"/>
  <c r="AF259" i="23"/>
  <c r="AG259" s="1"/>
  <c r="BM244" i="9"/>
  <c r="BD299"/>
  <c r="BD248"/>
  <c r="BD251" s="1"/>
  <c r="BD255" s="1"/>
  <c r="AK271" i="19"/>
  <c r="AK267"/>
  <c r="Y267"/>
  <c r="Y271"/>
  <c r="J351" i="34"/>
  <c r="E322"/>
  <c r="Z141" i="19"/>
  <c r="Z148" s="1"/>
  <c r="Z147"/>
  <c r="B40" i="22"/>
  <c r="W22"/>
  <c r="Y34"/>
  <c r="Y29"/>
  <c r="H26"/>
  <c r="Z26"/>
  <c r="Y26"/>
  <c r="C26"/>
  <c r="N26"/>
  <c r="Q26"/>
  <c r="D26"/>
  <c r="U26"/>
  <c r="L26"/>
  <c r="V26"/>
  <c r="T26"/>
  <c r="O26"/>
  <c r="X141" i="19"/>
  <c r="X147"/>
  <c r="AA141"/>
  <c r="AA148" s="1"/>
  <c r="AA147"/>
  <c r="AL163"/>
  <c r="AL165" s="1"/>
  <c r="AL169" s="1"/>
  <c r="AL199"/>
  <c r="AF57" i="20"/>
  <c r="N81" i="19"/>
  <c r="W159" s="1"/>
  <c r="Q57" i="20" s="1"/>
  <c r="N90" i="19"/>
  <c r="AF159" s="1"/>
  <c r="AF255" s="1"/>
  <c r="AF259" s="1"/>
  <c r="G274" i="6"/>
  <c r="H274"/>
  <c r="K181" i="23"/>
  <c r="K182" s="1"/>
  <c r="AE178" i="19"/>
  <c r="AE180" s="1"/>
  <c r="AE427"/>
  <c r="U182"/>
  <c r="U184"/>
  <c r="U188" s="1"/>
  <c r="R137"/>
  <c r="L137" s="1"/>
  <c r="L135"/>
  <c r="F174" i="55"/>
  <c r="D178" s="1"/>
  <c r="D150"/>
  <c r="B23" i="57" s="1"/>
  <c r="B90" s="1"/>
  <c r="P306" i="9"/>
  <c r="P299"/>
  <c r="Q299"/>
  <c r="Q248"/>
  <c r="Q251" s="1"/>
  <c r="Q306"/>
  <c r="G32" i="54"/>
  <c r="G33"/>
  <c r="S131" i="28"/>
  <c r="S144"/>
  <c r="S128"/>
  <c r="S142"/>
  <c r="S154"/>
  <c r="S163"/>
  <c r="S116"/>
  <c r="S180"/>
  <c r="S192"/>
  <c r="S147"/>
  <c r="S172"/>
  <c r="S170"/>
  <c r="S120"/>
  <c r="S196"/>
  <c r="S136"/>
  <c r="S129"/>
  <c r="S201"/>
  <c r="S140"/>
  <c r="S125"/>
  <c r="S156"/>
  <c r="S177"/>
  <c r="S113"/>
  <c r="S168"/>
  <c r="S111"/>
  <c r="S127"/>
  <c r="S146"/>
  <c r="S193"/>
  <c r="S166"/>
  <c r="S182"/>
  <c r="S162"/>
  <c r="S164"/>
  <c r="S107"/>
  <c r="S122"/>
  <c r="S176"/>
  <c r="S126"/>
  <c r="S167"/>
  <c r="S148"/>
  <c r="S160"/>
  <c r="S189"/>
  <c r="S149"/>
  <c r="S112"/>
  <c r="S143"/>
  <c r="S124"/>
  <c r="S110"/>
  <c r="S165"/>
  <c r="S169"/>
  <c r="S190"/>
  <c r="S158"/>
  <c r="S185"/>
  <c r="S145"/>
  <c r="S178"/>
  <c r="S119"/>
  <c r="S133"/>
  <c r="S135"/>
  <c r="S179"/>
  <c r="S188"/>
  <c r="S198"/>
  <c r="S183"/>
  <c r="S141"/>
  <c r="S202"/>
  <c r="S121"/>
  <c r="S181"/>
  <c r="S117"/>
  <c r="S187"/>
  <c r="S194"/>
  <c r="S150"/>
  <c r="S137"/>
  <c r="S134"/>
  <c r="S174"/>
  <c r="S171"/>
  <c r="F163" i="55"/>
  <c r="H62"/>
  <c r="H63" s="1"/>
  <c r="Q59"/>
  <c r="Z59" s="1"/>
  <c r="AI59" s="1"/>
  <c r="AR59" s="1"/>
  <c r="BA59" s="1"/>
  <c r="BJ59" s="1"/>
  <c r="T59"/>
  <c r="AC59" s="1"/>
  <c r="AL59" s="1"/>
  <c r="AU59" s="1"/>
  <c r="BD59" s="1"/>
  <c r="BM59" s="1"/>
  <c r="I163"/>
  <c r="AI264" i="9"/>
  <c r="AI268" s="1"/>
  <c r="I54" i="16"/>
  <c r="I53"/>
  <c r="I42"/>
  <c r="Z264" i="9"/>
  <c r="Z268" s="1"/>
  <c r="U264"/>
  <c r="U268" s="1"/>
  <c r="AM273" i="19"/>
  <c r="AI273"/>
  <c r="AE273"/>
  <c r="AA273"/>
  <c r="AA277" s="1"/>
  <c r="W273"/>
  <c r="S273"/>
  <c r="AK273"/>
  <c r="AG273"/>
  <c r="AC273"/>
  <c r="Y273"/>
  <c r="U273"/>
  <c r="Q273"/>
  <c r="AF273"/>
  <c r="X273"/>
  <c r="X277" s="1"/>
  <c r="P273"/>
  <c r="AH273"/>
  <c r="Z273"/>
  <c r="R273"/>
  <c r="AL273"/>
  <c r="AL275" s="1"/>
  <c r="AD273"/>
  <c r="V273"/>
  <c r="I346" i="29"/>
  <c r="I356" s="1"/>
  <c r="I357"/>
  <c r="I358"/>
  <c r="H4" i="15"/>
  <c r="L1000" i="8"/>
  <c r="F205" i="18"/>
  <c r="H3" i="16"/>
  <c r="F204" i="18"/>
  <c r="L271" i="8"/>
  <c r="L271" i="9"/>
  <c r="K319"/>
  <c r="I183" i="66"/>
  <c r="F284" i="18"/>
  <c r="F282"/>
  <c r="F281"/>
  <c r="F283"/>
  <c r="F288"/>
  <c r="F287"/>
  <c r="L298" s="1"/>
  <c r="F289"/>
  <c r="H235" i="6"/>
  <c r="H238" s="1"/>
  <c r="F235"/>
  <c r="F238" s="1"/>
  <c r="N27" i="9"/>
  <c r="N30" i="8"/>
  <c r="M28" i="55"/>
  <c r="I27" i="8"/>
  <c r="H82" i="26" s="1"/>
  <c r="E35" i="54"/>
  <c r="H36" s="1"/>
  <c r="AL277" i="19"/>
  <c r="AM257"/>
  <c r="AM261" s="1"/>
  <c r="Q243"/>
  <c r="J57" i="20"/>
  <c r="N296" i="18"/>
  <c r="Q297"/>
  <c r="I296"/>
  <c r="K297"/>
  <c r="V296"/>
  <c r="J297"/>
  <c r="P296"/>
  <c r="I297"/>
  <c r="L68" i="23"/>
  <c r="E29" i="54"/>
  <c r="H29" s="1"/>
  <c r="H28"/>
  <c r="Z167" i="19"/>
  <c r="Z171" s="1"/>
  <c r="E143" i="70"/>
  <c r="E145" s="1"/>
  <c r="K35" i="22"/>
  <c r="I35"/>
  <c r="C35"/>
  <c r="T35"/>
  <c r="N35"/>
  <c r="V35"/>
  <c r="S23"/>
  <c r="O23"/>
  <c r="Z243" i="19"/>
  <c r="I277" i="6"/>
  <c r="I297" s="1"/>
  <c r="I299" s="1"/>
  <c r="I307" s="1"/>
  <c r="I308" s="1"/>
  <c r="L39" i="22"/>
  <c r="N39"/>
  <c r="X39"/>
  <c r="F33"/>
  <c r="N33"/>
  <c r="O25"/>
  <c r="H31"/>
  <c r="Q31"/>
  <c r="T31"/>
  <c r="O37"/>
  <c r="Z42"/>
  <c r="W147" i="19"/>
  <c r="AJ147"/>
  <c r="P271"/>
  <c r="X188"/>
  <c r="BD306" i="9"/>
  <c r="Q52" i="60"/>
  <c r="Z52" s="1"/>
  <c r="AI52" s="1"/>
  <c r="AR52" s="1"/>
  <c r="BA52" s="1"/>
  <c r="BJ52" s="1"/>
  <c r="BS52" s="1"/>
  <c r="B323" i="34"/>
  <c r="B45" i="22"/>
  <c r="U141" i="19"/>
  <c r="U148" s="1"/>
  <c r="U147"/>
  <c r="N42" i="22"/>
  <c r="K42"/>
  <c r="F42"/>
  <c r="M33"/>
  <c r="Z33"/>
  <c r="D33"/>
  <c r="S33"/>
  <c r="E33"/>
  <c r="Q33"/>
  <c r="R33"/>
  <c r="I33"/>
  <c r="L33"/>
  <c r="V33"/>
  <c r="T33"/>
  <c r="W33"/>
  <c r="W271" i="19"/>
  <c r="W277" s="1"/>
  <c r="W267"/>
  <c r="W275" s="1"/>
  <c r="AH265"/>
  <c r="AH271" s="1"/>
  <c r="AH139"/>
  <c r="AH140" s="1"/>
  <c r="AH143"/>
  <c r="I79" i="30"/>
  <c r="I108"/>
  <c r="I110" s="1"/>
  <c r="J43" i="22"/>
  <c r="H43"/>
  <c r="C43"/>
  <c r="R43"/>
  <c r="D43"/>
  <c r="W43"/>
  <c r="E43"/>
  <c r="T43"/>
  <c r="S43"/>
  <c r="M43"/>
  <c r="Y43"/>
  <c r="F43"/>
  <c r="X25"/>
  <c r="D25"/>
  <c r="P25"/>
  <c r="N25"/>
  <c r="Y25"/>
  <c r="F25"/>
  <c r="R25"/>
  <c r="I25"/>
  <c r="J25"/>
  <c r="L25"/>
  <c r="M25"/>
  <c r="Q25"/>
  <c r="J27"/>
  <c r="Z27"/>
  <c r="Y27"/>
  <c r="R27"/>
  <c r="V27"/>
  <c r="F27"/>
  <c r="X27"/>
  <c r="I27"/>
  <c r="P27"/>
  <c r="L27"/>
  <c r="C27"/>
  <c r="Q27"/>
  <c r="AF140" i="19"/>
  <c r="AF141" s="1"/>
  <c r="AF148" s="1"/>
  <c r="B41" i="22"/>
  <c r="X22"/>
  <c r="X28"/>
  <c r="P178" i="19"/>
  <c r="P180" s="1"/>
  <c r="P427"/>
  <c r="AK178"/>
  <c r="AK180" s="1"/>
  <c r="AK427"/>
  <c r="L465" i="7"/>
  <c r="L502"/>
  <c r="I70" i="66"/>
  <c r="H33" i="54"/>
  <c r="U275" i="19"/>
  <c r="P255"/>
  <c r="P259" s="1"/>
  <c r="P245"/>
  <c r="P294" s="1"/>
  <c r="K296" i="18"/>
  <c r="S297"/>
  <c r="J296"/>
  <c r="R297"/>
  <c r="H297"/>
  <c r="R296"/>
  <c r="E31" i="54"/>
  <c r="H31" s="1"/>
  <c r="R268" i="8"/>
  <c r="E35" i="22"/>
  <c r="M35"/>
  <c r="S35"/>
  <c r="H35"/>
  <c r="R35"/>
  <c r="V23"/>
  <c r="L23"/>
  <c r="F23"/>
  <c r="K23"/>
  <c r="E23"/>
  <c r="AH245" i="19"/>
  <c r="W57" i="20"/>
  <c r="AD255" i="19"/>
  <c r="AD259" s="1"/>
  <c r="V39" i="22"/>
  <c r="I39"/>
  <c r="W39"/>
  <c r="G33"/>
  <c r="Y33"/>
  <c r="P33"/>
  <c r="S25"/>
  <c r="Y31"/>
  <c r="L31"/>
  <c r="E31"/>
  <c r="W26"/>
  <c r="K26"/>
  <c r="E26"/>
  <c r="L42"/>
  <c r="S34"/>
  <c r="F274" i="6"/>
  <c r="B32" i="22"/>
  <c r="AC427" i="19"/>
  <c r="X427"/>
  <c r="V85" i="18"/>
  <c r="Z249" i="23"/>
  <c r="AA249" s="1"/>
  <c r="AB249" s="1"/>
  <c r="AC249" s="1"/>
  <c r="AD249" s="1"/>
  <c r="O65" i="37"/>
  <c r="Q65" s="1"/>
  <c r="E37" i="54" s="1"/>
  <c r="H37" s="1"/>
  <c r="AL182" i="19"/>
  <c r="AL186" s="1"/>
  <c r="K70" i="41"/>
  <c r="L70" s="1"/>
  <c r="M89" s="1"/>
  <c r="AB271" i="19"/>
  <c r="AB277" s="1"/>
  <c r="H282" i="67"/>
  <c r="I282"/>
  <c r="J282"/>
  <c r="I142"/>
  <c r="M142" s="1"/>
  <c r="W178" i="19"/>
  <c r="W180" s="1"/>
  <c r="W427"/>
  <c r="BC248" i="9"/>
  <c r="BC251" s="1"/>
  <c r="BC255" s="1"/>
  <c r="BC299"/>
  <c r="BL244"/>
  <c r="D149" i="56"/>
  <c r="B39" i="57" s="1"/>
  <c r="B101" s="1"/>
  <c r="E174" i="56"/>
  <c r="D177" s="1"/>
  <c r="D190" s="1"/>
  <c r="E174" i="55"/>
  <c r="D177" s="1"/>
  <c r="D485" i="25" s="1"/>
  <c r="D149" i="55"/>
  <c r="B22" i="57" s="1"/>
  <c r="B89" s="1"/>
  <c r="S267" i="19"/>
  <c r="S271"/>
  <c r="T306" i="9"/>
  <c r="T248"/>
  <c r="T251" s="1"/>
  <c r="T255" s="1"/>
  <c r="S95" i="34"/>
  <c r="S98"/>
  <c r="AC271" i="19"/>
  <c r="AC277" s="1"/>
  <c r="AC267"/>
  <c r="AC275" s="1"/>
  <c r="Z267"/>
  <c r="Z275" s="1"/>
  <c r="Z271"/>
  <c r="Z277" s="1"/>
  <c r="T267"/>
  <c r="T275" s="1"/>
  <c r="T271"/>
  <c r="T277" s="1"/>
  <c r="C26" i="57"/>
  <c r="C93" s="1"/>
  <c r="T60" i="55"/>
  <c r="AC60" s="1"/>
  <c r="AL60" s="1"/>
  <c r="AU60" s="1"/>
  <c r="BD60" s="1"/>
  <c r="BM60" s="1"/>
  <c r="P60" i="56"/>
  <c r="Y60" s="1"/>
  <c r="AH60" s="1"/>
  <c r="AQ60" s="1"/>
  <c r="AZ60" s="1"/>
  <c r="BI60" s="1"/>
  <c r="C39" i="57"/>
  <c r="C101" s="1"/>
  <c r="R59" i="56"/>
  <c r="AA59" s="1"/>
  <c r="AJ59" s="1"/>
  <c r="AS59" s="1"/>
  <c r="BB59" s="1"/>
  <c r="BK59" s="1"/>
  <c r="I62"/>
  <c r="I63" s="1"/>
  <c r="G163"/>
  <c r="G146"/>
  <c r="AK264" i="9"/>
  <c r="AK268" s="1"/>
  <c r="I50" i="16"/>
  <c r="AB264" i="9"/>
  <c r="AB268" s="1"/>
  <c r="I49" i="16"/>
  <c r="J39" i="40"/>
  <c r="G48"/>
  <c r="J48" s="1"/>
  <c r="M215" i="18"/>
  <c r="AE137" i="9"/>
  <c r="I39" i="56"/>
  <c r="G75" i="8"/>
  <c r="M75" s="1"/>
  <c r="M76" s="1"/>
  <c r="BE122" s="1"/>
  <c r="G31" i="60"/>
  <c r="N31" s="1"/>
  <c r="N32" s="1"/>
  <c r="Z29" i="22"/>
  <c r="Q147" i="19"/>
  <c r="AL188"/>
  <c r="W28" i="22"/>
  <c r="H40" i="58"/>
  <c r="J40" s="1"/>
  <c r="V178" i="19"/>
  <c r="V180" s="1"/>
  <c r="AI180"/>
  <c r="AI182" s="1"/>
  <c r="D490" i="25"/>
  <c r="I41" i="15"/>
  <c r="I43"/>
  <c r="L58" i="23"/>
  <c r="G329" i="6"/>
  <c r="G332" s="1"/>
  <c r="J296"/>
  <c r="I319"/>
  <c r="I321" s="1"/>
  <c r="I324" s="1"/>
  <c r="G319"/>
  <c r="G321" s="1"/>
  <c r="G324" s="1"/>
  <c r="H108" i="30"/>
  <c r="H110" s="1"/>
  <c r="M49" i="9"/>
  <c r="I42" i="15"/>
  <c r="T264" i="8"/>
  <c r="T268" s="1"/>
  <c r="AC264"/>
  <c r="AC268" s="1"/>
  <c r="I126" i="67"/>
  <c r="I128" s="1"/>
  <c r="I108"/>
  <c r="G355" i="29"/>
  <c r="G356"/>
  <c r="L145" i="25"/>
  <c r="N93"/>
  <c r="BC141" i="8"/>
  <c r="S141"/>
  <c r="AK141" s="1"/>
  <c r="P141"/>
  <c r="AH141" s="1"/>
  <c r="AZ141"/>
  <c r="H329" i="6"/>
  <c r="H332" s="1"/>
  <c r="H321"/>
  <c r="H324" s="1"/>
  <c r="Z178" i="19"/>
  <c r="Z180" s="1"/>
  <c r="Z184" s="1"/>
  <c r="Z188" s="1"/>
  <c r="Z427"/>
  <c r="AF78" i="55"/>
  <c r="BP78"/>
  <c r="Q265" i="19"/>
  <c r="Q263"/>
  <c r="C27" i="57"/>
  <c r="C94" s="1"/>
  <c r="U60" i="55"/>
  <c r="AD60" s="1"/>
  <c r="AM60" s="1"/>
  <c r="AV60" s="1"/>
  <c r="BE60" s="1"/>
  <c r="BN60" s="1"/>
  <c r="C43" i="57"/>
  <c r="C105" s="1"/>
  <c r="T60" i="56"/>
  <c r="AC60" s="1"/>
  <c r="AL60" s="1"/>
  <c r="AU60" s="1"/>
  <c r="BD60" s="1"/>
  <c r="BM60" s="1"/>
  <c r="J147" i="60"/>
  <c r="T52"/>
  <c r="AC52" s="1"/>
  <c r="AL52" s="1"/>
  <c r="AU52" s="1"/>
  <c r="BD52" s="1"/>
  <c r="BM52" s="1"/>
  <c r="BV52" s="1"/>
  <c r="AF265" i="19"/>
  <c r="AF312"/>
  <c r="AF314" s="1"/>
  <c r="AF263"/>
  <c r="I54" i="60"/>
  <c r="I55" s="1"/>
  <c r="S51"/>
  <c r="AB51" s="1"/>
  <c r="AK51" s="1"/>
  <c r="AT51" s="1"/>
  <c r="BC51" s="1"/>
  <c r="BL51" s="1"/>
  <c r="BU51" s="1"/>
  <c r="L351" i="34"/>
  <c r="G322"/>
  <c r="T61" i="55"/>
  <c r="AC61" s="1"/>
  <c r="AL61" s="1"/>
  <c r="AU61" s="1"/>
  <c r="BD61" s="1"/>
  <c r="BM61" s="1"/>
  <c r="I147"/>
  <c r="I175" s="1"/>
  <c r="M62"/>
  <c r="M63" s="1"/>
  <c r="K163"/>
  <c r="K146"/>
  <c r="P59" i="56"/>
  <c r="Y59" s="1"/>
  <c r="AH59" s="1"/>
  <c r="AQ59" s="1"/>
  <c r="AZ59" s="1"/>
  <c r="BI59" s="1"/>
  <c r="E163"/>
  <c r="N198" i="25"/>
  <c r="L553"/>
  <c r="L555" s="1"/>
  <c r="L557" s="1"/>
  <c r="L559" s="1"/>
  <c r="I31" i="15"/>
  <c r="AH264" i="8"/>
  <c r="AH268" s="1"/>
  <c r="P264"/>
  <c r="P268" s="1"/>
  <c r="I54" i="15"/>
  <c r="I34"/>
  <c r="I35"/>
  <c r="Y264" i="8"/>
  <c r="Y268" s="1"/>
  <c r="H51" i="30"/>
  <c r="H54" s="1"/>
  <c r="I607" i="66" s="1"/>
  <c r="I605"/>
  <c r="I49" i="15"/>
  <c r="I48"/>
  <c r="U264" i="8"/>
  <c r="U268" s="1"/>
  <c r="AM264"/>
  <c r="AM268" s="1"/>
  <c r="AM270" s="1"/>
  <c r="AM274" s="1"/>
  <c r="I47" i="15"/>
  <c r="AD264" i="8"/>
  <c r="AD268" s="1"/>
  <c r="I46" i="15"/>
  <c r="R264" i="9"/>
  <c r="R268" s="1"/>
  <c r="AA264"/>
  <c r="AA268" s="1"/>
  <c r="I46" i="16"/>
  <c r="AL264" i="9"/>
  <c r="AL268" s="1"/>
  <c r="T264"/>
  <c r="T268" s="1"/>
  <c r="I45" i="16"/>
  <c r="AC264" i="9"/>
  <c r="AC268" s="1"/>
  <c r="BD264" i="8"/>
  <c r="BD268" s="1"/>
  <c r="AZ264"/>
  <c r="AZ268" s="1"/>
  <c r="BE264"/>
  <c r="BE268" s="1"/>
  <c r="BB264"/>
  <c r="BB268" s="1"/>
  <c r="F355" i="25"/>
  <c r="G356" s="1"/>
  <c r="J605"/>
  <c r="J609" s="1"/>
  <c r="J613" s="1"/>
  <c r="L100"/>
  <c r="I334" i="6"/>
  <c r="M33" i="55"/>
  <c r="AJ180" i="19"/>
  <c r="AJ184" s="1"/>
  <c r="AJ188" s="1"/>
  <c r="Y180"/>
  <c r="Y182" s="1"/>
  <c r="Y186" s="1"/>
  <c r="L87" i="9"/>
  <c r="I58" i="23"/>
  <c r="F696" i="66"/>
  <c r="M103" i="67"/>
  <c r="M126" s="1"/>
  <c r="I93" i="13"/>
  <c r="F321" i="6"/>
  <c r="F324" s="1"/>
  <c r="F334" s="1"/>
  <c r="J40" i="40"/>
  <c r="G358" i="29"/>
  <c r="AB141" i="8"/>
  <c r="Y141"/>
  <c r="AA251" i="9"/>
  <c r="AA255" s="1"/>
  <c r="M28" i="60"/>
  <c r="T180" i="19"/>
  <c r="T184" s="1"/>
  <c r="T188" s="1"/>
  <c r="R178"/>
  <c r="R180" s="1"/>
  <c r="R184" s="1"/>
  <c r="AM178"/>
  <c r="AM180" s="1"/>
  <c r="AM182" s="1"/>
  <c r="AG180"/>
  <c r="AG184" s="1"/>
  <c r="S251" i="9"/>
  <c r="E290" i="18"/>
  <c r="L300"/>
  <c r="I324" i="62"/>
  <c r="M51" i="9"/>
  <c r="I173" i="62"/>
  <c r="I175" s="1"/>
  <c r="I177" s="1"/>
  <c r="I187" s="1"/>
  <c r="I195" s="1"/>
  <c r="AF180" i="19"/>
  <c r="AF182" s="1"/>
  <c r="AD178"/>
  <c r="AD180" s="1"/>
  <c r="AD182" s="1"/>
  <c r="AA178"/>
  <c r="AA180" s="1"/>
  <c r="AY70" i="60"/>
  <c r="J160" i="30"/>
  <c r="G136" i="60" s="1"/>
  <c r="G138" s="1"/>
  <c r="M37" i="9"/>
  <c r="M41" s="1"/>
  <c r="M62" s="1"/>
  <c r="L36" i="25"/>
  <c r="G42" s="1"/>
  <c r="F65" s="1"/>
  <c r="I65" s="1"/>
  <c r="B103"/>
  <c r="AV309" i="8"/>
  <c r="D73" i="64"/>
  <c r="G66" i="25"/>
  <c r="I42"/>
  <c r="K411" s="1"/>
  <c r="L411" s="1"/>
  <c r="L126"/>
  <c r="F64"/>
  <c r="I64" s="1"/>
  <c r="F66"/>
  <c r="N364"/>
  <c r="N358"/>
  <c r="K366" s="1"/>
  <c r="F174"/>
  <c r="J174"/>
  <c r="I174"/>
  <c r="M174"/>
  <c r="H174"/>
  <c r="L174"/>
  <c r="G174"/>
  <c r="B125"/>
  <c r="J184"/>
  <c r="J186" s="1"/>
  <c r="M173"/>
  <c r="M175" s="1"/>
  <c r="I364"/>
  <c r="AV313" i="8"/>
  <c r="L137" i="25"/>
  <c r="L139" s="1"/>
  <c r="AX308" i="9"/>
  <c r="AX312" s="1"/>
  <c r="B313" i="25"/>
  <c r="L251"/>
  <c r="AV316" i="9"/>
  <c r="G358" i="25"/>
  <c r="B469"/>
  <c r="P282" i="19"/>
  <c r="P286" s="1"/>
  <c r="Q83" i="4"/>
  <c r="I70" i="7"/>
  <c r="AM163" i="19"/>
  <c r="AM165" s="1"/>
  <c r="AM243"/>
  <c r="AM255"/>
  <c r="AM259" s="1"/>
  <c r="AM199"/>
  <c r="AL257"/>
  <c r="AL261" s="1"/>
  <c r="AG57" i="20"/>
  <c r="AL245" i="19"/>
  <c r="AE163"/>
  <c r="AE165" s="1"/>
  <c r="AE169" s="1"/>
  <c r="AE255"/>
  <c r="AE259" s="1"/>
  <c r="AE243"/>
  <c r="Y57" i="20"/>
  <c r="AE245" i="19"/>
  <c r="AD245"/>
  <c r="AE199"/>
  <c r="AD257"/>
  <c r="AD261" s="1"/>
  <c r="AE257"/>
  <c r="AE261" s="1"/>
  <c r="R34" i="22"/>
  <c r="U34"/>
  <c r="C34"/>
  <c r="Z34"/>
  <c r="K34"/>
  <c r="H34"/>
  <c r="O34"/>
  <c r="J34"/>
  <c r="F34"/>
  <c r="X34"/>
  <c r="L34"/>
  <c r="I34"/>
  <c r="G34"/>
  <c r="O57" i="20"/>
  <c r="W199" i="19"/>
  <c r="AF252" i="23"/>
  <c r="AG252" s="1"/>
  <c r="AD252"/>
  <c r="AF266"/>
  <c r="AG266" s="1"/>
  <c r="AD266"/>
  <c r="AF250"/>
  <c r="AG250" s="1"/>
  <c r="AE250"/>
  <c r="M82" i="41"/>
  <c r="G40" i="58"/>
  <c r="I40" s="1"/>
  <c r="G13"/>
  <c r="G722" i="66"/>
  <c r="W184" i="19"/>
  <c r="W188" s="1"/>
  <c r="W182"/>
  <c r="W186" s="1"/>
  <c r="AG263"/>
  <c r="AG143"/>
  <c r="AG265"/>
  <c r="AG312"/>
  <c r="AG314" s="1"/>
  <c r="AG139"/>
  <c r="AC255" i="9"/>
  <c r="I167" i="7"/>
  <c r="T29" i="22"/>
  <c r="I29"/>
  <c r="C29"/>
  <c r="H29"/>
  <c r="G29"/>
  <c r="O29"/>
  <c r="Q270" i="23"/>
  <c r="AF254"/>
  <c r="AG254" s="1"/>
  <c r="AD254"/>
  <c r="AF267"/>
  <c r="AG267" s="1"/>
  <c r="AE267"/>
  <c r="D191" i="55"/>
  <c r="D486" i="25"/>
  <c r="AM251" i="9"/>
  <c r="AM255" s="1"/>
  <c r="AD255"/>
  <c r="R143" i="19"/>
  <c r="R263"/>
  <c r="R312"/>
  <c r="R265"/>
  <c r="R139"/>
  <c r="AM263"/>
  <c r="AM265"/>
  <c r="AM139"/>
  <c r="AM312"/>
  <c r="AM314" s="1"/>
  <c r="AM143"/>
  <c r="G20" i="22"/>
  <c r="X20"/>
  <c r="Q20"/>
  <c r="K20"/>
  <c r="P20"/>
  <c r="V20"/>
  <c r="L20"/>
  <c r="Z20"/>
  <c r="M20"/>
  <c r="N20"/>
  <c r="F20"/>
  <c r="I20"/>
  <c r="P163" i="19"/>
  <c r="P165" s="1"/>
  <c r="P169" s="1"/>
  <c r="AD163"/>
  <c r="X57" i="20"/>
  <c r="AE265" i="23"/>
  <c r="AF264"/>
  <c r="AG264" s="1"/>
  <c r="AE264"/>
  <c r="AF260"/>
  <c r="AG260" s="1"/>
  <c r="AD260"/>
  <c r="AF262"/>
  <c r="AG262" s="1"/>
  <c r="AE262"/>
  <c r="P182" i="19"/>
  <c r="P186" s="1"/>
  <c r="P184"/>
  <c r="P188" s="1"/>
  <c r="R485"/>
  <c r="AH182"/>
  <c r="S184"/>
  <c r="S182"/>
  <c r="S186" s="1"/>
  <c r="AC182"/>
  <c r="AC186" s="1"/>
  <c r="AC184"/>
  <c r="AC188" s="1"/>
  <c r="R479"/>
  <c r="R481" s="1"/>
  <c r="S255" i="9"/>
  <c r="AK251"/>
  <c r="AK255" s="1"/>
  <c r="D488" i="25"/>
  <c r="K29" i="22"/>
  <c r="V29"/>
  <c r="U29"/>
  <c r="R29"/>
  <c r="X29"/>
  <c r="AD267" i="23"/>
  <c r="AF255"/>
  <c r="AG255" s="1"/>
  <c r="AF261"/>
  <c r="AG261" s="1"/>
  <c r="AD261"/>
  <c r="AF258"/>
  <c r="AG258" s="1"/>
  <c r="AE258"/>
  <c r="J187"/>
  <c r="AA184" i="19"/>
  <c r="AA188" s="1"/>
  <c r="AA182"/>
  <c r="AA186" s="1"/>
  <c r="AI184"/>
  <c r="P255" i="9"/>
  <c r="BK306"/>
  <c r="AI265" i="19"/>
  <c r="AI139"/>
  <c r="AI312"/>
  <c r="AI314" s="1"/>
  <c r="AI263"/>
  <c r="AI143"/>
  <c r="F361" i="34"/>
  <c r="F363" s="1"/>
  <c r="F188" i="30"/>
  <c r="F189" s="1"/>
  <c r="D487" i="25"/>
  <c r="D192" i="55"/>
  <c r="AE254" i="23"/>
  <c r="AD255"/>
  <c r="AE141" i="19"/>
  <c r="AH141"/>
  <c r="S144"/>
  <c r="AE145"/>
  <c r="Q145"/>
  <c r="Z268" i="23"/>
  <c r="AA268" s="1"/>
  <c r="AB268" s="1"/>
  <c r="AC268" s="1"/>
  <c r="BN306" i="9"/>
  <c r="AM141" i="8"/>
  <c r="AB147" i="19"/>
  <c r="BN299" i="9"/>
  <c r="BA272" i="8"/>
  <c r="BD272"/>
  <c r="AZ272"/>
  <c r="BF272"/>
  <c r="BE272"/>
  <c r="BB272"/>
  <c r="BC272"/>
  <c r="I109" i="64"/>
  <c r="J109" s="1"/>
  <c r="T141" i="8"/>
  <c r="BM141"/>
  <c r="L103" i="67"/>
  <c r="T461" i="19"/>
  <c r="T463" s="1"/>
  <c r="J302" i="6"/>
  <c r="J215" i="18"/>
  <c r="N215"/>
  <c r="V216"/>
  <c r="U216"/>
  <c r="H79" i="30"/>
  <c r="F49" i="40"/>
  <c r="J49" s="1"/>
  <c r="G47"/>
  <c r="J47" s="1"/>
  <c r="I63" i="30"/>
  <c r="J104"/>
  <c r="L95" i="25"/>
  <c r="BO141" i="8"/>
  <c r="V141"/>
  <c r="BE141"/>
  <c r="AD141"/>
  <c r="M55" i="9"/>
  <c r="M53"/>
  <c r="I27"/>
  <c r="N30"/>
  <c r="G357" i="25"/>
  <c r="S215" i="18"/>
  <c r="I216"/>
  <c r="BF141" i="8"/>
  <c r="BN141"/>
  <c r="AC141"/>
  <c r="AJ141"/>
  <c r="C55" i="16"/>
  <c r="D49" s="1"/>
  <c r="T182" i="19" l="1"/>
  <c r="T186" s="1"/>
  <c r="AD184"/>
  <c r="P277"/>
  <c r="AJ251" i="9"/>
  <c r="AJ255" s="1"/>
  <c r="AO78" i="55"/>
  <c r="U277" i="19"/>
  <c r="L296" i="25"/>
  <c r="I304" i="66"/>
  <c r="L284" i="25"/>
  <c r="L310"/>
  <c r="F62"/>
  <c r="I62" s="1"/>
  <c r="X245" i="19"/>
  <c r="Y199"/>
  <c r="Y255"/>
  <c r="Y259" s="1"/>
  <c r="R182"/>
  <c r="M31" i="60"/>
  <c r="T270" i="9"/>
  <c r="T274" s="1"/>
  <c r="T276" s="1"/>
  <c r="R270"/>
  <c r="R274" s="1"/>
  <c r="R276" s="1"/>
  <c r="AC245" i="19"/>
  <c r="AC282" s="1"/>
  <c r="AC286" s="1"/>
  <c r="AI165"/>
  <c r="AI167"/>
  <c r="K215" i="18"/>
  <c r="AJ199" i="19"/>
  <c r="AK268" i="8"/>
  <c r="R216" i="18"/>
  <c r="Y245" i="19"/>
  <c r="Y294" s="1"/>
  <c r="Z298" s="1"/>
  <c r="Y163"/>
  <c r="Y167" s="1"/>
  <c r="Y171" s="1"/>
  <c r="Y243"/>
  <c r="S57" i="20"/>
  <c r="Q184" i="19"/>
  <c r="AL270" i="9"/>
  <c r="AL274" s="1"/>
  <c r="AL276" s="1"/>
  <c r="I215" i="18"/>
  <c r="AB270" i="9"/>
  <c r="AB274" s="1"/>
  <c r="AB276" s="1"/>
  <c r="AI243" i="19"/>
  <c r="AC167"/>
  <c r="AC171" s="1"/>
  <c r="Q255"/>
  <c r="Q259" s="1"/>
  <c r="Q257"/>
  <c r="Q261" s="1"/>
  <c r="AH255"/>
  <c r="AH259" s="1"/>
  <c r="AH167"/>
  <c r="AH257"/>
  <c r="AH261" s="1"/>
  <c r="AJ163"/>
  <c r="AJ165" s="1"/>
  <c r="AJ169" s="1"/>
  <c r="T167"/>
  <c r="T171" s="1"/>
  <c r="AH243"/>
  <c r="AG245"/>
  <c r="AD270" i="9"/>
  <c r="AD274" s="1"/>
  <c r="AD276" s="1"/>
  <c r="BC122" i="8"/>
  <c r="BC347" s="1"/>
  <c r="Q215" i="18"/>
  <c r="AF243" i="19"/>
  <c r="AA270" i="9"/>
  <c r="AA274" s="1"/>
  <c r="AA276" s="1"/>
  <c r="U215" i="18"/>
  <c r="AK270" i="9"/>
  <c r="AK274" s="1"/>
  <c r="AK276" s="1"/>
  <c r="AD57" i="20"/>
  <c r="N99" i="19"/>
  <c r="AH169"/>
  <c r="AJ245"/>
  <c r="R243"/>
  <c r="AB57" i="20"/>
  <c r="O215" i="18"/>
  <c r="M216"/>
  <c r="K216"/>
  <c r="P215"/>
  <c r="G215"/>
  <c r="AC270" i="9"/>
  <c r="AC274" s="1"/>
  <c r="AC276" s="1"/>
  <c r="AL167" i="19"/>
  <c r="AL171" s="1"/>
  <c r="P257"/>
  <c r="P261" s="1"/>
  <c r="AI257"/>
  <c r="AI261" s="1"/>
  <c r="Z255"/>
  <c r="Z259" s="1"/>
  <c r="Q245"/>
  <c r="R215" i="18"/>
  <c r="Q167" i="19"/>
  <c r="Q171" s="1"/>
  <c r="AG257"/>
  <c r="AG261" s="1"/>
  <c r="K57" i="20"/>
  <c r="Q165" i="19"/>
  <c r="Q169" s="1"/>
  <c r="AH199"/>
  <c r="T199"/>
  <c r="J238" i="6"/>
  <c r="J49" i="4" s="1"/>
  <c r="R87" s="1"/>
  <c r="T165" i="19"/>
  <c r="T169" s="1"/>
  <c r="S257"/>
  <c r="S261" s="1"/>
  <c r="AK257"/>
  <c r="AK261" s="1"/>
  <c r="T255"/>
  <c r="T259" s="1"/>
  <c r="T243"/>
  <c r="AF184"/>
  <c r="AF188" s="1"/>
  <c r="P292"/>
  <c r="AM296" s="1"/>
  <c r="AJ243"/>
  <c r="AJ292" s="1"/>
  <c r="AI296" s="1"/>
  <c r="S245"/>
  <c r="S282" s="1"/>
  <c r="S286" s="1"/>
  <c r="V215" i="18"/>
  <c r="H215"/>
  <c r="I32" i="15"/>
  <c r="I33"/>
  <c r="AM184" i="19"/>
  <c r="BL64" i="60"/>
  <c r="F63" i="25"/>
  <c r="I63" s="1"/>
  <c r="T278" i="8"/>
  <c r="BM278" s="1"/>
  <c r="AG182" i="19"/>
  <c r="BK64" i="60"/>
  <c r="BO58"/>
  <c r="BO60" s="1"/>
  <c r="AM270" i="9"/>
  <c r="AM274" s="1"/>
  <c r="AM276" s="1"/>
  <c r="O216" i="18"/>
  <c r="M39" i="60"/>
  <c r="BM58"/>
  <c r="BM60" s="1"/>
  <c r="U270" i="9"/>
  <c r="U274" s="1"/>
  <c r="U276" s="1"/>
  <c r="I168" i="7"/>
  <c r="I169" s="1"/>
  <c r="AJ280" i="19"/>
  <c r="AJ284" s="1"/>
  <c r="X275"/>
  <c r="BB270" i="8"/>
  <c r="BB274" s="1"/>
  <c r="BB276" s="1"/>
  <c r="AD270"/>
  <c r="AD274" s="1"/>
  <c r="AD276" s="1"/>
  <c r="Y270"/>
  <c r="Y274" s="1"/>
  <c r="Y276" s="1"/>
  <c r="P270"/>
  <c r="P274" s="1"/>
  <c r="P276" s="1"/>
  <c r="AC270"/>
  <c r="AC274" s="1"/>
  <c r="AC276" s="1"/>
  <c r="S277" i="19"/>
  <c r="P42" i="22"/>
  <c r="AA255" i="19"/>
  <c r="AA259" s="1"/>
  <c r="R270" i="8"/>
  <c r="R274" s="1"/>
  <c r="R276" s="1"/>
  <c r="I42" i="22"/>
  <c r="D42"/>
  <c r="E42"/>
  <c r="AD292" i="19"/>
  <c r="AC296" s="1"/>
  <c r="V42" i="22"/>
  <c r="AA21"/>
  <c r="AM167" i="19"/>
  <c r="AM276" i="8"/>
  <c r="BA122"/>
  <c r="BA129" s="1"/>
  <c r="I355" i="29"/>
  <c r="AF186" i="19"/>
  <c r="D194" i="55"/>
  <c r="AJ182" i="19"/>
  <c r="AJ186" s="1"/>
  <c r="AJ190" s="1"/>
  <c r="H30" i="22"/>
  <c r="T485" i="19"/>
  <c r="T487" s="1"/>
  <c r="T489" s="1"/>
  <c r="T491" s="1"/>
  <c r="W163"/>
  <c r="BB122" i="8"/>
  <c r="BB129" s="1"/>
  <c r="AF147" i="19"/>
  <c r="AH251" i="9"/>
  <c r="AH255" s="1"/>
  <c r="AF265" i="23"/>
  <c r="AG265" s="1"/>
  <c r="BM64" i="60"/>
  <c r="BM66" s="1"/>
  <c r="BN58"/>
  <c r="BP58"/>
  <c r="BP60" s="1"/>
  <c r="BN64"/>
  <c r="BD270" i="8"/>
  <c r="BD274" s="1"/>
  <c r="BD276" s="1"/>
  <c r="U270"/>
  <c r="U274" s="1"/>
  <c r="U276" s="1"/>
  <c r="T42" i="22"/>
  <c r="AC243" i="19"/>
  <c r="AC292" s="1"/>
  <c r="AB296" s="1"/>
  <c r="O42" i="22"/>
  <c r="R42"/>
  <c r="C42"/>
  <c r="AE253" i="23"/>
  <c r="W42" i="22"/>
  <c r="AB245" i="19"/>
  <c r="AB282" s="1"/>
  <c r="AB286" s="1"/>
  <c r="AD259" i="23"/>
  <c r="Z245" i="19"/>
  <c r="Z294" s="1"/>
  <c r="AA298" s="1"/>
  <c r="AD271"/>
  <c r="BO64" i="60"/>
  <c r="BO66" s="1"/>
  <c r="BK58"/>
  <c r="BK60" s="1"/>
  <c r="BJ58"/>
  <c r="AL251" i="9"/>
  <c r="AL255" s="1"/>
  <c r="BE270" i="8"/>
  <c r="BE274" s="1"/>
  <c r="BE276" s="1"/>
  <c r="AH270"/>
  <c r="AH274" s="1"/>
  <c r="AH276" s="1"/>
  <c r="Q271" i="19"/>
  <c r="Q277" s="1"/>
  <c r="T270" i="8"/>
  <c r="T274" s="1"/>
  <c r="T276" s="1"/>
  <c r="S275" i="19"/>
  <c r="X42" i="22"/>
  <c r="H42"/>
  <c r="M42"/>
  <c r="H35" i="54"/>
  <c r="AF253" i="23"/>
  <c r="AG253" s="1"/>
  <c r="W178" i="25"/>
  <c r="W179" s="1"/>
  <c r="W180" s="1"/>
  <c r="W181" s="1"/>
  <c r="E411"/>
  <c r="F411" s="1"/>
  <c r="G411" s="1"/>
  <c r="K418"/>
  <c r="L418" s="1"/>
  <c r="S179"/>
  <c r="W176"/>
  <c r="W177" s="1"/>
  <c r="G729" i="66"/>
  <c r="E418" i="25"/>
  <c r="F418" s="1"/>
  <c r="H418" s="1"/>
  <c r="J539"/>
  <c r="J540"/>
  <c r="L146"/>
  <c r="AB163" i="19"/>
  <c r="AB165" s="1"/>
  <c r="AB169" s="1"/>
  <c r="V57" i="20"/>
  <c r="AB243" i="19"/>
  <c r="AB199"/>
  <c r="AA257"/>
  <c r="AA261" s="1"/>
  <c r="G361" i="29"/>
  <c r="G371" s="1"/>
  <c r="G372" s="1"/>
  <c r="AL173" i="19"/>
  <c r="AK277"/>
  <c r="AJ270" i="8"/>
  <c r="AJ274" s="1"/>
  <c r="AJ276" s="1"/>
  <c r="P278"/>
  <c r="AH278" s="1"/>
  <c r="BI244" i="9"/>
  <c r="AZ248"/>
  <c r="AZ251" s="1"/>
  <c r="AZ255" s="1"/>
  <c r="AZ306"/>
  <c r="AZ299"/>
  <c r="AI282" i="19"/>
  <c r="AI286" s="1"/>
  <c r="AI294"/>
  <c r="AJ298" s="1"/>
  <c r="D51" i="16"/>
  <c r="H334" i="6"/>
  <c r="H254" s="1"/>
  <c r="AX78" i="55"/>
  <c r="AC173" i="19"/>
  <c r="I91" i="13"/>
  <c r="AD278" i="8"/>
  <c r="AA37" i="22"/>
  <c r="AA22"/>
  <c r="AK270" i="8"/>
  <c r="AK274" s="1"/>
  <c r="AK276" s="1"/>
  <c r="P267" i="19"/>
  <c r="P275" s="1"/>
  <c r="V163"/>
  <c r="V167" s="1"/>
  <c r="V171" s="1"/>
  <c r="P57" i="20"/>
  <c r="V199" i="19"/>
  <c r="AA163"/>
  <c r="AA167" s="1"/>
  <c r="AA171" s="1"/>
  <c r="AA245"/>
  <c r="U57" i="20"/>
  <c r="AA243" i="19"/>
  <c r="AB255"/>
  <c r="AB259" s="1"/>
  <c r="AA199"/>
  <c r="J42" i="22"/>
  <c r="Q42"/>
  <c r="U42"/>
  <c r="S42"/>
  <c r="D47" i="16"/>
  <c r="D35"/>
  <c r="G334" i="6"/>
  <c r="F254" s="1"/>
  <c r="J254" s="1"/>
  <c r="BG78" i="55"/>
  <c r="AN427" i="19"/>
  <c r="N427" s="1"/>
  <c r="N430" s="1"/>
  <c r="N432" s="1"/>
  <c r="N434" s="1"/>
  <c r="E19" i="6" s="1"/>
  <c r="AA27" i="22"/>
  <c r="AA270" i="8"/>
  <c r="AA274" s="1"/>
  <c r="AA276" s="1"/>
  <c r="AB257" i="19"/>
  <c r="AB261" s="1"/>
  <c r="N282" i="67"/>
  <c r="N284" s="1"/>
  <c r="J284"/>
  <c r="T295" i="18"/>
  <c r="L295"/>
  <c r="M295"/>
  <c r="U295"/>
  <c r="J295"/>
  <c r="I295"/>
  <c r="H295"/>
  <c r="V295"/>
  <c r="K295"/>
  <c r="S295"/>
  <c r="R295"/>
  <c r="P295"/>
  <c r="Q295"/>
  <c r="G295"/>
  <c r="O295"/>
  <c r="N295"/>
  <c r="W295"/>
  <c r="I35" i="16"/>
  <c r="I37"/>
  <c r="I31"/>
  <c r="I38"/>
  <c r="Y264" i="9"/>
  <c r="Y268" s="1"/>
  <c r="Y270" s="1"/>
  <c r="Y274" s="1"/>
  <c r="Y276" s="1"/>
  <c r="I40" i="16"/>
  <c r="I36"/>
  <c r="I33"/>
  <c r="I32"/>
  <c r="P264" i="9"/>
  <c r="Z278" s="1"/>
  <c r="AH264"/>
  <c r="I39" i="16"/>
  <c r="I34"/>
  <c r="AM294" i="19"/>
  <c r="P298" s="1"/>
  <c r="AM282"/>
  <c r="AM286" s="1"/>
  <c r="M282" i="67"/>
  <c r="I284"/>
  <c r="AC280" i="19"/>
  <c r="AC284" s="1"/>
  <c r="AH282"/>
  <c r="AH286" s="1"/>
  <c r="AH294"/>
  <c r="AI298" s="1"/>
  <c r="AH144"/>
  <c r="AH171" s="1"/>
  <c r="E185" i="70"/>
  <c r="W70" i="18" s="1"/>
  <c r="F172" i="70"/>
  <c r="Q280" i="19"/>
  <c r="Q284" s="1"/>
  <c r="Q292"/>
  <c r="P296" s="1"/>
  <c r="L294" i="18"/>
  <c r="T294"/>
  <c r="J294"/>
  <c r="Q294"/>
  <c r="K294"/>
  <c r="S294"/>
  <c r="I294"/>
  <c r="W294"/>
  <c r="H294"/>
  <c r="P294"/>
  <c r="G294"/>
  <c r="N294"/>
  <c r="M294"/>
  <c r="R294"/>
  <c r="V294"/>
  <c r="U294"/>
  <c r="O294"/>
  <c r="G277" i="6"/>
  <c r="E284"/>
  <c r="G303" s="1"/>
  <c r="G305" s="1"/>
  <c r="AF256" i="23"/>
  <c r="AG256" s="1"/>
  <c r="AD256"/>
  <c r="AE256"/>
  <c r="AJ282" i="19"/>
  <c r="AJ286" s="1"/>
  <c r="AJ294"/>
  <c r="AK298" s="1"/>
  <c r="N155" i="67"/>
  <c r="N172" s="1"/>
  <c r="J172"/>
  <c r="AE271" i="19"/>
  <c r="AE277" s="1"/>
  <c r="AE267"/>
  <c r="AE275" s="1"/>
  <c r="F157" i="34"/>
  <c r="H155"/>
  <c r="H157" s="1"/>
  <c r="AK163" i="19"/>
  <c r="AE57" i="20"/>
  <c r="AL243" i="19"/>
  <c r="AK243"/>
  <c r="AK245"/>
  <c r="AJ257"/>
  <c r="AJ261" s="1"/>
  <c r="AK199"/>
  <c r="AL255"/>
  <c r="AL259" s="1"/>
  <c r="AK255"/>
  <c r="AK259" s="1"/>
  <c r="T20" i="22"/>
  <c r="J20"/>
  <c r="O20"/>
  <c r="D20"/>
  <c r="Y20"/>
  <c r="W20"/>
  <c r="U20"/>
  <c r="C20"/>
  <c r="R20"/>
  <c r="E20"/>
  <c r="H20"/>
  <c r="S20"/>
  <c r="B44"/>
  <c r="AP70" i="60"/>
  <c r="X70"/>
  <c r="L36" i="22"/>
  <c r="R36"/>
  <c r="S36"/>
  <c r="F36"/>
  <c r="T36"/>
  <c r="E36"/>
  <c r="U36"/>
  <c r="P36"/>
  <c r="K36"/>
  <c r="I36"/>
  <c r="O36"/>
  <c r="Z36"/>
  <c r="G36"/>
  <c r="V36"/>
  <c r="X36"/>
  <c r="Q36"/>
  <c r="Y36"/>
  <c r="D36"/>
  <c r="H36"/>
  <c r="J36"/>
  <c r="M36"/>
  <c r="C36"/>
  <c r="W36"/>
  <c r="N36"/>
  <c r="AD251" i="23"/>
  <c r="AF251"/>
  <c r="AG251" s="1"/>
  <c r="AE251"/>
  <c r="Y282" i="19"/>
  <c r="Y286" s="1"/>
  <c r="AD140"/>
  <c r="AD147" s="1"/>
  <c r="I213" i="26"/>
  <c r="H213"/>
  <c r="AA43" i="22"/>
  <c r="BQ70" i="60"/>
  <c r="AA31" i="22"/>
  <c r="AD277" i="19"/>
  <c r="F290" i="18"/>
  <c r="G359" i="29"/>
  <c r="BK299" i="9"/>
  <c r="D190" i="55"/>
  <c r="AD263" i="23"/>
  <c r="AE249"/>
  <c r="H75" i="58"/>
  <c r="I75" s="1"/>
  <c r="Z182" i="19"/>
  <c r="Z186" s="1"/>
  <c r="Z190" s="1"/>
  <c r="Y184"/>
  <c r="Y188" s="1"/>
  <c r="Y190" s="1"/>
  <c r="AE167"/>
  <c r="AE171" s="1"/>
  <c r="AA275"/>
  <c r="AA28" i="22"/>
  <c r="AL190" i="19"/>
  <c r="W78" i="55"/>
  <c r="AA25" i="22"/>
  <c r="L31" i="60"/>
  <c r="AH267" i="19"/>
  <c r="AH275" s="1"/>
  <c r="Z270" i="9"/>
  <c r="Z274" s="1"/>
  <c r="Z276" s="1"/>
  <c r="AI270"/>
  <c r="AI274" s="1"/>
  <c r="AI276" s="1"/>
  <c r="U186" i="19"/>
  <c r="U190" s="1"/>
  <c r="AA26" i="22"/>
  <c r="Y277" i="19"/>
  <c r="Z173"/>
  <c r="U278" i="8"/>
  <c r="AC278"/>
  <c r="V275" i="19"/>
  <c r="AA39" i="22"/>
  <c r="Q270" i="9"/>
  <c r="Q274" s="1"/>
  <c r="Q276" s="1"/>
  <c r="AL270" i="8"/>
  <c r="AL274" s="1"/>
  <c r="AL276" s="1"/>
  <c r="H32" i="54"/>
  <c r="O32" i="22"/>
  <c r="D32"/>
  <c r="Y32"/>
  <c r="R32"/>
  <c r="V32"/>
  <c r="N32"/>
  <c r="T32"/>
  <c r="G32"/>
  <c r="J32"/>
  <c r="C32"/>
  <c r="P32"/>
  <c r="Z32"/>
  <c r="I32"/>
  <c r="F32"/>
  <c r="S32"/>
  <c r="X32"/>
  <c r="Q32"/>
  <c r="W32"/>
  <c r="L32"/>
  <c r="M32"/>
  <c r="H32"/>
  <c r="K32"/>
  <c r="E32"/>
  <c r="U32"/>
  <c r="Z292" i="19"/>
  <c r="Y296" s="1"/>
  <c r="Z280"/>
  <c r="Z284" s="1"/>
  <c r="T299" i="18"/>
  <c r="L299"/>
  <c r="H299"/>
  <c r="M299"/>
  <c r="W299"/>
  <c r="V299"/>
  <c r="P299"/>
  <c r="O299"/>
  <c r="R299"/>
  <c r="U299"/>
  <c r="K299"/>
  <c r="J299"/>
  <c r="N299"/>
  <c r="Q299"/>
  <c r="S299"/>
  <c r="I299"/>
  <c r="G299"/>
  <c r="Q255" i="9"/>
  <c r="AI251"/>
  <c r="AI255" s="1"/>
  <c r="BI278" i="8"/>
  <c r="Y292" i="19"/>
  <c r="X296" s="1"/>
  <c r="Y280"/>
  <c r="Y284" s="1"/>
  <c r="R292"/>
  <c r="Q296" s="1"/>
  <c r="R280"/>
  <c r="R284" s="1"/>
  <c r="AF267"/>
  <c r="AF275" s="1"/>
  <c r="AF271"/>
  <c r="AF277" s="1"/>
  <c r="V184"/>
  <c r="V188" s="1"/>
  <c r="V182"/>
  <c r="V186" s="1"/>
  <c r="AZ133" i="8"/>
  <c r="BC133"/>
  <c r="BE133"/>
  <c r="BF133"/>
  <c r="BF122"/>
  <c r="BF327" s="1"/>
  <c r="F61" i="72"/>
  <c r="BA133" i="8"/>
  <c r="BD133"/>
  <c r="M91"/>
  <c r="BB133"/>
  <c r="L30" i="60"/>
  <c r="AZ122" i="8"/>
  <c r="BD122"/>
  <c r="BE327" s="1"/>
  <c r="F70" i="29"/>
  <c r="H106" i="66"/>
  <c r="D86" i="41"/>
  <c r="D122"/>
  <c r="K29" i="13"/>
  <c r="K112" s="1"/>
  <c r="L35" i="55"/>
  <c r="L36" s="1"/>
  <c r="G174" i="56"/>
  <c r="D179" s="1"/>
  <c r="D192" s="1"/>
  <c r="D151"/>
  <c r="B41" i="57" s="1"/>
  <c r="B103" s="1"/>
  <c r="AK182" i="19"/>
  <c r="AK186" s="1"/>
  <c r="AK184"/>
  <c r="AK188" s="1"/>
  <c r="T298" i="18"/>
  <c r="I298"/>
  <c r="N298"/>
  <c r="V298"/>
  <c r="K298"/>
  <c r="H298"/>
  <c r="Q298"/>
  <c r="O298"/>
  <c r="W298"/>
  <c r="U298"/>
  <c r="G298"/>
  <c r="J298"/>
  <c r="R298"/>
  <c r="M298"/>
  <c r="P298"/>
  <c r="S298"/>
  <c r="L293"/>
  <c r="T293"/>
  <c r="P293"/>
  <c r="W293"/>
  <c r="N293"/>
  <c r="H293"/>
  <c r="O293"/>
  <c r="I293"/>
  <c r="J293"/>
  <c r="Q293"/>
  <c r="U293"/>
  <c r="K293"/>
  <c r="V293"/>
  <c r="G293"/>
  <c r="S293"/>
  <c r="R293"/>
  <c r="M293"/>
  <c r="P216"/>
  <c r="N216"/>
  <c r="S216"/>
  <c r="Q216"/>
  <c r="J216"/>
  <c r="G216"/>
  <c r="H216"/>
  <c r="AN264" i="8"/>
  <c r="AN268" s="1"/>
  <c r="AN270" s="1"/>
  <c r="AN274" s="1"/>
  <c r="AN276" s="1"/>
  <c r="Q264"/>
  <c r="Q268" s="1"/>
  <c r="Q270" s="1"/>
  <c r="Q274" s="1"/>
  <c r="Q276" s="1"/>
  <c r="I53" i="15"/>
  <c r="AE264" i="8"/>
  <c r="AE268" s="1"/>
  <c r="AE270" s="1"/>
  <c r="AE274" s="1"/>
  <c r="AE276" s="1"/>
  <c r="I51" i="15"/>
  <c r="V264" i="8"/>
  <c r="V268" s="1"/>
  <c r="V270" s="1"/>
  <c r="V274" s="1"/>
  <c r="V276" s="1"/>
  <c r="BA264"/>
  <c r="BA268" s="1"/>
  <c r="BA270" s="1"/>
  <c r="BA274" s="1"/>
  <c r="BA276" s="1"/>
  <c r="Z264"/>
  <c r="I52" i="15"/>
  <c r="I36"/>
  <c r="AI264" i="8"/>
  <c r="AI268" s="1"/>
  <c r="AI270" s="1"/>
  <c r="AI274" s="1"/>
  <c r="AI276" s="1"/>
  <c r="BF264"/>
  <c r="BF268" s="1"/>
  <c r="BF270" s="1"/>
  <c r="BF274" s="1"/>
  <c r="BF276" s="1"/>
  <c r="AE184" i="19"/>
  <c r="AE188" s="1"/>
  <c r="AE182"/>
  <c r="AE186" s="1"/>
  <c r="J183" i="23"/>
  <c r="J111" i="26" s="1"/>
  <c r="J185" i="23"/>
  <c r="J134" i="26" s="1"/>
  <c r="W255" i="19"/>
  <c r="W259" s="1"/>
  <c r="X255"/>
  <c r="X259" s="1"/>
  <c r="W257"/>
  <c r="W261" s="1"/>
  <c r="W243"/>
  <c r="W245"/>
  <c r="V245"/>
  <c r="X243"/>
  <c r="V257"/>
  <c r="V261" s="1"/>
  <c r="BM248" i="9"/>
  <c r="BM251" s="1"/>
  <c r="BM255" s="1"/>
  <c r="BM299"/>
  <c r="BM306"/>
  <c r="I96" i="13"/>
  <c r="K94" s="1"/>
  <c r="I88"/>
  <c r="I89"/>
  <c r="I95"/>
  <c r="I90"/>
  <c r="G96"/>
  <c r="I92"/>
  <c r="I87"/>
  <c r="H194" i="15"/>
  <c r="H196" s="1"/>
  <c r="R30" i="22"/>
  <c r="X30"/>
  <c r="K30"/>
  <c r="T30"/>
  <c r="F30"/>
  <c r="E30"/>
  <c r="M30"/>
  <c r="Z30"/>
  <c r="I30"/>
  <c r="J30"/>
  <c r="Q30"/>
  <c r="P30"/>
  <c r="S30"/>
  <c r="L30"/>
  <c r="G30"/>
  <c r="U30"/>
  <c r="N30"/>
  <c r="O30"/>
  <c r="V30"/>
  <c r="D30"/>
  <c r="Y30"/>
  <c r="W30"/>
  <c r="D724" i="66"/>
  <c r="K65" i="41"/>
  <c r="L65" s="1"/>
  <c r="S292" i="19"/>
  <c r="R296" s="1"/>
  <c r="S280"/>
  <c r="S284" s="1"/>
  <c r="Q267"/>
  <c r="Q275" s="1"/>
  <c r="G75" i="58"/>
  <c r="AB182" i="19"/>
  <c r="AB186" s="1"/>
  <c r="AB190" s="1"/>
  <c r="U165"/>
  <c r="U169" s="1"/>
  <c r="U173" s="1"/>
  <c r="AH277"/>
  <c r="AK275"/>
  <c r="AA23" i="22"/>
  <c r="AB270" i="8"/>
  <c r="AB274" s="1"/>
  <c r="AB276" s="1"/>
  <c r="BC270"/>
  <c r="BC274" s="1"/>
  <c r="BC276" s="1"/>
  <c r="Q278"/>
  <c r="S278"/>
  <c r="Y165" i="19"/>
  <c r="Y169" s="1"/>
  <c r="Y173" s="1"/>
  <c r="AD267"/>
  <c r="AD275" s="1"/>
  <c r="L41" i="22"/>
  <c r="I41"/>
  <c r="Y41"/>
  <c r="H41"/>
  <c r="C41"/>
  <c r="Q41"/>
  <c r="V41"/>
  <c r="N41"/>
  <c r="K41"/>
  <c r="T41"/>
  <c r="G41"/>
  <c r="U41"/>
  <c r="M41"/>
  <c r="Z41"/>
  <c r="F41"/>
  <c r="J41"/>
  <c r="S41"/>
  <c r="P41"/>
  <c r="O41"/>
  <c r="W41"/>
  <c r="D41"/>
  <c r="R41"/>
  <c r="X41"/>
  <c r="E41"/>
  <c r="F284" i="6"/>
  <c r="H303" s="1"/>
  <c r="H305" s="1"/>
  <c r="H277"/>
  <c r="X186" i="19"/>
  <c r="X190" s="1"/>
  <c r="X193" s="1"/>
  <c r="X148"/>
  <c r="D40" i="22"/>
  <c r="L40"/>
  <c r="E40"/>
  <c r="H40"/>
  <c r="G40"/>
  <c r="T40"/>
  <c r="U40"/>
  <c r="M40"/>
  <c r="F40"/>
  <c r="I40"/>
  <c r="J40"/>
  <c r="Z40"/>
  <c r="C40"/>
  <c r="P40"/>
  <c r="Q40"/>
  <c r="S40"/>
  <c r="V40"/>
  <c r="R40"/>
  <c r="Y40"/>
  <c r="O40"/>
  <c r="W40"/>
  <c r="K40"/>
  <c r="X40"/>
  <c r="N40"/>
  <c r="L25" i="17"/>
  <c r="R282" i="19"/>
  <c r="R286" s="1"/>
  <c r="R294"/>
  <c r="S298" s="1"/>
  <c r="K174" i="55"/>
  <c r="D183" s="1"/>
  <c r="D155"/>
  <c r="B28" i="57" s="1"/>
  <c r="B95" s="1"/>
  <c r="N145" i="25"/>
  <c r="N95"/>
  <c r="BL248" i="9"/>
  <c r="BL251" s="1"/>
  <c r="BL255" s="1"/>
  <c r="BL306"/>
  <c r="BL299"/>
  <c r="L282" i="67"/>
  <c r="H284"/>
  <c r="F277" i="6"/>
  <c r="D284"/>
  <c r="F303" s="1"/>
  <c r="AI292" i="19"/>
  <c r="AH296" s="1"/>
  <c r="AI280"/>
  <c r="AI284" s="1"/>
  <c r="N37" i="8"/>
  <c r="N41" s="1"/>
  <c r="N62" s="1"/>
  <c r="N49"/>
  <c r="N51" s="1"/>
  <c r="N53" s="1"/>
  <c r="C76" i="57"/>
  <c r="C77" s="1"/>
  <c r="T300" i="18"/>
  <c r="S300"/>
  <c r="H300"/>
  <c r="Q300"/>
  <c r="K300"/>
  <c r="J300"/>
  <c r="R300"/>
  <c r="G300"/>
  <c r="U300"/>
  <c r="O300"/>
  <c r="I300"/>
  <c r="N300"/>
  <c r="V300"/>
  <c r="P300"/>
  <c r="W300"/>
  <c r="M300"/>
  <c r="T292"/>
  <c r="O292"/>
  <c r="R292"/>
  <c r="W292"/>
  <c r="P292"/>
  <c r="L292"/>
  <c r="Q292"/>
  <c r="I292"/>
  <c r="H292"/>
  <c r="K292"/>
  <c r="J292"/>
  <c r="S292"/>
  <c r="U292"/>
  <c r="G292"/>
  <c r="V292"/>
  <c r="N292"/>
  <c r="M292"/>
  <c r="AZ270" i="8"/>
  <c r="AZ274" s="1"/>
  <c r="AF163" i="19"/>
  <c r="AF199"/>
  <c r="AF257"/>
  <c r="AF261" s="1"/>
  <c r="AG243"/>
  <c r="Z57" i="20"/>
  <c r="AF245" i="19"/>
  <c r="AG255"/>
  <c r="AG259" s="1"/>
  <c r="D154" i="56"/>
  <c r="B44" i="57" s="1"/>
  <c r="B106" s="1"/>
  <c r="J174" i="56"/>
  <c r="D182" s="1"/>
  <c r="D195" s="1"/>
  <c r="V243" i="19"/>
  <c r="U199"/>
  <c r="T257"/>
  <c r="T261" s="1"/>
  <c r="V255"/>
  <c r="V259" s="1"/>
  <c r="T245"/>
  <c r="U245"/>
  <c r="U257"/>
  <c r="U261" s="1"/>
  <c r="U243"/>
  <c r="U255"/>
  <c r="U259" s="1"/>
  <c r="J38" i="22"/>
  <c r="T38"/>
  <c r="G38"/>
  <c r="M38"/>
  <c r="S38"/>
  <c r="L38"/>
  <c r="H38"/>
  <c r="F38"/>
  <c r="P38"/>
  <c r="D38"/>
  <c r="Q38"/>
  <c r="Z38"/>
  <c r="I38"/>
  <c r="W38"/>
  <c r="R38"/>
  <c r="K38"/>
  <c r="C38"/>
  <c r="E38"/>
  <c r="O38"/>
  <c r="N38"/>
  <c r="U38"/>
  <c r="Y38"/>
  <c r="V38"/>
  <c r="X38"/>
  <c r="M83" i="41"/>
  <c r="G723" i="66"/>
  <c r="BJ244" i="9"/>
  <c r="BA306"/>
  <c r="BA248"/>
  <c r="BA251" s="1"/>
  <c r="BA255" s="1"/>
  <c r="BA299"/>
  <c r="X282" i="19"/>
  <c r="X286" s="1"/>
  <c r="X294"/>
  <c r="Y298" s="1"/>
  <c r="Q282"/>
  <c r="Q286" s="1"/>
  <c r="Q294"/>
  <c r="R298" s="1"/>
  <c r="AA33" i="22"/>
  <c r="X296" i="18"/>
  <c r="H30" i="54"/>
  <c r="F168" i="64"/>
  <c r="D31" i="16"/>
  <c r="AF263" i="23"/>
  <c r="AG263" s="1"/>
  <c r="AF249"/>
  <c r="AG249" s="1"/>
  <c r="T280" i="8"/>
  <c r="T282" s="1"/>
  <c r="X297" i="18"/>
  <c r="AA35" i="22"/>
  <c r="AJ270" i="9"/>
  <c r="AJ274" s="1"/>
  <c r="AJ276" s="1"/>
  <c r="J188" i="23"/>
  <c r="Y275" i="19"/>
  <c r="S270" i="9"/>
  <c r="S274" s="1"/>
  <c r="S276" s="1"/>
  <c r="R278" i="8"/>
  <c r="Y278"/>
  <c r="AA278"/>
  <c r="AB278"/>
  <c r="V277" i="19"/>
  <c r="AG70" i="60"/>
  <c r="C143" i="70"/>
  <c r="C145" s="1"/>
  <c r="C185" s="1"/>
  <c r="S270" i="8"/>
  <c r="S274" s="1"/>
  <c r="S276" s="1"/>
  <c r="R165" i="19"/>
  <c r="F175" i="25"/>
  <c r="F176" s="1"/>
  <c r="F177" s="1"/>
  <c r="F178" s="1"/>
  <c r="G175"/>
  <c r="G176" s="1"/>
  <c r="G177" s="1"/>
  <c r="G178" s="1"/>
  <c r="J175"/>
  <c r="H175"/>
  <c r="H176" s="1"/>
  <c r="H177" s="1"/>
  <c r="H178" s="1"/>
  <c r="I175"/>
  <c r="I176" s="1"/>
  <c r="I177" s="1"/>
  <c r="I178" s="1"/>
  <c r="L175"/>
  <c r="L176" s="1"/>
  <c r="L177" s="1"/>
  <c r="L178" s="1"/>
  <c r="K175"/>
  <c r="K176" s="1"/>
  <c r="K177" s="1"/>
  <c r="K178" s="1"/>
  <c r="J188"/>
  <c r="M418"/>
  <c r="N418"/>
  <c r="AU378" i="9"/>
  <c r="AU378" i="8"/>
  <c r="J176" i="25"/>
  <c r="J177" s="1"/>
  <c r="J178" s="1"/>
  <c r="L128"/>
  <c r="I188"/>
  <c r="N411"/>
  <c r="M411"/>
  <c r="I187"/>
  <c r="N115"/>
  <c r="L358" s="1"/>
  <c r="M366" s="1"/>
  <c r="N137"/>
  <c r="N139" s="1"/>
  <c r="N247"/>
  <c r="N249" s="1"/>
  <c r="N251" s="1"/>
  <c r="N194"/>
  <c r="N282" s="1"/>
  <c r="N100"/>
  <c r="H358"/>
  <c r="H359" s="1"/>
  <c r="G359" s="1"/>
  <c r="L124" s="1"/>
  <c r="H366"/>
  <c r="AE173" i="19"/>
  <c r="R483"/>
  <c r="BG141" i="8"/>
  <c r="N463" i="19"/>
  <c r="N526" s="1"/>
  <c r="N528" s="1"/>
  <c r="T465"/>
  <c r="N465" s="1"/>
  <c r="BP141" i="8"/>
  <c r="Q148" i="19"/>
  <c r="AE148"/>
  <c r="I335" i="66"/>
  <c r="H217" i="62"/>
  <c r="F161" i="30"/>
  <c r="G140" i="60"/>
  <c r="F365" i="34"/>
  <c r="F367" s="1"/>
  <c r="F369" s="1"/>
  <c r="I647" i="66"/>
  <c r="I649" s="1"/>
  <c r="AI267" i="19"/>
  <c r="AI275" s="1"/>
  <c r="AI271"/>
  <c r="AI277" s="1"/>
  <c r="I44" i="23"/>
  <c r="I41"/>
  <c r="AC190" i="19"/>
  <c r="R140"/>
  <c r="R141" s="1"/>
  <c r="R186" s="1"/>
  <c r="AN139"/>
  <c r="R144"/>
  <c r="R145" s="1"/>
  <c r="R188" s="1"/>
  <c r="AN143"/>
  <c r="T190"/>
  <c r="M46" i="60"/>
  <c r="AG140" i="19"/>
  <c r="AG141" s="1"/>
  <c r="AG186" s="1"/>
  <c r="AG267"/>
  <c r="AG275" s="1"/>
  <c r="AG271"/>
  <c r="AG277" s="1"/>
  <c r="AF280"/>
  <c r="AF284" s="1"/>
  <c r="AF292"/>
  <c r="AE296" s="1"/>
  <c r="AD282"/>
  <c r="AD286" s="1"/>
  <c r="AD294"/>
  <c r="AE298" s="1"/>
  <c r="AE280"/>
  <c r="AE284" s="1"/>
  <c r="AE292"/>
  <c r="AL282"/>
  <c r="AL286" s="1"/>
  <c r="AL294"/>
  <c r="AM298" s="1"/>
  <c r="D39" i="16"/>
  <c r="D41"/>
  <c r="L148" i="25"/>
  <c r="L150" s="1"/>
  <c r="E414" s="1"/>
  <c r="E412" s="1"/>
  <c r="AF141" i="8"/>
  <c r="BC129"/>
  <c r="BC979"/>
  <c r="BC328"/>
  <c r="BC125"/>
  <c r="AJ285" i="9"/>
  <c r="AN285" i="8"/>
  <c r="AK285"/>
  <c r="AH285"/>
  <c r="AB285"/>
  <c r="Y285" i="9"/>
  <c r="S285" i="8"/>
  <c r="AD285"/>
  <c r="AA285" i="9"/>
  <c r="AA285" i="8"/>
  <c r="AK285" i="9"/>
  <c r="AH285"/>
  <c r="AL285" i="8"/>
  <c r="Q285" i="9"/>
  <c r="AC285"/>
  <c r="Y285" i="8"/>
  <c r="S285" i="9"/>
  <c r="P285" i="8"/>
  <c r="AE285"/>
  <c r="AI285"/>
  <c r="AL285" i="9"/>
  <c r="AI285"/>
  <c r="U285"/>
  <c r="R285" i="8"/>
  <c r="AC285"/>
  <c r="Z285" i="9"/>
  <c r="T285" i="8"/>
  <c r="P285" i="9"/>
  <c r="Q285" i="8"/>
  <c r="AM285"/>
  <c r="AJ285"/>
  <c r="AM285" i="9"/>
  <c r="AB285"/>
  <c r="V285" i="8"/>
  <c r="R285" i="9"/>
  <c r="AD285"/>
  <c r="Z285" i="8"/>
  <c r="T285" i="9"/>
  <c r="U285" i="8"/>
  <c r="BE285"/>
  <c r="BD285"/>
  <c r="BA285"/>
  <c r="BB285"/>
  <c r="AZ285"/>
  <c r="BC285"/>
  <c r="BF285"/>
  <c r="AI144" i="19"/>
  <c r="AA190"/>
  <c r="R487"/>
  <c r="R489" s="1"/>
  <c r="R491" s="1"/>
  <c r="AM144"/>
  <c r="AM145" s="1"/>
  <c r="AM188" s="1"/>
  <c r="AM271"/>
  <c r="AM277" s="1"/>
  <c r="AM267"/>
  <c r="AM275" s="1"/>
  <c r="R271"/>
  <c r="R277" s="1"/>
  <c r="R267"/>
  <c r="R275" s="1"/>
  <c r="BJ60" i="60"/>
  <c r="AG144" i="19"/>
  <c r="AG171" s="1"/>
  <c r="AM280"/>
  <c r="AM284" s="1"/>
  <c r="AM292"/>
  <c r="AL296" s="1"/>
  <c r="D37" i="16"/>
  <c r="D53"/>
  <c r="AH186" i="19"/>
  <c r="Q188"/>
  <c r="AA34" i="22"/>
  <c r="BE129" i="8"/>
  <c r="BE328"/>
  <c r="BE979"/>
  <c r="BE125"/>
  <c r="BE347"/>
  <c r="BD328"/>
  <c r="N37" i="9"/>
  <c r="N41" s="1"/>
  <c r="N49"/>
  <c r="M28" i="56"/>
  <c r="M33" s="1"/>
  <c r="M57" i="9"/>
  <c r="AN141" i="8"/>
  <c r="AF268" i="23"/>
  <c r="AG268" s="1"/>
  <c r="AD268"/>
  <c r="AE268"/>
  <c r="S147" i="19"/>
  <c r="S171"/>
  <c r="N75" i="8"/>
  <c r="AI140" i="19"/>
  <c r="AI141" s="1"/>
  <c r="AN312"/>
  <c r="R314"/>
  <c r="AN314" s="1"/>
  <c r="BL66" i="60"/>
  <c r="BK66"/>
  <c r="AE282" i="19"/>
  <c r="AE286" s="1"/>
  <c r="AE294"/>
  <c r="AF298" s="1"/>
  <c r="D33" i="16"/>
  <c r="AD145" i="19"/>
  <c r="G142" i="60"/>
  <c r="P167" i="19"/>
  <c r="P171" s="1"/>
  <c r="K33" i="16"/>
  <c r="K37"/>
  <c r="K41"/>
  <c r="K45"/>
  <c r="K49"/>
  <c r="K53"/>
  <c r="K32"/>
  <c r="K36"/>
  <c r="K40"/>
  <c r="K44"/>
  <c r="K48"/>
  <c r="K52"/>
  <c r="K31"/>
  <c r="K35"/>
  <c r="K39"/>
  <c r="K43"/>
  <c r="K47"/>
  <c r="K51"/>
  <c r="D32"/>
  <c r="D34"/>
  <c r="D36"/>
  <c r="D38"/>
  <c r="D40"/>
  <c r="D42"/>
  <c r="D44"/>
  <c r="D46"/>
  <c r="D48"/>
  <c r="D50"/>
  <c r="D52"/>
  <c r="D54"/>
  <c r="K34"/>
  <c r="K38"/>
  <c r="K42"/>
  <c r="K46"/>
  <c r="K50"/>
  <c r="K54"/>
  <c r="C57"/>
  <c r="M75" i="9"/>
  <c r="J269" i="66"/>
  <c r="BA979" i="8"/>
  <c r="BA327"/>
  <c r="BA125"/>
  <c r="I361" i="29"/>
  <c r="I359"/>
  <c r="L126" i="67"/>
  <c r="AL141" i="8"/>
  <c r="AO141" s="1"/>
  <c r="W141"/>
  <c r="P190" i="19"/>
  <c r="AD167"/>
  <c r="AD171" s="1"/>
  <c r="AD165"/>
  <c r="AM140"/>
  <c r="BN60" i="60"/>
  <c r="BN66"/>
  <c r="W167" i="19"/>
  <c r="W171" s="1"/>
  <c r="W165"/>
  <c r="W169" s="1"/>
  <c r="Q298"/>
  <c r="D43" i="16"/>
  <c r="D45"/>
  <c r="S145" i="19"/>
  <c r="S148" s="1"/>
  <c r="AA29" i="22"/>
  <c r="W190" i="19"/>
  <c r="AC280" i="8" l="1"/>
  <c r="AC282" s="1"/>
  <c r="BA347"/>
  <c r="Z282" i="19"/>
  <c r="Z286" s="1"/>
  <c r="AF190"/>
  <c r="BB979" i="8"/>
  <c r="AM171" i="19"/>
  <c r="AA42" i="22"/>
  <c r="N310" i="25"/>
  <c r="J304" i="66"/>
  <c r="N284" i="25"/>
  <c r="N296"/>
  <c r="S180"/>
  <c r="S181" s="1"/>
  <c r="AS141" i="9"/>
  <c r="L292" i="25"/>
  <c r="L288"/>
  <c r="BD327" i="8"/>
  <c r="AI171" i="19"/>
  <c r="BP64" i="60"/>
  <c r="BP66" s="1"/>
  <c r="BJ64"/>
  <c r="BL58"/>
  <c r="BL60" s="1"/>
  <c r="BQ60" s="1"/>
  <c r="AD280" i="8"/>
  <c r="AD282" s="1"/>
  <c r="S278" i="9"/>
  <c r="BL278" s="1"/>
  <c r="AC294" i="19"/>
  <c r="AD298" s="1"/>
  <c r="BD278" i="8"/>
  <c r="T173" i="19"/>
  <c r="T193" s="1"/>
  <c r="Q173"/>
  <c r="AL278" i="8"/>
  <c r="AL280" s="1"/>
  <c r="AH173" i="19"/>
  <c r="AA165"/>
  <c r="AA169" s="1"/>
  <c r="S294"/>
  <c r="T298" s="1"/>
  <c r="AJ167"/>
  <c r="AJ171" s="1"/>
  <c r="AJ173" s="1"/>
  <c r="AJ193" s="1"/>
  <c r="AH292"/>
  <c r="AG296" s="1"/>
  <c r="AH280"/>
  <c r="AH284" s="1"/>
  <c r="AG294"/>
  <c r="AH298" s="1"/>
  <c r="AG282"/>
  <c r="AG286" s="1"/>
  <c r="U278" i="9"/>
  <c r="BN278" s="1"/>
  <c r="T278"/>
  <c r="BM278" s="1"/>
  <c r="T292" i="19"/>
  <c r="S296" s="1"/>
  <c r="T280"/>
  <c r="T284" s="1"/>
  <c r="Y278" i="9"/>
  <c r="Y280" s="1"/>
  <c r="AA278"/>
  <c r="AA280" s="1"/>
  <c r="AA282" s="1"/>
  <c r="AD278"/>
  <c r="AD280" s="1"/>
  <c r="AD282" s="1"/>
  <c r="V179" i="25"/>
  <c r="BB327" i="8"/>
  <c r="BB328"/>
  <c r="AH280"/>
  <c r="AH282" s="1"/>
  <c r="Q301" i="18"/>
  <c r="AZ278" i="8"/>
  <c r="BC327"/>
  <c r="BB347"/>
  <c r="BG122"/>
  <c r="BB124" s="1"/>
  <c r="BD280"/>
  <c r="BD287" s="1"/>
  <c r="BA328"/>
  <c r="BB125"/>
  <c r="Y280"/>
  <c r="Y282" s="1"/>
  <c r="Y287" s="1"/>
  <c r="Y300" s="1"/>
  <c r="AL193" i="19"/>
  <c r="H411" i="25"/>
  <c r="Z280" i="9"/>
  <c r="Z282" s="1"/>
  <c r="T280"/>
  <c r="AM147" i="19"/>
  <c r="AZ328" i="8"/>
  <c r="AA280"/>
  <c r="AA282" s="1"/>
  <c r="AH147" i="19"/>
  <c r="AC278" i="9"/>
  <c r="AC280" s="1"/>
  <c r="AC282" s="1"/>
  <c r="AC287" s="1"/>
  <c r="AC300" s="1"/>
  <c r="AB278"/>
  <c r="AB280" s="1"/>
  <c r="AB282" s="1"/>
  <c r="AB287" s="1"/>
  <c r="Q278"/>
  <c r="BJ278" s="1"/>
  <c r="AB294" i="19"/>
  <c r="AC298" s="1"/>
  <c r="V165"/>
  <c r="V169" s="1"/>
  <c r="V173" s="1"/>
  <c r="P280" i="8"/>
  <c r="P282" s="1"/>
  <c r="AD169" i="19"/>
  <c r="AD173" s="1"/>
  <c r="AE278" i="8"/>
  <c r="AA30" i="22"/>
  <c r="AD141" i="19"/>
  <c r="AD186" s="1"/>
  <c r="AD148"/>
  <c r="S280" i="8"/>
  <c r="S282" s="1"/>
  <c r="S280" i="9"/>
  <c r="U280" i="8"/>
  <c r="R278" i="9"/>
  <c r="P278"/>
  <c r="AK278" s="1"/>
  <c r="AK280" s="1"/>
  <c r="AK282" s="1"/>
  <c r="T287" i="8"/>
  <c r="T300" s="1"/>
  <c r="G418" i="25"/>
  <c r="R179"/>
  <c r="U179"/>
  <c r="Q179"/>
  <c r="J542"/>
  <c r="J544" s="1"/>
  <c r="T179"/>
  <c r="BI306" i="9"/>
  <c r="BI299"/>
  <c r="BI248"/>
  <c r="BI251" s="1"/>
  <c r="BI255" s="1"/>
  <c r="AA280" i="19"/>
  <c r="AA284" s="1"/>
  <c r="AA292"/>
  <c r="Z296" s="1"/>
  <c r="D55" i="16"/>
  <c r="V301" i="18"/>
  <c r="J301"/>
  <c r="R301"/>
  <c r="H297" i="6"/>
  <c r="H299" s="1"/>
  <c r="H307" s="1"/>
  <c r="Q280" i="8"/>
  <c r="Q282" s="1"/>
  <c r="AA20" i="22"/>
  <c r="I55" i="16"/>
  <c r="AB167" i="19"/>
  <c r="AB171" s="1"/>
  <c r="AB173" s="1"/>
  <c r="AB193" s="1"/>
  <c r="BG272" i="8"/>
  <c r="I55" i="15"/>
  <c r="X298" i="18"/>
  <c r="AK190" i="19"/>
  <c r="AA173"/>
  <c r="AA193" s="1"/>
  <c r="AA294"/>
  <c r="AB298" s="1"/>
  <c r="AA282"/>
  <c r="AA286" s="1"/>
  <c r="AB280"/>
  <c r="AB284" s="1"/>
  <c r="AB292"/>
  <c r="AA296" s="1"/>
  <c r="AG145"/>
  <c r="AG188" s="1"/>
  <c r="AD270" i="23"/>
  <c r="AI186" i="19"/>
  <c r="F305" i="6"/>
  <c r="J303"/>
  <c r="J79" i="8"/>
  <c r="I79" i="9"/>
  <c r="I79" i="8"/>
  <c r="B268" i="26"/>
  <c r="J79" i="9"/>
  <c r="U282" i="19"/>
  <c r="U286" s="1"/>
  <c r="U294"/>
  <c r="V298" s="1"/>
  <c r="X292" i="18"/>
  <c r="G301"/>
  <c r="K23" i="17"/>
  <c r="K25"/>
  <c r="AK278" i="8"/>
  <c r="AK280" s="1"/>
  <c r="AK282" s="1"/>
  <c r="BL278"/>
  <c r="BC278"/>
  <c r="BC280" s="1"/>
  <c r="BC287" s="1"/>
  <c r="V282" i="19"/>
  <c r="V286" s="1"/>
  <c r="V294"/>
  <c r="W298" s="1"/>
  <c r="BD129" i="8"/>
  <c r="BD347"/>
  <c r="BD125"/>
  <c r="BD979"/>
  <c r="M98"/>
  <c r="BF129"/>
  <c r="BF328"/>
  <c r="BF125"/>
  <c r="BF347"/>
  <c r="BF979"/>
  <c r="AZ137"/>
  <c r="AZ136"/>
  <c r="BG133"/>
  <c r="BA135" s="1"/>
  <c r="AM278"/>
  <c r="AM280" s="1"/>
  <c r="AM282" s="1"/>
  <c r="AM287" s="1"/>
  <c r="BE278"/>
  <c r="BE280" s="1"/>
  <c r="BE287" s="1"/>
  <c r="BE300" s="1"/>
  <c r="BN278"/>
  <c r="L39" i="60"/>
  <c r="L46" s="1"/>
  <c r="BB58"/>
  <c r="BB60" s="1"/>
  <c r="BD64"/>
  <c r="BD66" s="1"/>
  <c r="BC58"/>
  <c r="BC60" s="1"/>
  <c r="BB64"/>
  <c r="BB66" s="1"/>
  <c r="BE58"/>
  <c r="BE60" s="1"/>
  <c r="BG64"/>
  <c r="BG66" s="1"/>
  <c r="BA64"/>
  <c r="BD58"/>
  <c r="BD60" s="1"/>
  <c r="L32"/>
  <c r="BF64"/>
  <c r="BF66" s="1"/>
  <c r="BE64"/>
  <c r="BE66" s="1"/>
  <c r="BC64"/>
  <c r="BC66" s="1"/>
  <c r="BA58"/>
  <c r="BG58"/>
  <c r="BG60" s="1"/>
  <c r="BF58"/>
  <c r="BF60" s="1"/>
  <c r="AL292" i="19"/>
  <c r="AK296" s="1"/>
  <c r="AL280"/>
  <c r="AL284" s="1"/>
  <c r="AH268" i="9"/>
  <c r="AH270" s="1"/>
  <c r="R190" i="19"/>
  <c r="L357" i="25"/>
  <c r="AI145" i="19"/>
  <c r="AI188" s="1"/>
  <c r="AE190"/>
  <c r="AE193" s="1"/>
  <c r="AA38" i="22"/>
  <c r="K301" i="18"/>
  <c r="O301"/>
  <c r="F297" i="6"/>
  <c r="X293" i="18"/>
  <c r="X294"/>
  <c r="V278" i="8"/>
  <c r="V280" s="1"/>
  <c r="V282" s="1"/>
  <c r="AG280" i="19"/>
  <c r="AG284" s="1"/>
  <c r="AG292"/>
  <c r="AF296" s="1"/>
  <c r="X280"/>
  <c r="X284" s="1"/>
  <c r="X292"/>
  <c r="W296" s="1"/>
  <c r="AJ278" i="8"/>
  <c r="AJ280" s="1"/>
  <c r="AJ282" s="1"/>
  <c r="BB278"/>
  <c r="BB280" s="1"/>
  <c r="BB287" s="1"/>
  <c r="BK278"/>
  <c r="BJ306" i="9"/>
  <c r="BJ248"/>
  <c r="BJ251" s="1"/>
  <c r="BJ255" s="1"/>
  <c r="BJ299"/>
  <c r="U280" i="19"/>
  <c r="U284" s="1"/>
  <c r="U292"/>
  <c r="T296" s="1"/>
  <c r="AF165"/>
  <c r="AF169" s="1"/>
  <c r="AF167"/>
  <c r="AF171" s="1"/>
  <c r="M84" i="41"/>
  <c r="G724" i="66"/>
  <c r="W280" i="19"/>
  <c r="W284" s="1"/>
  <c r="W292"/>
  <c r="V296" s="1"/>
  <c r="Z268" i="8"/>
  <c r="Z270" s="1"/>
  <c r="L37" i="55"/>
  <c r="BC66"/>
  <c r="BC68" s="1"/>
  <c r="BE66"/>
  <c r="BE68" s="1"/>
  <c r="L44"/>
  <c r="BD72"/>
  <c r="BD74" s="1"/>
  <c r="BA66"/>
  <c r="BA68" s="1"/>
  <c r="BF72"/>
  <c r="BF74" s="1"/>
  <c r="BF66"/>
  <c r="BF68" s="1"/>
  <c r="BB66"/>
  <c r="BB68" s="1"/>
  <c r="BD66"/>
  <c r="BD68" s="1"/>
  <c r="BC72"/>
  <c r="BC74" s="1"/>
  <c r="BA72"/>
  <c r="BA74" s="1"/>
  <c r="BB72"/>
  <c r="BB74" s="1"/>
  <c r="AZ72"/>
  <c r="BE72"/>
  <c r="BE74" s="1"/>
  <c r="AZ66"/>
  <c r="BA137" i="8"/>
  <c r="BA136"/>
  <c r="BE136"/>
  <c r="BE137"/>
  <c r="AK294" i="19"/>
  <c r="AL298" s="1"/>
  <c r="AK282"/>
  <c r="AK286" s="1"/>
  <c r="AK165"/>
  <c r="AK169" s="1"/>
  <c r="AK167"/>
  <c r="AK171" s="1"/>
  <c r="AM278" i="9"/>
  <c r="AM280" s="1"/>
  <c r="AM282" s="1"/>
  <c r="BB278"/>
  <c r="AZ278"/>
  <c r="BI278"/>
  <c r="BE278"/>
  <c r="AH278"/>
  <c r="AJ278"/>
  <c r="AJ280" s="1"/>
  <c r="AJ282" s="1"/>
  <c r="W79" i="18"/>
  <c r="X70"/>
  <c r="AB280" i="8"/>
  <c r="AB282" s="1"/>
  <c r="AA32" i="22"/>
  <c r="AC287" i="8"/>
  <c r="AC300" s="1"/>
  <c r="N301" i="18"/>
  <c r="S301"/>
  <c r="I301"/>
  <c r="W301"/>
  <c r="X300"/>
  <c r="AE280" i="8"/>
  <c r="AE282" s="1"/>
  <c r="X299" i="18"/>
  <c r="Z278" i="8"/>
  <c r="J213" i="26"/>
  <c r="X295" i="18"/>
  <c r="BB137" i="8"/>
  <c r="BB136"/>
  <c r="BC137"/>
  <c r="BC136"/>
  <c r="AK280" i="19"/>
  <c r="AK284" s="1"/>
  <c r="AK292"/>
  <c r="AJ296" s="1"/>
  <c r="T282"/>
  <c r="T286" s="1"/>
  <c r="T294"/>
  <c r="U298" s="1"/>
  <c r="V280"/>
  <c r="V284" s="1"/>
  <c r="V292"/>
  <c r="U296" s="1"/>
  <c r="AF294"/>
  <c r="AG298" s="1"/>
  <c r="AF282"/>
  <c r="AF286" s="1"/>
  <c r="D491" i="25"/>
  <c r="D196" i="55"/>
  <c r="AI278" i="8"/>
  <c r="AI280" s="1"/>
  <c r="BA278"/>
  <c r="BA280" s="1"/>
  <c r="BA287" s="1"/>
  <c r="BJ278"/>
  <c r="W282" i="19"/>
  <c r="W286" s="1"/>
  <c r="W294"/>
  <c r="X298" s="1"/>
  <c r="AZ129" i="8"/>
  <c r="AZ347"/>
  <c r="AZ327"/>
  <c r="AZ125"/>
  <c r="AZ979"/>
  <c r="BD137"/>
  <c r="BD136"/>
  <c r="BF137"/>
  <c r="BF136"/>
  <c r="P268" i="9"/>
  <c r="P270" s="1"/>
  <c r="AM169" i="19"/>
  <c r="AM173" s="1"/>
  <c r="N55" i="8"/>
  <c r="N57" s="1"/>
  <c r="N63" s="1"/>
  <c r="N64" s="1"/>
  <c r="N65" s="1"/>
  <c r="AM141" i="19"/>
  <c r="AN141" s="1"/>
  <c r="M301" i="18"/>
  <c r="U301"/>
  <c r="H301"/>
  <c r="P301"/>
  <c r="K24" i="17"/>
  <c r="AA40" i="22"/>
  <c r="AA41"/>
  <c r="R280" i="8"/>
  <c r="V190" i="19"/>
  <c r="AA36" i="22"/>
  <c r="G297" i="6"/>
  <c r="G299" s="1"/>
  <c r="G307" s="1"/>
  <c r="G308" s="1"/>
  <c r="AH145" i="19"/>
  <c r="AN145" s="1"/>
  <c r="L356" i="25"/>
  <c r="M178"/>
  <c r="G179" s="1"/>
  <c r="AU405" i="8"/>
  <c r="AU405" i="9"/>
  <c r="M176" i="25"/>
  <c r="M177" s="1"/>
  <c r="K355"/>
  <c r="M234"/>
  <c r="L43" i="6"/>
  <c r="M43" s="1"/>
  <c r="L141" i="25"/>
  <c r="I284" i="66" s="1"/>
  <c r="N146" i="25"/>
  <c r="N148" s="1"/>
  <c r="H367"/>
  <c r="L359"/>
  <c r="M367" s="1"/>
  <c r="F85" i="16"/>
  <c r="S173" i="19"/>
  <c r="U193"/>
  <c r="F412" i="25"/>
  <c r="E419"/>
  <c r="R148" i="19"/>
  <c r="I130" i="23"/>
  <c r="J44"/>
  <c r="I134"/>
  <c r="S188" i="19"/>
  <c r="S190" s="1"/>
  <c r="BG285" i="8"/>
  <c r="AG148" i="19"/>
  <c r="AD272" i="23"/>
  <c r="AD274" s="1"/>
  <c r="I308" i="62" s="1"/>
  <c r="AC270" i="23"/>
  <c r="AZ276" i="8"/>
  <c r="AZ280" s="1"/>
  <c r="I357" i="25"/>
  <c r="I356"/>
  <c r="I300" i="66"/>
  <c r="K55" i="16"/>
  <c r="L52" s="1"/>
  <c r="AD296" i="19"/>
  <c r="BP72" i="60"/>
  <c r="BP76" s="1"/>
  <c r="BM72"/>
  <c r="BM76" s="1"/>
  <c r="BK72"/>
  <c r="BK76" s="1"/>
  <c r="BL72"/>
  <c r="BL76" s="1"/>
  <c r="BO72"/>
  <c r="BO76" s="1"/>
  <c r="BN72"/>
  <c r="BN76" s="1"/>
  <c r="BJ72"/>
  <c r="Z193" i="19"/>
  <c r="J41" i="23"/>
  <c r="I43"/>
  <c r="I70" s="1"/>
  <c r="I152" s="1"/>
  <c r="I42"/>
  <c r="I60" s="1"/>
  <c r="I127"/>
  <c r="H19" i="6" s="1"/>
  <c r="AG190" i="19"/>
  <c r="L42" i="16"/>
  <c r="L47"/>
  <c r="L49"/>
  <c r="L33"/>
  <c r="H85"/>
  <c r="W173" i="19"/>
  <c r="BG240" i="8"/>
  <c r="BG239"/>
  <c r="F50" i="16"/>
  <c r="F38"/>
  <c r="F44"/>
  <c r="F37"/>
  <c r="F39"/>
  <c r="F51"/>
  <c r="F53"/>
  <c r="F36"/>
  <c r="F40"/>
  <c r="F31"/>
  <c r="F49"/>
  <c r="F46"/>
  <c r="F45"/>
  <c r="F41"/>
  <c r="F32"/>
  <c r="F34"/>
  <c r="F35"/>
  <c r="F43"/>
  <c r="F54"/>
  <c r="F48"/>
  <c r="F52"/>
  <c r="F47"/>
  <c r="F42"/>
  <c r="F33"/>
  <c r="Y193" i="19"/>
  <c r="M63" i="9"/>
  <c r="N62"/>
  <c r="AC193" i="19"/>
  <c r="AM148"/>
  <c r="L46" i="16"/>
  <c r="L51"/>
  <c r="L35"/>
  <c r="L44"/>
  <c r="L53"/>
  <c r="L37"/>
  <c r="AM186" i="19"/>
  <c r="AM190" s="1"/>
  <c r="D85" i="16"/>
  <c r="BC124" i="8"/>
  <c r="I371" i="29"/>
  <c r="I372" s="1"/>
  <c r="I373" s="1"/>
  <c r="I374" s="1"/>
  <c r="I362"/>
  <c r="I363" s="1"/>
  <c r="G85" i="16"/>
  <c r="AI147" i="19"/>
  <c r="AI169"/>
  <c r="N55" i="9"/>
  <c r="N51"/>
  <c r="N53" s="1"/>
  <c r="I85" i="16"/>
  <c r="E85"/>
  <c r="AG147" i="19"/>
  <c r="AG169"/>
  <c r="R171"/>
  <c r="AN144"/>
  <c r="AN140"/>
  <c r="R147"/>
  <c r="R169"/>
  <c r="I217" i="62"/>
  <c r="I218" s="1"/>
  <c r="I219" s="1"/>
  <c r="I220" s="1"/>
  <c r="H218"/>
  <c r="H219" s="1"/>
  <c r="H220" s="1"/>
  <c r="H221" s="1"/>
  <c r="H222" s="1"/>
  <c r="H223" s="1"/>
  <c r="H224" s="1"/>
  <c r="H225" s="1"/>
  <c r="H226" s="1"/>
  <c r="H227" s="1"/>
  <c r="H228" s="1"/>
  <c r="H229" s="1"/>
  <c r="H230" s="1"/>
  <c r="H231" s="1"/>
  <c r="H232" s="1"/>
  <c r="H233" s="1"/>
  <c r="H234" s="1"/>
  <c r="H235" s="1"/>
  <c r="H236" s="1"/>
  <c r="H237" s="1"/>
  <c r="H238" s="1"/>
  <c r="H239" s="1"/>
  <c r="H240" s="1"/>
  <c r="H241" s="1"/>
  <c r="F19" i="6"/>
  <c r="N536" i="19"/>
  <c r="BA124" i="8"/>
  <c r="L50" i="16"/>
  <c r="L34"/>
  <c r="L39"/>
  <c r="L48"/>
  <c r="L32"/>
  <c r="L41"/>
  <c r="E86" s="1"/>
  <c r="AD188" i="19"/>
  <c r="AD190" s="1"/>
  <c r="P173"/>
  <c r="Q190"/>
  <c r="AH287" i="8" l="1"/>
  <c r="AD287" i="9"/>
  <c r="AD300" s="1"/>
  <c r="G180" i="25"/>
  <c r="AR141" i="8"/>
  <c r="T180" i="25"/>
  <c r="T181" s="1"/>
  <c r="AT141" i="9"/>
  <c r="R180" i="25"/>
  <c r="R181" s="1"/>
  <c r="AR141" i="9"/>
  <c r="U180" i="25"/>
  <c r="U181" s="1"/>
  <c r="AU141" i="9"/>
  <c r="N292" i="25"/>
  <c r="N288"/>
  <c r="Q180"/>
  <c r="Q181" s="1"/>
  <c r="AQ141" i="9"/>
  <c r="V180" i="25"/>
  <c r="V181" s="1"/>
  <c r="AV141" i="9"/>
  <c r="L298" i="25"/>
  <c r="BD278" i="9"/>
  <c r="BC278"/>
  <c r="AI278"/>
  <c r="AI280" s="1"/>
  <c r="AI282" s="1"/>
  <c r="AI287" s="1"/>
  <c r="BQ58" i="60"/>
  <c r="AL278" i="9"/>
  <c r="AL280" s="1"/>
  <c r="AL282" s="1"/>
  <c r="BA278"/>
  <c r="U280"/>
  <c r="Q280"/>
  <c r="Q282" s="1"/>
  <c r="AA287" i="8"/>
  <c r="AA300" s="1"/>
  <c r="AD287"/>
  <c r="AD300" s="1"/>
  <c r="BD124"/>
  <c r="BG289"/>
  <c r="BG306"/>
  <c r="BG244"/>
  <c r="BG264"/>
  <c r="BG251"/>
  <c r="BE124"/>
  <c r="V193" i="19"/>
  <c r="BG268" i="8"/>
  <c r="BG245"/>
  <c r="BG299"/>
  <c r="BG255"/>
  <c r="BG274"/>
  <c r="BG276" s="1"/>
  <c r="BF124"/>
  <c r="AZ124"/>
  <c r="BG242"/>
  <c r="BG270"/>
  <c r="BQ64" i="60"/>
  <c r="BJ66"/>
  <c r="BG979" i="8"/>
  <c r="BF135"/>
  <c r="BD135"/>
  <c r="BG129"/>
  <c r="BC135"/>
  <c r="BB135"/>
  <c r="BE135"/>
  <c r="S287"/>
  <c r="S300" s="1"/>
  <c r="BG347"/>
  <c r="AA287" i="9"/>
  <c r="AA300" s="1"/>
  <c r="BD291" i="8"/>
  <c r="BD300"/>
  <c r="AF173" i="19"/>
  <c r="AF193" s="1"/>
  <c r="Z287" i="9"/>
  <c r="Z300" s="1"/>
  <c r="H248" i="6"/>
  <c r="H252" s="1"/>
  <c r="H308"/>
  <c r="H310"/>
  <c r="H311" s="1"/>
  <c r="I50" i="66" s="1"/>
  <c r="BK278" i="9"/>
  <c r="R280"/>
  <c r="AA44" i="22"/>
  <c r="B46" s="1"/>
  <c r="S282" i="9"/>
  <c r="S287" s="1"/>
  <c r="S300" s="1"/>
  <c r="T282"/>
  <c r="T287" s="1"/>
  <c r="T300" s="1"/>
  <c r="AN292" i="19"/>
  <c r="AZ135" i="8"/>
  <c r="U282"/>
  <c r="U287" s="1"/>
  <c r="U300" s="1"/>
  <c r="AN296" i="19"/>
  <c r="Q287" i="8"/>
  <c r="Q300" s="1"/>
  <c r="AN147" i="19"/>
  <c r="AK173"/>
  <c r="AK193" s="1"/>
  <c r="AI190"/>
  <c r="AN298"/>
  <c r="BQ72" i="60"/>
  <c r="AN186" i="19"/>
  <c r="BC300" i="8"/>
  <c r="BC291"/>
  <c r="BB291"/>
  <c r="BB300"/>
  <c r="AM287" i="9"/>
  <c r="AK287"/>
  <c r="AB287" i="8"/>
  <c r="AB300" s="1"/>
  <c r="BA291"/>
  <c r="BA300"/>
  <c r="R282"/>
  <c r="R287" s="1"/>
  <c r="W83" i="18"/>
  <c r="X79"/>
  <c r="AZ68" i="55"/>
  <c r="BG68" s="1"/>
  <c r="BG66"/>
  <c r="BF278" i="8"/>
  <c r="BO278"/>
  <c r="AN278"/>
  <c r="AN280" s="1"/>
  <c r="F299" i="6"/>
  <c r="J299" s="1"/>
  <c r="J297"/>
  <c r="BD72" i="60"/>
  <c r="BD76" s="1"/>
  <c r="BC72"/>
  <c r="BC76" s="1"/>
  <c r="BE72"/>
  <c r="BE76" s="1"/>
  <c r="BA72"/>
  <c r="BB72"/>
  <c r="BB76" s="1"/>
  <c r="BG72"/>
  <c r="BG76" s="1"/>
  <c r="BF72"/>
  <c r="BF76" s="1"/>
  <c r="H14" i="58"/>
  <c r="H35" i="60"/>
  <c r="H40" i="55"/>
  <c r="I87" i="8"/>
  <c r="K79"/>
  <c r="H41" i="58"/>
  <c r="J41" s="1"/>
  <c r="M79" i="8"/>
  <c r="H120" i="66"/>
  <c r="I286" i="34"/>
  <c r="J305" i="6"/>
  <c r="J141" i="9"/>
  <c r="S141" s="1"/>
  <c r="N71" i="8"/>
  <c r="N73" s="1"/>
  <c r="N83" s="1"/>
  <c r="N79" s="1"/>
  <c r="M35" i="60" s="1"/>
  <c r="AJ287" i="9"/>
  <c r="AE287" i="8"/>
  <c r="AE300" s="1"/>
  <c r="AI148" i="19"/>
  <c r="AH188"/>
  <c r="AH190" s="1"/>
  <c r="AH148"/>
  <c r="AL282" i="8"/>
  <c r="AL287" s="1"/>
  <c r="AZ74" i="55"/>
  <c r="BG74" s="1"/>
  <c r="BG72"/>
  <c r="AH274" i="9"/>
  <c r="AH276" s="1"/>
  <c r="AH280" s="1"/>
  <c r="BB143" i="8"/>
  <c r="BA143"/>
  <c r="BD143"/>
  <c r="BD471" s="1"/>
  <c r="BE143"/>
  <c r="BE471" s="1"/>
  <c r="BC143"/>
  <c r="AZ143"/>
  <c r="AZ147" s="1"/>
  <c r="G33" i="10" s="1"/>
  <c r="BF143" i="8"/>
  <c r="BF471" s="1"/>
  <c r="J87" i="9"/>
  <c r="I40" i="56"/>
  <c r="H121" i="66"/>
  <c r="I40" i="55"/>
  <c r="J87" i="8"/>
  <c r="I35" i="60"/>
  <c r="BG137" i="8"/>
  <c r="X301" i="18"/>
  <c r="BE291" i="8"/>
  <c r="V287"/>
  <c r="V300" s="1"/>
  <c r="AN294" i="19"/>
  <c r="AJ287" i="8"/>
  <c r="Y282" i="9"/>
  <c r="Y287" s="1"/>
  <c r="Y300" s="1"/>
  <c r="AI282" i="8"/>
  <c r="AI287" s="1"/>
  <c r="BA60" i="60"/>
  <c r="BH58"/>
  <c r="P274" i="9"/>
  <c r="P276" s="1"/>
  <c r="P280" s="1"/>
  <c r="Z274" i="8"/>
  <c r="Z276" s="1"/>
  <c r="Z280" s="1"/>
  <c r="BH64" i="60"/>
  <c r="BA66"/>
  <c r="BH66" s="1"/>
  <c r="I87" i="9"/>
  <c r="H40" i="56"/>
  <c r="K79" i="9"/>
  <c r="L40" i="16"/>
  <c r="AK287" i="8"/>
  <c r="M101"/>
  <c r="H179" i="25"/>
  <c r="I179"/>
  <c r="K179"/>
  <c r="J179"/>
  <c r="F179"/>
  <c r="L179"/>
  <c r="M179"/>
  <c r="M180" s="1"/>
  <c r="M181" s="1"/>
  <c r="M356"/>
  <c r="M357" s="1"/>
  <c r="M358"/>
  <c r="N87" i="8"/>
  <c r="M40" i="55"/>
  <c r="H125" i="66"/>
  <c r="J78" i="56"/>
  <c r="Q193" i="19"/>
  <c r="I221" i="62"/>
  <c r="I222" s="1"/>
  <c r="I223" s="1"/>
  <c r="I224" s="1"/>
  <c r="I225" s="1"/>
  <c r="I226" s="1"/>
  <c r="I227" s="1"/>
  <c r="I228" s="1"/>
  <c r="I229" s="1"/>
  <c r="I230" s="1"/>
  <c r="I231" s="1"/>
  <c r="I232" s="1"/>
  <c r="I233" s="1"/>
  <c r="I234" s="1"/>
  <c r="I235" s="1"/>
  <c r="I236" s="1"/>
  <c r="I237" s="1"/>
  <c r="I238" s="1"/>
  <c r="I239" s="1"/>
  <c r="I240" s="1"/>
  <c r="I241" s="1"/>
  <c r="I206"/>
  <c r="I210" s="1"/>
  <c r="I364" i="29"/>
  <c r="B332" s="1"/>
  <c r="I136" i="23"/>
  <c r="G412" i="25"/>
  <c r="H412"/>
  <c r="S193" i="19"/>
  <c r="L36" i="16"/>
  <c r="L54"/>
  <c r="L141" i="9" s="1"/>
  <c r="H250" i="6"/>
  <c r="H258"/>
  <c r="N57" i="9"/>
  <c r="I150" i="23"/>
  <c r="I111"/>
  <c r="F365" i="25"/>
  <c r="H365" s="1"/>
  <c r="N357"/>
  <c r="K365" s="1"/>
  <c r="M365" s="1"/>
  <c r="I356" i="66"/>
  <c r="H347" i="62"/>
  <c r="F419" i="25"/>
  <c r="AM193" i="19"/>
  <c r="K85" i="16"/>
  <c r="L31"/>
  <c r="L45"/>
  <c r="L38"/>
  <c r="G19" i="6"/>
  <c r="AG173" i="19"/>
  <c r="N75" i="9"/>
  <c r="K19" i="6"/>
  <c r="N356" i="25"/>
  <c r="K364" s="1"/>
  <c r="M364" s="1"/>
  <c r="F364"/>
  <c r="H364" s="1"/>
  <c r="I132" i="23"/>
  <c r="H86" i="16"/>
  <c r="BG124" i="8"/>
  <c r="L43" i="16"/>
  <c r="P193" i="19"/>
  <c r="R535"/>
  <c r="L538"/>
  <c r="R173"/>
  <c r="AN169"/>
  <c r="AI173"/>
  <c r="I375" i="29"/>
  <c r="I380" s="1"/>
  <c r="B335" s="1"/>
  <c r="J270" i="66"/>
  <c r="M64" i="9"/>
  <c r="M71"/>
  <c r="W193" i="19"/>
  <c r="K41" i="23"/>
  <c r="L41" s="1"/>
  <c r="J127"/>
  <c r="I19" i="6" s="1"/>
  <c r="J19" s="1"/>
  <c r="J43" i="43" s="1"/>
  <c r="J43" i="23"/>
  <c r="J42"/>
  <c r="AZ287" i="8"/>
  <c r="K44" i="23"/>
  <c r="L44" s="1"/>
  <c r="AH193" i="19"/>
  <c r="AD193"/>
  <c r="N76" i="8"/>
  <c r="N78"/>
  <c r="G86" i="16"/>
  <c r="H141" i="9"/>
  <c r="AN171" i="19"/>
  <c r="K141" i="9"/>
  <c r="AB300"/>
  <c r="P287" i="8"/>
  <c r="AL287" i="9" l="1"/>
  <c r="Q287"/>
  <c r="Q300" s="1"/>
  <c r="N298" i="25"/>
  <c r="L30" i="9" s="1"/>
  <c r="L37" s="1"/>
  <c r="L41" s="1"/>
  <c r="J180" i="25"/>
  <c r="AU141" i="8"/>
  <c r="F180" i="25"/>
  <c r="AQ141" i="8"/>
  <c r="H180" i="25"/>
  <c r="AS141" i="8"/>
  <c r="L180" i="25"/>
  <c r="AW141" i="8"/>
  <c r="I180" i="25"/>
  <c r="AT141" i="8"/>
  <c r="L302" i="25"/>
  <c r="L30" i="8"/>
  <c r="K180" i="25"/>
  <c r="AV141" i="8"/>
  <c r="U282" i="9"/>
  <c r="U287" s="1"/>
  <c r="U300" s="1"/>
  <c r="AN190" i="19"/>
  <c r="BG135" i="8"/>
  <c r="BQ66" i="60"/>
  <c r="BJ76"/>
  <c r="BQ76" s="1"/>
  <c r="R282" i="9"/>
  <c r="R287" s="1"/>
  <c r="R300" s="1"/>
  <c r="BL141"/>
  <c r="AN148" i="19"/>
  <c r="AN173"/>
  <c r="M368" i="25"/>
  <c r="N368" s="1"/>
  <c r="L98" i="9" s="1"/>
  <c r="AB141"/>
  <c r="BC141"/>
  <c r="F307" i="6"/>
  <c r="J307" s="1"/>
  <c r="J308" s="1"/>
  <c r="I138" i="23"/>
  <c r="Z282" i="8"/>
  <c r="Z287" s="1"/>
  <c r="Z300" s="1"/>
  <c r="P282" i="9"/>
  <c r="P287" s="1"/>
  <c r="P300" s="1"/>
  <c r="AH282"/>
  <c r="AH287" s="1"/>
  <c r="I66" i="58"/>
  <c r="R300" i="8"/>
  <c r="N167" i="67"/>
  <c r="BA156" i="8"/>
  <c r="BC156"/>
  <c r="BE156"/>
  <c r="AZ156"/>
  <c r="H58" i="58"/>
  <c r="AZ157" i="8"/>
  <c r="M87"/>
  <c r="BA157"/>
  <c r="BF157"/>
  <c r="BE157"/>
  <c r="H124" i="66"/>
  <c r="BD157" i="8"/>
  <c r="BB156"/>
  <c r="BF156"/>
  <c r="BB157"/>
  <c r="BD156"/>
  <c r="BD158" s="1"/>
  <c r="BC157"/>
  <c r="L35" i="60"/>
  <c r="L40" i="55"/>
  <c r="AZ471" i="8"/>
  <c r="BG143"/>
  <c r="L51" i="55" s="1"/>
  <c r="BA471" i="8"/>
  <c r="BA147"/>
  <c r="H33" i="10" s="1"/>
  <c r="F308" i="6"/>
  <c r="F310"/>
  <c r="F311" s="1"/>
  <c r="I51" i="66" s="1"/>
  <c r="F248" i="6"/>
  <c r="I86" i="16"/>
  <c r="BE147" i="8"/>
  <c r="L33" i="10" s="1"/>
  <c r="K87" i="9"/>
  <c r="J40" i="56"/>
  <c r="AN282" i="8"/>
  <c r="AN287" s="1"/>
  <c r="G121" i="66"/>
  <c r="AC257" i="8"/>
  <c r="AB257"/>
  <c r="Y257"/>
  <c r="AD257"/>
  <c r="AE257"/>
  <c r="Z257"/>
  <c r="H30" i="13"/>
  <c r="H32" s="1"/>
  <c r="H114" s="1"/>
  <c r="AA257" i="8"/>
  <c r="Z257" i="9"/>
  <c r="AA257"/>
  <c r="AC257"/>
  <c r="AB257"/>
  <c r="Y257"/>
  <c r="AD257"/>
  <c r="Q257" i="8"/>
  <c r="D170" i="66" s="1"/>
  <c r="G120"/>
  <c r="U257" i="8"/>
  <c r="H170" i="66" s="1"/>
  <c r="T257" i="8"/>
  <c r="G170" i="66" s="1"/>
  <c r="S257" i="8"/>
  <c r="F170" i="66" s="1"/>
  <c r="R257" i="8"/>
  <c r="E170" i="66" s="1"/>
  <c r="G30" i="13"/>
  <c r="G32" s="1"/>
  <c r="G114" s="1"/>
  <c r="V257" i="8"/>
  <c r="I170" i="66" s="1"/>
  <c r="P257" i="8"/>
  <c r="C170" i="66" s="1"/>
  <c r="BD147" i="8"/>
  <c r="K33" i="10" s="1"/>
  <c r="R257" i="9"/>
  <c r="Q257"/>
  <c r="U257"/>
  <c r="T257"/>
  <c r="S257"/>
  <c r="P257"/>
  <c r="BH60" i="60"/>
  <c r="BA76"/>
  <c r="BH76" s="1"/>
  <c r="BC471" i="8"/>
  <c r="BC147"/>
  <c r="J33" i="10" s="1"/>
  <c r="BB471" i="8"/>
  <c r="BB147"/>
  <c r="I33" i="10" s="1"/>
  <c r="H122" i="66"/>
  <c r="J40" i="55"/>
  <c r="J35" i="60"/>
  <c r="K87" i="8"/>
  <c r="BF280"/>
  <c r="BG278"/>
  <c r="W85" i="18"/>
  <c r="X83"/>
  <c r="BF147" i="8"/>
  <c r="M33" i="10" s="1"/>
  <c r="AN188" i="19"/>
  <c r="BH72" i="60"/>
  <c r="L181" i="25"/>
  <c r="G181"/>
  <c r="F181"/>
  <c r="I181"/>
  <c r="J181"/>
  <c r="H181"/>
  <c r="K181"/>
  <c r="M359"/>
  <c r="L127" i="23"/>
  <c r="L43"/>
  <c r="L70" s="1"/>
  <c r="L152" s="1"/>
  <c r="L42"/>
  <c r="L60" s="1"/>
  <c r="BD141" i="9"/>
  <c r="AC141"/>
  <c r="T141"/>
  <c r="BM141"/>
  <c r="K78" i="56"/>
  <c r="AZ300" i="8"/>
  <c r="AZ291"/>
  <c r="AG193" i="19"/>
  <c r="I154" i="23"/>
  <c r="AD141" i="9"/>
  <c r="BE141"/>
  <c r="U141"/>
  <c r="BN141"/>
  <c r="L78" i="56"/>
  <c r="BI122" i="8"/>
  <c r="BK122"/>
  <c r="BL122"/>
  <c r="BJ122"/>
  <c r="BM133"/>
  <c r="N91"/>
  <c r="BN133"/>
  <c r="BK133"/>
  <c r="BL133"/>
  <c r="BM122"/>
  <c r="BN122"/>
  <c r="BO133"/>
  <c r="BI133"/>
  <c r="BJ133"/>
  <c r="BO122"/>
  <c r="G70" i="29"/>
  <c r="D87" i="41"/>
  <c r="D123"/>
  <c r="H107" i="66"/>
  <c r="E61" i="72"/>
  <c r="M30" i="60"/>
  <c r="M32" s="1"/>
  <c r="L29" i="13"/>
  <c r="L112" s="1"/>
  <c r="M35" i="55"/>
  <c r="M36" s="1"/>
  <c r="J271" i="66"/>
  <c r="M65" i="9"/>
  <c r="AI193" i="19"/>
  <c r="R193"/>
  <c r="F86" i="16"/>
  <c r="I141" i="9"/>
  <c r="D86" i="16"/>
  <c r="L55"/>
  <c r="G141" i="9"/>
  <c r="BP84" i="60"/>
  <c r="BM83"/>
  <c r="BK83"/>
  <c r="BL84"/>
  <c r="BK84"/>
  <c r="BN83"/>
  <c r="BN84"/>
  <c r="BJ83"/>
  <c r="BJ84"/>
  <c r="BO83"/>
  <c r="BO84"/>
  <c r="BL83"/>
  <c r="BL85" s="1"/>
  <c r="BM84"/>
  <c r="BP83"/>
  <c r="H368" i="25"/>
  <c r="I368" s="1"/>
  <c r="BM272" i="8"/>
  <c r="BO272"/>
  <c r="BM264"/>
  <c r="BJ264"/>
  <c r="BJ268" s="1"/>
  <c r="BJ270" s="1"/>
  <c r="BN272"/>
  <c r="BL272"/>
  <c r="BN264"/>
  <c r="BI264"/>
  <c r="BI272"/>
  <c r="BO264"/>
  <c r="BO268" s="1"/>
  <c r="BO270" s="1"/>
  <c r="BO274" s="1"/>
  <c r="BO276" s="1"/>
  <c r="BO280" s="1"/>
  <c r="BJ272"/>
  <c r="BL264"/>
  <c r="BK272"/>
  <c r="BK264"/>
  <c r="BK285"/>
  <c r="BL285"/>
  <c r="BN285"/>
  <c r="BI285"/>
  <c r="BM285"/>
  <c r="BO285"/>
  <c r="BJ285"/>
  <c r="K130" i="23"/>
  <c r="K134"/>
  <c r="J56"/>
  <c r="M76" i="9"/>
  <c r="J272" i="66"/>
  <c r="M78" i="9"/>
  <c r="M73"/>
  <c r="M83" s="1"/>
  <c r="M79" s="1"/>
  <c r="H348" i="62"/>
  <c r="H349" s="1"/>
  <c r="H350" s="1"/>
  <c r="H351" s="1"/>
  <c r="H352" s="1"/>
  <c r="H353" s="1"/>
  <c r="H354" s="1"/>
  <c r="H355" s="1"/>
  <c r="H356" s="1"/>
  <c r="H357" s="1"/>
  <c r="H358" s="1"/>
  <c r="H359" s="1"/>
  <c r="H360" s="1"/>
  <c r="H361" s="1"/>
  <c r="H362" s="1"/>
  <c r="H363" s="1"/>
  <c r="H364" s="1"/>
  <c r="H365" s="1"/>
  <c r="H366" s="1"/>
  <c r="H367" s="1"/>
  <c r="H368" s="1"/>
  <c r="H369" s="1"/>
  <c r="H370" s="1"/>
  <c r="H371" s="1"/>
  <c r="H372" s="1"/>
  <c r="H373" s="1"/>
  <c r="H374" s="1"/>
  <c r="H375" s="1"/>
  <c r="H376" s="1"/>
  <c r="H377" s="1"/>
  <c r="H378" s="1"/>
  <c r="H379" s="1"/>
  <c r="H380" s="1"/>
  <c r="H381" s="1"/>
  <c r="H382" s="1"/>
  <c r="H383" s="1"/>
  <c r="H384" s="1"/>
  <c r="H385" s="1"/>
  <c r="H386" s="1"/>
  <c r="I347"/>
  <c r="N63" i="9"/>
  <c r="H260" i="6"/>
  <c r="AK141" i="9"/>
  <c r="L30" i="13"/>
  <c r="L32" s="1"/>
  <c r="L114" s="1"/>
  <c r="G125" i="66"/>
  <c r="L19" i="6"/>
  <c r="Z141" i="9"/>
  <c r="BA141"/>
  <c r="Q141"/>
  <c r="BJ141"/>
  <c r="H78" i="56"/>
  <c r="L134" i="23"/>
  <c r="L136" s="1"/>
  <c r="L130"/>
  <c r="L132" s="1"/>
  <c r="K43"/>
  <c r="K70" s="1"/>
  <c r="K152" s="1"/>
  <c r="K42"/>
  <c r="K60" s="1"/>
  <c r="K127"/>
  <c r="S535" i="19"/>
  <c r="J42" i="43"/>
  <c r="M19" i="6"/>
  <c r="H419" i="25"/>
  <c r="G419"/>
  <c r="M131" i="67"/>
  <c r="M132" s="1"/>
  <c r="L96"/>
  <c r="L100" s="1"/>
  <c r="M127"/>
  <c r="M128" s="1"/>
  <c r="L127"/>
  <c r="L128" s="1"/>
  <c r="L92"/>
  <c r="L125" s="1"/>
  <c r="L105"/>
  <c r="L108" s="1"/>
  <c r="M105"/>
  <c r="M108" s="1"/>
  <c r="J207" i="26"/>
  <c r="M96" i="67"/>
  <c r="M100" s="1"/>
  <c r="L131"/>
  <c r="L132" s="1"/>
  <c r="M92"/>
  <c r="M125" s="1"/>
  <c r="P300" i="8"/>
  <c r="N302" i="25" l="1"/>
  <c r="L62" i="9"/>
  <c r="L75" s="1"/>
  <c r="L71"/>
  <c r="AU377" i="8"/>
  <c r="AU377" i="9"/>
  <c r="N388"/>
  <c r="N388" i="8"/>
  <c r="AQ2"/>
  <c r="L37"/>
  <c r="L41" s="1"/>
  <c r="K26" i="60"/>
  <c r="K28" i="55"/>
  <c r="G489" i="18"/>
  <c r="G492" s="1"/>
  <c r="I495" s="1"/>
  <c r="L49" i="8"/>
  <c r="I30"/>
  <c r="AQ2" i="9"/>
  <c r="L49"/>
  <c r="I30"/>
  <c r="K28" i="56"/>
  <c r="K33" s="1"/>
  <c r="K36" s="1"/>
  <c r="K44" s="1"/>
  <c r="AX141" i="8"/>
  <c r="BA158"/>
  <c r="K86" i="16"/>
  <c r="K51" i="56"/>
  <c r="K54" s="1"/>
  <c r="AR143" i="9"/>
  <c r="AR471" s="1"/>
  <c r="AR472" s="1"/>
  <c r="AR523" s="1"/>
  <c r="AR524" s="1"/>
  <c r="AN193" i="19"/>
  <c r="J152" i="23"/>
  <c r="H152" s="1"/>
  <c r="I348" i="62"/>
  <c r="I349" s="1"/>
  <c r="I350" s="1"/>
  <c r="I351" s="1"/>
  <c r="I352" s="1"/>
  <c r="I353" s="1"/>
  <c r="I354" s="1"/>
  <c r="I355" s="1"/>
  <c r="I356" s="1"/>
  <c r="I357" s="1"/>
  <c r="I358" s="1"/>
  <c r="I359" s="1"/>
  <c r="I360" s="1"/>
  <c r="I361" s="1"/>
  <c r="I362" s="1"/>
  <c r="I363" s="1"/>
  <c r="I364" s="1"/>
  <c r="I365" s="1"/>
  <c r="I366" s="1"/>
  <c r="I367" s="1"/>
  <c r="I368" s="1"/>
  <c r="I369" s="1"/>
  <c r="I370" s="1"/>
  <c r="I371" s="1"/>
  <c r="I372" s="1"/>
  <c r="I373" s="1"/>
  <c r="I374" s="1"/>
  <c r="I375" s="1"/>
  <c r="I376" s="1"/>
  <c r="I377" s="1"/>
  <c r="I378" s="1"/>
  <c r="I379" s="1"/>
  <c r="I380" s="1"/>
  <c r="I381" s="1"/>
  <c r="I382" s="1"/>
  <c r="I383" s="1"/>
  <c r="I384" s="1"/>
  <c r="I385" s="1"/>
  <c r="I386" s="1"/>
  <c r="BF158" i="8"/>
  <c r="BK85" i="60"/>
  <c r="BJ274" i="8"/>
  <c r="BJ276" s="1"/>
  <c r="BJ280" s="1"/>
  <c r="BJ287" s="1"/>
  <c r="BG471"/>
  <c r="BC158"/>
  <c r="BF287"/>
  <c r="BG280"/>
  <c r="F252" i="6"/>
  <c r="J252" s="1"/>
  <c r="F258"/>
  <c r="J258" s="1"/>
  <c r="F250"/>
  <c r="J248"/>
  <c r="BA84" i="60"/>
  <c r="BB83"/>
  <c r="BD83"/>
  <c r="BG83"/>
  <c r="BF84"/>
  <c r="BG84"/>
  <c r="BC83"/>
  <c r="BC84"/>
  <c r="BB84"/>
  <c r="BD84"/>
  <c r="BE84"/>
  <c r="BE83"/>
  <c r="BF83"/>
  <c r="BF85" s="1"/>
  <c r="BA83"/>
  <c r="BE158" i="8"/>
  <c r="BG157"/>
  <c r="BD91" i="55"/>
  <c r="BB92"/>
  <c r="BD92"/>
  <c r="AZ92"/>
  <c r="BC92"/>
  <c r="BA92"/>
  <c r="AZ91"/>
  <c r="BE91"/>
  <c r="BC91"/>
  <c r="BC93" s="1"/>
  <c r="BF92"/>
  <c r="BB91"/>
  <c r="BA91"/>
  <c r="BF91"/>
  <c r="BE92"/>
  <c r="BI257" i="8"/>
  <c r="BK257"/>
  <c r="BO257"/>
  <c r="BL257"/>
  <c r="BF257"/>
  <c r="K30" i="13"/>
  <c r="K32" s="1"/>
  <c r="K114" s="1"/>
  <c r="K118" s="1"/>
  <c r="BE257" i="8"/>
  <c r="G124" i="66"/>
  <c r="BA257" i="8"/>
  <c r="BC257"/>
  <c r="AZ257"/>
  <c r="BD257"/>
  <c r="BJ257"/>
  <c r="BN257"/>
  <c r="BM257"/>
  <c r="BB257"/>
  <c r="X85" i="18"/>
  <c r="AI257" i="9"/>
  <c r="AH257"/>
  <c r="AK257"/>
  <c r="AM257"/>
  <c r="AL257"/>
  <c r="AJ257"/>
  <c r="AZ158" i="8"/>
  <c r="BG156"/>
  <c r="N33" i="10"/>
  <c r="Y33" s="1"/>
  <c r="BG147" i="8"/>
  <c r="AN257"/>
  <c r="G122" i="66"/>
  <c r="AI257" i="8"/>
  <c r="AL257"/>
  <c r="AH257"/>
  <c r="AM257"/>
  <c r="AK257"/>
  <c r="AJ257"/>
  <c r="I30" i="13"/>
  <c r="I32" s="1"/>
  <c r="I114" s="1"/>
  <c r="BA80" i="55"/>
  <c r="BA84" s="1"/>
  <c r="BB80"/>
  <c r="BB84" s="1"/>
  <c r="BF80"/>
  <c r="BF84" s="1"/>
  <c r="BC80"/>
  <c r="BC84" s="1"/>
  <c r="BE80"/>
  <c r="BE84" s="1"/>
  <c r="BD80"/>
  <c r="BD84" s="1"/>
  <c r="L54"/>
  <c r="AZ80"/>
  <c r="BB158" i="8"/>
  <c r="AT143" i="9"/>
  <c r="AT471" s="1"/>
  <c r="AT472" s="1"/>
  <c r="AT473" s="1"/>
  <c r="AV143"/>
  <c r="AI141"/>
  <c r="N64"/>
  <c r="N65" s="1"/>
  <c r="N71"/>
  <c r="BE272"/>
  <c r="BE264"/>
  <c r="BB264"/>
  <c r="BD272"/>
  <c r="BA264"/>
  <c r="BC272"/>
  <c r="BB272"/>
  <c r="BA272"/>
  <c r="AZ272"/>
  <c r="BD264"/>
  <c r="AZ264"/>
  <c r="BC264"/>
  <c r="BC285"/>
  <c r="AZ285"/>
  <c r="BD285"/>
  <c r="BB285"/>
  <c r="BA285"/>
  <c r="BE285"/>
  <c r="J134" i="23"/>
  <c r="K136"/>
  <c r="BN268" i="8"/>
  <c r="BN270" s="1"/>
  <c r="BM268"/>
  <c r="BM270" s="1"/>
  <c r="AA141" i="9"/>
  <c r="BB141"/>
  <c r="AS143"/>
  <c r="AS471" s="1"/>
  <c r="AS472" s="1"/>
  <c r="BK141"/>
  <c r="R141"/>
  <c r="I78" i="56"/>
  <c r="M37" i="55"/>
  <c r="BI66"/>
  <c r="BK66"/>
  <c r="BM66"/>
  <c r="BK72"/>
  <c r="BL66"/>
  <c r="BN66"/>
  <c r="M44"/>
  <c r="BL72"/>
  <c r="BM72"/>
  <c r="BO72"/>
  <c r="BN72"/>
  <c r="BJ66"/>
  <c r="BI72"/>
  <c r="BJ72"/>
  <c r="BO66"/>
  <c r="BO129" i="8"/>
  <c r="BO327"/>
  <c r="BO979"/>
  <c r="BO125"/>
  <c r="BO328"/>
  <c r="BO156"/>
  <c r="BO347"/>
  <c r="BN129"/>
  <c r="BN328"/>
  <c r="BN125"/>
  <c r="BN327"/>
  <c r="BN156"/>
  <c r="BN347"/>
  <c r="BN979"/>
  <c r="BN137"/>
  <c r="BN136"/>
  <c r="BN157"/>
  <c r="BL129"/>
  <c r="BL328"/>
  <c r="BL125"/>
  <c r="BL979"/>
  <c r="BL347"/>
  <c r="BL156"/>
  <c r="BL327"/>
  <c r="L138" i="23"/>
  <c r="BP85" i="60"/>
  <c r="BO85"/>
  <c r="BN85"/>
  <c r="BM85"/>
  <c r="I216" i="26"/>
  <c r="H216"/>
  <c r="M87" i="9"/>
  <c r="L40" i="56"/>
  <c r="BL268" i="8"/>
  <c r="BL270" s="1"/>
  <c r="BI268"/>
  <c r="BI270" s="1"/>
  <c r="BO137"/>
  <c r="BO136"/>
  <c r="BO157"/>
  <c r="BK137"/>
  <c r="BK136"/>
  <c r="BK157"/>
  <c r="BJ129"/>
  <c r="BJ347"/>
  <c r="BJ327"/>
  <c r="BJ328"/>
  <c r="BJ979"/>
  <c r="BJ125"/>
  <c r="BJ156"/>
  <c r="AM141" i="9"/>
  <c r="K150" i="23"/>
  <c r="K111"/>
  <c r="BA122" i="9"/>
  <c r="BB133"/>
  <c r="AZ122"/>
  <c r="BA133"/>
  <c r="BD122"/>
  <c r="BE133"/>
  <c r="M91"/>
  <c r="BB122"/>
  <c r="AZ133"/>
  <c r="BC122"/>
  <c r="BC133"/>
  <c r="BE122"/>
  <c r="BD133"/>
  <c r="I106" i="66"/>
  <c r="L35" i="56"/>
  <c r="L36" s="1"/>
  <c r="F76" i="29"/>
  <c r="L98" i="8"/>
  <c r="K46" i="60"/>
  <c r="BJ85"/>
  <c r="BQ83"/>
  <c r="BI137" i="8"/>
  <c r="BP133"/>
  <c r="BM135" s="1"/>
  <c r="BI157"/>
  <c r="BI136"/>
  <c r="BL137"/>
  <c r="BL136"/>
  <c r="BL157"/>
  <c r="BM137"/>
  <c r="BM136"/>
  <c r="BM157"/>
  <c r="BI129"/>
  <c r="BI347"/>
  <c r="BI328"/>
  <c r="BP122"/>
  <c r="BL124" s="1"/>
  <c r="BI125"/>
  <c r="BI327"/>
  <c r="BI979"/>
  <c r="BI156"/>
  <c r="L150" i="23"/>
  <c r="L154" s="1"/>
  <c r="L111"/>
  <c r="AU143" i="9"/>
  <c r="AU471" s="1"/>
  <c r="AU472" s="1"/>
  <c r="K132" i="23"/>
  <c r="J130"/>
  <c r="BK268" i="8"/>
  <c r="BK270" s="1"/>
  <c r="BK274" s="1"/>
  <c r="BK276" s="1"/>
  <c r="BK280" s="1"/>
  <c r="BK287" s="1"/>
  <c r="Y141" i="9"/>
  <c r="P141"/>
  <c r="BI141"/>
  <c r="AZ141"/>
  <c r="N141"/>
  <c r="G78" i="56"/>
  <c r="BJ137" i="8"/>
  <c r="BJ136"/>
  <c r="BJ157"/>
  <c r="BM129"/>
  <c r="BM979"/>
  <c r="BM347"/>
  <c r="BM328"/>
  <c r="BM125"/>
  <c r="BM156"/>
  <c r="BM327"/>
  <c r="N98"/>
  <c r="N101" s="1"/>
  <c r="BK129"/>
  <c r="BK328"/>
  <c r="BK347"/>
  <c r="BK979"/>
  <c r="BK156"/>
  <c r="BK327"/>
  <c r="BK125"/>
  <c r="AL141" i="9"/>
  <c r="BO287" i="8"/>
  <c r="BQ84" i="60"/>
  <c r="L118" i="13"/>
  <c r="BG85" i="60" l="1"/>
  <c r="L76" i="9"/>
  <c r="AT122" s="1"/>
  <c r="H28" i="56"/>
  <c r="I37" i="9"/>
  <c r="H30"/>
  <c r="H37" s="1"/>
  <c r="I37" i="8"/>
  <c r="H30"/>
  <c r="H37" s="1"/>
  <c r="H26" i="60"/>
  <c r="K28"/>
  <c r="K31" s="1"/>
  <c r="K39" s="1"/>
  <c r="N418" i="9"/>
  <c r="N420" s="1"/>
  <c r="N390"/>
  <c r="H28" i="55"/>
  <c r="K33"/>
  <c r="K36" s="1"/>
  <c r="K44" s="1"/>
  <c r="N418" i="8"/>
  <c r="N420" s="1"/>
  <c r="N390"/>
  <c r="I501" i="18"/>
  <c r="L501" s="1"/>
  <c r="L495"/>
  <c r="L51" i="9"/>
  <c r="L53" s="1"/>
  <c r="L51" i="8"/>
  <c r="L53" s="1"/>
  <c r="L71"/>
  <c r="L62"/>
  <c r="L75" s="1"/>
  <c r="BP257"/>
  <c r="BB93" i="55"/>
  <c r="BE85" i="60"/>
  <c r="BN158" i="8"/>
  <c r="BD85" i="60"/>
  <c r="BJ300" i="8"/>
  <c r="BJ291"/>
  <c r="AU80" i="56"/>
  <c r="BK158" i="8"/>
  <c r="BM158"/>
  <c r="AR473" i="9"/>
  <c r="BI124" i="8"/>
  <c r="BP255"/>
  <c r="I335" i="62"/>
  <c r="L335" s="1"/>
  <c r="L340" s="1"/>
  <c r="L202" i="19" s="1"/>
  <c r="AT80" i="56"/>
  <c r="BP278" i="8"/>
  <c r="AR80" i="56"/>
  <c r="AV80"/>
  <c r="BK124" i="8"/>
  <c r="BM124"/>
  <c r="BJ135"/>
  <c r="BP299"/>
  <c r="BP239"/>
  <c r="BP289"/>
  <c r="BP245"/>
  <c r="F260" i="6"/>
  <c r="J260" s="1"/>
  <c r="J50" i="4" s="1"/>
  <c r="R88" s="1"/>
  <c r="J250" i="6"/>
  <c r="BF300" i="8"/>
  <c r="BG300" s="1"/>
  <c r="BF291"/>
  <c r="BG291" s="1"/>
  <c r="BG287"/>
  <c r="BP244"/>
  <c r="BP285"/>
  <c r="BP264"/>
  <c r="BP272"/>
  <c r="BQ85" i="60"/>
  <c r="BC85"/>
  <c r="S112" i="18"/>
  <c r="S167" s="1"/>
  <c r="I112"/>
  <c r="I167" s="1"/>
  <c r="J112"/>
  <c r="J167" s="1"/>
  <c r="P112"/>
  <c r="P167" s="1"/>
  <c r="H112"/>
  <c r="H167" s="1"/>
  <c r="M112"/>
  <c r="M167" s="1"/>
  <c r="N112"/>
  <c r="N167" s="1"/>
  <c r="O112"/>
  <c r="O167" s="1"/>
  <c r="G112"/>
  <c r="Q112"/>
  <c r="Q167" s="1"/>
  <c r="R112"/>
  <c r="R167" s="1"/>
  <c r="U112"/>
  <c r="U167" s="1"/>
  <c r="V112"/>
  <c r="V167" s="1"/>
  <c r="K112"/>
  <c r="K167" s="1"/>
  <c r="AZ93" i="55"/>
  <c r="BG91"/>
  <c r="BP251" i="8"/>
  <c r="BP240"/>
  <c r="W112" i="18"/>
  <c r="W167" s="1"/>
  <c r="BA93" i="55"/>
  <c r="BE93"/>
  <c r="BG92"/>
  <c r="BH84" i="60"/>
  <c r="AZ84" i="55"/>
  <c r="BG84" s="1"/>
  <c r="BG80"/>
  <c r="BA85" i="60"/>
  <c r="BH83"/>
  <c r="BG158" i="8"/>
  <c r="K138" i="23"/>
  <c r="BG257" i="8"/>
  <c r="BF93" i="55"/>
  <c r="BD93"/>
  <c r="BB85" i="60"/>
  <c r="AT523" i="9"/>
  <c r="AT524" s="1"/>
  <c r="AT571" s="1"/>
  <c r="AT572" s="1"/>
  <c r="AV471"/>
  <c r="AV472" s="1"/>
  <c r="BO291" i="8"/>
  <c r="BO300"/>
  <c r="BG141" i="9"/>
  <c r="AF141"/>
  <c r="AU523"/>
  <c r="AU524" s="1"/>
  <c r="AU473"/>
  <c r="L37" i="56"/>
  <c r="L44"/>
  <c r="BC137" i="9"/>
  <c r="BC72" i="56"/>
  <c r="BC136" i="9"/>
  <c r="BC157"/>
  <c r="M98"/>
  <c r="AZ143" s="1"/>
  <c r="AZ129"/>
  <c r="AZ328"/>
  <c r="AZ327"/>
  <c r="AZ125"/>
  <c r="AZ156"/>
  <c r="BG122"/>
  <c r="BE124" s="1"/>
  <c r="AZ347"/>
  <c r="AZ66" i="56"/>
  <c r="AZ979" i="9"/>
  <c r="BI274" i="8"/>
  <c r="BC257" i="9"/>
  <c r="AZ257"/>
  <c r="BN257"/>
  <c r="BM257"/>
  <c r="BD257"/>
  <c r="BL257"/>
  <c r="BA257"/>
  <c r="BB257"/>
  <c r="BK257"/>
  <c r="BE257"/>
  <c r="BI257"/>
  <c r="BJ257"/>
  <c r="BP72" i="55"/>
  <c r="BI74"/>
  <c r="BI92"/>
  <c r="BM92"/>
  <c r="BM74"/>
  <c r="BL91"/>
  <c r="BL68"/>
  <c r="BP66"/>
  <c r="BI68"/>
  <c r="BI91"/>
  <c r="BC276" i="9"/>
  <c r="BC268"/>
  <c r="BC270" s="1"/>
  <c r="BL135" i="8"/>
  <c r="BP137"/>
  <c r="BK135"/>
  <c r="BO135"/>
  <c r="BO158"/>
  <c r="AH141" i="9"/>
  <c r="W141"/>
  <c r="BK291" i="8"/>
  <c r="BK300"/>
  <c r="BP129"/>
  <c r="BE129" i="9"/>
  <c r="BE979"/>
  <c r="BE328"/>
  <c r="BE327"/>
  <c r="BE125"/>
  <c r="BE156"/>
  <c r="BE66" i="56"/>
  <c r="BE347" i="9"/>
  <c r="BB129"/>
  <c r="BB347"/>
  <c r="BB979"/>
  <c r="BB327"/>
  <c r="BB125"/>
  <c r="BB328"/>
  <c r="BB66" i="56"/>
  <c r="BB156" i="9"/>
  <c r="BA137"/>
  <c r="BA72" i="56"/>
  <c r="BA157" i="9"/>
  <c r="BA136"/>
  <c r="J150" i="23"/>
  <c r="H150" s="1"/>
  <c r="K154"/>
  <c r="J154" s="1"/>
  <c r="H154" s="1"/>
  <c r="BJ74" i="55"/>
  <c r="BJ92"/>
  <c r="BO74"/>
  <c r="BO92"/>
  <c r="BN68"/>
  <c r="BN91"/>
  <c r="BK91"/>
  <c r="BK68"/>
  <c r="AJ141" i="9"/>
  <c r="BM274" i="8"/>
  <c r="BM276" s="1"/>
  <c r="BM280" s="1"/>
  <c r="BM287" s="1"/>
  <c r="BA276" i="9"/>
  <c r="BA268"/>
  <c r="BA270" s="1"/>
  <c r="N76"/>
  <c r="N78"/>
  <c r="N73"/>
  <c r="N83" s="1"/>
  <c r="N79" s="1"/>
  <c r="BP270" i="8"/>
  <c r="BP268"/>
  <c r="BJ158"/>
  <c r="BL158"/>
  <c r="BN135"/>
  <c r="N78" i="56"/>
  <c r="BP141" i="9"/>
  <c r="AR525"/>
  <c r="AR571"/>
  <c r="AR572" s="1"/>
  <c r="AU143" i="8"/>
  <c r="AR143"/>
  <c r="AQ143"/>
  <c r="AT143"/>
  <c r="AS143"/>
  <c r="AV143"/>
  <c r="AW143"/>
  <c r="BD137" i="9"/>
  <c r="BD72" i="56"/>
  <c r="BD136" i="9"/>
  <c r="BD157"/>
  <c r="AZ137"/>
  <c r="AZ72" i="56"/>
  <c r="AZ136" i="9"/>
  <c r="BG133"/>
  <c r="BA135" s="1"/>
  <c r="AZ157"/>
  <c r="BD129"/>
  <c r="BD66" i="56"/>
  <c r="BD328" i="9"/>
  <c r="BD156"/>
  <c r="BD347"/>
  <c r="BD327"/>
  <c r="BD979"/>
  <c r="BD125"/>
  <c r="BA129"/>
  <c r="BA327"/>
  <c r="BA979"/>
  <c r="BA328"/>
  <c r="BA66" i="56"/>
  <c r="BA156" i="9"/>
  <c r="BA347"/>
  <c r="BA125"/>
  <c r="BO68" i="55"/>
  <c r="BO91"/>
  <c r="BN92"/>
  <c r="BN74"/>
  <c r="BM91"/>
  <c r="BM68"/>
  <c r="AS80" i="56"/>
  <c r="BD268" i="9"/>
  <c r="BD270" s="1"/>
  <c r="BD276"/>
  <c r="BE268"/>
  <c r="BE270" s="1"/>
  <c r="BE276"/>
  <c r="BP242" i="8"/>
  <c r="BP979"/>
  <c r="BP306"/>
  <c r="BP347"/>
  <c r="BI135"/>
  <c r="J111" i="23"/>
  <c r="H111" s="1"/>
  <c r="K287" i="7" s="1"/>
  <c r="BN124" i="8"/>
  <c r="BO124"/>
  <c r="BB143" i="9"/>
  <c r="BB471" s="1"/>
  <c r="BJ143" i="8"/>
  <c r="BJ471" s="1"/>
  <c r="BL143"/>
  <c r="BL471" s="1"/>
  <c r="BI143"/>
  <c r="BK143"/>
  <c r="BK471" s="1"/>
  <c r="BN143"/>
  <c r="BN471" s="1"/>
  <c r="BM143"/>
  <c r="BM471" s="1"/>
  <c r="BO143"/>
  <c r="BO471" s="1"/>
  <c r="AQ143" i="9"/>
  <c r="AX141"/>
  <c r="J132" i="23"/>
  <c r="H130"/>
  <c r="H132" s="1"/>
  <c r="BP156" i="8"/>
  <c r="BI158"/>
  <c r="AR72" i="60"/>
  <c r="AX72"/>
  <c r="AS72"/>
  <c r="AV72"/>
  <c r="AU72"/>
  <c r="AT72"/>
  <c r="AW72"/>
  <c r="BC129" i="9"/>
  <c r="BC125"/>
  <c r="BC328"/>
  <c r="BC979"/>
  <c r="BC156"/>
  <c r="BC347"/>
  <c r="BC327"/>
  <c r="BC66" i="56"/>
  <c r="BE137" i="9"/>
  <c r="BE157"/>
  <c r="BE136"/>
  <c r="BE72" i="56"/>
  <c r="BB137" i="9"/>
  <c r="BB72" i="56"/>
  <c r="BB157" i="9"/>
  <c r="BB136"/>
  <c r="BL274" i="8"/>
  <c r="BL276" s="1"/>
  <c r="BL280" s="1"/>
  <c r="BL287" s="1"/>
  <c r="BJ91" i="55"/>
  <c r="BJ68"/>
  <c r="BL74"/>
  <c r="BL92"/>
  <c r="BK74"/>
  <c r="BK92"/>
  <c r="AS523" i="9"/>
  <c r="AS524" s="1"/>
  <c r="AS473"/>
  <c r="BN274" i="8"/>
  <c r="BN276" s="1"/>
  <c r="BN280" s="1"/>
  <c r="BN287" s="1"/>
  <c r="J136" i="23"/>
  <c r="H134"/>
  <c r="H136" s="1"/>
  <c r="AZ276" i="9"/>
  <c r="AZ268"/>
  <c r="AZ270" s="1"/>
  <c r="BB276"/>
  <c r="BB268"/>
  <c r="BB270" s="1"/>
  <c r="BP157" i="8"/>
  <c r="BJ124"/>
  <c r="AV122" i="9" l="1"/>
  <c r="AV129" s="1"/>
  <c r="AQ122"/>
  <c r="AQ66" i="56" s="1"/>
  <c r="I105" i="66"/>
  <c r="L91" i="9"/>
  <c r="L101" s="1"/>
  <c r="K35" i="56"/>
  <c r="K37" s="1"/>
  <c r="AS122" i="9"/>
  <c r="AS133" s="1"/>
  <c r="AU122"/>
  <c r="AU125" s="1"/>
  <c r="AR122"/>
  <c r="L55"/>
  <c r="L57" s="1"/>
  <c r="L63" s="1"/>
  <c r="L64" s="1"/>
  <c r="L65" s="1"/>
  <c r="K37" i="8"/>
  <c r="I49" s="1"/>
  <c r="L76"/>
  <c r="J29" i="13" s="1"/>
  <c r="J112" s="1"/>
  <c r="J118" s="1"/>
  <c r="H33" i="56"/>
  <c r="N28"/>
  <c r="AQ347" i="9"/>
  <c r="AQ125"/>
  <c r="AV133"/>
  <c r="AV347"/>
  <c r="AV156"/>
  <c r="AT66" i="56"/>
  <c r="AT125" i="9"/>
  <c r="AT133"/>
  <c r="AT347"/>
  <c r="AT129"/>
  <c r="AT156"/>
  <c r="N28" i="55"/>
  <c r="J33" s="1"/>
  <c r="N33" s="1"/>
  <c r="H33"/>
  <c r="H28" i="60"/>
  <c r="O26"/>
  <c r="J41" i="9"/>
  <c r="I41"/>
  <c r="AU129"/>
  <c r="AU156"/>
  <c r="AR156"/>
  <c r="AR66" i="56"/>
  <c r="AR133" i="9"/>
  <c r="AR125"/>
  <c r="AR129"/>
  <c r="AR347"/>
  <c r="K37"/>
  <c r="AS66" i="56"/>
  <c r="AS347" i="9"/>
  <c r="AS129"/>
  <c r="AS156"/>
  <c r="AS125"/>
  <c r="I41" i="8"/>
  <c r="H56" i="39"/>
  <c r="J41" i="8"/>
  <c r="L55"/>
  <c r="L57" s="1"/>
  <c r="L63" s="1"/>
  <c r="L64" s="1"/>
  <c r="L65" s="1"/>
  <c r="BO93" i="55"/>
  <c r="BO147" i="8"/>
  <c r="M34" i="10" s="1"/>
  <c r="I340" i="62"/>
  <c r="BC158" i="9"/>
  <c r="BA124"/>
  <c r="BN147" i="8"/>
  <c r="L34" i="10" s="1"/>
  <c r="BJ93" i="55"/>
  <c r="BE135" i="9"/>
  <c r="BA158"/>
  <c r="BC124"/>
  <c r="BM93" i="55"/>
  <c r="BD124" i="9"/>
  <c r="BB124"/>
  <c r="BH85" i="60"/>
  <c r="BP124" i="8"/>
  <c r="J140" i="23"/>
  <c r="J138"/>
  <c r="BG93" i="55"/>
  <c r="BJ147" i="8"/>
  <c r="H34" i="10" s="1"/>
  <c r="BD280" i="9"/>
  <c r="BD287" s="1"/>
  <c r="BD300" s="1"/>
  <c r="AZ135"/>
  <c r="BM147" i="8"/>
  <c r="K34" i="10" s="1"/>
  <c r="BB135" i="9"/>
  <c r="BE280"/>
  <c r="BE287" s="1"/>
  <c r="BE300" s="1"/>
  <c r="BD158"/>
  <c r="G167" i="18"/>
  <c r="L112"/>
  <c r="T112" s="1"/>
  <c r="X112" s="1"/>
  <c r="AT525" i="9"/>
  <c r="AV473"/>
  <c r="AV523"/>
  <c r="AV524" s="1"/>
  <c r="BM300" i="8"/>
  <c r="BM291"/>
  <c r="BN291"/>
  <c r="BN300"/>
  <c r="AZ471" i="9"/>
  <c r="AS525"/>
  <c r="AS571"/>
  <c r="AS572" s="1"/>
  <c r="AT471" i="8"/>
  <c r="AT472" s="1"/>
  <c r="AX78" i="56"/>
  <c r="AQ80"/>
  <c r="BM272" i="9"/>
  <c r="BJ272"/>
  <c r="BM264"/>
  <c r="BK264"/>
  <c r="BJ264"/>
  <c r="BN272"/>
  <c r="BL272"/>
  <c r="BL264"/>
  <c r="BN264"/>
  <c r="BI264"/>
  <c r="BK272"/>
  <c r="BI272"/>
  <c r="BM285"/>
  <c r="BJ285"/>
  <c r="BN285"/>
  <c r="BI285"/>
  <c r="BK285"/>
  <c r="BL285"/>
  <c r="BA74" i="56"/>
  <c r="BA92"/>
  <c r="BE68"/>
  <c r="BE91"/>
  <c r="BG272" i="9"/>
  <c r="BG285"/>
  <c r="BG240"/>
  <c r="BG264"/>
  <c r="BG278"/>
  <c r="BG289"/>
  <c r="BG244"/>
  <c r="BG299"/>
  <c r="BG276"/>
  <c r="BG251"/>
  <c r="BG239"/>
  <c r="BG306"/>
  <c r="BG255"/>
  <c r="BG242"/>
  <c r="BG245"/>
  <c r="BG257"/>
  <c r="BL147" i="8"/>
  <c r="J34" i="10" s="1"/>
  <c r="AZ280" i="9"/>
  <c r="BK147" i="8"/>
  <c r="I34" i="10" s="1"/>
  <c r="BD135" i="9"/>
  <c r="BC280"/>
  <c r="BC287" s="1"/>
  <c r="BG270"/>
  <c r="M101"/>
  <c r="BC135"/>
  <c r="BB74" i="56"/>
  <c r="BB92"/>
  <c r="BP158" i="8"/>
  <c r="BA68" i="56"/>
  <c r="BA91"/>
  <c r="BD68"/>
  <c r="BD91"/>
  <c r="AS471" i="8"/>
  <c r="AS472" s="1"/>
  <c r="AU471"/>
  <c r="AU472" s="1"/>
  <c r="AF78" i="56"/>
  <c r="M40"/>
  <c r="BO407" i="9"/>
  <c r="M407" s="1"/>
  <c r="N87"/>
  <c r="BB68" i="56"/>
  <c r="BB91"/>
  <c r="AT619" i="9"/>
  <c r="AT620" s="1"/>
  <c r="AT573"/>
  <c r="BP68" i="55"/>
  <c r="BI276" i="8"/>
  <c r="BP274"/>
  <c r="L51" i="56"/>
  <c r="L54" s="1"/>
  <c r="BG347" i="9"/>
  <c r="BE74" i="56"/>
  <c r="BE92"/>
  <c r="BC68"/>
  <c r="BC91"/>
  <c r="AY72" i="60"/>
  <c r="BI471" i="8"/>
  <c r="BP471" s="1"/>
  <c r="BP143"/>
  <c r="M51" i="55" s="1"/>
  <c r="BP135" i="8"/>
  <c r="BD74" i="56"/>
  <c r="BD92"/>
  <c r="AV471" i="8"/>
  <c r="AV472" s="1"/>
  <c r="AR471"/>
  <c r="AR472" s="1"/>
  <c r="BG78" i="56"/>
  <c r="AO141" i="9"/>
  <c r="BI93" i="55"/>
  <c r="BP91"/>
  <c r="AZ68" i="56"/>
  <c r="BG66"/>
  <c r="AZ91"/>
  <c r="AZ147" i="9"/>
  <c r="BG129"/>
  <c r="AU525"/>
  <c r="AU571"/>
  <c r="AU572" s="1"/>
  <c r="BB280"/>
  <c r="BB287" s="1"/>
  <c r="H138" i="23"/>
  <c r="BG137" i="9"/>
  <c r="BA280"/>
  <c r="BA287" s="1"/>
  <c r="BN93" i="55"/>
  <c r="BB158" i="9"/>
  <c r="BB147"/>
  <c r="R33" i="10" s="1"/>
  <c r="BL93" i="55"/>
  <c r="BP74"/>
  <c r="AZ124" i="9"/>
  <c r="BL300" i="8"/>
  <c r="BL291"/>
  <c r="AX143" i="9"/>
  <c r="AQ471"/>
  <c r="AZ74" i="56"/>
  <c r="BG72"/>
  <c r="AZ92"/>
  <c r="AW471" i="8"/>
  <c r="AW472" s="1"/>
  <c r="AX143"/>
  <c r="K51" i="55" s="1"/>
  <c r="AQ471" i="8"/>
  <c r="AR619" i="9"/>
  <c r="AR620" s="1"/>
  <c r="AR573"/>
  <c r="W78" i="56"/>
  <c r="BP78"/>
  <c r="BK122" i="9"/>
  <c r="BI133"/>
  <c r="N91"/>
  <c r="BL122"/>
  <c r="BL133"/>
  <c r="BI122"/>
  <c r="BJ122"/>
  <c r="BJ133"/>
  <c r="BM122"/>
  <c r="BN133"/>
  <c r="BN122"/>
  <c r="BM133"/>
  <c r="BK133"/>
  <c r="M140" i="41"/>
  <c r="I107" i="66"/>
  <c r="M35" i="56"/>
  <c r="M36" s="1"/>
  <c r="G76" i="29"/>
  <c r="AE202" i="19"/>
  <c r="AE207" s="1"/>
  <c r="X202"/>
  <c r="X207" s="1"/>
  <c r="U202"/>
  <c r="U207" s="1"/>
  <c r="AL202"/>
  <c r="AL207" s="1"/>
  <c r="W202"/>
  <c r="W207" s="1"/>
  <c r="V202"/>
  <c r="V207" s="1"/>
  <c r="Q202"/>
  <c r="Q207" s="1"/>
  <c r="R202"/>
  <c r="R207" s="1"/>
  <c r="Z202"/>
  <c r="Z207" s="1"/>
  <c r="AK202"/>
  <c r="AK207" s="1"/>
  <c r="P202"/>
  <c r="P207" s="1"/>
  <c r="AA202"/>
  <c r="AA207" s="1"/>
  <c r="I406" i="66"/>
  <c r="AM202" i="19"/>
  <c r="AM207" s="1"/>
  <c r="AG202"/>
  <c r="AG207" s="1"/>
  <c r="AI202"/>
  <c r="AI207" s="1"/>
  <c r="AJ202"/>
  <c r="AJ207" s="1"/>
  <c r="S202"/>
  <c r="S207" s="1"/>
  <c r="AD202"/>
  <c r="AD207" s="1"/>
  <c r="T202"/>
  <c r="T207" s="1"/>
  <c r="AB202"/>
  <c r="AB207" s="1"/>
  <c r="Y202"/>
  <c r="Y207" s="1"/>
  <c r="AC202"/>
  <c r="AC207" s="1"/>
  <c r="AF202"/>
  <c r="AF207" s="1"/>
  <c r="AH202"/>
  <c r="AH207" s="1"/>
  <c r="J172" i="26"/>
  <c r="AZ158" i="9"/>
  <c r="BG156"/>
  <c r="BC143"/>
  <c r="BC471" s="1"/>
  <c r="BE143"/>
  <c r="BE471" s="1"/>
  <c r="BD143"/>
  <c r="BD471" s="1"/>
  <c r="BA143"/>
  <c r="BA471" s="1"/>
  <c r="BC74" i="56"/>
  <c r="BC92"/>
  <c r="BG157" i="9"/>
  <c r="BK93" i="55"/>
  <c r="BE158" i="9"/>
  <c r="BI147" i="8"/>
  <c r="BP92" i="55"/>
  <c r="BG979" i="9"/>
  <c r="AV66" i="56" l="1"/>
  <c r="AQ156" i="9"/>
  <c r="AX122"/>
  <c r="AU66" i="56"/>
  <c r="AV125" i="9"/>
  <c r="AQ129"/>
  <c r="H105" i="66"/>
  <c r="AU133" i="9"/>
  <c r="AU347"/>
  <c r="AQ133"/>
  <c r="K41" i="8"/>
  <c r="L91"/>
  <c r="L101" s="1"/>
  <c r="AQ6" s="1"/>
  <c r="AQ122"/>
  <c r="AR122"/>
  <c r="AS122"/>
  <c r="E70" i="29"/>
  <c r="AU122" i="8"/>
  <c r="AU129" s="1"/>
  <c r="J28" i="60"/>
  <c r="J31" s="1"/>
  <c r="J39" s="1"/>
  <c r="J46" s="1"/>
  <c r="AO72" s="1"/>
  <c r="AV122" i="8"/>
  <c r="AV129" s="1"/>
  <c r="AT122"/>
  <c r="AT125" s="1"/>
  <c r="K30" i="60"/>
  <c r="K35" i="55"/>
  <c r="AT66" s="1"/>
  <c r="AW122" i="8"/>
  <c r="AR91" i="56"/>
  <c r="AR68"/>
  <c r="AX129" i="9"/>
  <c r="AJ72" i="60"/>
  <c r="AV133" i="8"/>
  <c r="AQ133"/>
  <c r="AQ156"/>
  <c r="AQ129"/>
  <c r="AQ125"/>
  <c r="AQ347"/>
  <c r="AU347"/>
  <c r="AU156"/>
  <c r="AU125"/>
  <c r="H49"/>
  <c r="I51"/>
  <c r="I53" s="1"/>
  <c r="AX156" i="9"/>
  <c r="I62" i="8"/>
  <c r="I71"/>
  <c r="AS72" i="56"/>
  <c r="AS137" i="9"/>
  <c r="AS147" s="1"/>
  <c r="AS389" s="1"/>
  <c r="AS136"/>
  <c r="AS157"/>
  <c r="AS158" s="1"/>
  <c r="AR157"/>
  <c r="AR137"/>
  <c r="AR147" s="1"/>
  <c r="AR389" s="1"/>
  <c r="AR136"/>
  <c r="AR72" i="56"/>
  <c r="J62" i="9"/>
  <c r="J75" s="1"/>
  <c r="J71"/>
  <c r="AT136"/>
  <c r="AT157"/>
  <c r="AT158" s="1"/>
  <c r="AT72" i="56"/>
  <c r="AT137" i="9"/>
  <c r="AV137"/>
  <c r="AV147" s="1"/>
  <c r="AV389" s="1"/>
  <c r="AV72" i="56"/>
  <c r="AV157" i="9"/>
  <c r="AV158" s="1"/>
  <c r="AV136"/>
  <c r="AR347" i="8"/>
  <c r="AR133"/>
  <c r="AR129"/>
  <c r="AR125"/>
  <c r="AR156"/>
  <c r="AV66" i="55"/>
  <c r="AQ66"/>
  <c r="H41" i="8"/>
  <c r="H58" i="39"/>
  <c r="I58" s="1"/>
  <c r="H59"/>
  <c r="H57"/>
  <c r="I57" s="1"/>
  <c r="K41" i="9"/>
  <c r="H41" s="1"/>
  <c r="H75" s="1"/>
  <c r="I49"/>
  <c r="AU157"/>
  <c r="AU158" s="1"/>
  <c r="AU137"/>
  <c r="AU147" s="1"/>
  <c r="AU389" s="1"/>
  <c r="AU72" i="56"/>
  <c r="AU136" i="9"/>
  <c r="I71"/>
  <c r="N301" s="1"/>
  <c r="I62"/>
  <c r="AV68" i="56"/>
  <c r="AV91"/>
  <c r="AS58" i="60"/>
  <c r="AX58"/>
  <c r="AW58"/>
  <c r="K32"/>
  <c r="AR58"/>
  <c r="AV58"/>
  <c r="AU58"/>
  <c r="AT58"/>
  <c r="AW156" i="8"/>
  <c r="AW129"/>
  <c r="AW133"/>
  <c r="AW125"/>
  <c r="AW347"/>
  <c r="AX347" i="9"/>
  <c r="J71" i="8"/>
  <c r="J62"/>
  <c r="AS91" i="56"/>
  <c r="AS68"/>
  <c r="AU91"/>
  <c r="AU68"/>
  <c r="H31" i="60"/>
  <c r="I31"/>
  <c r="I39" s="1"/>
  <c r="I46" s="1"/>
  <c r="AF72" s="1"/>
  <c r="O28"/>
  <c r="AT91" i="56"/>
  <c r="AT68"/>
  <c r="AQ136" i="9"/>
  <c r="AQ137"/>
  <c r="AQ72" i="56"/>
  <c r="AQ157" i="9"/>
  <c r="AX133"/>
  <c r="AX66" i="56"/>
  <c r="AQ68"/>
  <c r="AQ91"/>
  <c r="AS133" i="8"/>
  <c r="AS125"/>
  <c r="AS156"/>
  <c r="AS347"/>
  <c r="AS129"/>
  <c r="AR158" i="9"/>
  <c r="AT147"/>
  <c r="AT389" s="1"/>
  <c r="J33" i="56"/>
  <c r="N33" s="1"/>
  <c r="BE291" i="9"/>
  <c r="BG124"/>
  <c r="BB93" i="56"/>
  <c r="BA93"/>
  <c r="AZ80"/>
  <c r="AZ84" s="1"/>
  <c r="BG135" i="9"/>
  <c r="L167" i="18"/>
  <c r="T167" s="1"/>
  <c r="X167" s="1"/>
  <c r="BD291" i="9"/>
  <c r="Z72" i="60"/>
  <c r="AV571" i="9"/>
  <c r="AV572" s="1"/>
  <c r="AV525"/>
  <c r="AC209" i="19"/>
  <c r="AC211"/>
  <c r="AD211"/>
  <c r="AD209"/>
  <c r="AG209"/>
  <c r="AG211"/>
  <c r="P209"/>
  <c r="P211"/>
  <c r="AN207"/>
  <c r="J21" i="20" s="1"/>
  <c r="Q209" i="19"/>
  <c r="Q211"/>
  <c r="U209"/>
  <c r="U211"/>
  <c r="M44" i="56"/>
  <c r="M37"/>
  <c r="BM137" i="9"/>
  <c r="BM136"/>
  <c r="BM72" i="56"/>
  <c r="BM157" i="9"/>
  <c r="BJ137"/>
  <c r="BJ72" i="56"/>
  <c r="BJ136" i="9"/>
  <c r="BJ157"/>
  <c r="BL129"/>
  <c r="BL66" i="56"/>
  <c r="BL347" i="9"/>
  <c r="BL125"/>
  <c r="BL979"/>
  <c r="BL327"/>
  <c r="BL328"/>
  <c r="BL156"/>
  <c r="AR621"/>
  <c r="AR667"/>
  <c r="AR668" s="1"/>
  <c r="BA291"/>
  <c r="BA300"/>
  <c r="P33" i="10"/>
  <c r="AU523" i="8"/>
  <c r="AU524" s="1"/>
  <c r="AU473"/>
  <c r="BC291" i="9"/>
  <c r="BC300"/>
  <c r="BN276"/>
  <c r="BN268"/>
  <c r="BN270" s="1"/>
  <c r="BJ268"/>
  <c r="BJ270" s="1"/>
  <c r="BJ276"/>
  <c r="BG74" i="56"/>
  <c r="BE147" i="9"/>
  <c r="U33" i="10" s="1"/>
  <c r="BD93" i="56"/>
  <c r="G34" i="10"/>
  <c r="N34" s="1"/>
  <c r="Y34" s="1"/>
  <c r="BP147" i="8"/>
  <c r="AF211" i="19"/>
  <c r="AF209"/>
  <c r="T211"/>
  <c r="T209"/>
  <c r="T497"/>
  <c r="T499" s="1"/>
  <c r="AI211"/>
  <c r="AI209"/>
  <c r="AA209"/>
  <c r="AA211"/>
  <c r="R497"/>
  <c r="R209"/>
  <c r="R211"/>
  <c r="AL209"/>
  <c r="AL211"/>
  <c r="BK137" i="9"/>
  <c r="BK72" i="56"/>
  <c r="BK136" i="9"/>
  <c r="BK157"/>
  <c r="BM129"/>
  <c r="BM66" i="56"/>
  <c r="BM327" i="9"/>
  <c r="BM328"/>
  <c r="BM979"/>
  <c r="BM347"/>
  <c r="BM156"/>
  <c r="BM125"/>
  <c r="BL137"/>
  <c r="BL72" i="56"/>
  <c r="BL136" i="9"/>
  <c r="BL157"/>
  <c r="BK129"/>
  <c r="BK327"/>
  <c r="BK125"/>
  <c r="BK979"/>
  <c r="BK347"/>
  <c r="BK66" i="56"/>
  <c r="BK328" i="9"/>
  <c r="BK156"/>
  <c r="BK158" s="1"/>
  <c r="AR80" i="55"/>
  <c r="AT80"/>
  <c r="AS80"/>
  <c r="AV80"/>
  <c r="AQ80"/>
  <c r="AW80"/>
  <c r="AU80"/>
  <c r="K54"/>
  <c r="BB291" i="9"/>
  <c r="BB300"/>
  <c r="BG68" i="56"/>
  <c r="AR473" i="8"/>
  <c r="AR523"/>
  <c r="AR524" s="1"/>
  <c r="AT621" i="9"/>
  <c r="AT667"/>
  <c r="AT668" s="1"/>
  <c r="BI276"/>
  <c r="BI268"/>
  <c r="BI270" s="1"/>
  <c r="AX80" i="56"/>
  <c r="AS619" i="9"/>
  <c r="AS620" s="1"/>
  <c r="AS573"/>
  <c r="BP93" i="55"/>
  <c r="BA147" i="9"/>
  <c r="Q33" i="10" s="1"/>
  <c r="BB80" i="56"/>
  <c r="BB84" s="1"/>
  <c r="BE93"/>
  <c r="AH209" i="19"/>
  <c r="AH211"/>
  <c r="AB209"/>
  <c r="AB211"/>
  <c r="AJ209"/>
  <c r="AJ211"/>
  <c r="Z209"/>
  <c r="Z211"/>
  <c r="W211"/>
  <c r="W209"/>
  <c r="AE209"/>
  <c r="AE211"/>
  <c r="L146" i="41"/>
  <c r="N146"/>
  <c r="M146"/>
  <c r="M148" s="1"/>
  <c r="BN137" i="9"/>
  <c r="BN136"/>
  <c r="BN72" i="56"/>
  <c r="BN157" i="9"/>
  <c r="BI129"/>
  <c r="BI979"/>
  <c r="BI125"/>
  <c r="BP122"/>
  <c r="BI124" s="1"/>
  <c r="BI66" i="56"/>
  <c r="BI327" i="9"/>
  <c r="BI347"/>
  <c r="BI328"/>
  <c r="BI156"/>
  <c r="BI137"/>
  <c r="BI136"/>
  <c r="BP133"/>
  <c r="BJ135" s="1"/>
  <c r="BI72" i="56"/>
  <c r="BI157" i="9"/>
  <c r="AX471" i="8"/>
  <c r="AQ472"/>
  <c r="AX471" i="9"/>
  <c r="AQ472"/>
  <c r="AS523" i="8"/>
  <c r="AS524" s="1"/>
  <c r="AS473"/>
  <c r="AZ287" i="9"/>
  <c r="BG280"/>
  <c r="BM276"/>
  <c r="BM268"/>
  <c r="BM270" s="1"/>
  <c r="AT523" i="8"/>
  <c r="AT524" s="1"/>
  <c r="AT473"/>
  <c r="BG92" i="56"/>
  <c r="BC147" i="9"/>
  <c r="S33" i="10" s="1"/>
  <c r="BC93" i="56"/>
  <c r="BD147" i="9"/>
  <c r="T33" i="10" s="1"/>
  <c r="BG471" i="9"/>
  <c r="BG158"/>
  <c r="I180" i="26"/>
  <c r="H180"/>
  <c r="Y211" i="19"/>
  <c r="Y209"/>
  <c r="S209"/>
  <c r="S211"/>
  <c r="AM209"/>
  <c r="AM211"/>
  <c r="AK209"/>
  <c r="AK211"/>
  <c r="V211"/>
  <c r="V209"/>
  <c r="X211"/>
  <c r="X209"/>
  <c r="BN129" i="9"/>
  <c r="BN66" i="56"/>
  <c r="BN125" i="9"/>
  <c r="BN347"/>
  <c r="BN328"/>
  <c r="BN979"/>
  <c r="BN327"/>
  <c r="BN156"/>
  <c r="BJ129"/>
  <c r="BJ125"/>
  <c r="BJ979"/>
  <c r="BJ327"/>
  <c r="BJ328"/>
  <c r="BJ66" i="56"/>
  <c r="BJ347" i="9"/>
  <c r="BJ156"/>
  <c r="BJ158" s="1"/>
  <c r="N98"/>
  <c r="AO78" i="56"/>
  <c r="AW523" i="8"/>
  <c r="AW524" s="1"/>
  <c r="AW473"/>
  <c r="AU619" i="9"/>
  <c r="AU620" s="1"/>
  <c r="AU573"/>
  <c r="AZ93" i="56"/>
  <c r="BG91"/>
  <c r="AV523" i="8"/>
  <c r="AV524" s="1"/>
  <c r="AV473"/>
  <c r="BI80" i="55"/>
  <c r="BL80"/>
  <c r="BL84" s="1"/>
  <c r="BM80"/>
  <c r="BM84" s="1"/>
  <c r="BJ80"/>
  <c r="BJ84" s="1"/>
  <c r="BO80"/>
  <c r="BO84" s="1"/>
  <c r="BN80"/>
  <c r="BN84" s="1"/>
  <c r="BK80"/>
  <c r="BK84" s="1"/>
  <c r="M54"/>
  <c r="BC80" i="56"/>
  <c r="BC84" s="1"/>
  <c r="BA80"/>
  <c r="BA84" s="1"/>
  <c r="BE80"/>
  <c r="BE84" s="1"/>
  <c r="BD80"/>
  <c r="BD84" s="1"/>
  <c r="BP276" i="8"/>
  <c r="BI280"/>
  <c r="BL276" i="9"/>
  <c r="BL268"/>
  <c r="BL270" s="1"/>
  <c r="BK276"/>
  <c r="BK268"/>
  <c r="BK270" s="1"/>
  <c r="BG143"/>
  <c r="AT156" i="8" l="1"/>
  <c r="AT133"/>
  <c r="AE72" i="60"/>
  <c r="AT347" i="8"/>
  <c r="AD72" i="60"/>
  <c r="AC72"/>
  <c r="AA72"/>
  <c r="AB72"/>
  <c r="AT129" i="8"/>
  <c r="AV156"/>
  <c r="AV125"/>
  <c r="AW66" i="55"/>
  <c r="AS66"/>
  <c r="AM72" i="60"/>
  <c r="AK72"/>
  <c r="AX91" i="56"/>
  <c r="K37" i="55"/>
  <c r="AU66"/>
  <c r="AL72" i="60"/>
  <c r="AI72"/>
  <c r="AX122" i="8"/>
  <c r="AR66" i="55"/>
  <c r="AR91" s="1"/>
  <c r="AN72" i="60"/>
  <c r="AQ6" i="9"/>
  <c r="B461" i="25"/>
  <c r="AU133" i="8"/>
  <c r="AV347"/>
  <c r="J76" i="9"/>
  <c r="Z133" s="1"/>
  <c r="I55" i="8"/>
  <c r="I57" s="1"/>
  <c r="AR166" i="9"/>
  <c r="AR95" i="56" s="1"/>
  <c r="AQ158" i="9"/>
  <c r="AX157"/>
  <c r="O31" i="60"/>
  <c r="H39"/>
  <c r="AV60"/>
  <c r="AV64"/>
  <c r="AV83"/>
  <c r="AX64"/>
  <c r="AX60"/>
  <c r="AX83"/>
  <c r="H62" i="9"/>
  <c r="I75"/>
  <c r="I76" s="1"/>
  <c r="X133" i="18"/>
  <c r="AU166" i="9"/>
  <c r="AU95" i="56" s="1"/>
  <c r="AR72" i="55"/>
  <c r="AR68"/>
  <c r="AT72"/>
  <c r="AT68"/>
  <c r="AT91"/>
  <c r="AR137" i="8"/>
  <c r="AR147" s="1"/>
  <c r="AR389" s="1"/>
  <c r="AR157"/>
  <c r="AR158" s="1"/>
  <c r="AR136"/>
  <c r="AV74" i="56"/>
  <c r="AV92"/>
  <c r="AV93" s="1"/>
  <c r="AT166" i="9"/>
  <c r="AT95" i="56" s="1"/>
  <c r="AR92"/>
  <c r="AR93" s="1"/>
  <c r="AR74"/>
  <c r="AR84" s="1"/>
  <c r="AS166" i="9"/>
  <c r="AS95" i="56" s="1"/>
  <c r="AU157" i="8"/>
  <c r="AU158" s="1"/>
  <c r="AU136"/>
  <c r="AU137"/>
  <c r="AU147" s="1"/>
  <c r="AU389" s="1"/>
  <c r="AQ157"/>
  <c r="AQ137"/>
  <c r="AX133"/>
  <c r="AQ136"/>
  <c r="AV136"/>
  <c r="AV157"/>
  <c r="AV158" s="1"/>
  <c r="AV137"/>
  <c r="AV147" s="1"/>
  <c r="AV389" s="1"/>
  <c r="N301"/>
  <c r="AS136"/>
  <c r="AS157"/>
  <c r="AS158" s="1"/>
  <c r="AS137"/>
  <c r="AS147" s="1"/>
  <c r="AS389" s="1"/>
  <c r="AW157"/>
  <c r="AW158" s="1"/>
  <c r="AW136"/>
  <c r="AW137"/>
  <c r="AW147" s="1"/>
  <c r="AW389" s="1"/>
  <c r="AU83" i="60"/>
  <c r="AU60"/>
  <c r="AU64"/>
  <c r="AW60"/>
  <c r="AW83"/>
  <c r="AW64"/>
  <c r="AU92" i="56"/>
  <c r="AU93" s="1"/>
  <c r="AU74"/>
  <c r="AU84" s="1"/>
  <c r="AQ72" i="55"/>
  <c r="AQ68"/>
  <c r="AQ91"/>
  <c r="AX66"/>
  <c r="AV68"/>
  <c r="AV72"/>
  <c r="AV91"/>
  <c r="AV166" i="9"/>
  <c r="AV95" i="56" s="1"/>
  <c r="AT92"/>
  <c r="AT93" s="1"/>
  <c r="AT74"/>
  <c r="AT84" s="1"/>
  <c r="G169" i="18"/>
  <c r="AS92" i="56"/>
  <c r="AS93" s="1"/>
  <c r="AS74"/>
  <c r="AS84" s="1"/>
  <c r="AV84"/>
  <c r="AX347" i="8"/>
  <c r="AP72" i="60"/>
  <c r="AT157" i="8"/>
  <c r="AT158" s="1"/>
  <c r="AT136"/>
  <c r="AT137"/>
  <c r="AT147" s="1"/>
  <c r="AT389" s="1"/>
  <c r="AX137" i="9"/>
  <c r="AQ147"/>
  <c r="AT60" i="60"/>
  <c r="AT83"/>
  <c r="AT64"/>
  <c r="I51" i="9"/>
  <c r="I53" s="1"/>
  <c r="H49"/>
  <c r="AW68" i="55"/>
  <c r="AW91"/>
  <c r="AW72"/>
  <c r="AS91"/>
  <c r="AS68"/>
  <c r="AS72"/>
  <c r="AX156" i="8"/>
  <c r="AQ92" i="56"/>
  <c r="AQ74"/>
  <c r="AX72"/>
  <c r="G114" i="18"/>
  <c r="J75" i="8"/>
  <c r="J76" s="1"/>
  <c r="AY58" i="60"/>
  <c r="AR83"/>
  <c r="AR64"/>
  <c r="AR60"/>
  <c r="AS64"/>
  <c r="AS60"/>
  <c r="AS83"/>
  <c r="AU68" i="55"/>
  <c r="AU91"/>
  <c r="AU72"/>
  <c r="H62" i="8"/>
  <c r="I75"/>
  <c r="I76" s="1"/>
  <c r="AX68" i="56"/>
  <c r="AX129" i="8"/>
  <c r="BN158" i="9"/>
  <c r="BM280"/>
  <c r="BM287" s="1"/>
  <c r="BM291" s="1"/>
  <c r="BM158"/>
  <c r="BJ280"/>
  <c r="BJ287" s="1"/>
  <c r="BN124"/>
  <c r="BG93" i="56"/>
  <c r="BJ124" i="9"/>
  <c r="BI280"/>
  <c r="BI287" s="1"/>
  <c r="BI291" s="1"/>
  <c r="BP157"/>
  <c r="BP137"/>
  <c r="AG72" i="60"/>
  <c r="AV619" i="9"/>
  <c r="AV620" s="1"/>
  <c r="AV573"/>
  <c r="BP80" i="55"/>
  <c r="BI84"/>
  <c r="BP84" s="1"/>
  <c r="AU667" i="9"/>
  <c r="AU668" s="1"/>
  <c r="AU621"/>
  <c r="BJ68" i="56"/>
  <c r="BJ91"/>
  <c r="X213" i="19"/>
  <c r="X219"/>
  <c r="X233"/>
  <c r="AK234"/>
  <c r="AK221"/>
  <c r="AK320" s="1"/>
  <c r="S234"/>
  <c r="S221"/>
  <c r="S320" s="1"/>
  <c r="AT525" i="8"/>
  <c r="AT571"/>
  <c r="AT572" s="1"/>
  <c r="AX472"/>
  <c r="AX473" s="1"/>
  <c r="AQ523"/>
  <c r="AQ473"/>
  <c r="BP72" i="56"/>
  <c r="BI74"/>
  <c r="BI92"/>
  <c r="BP66"/>
  <c r="BI68"/>
  <c r="BI91"/>
  <c r="N148" i="41"/>
  <c r="J117" i="7" s="1"/>
  <c r="J116"/>
  <c r="W213" i="19"/>
  <c r="W233"/>
  <c r="W219"/>
  <c r="AJ221"/>
  <c r="AJ320" s="1"/>
  <c r="AJ234"/>
  <c r="AH234"/>
  <c r="AH221"/>
  <c r="AH320" s="1"/>
  <c r="AS667" i="9"/>
  <c r="AS668" s="1"/>
  <c r="AS621"/>
  <c r="AX80" i="55"/>
  <c r="BK68" i="56"/>
  <c r="BK91"/>
  <c r="R213" i="19"/>
  <c r="R219"/>
  <c r="R233"/>
  <c r="AI213"/>
  <c r="AI219"/>
  <c r="AI233"/>
  <c r="T221"/>
  <c r="T320" s="1"/>
  <c r="T234"/>
  <c r="BL68" i="56"/>
  <c r="BL91"/>
  <c r="Q221" i="19"/>
  <c r="Q320" s="1"/>
  <c r="Q234"/>
  <c r="AN209"/>
  <c r="P213"/>
  <c r="P233"/>
  <c r="P219"/>
  <c r="AD221"/>
  <c r="AD320" s="1"/>
  <c r="AD234"/>
  <c r="BG80" i="56"/>
  <c r="BL280" i="9"/>
  <c r="BL287" s="1"/>
  <c r="BP979"/>
  <c r="BN135"/>
  <c r="BL135"/>
  <c r="W33" i="10"/>
  <c r="Z33" s="1"/>
  <c r="AA33" s="1"/>
  <c r="BM135" i="9"/>
  <c r="BI287" i="8"/>
  <c r="BP280"/>
  <c r="BL143" i="9"/>
  <c r="BL471" s="1"/>
  <c r="BN143"/>
  <c r="BN471" s="1"/>
  <c r="BM143"/>
  <c r="BM471" s="1"/>
  <c r="BJ143"/>
  <c r="BJ471" s="1"/>
  <c r="BK143"/>
  <c r="BK471" s="1"/>
  <c r="BI143"/>
  <c r="BI147" s="1"/>
  <c r="V221" i="19"/>
  <c r="V320" s="1"/>
  <c r="V234"/>
  <c r="AM213"/>
  <c r="AM219"/>
  <c r="AM233"/>
  <c r="Y221"/>
  <c r="Y320" s="1"/>
  <c r="Y234"/>
  <c r="AZ300" i="9"/>
  <c r="BG300" s="1"/>
  <c r="AZ291"/>
  <c r="BG291" s="1"/>
  <c r="BG287"/>
  <c r="BI158"/>
  <c r="BP156"/>
  <c r="BN74" i="56"/>
  <c r="BN92"/>
  <c r="AE213" i="19"/>
  <c r="AE219"/>
  <c r="AE233"/>
  <c r="Z213"/>
  <c r="Z233"/>
  <c r="Z219"/>
  <c r="AB213"/>
  <c r="AB233"/>
  <c r="AB219"/>
  <c r="AT715" i="9"/>
  <c r="AT716" s="1"/>
  <c r="AT669"/>
  <c r="R221" i="19"/>
  <c r="R320" s="1"/>
  <c r="R234"/>
  <c r="AA213"/>
  <c r="AA219"/>
  <c r="AA233"/>
  <c r="T213"/>
  <c r="T233"/>
  <c r="T219"/>
  <c r="AU571" i="8"/>
  <c r="AU572" s="1"/>
  <c r="AU525"/>
  <c r="AR669" i="9"/>
  <c r="AR715"/>
  <c r="AR716" s="1"/>
  <c r="U213" i="19"/>
  <c r="U219"/>
  <c r="U233"/>
  <c r="AN211"/>
  <c r="P234"/>
  <c r="P221"/>
  <c r="AD213"/>
  <c r="AD233"/>
  <c r="AD219"/>
  <c r="BI135" i="9"/>
  <c r="BK135"/>
  <c r="BG147"/>
  <c r="AV571" i="8"/>
  <c r="AV572" s="1"/>
  <c r="AV525"/>
  <c r="V219" i="19"/>
  <c r="V233"/>
  <c r="V213"/>
  <c r="AM234"/>
  <c r="AM221"/>
  <c r="AM320" s="1"/>
  <c r="Y213"/>
  <c r="Y233"/>
  <c r="Y219"/>
  <c r="AX472" i="9"/>
  <c r="AX473" s="1"/>
  <c r="AQ523"/>
  <c r="AQ473"/>
  <c r="BP255"/>
  <c r="BP272"/>
  <c r="BP285"/>
  <c r="BP245"/>
  <c r="BP244"/>
  <c r="BP289"/>
  <c r="BP239"/>
  <c r="BP278"/>
  <c r="BP299"/>
  <c r="BP276"/>
  <c r="BP240"/>
  <c r="BP264"/>
  <c r="BP306"/>
  <c r="BP242"/>
  <c r="BP251"/>
  <c r="BP257"/>
  <c r="AE234" i="19"/>
  <c r="AE221"/>
  <c r="AE320" s="1"/>
  <c r="Z234"/>
  <c r="Z221"/>
  <c r="Z320" s="1"/>
  <c r="AB234"/>
  <c r="AB221"/>
  <c r="AB320" s="1"/>
  <c r="BM68" i="56"/>
  <c r="BM91"/>
  <c r="BK74"/>
  <c r="BK92"/>
  <c r="AL233" i="19"/>
  <c r="AL219"/>
  <c r="AL213"/>
  <c r="AA221"/>
  <c r="AA320" s="1"/>
  <c r="AA234"/>
  <c r="T501"/>
  <c r="T505" s="1"/>
  <c r="T500"/>
  <c r="T504" s="1"/>
  <c r="AF221"/>
  <c r="AF320" s="1"/>
  <c r="AF234"/>
  <c r="U234"/>
  <c r="U221"/>
  <c r="U320" s="1"/>
  <c r="J26" i="20"/>
  <c r="J31"/>
  <c r="I133" i="7" s="1"/>
  <c r="J133" s="1"/>
  <c r="AG213" i="19"/>
  <c r="AG219"/>
  <c r="AG233"/>
  <c r="AC213"/>
  <c r="AC219"/>
  <c r="AC233"/>
  <c r="BK280" i="9"/>
  <c r="BK287" s="1"/>
  <c r="BP347"/>
  <c r="BK124"/>
  <c r="BN280"/>
  <c r="BN287" s="1"/>
  <c r="BL124"/>
  <c r="AW525" i="8"/>
  <c r="AW571"/>
  <c r="AW572" s="1"/>
  <c r="BN68" i="56"/>
  <c r="BN91"/>
  <c r="X234" i="19"/>
  <c r="X221"/>
  <c r="X320" s="1"/>
  <c r="AK213"/>
  <c r="AK233"/>
  <c r="AK219"/>
  <c r="S213"/>
  <c r="S233"/>
  <c r="S219"/>
  <c r="AS525" i="8"/>
  <c r="AS571"/>
  <c r="AS572" s="1"/>
  <c r="BP129" i="9"/>
  <c r="L148" i="41"/>
  <c r="J138" i="7" s="1"/>
  <c r="J137"/>
  <c r="W234" i="19"/>
  <c r="W221"/>
  <c r="W320" s="1"/>
  <c r="AJ213"/>
  <c r="AJ233"/>
  <c r="AJ219"/>
  <c r="AH213"/>
  <c r="AH219"/>
  <c r="AH233"/>
  <c r="AR525" i="8"/>
  <c r="AR571"/>
  <c r="AR572" s="1"/>
  <c r="BL74" i="56"/>
  <c r="BL92"/>
  <c r="AL234" i="19"/>
  <c r="AL221"/>
  <c r="AL320" s="1"/>
  <c r="R499"/>
  <c r="AI234"/>
  <c r="AI221"/>
  <c r="AI320" s="1"/>
  <c r="AF213"/>
  <c r="AF219"/>
  <c r="AF233"/>
  <c r="BJ291" i="9"/>
  <c r="BJ300"/>
  <c r="BJ74" i="56"/>
  <c r="BJ92"/>
  <c r="BM74"/>
  <c r="BM92"/>
  <c r="M51"/>
  <c r="M54" s="1"/>
  <c r="Q213" i="19"/>
  <c r="Q219"/>
  <c r="Q233"/>
  <c r="AG234"/>
  <c r="AG221"/>
  <c r="AG320" s="1"/>
  <c r="AC221"/>
  <c r="AC320" s="1"/>
  <c r="AC234"/>
  <c r="N101" i="9"/>
  <c r="BP270"/>
  <c r="BG84" i="56"/>
  <c r="BM124" i="9"/>
  <c r="BL158"/>
  <c r="AB133" l="1"/>
  <c r="J91"/>
  <c r="AC133"/>
  <c r="I35" i="56"/>
  <c r="BN93"/>
  <c r="AD133" i="9"/>
  <c r="AD137" s="1"/>
  <c r="Y133"/>
  <c r="Y136" s="1"/>
  <c r="I103" i="66"/>
  <c r="AA133" i="9"/>
  <c r="AU167"/>
  <c r="AY60" i="60"/>
  <c r="AS167" i="9"/>
  <c r="AT167"/>
  <c r="AR167"/>
  <c r="AY83" i="60"/>
  <c r="AR84"/>
  <c r="AR66"/>
  <c r="AR76" s="1"/>
  <c r="AY64"/>
  <c r="U115" i="18"/>
  <c r="U127" s="1"/>
  <c r="N115"/>
  <c r="N127" s="1"/>
  <c r="S115"/>
  <c r="S127" s="1"/>
  <c r="H115"/>
  <c r="H127" s="1"/>
  <c r="W115"/>
  <c r="W127" s="1"/>
  <c r="K115"/>
  <c r="K127" s="1"/>
  <c r="I115"/>
  <c r="I127" s="1"/>
  <c r="M115"/>
  <c r="M127" s="1"/>
  <c r="G115"/>
  <c r="J115"/>
  <c r="J127" s="1"/>
  <c r="Q115"/>
  <c r="Q127" s="1"/>
  <c r="R115"/>
  <c r="R127" s="1"/>
  <c r="O115"/>
  <c r="O127" s="1"/>
  <c r="V115"/>
  <c r="V127" s="1"/>
  <c r="P115"/>
  <c r="P127" s="1"/>
  <c r="AD136" i="9"/>
  <c r="AD157"/>
  <c r="Y137"/>
  <c r="AF133"/>
  <c r="AE135" s="1"/>
  <c r="AU84" i="60"/>
  <c r="AU85" s="1"/>
  <c r="AU66"/>
  <c r="AU76" s="1"/>
  <c r="AR166" i="8"/>
  <c r="AR167" s="1"/>
  <c r="AT74" i="55"/>
  <c r="AT84" s="1"/>
  <c r="AT92"/>
  <c r="AT93" s="1"/>
  <c r="I55" i="9"/>
  <c r="I57" s="1"/>
  <c r="AX91" i="55"/>
  <c r="S133" i="8"/>
  <c r="G29" i="13"/>
  <c r="G112" s="1"/>
  <c r="G118" s="1"/>
  <c r="V133" i="8"/>
  <c r="H30" i="60"/>
  <c r="T133" i="8"/>
  <c r="R133"/>
  <c r="P133"/>
  <c r="U133"/>
  <c r="F72"/>
  <c r="D61" i="72"/>
  <c r="U52" i="29"/>
  <c r="G53" i="64"/>
  <c r="I91" i="8"/>
  <c r="H35" i="55"/>
  <c r="Q133" i="8"/>
  <c r="H102" i="66"/>
  <c r="U51" i="29"/>
  <c r="AD133" i="8"/>
  <c r="Z133"/>
  <c r="H29" i="13"/>
  <c r="H112" s="1"/>
  <c r="H118" s="1"/>
  <c r="AC133" i="8"/>
  <c r="AB133"/>
  <c r="Y133"/>
  <c r="I35" i="55"/>
  <c r="I30" i="60"/>
  <c r="J91" i="8"/>
  <c r="J98" s="1"/>
  <c r="AE133"/>
  <c r="G54" i="64"/>
  <c r="G66" s="1"/>
  <c r="H103" i="66"/>
  <c r="AA133" i="8"/>
  <c r="AQ93" i="56"/>
  <c r="AX93" s="1"/>
  <c r="AX92"/>
  <c r="AT66" i="60"/>
  <c r="AT76" s="1"/>
  <c r="AT84"/>
  <c r="AT85" s="1"/>
  <c r="AA136" i="9"/>
  <c r="AA157"/>
  <c r="AA137"/>
  <c r="AA135"/>
  <c r="Z136"/>
  <c r="Z137"/>
  <c r="Z157"/>
  <c r="Z135"/>
  <c r="AS166" i="8"/>
  <c r="AS167" s="1"/>
  <c r="AR74" i="55"/>
  <c r="AR84" s="1"/>
  <c r="AR92"/>
  <c r="AR93" s="1"/>
  <c r="Q133" i="9"/>
  <c r="S133"/>
  <c r="R133"/>
  <c r="I91"/>
  <c r="I102" i="66"/>
  <c r="H35" i="56"/>
  <c r="U133" i="9"/>
  <c r="T133"/>
  <c r="P133"/>
  <c r="AX84" i="60"/>
  <c r="AX85" s="1"/>
  <c r="AX66"/>
  <c r="AX76" s="1"/>
  <c r="O39"/>
  <c r="H41" s="1"/>
  <c r="H46"/>
  <c r="AX157" i="8"/>
  <c r="AS66" i="60"/>
  <c r="AS76" s="1"/>
  <c r="AS84"/>
  <c r="AS85" s="1"/>
  <c r="AX74" i="56"/>
  <c r="AQ84"/>
  <c r="AX84" s="1"/>
  <c r="AS92" i="55"/>
  <c r="AS93" s="1"/>
  <c r="AS74"/>
  <c r="AS84" s="1"/>
  <c r="AQ389" i="9"/>
  <c r="AX389" s="1"/>
  <c r="AX147"/>
  <c r="AT166" i="8"/>
  <c r="AT167" s="1"/>
  <c r="AC136" i="9"/>
  <c r="AC137"/>
  <c r="AC157"/>
  <c r="AC135"/>
  <c r="U170" i="18"/>
  <c r="K170"/>
  <c r="R170"/>
  <c r="O170"/>
  <c r="P170"/>
  <c r="H170"/>
  <c r="J170"/>
  <c r="V170"/>
  <c r="I170"/>
  <c r="N170"/>
  <c r="M170"/>
  <c r="W170"/>
  <c r="S170"/>
  <c r="Q170"/>
  <c r="G170"/>
  <c r="AX72" i="55"/>
  <c r="AQ74"/>
  <c r="AQ92"/>
  <c r="AV166" i="8"/>
  <c r="AV167" s="1"/>
  <c r="AQ147"/>
  <c r="AX137"/>
  <c r="AU166"/>
  <c r="AU167" s="1"/>
  <c r="J133" i="18"/>
  <c r="J139" s="1"/>
  <c r="J143" s="1"/>
  <c r="J145" s="1"/>
  <c r="O133"/>
  <c r="O139" s="1"/>
  <c r="O143" s="1"/>
  <c r="O145" s="1"/>
  <c r="O182" s="1"/>
  <c r="I133"/>
  <c r="I139" s="1"/>
  <c r="I143" s="1"/>
  <c r="I145" s="1"/>
  <c r="I182" s="1"/>
  <c r="G133"/>
  <c r="W133"/>
  <c r="W139" s="1"/>
  <c r="Q133"/>
  <c r="Q139" s="1"/>
  <c r="Q143" s="1"/>
  <c r="Q145" s="1"/>
  <c r="N133"/>
  <c r="N139" s="1"/>
  <c r="N143" s="1"/>
  <c r="N145" s="1"/>
  <c r="N182" s="1"/>
  <c r="V133"/>
  <c r="V139" s="1"/>
  <c r="V143" s="1"/>
  <c r="V145" s="1"/>
  <c r="R133"/>
  <c r="R139" s="1"/>
  <c r="R143" s="1"/>
  <c r="R145" s="1"/>
  <c r="P133"/>
  <c r="P139" s="1"/>
  <c r="P143" s="1"/>
  <c r="P145" s="1"/>
  <c r="K133"/>
  <c r="K139" s="1"/>
  <c r="K143" s="1"/>
  <c r="K145" s="1"/>
  <c r="K182" s="1"/>
  <c r="U133"/>
  <c r="U139" s="1"/>
  <c r="U143" s="1"/>
  <c r="U145" s="1"/>
  <c r="M133"/>
  <c r="M139" s="1"/>
  <c r="M143" s="1"/>
  <c r="M145" s="1"/>
  <c r="S133"/>
  <c r="S139" s="1"/>
  <c r="S143" s="1"/>
  <c r="S145" s="1"/>
  <c r="H133"/>
  <c r="H139" s="1"/>
  <c r="H143" s="1"/>
  <c r="H145" s="1"/>
  <c r="H182" s="1"/>
  <c r="AX158" i="9"/>
  <c r="AQ166"/>
  <c r="AV167"/>
  <c r="AU74" i="55"/>
  <c r="AU84" s="1"/>
  <c r="AU92"/>
  <c r="AU93" s="1"/>
  <c r="AW92"/>
  <c r="AW93" s="1"/>
  <c r="AW74"/>
  <c r="AW84" s="1"/>
  <c r="J98" i="9"/>
  <c r="J101" s="1"/>
  <c r="AB136"/>
  <c r="AB157"/>
  <c r="AB137"/>
  <c r="AB135"/>
  <c r="AV92" i="55"/>
  <c r="AV93" s="1"/>
  <c r="AV74"/>
  <c r="AV84" s="1"/>
  <c r="AW66" i="60"/>
  <c r="AW76" s="1"/>
  <c r="AW84"/>
  <c r="AW85" s="1"/>
  <c r="AW166" i="8"/>
  <c r="AW167" s="1"/>
  <c r="J59"/>
  <c r="K59"/>
  <c r="I59"/>
  <c r="K71"/>
  <c r="K75" s="1"/>
  <c r="H75" s="1"/>
  <c r="AV66" i="60"/>
  <c r="AV76" s="1"/>
  <c r="AV84"/>
  <c r="AV85" s="1"/>
  <c r="AQ158" i="8"/>
  <c r="AX68" i="55"/>
  <c r="BI300" i="9"/>
  <c r="BJ147"/>
  <c r="Q34" i="10" s="1"/>
  <c r="BM300" i="9"/>
  <c r="BN147"/>
  <c r="U34" i="10" s="1"/>
  <c r="BM147" i="9"/>
  <c r="T34" i="10" s="1"/>
  <c r="BK147" i="9"/>
  <c r="R34" i="10" s="1"/>
  <c r="BP124" i="9"/>
  <c r="T506" i="19"/>
  <c r="T507" s="1"/>
  <c r="T509" s="1"/>
  <c r="T511" s="1"/>
  <c r="T515" s="1"/>
  <c r="BL147" i="9"/>
  <c r="S34" i="10" s="1"/>
  <c r="AV667" i="9"/>
  <c r="AV668" s="1"/>
  <c r="AV621"/>
  <c r="AC324" i="19"/>
  <c r="AC328" s="1"/>
  <c r="AC337"/>
  <c r="AC341" s="1"/>
  <c r="Q318"/>
  <c r="Q223"/>
  <c r="AH318"/>
  <c r="AH223"/>
  <c r="AJ216"/>
  <c r="AJ231" s="1"/>
  <c r="AJ215"/>
  <c r="AJ230" s="1"/>
  <c r="AJ228"/>
  <c r="AJ236" s="1"/>
  <c r="BL80" i="56"/>
  <c r="BL84" s="1"/>
  <c r="BJ80"/>
  <c r="BJ84" s="1"/>
  <c r="BN80"/>
  <c r="BN84" s="1"/>
  <c r="BM80"/>
  <c r="BM84" s="1"/>
  <c r="BK80"/>
  <c r="BI80"/>
  <c r="BI84" s="1"/>
  <c r="AI337" i="19"/>
  <c r="AI341" s="1"/>
  <c r="AI324"/>
  <c r="AI328" s="1"/>
  <c r="AL324"/>
  <c r="AL328" s="1"/>
  <c r="AL337"/>
  <c r="AL341" s="1"/>
  <c r="AS573" i="8"/>
  <c r="AS619"/>
  <c r="AS620" s="1"/>
  <c r="S216" i="19"/>
  <c r="S231" s="1"/>
  <c r="S215"/>
  <c r="S230" s="1"/>
  <c r="S228"/>
  <c r="S236" s="1"/>
  <c r="X324"/>
  <c r="X328" s="1"/>
  <c r="X337"/>
  <c r="X341" s="1"/>
  <c r="AC216"/>
  <c r="AC231" s="1"/>
  <c r="AC215"/>
  <c r="AC230" s="1"/>
  <c r="AC228"/>
  <c r="AC236" s="1"/>
  <c r="AF324"/>
  <c r="AF328" s="1"/>
  <c r="AF337"/>
  <c r="AF341" s="1"/>
  <c r="AA337"/>
  <c r="AA341" s="1"/>
  <c r="AA324"/>
  <c r="AA328" s="1"/>
  <c r="AB337"/>
  <c r="AB341" s="1"/>
  <c r="AB324"/>
  <c r="AB328" s="1"/>
  <c r="AE337"/>
  <c r="AE341" s="1"/>
  <c r="AE324"/>
  <c r="AE328" s="1"/>
  <c r="AX523" i="9"/>
  <c r="AQ524"/>
  <c r="Y223" i="19"/>
  <c r="Y318"/>
  <c r="AD215"/>
  <c r="AD230" s="1"/>
  <c r="AD216"/>
  <c r="AD231" s="1"/>
  <c r="AD228"/>
  <c r="AD236" s="1"/>
  <c r="T216"/>
  <c r="T231" s="1"/>
  <c r="T215"/>
  <c r="T230" s="1"/>
  <c r="T228"/>
  <c r="T236" s="1"/>
  <c r="AB318"/>
  <c r="AB223"/>
  <c r="AE216"/>
  <c r="AE231" s="1"/>
  <c r="AE215"/>
  <c r="AE230" s="1"/>
  <c r="AE228"/>
  <c r="AE236" s="1"/>
  <c r="BP158" i="9"/>
  <c r="AM215" i="19"/>
  <c r="AM230" s="1"/>
  <c r="AM216"/>
  <c r="AM231" s="1"/>
  <c r="AM228"/>
  <c r="AM236" s="1"/>
  <c r="P318"/>
  <c r="AN219"/>
  <c r="P223"/>
  <c r="R223"/>
  <c r="R318"/>
  <c r="AH324"/>
  <c r="AH328" s="1"/>
  <c r="AH337"/>
  <c r="AH341" s="1"/>
  <c r="W223"/>
  <c r="W318"/>
  <c r="AQ524" i="8"/>
  <c r="AX523"/>
  <c r="AX524" s="1"/>
  <c r="AX525" s="1"/>
  <c r="S337" i="19"/>
  <c r="S341" s="1"/>
  <c r="S324"/>
  <c r="S328" s="1"/>
  <c r="BP280" i="9"/>
  <c r="BK93" i="56"/>
  <c r="BP92"/>
  <c r="AF216" i="19"/>
  <c r="AF231" s="1"/>
  <c r="AF215"/>
  <c r="AF230" s="1"/>
  <c r="AF228"/>
  <c r="AF236" s="1"/>
  <c r="AC318"/>
  <c r="AC223"/>
  <c r="AG216"/>
  <c r="AG231" s="1"/>
  <c r="AG215"/>
  <c r="AG230" s="1"/>
  <c r="AG228"/>
  <c r="AG236" s="1"/>
  <c r="AM337"/>
  <c r="AM341" s="1"/>
  <c r="AM324"/>
  <c r="AM328" s="1"/>
  <c r="V223"/>
  <c r="V318"/>
  <c r="AR717" i="9"/>
  <c r="AR763"/>
  <c r="AR764" s="1"/>
  <c r="AU573" i="8"/>
  <c r="AU619"/>
  <c r="AU620" s="1"/>
  <c r="AA215" i="19"/>
  <c r="AA230" s="1"/>
  <c r="AA216"/>
  <c r="AA231" s="1"/>
  <c r="AA228"/>
  <c r="AA236" s="1"/>
  <c r="AT763" i="9"/>
  <c r="AT764" s="1"/>
  <c r="AT717"/>
  <c r="Z318" i="19"/>
  <c r="Z223"/>
  <c r="AE223"/>
  <c r="AE318"/>
  <c r="AM318"/>
  <c r="AM223"/>
  <c r="BI300" i="8"/>
  <c r="BP300" s="1"/>
  <c r="BI291"/>
  <c r="BP291" s="1"/>
  <c r="BP287"/>
  <c r="AD324" i="19"/>
  <c r="AD328" s="1"/>
  <c r="AD337"/>
  <c r="AD341" s="1"/>
  <c r="T324"/>
  <c r="T328" s="1"/>
  <c r="T337"/>
  <c r="T341" s="1"/>
  <c r="AS715" i="9"/>
  <c r="AS716" s="1"/>
  <c r="AS669"/>
  <c r="AJ337" i="19"/>
  <c r="AJ341" s="1"/>
  <c r="AJ324"/>
  <c r="AJ328" s="1"/>
  <c r="BJ93" i="56"/>
  <c r="R500" i="19"/>
  <c r="R504" s="1"/>
  <c r="R501"/>
  <c r="R505" s="1"/>
  <c r="AJ318"/>
  <c r="AJ223"/>
  <c r="AK215"/>
  <c r="AK230" s="1"/>
  <c r="AK216"/>
  <c r="AK231" s="1"/>
  <c r="AK228"/>
  <c r="AK236" s="1"/>
  <c r="AG337"/>
  <c r="AG341" s="1"/>
  <c r="AG324"/>
  <c r="AG328" s="1"/>
  <c r="Q215"/>
  <c r="Q230" s="1"/>
  <c r="Q216"/>
  <c r="Q231" s="1"/>
  <c r="Q228"/>
  <c r="Q236" s="1"/>
  <c r="AF223"/>
  <c r="AF318"/>
  <c r="AR619" i="8"/>
  <c r="AR620" s="1"/>
  <c r="AR573"/>
  <c r="AH216" i="19"/>
  <c r="AH231" s="1"/>
  <c r="AH215"/>
  <c r="AH230" s="1"/>
  <c r="AH228"/>
  <c r="AH236" s="1"/>
  <c r="W324"/>
  <c r="W328" s="1"/>
  <c r="W337"/>
  <c r="W341" s="1"/>
  <c r="P34" i="10"/>
  <c r="S318" i="19"/>
  <c r="S223"/>
  <c r="AW619" i="8"/>
  <c r="AW620" s="1"/>
  <c r="AW573"/>
  <c r="AG318" i="19"/>
  <c r="AG223"/>
  <c r="U324"/>
  <c r="U328" s="1"/>
  <c r="H364" i="8" s="1"/>
  <c r="U337" i="19"/>
  <c r="U341" s="1"/>
  <c r="AL318"/>
  <c r="AL223"/>
  <c r="Z324"/>
  <c r="Z328" s="1"/>
  <c r="Z337"/>
  <c r="Z341" s="1"/>
  <c r="Y216"/>
  <c r="Y231" s="1"/>
  <c r="Y215"/>
  <c r="Y230" s="1"/>
  <c r="Y228"/>
  <c r="Y236" s="1"/>
  <c r="AD318"/>
  <c r="AD223"/>
  <c r="U216"/>
  <c r="U231" s="1"/>
  <c r="U215"/>
  <c r="U230" s="1"/>
  <c r="U228"/>
  <c r="U236" s="1"/>
  <c r="T318"/>
  <c r="T223"/>
  <c r="AA318"/>
  <c r="AA223"/>
  <c r="AB215"/>
  <c r="AB230" s="1"/>
  <c r="AB216"/>
  <c r="AB231" s="1"/>
  <c r="AB228"/>
  <c r="AB236" s="1"/>
  <c r="V324"/>
  <c r="V328" s="1"/>
  <c r="V337"/>
  <c r="V341" s="1"/>
  <c r="P215"/>
  <c r="P216"/>
  <c r="AN213"/>
  <c r="P228"/>
  <c r="AI216"/>
  <c r="AI231" s="1"/>
  <c r="AI215"/>
  <c r="AI230" s="1"/>
  <c r="AI228"/>
  <c r="AI236" s="1"/>
  <c r="W215"/>
  <c r="W230" s="1"/>
  <c r="W216"/>
  <c r="W231" s="1"/>
  <c r="W228"/>
  <c r="W236" s="1"/>
  <c r="BP68" i="56"/>
  <c r="AT619" i="8"/>
  <c r="AT620" s="1"/>
  <c r="AT573"/>
  <c r="AK324" i="19"/>
  <c r="AK328" s="1"/>
  <c r="AK337"/>
  <c r="AK341" s="1"/>
  <c r="X216"/>
  <c r="X231" s="1"/>
  <c r="X215"/>
  <c r="X230" s="1"/>
  <c r="X228"/>
  <c r="X236" s="1"/>
  <c r="AU715" i="9"/>
  <c r="AU716" s="1"/>
  <c r="AU669"/>
  <c r="BM93" i="56"/>
  <c r="AN234" i="19"/>
  <c r="BL93" i="56"/>
  <c r="AK318" i="19"/>
  <c r="AK223"/>
  <c r="BN291" i="9"/>
  <c r="BN300"/>
  <c r="BK291"/>
  <c r="BK300"/>
  <c r="BP287"/>
  <c r="T513" i="19"/>
  <c r="T517" s="1"/>
  <c r="AL216"/>
  <c r="AL231" s="1"/>
  <c r="AL215"/>
  <c r="AL230" s="1"/>
  <c r="AL228"/>
  <c r="AL236" s="1"/>
  <c r="V215"/>
  <c r="V230" s="1"/>
  <c r="V228"/>
  <c r="V236" s="1"/>
  <c r="V216"/>
  <c r="V231" s="1"/>
  <c r="AV573" i="8"/>
  <c r="AV619"/>
  <c r="AV620" s="1"/>
  <c r="BP135" i="9"/>
  <c r="P320" i="19"/>
  <c r="AN221"/>
  <c r="U223"/>
  <c r="U318"/>
  <c r="R324"/>
  <c r="R328" s="1"/>
  <c r="R337"/>
  <c r="R341" s="1"/>
  <c r="Z215"/>
  <c r="Z230" s="1"/>
  <c r="Z216"/>
  <c r="Z231" s="1"/>
  <c r="Z228"/>
  <c r="Z236" s="1"/>
  <c r="Y324"/>
  <c r="Y328" s="1"/>
  <c r="J364" i="8" s="1"/>
  <c r="Y337" i="19"/>
  <c r="Y341" s="1"/>
  <c r="BI471" i="9"/>
  <c r="BP471" s="1"/>
  <c r="BP143"/>
  <c r="BL291"/>
  <c r="BL300"/>
  <c r="Q337" i="19"/>
  <c r="Q341" s="1"/>
  <c r="Q324"/>
  <c r="Q328" s="1"/>
  <c r="AI318"/>
  <c r="AI223"/>
  <c r="R216"/>
  <c r="R231" s="1"/>
  <c r="R215"/>
  <c r="R230" s="1"/>
  <c r="R228"/>
  <c r="R236" s="1"/>
  <c r="BP91" i="56"/>
  <c r="BI93"/>
  <c r="X318" i="19"/>
  <c r="X223"/>
  <c r="AN233"/>
  <c r="BK84" i="56"/>
  <c r="BP74"/>
  <c r="Y157" i="9" l="1"/>
  <c r="Q182" i="18"/>
  <c r="K76" i="8"/>
  <c r="G55" i="64" s="1"/>
  <c r="S182" i="18"/>
  <c r="P182"/>
  <c r="U182"/>
  <c r="V182"/>
  <c r="Y135" i="9"/>
  <c r="L170" i="18"/>
  <c r="T170" s="1"/>
  <c r="X170" s="1"/>
  <c r="M89"/>
  <c r="G89"/>
  <c r="V89"/>
  <c r="N89"/>
  <c r="U89"/>
  <c r="S89"/>
  <c r="I89"/>
  <c r="R89"/>
  <c r="J89"/>
  <c r="K89"/>
  <c r="W89"/>
  <c r="P89"/>
  <c r="O89"/>
  <c r="Q89"/>
  <c r="H89"/>
  <c r="G139"/>
  <c r="L133"/>
  <c r="T133" s="1"/>
  <c r="S72" i="60"/>
  <c r="I72" s="1"/>
  <c r="O46"/>
  <c r="T72"/>
  <c r="J72" s="1"/>
  <c r="Q72"/>
  <c r="W72"/>
  <c r="M72" s="1"/>
  <c r="U72"/>
  <c r="K72" s="1"/>
  <c r="V72"/>
  <c r="L72" s="1"/>
  <c r="R72"/>
  <c r="H72" s="1"/>
  <c r="T157" i="9"/>
  <c r="T136"/>
  <c r="T137"/>
  <c r="I98"/>
  <c r="I101" s="1"/>
  <c r="AA137" i="8"/>
  <c r="AA157"/>
  <c r="AA136"/>
  <c r="J101"/>
  <c r="AC143"/>
  <c r="AC471" s="1"/>
  <c r="AB143"/>
  <c r="AB471" s="1"/>
  <c r="AA143"/>
  <c r="AA471" s="1"/>
  <c r="AD143"/>
  <c r="AD471" s="1"/>
  <c r="Z143"/>
  <c r="Z471" s="1"/>
  <c r="Y143"/>
  <c r="AE143"/>
  <c r="AE471" s="1"/>
  <c r="AB136"/>
  <c r="AB137"/>
  <c r="AB157"/>
  <c r="AD137"/>
  <c r="AD136"/>
  <c r="AD157"/>
  <c r="J61" i="72"/>
  <c r="R137" i="8"/>
  <c r="R157"/>
  <c r="R136"/>
  <c r="AS87" i="60"/>
  <c r="AR95" i="55"/>
  <c r="AY76" i="60"/>
  <c r="AD135" i="9"/>
  <c r="AY66" i="60"/>
  <c r="AQ166" i="8"/>
  <c r="AX158"/>
  <c r="C70" i="29"/>
  <c r="I63" i="8"/>
  <c r="AW95" i="55"/>
  <c r="AX87" i="60"/>
  <c r="AQ167" i="9"/>
  <c r="AX167" s="1"/>
  <c r="AQ95" i="56"/>
  <c r="AX95" s="1"/>
  <c r="AX166" i="9"/>
  <c r="W143" i="18"/>
  <c r="W145" s="1"/>
  <c r="W182" s="1"/>
  <c r="AX147" i="8"/>
  <c r="E196" i="30" s="1"/>
  <c r="AQ389" i="8"/>
  <c r="AX389" s="1"/>
  <c r="AX74" i="55"/>
  <c r="AQ84"/>
  <c r="AX84" s="1"/>
  <c r="P137" i="9"/>
  <c r="P136"/>
  <c r="W133"/>
  <c r="V135" s="1"/>
  <c r="P157"/>
  <c r="Q136"/>
  <c r="Q157"/>
  <c r="Q137"/>
  <c r="AS95" i="55"/>
  <c r="AT87" i="60"/>
  <c r="AE137" i="8"/>
  <c r="AE136"/>
  <c r="AE157"/>
  <c r="AF133"/>
  <c r="AE135" s="1"/>
  <c r="Y136"/>
  <c r="Y157"/>
  <c r="Y137"/>
  <c r="Z157"/>
  <c r="Z137"/>
  <c r="Z136"/>
  <c r="Q136"/>
  <c r="Q137"/>
  <c r="Q157"/>
  <c r="P137"/>
  <c r="P136"/>
  <c r="P157"/>
  <c r="W133"/>
  <c r="U135" s="1"/>
  <c r="V137"/>
  <c r="V157"/>
  <c r="V136"/>
  <c r="K59" i="9"/>
  <c r="K71"/>
  <c r="K75" s="1"/>
  <c r="K76" s="1"/>
  <c r="I59"/>
  <c r="I63" s="1"/>
  <c r="J59"/>
  <c r="M182" i="18"/>
  <c r="R182"/>
  <c r="J182"/>
  <c r="AF135" i="9"/>
  <c r="AF157"/>
  <c r="AQ93" i="55"/>
  <c r="AX93" s="1"/>
  <c r="AX92"/>
  <c r="S157" i="9"/>
  <c r="S136"/>
  <c r="S137"/>
  <c r="S135"/>
  <c r="G65" i="64"/>
  <c r="G69" s="1"/>
  <c r="G57"/>
  <c r="U136" i="8"/>
  <c r="U157"/>
  <c r="U137"/>
  <c r="H32" i="60"/>
  <c r="W64" s="1"/>
  <c r="L115" i="18"/>
  <c r="T115" s="1"/>
  <c r="X115" s="1"/>
  <c r="G127"/>
  <c r="L127" s="1"/>
  <c r="T127" s="1"/>
  <c r="X127" s="1"/>
  <c r="D70" i="29"/>
  <c r="J63" i="8"/>
  <c r="J64" s="1"/>
  <c r="J65" s="1"/>
  <c r="G121" i="18"/>
  <c r="Y143" i="9"/>
  <c r="AE143"/>
  <c r="AE147" s="1"/>
  <c r="AD143"/>
  <c r="AD471" s="1"/>
  <c r="AC143"/>
  <c r="AC471" s="1"/>
  <c r="Z143"/>
  <c r="Z471" s="1"/>
  <c r="AB143"/>
  <c r="AB471" s="1"/>
  <c r="AA143"/>
  <c r="AA471" s="1"/>
  <c r="AU95" i="55"/>
  <c r="AV87" i="60"/>
  <c r="AV95" i="55"/>
  <c r="AW87" i="60"/>
  <c r="AU87"/>
  <c r="AT95" i="55"/>
  <c r="I41" i="60"/>
  <c r="L41"/>
  <c r="M41"/>
  <c r="J41"/>
  <c r="K41"/>
  <c r="U157" i="9"/>
  <c r="U136"/>
  <c r="U137"/>
  <c r="U135"/>
  <c r="R137"/>
  <c r="R157"/>
  <c r="R136"/>
  <c r="R135"/>
  <c r="I32" i="60"/>
  <c r="AA64" s="1"/>
  <c r="AC137" i="8"/>
  <c r="AC157"/>
  <c r="AC136"/>
  <c r="I98"/>
  <c r="I101" s="1"/>
  <c r="T137"/>
  <c r="T136"/>
  <c r="T157"/>
  <c r="T135"/>
  <c r="S137"/>
  <c r="S136"/>
  <c r="S157"/>
  <c r="S135"/>
  <c r="AR85" i="60"/>
  <c r="AY85" s="1"/>
  <c r="AY84"/>
  <c r="AF137" i="9"/>
  <c r="W34" i="10"/>
  <c r="Z34" s="1"/>
  <c r="AA34" s="1"/>
  <c r="J30" i="60"/>
  <c r="J32" s="1"/>
  <c r="BP147" i="9"/>
  <c r="D88" i="41"/>
  <c r="E122" s="1"/>
  <c r="I364" i="8"/>
  <c r="K22" i="15"/>
  <c r="Q29" s="1"/>
  <c r="BP93" i="56"/>
  <c r="K364" i="8"/>
  <c r="J22" i="15"/>
  <c r="H140" i="41"/>
  <c r="I146" s="1"/>
  <c r="AJ133" i="8"/>
  <c r="AJ136" s="1"/>
  <c r="AH133"/>
  <c r="AH136" s="1"/>
  <c r="G136" s="1"/>
  <c r="AI133"/>
  <c r="AI157" s="1"/>
  <c r="AL133"/>
  <c r="AL136" s="1"/>
  <c r="AM133"/>
  <c r="AM136" s="1"/>
  <c r="L136" s="1"/>
  <c r="D124" i="41"/>
  <c r="D118" s="1"/>
  <c r="J35" i="55"/>
  <c r="J36" s="1"/>
  <c r="L22" i="15"/>
  <c r="R29" s="1"/>
  <c r="R48" s="1"/>
  <c r="I29" i="13"/>
  <c r="I112" s="1"/>
  <c r="I118" s="1"/>
  <c r="F118" s="1"/>
  <c r="H76" i="8"/>
  <c r="F29" i="13" s="1"/>
  <c r="AN133" i="8"/>
  <c r="M133" s="1"/>
  <c r="M71" i="55" s="1"/>
  <c r="AK133" i="8"/>
  <c r="AK157" s="1"/>
  <c r="J157" s="1"/>
  <c r="K91"/>
  <c r="K98" s="1"/>
  <c r="H104" i="66"/>
  <c r="AN157" i="8"/>
  <c r="M157" s="1"/>
  <c r="H133"/>
  <c r="H71" i="55" s="1"/>
  <c r="AJ137" i="8"/>
  <c r="G56" i="64"/>
  <c r="G67"/>
  <c r="BP291" i="9"/>
  <c r="AM137" i="8"/>
  <c r="E86" i="41"/>
  <c r="E121"/>
  <c r="E123"/>
  <c r="AV669" i="9"/>
  <c r="AV715"/>
  <c r="AV716" s="1"/>
  <c r="BP300"/>
  <c r="P337" i="19"/>
  <c r="AN320"/>
  <c r="P324"/>
  <c r="X322"/>
  <c r="X326" s="1"/>
  <c r="X330" s="1"/>
  <c r="X335"/>
  <c r="X339" s="1"/>
  <c r="X343" s="1"/>
  <c r="AI241"/>
  <c r="AI300"/>
  <c r="AK335"/>
  <c r="AK339" s="1"/>
  <c r="AK343" s="1"/>
  <c r="AK322"/>
  <c r="AK326" s="1"/>
  <c r="AK330" s="1"/>
  <c r="AN228"/>
  <c r="AN236" s="1"/>
  <c r="P236"/>
  <c r="AA322"/>
  <c r="AA326" s="1"/>
  <c r="AA330" s="1"/>
  <c r="AA335"/>
  <c r="AA339" s="1"/>
  <c r="AA343" s="1"/>
  <c r="AD241"/>
  <c r="AD300"/>
  <c r="AL322"/>
  <c r="AL326" s="1"/>
  <c r="AL330" s="1"/>
  <c r="AL335"/>
  <c r="AL339" s="1"/>
  <c r="AL343" s="1"/>
  <c r="AR667" i="8"/>
  <c r="AR668" s="1"/>
  <c r="AR621"/>
  <c r="AS763" i="9"/>
  <c r="AS764" s="1"/>
  <c r="AS717"/>
  <c r="Z241" i="19"/>
  <c r="Z300"/>
  <c r="V241"/>
  <c r="V300"/>
  <c r="W335"/>
  <c r="W339" s="1"/>
  <c r="W343" s="1"/>
  <c r="W322"/>
  <c r="W326" s="1"/>
  <c r="W330" s="1"/>
  <c r="R322"/>
  <c r="R326" s="1"/>
  <c r="R330" s="1"/>
  <c r="R335"/>
  <c r="R339" s="1"/>
  <c r="R343" s="1"/>
  <c r="P241"/>
  <c r="AN223"/>
  <c r="P300"/>
  <c r="AB241"/>
  <c r="AB300"/>
  <c r="Y241"/>
  <c r="Y300"/>
  <c r="AH322"/>
  <c r="AH326" s="1"/>
  <c r="AH330" s="1"/>
  <c r="AH335"/>
  <c r="AH339" s="1"/>
  <c r="AH343" s="1"/>
  <c r="T519"/>
  <c r="S538" s="1"/>
  <c r="R538" s="1"/>
  <c r="R506"/>
  <c r="R507" s="1"/>
  <c r="R509" s="1"/>
  <c r="AV621" i="8"/>
  <c r="AV667"/>
  <c r="AV668" s="1"/>
  <c r="AK241" i="19"/>
  <c r="AK300"/>
  <c r="AN215"/>
  <c r="P230"/>
  <c r="AN230" s="1"/>
  <c r="AA241"/>
  <c r="AA300"/>
  <c r="AL241"/>
  <c r="AL300"/>
  <c r="AG335"/>
  <c r="AG339" s="1"/>
  <c r="AG343" s="1"/>
  <c r="AG322"/>
  <c r="AG326" s="1"/>
  <c r="AG330" s="1"/>
  <c r="S335"/>
  <c r="S339" s="1"/>
  <c r="S343" s="1"/>
  <c r="S322"/>
  <c r="S326" s="1"/>
  <c r="S330" s="1"/>
  <c r="AM335"/>
  <c r="AM339" s="1"/>
  <c r="AM343" s="1"/>
  <c r="AM322"/>
  <c r="AM326" s="1"/>
  <c r="AE241"/>
  <c r="AE300"/>
  <c r="AT811" i="9"/>
  <c r="AT812" s="1"/>
  <c r="AT765"/>
  <c r="AU621" i="8"/>
  <c r="AU667"/>
  <c r="AU668" s="1"/>
  <c r="V335" i="19"/>
  <c r="V339" s="1"/>
  <c r="V343" s="1"/>
  <c r="V322"/>
  <c r="V326" s="1"/>
  <c r="AC335"/>
  <c r="AC339" s="1"/>
  <c r="AC343" s="1"/>
  <c r="AC322"/>
  <c r="AC326" s="1"/>
  <c r="AC330" s="1"/>
  <c r="AQ571" i="8"/>
  <c r="AQ525"/>
  <c r="Y322" i="19"/>
  <c r="Y326" s="1"/>
  <c r="Y335"/>
  <c r="Y339" s="1"/>
  <c r="Y343" s="1"/>
  <c r="AH241"/>
  <c r="AH300"/>
  <c r="X241"/>
  <c r="X300"/>
  <c r="U241"/>
  <c r="U300"/>
  <c r="U322"/>
  <c r="U326" s="1"/>
  <c r="U335"/>
  <c r="U339" s="1"/>
  <c r="U343" s="1"/>
  <c r="AU763" i="9"/>
  <c r="AU764" s="1"/>
  <c r="AU717"/>
  <c r="AN216" i="19"/>
  <c r="P231"/>
  <c r="AN231" s="1"/>
  <c r="T335"/>
  <c r="T339" s="1"/>
  <c r="T343" s="1"/>
  <c r="T322"/>
  <c r="T326" s="1"/>
  <c r="T330" s="1"/>
  <c r="AG241"/>
  <c r="AG300"/>
  <c r="S300"/>
  <c r="S241"/>
  <c r="AF241"/>
  <c r="AF300"/>
  <c r="AJ322"/>
  <c r="AJ326" s="1"/>
  <c r="AJ335"/>
  <c r="AJ339" s="1"/>
  <c r="AJ343" s="1"/>
  <c r="AM241"/>
  <c r="AM300"/>
  <c r="AE322"/>
  <c r="AE326" s="1"/>
  <c r="AE330" s="1"/>
  <c r="AE335"/>
  <c r="AE339" s="1"/>
  <c r="AE343" s="1"/>
  <c r="AC241"/>
  <c r="AC300"/>
  <c r="P335"/>
  <c r="P322"/>
  <c r="AN318"/>
  <c r="AS621" i="8"/>
  <c r="AS667"/>
  <c r="AS668" s="1"/>
  <c r="Q322" i="19"/>
  <c r="Q326" s="1"/>
  <c r="Q330" s="1"/>
  <c r="Q335"/>
  <c r="Q339" s="1"/>
  <c r="Q343" s="1"/>
  <c r="BP84" i="56"/>
  <c r="L364" i="8"/>
  <c r="BP80" i="56"/>
  <c r="AI322" i="19"/>
  <c r="AI326" s="1"/>
  <c r="AI330" s="1"/>
  <c r="AI335"/>
  <c r="AI339" s="1"/>
  <c r="AI343" s="1"/>
  <c r="AT667" i="8"/>
  <c r="AT668" s="1"/>
  <c r="AT621"/>
  <c r="T241" i="19"/>
  <c r="T300"/>
  <c r="AD335"/>
  <c r="AD339" s="1"/>
  <c r="AD343" s="1"/>
  <c r="AD322"/>
  <c r="AD326" s="1"/>
  <c r="AW667" i="8"/>
  <c r="AW668" s="1"/>
  <c r="AW621"/>
  <c r="AF322" i="19"/>
  <c r="AF326" s="1"/>
  <c r="AF330" s="1"/>
  <c r="AF335"/>
  <c r="AF339" s="1"/>
  <c r="AF343" s="1"/>
  <c r="AJ241"/>
  <c r="AJ300"/>
  <c r="Z322"/>
  <c r="Z326" s="1"/>
  <c r="Z335"/>
  <c r="Z339" s="1"/>
  <c r="Z343" s="1"/>
  <c r="AR765" i="9"/>
  <c r="AR811"/>
  <c r="AR812" s="1"/>
  <c r="W241" i="19"/>
  <c r="W300"/>
  <c r="R300"/>
  <c r="R241"/>
  <c r="AB335"/>
  <c r="AB339" s="1"/>
  <c r="AB343" s="1"/>
  <c r="AB322"/>
  <c r="AB326" s="1"/>
  <c r="AB330" s="1"/>
  <c r="AQ571" i="9"/>
  <c r="AX524"/>
  <c r="AX525" s="1"/>
  <c r="AQ525"/>
  <c r="Q241" i="19"/>
  <c r="Q300"/>
  <c r="M364" i="8"/>
  <c r="K136" l="1"/>
  <c r="V64" i="60"/>
  <c r="G68" i="64"/>
  <c r="H157" i="8"/>
  <c r="AC135"/>
  <c r="L137"/>
  <c r="I137"/>
  <c r="I136"/>
  <c r="AC64" i="60"/>
  <c r="AD64"/>
  <c r="AD84" s="1"/>
  <c r="R64"/>
  <c r="R84" s="1"/>
  <c r="Q135" i="9"/>
  <c r="P135"/>
  <c r="O30" i="60"/>
  <c r="Z64"/>
  <c r="T64"/>
  <c r="T84" s="1"/>
  <c r="H146" i="41"/>
  <c r="H148" s="1"/>
  <c r="AB64" i="60"/>
  <c r="AF64"/>
  <c r="Q64"/>
  <c r="Q66" s="1"/>
  <c r="O41"/>
  <c r="U64"/>
  <c r="S64"/>
  <c r="AE64"/>
  <c r="AA57"/>
  <c r="AD57"/>
  <c r="AF57"/>
  <c r="AE57"/>
  <c r="AB57"/>
  <c r="AC57"/>
  <c r="Y471" i="9"/>
  <c r="AF471" s="1"/>
  <c r="AF143"/>
  <c r="W66" i="60"/>
  <c r="W84"/>
  <c r="AI133" i="9"/>
  <c r="K91"/>
  <c r="J35" i="56"/>
  <c r="J36" s="1"/>
  <c r="AJ133" i="9"/>
  <c r="AH133"/>
  <c r="D76" i="29"/>
  <c r="L22" i="16"/>
  <c r="R29" s="1"/>
  <c r="AL133" i="9"/>
  <c r="C76" i="29"/>
  <c r="AM133" i="9"/>
  <c r="AK133"/>
  <c r="I104" i="66"/>
  <c r="K22" i="16"/>
  <c r="Q29" s="1"/>
  <c r="H76" i="9"/>
  <c r="I108" i="66" s="1"/>
  <c r="J22" i="16"/>
  <c r="P29" s="1"/>
  <c r="W157" i="9"/>
  <c r="Y471" i="8"/>
  <c r="AF471" s="1"/>
  <c r="AF143"/>
  <c r="I51" i="55" s="1"/>
  <c r="L139" i="18"/>
  <c r="T139" s="1"/>
  <c r="X139" s="1"/>
  <c r="G143"/>
  <c r="L143" s="1"/>
  <c r="T143" s="1"/>
  <c r="X143" s="1"/>
  <c r="W157" i="8"/>
  <c r="AF157"/>
  <c r="H70" i="29"/>
  <c r="AB66" i="60"/>
  <c r="AB84"/>
  <c r="AF66"/>
  <c r="AF84"/>
  <c r="U66"/>
  <c r="U84"/>
  <c r="I64" i="9"/>
  <c r="W137"/>
  <c r="H63" i="8"/>
  <c r="I64"/>
  <c r="AQ95" i="55"/>
  <c r="AX95" s="1"/>
  <c r="AX166" i="8"/>
  <c r="AR87" i="60"/>
  <c r="AY87" s="1"/>
  <c r="X72"/>
  <c r="G72"/>
  <c r="O72" s="1"/>
  <c r="Q135" i="8"/>
  <c r="AF137"/>
  <c r="AA135"/>
  <c r="T135" i="9"/>
  <c r="Z84" i="60"/>
  <c r="Z66"/>
  <c r="AG64"/>
  <c r="AC84"/>
  <c r="AC66"/>
  <c r="V66"/>
  <c r="V84"/>
  <c r="S84"/>
  <c r="S66"/>
  <c r="J63" i="9"/>
  <c r="J64" s="1"/>
  <c r="J65" s="1"/>
  <c r="G176" i="18"/>
  <c r="D63" i="72"/>
  <c r="E62"/>
  <c r="F62"/>
  <c r="F63"/>
  <c r="V135" i="8"/>
  <c r="P135"/>
  <c r="W137"/>
  <c r="Z135"/>
  <c r="Y135"/>
  <c r="AD135"/>
  <c r="AB135"/>
  <c r="L89" i="18"/>
  <c r="T89" s="1"/>
  <c r="X89" s="1"/>
  <c r="W91" s="1"/>
  <c r="W93" s="1"/>
  <c r="W99" s="1"/>
  <c r="S143" i="8"/>
  <c r="S471" s="1"/>
  <c r="R143"/>
  <c r="R471" s="1"/>
  <c r="V143"/>
  <c r="V471" s="1"/>
  <c r="Q143"/>
  <c r="Q471" s="1"/>
  <c r="P143"/>
  <c r="U143"/>
  <c r="U471" s="1"/>
  <c r="T143"/>
  <c r="T471" s="1"/>
  <c r="AA66" i="60"/>
  <c r="AA84"/>
  <c r="Q84"/>
  <c r="G63" i="64"/>
  <c r="F127"/>
  <c r="G84"/>
  <c r="P143" i="9"/>
  <c r="R143"/>
  <c r="S143"/>
  <c r="V143"/>
  <c r="V147" s="1"/>
  <c r="T143"/>
  <c r="Q143"/>
  <c r="U143"/>
  <c r="AQ167" i="8"/>
  <c r="AX167" s="1"/>
  <c r="C121" i="41" s="1"/>
  <c r="H121" s="1"/>
  <c r="R135" i="8"/>
  <c r="D62" i="72"/>
  <c r="AH137" i="8"/>
  <c r="K133"/>
  <c r="K71" i="55" s="1"/>
  <c r="R43" i="15"/>
  <c r="E85" i="41"/>
  <c r="E87"/>
  <c r="D82"/>
  <c r="E82" s="1"/>
  <c r="E118"/>
  <c r="R47" i="15"/>
  <c r="AK136" i="8"/>
  <c r="J136" s="1"/>
  <c r="R38" i="15"/>
  <c r="R33"/>
  <c r="R42"/>
  <c r="F32" i="13"/>
  <c r="G97" s="1"/>
  <c r="E19" s="1"/>
  <c r="E18" s="1"/>
  <c r="F20" s="1"/>
  <c r="K161" i="8" s="1"/>
  <c r="K163" s="1"/>
  <c r="R54" i="15"/>
  <c r="N35" i="55"/>
  <c r="AJ157" i="8"/>
  <c r="I157" s="1"/>
  <c r="I133"/>
  <c r="I71" i="55" s="1"/>
  <c r="AN136" i="8"/>
  <c r="M136" s="1"/>
  <c r="M447" i="25"/>
  <c r="L447" s="1"/>
  <c r="AL137" i="8"/>
  <c r="K137" s="1"/>
  <c r="AL157"/>
  <c r="K157" s="1"/>
  <c r="P29" i="15"/>
  <c r="P37" s="1"/>
  <c r="G146" i="41"/>
  <c r="I137" i="7" s="1"/>
  <c r="H83" i="26"/>
  <c r="H84" s="1"/>
  <c r="H85" s="1"/>
  <c r="H86" s="1"/>
  <c r="H108" i="66"/>
  <c r="AK137" i="8"/>
  <c r="J137" s="1"/>
  <c r="AH157"/>
  <c r="G157" s="1"/>
  <c r="R45" i="15"/>
  <c r="R52"/>
  <c r="R40"/>
  <c r="R51"/>
  <c r="R31"/>
  <c r="R39"/>
  <c r="J133" i="8"/>
  <c r="J71" i="55" s="1"/>
  <c r="G133" i="8"/>
  <c r="G71" i="55" s="1"/>
  <c r="R34" i="15"/>
  <c r="R49"/>
  <c r="R37"/>
  <c r="R44"/>
  <c r="R46"/>
  <c r="R32"/>
  <c r="AN137" i="8"/>
  <c r="M137" s="1"/>
  <c r="R50" i="15"/>
  <c r="R36"/>
  <c r="R53"/>
  <c r="R35"/>
  <c r="R41"/>
  <c r="F112" i="13"/>
  <c r="I218" i="34"/>
  <c r="I220" s="1"/>
  <c r="I222" s="1"/>
  <c r="H91" i="8"/>
  <c r="J93" s="1"/>
  <c r="L133"/>
  <c r="L71" i="55" s="1"/>
  <c r="AO133" i="8"/>
  <c r="AK135" s="1"/>
  <c r="AI136"/>
  <c r="H136" s="1"/>
  <c r="AM157"/>
  <c r="L157" s="1"/>
  <c r="AI137"/>
  <c r="H137" s="1"/>
  <c r="K101"/>
  <c r="H101" s="1"/>
  <c r="K102" s="1"/>
  <c r="H98"/>
  <c r="I148" i="41"/>
  <c r="I117" i="7" s="1"/>
  <c r="I116"/>
  <c r="G62" i="64"/>
  <c r="J37" i="55"/>
  <c r="J44"/>
  <c r="G137" i="8"/>
  <c r="P54" i="15"/>
  <c r="P53"/>
  <c r="O32" i="60"/>
  <c r="AN64"/>
  <c r="AJ64"/>
  <c r="AL64"/>
  <c r="AO64"/>
  <c r="AI64"/>
  <c r="AK64"/>
  <c r="AM64"/>
  <c r="M93" i="8"/>
  <c r="AV717" i="9"/>
  <c r="AV763"/>
  <c r="AV764" s="1"/>
  <c r="T247" i="19"/>
  <c r="T288" s="1"/>
  <c r="T249"/>
  <c r="T290" s="1"/>
  <c r="Q249"/>
  <c r="Q290" s="1"/>
  <c r="Q247"/>
  <c r="Q288" s="1"/>
  <c r="R304"/>
  <c r="R302"/>
  <c r="W247"/>
  <c r="W288" s="1"/>
  <c r="W249"/>
  <c r="W290" s="1"/>
  <c r="AJ249"/>
  <c r="AJ290" s="1"/>
  <c r="AJ247"/>
  <c r="AJ288" s="1"/>
  <c r="AW669" i="8"/>
  <c r="AW715"/>
  <c r="AW716" s="1"/>
  <c r="T302" i="19"/>
  <c r="T304"/>
  <c r="AJ330"/>
  <c r="M363" i="8"/>
  <c r="S302" i="19"/>
  <c r="S304"/>
  <c r="X249"/>
  <c r="X290" s="1"/>
  <c r="X247"/>
  <c r="X288" s="1"/>
  <c r="V330"/>
  <c r="I363" i="8"/>
  <c r="I363" i="9" s="1"/>
  <c r="AE302" i="19"/>
  <c r="AE304"/>
  <c r="AA247"/>
  <c r="AA288" s="1"/>
  <c r="AA249"/>
  <c r="AA290" s="1"/>
  <c r="AV715" i="8"/>
  <c r="AV716" s="1"/>
  <c r="AV669"/>
  <c r="AB249" i="19"/>
  <c r="AB290" s="1"/>
  <c r="AB247"/>
  <c r="AB288" s="1"/>
  <c r="Z302"/>
  <c r="Z304"/>
  <c r="AS765" i="9"/>
  <c r="AS811"/>
  <c r="AS812" s="1"/>
  <c r="AD249" i="19"/>
  <c r="AD290" s="1"/>
  <c r="AD247"/>
  <c r="AD288" s="1"/>
  <c r="AN337"/>
  <c r="P341"/>
  <c r="AN341" s="1"/>
  <c r="R247"/>
  <c r="R288" s="1"/>
  <c r="R249"/>
  <c r="R290" s="1"/>
  <c r="AC247"/>
  <c r="AC288" s="1"/>
  <c r="AC249"/>
  <c r="AC290" s="1"/>
  <c r="S249"/>
  <c r="S290" s="1"/>
  <c r="S247"/>
  <c r="S288" s="1"/>
  <c r="U247"/>
  <c r="U288" s="1"/>
  <c r="U249"/>
  <c r="U290" s="1"/>
  <c r="X302"/>
  <c r="X304"/>
  <c r="AH247"/>
  <c r="AH288" s="1"/>
  <c r="AH249"/>
  <c r="AH290" s="1"/>
  <c r="AA302"/>
  <c r="AA304"/>
  <c r="AK249"/>
  <c r="AK290" s="1"/>
  <c r="AK247"/>
  <c r="AK288" s="1"/>
  <c r="AB304"/>
  <c r="AB302"/>
  <c r="AN241"/>
  <c r="P247"/>
  <c r="P288" s="1"/>
  <c r="P249"/>
  <c r="P290" s="1"/>
  <c r="V249"/>
  <c r="V290" s="1"/>
  <c r="V247"/>
  <c r="V288" s="1"/>
  <c r="AD304"/>
  <c r="AD302"/>
  <c r="Q302"/>
  <c r="Q304"/>
  <c r="W304"/>
  <c r="W302"/>
  <c r="AJ304"/>
  <c r="AJ302"/>
  <c r="AT669" i="8"/>
  <c r="AT715"/>
  <c r="AT716" s="1"/>
  <c r="K363"/>
  <c r="K363" i="9" s="1"/>
  <c r="Z330" i="19"/>
  <c r="AD330"/>
  <c r="L363" i="8"/>
  <c r="L363" i="9" s="1"/>
  <c r="AS669" i="8"/>
  <c r="AS715"/>
  <c r="AS716" s="1"/>
  <c r="P339" i="19"/>
  <c r="AN335"/>
  <c r="AC304"/>
  <c r="AC302"/>
  <c r="AM247"/>
  <c r="AM288" s="1"/>
  <c r="AM249"/>
  <c r="AM290" s="1"/>
  <c r="AF249"/>
  <c r="AF290" s="1"/>
  <c r="AF247"/>
  <c r="AF288" s="1"/>
  <c r="AG249"/>
  <c r="AG290" s="1"/>
  <c r="AG247"/>
  <c r="AG288" s="1"/>
  <c r="AU811" i="9"/>
  <c r="AU812" s="1"/>
  <c r="AU765"/>
  <c r="U302" i="19"/>
  <c r="U304"/>
  <c r="AH302"/>
  <c r="AH304"/>
  <c r="AU669" i="8"/>
  <c r="AU715"/>
  <c r="AU716" s="1"/>
  <c r="AM330" i="19"/>
  <c r="AL249"/>
  <c r="AL290" s="1"/>
  <c r="AL247"/>
  <c r="AL288" s="1"/>
  <c r="AK302"/>
  <c r="AK304"/>
  <c r="R513"/>
  <c r="R517" s="1"/>
  <c r="N517" s="1"/>
  <c r="N509"/>
  <c r="N532" s="1"/>
  <c r="R511"/>
  <c r="R515" s="1"/>
  <c r="Y247"/>
  <c r="Y288" s="1"/>
  <c r="Y249"/>
  <c r="Y290" s="1"/>
  <c r="V304"/>
  <c r="V302"/>
  <c r="AR669" i="8"/>
  <c r="AR715"/>
  <c r="AR716" s="1"/>
  <c r="AI249" i="19"/>
  <c r="AI290" s="1"/>
  <c r="AI247"/>
  <c r="AI288" s="1"/>
  <c r="AN324"/>
  <c r="P328"/>
  <c r="AQ572" i="9"/>
  <c r="AX571"/>
  <c r="AR813"/>
  <c r="AR859"/>
  <c r="AR860" s="1"/>
  <c r="P326" i="19"/>
  <c r="AN322"/>
  <c r="AM302"/>
  <c r="AM304"/>
  <c r="AF304"/>
  <c r="AF302"/>
  <c r="AG304"/>
  <c r="AG302"/>
  <c r="H363" i="8"/>
  <c r="H363" i="9" s="1"/>
  <c r="U330" i="19"/>
  <c r="J363" i="8"/>
  <c r="J363" i="9" s="1"/>
  <c r="Y330" i="19"/>
  <c r="AQ572" i="8"/>
  <c r="AX571"/>
  <c r="AT859" i="9"/>
  <c r="AT860" s="1"/>
  <c r="AT813"/>
  <c r="AE249" i="19"/>
  <c r="AE290" s="1"/>
  <c r="AE247"/>
  <c r="AE288" s="1"/>
  <c r="AL302"/>
  <c r="AL304"/>
  <c r="Y304"/>
  <c r="Y302"/>
  <c r="AN300"/>
  <c r="AN304" s="1"/>
  <c r="P302"/>
  <c r="P304"/>
  <c r="Z247"/>
  <c r="Z288" s="1"/>
  <c r="Z249"/>
  <c r="Z290" s="1"/>
  <c r="AI304"/>
  <c r="AI302"/>
  <c r="R66" i="60" l="1"/>
  <c r="AD66"/>
  <c r="AM135" i="8"/>
  <c r="X64" i="60"/>
  <c r="W135" i="9"/>
  <c r="T66" i="60"/>
  <c r="G145" i="18"/>
  <c r="L145" s="1"/>
  <c r="T145" s="1"/>
  <c r="X145" s="1"/>
  <c r="X84" i="60"/>
  <c r="N55" i="55"/>
  <c r="K161" i="9"/>
  <c r="K163" s="1"/>
  <c r="J62" i="72"/>
  <c r="I93" i="8"/>
  <c r="Q471" i="9"/>
  <c r="R471"/>
  <c r="P471" i="8"/>
  <c r="W471" s="1"/>
  <c r="W143"/>
  <c r="H51" i="55" s="1"/>
  <c r="AM137" i="9"/>
  <c r="L137" s="1"/>
  <c r="AM157"/>
  <c r="L157" s="1"/>
  <c r="AM136"/>
  <c r="L136" s="1"/>
  <c r="L133"/>
  <c r="K98"/>
  <c r="H91"/>
  <c r="AF135" i="8"/>
  <c r="U471" i="9"/>
  <c r="S471"/>
  <c r="F135" i="64"/>
  <c r="F167"/>
  <c r="H64" i="9"/>
  <c r="I65"/>
  <c r="H65" s="1"/>
  <c r="AD80" i="55"/>
  <c r="AB80"/>
  <c r="AE80"/>
  <c r="Y80"/>
  <c r="AA80"/>
  <c r="Z80"/>
  <c r="AC80"/>
  <c r="O29" i="16"/>
  <c r="P51"/>
  <c r="P37"/>
  <c r="P33"/>
  <c r="P46"/>
  <c r="P43"/>
  <c r="P45"/>
  <c r="P36"/>
  <c r="P41"/>
  <c r="P35"/>
  <c r="P42"/>
  <c r="P34"/>
  <c r="P40"/>
  <c r="P32"/>
  <c r="P52"/>
  <c r="P47"/>
  <c r="P31"/>
  <c r="P39"/>
  <c r="P54"/>
  <c r="P48"/>
  <c r="P50"/>
  <c r="P49"/>
  <c r="P44"/>
  <c r="P53"/>
  <c r="P38"/>
  <c r="AK157" i="9"/>
  <c r="J157" s="1"/>
  <c r="AK137"/>
  <c r="J137" s="1"/>
  <c r="AK136"/>
  <c r="J136" s="1"/>
  <c r="J133"/>
  <c r="R51" i="16"/>
  <c r="R46"/>
  <c r="R50"/>
  <c r="R42"/>
  <c r="R34"/>
  <c r="R40"/>
  <c r="R49"/>
  <c r="R35"/>
  <c r="R43"/>
  <c r="R45"/>
  <c r="R39"/>
  <c r="R54"/>
  <c r="R47"/>
  <c r="R32"/>
  <c r="R38"/>
  <c r="R37"/>
  <c r="R33"/>
  <c r="R41"/>
  <c r="R31"/>
  <c r="R48"/>
  <c r="R52"/>
  <c r="R44"/>
  <c r="R36"/>
  <c r="R53"/>
  <c r="J37" i="56"/>
  <c r="J44"/>
  <c r="J51" s="1"/>
  <c r="W135" i="8"/>
  <c r="W103" i="18"/>
  <c r="W330" s="1"/>
  <c r="W332" s="1"/>
  <c r="G118" i="64"/>
  <c r="N84" s="1"/>
  <c r="N121"/>
  <c r="H64" i="8"/>
  <c r="I65"/>
  <c r="H65" s="1"/>
  <c r="AL136" i="9"/>
  <c r="K136" s="1"/>
  <c r="AL157"/>
  <c r="K157" s="1"/>
  <c r="AL137"/>
  <c r="K137" s="1"/>
  <c r="K133"/>
  <c r="AJ136"/>
  <c r="I136" s="1"/>
  <c r="AJ157"/>
  <c r="I157" s="1"/>
  <c r="AJ137"/>
  <c r="I137" s="1"/>
  <c r="I133"/>
  <c r="AE66" i="60"/>
  <c r="AG66" s="1"/>
  <c r="AE84"/>
  <c r="AG84" s="1"/>
  <c r="H63" i="9"/>
  <c r="T471"/>
  <c r="P471"/>
  <c r="W143"/>
  <c r="R91" i="18"/>
  <c r="R93" s="1"/>
  <c r="R99" s="1"/>
  <c r="K91"/>
  <c r="K93" s="1"/>
  <c r="K99" s="1"/>
  <c r="K103" s="1"/>
  <c r="K330" s="1"/>
  <c r="K332" s="1"/>
  <c r="H91"/>
  <c r="H93" s="1"/>
  <c r="H99" s="1"/>
  <c r="H103" s="1"/>
  <c r="H330" s="1"/>
  <c r="H332" s="1"/>
  <c r="O91"/>
  <c r="O93" s="1"/>
  <c r="O99" s="1"/>
  <c r="N91"/>
  <c r="N93" s="1"/>
  <c r="N99" s="1"/>
  <c r="N103" s="1"/>
  <c r="N330" s="1"/>
  <c r="N332" s="1"/>
  <c r="Q91"/>
  <c r="Q93" s="1"/>
  <c r="Q99" s="1"/>
  <c r="Q103" s="1"/>
  <c r="Q330" s="1"/>
  <c r="Q332" s="1"/>
  <c r="V91"/>
  <c r="V93" s="1"/>
  <c r="V99" s="1"/>
  <c r="P91"/>
  <c r="P93" s="1"/>
  <c r="P99" s="1"/>
  <c r="P103" s="1"/>
  <c r="P330" s="1"/>
  <c r="P332" s="1"/>
  <c r="S91"/>
  <c r="S93" s="1"/>
  <c r="S99" s="1"/>
  <c r="S103" s="1"/>
  <c r="S330" s="1"/>
  <c r="S332" s="1"/>
  <c r="J91"/>
  <c r="J93" s="1"/>
  <c r="J99" s="1"/>
  <c r="M91"/>
  <c r="M93" s="1"/>
  <c r="M99" s="1"/>
  <c r="G91"/>
  <c r="U91"/>
  <c r="U93" s="1"/>
  <c r="U99" s="1"/>
  <c r="U103" s="1"/>
  <c r="U330" s="1"/>
  <c r="U332" s="1"/>
  <c r="C71" i="29"/>
  <c r="G71"/>
  <c r="D71"/>
  <c r="F71"/>
  <c r="E71"/>
  <c r="AH157" i="9"/>
  <c r="AO133"/>
  <c r="AN135" s="1"/>
  <c r="AH137"/>
  <c r="AH136"/>
  <c r="G136" s="1"/>
  <c r="G133"/>
  <c r="AI157"/>
  <c r="H157" s="1"/>
  <c r="AI137"/>
  <c r="H137" s="1"/>
  <c r="AI136"/>
  <c r="H136" s="1"/>
  <c r="H133"/>
  <c r="J63" i="72"/>
  <c r="H76" i="29"/>
  <c r="D77" s="1"/>
  <c r="Q53" i="15"/>
  <c r="O53" s="1"/>
  <c r="I102" i="8"/>
  <c r="P50" i="15"/>
  <c r="Q50" s="1"/>
  <c r="O50" s="1"/>
  <c r="P43"/>
  <c r="P31"/>
  <c r="P36"/>
  <c r="P47"/>
  <c r="Q47" s="1"/>
  <c r="O47" s="1"/>
  <c r="AH135" i="8"/>
  <c r="G148" i="41"/>
  <c r="I138" i="7" s="1"/>
  <c r="P44" i="15"/>
  <c r="P33"/>
  <c r="Q33" s="1"/>
  <c r="O33" s="1"/>
  <c r="P38"/>
  <c r="Q38" s="1"/>
  <c r="O38" s="1"/>
  <c r="P52"/>
  <c r="Q52" s="1"/>
  <c r="P49"/>
  <c r="P46"/>
  <c r="Q46" s="1"/>
  <c r="P45"/>
  <c r="Q45" s="1"/>
  <c r="O45" s="1"/>
  <c r="P39"/>
  <c r="Q39" s="1"/>
  <c r="O39" s="1"/>
  <c r="P32"/>
  <c r="P35"/>
  <c r="Q35" s="1"/>
  <c r="O29"/>
  <c r="P40"/>
  <c r="Q40" s="1"/>
  <c r="O40" s="1"/>
  <c r="P51"/>
  <c r="P34"/>
  <c r="P48"/>
  <c r="Q48" s="1"/>
  <c r="O48" s="1"/>
  <c r="P41"/>
  <c r="Q41" s="1"/>
  <c r="O41" s="1"/>
  <c r="P42"/>
  <c r="AJ135" i="8"/>
  <c r="K105" i="18"/>
  <c r="K108" s="1"/>
  <c r="K432" s="1"/>
  <c r="K436" s="1"/>
  <c r="N133" i="8"/>
  <c r="G135" s="1"/>
  <c r="K316" i="18"/>
  <c r="K318" s="1"/>
  <c r="AO137" i="8"/>
  <c r="AN135"/>
  <c r="R55" i="15"/>
  <c r="V47" s="1"/>
  <c r="J102" i="8"/>
  <c r="M102"/>
  <c r="L102"/>
  <c r="B458" i="25" s="1"/>
  <c r="H107" i="8"/>
  <c r="I107" s="1"/>
  <c r="Q34" i="15"/>
  <c r="O34" s="1"/>
  <c r="AL135" i="8"/>
  <c r="P105" i="18"/>
  <c r="P316" s="1"/>
  <c r="P318" s="1"/>
  <c r="N102" i="8"/>
  <c r="AO157"/>
  <c r="H105" i="18"/>
  <c r="H108" s="1"/>
  <c r="H432" s="1"/>
  <c r="H436" s="1"/>
  <c r="L93" i="8"/>
  <c r="V35" i="15"/>
  <c r="K93" i="8"/>
  <c r="N137"/>
  <c r="AI135"/>
  <c r="N93"/>
  <c r="N157"/>
  <c r="Q105" i="18"/>
  <c r="K64" i="60"/>
  <c r="AM84"/>
  <c r="K84" s="1"/>
  <c r="AM66"/>
  <c r="K66" s="1"/>
  <c r="AL84"/>
  <c r="J84" s="1"/>
  <c r="AL66"/>
  <c r="J66" s="1"/>
  <c r="J64"/>
  <c r="Q31" i="15"/>
  <c r="Q36"/>
  <c r="O36" s="1"/>
  <c r="Q43"/>
  <c r="Q54"/>
  <c r="O54" s="1"/>
  <c r="H36" i="55"/>
  <c r="AI72"/>
  <c r="AH72"/>
  <c r="AN72"/>
  <c r="AJ72"/>
  <c r="AM72"/>
  <c r="I36"/>
  <c r="AL72"/>
  <c r="AK72"/>
  <c r="K143" i="8"/>
  <c r="AL471"/>
  <c r="K471" s="1"/>
  <c r="L143"/>
  <c r="AM471"/>
  <c r="L471" s="1"/>
  <c r="BL166" i="9"/>
  <c r="BJ166"/>
  <c r="BI166"/>
  <c r="BD166"/>
  <c r="AZ166"/>
  <c r="BN166"/>
  <c r="BA166"/>
  <c r="BM166"/>
  <c r="BC166"/>
  <c r="BB166"/>
  <c r="BE166"/>
  <c r="BK166"/>
  <c r="AO84" i="60"/>
  <c r="M84" s="1"/>
  <c r="AO66"/>
  <c r="M66" s="1"/>
  <c r="M64"/>
  <c r="Q49" i="15"/>
  <c r="G143" i="8"/>
  <c r="AH471"/>
  <c r="J51" i="55"/>
  <c r="M143" i="8"/>
  <c r="AN471"/>
  <c r="M471" s="1"/>
  <c r="BC166"/>
  <c r="BE166"/>
  <c r="BK166"/>
  <c r="BI166"/>
  <c r="I214" i="66"/>
  <c r="BA166" i="8"/>
  <c r="BF166"/>
  <c r="AZ166"/>
  <c r="BJ166"/>
  <c r="BB166"/>
  <c r="BM166"/>
  <c r="BL166"/>
  <c r="BD166"/>
  <c r="BO166"/>
  <c r="BN166"/>
  <c r="K135"/>
  <c r="J135"/>
  <c r="M135"/>
  <c r="I135"/>
  <c r="L135"/>
  <c r="H135"/>
  <c r="AP64" i="60"/>
  <c r="AI66"/>
  <c r="AI84"/>
  <c r="G64"/>
  <c r="AN84"/>
  <c r="L84" s="1"/>
  <c r="L64"/>
  <c r="AN66"/>
  <c r="L66" s="1"/>
  <c r="Q32" i="15"/>
  <c r="O32" s="1"/>
  <c r="AK471" i="8"/>
  <c r="J471" s="1"/>
  <c r="J143"/>
  <c r="I64" i="60"/>
  <c r="AK66"/>
  <c r="I66" s="1"/>
  <c r="AK84"/>
  <c r="I84" s="1"/>
  <c r="AJ84"/>
  <c r="H84" s="1"/>
  <c r="AJ66"/>
  <c r="H66" s="1"/>
  <c r="H64"/>
  <c r="Q51" i="15"/>
  <c r="O51" s="1"/>
  <c r="Q42"/>
  <c r="Q37"/>
  <c r="O37" s="1"/>
  <c r="V39"/>
  <c r="V41"/>
  <c r="V32"/>
  <c r="V36"/>
  <c r="V48"/>
  <c r="V31"/>
  <c r="V54"/>
  <c r="V46"/>
  <c r="V34"/>
  <c r="I143" i="8"/>
  <c r="AJ471"/>
  <c r="I471" s="1"/>
  <c r="AI471"/>
  <c r="H471" s="1"/>
  <c r="H143"/>
  <c r="AV765" i="9"/>
  <c r="AV811"/>
  <c r="AV812" s="1"/>
  <c r="AQ619" i="8"/>
  <c r="AQ573"/>
  <c r="AX572"/>
  <c r="AX573" s="1"/>
  <c r="P330" i="19"/>
  <c r="AN330" s="1"/>
  <c r="AN326"/>
  <c r="AN328"/>
  <c r="G364" i="8"/>
  <c r="N364" s="1"/>
  <c r="AR763"/>
  <c r="AR764" s="1"/>
  <c r="AR717"/>
  <c r="AW763"/>
  <c r="AW764" s="1"/>
  <c r="AW717"/>
  <c r="AN302" i="19"/>
  <c r="AN306" s="1"/>
  <c r="J131" i="7"/>
  <c r="J135" s="1"/>
  <c r="M532" i="19"/>
  <c r="J276" i="7"/>
  <c r="AU763" i="8"/>
  <c r="AU764" s="1"/>
  <c r="AU717"/>
  <c r="AU859" i="9"/>
  <c r="AU860" s="1"/>
  <c r="AU813"/>
  <c r="AS717" i="8"/>
  <c r="AS763"/>
  <c r="AS764" s="1"/>
  <c r="AS859" i="9"/>
  <c r="AS860" s="1"/>
  <c r="AS813"/>
  <c r="AT888"/>
  <c r="AT889" s="1"/>
  <c r="AT861"/>
  <c r="AR888"/>
  <c r="AR889" s="1"/>
  <c r="AR861"/>
  <c r="N515" i="19"/>
  <c r="R519"/>
  <c r="P343"/>
  <c r="AN343" s="1"/>
  <c r="L215" i="25" s="1"/>
  <c r="N215" s="1"/>
  <c r="AN339" i="19"/>
  <c r="AT717" i="8"/>
  <c r="AT763"/>
  <c r="AT764" s="1"/>
  <c r="AV717"/>
  <c r="AV763"/>
  <c r="AV764" s="1"/>
  <c r="AQ619" i="9"/>
  <c r="AX572"/>
  <c r="AX573" s="1"/>
  <c r="AQ573"/>
  <c r="AM306" i="19"/>
  <c r="G363" i="8"/>
  <c r="U306" i="19"/>
  <c r="AB306"/>
  <c r="X66" i="60" l="1"/>
  <c r="G182" i="18"/>
  <c r="L182" s="1"/>
  <c r="T182" s="1"/>
  <c r="X182" s="1"/>
  <c r="S105"/>
  <c r="W105"/>
  <c r="W316" s="1"/>
  <c r="W318" s="1"/>
  <c r="N105"/>
  <c r="AI135" i="9"/>
  <c r="U105" i="18"/>
  <c r="U316" s="1"/>
  <c r="U318" s="1"/>
  <c r="AH135" i="9"/>
  <c r="AF80" i="55"/>
  <c r="G93" i="18"/>
  <c r="L91"/>
  <c r="T91" s="1"/>
  <c r="X91" s="1"/>
  <c r="O103"/>
  <c r="O330" s="1"/>
  <c r="O332" s="1"/>
  <c r="J54" i="56"/>
  <c r="AI80"/>
  <c r="AK80"/>
  <c r="AJ80"/>
  <c r="AL80"/>
  <c r="AM80"/>
  <c r="AH80"/>
  <c r="Q53" i="16"/>
  <c r="Q48"/>
  <c r="Q47"/>
  <c r="Q34"/>
  <c r="Q36"/>
  <c r="Q33"/>
  <c r="O33" s="1"/>
  <c r="N133" i="9"/>
  <c r="AO137"/>
  <c r="G137"/>
  <c r="N137" s="1"/>
  <c r="R103" i="18"/>
  <c r="R330" s="1"/>
  <c r="R332" s="1"/>
  <c r="N109" i="64"/>
  <c r="N101"/>
  <c r="J44" i="43"/>
  <c r="N96" i="64"/>
  <c r="N106"/>
  <c r="N112"/>
  <c r="N118"/>
  <c r="N77"/>
  <c r="N69"/>
  <c r="D99" i="4"/>
  <c r="N115" i="64"/>
  <c r="N82"/>
  <c r="R55" i="16"/>
  <c r="V43" s="1"/>
  <c r="Q38"/>
  <c r="Q31"/>
  <c r="P55"/>
  <c r="T48" s="1"/>
  <c r="Q40"/>
  <c r="Q41"/>
  <c r="Q46"/>
  <c r="G129" i="64"/>
  <c r="G128"/>
  <c r="G132"/>
  <c r="G135"/>
  <c r="G130"/>
  <c r="G131"/>
  <c r="G133"/>
  <c r="G134"/>
  <c r="K101" i="9"/>
  <c r="H101" s="1"/>
  <c r="AJ143"/>
  <c r="AK143"/>
  <c r="AN143"/>
  <c r="AN147" s="1"/>
  <c r="AI143"/>
  <c r="AL143"/>
  <c r="AM143"/>
  <c r="AH143"/>
  <c r="H98"/>
  <c r="S80" i="55"/>
  <c r="T80"/>
  <c r="P80"/>
  <c r="Q80"/>
  <c r="R80"/>
  <c r="U80"/>
  <c r="V80"/>
  <c r="AL135" i="9"/>
  <c r="V36" i="16"/>
  <c r="AK135" i="9"/>
  <c r="Q50" i="16"/>
  <c r="J103" i="18"/>
  <c r="J330" s="1"/>
  <c r="J332" s="1"/>
  <c r="W471" i="9"/>
  <c r="Q49" i="16"/>
  <c r="Q39"/>
  <c r="Q32"/>
  <c r="Q35"/>
  <c r="Q43"/>
  <c r="Q51"/>
  <c r="T51"/>
  <c r="F169" i="64"/>
  <c r="G168" s="1"/>
  <c r="K93" i="9"/>
  <c r="J93"/>
  <c r="M93"/>
  <c r="L93"/>
  <c r="N93"/>
  <c r="I93"/>
  <c r="H71" i="29"/>
  <c r="AJ135" i="9"/>
  <c r="V53" i="16"/>
  <c r="V54"/>
  <c r="V35"/>
  <c r="C77" i="29"/>
  <c r="F77"/>
  <c r="E77"/>
  <c r="G77"/>
  <c r="AO157" i="9"/>
  <c r="G157"/>
  <c r="N157" s="1"/>
  <c r="M103" i="18"/>
  <c r="M330" s="1"/>
  <c r="M332" s="1"/>
  <c r="V103"/>
  <c r="V330" s="1"/>
  <c r="V332" s="1"/>
  <c r="H36" i="56"/>
  <c r="I36"/>
  <c r="Q44" i="16"/>
  <c r="T44"/>
  <c r="Q54"/>
  <c r="T54"/>
  <c r="Q52"/>
  <c r="T52"/>
  <c r="Q42"/>
  <c r="T42"/>
  <c r="Q45"/>
  <c r="T45"/>
  <c r="Q37"/>
  <c r="T37"/>
  <c r="V52"/>
  <c r="V33"/>
  <c r="V47"/>
  <c r="V34"/>
  <c r="V51"/>
  <c r="G127" i="64"/>
  <c r="AM135" i="9"/>
  <c r="AL306" i="19"/>
  <c r="Z306"/>
  <c r="Q306"/>
  <c r="AF306"/>
  <c r="V306"/>
  <c r="AE306"/>
  <c r="AH306"/>
  <c r="W306"/>
  <c r="T306"/>
  <c r="AA306"/>
  <c r="AK306"/>
  <c r="S306"/>
  <c r="AC306"/>
  <c r="AJ306"/>
  <c r="V42" i="15"/>
  <c r="Q44"/>
  <c r="O44" s="1"/>
  <c r="P55"/>
  <c r="T39" s="1"/>
  <c r="AO135" i="8"/>
  <c r="Y306" i="19"/>
  <c r="O52" i="15"/>
  <c r="V50"/>
  <c r="V52"/>
  <c r="V45"/>
  <c r="U108" i="18"/>
  <c r="V40" i="15"/>
  <c r="AL58" i="60" s="1"/>
  <c r="V38" i="15"/>
  <c r="V53"/>
  <c r="P108" i="18"/>
  <c r="P432" s="1"/>
  <c r="P436" s="1"/>
  <c r="V43" i="15"/>
  <c r="V44"/>
  <c r="V37"/>
  <c r="V51"/>
  <c r="V68" s="1"/>
  <c r="H510" i="66" s="1"/>
  <c r="V33" i="15"/>
  <c r="AI58" i="60" s="1"/>
  <c r="V49" i="15"/>
  <c r="B103" i="8"/>
  <c r="H102"/>
  <c r="AG306" i="19"/>
  <c r="P306"/>
  <c r="AD306"/>
  <c r="AI306"/>
  <c r="H316" i="18"/>
  <c r="H318" s="1"/>
  <c r="H93" i="8"/>
  <c r="Q316" i="18"/>
  <c r="Q318" s="1"/>
  <c r="Q108"/>
  <c r="Q432" s="1"/>
  <c r="Q436" s="1"/>
  <c r="N316"/>
  <c r="N318" s="1"/>
  <c r="N108"/>
  <c r="N432" s="1"/>
  <c r="N436" s="1"/>
  <c r="N135" i="8"/>
  <c r="BO167"/>
  <c r="M91" i="10" s="1"/>
  <c r="BO95" i="55"/>
  <c r="BP87" i="60"/>
  <c r="BB167" i="8"/>
  <c r="I90" i="10" s="1"/>
  <c r="BC87" i="60"/>
  <c r="BB95" i="55"/>
  <c r="BA167" i="8"/>
  <c r="H90" i="10" s="1"/>
  <c r="BB87" i="60"/>
  <c r="BA95" i="55"/>
  <c r="BF87" i="60"/>
  <c r="BE167" i="8"/>
  <c r="L90" i="10" s="1"/>
  <c r="BE95" i="55"/>
  <c r="O46" i="15"/>
  <c r="BE167" i="9"/>
  <c r="U90" i="10" s="1"/>
  <c r="BE95" i="56"/>
  <c r="BA167" i="9"/>
  <c r="Q90" i="10" s="1"/>
  <c r="BA95" i="56"/>
  <c r="BI95"/>
  <c r="BP166" i="9"/>
  <c r="BI167"/>
  <c r="AL92" i="55"/>
  <c r="AL74"/>
  <c r="AN92"/>
  <c r="AN74"/>
  <c r="O64" i="60"/>
  <c r="O42" i="15"/>
  <c r="O35"/>
  <c r="BN95" i="55"/>
  <c r="BO87" i="60"/>
  <c r="BN167" i="8"/>
  <c r="L91" i="10" s="1"/>
  <c r="BN87" i="60"/>
  <c r="BM167" i="8"/>
  <c r="K91" i="10" s="1"/>
  <c r="BM95" i="55"/>
  <c r="BF167" i="8"/>
  <c r="M90" i="10" s="1"/>
  <c r="BF95" i="55"/>
  <c r="BG87" i="60"/>
  <c r="BK167" i="8"/>
  <c r="I91" i="10" s="1"/>
  <c r="BL87" i="60"/>
  <c r="BK95" i="55"/>
  <c r="S108" i="18"/>
  <c r="S432" s="1"/>
  <c r="S436" s="1"/>
  <c r="S316"/>
  <c r="S318" s="1"/>
  <c r="BK167" i="9"/>
  <c r="R91" i="10" s="1"/>
  <c r="BK95" i="56"/>
  <c r="BM167" i="9"/>
  <c r="T91" i="10" s="1"/>
  <c r="BM95" i="56"/>
  <c r="BD95"/>
  <c r="BD167" i="9"/>
  <c r="T90" i="10" s="1"/>
  <c r="AK92" i="55"/>
  <c r="AK74"/>
  <c r="AJ74"/>
  <c r="AJ92"/>
  <c r="H37"/>
  <c r="H44"/>
  <c r="N36"/>
  <c r="O43" i="15"/>
  <c r="T31"/>
  <c r="T44"/>
  <c r="T32"/>
  <c r="T45"/>
  <c r="T47"/>
  <c r="T34"/>
  <c r="T50"/>
  <c r="T52"/>
  <c r="T33"/>
  <c r="T38"/>
  <c r="T53"/>
  <c r="N143" i="8"/>
  <c r="E195" i="30" s="1"/>
  <c r="AP66" i="60"/>
  <c r="G66"/>
  <c r="O66" s="1"/>
  <c r="BM87"/>
  <c r="BL167" i="8"/>
  <c r="J91" i="10" s="1"/>
  <c r="BL95" i="55"/>
  <c r="AZ95"/>
  <c r="BA87" i="60"/>
  <c r="BG166" i="8"/>
  <c r="AZ167"/>
  <c r="BI167"/>
  <c r="BP166"/>
  <c r="BI95" i="55"/>
  <c r="BJ87" i="60"/>
  <c r="V65" i="15"/>
  <c r="H507" i="66" s="1"/>
  <c r="G471" i="8"/>
  <c r="N471" s="1"/>
  <c r="AO471"/>
  <c r="O49" i="15"/>
  <c r="BC167" i="9"/>
  <c r="S90" i="10" s="1"/>
  <c r="BC95" i="56"/>
  <c r="AZ95"/>
  <c r="AZ167" i="9"/>
  <c r="BG166"/>
  <c r="BL167"/>
  <c r="S91" i="10" s="1"/>
  <c r="BL95" i="56"/>
  <c r="AM74" i="55"/>
  <c r="AM92"/>
  <c r="AI92"/>
  <c r="AI74"/>
  <c r="O31" i="15"/>
  <c r="T43"/>
  <c r="AH66" i="55"/>
  <c r="AJ58" i="60"/>
  <c r="AI66" i="55"/>
  <c r="AI122" i="8"/>
  <c r="V63" i="15"/>
  <c r="H505" i="66" s="1"/>
  <c r="AP84" i="60"/>
  <c r="G84"/>
  <c r="O84" s="1"/>
  <c r="BD95" i="55"/>
  <c r="BE87" i="60"/>
  <c r="BD167" i="8"/>
  <c r="K90" i="10" s="1"/>
  <c r="BJ95" i="55"/>
  <c r="BK87" i="60"/>
  <c r="BJ167" i="8"/>
  <c r="H91" i="10" s="1"/>
  <c r="BD87" i="60"/>
  <c r="BC95" i="55"/>
  <c r="BC167" i="8"/>
  <c r="J90" i="10" s="1"/>
  <c r="J54" i="55"/>
  <c r="AL80"/>
  <c r="K80" s="1"/>
  <c r="AH80"/>
  <c r="AJ80"/>
  <c r="I80" s="1"/>
  <c r="AI80"/>
  <c r="H80" s="1"/>
  <c r="AK80"/>
  <c r="J80" s="1"/>
  <c r="AM80"/>
  <c r="L80" s="1"/>
  <c r="AN80"/>
  <c r="M80" s="1"/>
  <c r="N51"/>
  <c r="BB167" i="9"/>
  <c r="R90" i="10" s="1"/>
  <c r="BB95" i="56"/>
  <c r="BN167" i="9"/>
  <c r="U91" i="10" s="1"/>
  <c r="BN95" i="56"/>
  <c r="BJ95"/>
  <c r="BJ167" i="9"/>
  <c r="Q91" i="10" s="1"/>
  <c r="I44" i="55"/>
  <c r="I54" s="1"/>
  <c r="I37"/>
  <c r="AH92"/>
  <c r="AO72"/>
  <c r="AH74"/>
  <c r="T46" i="15"/>
  <c r="T54"/>
  <c r="T36"/>
  <c r="AV859" i="9"/>
  <c r="AV860" s="1"/>
  <c r="AV813"/>
  <c r="G363"/>
  <c r="N363" s="1"/>
  <c r="N363" i="8"/>
  <c r="AX619" i="9"/>
  <c r="AQ620"/>
  <c r="AT811" i="8"/>
  <c r="AT812" s="1"/>
  <c r="AT765"/>
  <c r="AS765"/>
  <c r="AS811"/>
  <c r="AS812" s="1"/>
  <c r="J282" i="7"/>
  <c r="AR811" i="8"/>
  <c r="AR812" s="1"/>
  <c r="AR765"/>
  <c r="R306" i="19"/>
  <c r="X306"/>
  <c r="AS888" i="9"/>
  <c r="AS889" s="1"/>
  <c r="AS861"/>
  <c r="AU888"/>
  <c r="AU889" s="1"/>
  <c r="AU861"/>
  <c r="AU811" i="8"/>
  <c r="AU812" s="1"/>
  <c r="AU765"/>
  <c r="AW811"/>
  <c r="AW812" s="1"/>
  <c r="AW765"/>
  <c r="AV765"/>
  <c r="AV811"/>
  <c r="AV812" s="1"/>
  <c r="S537" i="19"/>
  <c r="R537" s="1"/>
  <c r="N519"/>
  <c r="J143" i="7"/>
  <c r="J142"/>
  <c r="AF364" i="8"/>
  <c r="AO364"/>
  <c r="AQ620"/>
  <c r="AX619"/>
  <c r="V37" i="16" l="1"/>
  <c r="V50"/>
  <c r="H87"/>
  <c r="AL72" i="56" s="1"/>
  <c r="AL92" s="1"/>
  <c r="V42" i="16"/>
  <c r="V48"/>
  <c r="J206" i="67"/>
  <c r="J209" s="1"/>
  <c r="T41" i="15"/>
  <c r="T51"/>
  <c r="M105" i="18"/>
  <c r="AO135" i="9"/>
  <c r="AM122"/>
  <c r="AM125" s="1"/>
  <c r="T35" i="16"/>
  <c r="V38"/>
  <c r="W108" i="18"/>
  <c r="T39" i="16"/>
  <c r="V49"/>
  <c r="H77" i="29"/>
  <c r="V31" i="16"/>
  <c r="T43"/>
  <c r="T32"/>
  <c r="T49"/>
  <c r="V39"/>
  <c r="I44" i="56"/>
  <c r="I37"/>
  <c r="M108" i="18"/>
  <c r="M432" s="1"/>
  <c r="M436" s="1"/>
  <c r="M316"/>
  <c r="M318" s="1"/>
  <c r="AK122" i="9"/>
  <c r="V65" i="16"/>
  <c r="H520" i="66" s="1"/>
  <c r="O50" i="16"/>
  <c r="AO143" i="9"/>
  <c r="AH471"/>
  <c r="G143"/>
  <c r="O31" i="16"/>
  <c r="Q55"/>
  <c r="U33" s="1"/>
  <c r="G99" i="18"/>
  <c r="L93"/>
  <c r="T93" s="1"/>
  <c r="X93" s="1"/>
  <c r="X149" s="1"/>
  <c r="H93" i="9"/>
  <c r="T122"/>
  <c r="W80" i="55"/>
  <c r="T46" i="16"/>
  <c r="T40"/>
  <c r="V32"/>
  <c r="T33"/>
  <c r="T34"/>
  <c r="AO80" i="56"/>
  <c r="O45" i="16"/>
  <c r="O52"/>
  <c r="O44"/>
  <c r="O43"/>
  <c r="U43"/>
  <c r="O32"/>
  <c r="O49"/>
  <c r="AI471" i="9"/>
  <c r="H471" s="1"/>
  <c r="H143"/>
  <c r="K102"/>
  <c r="N55" i="56"/>
  <c r="M102" i="9"/>
  <c r="J102"/>
  <c r="N102"/>
  <c r="I102"/>
  <c r="L102"/>
  <c r="G103"/>
  <c r="O41" i="16"/>
  <c r="T50"/>
  <c r="G87" s="1"/>
  <c r="AK72" i="56" s="1"/>
  <c r="O36" i="16"/>
  <c r="U36"/>
  <c r="O47"/>
  <c r="O53"/>
  <c r="V45"/>
  <c r="AL122" i="9"/>
  <c r="H89" i="16"/>
  <c r="AM979" i="9"/>
  <c r="AM156"/>
  <c r="AM158" s="1"/>
  <c r="AM347"/>
  <c r="AM129"/>
  <c r="AM147" s="1"/>
  <c r="AM66" i="56"/>
  <c r="AL471" i="9"/>
  <c r="K471" s="1"/>
  <c r="K143"/>
  <c r="AJ471"/>
  <c r="I471" s="1"/>
  <c r="I143"/>
  <c r="O38" i="16"/>
  <c r="U38"/>
  <c r="V105" i="18"/>
  <c r="G167" i="64"/>
  <c r="G169" s="1"/>
  <c r="J105" i="18"/>
  <c r="T41" i="16"/>
  <c r="T31"/>
  <c r="V40"/>
  <c r="V62" s="1"/>
  <c r="V44"/>
  <c r="T36"/>
  <c r="T47"/>
  <c r="T53"/>
  <c r="O37"/>
  <c r="U37"/>
  <c r="O42"/>
  <c r="U42"/>
  <c r="O54"/>
  <c r="U54"/>
  <c r="N36" i="56"/>
  <c r="H37"/>
  <c r="H44"/>
  <c r="V66" i="16"/>
  <c r="H521" i="66" s="1"/>
  <c r="I89" i="16"/>
  <c r="O51"/>
  <c r="O35"/>
  <c r="U35"/>
  <c r="O39"/>
  <c r="AM471" i="9"/>
  <c r="L471" s="1"/>
  <c r="L143"/>
  <c r="AK471"/>
  <c r="J471" s="1"/>
  <c r="J143"/>
  <c r="O46" i="16"/>
  <c r="U46"/>
  <c r="O40"/>
  <c r="O34"/>
  <c r="U34"/>
  <c r="O48"/>
  <c r="T38"/>
  <c r="R105" i="18"/>
  <c r="V46" i="16"/>
  <c r="V41"/>
  <c r="O105" i="18"/>
  <c r="AM122" i="8"/>
  <c r="AN66" i="55"/>
  <c r="AN68" s="1"/>
  <c r="AN84" s="1"/>
  <c r="AJ122" i="8"/>
  <c r="AJ129" s="1"/>
  <c r="AJ147" s="1"/>
  <c r="AN122"/>
  <c r="AN125" s="1"/>
  <c r="Q55" i="15"/>
  <c r="U49" s="1"/>
  <c r="AJ66" i="55"/>
  <c r="AJ91" s="1"/>
  <c r="AN58" i="60"/>
  <c r="AN83" s="1"/>
  <c r="AN85" s="1"/>
  <c r="AL66" i="55"/>
  <c r="AL91" s="1"/>
  <c r="AL93" s="1"/>
  <c r="AH122" i="8"/>
  <c r="AI327" s="1"/>
  <c r="AK122"/>
  <c r="AK156" s="1"/>
  <c r="AK158" s="1"/>
  <c r="V62" i="15"/>
  <c r="AM66" i="55"/>
  <c r="AM68" s="1"/>
  <c r="AM84" s="1"/>
  <c r="V64" i="15"/>
  <c r="H506" i="66" s="1"/>
  <c r="AK66" i="55"/>
  <c r="AK68" s="1"/>
  <c r="AK84" s="1"/>
  <c r="V67" i="15"/>
  <c r="H509" i="66" s="1"/>
  <c r="AK58" i="60"/>
  <c r="T48" i="15"/>
  <c r="AL122" i="8"/>
  <c r="AL156" s="1"/>
  <c r="AL158" s="1"/>
  <c r="AL166" s="1"/>
  <c r="AL167" s="1"/>
  <c r="V55" i="15"/>
  <c r="V66"/>
  <c r="H508" i="66" s="1"/>
  <c r="AM58" i="60"/>
  <c r="AM83" s="1"/>
  <c r="AM85" s="1"/>
  <c r="T37" i="15"/>
  <c r="R66" i="55" s="1"/>
  <c r="T49" i="15"/>
  <c r="T35"/>
  <c r="P122" i="8" s="1"/>
  <c r="T40" i="15"/>
  <c r="T42"/>
  <c r="T66" i="55" s="1"/>
  <c r="AJ347" i="8"/>
  <c r="AO58" i="60"/>
  <c r="AO92" i="55"/>
  <c r="AA65"/>
  <c r="AE65"/>
  <c r="AD65"/>
  <c r="AA72"/>
  <c r="AD72"/>
  <c r="AB65"/>
  <c r="Z72"/>
  <c r="AB72"/>
  <c r="Z65"/>
  <c r="AE72"/>
  <c r="Y72"/>
  <c r="AC65"/>
  <c r="AC72"/>
  <c r="AI91"/>
  <c r="AI93" s="1"/>
  <c r="AI68"/>
  <c r="AI84" s="1"/>
  <c r="AI60" i="60"/>
  <c r="AI83"/>
  <c r="H504" i="66"/>
  <c r="W58" i="60"/>
  <c r="V66" i="55"/>
  <c r="V122" i="8"/>
  <c r="T68" i="15"/>
  <c r="F510" i="66" s="1"/>
  <c r="T72" i="55"/>
  <c r="R72"/>
  <c r="P72"/>
  <c r="Q72"/>
  <c r="S72"/>
  <c r="U72"/>
  <c r="N37"/>
  <c r="V72"/>
  <c r="BG95" i="56"/>
  <c r="BP95" i="55"/>
  <c r="AJ93"/>
  <c r="AI156" i="8"/>
  <c r="AI158" s="1"/>
  <c r="AI166" s="1"/>
  <c r="AI167" s="1"/>
  <c r="AI125"/>
  <c r="AI328"/>
  <c r="AI979"/>
  <c r="AI129"/>
  <c r="AI147" s="1"/>
  <c r="AI347"/>
  <c r="AH129"/>
  <c r="AH125"/>
  <c r="AH156"/>
  <c r="AH328"/>
  <c r="AN156"/>
  <c r="AN158" s="1"/>
  <c r="AN979"/>
  <c r="AN129"/>
  <c r="AN147" s="1"/>
  <c r="AN327"/>
  <c r="AN347"/>
  <c r="AN328"/>
  <c r="P90" i="10"/>
  <c r="W90" s="1"/>
  <c r="Z90" s="1"/>
  <c r="BG167" i="9"/>
  <c r="BG167" i="8"/>
  <c r="C122" i="41" s="1"/>
  <c r="G90" i="10"/>
  <c r="N90" s="1"/>
  <c r="Y90" s="1"/>
  <c r="N44" i="55"/>
  <c r="H54"/>
  <c r="N54" s="1"/>
  <c r="N56" s="1"/>
  <c r="AN60" i="60"/>
  <c r="AN76" s="1"/>
  <c r="BP167" i="9"/>
  <c r="P91" i="10"/>
  <c r="W91" s="1"/>
  <c r="Z91" s="1"/>
  <c r="AL125" i="8"/>
  <c r="BQ87" i="60"/>
  <c r="AO80" i="55"/>
  <c r="G80"/>
  <c r="N80" s="1"/>
  <c r="AH68"/>
  <c r="AH91"/>
  <c r="U34" i="15"/>
  <c r="U52"/>
  <c r="U40"/>
  <c r="AB364" i="8" s="1"/>
  <c r="U31" i="15"/>
  <c r="AK91" i="55"/>
  <c r="AK93" s="1"/>
  <c r="G91" i="10"/>
  <c r="N91" s="1"/>
  <c r="Y91" s="1"/>
  <c r="BP167" i="8"/>
  <c r="C123" i="41" s="1"/>
  <c r="BG95" i="55"/>
  <c r="T66" i="15"/>
  <c r="F508" i="66" s="1"/>
  <c r="AJ328" i="8"/>
  <c r="Q122"/>
  <c r="T63" i="15"/>
  <c r="F505" i="66" s="1"/>
  <c r="R58" i="60"/>
  <c r="Q66" i="55"/>
  <c r="AJ60" i="60"/>
  <c r="AJ76" s="1"/>
  <c r="AJ83"/>
  <c r="AJ85" s="1"/>
  <c r="AL83"/>
  <c r="AL85" s="1"/>
  <c r="AL60"/>
  <c r="AL76" s="1"/>
  <c r="AM327" i="8"/>
  <c r="AM328"/>
  <c r="AM156"/>
  <c r="AM158" s="1"/>
  <c r="AM979"/>
  <c r="AM129"/>
  <c r="AM147" s="1"/>
  <c r="AM347"/>
  <c r="AM125"/>
  <c r="AL68" i="55"/>
  <c r="AL84" s="1"/>
  <c r="AO74"/>
  <c r="BH87" i="60"/>
  <c r="U35" i="15"/>
  <c r="BP95" i="56"/>
  <c r="AV861" i="9"/>
  <c r="AV888"/>
  <c r="AV889" s="1"/>
  <c r="AM364" i="8"/>
  <c r="AI364"/>
  <c r="AK364"/>
  <c r="AN364"/>
  <c r="AL364"/>
  <c r="AJ364"/>
  <c r="AH364"/>
  <c r="AX620"/>
  <c r="AX621" s="1"/>
  <c r="AQ621"/>
  <c r="AQ667"/>
  <c r="F21" i="6"/>
  <c r="F23" s="1"/>
  <c r="R539" i="19"/>
  <c r="AR859" i="8"/>
  <c r="AR860" s="1"/>
  <c r="AR813"/>
  <c r="AS813"/>
  <c r="AS859"/>
  <c r="AS860" s="1"/>
  <c r="AO363"/>
  <c r="W363"/>
  <c r="J146" i="7"/>
  <c r="AU813" i="8"/>
  <c r="AU859"/>
  <c r="AU860" s="1"/>
  <c r="AT859"/>
  <c r="AT860" s="1"/>
  <c r="AT813"/>
  <c r="AX620" i="9"/>
  <c r="AX621" s="1"/>
  <c r="AQ621"/>
  <c r="AQ667"/>
  <c r="AV859" i="8"/>
  <c r="AV860" s="1"/>
  <c r="AV813"/>
  <c r="AW859"/>
  <c r="AW860" s="1"/>
  <c r="AW813"/>
  <c r="AJ87" i="60"/>
  <c r="AI95" i="55"/>
  <c r="AM91" l="1"/>
  <c r="AM93" s="1"/>
  <c r="AL74" i="56"/>
  <c r="AL328" i="8"/>
  <c r="G89" i="16"/>
  <c r="AL347" i="8"/>
  <c r="U58" i="60"/>
  <c r="AL129" i="8"/>
  <c r="AL147" s="1"/>
  <c r="AL979"/>
  <c r="AH327"/>
  <c r="T122"/>
  <c r="F87" i="16"/>
  <c r="AJ72" i="56" s="1"/>
  <c r="AJ92" s="1"/>
  <c r="U41" i="16"/>
  <c r="U49"/>
  <c r="AO66" i="55"/>
  <c r="Q58" i="60"/>
  <c r="AH979" i="8"/>
  <c r="AH347"/>
  <c r="U48" i="16"/>
  <c r="U40"/>
  <c r="U39"/>
  <c r="U51"/>
  <c r="U53"/>
  <c r="I88" s="1"/>
  <c r="U52"/>
  <c r="AH122" i="9"/>
  <c r="AH347" s="1"/>
  <c r="R122"/>
  <c r="R347" s="1"/>
  <c r="F89" i="16"/>
  <c r="H102" i="9"/>
  <c r="AK74" i="56"/>
  <c r="AK92"/>
  <c r="H517" i="66"/>
  <c r="O108" i="18"/>
  <c r="O432" s="1"/>
  <c r="O436" s="1"/>
  <c r="O316"/>
  <c r="O318" s="1"/>
  <c r="Q122" i="9"/>
  <c r="E87" i="16"/>
  <c r="AI72" i="56" s="1"/>
  <c r="R125" i="9"/>
  <c r="R156"/>
  <c r="R66" i="56"/>
  <c r="R129" i="9"/>
  <c r="U66" i="16"/>
  <c r="G521" i="66" s="1"/>
  <c r="AH129" i="9"/>
  <c r="Z122"/>
  <c r="E88" i="16"/>
  <c r="U63"/>
  <c r="G518" i="66" s="1"/>
  <c r="AC72" i="56"/>
  <c r="AA72"/>
  <c r="AB72"/>
  <c r="V64" i="16"/>
  <c r="H519" i="66" s="1"/>
  <c r="T65" i="16"/>
  <c r="F520" i="66" s="1"/>
  <c r="R316" i="18"/>
  <c r="R318" s="1"/>
  <c r="R108"/>
  <c r="R432" s="1"/>
  <c r="R436" s="1"/>
  <c r="D87" i="16"/>
  <c r="Y72" i="56" s="1"/>
  <c r="P122" i="9"/>
  <c r="T62" i="16"/>
  <c r="T55"/>
  <c r="V108" i="18"/>
  <c r="V316"/>
  <c r="V318" s="1"/>
  <c r="T125" i="9"/>
  <c r="T979"/>
  <c r="T156"/>
  <c r="T129"/>
  <c r="T347"/>
  <c r="T66" i="56"/>
  <c r="G103" i="18"/>
  <c r="L99"/>
  <c r="T99" s="1"/>
  <c r="X99" s="1"/>
  <c r="AO471" i="9"/>
  <c r="G471"/>
  <c r="N471" s="1"/>
  <c r="T64" i="16"/>
  <c r="F519" i="66" s="1"/>
  <c r="D89" i="16"/>
  <c r="U31"/>
  <c r="S122" i="9"/>
  <c r="R72" i="56"/>
  <c r="S72"/>
  <c r="U72"/>
  <c r="P72"/>
  <c r="T72"/>
  <c r="N37"/>
  <c r="Q72"/>
  <c r="I87" i="16"/>
  <c r="AM72" i="56" s="1"/>
  <c r="T66" i="16"/>
  <c r="F521" i="66" s="1"/>
  <c r="U122" i="9"/>
  <c r="T328" s="1"/>
  <c r="AM327"/>
  <c r="AL979"/>
  <c r="AL347"/>
  <c r="AL129"/>
  <c r="AL147" s="1"/>
  <c r="AL66" i="56"/>
  <c r="AL328" i="9"/>
  <c r="AL156"/>
  <c r="AL158" s="1"/>
  <c r="AL125"/>
  <c r="AL327"/>
  <c r="U66" i="55"/>
  <c r="U68" s="1"/>
  <c r="U47" i="16"/>
  <c r="V55"/>
  <c r="O55"/>
  <c r="U32"/>
  <c r="U44"/>
  <c r="U64" s="1"/>
  <c r="G519" i="66" s="1"/>
  <c r="U45" i="16"/>
  <c r="AJ122" i="9"/>
  <c r="AK327" s="1"/>
  <c r="N143"/>
  <c r="V63" i="16"/>
  <c r="H518" i="66" s="1"/>
  <c r="AI122" i="9"/>
  <c r="E89" i="16"/>
  <c r="AC122" i="9"/>
  <c r="H88" i="16"/>
  <c r="N44" i="56"/>
  <c r="H51"/>
  <c r="J108" i="18"/>
  <c r="J432" s="1"/>
  <c r="J436" s="1"/>
  <c r="J316"/>
  <c r="J318" s="1"/>
  <c r="AM68" i="56"/>
  <c r="AM91"/>
  <c r="AM166" i="9"/>
  <c r="AM95" i="56" s="1"/>
  <c r="AK328" i="9"/>
  <c r="AK125"/>
  <c r="AK129"/>
  <c r="AK147" s="1"/>
  <c r="AK347"/>
  <c r="AK66" i="56"/>
  <c r="AK156" i="9"/>
  <c r="AK158" s="1"/>
  <c r="AK979"/>
  <c r="I51" i="56"/>
  <c r="I46"/>
  <c r="T63" i="16"/>
  <c r="F518" i="66" s="1"/>
  <c r="U50" i="16"/>
  <c r="AB122" i="9" s="1"/>
  <c r="AJ68" i="55"/>
  <c r="AJ84" s="1"/>
  <c r="U50" i="15"/>
  <c r="U32"/>
  <c r="U47"/>
  <c r="U41"/>
  <c r="U38"/>
  <c r="U43"/>
  <c r="U42"/>
  <c r="AN91" i="55"/>
  <c r="AN93" s="1"/>
  <c r="U46" i="15"/>
  <c r="U39"/>
  <c r="U48"/>
  <c r="U54"/>
  <c r="U53"/>
  <c r="U51"/>
  <c r="U33"/>
  <c r="U36"/>
  <c r="Z364" i="8" s="1"/>
  <c r="U44" i="15"/>
  <c r="U66" s="1"/>
  <c r="G508" i="66" s="1"/>
  <c r="U45" i="15"/>
  <c r="U37"/>
  <c r="U122" i="8"/>
  <c r="U979" s="1"/>
  <c r="O55" i="15"/>
  <c r="V69"/>
  <c r="H511" i="66" s="1"/>
  <c r="V58" i="60"/>
  <c r="V60" s="1"/>
  <c r="AK327" i="8"/>
  <c r="AL327"/>
  <c r="T67" i="15"/>
  <c r="F509" i="66" s="1"/>
  <c r="AM60" i="60"/>
  <c r="AM76" s="1"/>
  <c r="AK125" i="8"/>
  <c r="AK979"/>
  <c r="AJ979"/>
  <c r="AK328"/>
  <c r="AK347"/>
  <c r="AO347" s="1"/>
  <c r="AJ156"/>
  <c r="AJ158" s="1"/>
  <c r="AJ166" s="1"/>
  <c r="AJ95" i="55" s="1"/>
  <c r="AK129" i="8"/>
  <c r="AK147" s="1"/>
  <c r="AJ327"/>
  <c r="AO122"/>
  <c r="AO257" s="1"/>
  <c r="AJ125"/>
  <c r="T55" i="15"/>
  <c r="S66" i="55"/>
  <c r="S68" s="1"/>
  <c r="AP58" i="60"/>
  <c r="AK83"/>
  <c r="AK85" s="1"/>
  <c r="AK60"/>
  <c r="AK76" s="1"/>
  <c r="T62" i="15"/>
  <c r="F504" i="66" s="1"/>
  <c r="S122" i="8"/>
  <c r="T327" s="1"/>
  <c r="T58" i="60"/>
  <c r="T65" i="15"/>
  <c r="F507" i="66" s="1"/>
  <c r="P66" i="55"/>
  <c r="P68" s="1"/>
  <c r="R122" i="8"/>
  <c r="Q328" s="1"/>
  <c r="T64" i="15"/>
  <c r="F506" i="66" s="1"/>
  <c r="S58" i="60"/>
  <c r="AO83"/>
  <c r="AO85" s="1"/>
  <c r="AO60"/>
  <c r="AO76" s="1"/>
  <c r="AA91" i="10"/>
  <c r="AM87" i="60"/>
  <c r="AL95" i="55"/>
  <c r="AA90" i="10"/>
  <c r="R83" i="60"/>
  <c r="R85" s="1"/>
  <c r="R60"/>
  <c r="R76" s="1"/>
  <c r="Z122" i="8"/>
  <c r="U92" i="55"/>
  <c r="L72"/>
  <c r="U74"/>
  <c r="R92"/>
  <c r="I72"/>
  <c r="R74"/>
  <c r="V327" i="8"/>
  <c r="V328"/>
  <c r="V125"/>
  <c r="V156"/>
  <c r="V979"/>
  <c r="V129"/>
  <c r="V347"/>
  <c r="T68" i="55"/>
  <c r="T91"/>
  <c r="AI76" i="60"/>
  <c r="AC92" i="55"/>
  <c r="AC74"/>
  <c r="AD74"/>
  <c r="AD92"/>
  <c r="Q68"/>
  <c r="Q91"/>
  <c r="R91"/>
  <c r="R68"/>
  <c r="AH84"/>
  <c r="AO156" i="8"/>
  <c r="AH158"/>
  <c r="W72" i="55"/>
  <c r="G72"/>
  <c r="P74"/>
  <c r="P92"/>
  <c r="T979" i="8"/>
  <c r="T129"/>
  <c r="T328"/>
  <c r="T156"/>
  <c r="T347"/>
  <c r="T125"/>
  <c r="AK166"/>
  <c r="AI85" i="60"/>
  <c r="AE74" i="55"/>
  <c r="AE92"/>
  <c r="AO979" i="8"/>
  <c r="AM166"/>
  <c r="AM167" s="1"/>
  <c r="Q125"/>
  <c r="Q156"/>
  <c r="Q158" s="1"/>
  <c r="Q166" s="1"/>
  <c r="Q95" i="55" s="1"/>
  <c r="Q979" i="8"/>
  <c r="Q347"/>
  <c r="Q129"/>
  <c r="Q147" s="1"/>
  <c r="Q327"/>
  <c r="D333" i="34"/>
  <c r="D334"/>
  <c r="AC58" i="60"/>
  <c r="AB66" i="55"/>
  <c r="AB122" i="8"/>
  <c r="U65" i="15"/>
  <c r="G507" i="66" s="1"/>
  <c r="V83" i="60"/>
  <c r="AH147" i="8"/>
  <c r="V74" i="55"/>
  <c r="V92"/>
  <c r="M72"/>
  <c r="H72"/>
  <c r="Q74"/>
  <c r="Q92"/>
  <c r="U91"/>
  <c r="W60" i="60"/>
  <c r="W76" s="1"/>
  <c r="W83"/>
  <c r="W85" s="1"/>
  <c r="Y74" i="55"/>
  <c r="AF72"/>
  <c r="Y92"/>
  <c r="Z74"/>
  <c r="Z92"/>
  <c r="P979" i="8"/>
  <c r="P125"/>
  <c r="P347"/>
  <c r="P156"/>
  <c r="P158" s="1"/>
  <c r="P328"/>
  <c r="P129"/>
  <c r="P327"/>
  <c r="AH93" i="55"/>
  <c r="Q60" i="60"/>
  <c r="Q83"/>
  <c r="H46" i="55"/>
  <c r="M46"/>
  <c r="I46"/>
  <c r="K46"/>
  <c r="L46"/>
  <c r="J46"/>
  <c r="U156" i="8"/>
  <c r="U158" s="1"/>
  <c r="U166" s="1"/>
  <c r="U167" s="1"/>
  <c r="U125"/>
  <c r="U347"/>
  <c r="AN166"/>
  <c r="AN167" s="1"/>
  <c r="AO285"/>
  <c r="S92" i="55"/>
  <c r="J72"/>
  <c r="S74"/>
  <c r="T74"/>
  <c r="T92"/>
  <c r="K72"/>
  <c r="V91"/>
  <c r="V68"/>
  <c r="U60" i="60"/>
  <c r="U76" s="1"/>
  <c r="U83"/>
  <c r="U85" s="1"/>
  <c r="AB92" i="55"/>
  <c r="AB74"/>
  <c r="AA74"/>
  <c r="AA92"/>
  <c r="AA66"/>
  <c r="AW888" i="8"/>
  <c r="AW889" s="1"/>
  <c r="AW861"/>
  <c r="AX667" i="9"/>
  <c r="AQ668"/>
  <c r="AT888" i="8"/>
  <c r="AT889" s="1"/>
  <c r="AT861"/>
  <c r="AU861"/>
  <c r="AU888"/>
  <c r="AU889" s="1"/>
  <c r="AJ363"/>
  <c r="AK363"/>
  <c r="AM363"/>
  <c r="AL363"/>
  <c r="AI363"/>
  <c r="AN363"/>
  <c r="AH363"/>
  <c r="AR888"/>
  <c r="AR889" s="1"/>
  <c r="AR861"/>
  <c r="P363"/>
  <c r="V363"/>
  <c r="R363"/>
  <c r="S363"/>
  <c r="U363"/>
  <c r="Q363"/>
  <c r="T363"/>
  <c r="AS861"/>
  <c r="AS888"/>
  <c r="AS889" s="1"/>
  <c r="AV861"/>
  <c r="AV888"/>
  <c r="AV889" s="1"/>
  <c r="S539" i="19"/>
  <c r="J205" i="26"/>
  <c r="N551" i="19"/>
  <c r="N555" s="1"/>
  <c r="AQ668" i="8"/>
  <c r="AX667"/>
  <c r="R979" i="9" l="1"/>
  <c r="AH979"/>
  <c r="AJ74" i="56"/>
  <c r="AH327" i="9"/>
  <c r="AD122"/>
  <c r="U64" i="15"/>
  <c r="G506" i="66" s="1"/>
  <c r="AO270" i="8"/>
  <c r="U129"/>
  <c r="U147" s="1"/>
  <c r="AO91" i="55"/>
  <c r="Z66"/>
  <c r="H66" s="1"/>
  <c r="AA122" i="8"/>
  <c r="AA156" s="1"/>
  <c r="U66" i="56"/>
  <c r="U91" s="1"/>
  <c r="Z72"/>
  <c r="Z74" s="1"/>
  <c r="AH125" i="9"/>
  <c r="AH66" i="56"/>
  <c r="AH91" s="1"/>
  <c r="U328" i="8"/>
  <c r="AH156" i="9"/>
  <c r="AM328"/>
  <c r="AD66" i="55"/>
  <c r="L66" s="1"/>
  <c r="U63" i="15"/>
  <c r="G505" i="66" s="1"/>
  <c r="AB347" i="9"/>
  <c r="AB156"/>
  <c r="AB158" s="1"/>
  <c r="AB129"/>
  <c r="AB147" s="1"/>
  <c r="AB66" i="56"/>
  <c r="AB125" i="9"/>
  <c r="AB328"/>
  <c r="AB979"/>
  <c r="Y92" i="56"/>
  <c r="Y74"/>
  <c r="I54"/>
  <c r="AC80"/>
  <c r="AD80"/>
  <c r="AA80"/>
  <c r="AB80"/>
  <c r="Y80"/>
  <c r="Z80"/>
  <c r="AK91"/>
  <c r="AK93" s="1"/>
  <c r="AK68"/>
  <c r="AK84" s="1"/>
  <c r="H54"/>
  <c r="T80"/>
  <c r="P80"/>
  <c r="S80"/>
  <c r="J80" s="1"/>
  <c r="R80"/>
  <c r="N51"/>
  <c r="U80"/>
  <c r="Q80"/>
  <c r="AI125" i="9"/>
  <c r="AI156"/>
  <c r="AI158" s="1"/>
  <c r="AI66" i="56"/>
  <c r="AI327" i="9"/>
  <c r="AI328"/>
  <c r="AI129"/>
  <c r="AI147" s="1"/>
  <c r="AI347"/>
  <c r="AI979"/>
  <c r="AL68" i="56"/>
  <c r="AL84" s="1"/>
  <c r="AL91"/>
  <c r="AL93" s="1"/>
  <c r="H72"/>
  <c r="Q74"/>
  <c r="Q92"/>
  <c r="U92"/>
  <c r="U74"/>
  <c r="T327" i="9"/>
  <c r="S327"/>
  <c r="S156"/>
  <c r="S125"/>
  <c r="S66" i="56"/>
  <c r="S347" i="9"/>
  <c r="S129"/>
  <c r="S979"/>
  <c r="S328"/>
  <c r="J122"/>
  <c r="U328"/>
  <c r="P979"/>
  <c r="W122"/>
  <c r="W257" s="1"/>
  <c r="P328"/>
  <c r="P327"/>
  <c r="P129"/>
  <c r="P125"/>
  <c r="P347"/>
  <c r="P66" i="56"/>
  <c r="P156" i="9"/>
  <c r="W300"/>
  <c r="AA92" i="56"/>
  <c r="AA74"/>
  <c r="AD327" i="9"/>
  <c r="AD979"/>
  <c r="AD125"/>
  <c r="AD66" i="56"/>
  <c r="L66" s="1"/>
  <c r="AD129" i="9"/>
  <c r="AD147" s="1"/>
  <c r="AD156"/>
  <c r="AD158" s="1"/>
  <c r="AD347"/>
  <c r="Q125"/>
  <c r="Q328"/>
  <c r="Q129"/>
  <c r="Q347"/>
  <c r="Q979"/>
  <c r="Q327"/>
  <c r="Q66" i="56"/>
  <c r="Q156" i="9"/>
  <c r="AK87" i="60"/>
  <c r="AC122" i="8"/>
  <c r="K122" s="1"/>
  <c r="N153" i="55" s="1"/>
  <c r="N181" s="1"/>
  <c r="N194" s="1"/>
  <c r="G88" i="16"/>
  <c r="F88"/>
  <c r="AK166" i="9"/>
  <c r="AK95" i="56" s="1"/>
  <c r="K122" i="9"/>
  <c r="AC979"/>
  <c r="AC125"/>
  <c r="K125" s="1"/>
  <c r="AC129"/>
  <c r="AC147" s="1"/>
  <c r="AC156"/>
  <c r="AC158" s="1"/>
  <c r="AC347"/>
  <c r="AC66" i="56"/>
  <c r="AC328" i="9"/>
  <c r="AC327"/>
  <c r="AJ156"/>
  <c r="AJ158" s="1"/>
  <c r="AJ979"/>
  <c r="AJ347"/>
  <c r="AO347" s="1"/>
  <c r="AJ125"/>
  <c r="AJ328"/>
  <c r="AJ66" i="56"/>
  <c r="AJ327" i="9"/>
  <c r="AJ129"/>
  <c r="AJ147" s="1"/>
  <c r="AM92" i="56"/>
  <c r="AM93" s="1"/>
  <c r="AM74"/>
  <c r="AM84" s="1"/>
  <c r="W72"/>
  <c r="P92"/>
  <c r="P74"/>
  <c r="L103" i="18"/>
  <c r="T103" s="1"/>
  <c r="X103" s="1"/>
  <c r="G105"/>
  <c r="G330"/>
  <c r="T147" i="9"/>
  <c r="T67" i="16"/>
  <c r="F522" i="66" s="1"/>
  <c r="F517"/>
  <c r="AB92" i="56"/>
  <c r="AB74"/>
  <c r="R147" i="9"/>
  <c r="AI74" i="56"/>
  <c r="AI92"/>
  <c r="AH328" i="9"/>
  <c r="R328"/>
  <c r="V67" i="16"/>
  <c r="H522" i="66" s="1"/>
  <c r="AL166" i="9"/>
  <c r="AL95" i="56" s="1"/>
  <c r="T92"/>
  <c r="T74"/>
  <c r="K72"/>
  <c r="R92"/>
  <c r="I72"/>
  <c r="R74"/>
  <c r="AH158" i="9"/>
  <c r="R158"/>
  <c r="AM167"/>
  <c r="U65" i="16"/>
  <c r="G520" i="66" s="1"/>
  <c r="K89" i="16"/>
  <c r="AD72" i="56"/>
  <c r="AA122" i="9"/>
  <c r="Z328" s="1"/>
  <c r="R327"/>
  <c r="H46" i="56"/>
  <c r="L46"/>
  <c r="K46"/>
  <c r="J46"/>
  <c r="M46"/>
  <c r="U979" i="9"/>
  <c r="U125"/>
  <c r="U347"/>
  <c r="U156"/>
  <c r="U327"/>
  <c r="U129"/>
  <c r="L122"/>
  <c r="U124"/>
  <c r="S74" i="56"/>
  <c r="S92"/>
  <c r="J72"/>
  <c r="D88" i="16"/>
  <c r="U62"/>
  <c r="U55"/>
  <c r="Y122" i="9"/>
  <c r="G122" s="1"/>
  <c r="T91" i="56"/>
  <c r="K66"/>
  <c r="T68"/>
  <c r="T158" i="9"/>
  <c r="K87" i="16"/>
  <c r="AH72" i="56"/>
  <c r="G72" s="1"/>
  <c r="AC74"/>
  <c r="AC92"/>
  <c r="H122" i="9"/>
  <c r="Z125"/>
  <c r="Z156"/>
  <c r="Z158" s="1"/>
  <c r="Z979"/>
  <c r="Z347"/>
  <c r="Z129"/>
  <c r="Z147" s="1"/>
  <c r="Z66" i="56"/>
  <c r="AH147" i="9"/>
  <c r="R68" i="56"/>
  <c r="R91"/>
  <c r="AO122" i="9"/>
  <c r="AO272" s="1"/>
  <c r="AO268" i="8"/>
  <c r="AJ124"/>
  <c r="AC66" i="55"/>
  <c r="K66" s="1"/>
  <c r="AO264" i="8"/>
  <c r="AH124"/>
  <c r="AO272"/>
  <c r="AO68" i="55"/>
  <c r="AO280" i="8"/>
  <c r="AE364"/>
  <c r="AI124"/>
  <c r="AK124"/>
  <c r="AO274"/>
  <c r="AO251"/>
  <c r="AO84" i="55"/>
  <c r="AO278" i="8"/>
  <c r="Y122"/>
  <c r="U67" i="15"/>
  <c r="G509" i="66" s="1"/>
  <c r="AO147" i="8"/>
  <c r="U62" i="15"/>
  <c r="G504" i="66" s="1"/>
  <c r="AF58" i="60"/>
  <c r="M58" s="1"/>
  <c r="Z58"/>
  <c r="Z83" s="1"/>
  <c r="AE122" i="8"/>
  <c r="Y66" i="55"/>
  <c r="G66" s="1"/>
  <c r="U55" i="15"/>
  <c r="T69"/>
  <c r="F511" i="66" s="1"/>
  <c r="AB58" i="60"/>
  <c r="AO276" i="8"/>
  <c r="AA364"/>
  <c r="AD122"/>
  <c r="L122" s="1"/>
  <c r="L1039" s="1"/>
  <c r="Y364"/>
  <c r="AD58" i="60"/>
  <c r="K58" s="1"/>
  <c r="K74" i="55"/>
  <c r="AO129" i="8"/>
  <c r="U68" i="15"/>
  <c r="G510" i="66" s="1"/>
  <c r="AE58" i="60"/>
  <c r="AE60" s="1"/>
  <c r="AE76" s="1"/>
  <c r="AE66" i="55"/>
  <c r="M66" s="1"/>
  <c r="AD364" i="8"/>
  <c r="AJ167"/>
  <c r="AC364"/>
  <c r="AO287"/>
  <c r="AO255"/>
  <c r="AN124"/>
  <c r="U327"/>
  <c r="AO93" i="55"/>
  <c r="AA58" i="60"/>
  <c r="H58" s="1"/>
  <c r="AO282" i="8"/>
  <c r="AL124"/>
  <c r="AM124"/>
  <c r="Q167"/>
  <c r="U84" i="55"/>
  <c r="W66"/>
  <c r="J66"/>
  <c r="AP85" i="60"/>
  <c r="S328" i="8"/>
  <c r="P91" i="55"/>
  <c r="P93" s="1"/>
  <c r="S91"/>
  <c r="S93" s="1"/>
  <c r="AP83" i="60"/>
  <c r="V84" i="55"/>
  <c r="W122" i="8"/>
  <c r="W274" s="1"/>
  <c r="V93" i="55"/>
  <c r="R327" i="8"/>
  <c r="T60" i="60"/>
  <c r="T76" s="1"/>
  <c r="T83"/>
  <c r="T85" s="1"/>
  <c r="S83"/>
  <c r="S85" s="1"/>
  <c r="S60"/>
  <c r="S76" s="1"/>
  <c r="AP76"/>
  <c r="R125" i="8"/>
  <c r="R129"/>
  <c r="R147" s="1"/>
  <c r="R979"/>
  <c r="R347"/>
  <c r="R328"/>
  <c r="R156"/>
  <c r="R158" s="1"/>
  <c r="R166" s="1"/>
  <c r="F333" i="34"/>
  <c r="S327" i="8"/>
  <c r="S156"/>
  <c r="S158" s="1"/>
  <c r="S166" s="1"/>
  <c r="S979"/>
  <c r="F334" i="34"/>
  <c r="S125" i="8"/>
  <c r="S129"/>
  <c r="S147" s="1"/>
  <c r="S347"/>
  <c r="K92" i="55"/>
  <c r="X58" i="60"/>
  <c r="AP60"/>
  <c r="U95" i="55"/>
  <c r="R87" i="60"/>
  <c r="S84" i="55"/>
  <c r="V87" i="60"/>
  <c r="D335" i="34"/>
  <c r="L92" i="55"/>
  <c r="AA68"/>
  <c r="AA84" s="1"/>
  <c r="AA91"/>
  <c r="AA93" s="1"/>
  <c r="AN95"/>
  <c r="AO87" i="60"/>
  <c r="AE156" i="8"/>
  <c r="AE158" s="1"/>
  <c r="AE166" s="1"/>
  <c r="AE125"/>
  <c r="M125" s="1"/>
  <c r="AE347"/>
  <c r="AE129"/>
  <c r="AE147" s="1"/>
  <c r="AE979"/>
  <c r="M979" s="1"/>
  <c r="AB327"/>
  <c r="AB125"/>
  <c r="AB347"/>
  <c r="AB129"/>
  <c r="AB156"/>
  <c r="AB979"/>
  <c r="J122"/>
  <c r="K347"/>
  <c r="T158"/>
  <c r="G74" i="55"/>
  <c r="W74"/>
  <c r="R84"/>
  <c r="Q93"/>
  <c r="AC979" i="8"/>
  <c r="K979" s="1"/>
  <c r="AC347"/>
  <c r="V147"/>
  <c r="AA327"/>
  <c r="E335" i="34"/>
  <c r="AD979" i="8"/>
  <c r="L979" s="1"/>
  <c r="J74" i="55"/>
  <c r="AF92"/>
  <c r="Y129" i="8"/>
  <c r="Y125"/>
  <c r="G125" s="1"/>
  <c r="Y156"/>
  <c r="Y347"/>
  <c r="Y979"/>
  <c r="G122"/>
  <c r="P166"/>
  <c r="U93" i="55"/>
  <c r="AN87" i="60"/>
  <c r="AM95" i="55"/>
  <c r="AL87" i="60"/>
  <c r="AK95" i="55"/>
  <c r="W92"/>
  <c r="G92"/>
  <c r="AH166" i="8"/>
  <c r="AO158"/>
  <c r="V158"/>
  <c r="Z129"/>
  <c r="Z327"/>
  <c r="Z156"/>
  <c r="H122"/>
  <c r="Z979"/>
  <c r="H979" s="1"/>
  <c r="Z347"/>
  <c r="Z125"/>
  <c r="H125" s="1"/>
  <c r="T93" i="55"/>
  <c r="I74"/>
  <c r="Q76" i="60"/>
  <c r="V85"/>
  <c r="J58"/>
  <c r="AC60"/>
  <c r="AC83"/>
  <c r="R93" i="55"/>
  <c r="AF83" i="60"/>
  <c r="W68" i="55"/>
  <c r="P84"/>
  <c r="J92"/>
  <c r="AF74"/>
  <c r="H74"/>
  <c r="M74"/>
  <c r="AK167" i="8"/>
  <c r="L74" i="55"/>
  <c r="Q85" i="60"/>
  <c r="P147" i="8"/>
  <c r="V76" i="60"/>
  <c r="AB68" i="55"/>
  <c r="AB91"/>
  <c r="T147" i="8"/>
  <c r="T84" i="55"/>
  <c r="AE91"/>
  <c r="AE68"/>
  <c r="AB60" i="60"/>
  <c r="I58"/>
  <c r="AB83"/>
  <c r="Z68" i="55"/>
  <c r="Z91"/>
  <c r="Z93" s="1"/>
  <c r="N46"/>
  <c r="H92"/>
  <c r="M92"/>
  <c r="Q124" i="8"/>
  <c r="N72" i="55"/>
  <c r="I66"/>
  <c r="Q84"/>
  <c r="M122" i="8"/>
  <c r="I92" i="55"/>
  <c r="H214" i="26"/>
  <c r="H217" s="1"/>
  <c r="H219" s="1"/>
  <c r="I214"/>
  <c r="AQ715" i="8"/>
  <c r="AX668"/>
  <c r="AX669" s="1"/>
  <c r="AQ669"/>
  <c r="N562" i="19"/>
  <c r="AQ715" i="9"/>
  <c r="AX668"/>
  <c r="AX669" s="1"/>
  <c r="AQ669"/>
  <c r="Z92" i="56" l="1"/>
  <c r="W282" i="9"/>
  <c r="I92" i="56"/>
  <c r="W240" i="9"/>
  <c r="W242"/>
  <c r="W278"/>
  <c r="AO147"/>
  <c r="AO979"/>
  <c r="Q124"/>
  <c r="W280"/>
  <c r="I74" i="56"/>
  <c r="W299" i="9"/>
  <c r="W306"/>
  <c r="P124"/>
  <c r="W244"/>
  <c r="W246"/>
  <c r="W245"/>
  <c r="AA83" i="60"/>
  <c r="W276" i="9"/>
  <c r="W255"/>
  <c r="W287"/>
  <c r="AE328" i="8"/>
  <c r="W241" i="9"/>
  <c r="W239"/>
  <c r="W285"/>
  <c r="AK167"/>
  <c r="S124" i="8"/>
  <c r="AD125"/>
  <c r="L125" s="1"/>
  <c r="AE327"/>
  <c r="W251" i="9"/>
  <c r="W272"/>
  <c r="W270"/>
  <c r="W264"/>
  <c r="AD68" i="55"/>
  <c r="AD91"/>
  <c r="AD93" s="1"/>
  <c r="AA328" i="8"/>
  <c r="AA347"/>
  <c r="AC156"/>
  <c r="AC158" s="1"/>
  <c r="AC166" s="1"/>
  <c r="U69" i="15"/>
  <c r="G511" i="66" s="1"/>
  <c r="AB328" i="8"/>
  <c r="F335" i="34"/>
  <c r="H125" i="9"/>
  <c r="T32" i="10"/>
  <c r="Y68" i="55"/>
  <c r="AA125" i="8"/>
  <c r="AA979"/>
  <c r="I979" s="1"/>
  <c r="AC129"/>
  <c r="AC147" s="1"/>
  <c r="K32" i="10" s="1"/>
  <c r="K1039" i="8"/>
  <c r="AH68" i="56"/>
  <c r="Z328" i="8"/>
  <c r="I122"/>
  <c r="N122" s="1"/>
  <c r="J124" s="1"/>
  <c r="AA129"/>
  <c r="AC125"/>
  <c r="K125" s="1"/>
  <c r="D134" i="66" s="1"/>
  <c r="AC327" i="8"/>
  <c r="G335" i="34"/>
  <c r="J74" i="56"/>
  <c r="W268" i="9"/>
  <c r="AF66" i="55"/>
  <c r="AD83" i="60"/>
  <c r="AD85" s="1"/>
  <c r="K85" s="1"/>
  <c r="I68" i="55"/>
  <c r="K156" i="9"/>
  <c r="K88" i="16"/>
  <c r="AO156" i="9"/>
  <c r="U68" i="56"/>
  <c r="I80"/>
  <c r="AC68" i="55"/>
  <c r="AC84" s="1"/>
  <c r="Y91"/>
  <c r="G91" s="1"/>
  <c r="L58" i="60"/>
  <c r="AO129" i="9"/>
  <c r="AC91" i="55"/>
  <c r="AG58" i="60"/>
  <c r="AE83"/>
  <c r="AE85" s="1"/>
  <c r="AD60"/>
  <c r="AD76" s="1"/>
  <c r="W251" i="8"/>
  <c r="Z327" i="9"/>
  <c r="K129"/>
  <c r="K147" s="1"/>
  <c r="L80" i="56"/>
  <c r="C335" i="34"/>
  <c r="AF60" i="60"/>
  <c r="M60" s="1"/>
  <c r="M76" s="1"/>
  <c r="M78" s="1"/>
  <c r="M93" s="1"/>
  <c r="M94" s="1"/>
  <c r="Y328" i="8"/>
  <c r="Y327"/>
  <c r="J92" i="56"/>
  <c r="K74"/>
  <c r="H80"/>
  <c r="G347" i="9"/>
  <c r="N149" i="56"/>
  <c r="AM124" i="9"/>
  <c r="AN124"/>
  <c r="AK124"/>
  <c r="AL124"/>
  <c r="AH124"/>
  <c r="Z91" i="56"/>
  <c r="Z68"/>
  <c r="Z84" s="1"/>
  <c r="Z166" i="9"/>
  <c r="Z95" i="56" s="1"/>
  <c r="Z167" i="9"/>
  <c r="T93" i="56"/>
  <c r="U158" i="9"/>
  <c r="L156"/>
  <c r="AD92" i="56"/>
  <c r="L92" s="1"/>
  <c r="AD74"/>
  <c r="I135" i="66"/>
  <c r="AJ68" i="56"/>
  <c r="AJ84" s="1"/>
  <c r="AJ91"/>
  <c r="AJ93" s="1"/>
  <c r="H66"/>
  <c r="Q91"/>
  <c r="Q68"/>
  <c r="Q147" i="9"/>
  <c r="Q32" i="10" s="1"/>
  <c r="H129" i="9"/>
  <c r="H147" s="1"/>
  <c r="AD91" i="56"/>
  <c r="L91" s="1"/>
  <c r="AD68"/>
  <c r="N152"/>
  <c r="N180" s="1"/>
  <c r="N193" s="1"/>
  <c r="J347" i="9"/>
  <c r="S147"/>
  <c r="S32" i="10" s="1"/>
  <c r="J129" i="9"/>
  <c r="J147" s="1"/>
  <c r="S158"/>
  <c r="J156"/>
  <c r="N46" i="56"/>
  <c r="AO287" i="9"/>
  <c r="AO251"/>
  <c r="AO278"/>
  <c r="AD328"/>
  <c r="AO66" i="56"/>
  <c r="W347" i="9"/>
  <c r="J125"/>
  <c r="R84" i="56"/>
  <c r="N150"/>
  <c r="N178" s="1"/>
  <c r="N191" s="1"/>
  <c r="H347" i="9"/>
  <c r="G517" i="66"/>
  <c r="U67" i="16"/>
  <c r="G522" i="66" s="1"/>
  <c r="AA156" i="9"/>
  <c r="AA125"/>
  <c r="I125" s="1"/>
  <c r="AA66" i="56"/>
  <c r="AA347" i="9"/>
  <c r="AA979"/>
  <c r="AA129"/>
  <c r="AA327"/>
  <c r="AA328"/>
  <c r="I122"/>
  <c r="AH166"/>
  <c r="AO158"/>
  <c r="AU148"/>
  <c r="K149"/>
  <c r="K184" s="1"/>
  <c r="W74" i="56"/>
  <c r="AC166" i="9"/>
  <c r="AC95" i="56" s="1"/>
  <c r="K347" i="9"/>
  <c r="N153" i="56"/>
  <c r="N181" s="1"/>
  <c r="N194" s="1"/>
  <c r="Q158" i="9"/>
  <c r="H156"/>
  <c r="W66" i="56"/>
  <c r="P68"/>
  <c r="P91"/>
  <c r="AB166" i="9"/>
  <c r="AB95" i="56" s="1"/>
  <c r="AO270" i="9"/>
  <c r="AO264"/>
  <c r="AO282"/>
  <c r="L74" i="56"/>
  <c r="H74"/>
  <c r="AI124" i="9"/>
  <c r="N54" i="56"/>
  <c r="N56" s="1"/>
  <c r="AF80"/>
  <c r="AF72"/>
  <c r="AH74"/>
  <c r="AO74" s="1"/>
  <c r="AH92"/>
  <c r="AO92" s="1"/>
  <c r="AO72"/>
  <c r="T84"/>
  <c r="U147" i="9"/>
  <c r="U32" i="10" s="1"/>
  <c r="L129" i="9"/>
  <c r="L147" s="1"/>
  <c r="L105" i="18"/>
  <c r="T105" s="1"/>
  <c r="X105" s="1"/>
  <c r="G316"/>
  <c r="G108"/>
  <c r="U93" i="56"/>
  <c r="AD166" i="9"/>
  <c r="AD95" i="56" s="1"/>
  <c r="W156" i="9"/>
  <c r="P158"/>
  <c r="P147"/>
  <c r="W129"/>
  <c r="S68" i="56"/>
  <c r="S91"/>
  <c r="AI166" i="9"/>
  <c r="AI95" i="56" s="1"/>
  <c r="AO280" i="9"/>
  <c r="AO257"/>
  <c r="AL167"/>
  <c r="AO274"/>
  <c r="W979"/>
  <c r="H92" i="56"/>
  <c r="K80"/>
  <c r="R93"/>
  <c r="I132" i="66"/>
  <c r="T166" i="9"/>
  <c r="K158"/>
  <c r="Y327"/>
  <c r="AF122"/>
  <c r="AF270" s="1"/>
  <c r="Y129"/>
  <c r="Y347"/>
  <c r="Y66" i="56"/>
  <c r="Y125" i="9"/>
  <c r="G125" s="1"/>
  <c r="Y979"/>
  <c r="Y156"/>
  <c r="Y328"/>
  <c r="AF264"/>
  <c r="L347"/>
  <c r="N154" i="56"/>
  <c r="N182" s="1"/>
  <c r="N195" s="1"/>
  <c r="R166" i="9"/>
  <c r="L330" i="18"/>
  <c r="T330" s="1"/>
  <c r="X330" s="1"/>
  <c r="G332"/>
  <c r="L332" s="1"/>
  <c r="T332" s="1"/>
  <c r="X332" s="1"/>
  <c r="L68" i="56"/>
  <c r="U84"/>
  <c r="W92"/>
  <c r="AJ166" i="9"/>
  <c r="AJ95" i="56" s="1"/>
  <c r="AC68"/>
  <c r="AC84" s="1"/>
  <c r="AC91"/>
  <c r="AC93" s="1"/>
  <c r="W274" i="9"/>
  <c r="V124"/>
  <c r="R124"/>
  <c r="T124"/>
  <c r="AI91" i="56"/>
  <c r="AI93" s="1"/>
  <c r="AI68"/>
  <c r="AI84" s="1"/>
  <c r="G80"/>
  <c r="W80"/>
  <c r="J66"/>
  <c r="AB91"/>
  <c r="AB93" s="1"/>
  <c r="AB68"/>
  <c r="AB84" s="1"/>
  <c r="W979" i="8"/>
  <c r="AO276" i="9"/>
  <c r="AO285"/>
  <c r="K92" i="56"/>
  <c r="AO255" i="9"/>
  <c r="AJ124"/>
  <c r="L125"/>
  <c r="S124"/>
  <c r="L72" i="56"/>
  <c r="N72" s="1"/>
  <c r="AF74"/>
  <c r="AB327" i="9"/>
  <c r="Z60" i="60"/>
  <c r="Z76" s="1"/>
  <c r="N154" i="55"/>
  <c r="N182" s="1"/>
  <c r="N195" s="1"/>
  <c r="AA60" i="60"/>
  <c r="AA76" s="1"/>
  <c r="AD328" i="8"/>
  <c r="AD347"/>
  <c r="AC328"/>
  <c r="G58" i="60"/>
  <c r="O58" s="1"/>
  <c r="L347" i="8"/>
  <c r="AF122"/>
  <c r="AF241" s="1"/>
  <c r="AD327"/>
  <c r="AD129"/>
  <c r="AF129" s="1"/>
  <c r="AD156"/>
  <c r="AD158" s="1"/>
  <c r="AO124"/>
  <c r="W91" i="55"/>
  <c r="I125" i="8"/>
  <c r="D132" i="66" s="1"/>
  <c r="W156" i="8"/>
  <c r="J979"/>
  <c r="W129"/>
  <c r="X83" i="60"/>
  <c r="I91" i="55"/>
  <c r="L85" i="60"/>
  <c r="W347" i="8"/>
  <c r="I93" i="55"/>
  <c r="W299" i="8"/>
  <c r="J125"/>
  <c r="D133" i="66" s="1"/>
  <c r="W257" i="8"/>
  <c r="W255"/>
  <c r="W268"/>
  <c r="X60" i="60"/>
  <c r="W276" i="8"/>
  <c r="W272"/>
  <c r="S167"/>
  <c r="T87" i="60"/>
  <c r="S95" i="55"/>
  <c r="W264" i="8"/>
  <c r="W278" s="1"/>
  <c r="W241"/>
  <c r="W287"/>
  <c r="W300"/>
  <c r="W239"/>
  <c r="W245"/>
  <c r="W285"/>
  <c r="W306"/>
  <c r="R167"/>
  <c r="S87" i="60"/>
  <c r="R95" i="55"/>
  <c r="T124" i="8"/>
  <c r="W242"/>
  <c r="P124"/>
  <c r="W270"/>
  <c r="W280"/>
  <c r="W244"/>
  <c r="V124"/>
  <c r="R124"/>
  <c r="W240"/>
  <c r="W282"/>
  <c r="W246"/>
  <c r="U124"/>
  <c r="L60" i="60"/>
  <c r="L76" s="1"/>
  <c r="L78" s="1"/>
  <c r="L93" s="1"/>
  <c r="L94" s="1"/>
  <c r="M156" i="8"/>
  <c r="M129"/>
  <c r="M147" s="1"/>
  <c r="M149" s="1"/>
  <c r="M32" i="10"/>
  <c r="X76" i="60"/>
  <c r="X85"/>
  <c r="W93" i="55"/>
  <c r="K68"/>
  <c r="K84" s="1"/>
  <c r="K86" s="1"/>
  <c r="K102" s="1"/>
  <c r="W147" i="8"/>
  <c r="L83" i="60"/>
  <c r="M347" i="8"/>
  <c r="M1039"/>
  <c r="N155" i="55"/>
  <c r="N183" s="1"/>
  <c r="N196" s="1"/>
  <c r="AB85" i="60"/>
  <c r="I85" s="1"/>
  <c r="I83"/>
  <c r="AB84" i="55"/>
  <c r="J68"/>
  <c r="J84" s="1"/>
  <c r="J86" s="1"/>
  <c r="J102" s="1"/>
  <c r="J103" s="1"/>
  <c r="D135" i="66"/>
  <c r="AH167" i="8"/>
  <c r="AO167" s="1"/>
  <c r="C120" i="41" s="1"/>
  <c r="AO166" i="8"/>
  <c r="AH95" i="55"/>
  <c r="AO95" s="1"/>
  <c r="AI87" i="60"/>
  <c r="AP87" s="1"/>
  <c r="AF276" i="8"/>
  <c r="H60" i="60"/>
  <c r="H76" s="1"/>
  <c r="H78" s="1"/>
  <c r="H93" s="1"/>
  <c r="H94" s="1"/>
  <c r="J1039" i="8"/>
  <c r="J347"/>
  <c r="N152" i="55"/>
  <c r="N180" s="1"/>
  <c r="N193" s="1"/>
  <c r="H91"/>
  <c r="N74"/>
  <c r="D130" i="66"/>
  <c r="L68" i="55"/>
  <c r="L84" s="1"/>
  <c r="L86" s="1"/>
  <c r="L102" s="1"/>
  <c r="L103" s="1"/>
  <c r="AD84"/>
  <c r="AE93"/>
  <c r="M93" s="1"/>
  <c r="M91"/>
  <c r="AC93"/>
  <c r="K93" s="1"/>
  <c r="K91"/>
  <c r="AB93"/>
  <c r="J93" s="1"/>
  <c r="J91"/>
  <c r="G68"/>
  <c r="Y84"/>
  <c r="AF68"/>
  <c r="H156" i="8"/>
  <c r="Z158"/>
  <c r="G156"/>
  <c r="Y158"/>
  <c r="H83" i="60"/>
  <c r="AA85"/>
  <c r="H85" s="1"/>
  <c r="AC167" i="8"/>
  <c r="AC95" i="55"/>
  <c r="AD87" i="60"/>
  <c r="AB147" i="8"/>
  <c r="J32" i="10" s="1"/>
  <c r="J129" i="8"/>
  <c r="J147" s="1"/>
  <c r="AE167"/>
  <c r="AE95" i="55"/>
  <c r="AF87" i="60"/>
  <c r="W84" i="55"/>
  <c r="L93"/>
  <c r="H93"/>
  <c r="I60" i="60"/>
  <c r="I76" s="1"/>
  <c r="I78" s="1"/>
  <c r="I93" s="1"/>
  <c r="AB76"/>
  <c r="AE84" i="55"/>
  <c r="M68"/>
  <c r="M84" s="1"/>
  <c r="M86" s="1"/>
  <c r="M102" s="1"/>
  <c r="J60" i="60"/>
  <c r="J76" s="1"/>
  <c r="J78" s="1"/>
  <c r="J93" s="1"/>
  <c r="J94" s="1"/>
  <c r="AC76"/>
  <c r="D131" i="66"/>
  <c r="H347" i="8"/>
  <c r="H1039"/>
  <c r="N150" i="55"/>
  <c r="N178" s="1"/>
  <c r="N191" s="1"/>
  <c r="N149"/>
  <c r="G347" i="8"/>
  <c r="G1039"/>
  <c r="D136" i="66"/>
  <c r="L129" i="8"/>
  <c r="L147" s="1"/>
  <c r="I156"/>
  <c r="AA158"/>
  <c r="J156"/>
  <c r="AB158"/>
  <c r="I84" i="55"/>
  <c r="I86" s="1"/>
  <c r="I102" s="1"/>
  <c r="I103" s="1"/>
  <c r="K156" i="8"/>
  <c r="Z84" i="55"/>
  <c r="H68"/>
  <c r="H84" s="1"/>
  <c r="H86" s="1"/>
  <c r="H102" s="1"/>
  <c r="H103" s="1"/>
  <c r="AF85" i="60"/>
  <c r="M85" s="1"/>
  <c r="M83"/>
  <c r="J83"/>
  <c r="AC85"/>
  <c r="J85" s="1"/>
  <c r="Z85"/>
  <c r="G83"/>
  <c r="H129" i="8"/>
  <c r="H147" s="1"/>
  <c r="AR148" s="1"/>
  <c r="Z147"/>
  <c r="H32" i="10" s="1"/>
  <c r="W158" i="8"/>
  <c r="M158"/>
  <c r="V166"/>
  <c r="P167"/>
  <c r="Q87" i="60"/>
  <c r="P95" i="55"/>
  <c r="G979" i="8"/>
  <c r="AF979"/>
  <c r="G129"/>
  <c r="Y147"/>
  <c r="I347"/>
  <c r="I1039"/>
  <c r="I129"/>
  <c r="I147" s="1"/>
  <c r="AA147"/>
  <c r="I32" i="10" s="1"/>
  <c r="T166" i="8"/>
  <c r="K158"/>
  <c r="N66" i="55"/>
  <c r="N92"/>
  <c r="AX715" i="9"/>
  <c r="AQ716"/>
  <c r="AQ716" i="8"/>
  <c r="AX715"/>
  <c r="I217" i="26"/>
  <c r="I219" s="1"/>
  <c r="I222" s="1"/>
  <c r="I223" s="1"/>
  <c r="J261" i="7"/>
  <c r="H222" i="26"/>
  <c r="Z93" i="56" l="1"/>
  <c r="AF300" i="8"/>
  <c r="AF282"/>
  <c r="AF251" i="9"/>
  <c r="AF285"/>
  <c r="AH84" i="56"/>
  <c r="AO84" s="1"/>
  <c r="AD147" i="8"/>
  <c r="L32" i="10" s="1"/>
  <c r="AD84" i="56"/>
  <c r="L84" s="1"/>
  <c r="L86" s="1"/>
  <c r="L102" s="1"/>
  <c r="AF347" i="8"/>
  <c r="N80" i="56"/>
  <c r="K84"/>
  <c r="K86" s="1"/>
  <c r="K102" s="1"/>
  <c r="K103" s="1"/>
  <c r="K60" i="60"/>
  <c r="K76" s="1"/>
  <c r="K78" s="1"/>
  <c r="AF280" i="9"/>
  <c r="AF347"/>
  <c r="AF278"/>
  <c r="AF299"/>
  <c r="G92" i="56"/>
  <c r="AF242" i="9"/>
  <c r="AF257"/>
  <c r="N151" i="55"/>
  <c r="N179" s="1"/>
  <c r="N192" s="1"/>
  <c r="AF76" i="60"/>
  <c r="L91" i="55"/>
  <c r="N91" s="1"/>
  <c r="AF257" i="8"/>
  <c r="G60" i="60"/>
  <c r="K129" i="8"/>
  <c r="K147" s="1"/>
  <c r="K149" s="1"/>
  <c r="AH93" i="56"/>
  <c r="AO93" s="1"/>
  <c r="AF276" i="9"/>
  <c r="AF246"/>
  <c r="AF245"/>
  <c r="AB124" i="8"/>
  <c r="AF278"/>
  <c r="AF272" i="9"/>
  <c r="L185" i="6" s="1"/>
  <c r="AF282" i="9"/>
  <c r="AF300"/>
  <c r="K83" i="60"/>
  <c r="AF91" i="55"/>
  <c r="AF92" i="56"/>
  <c r="AG83" i="60"/>
  <c r="Y93" i="55"/>
  <c r="AF93" s="1"/>
  <c r="AF239" i="9"/>
  <c r="AF255"/>
  <c r="AF306"/>
  <c r="AF241"/>
  <c r="AF244"/>
  <c r="AF979"/>
  <c r="W124"/>
  <c r="W147"/>
  <c r="AJ167"/>
  <c r="N92" i="56"/>
  <c r="AF240" i="9"/>
  <c r="AF274"/>
  <c r="L183" i="6" s="1"/>
  <c r="K127" i="9"/>
  <c r="AD93" i="56"/>
  <c r="L93" s="1"/>
  <c r="R167" i="9"/>
  <c r="R95" i="56"/>
  <c r="G156" i="9"/>
  <c r="Y158"/>
  <c r="AF156"/>
  <c r="AV148"/>
  <c r="L149"/>
  <c r="L184" s="1"/>
  <c r="W68" i="56"/>
  <c r="P84"/>
  <c r="K185" i="9"/>
  <c r="T29" i="10"/>
  <c r="K190" i="9"/>
  <c r="H151" i="66"/>
  <c r="AC184" i="9"/>
  <c r="T184"/>
  <c r="BD184"/>
  <c r="AU184"/>
  <c r="BM184"/>
  <c r="I347"/>
  <c r="N347" s="1"/>
  <c r="K933" s="1"/>
  <c r="N151" i="56"/>
  <c r="N179" s="1"/>
  <c r="N192" s="1"/>
  <c r="AA147" i="9"/>
  <c r="R32" i="10" s="1"/>
  <c r="I129" i="9"/>
  <c r="I147" s="1"/>
  <c r="I133" i="66"/>
  <c r="I127" i="9"/>
  <c r="J158"/>
  <c r="S166"/>
  <c r="AR148"/>
  <c r="H149"/>
  <c r="H184" s="1"/>
  <c r="L158"/>
  <c r="U166"/>
  <c r="AO91" i="56"/>
  <c r="G66"/>
  <c r="Y91"/>
  <c r="AF66"/>
  <c r="Y68"/>
  <c r="G68" s="1"/>
  <c r="Y124" i="9"/>
  <c r="AE124"/>
  <c r="AC124"/>
  <c r="Z124"/>
  <c r="AD124"/>
  <c r="AB124"/>
  <c r="I119" i="18"/>
  <c r="R119"/>
  <c r="M119"/>
  <c r="P119"/>
  <c r="H119"/>
  <c r="J119"/>
  <c r="K119"/>
  <c r="U119"/>
  <c r="Q119"/>
  <c r="W119"/>
  <c r="S119"/>
  <c r="G119"/>
  <c r="V119"/>
  <c r="O119"/>
  <c r="N119"/>
  <c r="P93" i="56"/>
  <c r="W91"/>
  <c r="H158" i="9"/>
  <c r="Q166"/>
  <c r="AH167"/>
  <c r="AH95" i="56"/>
  <c r="AO95" s="1"/>
  <c r="AO166" i="9"/>
  <c r="AA68" i="56"/>
  <c r="AA91"/>
  <c r="I66"/>
  <c r="Q93"/>
  <c r="H91"/>
  <c r="H127" i="9"/>
  <c r="AI167"/>
  <c r="AO68" i="56"/>
  <c r="K68"/>
  <c r="AC167" i="9"/>
  <c r="K119" i="56"/>
  <c r="AO124" i="9"/>
  <c r="I136" i="66"/>
  <c r="L127" i="9"/>
  <c r="G127"/>
  <c r="I131" i="66"/>
  <c r="T167" i="9"/>
  <c r="T89" i="10" s="1"/>
  <c r="T95" i="56"/>
  <c r="K166" i="9"/>
  <c r="K95" i="56" s="1"/>
  <c r="S84"/>
  <c r="J84" s="1"/>
  <c r="J86" s="1"/>
  <c r="J102" s="1"/>
  <c r="J103" s="1"/>
  <c r="J68"/>
  <c r="G318" i="18"/>
  <c r="L318" s="1"/>
  <c r="T318" s="1"/>
  <c r="X318" s="1"/>
  <c r="L316"/>
  <c r="T316" s="1"/>
  <c r="X316" s="1"/>
  <c r="Q84" i="56"/>
  <c r="H84" s="1"/>
  <c r="H86" s="1"/>
  <c r="H102" s="1"/>
  <c r="H103" s="1"/>
  <c r="H68"/>
  <c r="I156"/>
  <c r="N156"/>
  <c r="D45" i="57" s="1"/>
  <c r="J156" i="56"/>
  <c r="G156"/>
  <c r="H156"/>
  <c r="E156"/>
  <c r="N177"/>
  <c r="F156"/>
  <c r="M183" i="6"/>
  <c r="K93" i="56"/>
  <c r="K97" s="1"/>
  <c r="K98" s="1"/>
  <c r="K111" s="1"/>
  <c r="K112" s="1"/>
  <c r="K113" s="1"/>
  <c r="G129" i="9"/>
  <c r="AF129"/>
  <c r="Y147"/>
  <c r="S93" i="56"/>
  <c r="J93" s="1"/>
  <c r="J91"/>
  <c r="W158" i="9"/>
  <c r="P166"/>
  <c r="G158"/>
  <c r="L108" i="18"/>
  <c r="T108" s="1"/>
  <c r="X108" s="1"/>
  <c r="G432"/>
  <c r="AA158" i="9"/>
  <c r="I156"/>
  <c r="I134" i="66"/>
  <c r="J127" i="9"/>
  <c r="J149"/>
  <c r="J184" s="1"/>
  <c r="J190" s="1"/>
  <c r="AT148"/>
  <c r="AF287"/>
  <c r="AD167"/>
  <c r="AB167"/>
  <c r="G74" i="56"/>
  <c r="N74" s="1"/>
  <c r="AA124" i="9"/>
  <c r="K91" i="56"/>
  <c r="N122" i="9"/>
  <c r="AF306" i="8"/>
  <c r="AF272"/>
  <c r="I185" i="6" s="1"/>
  <c r="AA124" i="8"/>
  <c r="AF244"/>
  <c r="AF255"/>
  <c r="AC124"/>
  <c r="AF239"/>
  <c r="AF251"/>
  <c r="L156"/>
  <c r="N156" s="1"/>
  <c r="AF245"/>
  <c r="AF156"/>
  <c r="Z124"/>
  <c r="AF280"/>
  <c r="AF240"/>
  <c r="AF268"/>
  <c r="AF285"/>
  <c r="AF264"/>
  <c r="AG60" i="60"/>
  <c r="AF270" i="8"/>
  <c r="AF246"/>
  <c r="AF242"/>
  <c r="AE124"/>
  <c r="AD124"/>
  <c r="AF287"/>
  <c r="Y124"/>
  <c r="AF299"/>
  <c r="AF274"/>
  <c r="H183" i="6" s="1"/>
  <c r="M127" i="8"/>
  <c r="J219" i="26"/>
  <c r="AW148" i="8"/>
  <c r="M109" i="60"/>
  <c r="J127" i="8"/>
  <c r="I127"/>
  <c r="H127"/>
  <c r="L127"/>
  <c r="G127"/>
  <c r="K127"/>
  <c r="N979"/>
  <c r="W124"/>
  <c r="AU148"/>
  <c r="H119" i="55"/>
  <c r="H109" i="60"/>
  <c r="H149" i="8"/>
  <c r="S94" i="28" s="1"/>
  <c r="K119" i="55"/>
  <c r="K103"/>
  <c r="K105" s="1"/>
  <c r="H168"/>
  <c r="H124" i="8"/>
  <c r="T167"/>
  <c r="K89" i="10" s="1"/>
  <c r="U87" i="60"/>
  <c r="K166" i="8"/>
  <c r="T95" i="55"/>
  <c r="G85" i="60"/>
  <c r="AG85"/>
  <c r="AA166" i="8"/>
  <c r="AA167" s="1"/>
  <c r="I89" i="10" s="1"/>
  <c r="I158" i="8"/>
  <c r="N177" i="55"/>
  <c r="E156"/>
  <c r="F156"/>
  <c r="G156"/>
  <c r="H156"/>
  <c r="N156"/>
  <c r="D29" i="57" s="1"/>
  <c r="E67" s="1"/>
  <c r="E68" s="1"/>
  <c r="E79" s="1"/>
  <c r="K156" i="55"/>
  <c r="AF84"/>
  <c r="H57" i="27"/>
  <c r="H61" s="1"/>
  <c r="K184" i="8"/>
  <c r="V94" i="28"/>
  <c r="K371" i="34"/>
  <c r="K373" s="1"/>
  <c r="K377" s="1"/>
  <c r="I118" i="27"/>
  <c r="M103" i="55"/>
  <c r="M119"/>
  <c r="J119"/>
  <c r="J109" i="60"/>
  <c r="AT148" i="8"/>
  <c r="J149"/>
  <c r="Y166"/>
  <c r="G158"/>
  <c r="O83" i="60"/>
  <c r="G946" i="8"/>
  <c r="I149"/>
  <c r="AS148"/>
  <c r="I119" i="55"/>
  <c r="AD166" i="8"/>
  <c r="L158"/>
  <c r="G147"/>
  <c r="N129"/>
  <c r="AB166"/>
  <c r="J158"/>
  <c r="K93" i="60"/>
  <c r="M184" i="8"/>
  <c r="X94" i="28"/>
  <c r="M371" i="34"/>
  <c r="M373" s="1"/>
  <c r="M377" s="1"/>
  <c r="I183" i="6"/>
  <c r="H122" i="41"/>
  <c r="H123"/>
  <c r="H120"/>
  <c r="W166" i="8"/>
  <c r="N347"/>
  <c r="K933" s="1"/>
  <c r="AG76" i="60"/>
  <c r="G32" i="10"/>
  <c r="N32" s="1"/>
  <c r="Y32" s="1"/>
  <c r="AF147" i="8"/>
  <c r="V167"/>
  <c r="M89" i="10" s="1"/>
  <c r="W87" i="60"/>
  <c r="V95" i="55"/>
  <c r="M166" i="8"/>
  <c r="L119" i="55"/>
  <c r="L109" i="60"/>
  <c r="L149" i="8"/>
  <c r="AV148"/>
  <c r="F168" i="55"/>
  <c r="N1039" i="8"/>
  <c r="F168" i="56"/>
  <c r="I236" i="34"/>
  <c r="M124" i="8"/>
  <c r="M140" i="55"/>
  <c r="M141" s="1"/>
  <c r="G124" i="8"/>
  <c r="K124"/>
  <c r="L124"/>
  <c r="H168" i="56"/>
  <c r="I124" i="8"/>
  <c r="AF158"/>
  <c r="Z166"/>
  <c r="H158"/>
  <c r="G84" i="55"/>
  <c r="N68"/>
  <c r="H185" i="6"/>
  <c r="G76" i="60"/>
  <c r="O60"/>
  <c r="J263" i="7"/>
  <c r="J279"/>
  <c r="J280" s="1"/>
  <c r="J284"/>
  <c r="J285" s="1"/>
  <c r="H223" i="26"/>
  <c r="J223" s="1"/>
  <c r="J222"/>
  <c r="K222" s="1"/>
  <c r="I94" i="60"/>
  <c r="I109"/>
  <c r="AX716" i="9"/>
  <c r="AX717" s="1"/>
  <c r="AQ717"/>
  <c r="AQ763"/>
  <c r="AQ717" i="8"/>
  <c r="AQ763"/>
  <c r="AX716"/>
  <c r="AX717" s="1"/>
  <c r="H93" i="56" l="1"/>
  <c r="G93" i="55"/>
  <c r="N93" s="1"/>
  <c r="E69" i="57"/>
  <c r="E70" s="1"/>
  <c r="E71" s="1"/>
  <c r="L187" i="6"/>
  <c r="J156" i="55"/>
  <c r="I156"/>
  <c r="M185" i="6"/>
  <c r="L103" i="56"/>
  <c r="L119"/>
  <c r="D73" i="57"/>
  <c r="K167" i="9"/>
  <c r="K168" s="1"/>
  <c r="J119" i="56"/>
  <c r="AO167" i="9"/>
  <c r="M187" i="6"/>
  <c r="L156" i="56"/>
  <c r="M140"/>
  <c r="M141" s="1"/>
  <c r="K135" i="9"/>
  <c r="I135"/>
  <c r="H135"/>
  <c r="G135"/>
  <c r="J135"/>
  <c r="L135"/>
  <c r="L124"/>
  <c r="J124"/>
  <c r="G124"/>
  <c r="H124"/>
  <c r="K124"/>
  <c r="G147"/>
  <c r="N129"/>
  <c r="AA84" i="56"/>
  <c r="I84" s="1"/>
  <c r="I86" s="1"/>
  <c r="I102" s="1"/>
  <c r="I103" s="1"/>
  <c r="I68"/>
  <c r="Q167" i="9"/>
  <c r="Q89" i="10" s="1"/>
  <c r="Q95" i="56"/>
  <c r="H166" i="9"/>
  <c r="H95" i="56" s="1"/>
  <c r="N122" i="18"/>
  <c r="N149"/>
  <c r="N177"/>
  <c r="N180" s="1"/>
  <c r="N348" s="1"/>
  <c r="N350" s="1"/>
  <c r="N174"/>
  <c r="S149"/>
  <c r="S174"/>
  <c r="S177"/>
  <c r="S180" s="1"/>
  <c r="S348" s="1"/>
  <c r="S350" s="1"/>
  <c r="S122"/>
  <c r="K122"/>
  <c r="K177"/>
  <c r="K180" s="1"/>
  <c r="K348" s="1"/>
  <c r="K350" s="1"/>
  <c r="K174"/>
  <c r="K149"/>
  <c r="M122"/>
  <c r="M149"/>
  <c r="M177"/>
  <c r="M180" s="1"/>
  <c r="M348" s="1"/>
  <c r="M350" s="1"/>
  <c r="M174"/>
  <c r="BD229" i="9"/>
  <c r="BD233" s="1"/>
  <c r="BD213"/>
  <c r="K960"/>
  <c r="K122" i="56"/>
  <c r="W84"/>
  <c r="AF124" i="9"/>
  <c r="N66" i="56"/>
  <c r="J960" i="9"/>
  <c r="J122" i="56"/>
  <c r="G436" i="18"/>
  <c r="U432"/>
  <c r="U436" s="1"/>
  <c r="AA93" i="56"/>
  <c r="I93" s="1"/>
  <c r="I91"/>
  <c r="W93"/>
  <c r="G149" i="18"/>
  <c r="L119"/>
  <c r="T119" s="1"/>
  <c r="X119" s="1"/>
  <c r="G177"/>
  <c r="G174"/>
  <c r="G122"/>
  <c r="U149"/>
  <c r="U177"/>
  <c r="U180" s="1"/>
  <c r="U348" s="1"/>
  <c r="U350" s="1"/>
  <c r="U174"/>
  <c r="U122"/>
  <c r="P177"/>
  <c r="P180" s="1"/>
  <c r="P348" s="1"/>
  <c r="P350" s="1"/>
  <c r="P174"/>
  <c r="P122"/>
  <c r="P149"/>
  <c r="G91" i="56"/>
  <c r="Y93"/>
  <c r="AF91"/>
  <c r="U167" i="9"/>
  <c r="U89" i="10" s="1"/>
  <c r="U95" i="56"/>
  <c r="L166" i="9"/>
  <c r="L95" i="56" s="1"/>
  <c r="L97" s="1"/>
  <c r="L98" s="1"/>
  <c r="L111" s="1"/>
  <c r="L112" s="1"/>
  <c r="L113" s="1"/>
  <c r="AR184" i="9"/>
  <c r="Z184"/>
  <c r="BJ184"/>
  <c r="H148" i="66"/>
  <c r="Q29" i="10"/>
  <c r="H185" i="9"/>
  <c r="BA184"/>
  <c r="Q184"/>
  <c r="AU213"/>
  <c r="AU229"/>
  <c r="AU233" s="1"/>
  <c r="BE184"/>
  <c r="BN184"/>
  <c r="L185"/>
  <c r="H152" i="66"/>
  <c r="AV184" i="9"/>
  <c r="U29" i="10"/>
  <c r="U184" i="9"/>
  <c r="AD184"/>
  <c r="I124"/>
  <c r="N68" i="56"/>
  <c r="N156" i="9"/>
  <c r="BL184"/>
  <c r="S29" i="10"/>
  <c r="H150" i="66"/>
  <c r="AT184" i="9"/>
  <c r="BC184"/>
  <c r="S184"/>
  <c r="J185"/>
  <c r="AB184"/>
  <c r="AA166"/>
  <c r="AA167" s="1"/>
  <c r="R89" i="10" s="1"/>
  <c r="I158" i="9"/>
  <c r="N158" s="1"/>
  <c r="H950" s="1"/>
  <c r="P167"/>
  <c r="W166"/>
  <c r="P95" i="56"/>
  <c r="P32" i="10"/>
  <c r="W32" s="1"/>
  <c r="Z32" s="1"/>
  <c r="AA32" s="1"/>
  <c r="AF147" i="9"/>
  <c r="V149" i="18"/>
  <c r="V174"/>
  <c r="V177"/>
  <c r="V180" s="1"/>
  <c r="V348" s="1"/>
  <c r="V350" s="1"/>
  <c r="V122"/>
  <c r="Q122"/>
  <c r="Q149"/>
  <c r="Q174"/>
  <c r="Q177"/>
  <c r="Q180" s="1"/>
  <c r="Q348" s="1"/>
  <c r="Q350" s="1"/>
  <c r="H177"/>
  <c r="H180" s="1"/>
  <c r="H348" s="1"/>
  <c r="H350" s="1"/>
  <c r="H122"/>
  <c r="H149"/>
  <c r="H174"/>
  <c r="I122"/>
  <c r="I149"/>
  <c r="I174"/>
  <c r="I177"/>
  <c r="I180" s="1"/>
  <c r="I348" s="1"/>
  <c r="I350" s="1"/>
  <c r="BM229" i="9"/>
  <c r="BM233" s="1"/>
  <c r="BM213"/>
  <c r="AC229"/>
  <c r="AC233" s="1"/>
  <c r="AC213"/>
  <c r="AF158"/>
  <c r="Y166"/>
  <c r="AF124" i="8"/>
  <c r="I187" i="6"/>
  <c r="H119" i="56"/>
  <c r="L190" i="9"/>
  <c r="E184" i="56"/>
  <c r="J184"/>
  <c r="F184"/>
  <c r="G184"/>
  <c r="N190"/>
  <c r="I184"/>
  <c r="N184"/>
  <c r="H184"/>
  <c r="O122" i="18"/>
  <c r="O149"/>
  <c r="O177"/>
  <c r="O180" s="1"/>
  <c r="O348" s="1"/>
  <c r="O350" s="1"/>
  <c r="O174"/>
  <c r="W149"/>
  <c r="W174"/>
  <c r="W122"/>
  <c r="W177"/>
  <c r="W180" s="1"/>
  <c r="W348" s="1"/>
  <c r="W350" s="1"/>
  <c r="J174"/>
  <c r="J149"/>
  <c r="J177"/>
  <c r="J180" s="1"/>
  <c r="J348" s="1"/>
  <c r="J350" s="1"/>
  <c r="J122"/>
  <c r="R177"/>
  <c r="R180" s="1"/>
  <c r="R348" s="1"/>
  <c r="R350" s="1"/>
  <c r="R122"/>
  <c r="R174"/>
  <c r="R149"/>
  <c r="Y84" i="56"/>
  <c r="AF68"/>
  <c r="S167" i="9"/>
  <c r="S89" i="10" s="1"/>
  <c r="S95" i="56"/>
  <c r="J166" i="9"/>
  <c r="J95" i="56" s="1"/>
  <c r="J97" s="1"/>
  <c r="J98" s="1"/>
  <c r="J111" s="1"/>
  <c r="J112" s="1"/>
  <c r="J113" s="1"/>
  <c r="I149" i="9"/>
  <c r="I184" s="1"/>
  <c r="I190" s="1"/>
  <c r="AS148"/>
  <c r="T229"/>
  <c r="T233" s="1"/>
  <c r="T213"/>
  <c r="AL184"/>
  <c r="T44" i="10"/>
  <c r="T64" s="1"/>
  <c r="T45"/>
  <c r="T65" s="1"/>
  <c r="T54"/>
  <c r="T74" s="1"/>
  <c r="T56"/>
  <c r="T76" s="1"/>
  <c r="T51"/>
  <c r="T71" s="1"/>
  <c r="T36"/>
  <c r="T41" s="1"/>
  <c r="T43"/>
  <c r="T63" s="1"/>
  <c r="T49"/>
  <c r="T69" s="1"/>
  <c r="T48"/>
  <c r="T68" s="1"/>
  <c r="T55"/>
  <c r="T75" s="1"/>
  <c r="T57"/>
  <c r="T77" s="1"/>
  <c r="T42"/>
  <c r="T62" s="1"/>
  <c r="T50"/>
  <c r="T70" s="1"/>
  <c r="H97" i="56"/>
  <c r="H98" s="1"/>
  <c r="H111" s="1"/>
  <c r="H112" s="1"/>
  <c r="H113" s="1"/>
  <c r="H167" i="9"/>
  <c r="H190"/>
  <c r="X87" i="60"/>
  <c r="H371" i="34"/>
  <c r="H373" s="1"/>
  <c r="H377" s="1"/>
  <c r="F81" i="57"/>
  <c r="C72"/>
  <c r="Q107" i="55"/>
  <c r="F118" i="27"/>
  <c r="F122" s="1"/>
  <c r="W95" i="55"/>
  <c r="H184" i="8"/>
  <c r="BJ184" s="1"/>
  <c r="L156" i="55"/>
  <c r="M95"/>
  <c r="M97" s="1"/>
  <c r="M98" s="1"/>
  <c r="M111" s="1"/>
  <c r="M112" s="1"/>
  <c r="M113" s="1"/>
  <c r="M87" i="60"/>
  <c r="M89" s="1"/>
  <c r="M90" s="1"/>
  <c r="M102" s="1"/>
  <c r="M103" s="1"/>
  <c r="M104" s="1"/>
  <c r="M167" i="8"/>
  <c r="K109" i="60"/>
  <c r="K94"/>
  <c r="K96" s="1"/>
  <c r="AD167" i="8"/>
  <c r="L89" i="10" s="1"/>
  <c r="AD95" i="55"/>
  <c r="L166" i="8"/>
  <c r="AE87" i="60"/>
  <c r="Y167" i="8"/>
  <c r="G166"/>
  <c r="G167" s="1"/>
  <c r="Z87" i="60"/>
  <c r="Y95" i="55"/>
  <c r="AF166" i="8"/>
  <c r="O76" i="60"/>
  <c r="AY78" s="1"/>
  <c r="G78"/>
  <c r="N84" i="55"/>
  <c r="AX86" s="1"/>
  <c r="G86"/>
  <c r="G102" s="1"/>
  <c r="G103" s="1"/>
  <c r="J118" i="27"/>
  <c r="L184" i="8"/>
  <c r="I57" i="27"/>
  <c r="I61" s="1"/>
  <c r="L371" i="34"/>
  <c r="L373" s="1"/>
  <c r="L377" s="1"/>
  <c r="W94" i="28"/>
  <c r="M185" i="8"/>
  <c r="M29" i="10"/>
  <c r="M190" i="8"/>
  <c r="AE184"/>
  <c r="D152" i="66"/>
  <c r="BO184" i="8"/>
  <c r="AW184"/>
  <c r="V184"/>
  <c r="M353" i="34"/>
  <c r="M375" s="1"/>
  <c r="M379" s="1"/>
  <c r="M381" s="1"/>
  <c r="BF184" i="8"/>
  <c r="M148" i="60"/>
  <c r="M155" s="1"/>
  <c r="M157" s="1"/>
  <c r="M159" s="1"/>
  <c r="M162" s="1"/>
  <c r="M164" s="1"/>
  <c r="M166" s="1"/>
  <c r="M169" s="1"/>
  <c r="I184" i="8"/>
  <c r="I371" i="34"/>
  <c r="I373" s="1"/>
  <c r="I377" s="1"/>
  <c r="T94" i="28"/>
  <c r="G118" i="27"/>
  <c r="F57"/>
  <c r="F61" s="1"/>
  <c r="N158" i="8"/>
  <c r="I122" i="27"/>
  <c r="I126"/>
  <c r="I127" s="1"/>
  <c r="G950" i="8"/>
  <c r="N124"/>
  <c r="H187" i="6"/>
  <c r="W167" i="8"/>
  <c r="C118" i="41" s="1"/>
  <c r="AB167" i="8"/>
  <c r="J89" i="10" s="1"/>
  <c r="J166" i="8"/>
  <c r="AC87" i="60"/>
  <c r="AB95" i="55"/>
  <c r="AQ148" i="8"/>
  <c r="G149"/>
  <c r="N147"/>
  <c r="K29" i="10"/>
  <c r="K353" i="34"/>
  <c r="K375" s="1"/>
  <c r="K379" s="1"/>
  <c r="K381" s="1"/>
  <c r="K190" i="8"/>
  <c r="BM184"/>
  <c r="AC184"/>
  <c r="T184"/>
  <c r="AU184"/>
  <c r="D150" i="66"/>
  <c r="BD184" i="8"/>
  <c r="K148" i="60"/>
  <c r="K155" s="1"/>
  <c r="K157" s="1"/>
  <c r="K159" s="1"/>
  <c r="K162" s="1"/>
  <c r="K164" s="1"/>
  <c r="K166" s="1"/>
  <c r="K169" s="1"/>
  <c r="K185" i="8"/>
  <c r="N190" i="55"/>
  <c r="H184"/>
  <c r="I184"/>
  <c r="J184"/>
  <c r="K184"/>
  <c r="G184"/>
  <c r="F184"/>
  <c r="N184"/>
  <c r="L184" s="1"/>
  <c r="E184"/>
  <c r="O85" i="60"/>
  <c r="K167" i="8"/>
  <c r="K87" i="60"/>
  <c r="K89" s="1"/>
  <c r="K90" s="1"/>
  <c r="K102" s="1"/>
  <c r="K103" s="1"/>
  <c r="K104" s="1"/>
  <c r="K95" i="55"/>
  <c r="K97" s="1"/>
  <c r="K98" s="1"/>
  <c r="K111" s="1"/>
  <c r="K112" s="1"/>
  <c r="K113" s="1"/>
  <c r="Z167" i="8"/>
  <c r="H89" i="10" s="1"/>
  <c r="H166" i="8"/>
  <c r="Z95" i="55"/>
  <c r="AA87" i="60"/>
  <c r="J184" i="8"/>
  <c r="H118" i="27"/>
  <c r="U94" i="28"/>
  <c r="J371" i="34"/>
  <c r="J373" s="1"/>
  <c r="J377" s="1"/>
  <c r="G57" i="27"/>
  <c r="G61" s="1"/>
  <c r="AA95" i="55"/>
  <c r="AB87" i="60"/>
  <c r="I166" i="8"/>
  <c r="I167" s="1"/>
  <c r="AX763"/>
  <c r="AQ764"/>
  <c r="AQ764" i="9"/>
  <c r="AX763"/>
  <c r="H185" i="8"/>
  <c r="D81" i="57"/>
  <c r="E80"/>
  <c r="E83" s="1"/>
  <c r="E82"/>
  <c r="E81"/>
  <c r="K223" i="26"/>
  <c r="J259" i="7"/>
  <c r="J260" s="1"/>
  <c r="J265" s="1"/>
  <c r="J229" i="26"/>
  <c r="K229" s="1"/>
  <c r="I251" i="34" l="1"/>
  <c r="I253" s="1"/>
  <c r="I119" i="56"/>
  <c r="K126"/>
  <c r="AF84"/>
  <c r="H353" i="34"/>
  <c r="H375" s="1"/>
  <c r="D147" i="66"/>
  <c r="N91" i="56"/>
  <c r="N135" i="9"/>
  <c r="AF93" i="56"/>
  <c r="T80" i="10"/>
  <c r="H168" i="9"/>
  <c r="H126" i="56"/>
  <c r="W125" i="18"/>
  <c r="W344" s="1"/>
  <c r="W346" s="1"/>
  <c r="W352" s="1"/>
  <c r="W128"/>
  <c r="L184" i="56"/>
  <c r="F138" s="1"/>
  <c r="L200"/>
  <c r="L201"/>
  <c r="I125" i="18"/>
  <c r="I344" s="1"/>
  <c r="I346" s="1"/>
  <c r="I352" s="1"/>
  <c r="I128"/>
  <c r="Q125"/>
  <c r="Q344" s="1"/>
  <c r="Q346" s="1"/>
  <c r="Q352" s="1"/>
  <c r="Q128"/>
  <c r="V155"/>
  <c r="V159" s="1"/>
  <c r="V334" s="1"/>
  <c r="V336" s="1"/>
  <c r="V338" s="1"/>
  <c r="V340" s="1"/>
  <c r="V320"/>
  <c r="AK184" i="9"/>
  <c r="S213"/>
  <c r="S229"/>
  <c r="S233" s="1"/>
  <c r="S36" i="10"/>
  <c r="S41" s="1"/>
  <c r="S55"/>
  <c r="S75" s="1"/>
  <c r="S54"/>
  <c r="S74" s="1"/>
  <c r="S48"/>
  <c r="S68" s="1"/>
  <c r="S49"/>
  <c r="S69" s="1"/>
  <c r="S44"/>
  <c r="S64" s="1"/>
  <c r="S42"/>
  <c r="S62" s="1"/>
  <c r="S43"/>
  <c r="S63" s="1"/>
  <c r="S51"/>
  <c r="S71" s="1"/>
  <c r="S57"/>
  <c r="S77" s="1"/>
  <c r="S56"/>
  <c r="S76" s="1"/>
  <c r="S45"/>
  <c r="S65" s="1"/>
  <c r="S50"/>
  <c r="S70" s="1"/>
  <c r="AV229" i="9"/>
  <c r="AV233" s="1"/>
  <c r="AV213"/>
  <c r="BE213"/>
  <c r="BE229"/>
  <c r="BE233" s="1"/>
  <c r="BA229"/>
  <c r="BA233" s="1"/>
  <c r="BA213"/>
  <c r="BJ229"/>
  <c r="BJ233" s="1"/>
  <c r="BJ213"/>
  <c r="U320" i="18"/>
  <c r="U155"/>
  <c r="U159" s="1"/>
  <c r="U334" s="1"/>
  <c r="U336" s="1"/>
  <c r="U338" s="1"/>
  <c r="U340" s="1"/>
  <c r="K320"/>
  <c r="K155"/>
  <c r="K159" s="1"/>
  <c r="K334" s="1"/>
  <c r="K336" s="1"/>
  <c r="K338" s="1"/>
  <c r="S125"/>
  <c r="S344" s="1"/>
  <c r="S346" s="1"/>
  <c r="S352" s="1"/>
  <c r="S128"/>
  <c r="S129" s="1"/>
  <c r="S195" s="1"/>
  <c r="T81" i="10"/>
  <c r="W95" i="56"/>
  <c r="H122"/>
  <c r="H960" i="9"/>
  <c r="AL213"/>
  <c r="AL214" s="1"/>
  <c r="AL229"/>
  <c r="AL233" s="1"/>
  <c r="R320" i="18"/>
  <c r="R155"/>
  <c r="R159" s="1"/>
  <c r="R334" s="1"/>
  <c r="R336" s="1"/>
  <c r="R338" s="1"/>
  <c r="J125"/>
  <c r="J344" s="1"/>
  <c r="J346" s="1"/>
  <c r="J352" s="1"/>
  <c r="J128"/>
  <c r="Y167" i="9"/>
  <c r="AF167" s="1"/>
  <c r="Y95" i="56"/>
  <c r="AF166" i="9"/>
  <c r="I155" i="18"/>
  <c r="I159" s="1"/>
  <c r="I334" s="1"/>
  <c r="I336" s="1"/>
  <c r="I338" s="1"/>
  <c r="I320"/>
  <c r="H128"/>
  <c r="H125"/>
  <c r="H344" s="1"/>
  <c r="H346" s="1"/>
  <c r="H352" s="1"/>
  <c r="Q155"/>
  <c r="Q159" s="1"/>
  <c r="Q334" s="1"/>
  <c r="Q336" s="1"/>
  <c r="Q338" s="1"/>
  <c r="Q320"/>
  <c r="U56" i="10"/>
  <c r="U76" s="1"/>
  <c r="U36"/>
  <c r="U41" s="1"/>
  <c r="U55"/>
  <c r="U75" s="1"/>
  <c r="U48"/>
  <c r="U68" s="1"/>
  <c r="U42"/>
  <c r="U62" s="1"/>
  <c r="U44"/>
  <c r="U64" s="1"/>
  <c r="U57"/>
  <c r="U77" s="1"/>
  <c r="U43"/>
  <c r="U63" s="1"/>
  <c r="U51"/>
  <c r="U71" s="1"/>
  <c r="U49"/>
  <c r="U69" s="1"/>
  <c r="U50"/>
  <c r="U70" s="1"/>
  <c r="U54"/>
  <c r="U74" s="1"/>
  <c r="U45"/>
  <c r="U65" s="1"/>
  <c r="BN213" i="9"/>
  <c r="BN229"/>
  <c r="BN233" s="1"/>
  <c r="Q213"/>
  <c r="AI184"/>
  <c r="Q229"/>
  <c r="Q233" s="1"/>
  <c r="L177" i="18"/>
  <c r="T177" s="1"/>
  <c r="X177" s="1"/>
  <c r="G180"/>
  <c r="M125"/>
  <c r="M344" s="1"/>
  <c r="M346" s="1"/>
  <c r="M352" s="1"/>
  <c r="M128"/>
  <c r="K125"/>
  <c r="K344" s="1"/>
  <c r="K346" s="1"/>
  <c r="K352" s="1"/>
  <c r="K128"/>
  <c r="S155"/>
  <c r="S159" s="1"/>
  <c r="S334" s="1"/>
  <c r="S336" s="1"/>
  <c r="S338" s="1"/>
  <c r="S320"/>
  <c r="N128"/>
  <c r="N125"/>
  <c r="N344" s="1"/>
  <c r="N346" s="1"/>
  <c r="N352" s="1"/>
  <c r="K199" i="9"/>
  <c r="K200" s="1"/>
  <c r="G166"/>
  <c r="N124"/>
  <c r="I960"/>
  <c r="I122" i="56"/>
  <c r="W320" i="18"/>
  <c r="W155"/>
  <c r="W159" s="1"/>
  <c r="W334" s="1"/>
  <c r="W336" s="1"/>
  <c r="W338" s="1"/>
  <c r="W340" s="1"/>
  <c r="O125"/>
  <c r="O344" s="1"/>
  <c r="O346" s="1"/>
  <c r="O352" s="1"/>
  <c r="O128"/>
  <c r="F197" i="56"/>
  <c r="H197"/>
  <c r="N197"/>
  <c r="L197" s="1"/>
  <c r="G138" s="1"/>
  <c r="E50" i="57" s="1"/>
  <c r="G197" i="56"/>
  <c r="J197"/>
  <c r="E197"/>
  <c r="I197"/>
  <c r="H155" i="18"/>
  <c r="H159" s="1"/>
  <c r="H334" s="1"/>
  <c r="H336" s="1"/>
  <c r="H338" s="1"/>
  <c r="H320"/>
  <c r="W167" i="9"/>
  <c r="P89" i="10"/>
  <c r="W89" s="1"/>
  <c r="Z89" s="1"/>
  <c r="AB229" i="9"/>
  <c r="AB233" s="1"/>
  <c r="AB213"/>
  <c r="AT213"/>
  <c r="AT229"/>
  <c r="AT233" s="1"/>
  <c r="U213"/>
  <c r="U229"/>
  <c r="U233" s="1"/>
  <c r="AM184"/>
  <c r="Q44" i="10"/>
  <c r="Q64" s="1"/>
  <c r="Q45"/>
  <c r="Q65" s="1"/>
  <c r="Q48"/>
  <c r="Q68" s="1"/>
  <c r="Q49"/>
  <c r="Q69" s="1"/>
  <c r="Q56"/>
  <c r="Q76" s="1"/>
  <c r="Q50"/>
  <c r="Q70" s="1"/>
  <c r="Q43"/>
  <c r="Q63" s="1"/>
  <c r="Q36"/>
  <c r="Q41" s="1"/>
  <c r="Q42"/>
  <c r="Q62" s="1"/>
  <c r="Q51"/>
  <c r="Q71" s="1"/>
  <c r="Q54"/>
  <c r="Q74" s="1"/>
  <c r="Q55"/>
  <c r="Q75" s="1"/>
  <c r="Q57"/>
  <c r="Q77" s="1"/>
  <c r="AR213" i="9"/>
  <c r="AR229"/>
  <c r="AR233" s="1"/>
  <c r="P125" i="18"/>
  <c r="P344" s="1"/>
  <c r="P346" s="1"/>
  <c r="P352" s="1"/>
  <c r="P128"/>
  <c r="M155"/>
  <c r="M159" s="1"/>
  <c r="M334" s="1"/>
  <c r="M336" s="1"/>
  <c r="M338" s="1"/>
  <c r="M320"/>
  <c r="N155"/>
  <c r="N159" s="1"/>
  <c r="N334" s="1"/>
  <c r="N336" s="1"/>
  <c r="N338" s="1"/>
  <c r="N320"/>
  <c r="AQ148" i="9"/>
  <c r="G149"/>
  <c r="G184" s="1"/>
  <c r="N147"/>
  <c r="T82" i="10"/>
  <c r="J167" i="9"/>
  <c r="L174" i="18"/>
  <c r="T174" s="1"/>
  <c r="X174" s="1"/>
  <c r="G93" i="56"/>
  <c r="L167" i="9"/>
  <c r="G84" i="56"/>
  <c r="T47" i="10"/>
  <c r="T67" s="1"/>
  <c r="T61"/>
  <c r="T53"/>
  <c r="T73" s="1"/>
  <c r="R184" i="9"/>
  <c r="BB184"/>
  <c r="I185"/>
  <c r="BK184"/>
  <c r="R29" i="10"/>
  <c r="AS184" i="9"/>
  <c r="H149" i="66"/>
  <c r="AA184" i="9"/>
  <c r="R128" i="18"/>
  <c r="R125"/>
  <c r="R344" s="1"/>
  <c r="R346" s="1"/>
  <c r="R352" s="1"/>
  <c r="J155"/>
  <c r="J159" s="1"/>
  <c r="J334" s="1"/>
  <c r="J336" s="1"/>
  <c r="J338" s="1"/>
  <c r="J320"/>
  <c r="O155"/>
  <c r="O159" s="1"/>
  <c r="O334" s="1"/>
  <c r="O336" s="1"/>
  <c r="O338" s="1"/>
  <c r="O320"/>
  <c r="L122" i="56"/>
  <c r="L960" i="9"/>
  <c r="V128" i="18"/>
  <c r="V125"/>
  <c r="V344" s="1"/>
  <c r="V346" s="1"/>
  <c r="V352" s="1"/>
  <c r="AA95" i="56"/>
  <c r="I166" i="9"/>
  <c r="I95" i="56" s="1"/>
  <c r="BC213" i="9"/>
  <c r="BC229"/>
  <c r="BC233" s="1"/>
  <c r="BL229"/>
  <c r="BL233" s="1"/>
  <c r="BL213"/>
  <c r="AD229"/>
  <c r="AD233" s="1"/>
  <c r="AD213"/>
  <c r="Z213"/>
  <c r="Z229"/>
  <c r="Z233" s="1"/>
  <c r="P320" i="18"/>
  <c r="P155"/>
  <c r="P159" s="1"/>
  <c r="P334" s="1"/>
  <c r="P336" s="1"/>
  <c r="P338" s="1"/>
  <c r="U125"/>
  <c r="U344" s="1"/>
  <c r="U346" s="1"/>
  <c r="U352" s="1"/>
  <c r="U128"/>
  <c r="G128"/>
  <c r="G125"/>
  <c r="L122"/>
  <c r="T122" s="1"/>
  <c r="X122" s="1"/>
  <c r="G155"/>
  <c r="G320"/>
  <c r="L149"/>
  <c r="T149" s="1"/>
  <c r="T83" i="10"/>
  <c r="I97" i="56"/>
  <c r="I98" s="1"/>
  <c r="I111" s="1"/>
  <c r="I112" s="1"/>
  <c r="I113" s="1"/>
  <c r="BA184" i="8"/>
  <c r="BA229" s="1"/>
  <c r="BA233" s="1"/>
  <c r="H148" i="60"/>
  <c r="H155" s="1"/>
  <c r="H157" s="1"/>
  <c r="H159" s="1"/>
  <c r="H162" s="1"/>
  <c r="H164" s="1"/>
  <c r="H166" s="1"/>
  <c r="H169" s="1"/>
  <c r="K61" i="27"/>
  <c r="AR184" i="8"/>
  <c r="Q184"/>
  <c r="AI184" s="1"/>
  <c r="Z184"/>
  <c r="Z229" s="1"/>
  <c r="Z233" s="1"/>
  <c r="W355" i="18"/>
  <c r="H190" i="8"/>
  <c r="H29" i="10"/>
  <c r="H55" s="1"/>
  <c r="H75" s="1"/>
  <c r="F126" i="27"/>
  <c r="F127" s="1"/>
  <c r="F138" i="55"/>
  <c r="E33" i="57" s="1"/>
  <c r="R161" i="18"/>
  <c r="R164" s="1"/>
  <c r="W161"/>
  <c r="W164" s="1"/>
  <c r="I161"/>
  <c r="I183" s="1"/>
  <c r="G119" i="55"/>
  <c r="N119" s="1"/>
  <c r="I168" i="8"/>
  <c r="H126" i="27"/>
  <c r="H127" s="1"/>
  <c r="H122"/>
  <c r="R183" i="18"/>
  <c r="H87" i="60"/>
  <c r="H89" s="1"/>
  <c r="H90" s="1"/>
  <c r="H102" s="1"/>
  <c r="H103" s="1"/>
  <c r="H104" s="1"/>
  <c r="H95" i="55"/>
  <c r="H97" s="1"/>
  <c r="H98" s="1"/>
  <c r="H111" s="1"/>
  <c r="H112" s="1"/>
  <c r="H113" s="1"/>
  <c r="AU229" i="8"/>
  <c r="AU233" s="1"/>
  <c r="AU213"/>
  <c r="K112" i="60"/>
  <c r="K960" i="8"/>
  <c r="K122" i="55"/>
  <c r="G184" i="8"/>
  <c r="E118" i="27"/>
  <c r="G371" i="34"/>
  <c r="G373" s="1"/>
  <c r="G377" s="1"/>
  <c r="R94" i="28"/>
  <c r="J151" i="9"/>
  <c r="K151" i="8"/>
  <c r="I151" i="9"/>
  <c r="G151" i="8"/>
  <c r="H151" i="9"/>
  <c r="K151"/>
  <c r="M151" i="8"/>
  <c r="H151"/>
  <c r="L151"/>
  <c r="L151" i="9"/>
  <c r="J151" i="8"/>
  <c r="I151"/>
  <c r="S227" i="18"/>
  <c r="S233" s="1"/>
  <c r="S228"/>
  <c r="S234" s="1"/>
  <c r="S231"/>
  <c r="S237" s="1"/>
  <c r="S230"/>
  <c r="S236" s="1"/>
  <c r="H950" i="8"/>
  <c r="N160" i="9"/>
  <c r="AA184" i="8"/>
  <c r="AS184"/>
  <c r="R184"/>
  <c r="I190"/>
  <c r="D148" i="66"/>
  <c r="I353" i="34"/>
  <c r="I375" s="1"/>
  <c r="I379" s="1"/>
  <c r="I381" s="1"/>
  <c r="I148" i="60"/>
  <c r="I155" s="1"/>
  <c r="I157" s="1"/>
  <c r="I159" s="1"/>
  <c r="I162" s="1"/>
  <c r="I164" s="1"/>
  <c r="I166" s="1"/>
  <c r="I169" s="1"/>
  <c r="I29" i="10"/>
  <c r="BB184" i="8"/>
  <c r="I185"/>
  <c r="J105" i="67"/>
  <c r="J108" s="1"/>
  <c r="BK184" i="8"/>
  <c r="G42" i="58"/>
  <c r="G44" s="1"/>
  <c r="G59"/>
  <c r="G61" s="1"/>
  <c r="AW229" i="8"/>
  <c r="AW233" s="1"/>
  <c r="AW213"/>
  <c r="M112" i="60"/>
  <c r="M960" i="8"/>
  <c r="M122" i="55"/>
  <c r="G93" i="60"/>
  <c r="M126" i="55"/>
  <c r="M168" i="8"/>
  <c r="M117" i="60"/>
  <c r="Q161" i="18"/>
  <c r="AG87" i="60"/>
  <c r="K168" i="8"/>
  <c r="K117" i="60"/>
  <c r="K126" i="55"/>
  <c r="BM229" i="8"/>
  <c r="BM233" s="1"/>
  <c r="BM213"/>
  <c r="H118" i="41"/>
  <c r="V229" i="8"/>
  <c r="V233" s="1"/>
  <c r="AN184"/>
  <c r="V213"/>
  <c r="AE213"/>
  <c r="AE229"/>
  <c r="AE233" s="1"/>
  <c r="U161" i="18"/>
  <c r="K106" i="55"/>
  <c r="P161" i="18"/>
  <c r="AF95" i="55"/>
  <c r="L201"/>
  <c r="L200"/>
  <c r="BD229" i="8"/>
  <c r="BD233" s="1"/>
  <c r="BD213"/>
  <c r="AC213"/>
  <c r="AC229"/>
  <c r="AC233" s="1"/>
  <c r="K48" i="10"/>
  <c r="K68" s="1"/>
  <c r="K57"/>
  <c r="K77" s="1"/>
  <c r="K51"/>
  <c r="K71" s="1"/>
  <c r="K45"/>
  <c r="K65" s="1"/>
  <c r="K49"/>
  <c r="K69" s="1"/>
  <c r="K43"/>
  <c r="K63" s="1"/>
  <c r="K56"/>
  <c r="K76" s="1"/>
  <c r="K44"/>
  <c r="K64" s="1"/>
  <c r="K55"/>
  <c r="K75" s="1"/>
  <c r="K54"/>
  <c r="K74" s="1"/>
  <c r="K50"/>
  <c r="K70" s="1"/>
  <c r="K36"/>
  <c r="K41" s="1"/>
  <c r="K42"/>
  <c r="K62" s="1"/>
  <c r="H946" i="8"/>
  <c r="W148"/>
  <c r="E194" i="30"/>
  <c r="AX148" i="8"/>
  <c r="E244" i="26"/>
  <c r="F244" s="1"/>
  <c r="BP148" i="8"/>
  <c r="L69" i="26"/>
  <c r="L70" s="1"/>
  <c r="BG148" i="8"/>
  <c r="AO148"/>
  <c r="J87" i="60"/>
  <c r="J89" s="1"/>
  <c r="J90" s="1"/>
  <c r="J102" s="1"/>
  <c r="J103" s="1"/>
  <c r="J104" s="1"/>
  <c r="J167" i="8"/>
  <c r="J95" i="55"/>
  <c r="J97" s="1"/>
  <c r="J98" s="1"/>
  <c r="J111" s="1"/>
  <c r="J112" s="1"/>
  <c r="J113" s="1"/>
  <c r="J126" i="27"/>
  <c r="J127" s="1"/>
  <c r="J122"/>
  <c r="AF167" i="8"/>
  <c r="C119" i="41" s="1"/>
  <c r="H119" s="1"/>
  <c r="G89" i="10"/>
  <c r="L167" i="8"/>
  <c r="L87" i="60"/>
  <c r="L89" s="1"/>
  <c r="L90" s="1"/>
  <c r="L102" s="1"/>
  <c r="L103" s="1"/>
  <c r="L104" s="1"/>
  <c r="L95" i="55"/>
  <c r="L97" s="1"/>
  <c r="L98" s="1"/>
  <c r="L111" s="1"/>
  <c r="L112" s="1"/>
  <c r="L113" s="1"/>
  <c r="N161" i="18"/>
  <c r="J161"/>
  <c r="K161"/>
  <c r="H161"/>
  <c r="S161"/>
  <c r="O161"/>
  <c r="H167" i="8"/>
  <c r="I87" i="60"/>
  <c r="I89" s="1"/>
  <c r="I90" s="1"/>
  <c r="I102" s="1"/>
  <c r="I103" s="1"/>
  <c r="I104" s="1"/>
  <c r="I95" i="55"/>
  <c r="I97" s="1"/>
  <c r="I98" s="1"/>
  <c r="I111" s="1"/>
  <c r="I112" s="1"/>
  <c r="I113" s="1"/>
  <c r="J148" i="60"/>
  <c r="J155" s="1"/>
  <c r="J157" s="1"/>
  <c r="J159" s="1"/>
  <c r="J162" s="1"/>
  <c r="J164" s="1"/>
  <c r="J166" s="1"/>
  <c r="J169" s="1"/>
  <c r="S184" i="8"/>
  <c r="J190"/>
  <c r="AB184"/>
  <c r="BL184"/>
  <c r="J185"/>
  <c r="J1076" s="1"/>
  <c r="J29" i="10"/>
  <c r="BC184" i="8"/>
  <c r="J353" i="34"/>
  <c r="J375" s="1"/>
  <c r="J379" s="1"/>
  <c r="J381" s="1"/>
  <c r="D149" i="66"/>
  <c r="AT184" i="8"/>
  <c r="E197" i="55"/>
  <c r="J197"/>
  <c r="F197"/>
  <c r="K197"/>
  <c r="N197"/>
  <c r="L197" s="1"/>
  <c r="G138" s="1"/>
  <c r="E34" i="57" s="1"/>
  <c r="G197" i="55"/>
  <c r="I197"/>
  <c r="H197"/>
  <c r="T213" i="8"/>
  <c r="T229"/>
  <c r="T233" s="1"/>
  <c r="AL184"/>
  <c r="S130" i="18"/>
  <c r="G168" i="8"/>
  <c r="G122" i="27"/>
  <c r="G126"/>
  <c r="G127" s="1"/>
  <c r="BF213" i="8"/>
  <c r="BF229"/>
  <c r="BF233" s="1"/>
  <c r="BO229"/>
  <c r="BO233" s="1"/>
  <c r="BO213"/>
  <c r="M50" i="10"/>
  <c r="M70" s="1"/>
  <c r="M56"/>
  <c r="M76" s="1"/>
  <c r="M49"/>
  <c r="M69" s="1"/>
  <c r="M54"/>
  <c r="M74" s="1"/>
  <c r="M36"/>
  <c r="M41" s="1"/>
  <c r="M51"/>
  <c r="M71" s="1"/>
  <c r="M43"/>
  <c r="M63" s="1"/>
  <c r="M42"/>
  <c r="M62" s="1"/>
  <c r="M44"/>
  <c r="M64" s="1"/>
  <c r="M57"/>
  <c r="M77" s="1"/>
  <c r="M45"/>
  <c r="M65" s="1"/>
  <c r="M48"/>
  <c r="M68" s="1"/>
  <c r="M55"/>
  <c r="M75" s="1"/>
  <c r="L190" i="8"/>
  <c r="U184"/>
  <c r="L185"/>
  <c r="BN184"/>
  <c r="L148" i="60"/>
  <c r="L155" s="1"/>
  <c r="L157" s="1"/>
  <c r="L159" s="1"/>
  <c r="L162" s="1"/>
  <c r="L164" s="1"/>
  <c r="L166" s="1"/>
  <c r="L169" s="1"/>
  <c r="AD184" i="8"/>
  <c r="D151" i="66"/>
  <c r="BE184" i="8"/>
  <c r="I42" i="58"/>
  <c r="I44" s="1"/>
  <c r="J127" i="67"/>
  <c r="J128" s="1"/>
  <c r="I77" i="58"/>
  <c r="I79" s="1"/>
  <c r="AV184" i="8"/>
  <c r="L353" i="34"/>
  <c r="L375" s="1"/>
  <c r="L379" s="1"/>
  <c r="L381" s="1"/>
  <c r="L29" i="10"/>
  <c r="G87" i="60"/>
  <c r="G95" i="55"/>
  <c r="N166" i="8"/>
  <c r="N89" i="10"/>
  <c r="Y89" s="1"/>
  <c r="AA89" s="1"/>
  <c r="AF148" i="8"/>
  <c r="BA213"/>
  <c r="H379" i="34"/>
  <c r="H381" s="1"/>
  <c r="J67" i="27"/>
  <c r="E188" i="55"/>
  <c r="D102" i="57"/>
  <c r="D94"/>
  <c r="D95"/>
  <c r="D107"/>
  <c r="E188" i="56"/>
  <c r="D101" i="57"/>
  <c r="D89"/>
  <c r="D96"/>
  <c r="D104"/>
  <c r="D90"/>
  <c r="D106"/>
  <c r="D93"/>
  <c r="D105"/>
  <c r="D92"/>
  <c r="D103"/>
  <c r="D91"/>
  <c r="AR229" i="8"/>
  <c r="AR233" s="1"/>
  <c r="AR213"/>
  <c r="AQ811"/>
  <c r="AQ765"/>
  <c r="AX764"/>
  <c r="AX765" s="1"/>
  <c r="E187" i="56"/>
  <c r="E187" i="55"/>
  <c r="H112" i="60"/>
  <c r="H960" i="8"/>
  <c r="H122" i="55"/>
  <c r="H42" i="10"/>
  <c r="H62" s="1"/>
  <c r="H48"/>
  <c r="H68" s="1"/>
  <c r="H49"/>
  <c r="H69" s="1"/>
  <c r="H56"/>
  <c r="H76" s="1"/>
  <c r="H57"/>
  <c r="H77" s="1"/>
  <c r="H43"/>
  <c r="H63" s="1"/>
  <c r="H51"/>
  <c r="H71" s="1"/>
  <c r="BJ229" i="8"/>
  <c r="BJ233" s="1"/>
  <c r="BJ213"/>
  <c r="AQ765" i="9"/>
  <c r="AQ811"/>
  <c r="AX764"/>
  <c r="AX765" s="1"/>
  <c r="S83" i="10" l="1"/>
  <c r="S81"/>
  <c r="G151" i="9"/>
  <c r="M161" i="18"/>
  <c r="M183" s="1"/>
  <c r="V355"/>
  <c r="Z213" i="8"/>
  <c r="V161" i="18"/>
  <c r="V183" s="1"/>
  <c r="U80" i="10"/>
  <c r="U82"/>
  <c r="G159" i="18"/>
  <c r="L155"/>
  <c r="T155" s="1"/>
  <c r="X155" s="1"/>
  <c r="U129"/>
  <c r="U130" s="1"/>
  <c r="J322"/>
  <c r="J328" s="1"/>
  <c r="J326"/>
  <c r="AA229" i="9"/>
  <c r="AA233" s="1"/>
  <c r="AA213"/>
  <c r="BK229"/>
  <c r="BK233" s="1"/>
  <c r="BK213"/>
  <c r="L126" i="56"/>
  <c r="L168" i="9"/>
  <c r="P184"/>
  <c r="BI184"/>
  <c r="AQ184"/>
  <c r="AZ184"/>
  <c r="H147" i="66"/>
  <c r="Y184" i="9"/>
  <c r="G185"/>
  <c r="K188" s="1"/>
  <c r="H933" s="1"/>
  <c r="K336" i="25" s="1"/>
  <c r="K339" s="1"/>
  <c r="P29" i="10"/>
  <c r="M326" i="18"/>
  <c r="M322"/>
  <c r="M328" s="1"/>
  <c r="Q81" i="10"/>
  <c r="H322" i="18"/>
  <c r="H328" s="1"/>
  <c r="H326"/>
  <c r="W326"/>
  <c r="W363" s="1"/>
  <c r="W322"/>
  <c r="W328" s="1"/>
  <c r="W359" s="1"/>
  <c r="W365" s="1"/>
  <c r="W367" s="1"/>
  <c r="S322"/>
  <c r="S328" s="1"/>
  <c r="S326"/>
  <c r="M129"/>
  <c r="M130" s="1"/>
  <c r="M195"/>
  <c r="U53" i="10"/>
  <c r="U73" s="1"/>
  <c r="U61"/>
  <c r="U47"/>
  <c r="U67" s="1"/>
  <c r="K322" i="18"/>
  <c r="K328" s="1"/>
  <c r="K326"/>
  <c r="W129"/>
  <c r="W130" s="1"/>
  <c r="H199" i="9"/>
  <c r="H200" s="1"/>
  <c r="I167"/>
  <c r="G326" i="18"/>
  <c r="L320"/>
  <c r="T320" s="1"/>
  <c r="X320" s="1"/>
  <c r="G322"/>
  <c r="G129"/>
  <c r="L128"/>
  <c r="T128" s="1"/>
  <c r="P326"/>
  <c r="P322"/>
  <c r="P328" s="1"/>
  <c r="V129"/>
  <c r="V130" s="1"/>
  <c r="R129"/>
  <c r="R130" s="1"/>
  <c r="R50" i="10"/>
  <c r="R70" s="1"/>
  <c r="R56"/>
  <c r="R76" s="1"/>
  <c r="R49"/>
  <c r="R69" s="1"/>
  <c r="R44"/>
  <c r="R64" s="1"/>
  <c r="R43"/>
  <c r="R63" s="1"/>
  <c r="R57"/>
  <c r="R77" s="1"/>
  <c r="R45"/>
  <c r="R65" s="1"/>
  <c r="R54"/>
  <c r="R74" s="1"/>
  <c r="R51"/>
  <c r="R71" s="1"/>
  <c r="R42"/>
  <c r="R62" s="1"/>
  <c r="R36"/>
  <c r="R41" s="1"/>
  <c r="R55"/>
  <c r="R75" s="1"/>
  <c r="R48"/>
  <c r="R68" s="1"/>
  <c r="R213" i="9"/>
  <c r="R229"/>
  <c r="R233" s="1"/>
  <c r="AJ184"/>
  <c r="N84" i="56"/>
  <c r="G86"/>
  <c r="G102" s="1"/>
  <c r="J126"/>
  <c r="J168" i="9"/>
  <c r="G244" i="26"/>
  <c r="H244" s="1"/>
  <c r="J244" s="1"/>
  <c r="N85" i="56"/>
  <c r="AX148" i="9"/>
  <c r="H946"/>
  <c r="Q47" i="10"/>
  <c r="Q67" s="1"/>
  <c r="Q53"/>
  <c r="Q73" s="1"/>
  <c r="Q61"/>
  <c r="AM229" i="9"/>
  <c r="AM233" s="1"/>
  <c r="AM213"/>
  <c r="AM214" s="1"/>
  <c r="N129" i="18"/>
  <c r="N130" s="1"/>
  <c r="J129"/>
  <c r="J130" s="1"/>
  <c r="S61" i="10"/>
  <c r="S47"/>
  <c r="S67" s="1"/>
  <c r="S53"/>
  <c r="S73" s="1"/>
  <c r="V322" i="18"/>
  <c r="V328" s="1"/>
  <c r="V359" s="1"/>
  <c r="V326"/>
  <c r="V363" s="1"/>
  <c r="I129"/>
  <c r="I130" s="1"/>
  <c r="E49" i="57"/>
  <c r="H138" i="56"/>
  <c r="G344" i="18"/>
  <c r="L125"/>
  <c r="T125" s="1"/>
  <c r="X125" s="1"/>
  <c r="O322"/>
  <c r="O328" s="1"/>
  <c r="O326"/>
  <c r="AS229" i="9"/>
  <c r="AS233" s="1"/>
  <c r="AS213"/>
  <c r="BB213"/>
  <c r="BB229"/>
  <c r="BB233" s="1"/>
  <c r="N326" i="18"/>
  <c r="N322"/>
  <c r="N328" s="1"/>
  <c r="P129"/>
  <c r="P130" s="1"/>
  <c r="P195"/>
  <c r="Q82" i="10"/>
  <c r="K129" i="18"/>
  <c r="K130" s="1"/>
  <c r="G348"/>
  <c r="L180"/>
  <c r="T180" s="1"/>
  <c r="X180" s="1"/>
  <c r="Q322"/>
  <c r="Q328" s="1"/>
  <c r="Q326"/>
  <c r="I326"/>
  <c r="I322"/>
  <c r="I328" s="1"/>
  <c r="R326"/>
  <c r="R322"/>
  <c r="R328" s="1"/>
  <c r="U322"/>
  <c r="U328" s="1"/>
  <c r="U359" s="1"/>
  <c r="U326"/>
  <c r="U363" s="1"/>
  <c r="AK213" i="9"/>
  <c r="AK214" s="1"/>
  <c r="AK229"/>
  <c r="AK233" s="1"/>
  <c r="B182" i="56"/>
  <c r="M178"/>
  <c r="M181"/>
  <c r="B177"/>
  <c r="B180"/>
  <c r="B179"/>
  <c r="B178"/>
  <c r="M182"/>
  <c r="M177"/>
  <c r="M180"/>
  <c r="M179"/>
  <c r="B181"/>
  <c r="Q80" i="10"/>
  <c r="U81"/>
  <c r="S82"/>
  <c r="N93" i="56"/>
  <c r="O129" i="18"/>
  <c r="O130" s="1"/>
  <c r="N166" i="9"/>
  <c r="G95" i="56"/>
  <c r="N95" s="1"/>
  <c r="G167" i="9"/>
  <c r="BD200"/>
  <c r="AC200"/>
  <c r="AU200"/>
  <c r="I151" i="66"/>
  <c r="T200" i="9"/>
  <c r="BM200"/>
  <c r="K201"/>
  <c r="K966"/>
  <c r="K129" i="56" s="1"/>
  <c r="K134" s="1"/>
  <c r="T86" i="10"/>
  <c r="AI229" i="9"/>
  <c r="AI233" s="1"/>
  <c r="AI213"/>
  <c r="H129" i="18"/>
  <c r="H130" s="1"/>
  <c r="Q129"/>
  <c r="Q130" s="1"/>
  <c r="M191" i="56"/>
  <c r="B192"/>
  <c r="B193"/>
  <c r="B191"/>
  <c r="B190"/>
  <c r="B195"/>
  <c r="M193"/>
  <c r="M192"/>
  <c r="B194"/>
  <c r="M195"/>
  <c r="M194"/>
  <c r="M190"/>
  <c r="T79" i="10"/>
  <c r="G190" i="9"/>
  <c r="Q83" i="10"/>
  <c r="U83"/>
  <c r="AF95" i="56"/>
  <c r="U355" i="18"/>
  <c r="S80" i="10"/>
  <c r="H54"/>
  <c r="H74" s="1"/>
  <c r="H44"/>
  <c r="H64" s="1"/>
  <c r="H50"/>
  <c r="H70" s="1"/>
  <c r="Q229" i="8"/>
  <c r="Q233" s="1"/>
  <c r="Q213"/>
  <c r="H45" i="10"/>
  <c r="H65" s="1"/>
  <c r="H83" s="1"/>
  <c r="H36"/>
  <c r="H41" s="1"/>
  <c r="H47" s="1"/>
  <c r="H67" s="1"/>
  <c r="W183" i="18"/>
  <c r="W184" s="1"/>
  <c r="W185" s="1"/>
  <c r="W187" s="1"/>
  <c r="W312" s="1"/>
  <c r="W357" s="1"/>
  <c r="M164"/>
  <c r="I164"/>
  <c r="K105" i="60"/>
  <c r="M82" i="10"/>
  <c r="M83"/>
  <c r="K122" i="27"/>
  <c r="K127" s="1"/>
  <c r="K80" i="10"/>
  <c r="I184" i="18"/>
  <c r="I185" s="1"/>
  <c r="I187" s="1"/>
  <c r="I312" s="1"/>
  <c r="O87" i="60"/>
  <c r="G89"/>
  <c r="L112"/>
  <c r="L122" i="55"/>
  <c r="L960" i="8"/>
  <c r="S229"/>
  <c r="S233" s="1"/>
  <c r="S213"/>
  <c r="AK184"/>
  <c r="H168"/>
  <c r="H126" i="55"/>
  <c r="H117" i="60"/>
  <c r="N183" i="18"/>
  <c r="N164"/>
  <c r="F195" i="30"/>
  <c r="F196"/>
  <c r="E197"/>
  <c r="F197" s="1"/>
  <c r="M178" i="55"/>
  <c r="M180"/>
  <c r="B179"/>
  <c r="E487" i="25" s="1"/>
  <c r="F487" s="1"/>
  <c r="B183" i="55"/>
  <c r="E491" i="25" s="1"/>
  <c r="F491" s="1"/>
  <c r="B182" i="55"/>
  <c r="E490" i="25" s="1"/>
  <c r="F490" s="1"/>
  <c r="B181" i="55"/>
  <c r="E489" i="25" s="1"/>
  <c r="F489" s="1"/>
  <c r="B178" i="55"/>
  <c r="E486" i="25" s="1"/>
  <c r="F486" s="1"/>
  <c r="M182" i="55"/>
  <c r="B177"/>
  <c r="M177"/>
  <c r="M181"/>
  <c r="M179"/>
  <c r="B180"/>
  <c r="E488" i="25" s="1"/>
  <c r="F488" s="1"/>
  <c r="M183" i="55"/>
  <c r="U164" i="18"/>
  <c r="U183"/>
  <c r="AN229" i="8"/>
  <c r="AN233" s="1"/>
  <c r="AN213"/>
  <c r="AN214" s="1"/>
  <c r="X90" i="28"/>
  <c r="X91" s="1"/>
  <c r="X92" s="1"/>
  <c r="X93" s="1"/>
  <c r="M199" i="8"/>
  <c r="M200" s="1"/>
  <c r="AJ184"/>
  <c r="R229"/>
  <c r="R213"/>
  <c r="E122" i="27"/>
  <c r="E126"/>
  <c r="E127" s="1"/>
  <c r="T90" i="28"/>
  <c r="T91" s="1"/>
  <c r="T92" s="1"/>
  <c r="T93" s="1"/>
  <c r="I199" i="8"/>
  <c r="K81" i="10"/>
  <c r="H138" i="55"/>
  <c r="G97"/>
  <c r="N95"/>
  <c r="L56" i="10"/>
  <c r="L76" s="1"/>
  <c r="L48"/>
  <c r="L68" s="1"/>
  <c r="L45"/>
  <c r="L65" s="1"/>
  <c r="L36"/>
  <c r="L41" s="1"/>
  <c r="L43"/>
  <c r="L63" s="1"/>
  <c r="L44"/>
  <c r="L64" s="1"/>
  <c r="L49"/>
  <c r="L69" s="1"/>
  <c r="L42"/>
  <c r="L62" s="1"/>
  <c r="L50"/>
  <c r="L70" s="1"/>
  <c r="L51"/>
  <c r="L71" s="1"/>
  <c r="L57"/>
  <c r="L77" s="1"/>
  <c r="L55"/>
  <c r="L75" s="1"/>
  <c r="L54"/>
  <c r="L74" s="1"/>
  <c r="AD229" i="8"/>
  <c r="AD233" s="1"/>
  <c r="AD213"/>
  <c r="U229"/>
  <c r="U233" s="1"/>
  <c r="AM184"/>
  <c r="U213"/>
  <c r="AT213"/>
  <c r="AT229"/>
  <c r="AT233" s="1"/>
  <c r="J51" i="10"/>
  <c r="J71" s="1"/>
  <c r="J50"/>
  <c r="J70" s="1"/>
  <c r="J45"/>
  <c r="J65" s="1"/>
  <c r="J54"/>
  <c r="J74" s="1"/>
  <c r="J56"/>
  <c r="J76" s="1"/>
  <c r="J55"/>
  <c r="J75" s="1"/>
  <c r="J43"/>
  <c r="J63" s="1"/>
  <c r="J42"/>
  <c r="J62" s="1"/>
  <c r="J44"/>
  <c r="J64" s="1"/>
  <c r="J57"/>
  <c r="J77" s="1"/>
  <c r="J49"/>
  <c r="J69" s="1"/>
  <c r="J48"/>
  <c r="J68" s="1"/>
  <c r="J36"/>
  <c r="J41" s="1"/>
  <c r="J112" i="60"/>
  <c r="J960" i="8"/>
  <c r="J122" i="55"/>
  <c r="S183" i="18"/>
  <c r="S164"/>
  <c r="J164"/>
  <c r="J183"/>
  <c r="M184"/>
  <c r="M185" s="1"/>
  <c r="M187" s="1"/>
  <c r="M312" s="1"/>
  <c r="Q183"/>
  <c r="Q164"/>
  <c r="G109" i="60"/>
  <c r="O109" s="1"/>
  <c r="G94"/>
  <c r="K97" s="1"/>
  <c r="BK213" i="8"/>
  <c r="BK229"/>
  <c r="BK233" s="1"/>
  <c r="I51" i="10"/>
  <c r="I71" s="1"/>
  <c r="I49"/>
  <c r="I69" s="1"/>
  <c r="I36"/>
  <c r="I41" s="1"/>
  <c r="I50"/>
  <c r="I70" s="1"/>
  <c r="I48"/>
  <c r="I68" s="1"/>
  <c r="I54"/>
  <c r="I74" s="1"/>
  <c r="I55"/>
  <c r="I75" s="1"/>
  <c r="I56"/>
  <c r="I76" s="1"/>
  <c r="I45"/>
  <c r="I65" s="1"/>
  <c r="I57"/>
  <c r="I77" s="1"/>
  <c r="I42"/>
  <c r="I62" s="1"/>
  <c r="I43"/>
  <c r="I63" s="1"/>
  <c r="I44"/>
  <c r="I64" s="1"/>
  <c r="I122" i="55"/>
  <c r="I960" i="8"/>
  <c r="I112" i="60"/>
  <c r="M81" i="10"/>
  <c r="H124" i="41"/>
  <c r="I126" i="55"/>
  <c r="AL229" i="8"/>
  <c r="AL233" s="1"/>
  <c r="AL213"/>
  <c r="AL214" s="1"/>
  <c r="BC213"/>
  <c r="BC229"/>
  <c r="BC233" s="1"/>
  <c r="AB229"/>
  <c r="AB233" s="1"/>
  <c r="AB213"/>
  <c r="O183" i="18"/>
  <c r="O164"/>
  <c r="K164"/>
  <c r="K183"/>
  <c r="N167" i="8"/>
  <c r="E253" i="26" s="1"/>
  <c r="F253" s="1"/>
  <c r="J117" i="60"/>
  <c r="J168" i="8"/>
  <c r="J126" i="55"/>
  <c r="K53" i="10"/>
  <c r="K73" s="1"/>
  <c r="K47"/>
  <c r="K67" s="1"/>
  <c r="K61"/>
  <c r="P164" i="18"/>
  <c r="P183"/>
  <c r="BB229" i="8"/>
  <c r="BB233" s="1"/>
  <c r="BB213"/>
  <c r="AA229"/>
  <c r="AA233" s="1"/>
  <c r="AA213"/>
  <c r="R184" i="18"/>
  <c r="R185" s="1"/>
  <c r="R187" s="1"/>
  <c r="R312" s="1"/>
  <c r="M80" i="10"/>
  <c r="K114" i="55"/>
  <c r="K82" i="10"/>
  <c r="K83"/>
  <c r="C124" i="41"/>
  <c r="I117" i="60"/>
  <c r="AV213" i="8"/>
  <c r="AV229"/>
  <c r="AV233" s="1"/>
  <c r="BE213"/>
  <c r="BE229"/>
  <c r="BE233" s="1"/>
  <c r="BN213"/>
  <c r="BN229"/>
  <c r="BN233" s="1"/>
  <c r="M53" i="10"/>
  <c r="M73" s="1"/>
  <c r="M61"/>
  <c r="M47"/>
  <c r="M67" s="1"/>
  <c r="R90" i="28"/>
  <c r="R91" s="1"/>
  <c r="R92" s="1"/>
  <c r="R93" s="1"/>
  <c r="G199" i="8"/>
  <c r="G200" s="1"/>
  <c r="BL229"/>
  <c r="BL233" s="1"/>
  <c r="BL213"/>
  <c r="H164" i="18"/>
  <c r="H183"/>
  <c r="L126" i="55"/>
  <c r="L168" i="8"/>
  <c r="L117" i="60"/>
  <c r="M192" i="55"/>
  <c r="M194"/>
  <c r="B192"/>
  <c r="M195"/>
  <c r="M191"/>
  <c r="B190"/>
  <c r="M190"/>
  <c r="B195"/>
  <c r="B191"/>
  <c r="B194"/>
  <c r="B193"/>
  <c r="M193"/>
  <c r="M196"/>
  <c r="B196"/>
  <c r="X128" i="18"/>
  <c r="K199" i="8"/>
  <c r="K200" s="1"/>
  <c r="V90" i="28"/>
  <c r="V91" s="1"/>
  <c r="V92" s="1"/>
  <c r="V93" s="1"/>
  <c r="K187" i="8"/>
  <c r="I1076"/>
  <c r="AS229"/>
  <c r="AS233" s="1"/>
  <c r="AS213"/>
  <c r="G148" i="60"/>
  <c r="G155" s="1"/>
  <c r="G157" s="1"/>
  <c r="G159" s="1"/>
  <c r="G162" s="1"/>
  <c r="G164" s="1"/>
  <c r="G166" s="1"/>
  <c r="G169" s="1"/>
  <c r="N169" s="1"/>
  <c r="G185" i="8"/>
  <c r="P184"/>
  <c r="G353" i="34"/>
  <c r="G375" s="1"/>
  <c r="G379" s="1"/>
  <c r="G381" s="1"/>
  <c r="Y184" i="8"/>
  <c r="AQ184"/>
  <c r="D146" i="66"/>
  <c r="AZ184" i="8"/>
  <c r="G29" i="10"/>
  <c r="BI184" i="8"/>
  <c r="G190"/>
  <c r="AQ812" i="9"/>
  <c r="AX811"/>
  <c r="AX811" i="8"/>
  <c r="AQ812"/>
  <c r="AI213"/>
  <c r="AI229"/>
  <c r="AI233" s="1"/>
  <c r="I67" i="27"/>
  <c r="H67"/>
  <c r="J128"/>
  <c r="I128"/>
  <c r="G128"/>
  <c r="F67"/>
  <c r="H128"/>
  <c r="G67"/>
  <c r="H80" i="10"/>
  <c r="H61"/>
  <c r="E485" i="25"/>
  <c r="H81" i="10"/>
  <c r="H53" l="1"/>
  <c r="H73" s="1"/>
  <c r="J195" i="18"/>
  <c r="U365"/>
  <c r="U367" s="1"/>
  <c r="H82" i="10"/>
  <c r="S79"/>
  <c r="W195" i="18"/>
  <c r="K195"/>
  <c r="K231" s="1"/>
  <c r="K237" s="1"/>
  <c r="V164"/>
  <c r="H195"/>
  <c r="H228" s="1"/>
  <c r="H234" s="1"/>
  <c r="O195"/>
  <c r="I195"/>
  <c r="V195"/>
  <c r="R83" i="10"/>
  <c r="R82"/>
  <c r="N190" i="9"/>
  <c r="N960" s="1"/>
  <c r="G960"/>
  <c r="G122" i="56"/>
  <c r="N122" s="1"/>
  <c r="BM215" i="9"/>
  <c r="BM230"/>
  <c r="BM234" s="1"/>
  <c r="BM235" s="1"/>
  <c r="BM254" s="1"/>
  <c r="AC230"/>
  <c r="AC234" s="1"/>
  <c r="AC235" s="1"/>
  <c r="AC254" s="1"/>
  <c r="AC215"/>
  <c r="R340" i="18"/>
  <c r="R355" s="1"/>
  <c r="R359"/>
  <c r="Q363"/>
  <c r="Q374"/>
  <c r="K227"/>
  <c r="K233" s="1"/>
  <c r="K230"/>
  <c r="K236" s="1"/>
  <c r="K228"/>
  <c r="K234" s="1"/>
  <c r="P230"/>
  <c r="P236" s="1"/>
  <c r="P231"/>
  <c r="P237" s="1"/>
  <c r="P228"/>
  <c r="P234" s="1"/>
  <c r="P227"/>
  <c r="P233" s="1"/>
  <c r="O363"/>
  <c r="O374"/>
  <c r="R47" i="10"/>
  <c r="R67" s="1"/>
  <c r="R53"/>
  <c r="R73" s="1"/>
  <c r="R61"/>
  <c r="P363" i="18"/>
  <c r="P374"/>
  <c r="Q86" i="10"/>
  <c r="Q200" i="9"/>
  <c r="BJ200"/>
  <c r="H201"/>
  <c r="I148" i="66"/>
  <c r="BA200" i="9"/>
  <c r="AR200"/>
  <c r="Z200"/>
  <c r="H966"/>
  <c r="H129" i="56" s="1"/>
  <c r="H134" s="1"/>
  <c r="K359" i="18"/>
  <c r="K340"/>
  <c r="K355" s="1"/>
  <c r="M231"/>
  <c r="M237" s="1"/>
  <c r="M228"/>
  <c r="M234" s="1"/>
  <c r="M230"/>
  <c r="M236" s="1"/>
  <c r="M227"/>
  <c r="M233" s="1"/>
  <c r="P55" i="10"/>
  <c r="P75" s="1"/>
  <c r="P56"/>
  <c r="P76" s="1"/>
  <c r="P45"/>
  <c r="P65" s="1"/>
  <c r="P36"/>
  <c r="P41" s="1"/>
  <c r="P54"/>
  <c r="P74" s="1"/>
  <c r="P50"/>
  <c r="P70" s="1"/>
  <c r="P51"/>
  <c r="P71" s="1"/>
  <c r="P44"/>
  <c r="P64" s="1"/>
  <c r="P49"/>
  <c r="P69" s="1"/>
  <c r="P48"/>
  <c r="P68" s="1"/>
  <c r="P43"/>
  <c r="P63" s="1"/>
  <c r="P57"/>
  <c r="P77" s="1"/>
  <c r="P42"/>
  <c r="P62" s="1"/>
  <c r="BC214" i="9"/>
  <c r="BB214"/>
  <c r="AZ229"/>
  <c r="AZ233" s="1"/>
  <c r="BD214"/>
  <c r="AZ213"/>
  <c r="BE214"/>
  <c r="AZ214"/>
  <c r="BA214"/>
  <c r="J340" i="18"/>
  <c r="J355" s="1"/>
  <c r="J359"/>
  <c r="G161"/>
  <c r="L159"/>
  <c r="T159" s="1"/>
  <c r="X159" s="1"/>
  <c r="G334"/>
  <c r="B184" i="56"/>
  <c r="AI214" i="9"/>
  <c r="AU230"/>
  <c r="AU234" s="1"/>
  <c r="AU235" s="1"/>
  <c r="AU254" s="1"/>
  <c r="AU215"/>
  <c r="AU217" s="1"/>
  <c r="I363" i="18"/>
  <c r="I374"/>
  <c r="G350"/>
  <c r="L350" s="1"/>
  <c r="T350" s="1"/>
  <c r="X350" s="1"/>
  <c r="L348"/>
  <c r="T348" s="1"/>
  <c r="X348" s="1"/>
  <c r="N363"/>
  <c r="N374"/>
  <c r="L344"/>
  <c r="T344" s="1"/>
  <c r="X344" s="1"/>
  <c r="G346"/>
  <c r="J199" i="9"/>
  <c r="J200" s="1"/>
  <c r="AJ213"/>
  <c r="AJ229"/>
  <c r="AJ233" s="1"/>
  <c r="P340" i="18"/>
  <c r="P355" s="1"/>
  <c r="P359"/>
  <c r="P365" s="1"/>
  <c r="P367" s="1"/>
  <c r="G328"/>
  <c r="L322"/>
  <c r="T322" s="1"/>
  <c r="X322" s="1"/>
  <c r="K363"/>
  <c r="K374"/>
  <c r="S340"/>
  <c r="S355" s="1"/>
  <c r="S359"/>
  <c r="H359"/>
  <c r="H340"/>
  <c r="H355" s="1"/>
  <c r="M363"/>
  <c r="M374"/>
  <c r="P229" i="9"/>
  <c r="P233" s="1"/>
  <c r="P214"/>
  <c r="P213"/>
  <c r="R214"/>
  <c r="AH184"/>
  <c r="U214"/>
  <c r="T214"/>
  <c r="Q214"/>
  <c r="S214"/>
  <c r="J374" i="18"/>
  <c r="J363"/>
  <c r="M197" i="56"/>
  <c r="Q195" i="18"/>
  <c r="G97" i="56"/>
  <c r="M184"/>
  <c r="N195" i="18"/>
  <c r="Q79" i="10"/>
  <c r="R195" i="18"/>
  <c r="N167" i="9"/>
  <c r="G168"/>
  <c r="I340" i="18"/>
  <c r="I355" s="1"/>
  <c r="I370" s="1"/>
  <c r="I359"/>
  <c r="I365" s="1"/>
  <c r="I367" s="1"/>
  <c r="O192"/>
  <c r="P192"/>
  <c r="P247" s="1"/>
  <c r="V192"/>
  <c r="K192"/>
  <c r="K247" s="1"/>
  <c r="G192"/>
  <c r="M192"/>
  <c r="M247" s="1"/>
  <c r="W192"/>
  <c r="I192"/>
  <c r="H192"/>
  <c r="R192"/>
  <c r="J192"/>
  <c r="Q192"/>
  <c r="U192"/>
  <c r="N192"/>
  <c r="S192"/>
  <c r="S247" s="1"/>
  <c r="N359"/>
  <c r="N365" s="1"/>
  <c r="N367" s="1"/>
  <c r="N340"/>
  <c r="N355" s="1"/>
  <c r="I228"/>
  <c r="I234" s="1"/>
  <c r="I231"/>
  <c r="I237" s="1"/>
  <c r="I230"/>
  <c r="I236" s="1"/>
  <c r="I247" s="1"/>
  <c r="I227"/>
  <c r="I233" s="1"/>
  <c r="AX86" i="56"/>
  <c r="N86"/>
  <c r="R81" i="10"/>
  <c r="L129" i="18"/>
  <c r="G130"/>
  <c r="L130" s="1"/>
  <c r="T130" s="1"/>
  <c r="X130" s="1"/>
  <c r="G195"/>
  <c r="I168" i="9"/>
  <c r="I126" i="56"/>
  <c r="S374" i="18"/>
  <c r="S363"/>
  <c r="H374"/>
  <c r="H363"/>
  <c r="M359"/>
  <c r="M365" s="1"/>
  <c r="M367" s="1"/>
  <c r="M340"/>
  <c r="M355" s="1"/>
  <c r="M357" s="1"/>
  <c r="AB214" i="9"/>
  <c r="AD214"/>
  <c r="Y213"/>
  <c r="AC214"/>
  <c r="AA214"/>
  <c r="Z214"/>
  <c r="Y229"/>
  <c r="Y233" s="1"/>
  <c r="Y214"/>
  <c r="BM214"/>
  <c r="BL214"/>
  <c r="BI213"/>
  <c r="BN214"/>
  <c r="BI229"/>
  <c r="BI233" s="1"/>
  <c r="BI214"/>
  <c r="BJ214"/>
  <c r="BK214"/>
  <c r="B197" i="56"/>
  <c r="U79" i="10"/>
  <c r="H230" i="18"/>
  <c r="H236" s="1"/>
  <c r="T104" i="10"/>
  <c r="T124" s="1"/>
  <c r="T151" s="1"/>
  <c r="T110"/>
  <c r="T130" s="1"/>
  <c r="T157" s="1"/>
  <c r="T93"/>
  <c r="T97" s="1"/>
  <c r="T106"/>
  <c r="T126" s="1"/>
  <c r="T153" s="1"/>
  <c r="T101"/>
  <c r="T121" s="1"/>
  <c r="T99"/>
  <c r="T119" s="1"/>
  <c r="T112"/>
  <c r="T132" s="1"/>
  <c r="T159" s="1"/>
  <c r="T113"/>
  <c r="T133" s="1"/>
  <c r="T160" s="1"/>
  <c r="T98"/>
  <c r="T118" s="1"/>
  <c r="T111"/>
  <c r="T131" s="1"/>
  <c r="T158" s="1"/>
  <c r="T105"/>
  <c r="T125" s="1"/>
  <c r="T152" s="1"/>
  <c r="T100"/>
  <c r="T120" s="1"/>
  <c r="T107"/>
  <c r="T127" s="1"/>
  <c r="T154" s="1"/>
  <c r="T230" i="9"/>
  <c r="T234" s="1"/>
  <c r="T235" s="1"/>
  <c r="T254" s="1"/>
  <c r="T215"/>
  <c r="AL200"/>
  <c r="BD230"/>
  <c r="BD234" s="1"/>
  <c r="BD235" s="1"/>
  <c r="BD254" s="1"/>
  <c r="BD215"/>
  <c r="O228" i="18"/>
  <c r="O234" s="1"/>
  <c r="O230"/>
  <c r="O236" s="1"/>
  <c r="O231"/>
  <c r="O237" s="1"/>
  <c r="O227"/>
  <c r="O233" s="1"/>
  <c r="R374"/>
  <c r="R363"/>
  <c r="Q340"/>
  <c r="Q355" s="1"/>
  <c r="Q359"/>
  <c r="Q365" s="1"/>
  <c r="Q367" s="1"/>
  <c r="O340"/>
  <c r="O355" s="1"/>
  <c r="O359"/>
  <c r="O365" s="1"/>
  <c r="O367" s="1"/>
  <c r="J230"/>
  <c r="J236" s="1"/>
  <c r="J228"/>
  <c r="J234" s="1"/>
  <c r="J227"/>
  <c r="J233" s="1"/>
  <c r="J231"/>
  <c r="J237" s="1"/>
  <c r="G103" i="56"/>
  <c r="K105" s="1"/>
  <c r="N105" s="1"/>
  <c r="G119"/>
  <c r="V228" i="18"/>
  <c r="V234" s="1"/>
  <c r="V230"/>
  <c r="V236" s="1"/>
  <c r="V231"/>
  <c r="V237" s="1"/>
  <c r="V227"/>
  <c r="V233" s="1"/>
  <c r="L326"/>
  <c r="T326" s="1"/>
  <c r="X326" s="1"/>
  <c r="G374"/>
  <c r="G363"/>
  <c r="W230"/>
  <c r="W236" s="1"/>
  <c r="W247" s="1"/>
  <c r="W228"/>
  <c r="W234" s="1"/>
  <c r="W231"/>
  <c r="W237" s="1"/>
  <c r="W227"/>
  <c r="W233" s="1"/>
  <c r="K340" i="25"/>
  <c r="K341"/>
  <c r="AQ229" i="9"/>
  <c r="AQ233" s="1"/>
  <c r="AQ213"/>
  <c r="L199"/>
  <c r="L200" s="1"/>
  <c r="L170"/>
  <c r="R357" i="18"/>
  <c r="V365"/>
  <c r="V367" s="1"/>
  <c r="R80" i="10"/>
  <c r="U195" i="18"/>
  <c r="O370"/>
  <c r="P370"/>
  <c r="R196"/>
  <c r="K79" i="10"/>
  <c r="L80"/>
  <c r="M79"/>
  <c r="L82"/>
  <c r="W196" i="18"/>
  <c r="I81" i="10"/>
  <c r="I82"/>
  <c r="I83"/>
  <c r="J83"/>
  <c r="G55"/>
  <c r="G75" s="1"/>
  <c r="N75" s="1"/>
  <c r="Y75" s="1"/>
  <c r="G49"/>
  <c r="G69" s="1"/>
  <c r="N69" s="1"/>
  <c r="Y69" s="1"/>
  <c r="G54"/>
  <c r="G74" s="1"/>
  <c r="N74" s="1"/>
  <c r="Y74" s="1"/>
  <c r="G57"/>
  <c r="G77" s="1"/>
  <c r="N77" s="1"/>
  <c r="Y77" s="1"/>
  <c r="G36"/>
  <c r="G41" s="1"/>
  <c r="G45"/>
  <c r="G65" s="1"/>
  <c r="G56"/>
  <c r="G76" s="1"/>
  <c r="N76" s="1"/>
  <c r="Y76" s="1"/>
  <c r="G44"/>
  <c r="G64" s="1"/>
  <c r="G51"/>
  <c r="G71" s="1"/>
  <c r="N71" s="1"/>
  <c r="Y71" s="1"/>
  <c r="G50"/>
  <c r="G70" s="1"/>
  <c r="N70" s="1"/>
  <c r="Y70" s="1"/>
  <c r="G48"/>
  <c r="G68" s="1"/>
  <c r="N68" s="1"/>
  <c r="Y68" s="1"/>
  <c r="G42"/>
  <c r="G62" s="1"/>
  <c r="G43"/>
  <c r="G63" s="1"/>
  <c r="Y229" i="8"/>
  <c r="Y233" s="1"/>
  <c r="Y213"/>
  <c r="AF213" s="1"/>
  <c r="Z214"/>
  <c r="AA214"/>
  <c r="AC214"/>
  <c r="AE214"/>
  <c r="AD214"/>
  <c r="AB214"/>
  <c r="Y214"/>
  <c r="G933"/>
  <c r="I138" i="66"/>
  <c r="N105" i="55"/>
  <c r="W90" i="28"/>
  <c r="W91" s="1"/>
  <c r="W92" s="1"/>
  <c r="W93" s="1"/>
  <c r="L199" i="8"/>
  <c r="L200" s="1"/>
  <c r="L170"/>
  <c r="H184" i="18"/>
  <c r="H185" s="1"/>
  <c r="H187" s="1"/>
  <c r="H312" s="1"/>
  <c r="H357" s="1"/>
  <c r="G201" i="8"/>
  <c r="Y200"/>
  <c r="AQ200"/>
  <c r="BI200"/>
  <c r="AZ200"/>
  <c r="G966"/>
  <c r="G86" i="10"/>
  <c r="P200" i="8"/>
  <c r="E146" i="66"/>
  <c r="O184" i="18"/>
  <c r="O185" s="1"/>
  <c r="O187" s="1"/>
  <c r="O312" s="1"/>
  <c r="O357" s="1"/>
  <c r="N97" i="55"/>
  <c r="G98"/>
  <c r="G111" s="1"/>
  <c r="G112" s="1"/>
  <c r="M163" i="67"/>
  <c r="I163"/>
  <c r="H163"/>
  <c r="J163"/>
  <c r="R233" i="8"/>
  <c r="L163" i="67"/>
  <c r="N163"/>
  <c r="U184" i="18"/>
  <c r="U185" s="1"/>
  <c r="U187" s="1"/>
  <c r="U312" s="1"/>
  <c r="U357" s="1"/>
  <c r="N184"/>
  <c r="N185" s="1"/>
  <c r="N187" s="1"/>
  <c r="N312" s="1"/>
  <c r="N357" s="1"/>
  <c r="AK213" i="8"/>
  <c r="AK214" s="1"/>
  <c r="AK229"/>
  <c r="AK233" s="1"/>
  <c r="G90" i="60"/>
  <c r="G102" s="1"/>
  <c r="G103" s="1"/>
  <c r="O89"/>
  <c r="M197" i="55"/>
  <c r="J81" i="10"/>
  <c r="L83"/>
  <c r="M184" i="55"/>
  <c r="BI229" i="8"/>
  <c r="BI233" s="1"/>
  <c r="BI213"/>
  <c r="BP213" s="1"/>
  <c r="BL214"/>
  <c r="BM214"/>
  <c r="BI214"/>
  <c r="BN214"/>
  <c r="BJ214"/>
  <c r="BO214"/>
  <c r="BK214"/>
  <c r="AQ229"/>
  <c r="AQ233" s="1"/>
  <c r="AQ213"/>
  <c r="AX213" s="1"/>
  <c r="K188"/>
  <c r="G1076"/>
  <c r="I170"/>
  <c r="J170"/>
  <c r="J199"/>
  <c r="J200" s="1"/>
  <c r="U90" i="28"/>
  <c r="U91" s="1"/>
  <c r="U92" s="1"/>
  <c r="U93" s="1"/>
  <c r="J184" i="18"/>
  <c r="J185" s="1"/>
  <c r="J187" s="1"/>
  <c r="J312" s="1"/>
  <c r="J357" s="1"/>
  <c r="L53" i="10"/>
  <c r="L73" s="1"/>
  <c r="L61"/>
  <c r="L47"/>
  <c r="L67" s="1"/>
  <c r="I200" i="8"/>
  <c r="H59" i="58"/>
  <c r="H61" s="1"/>
  <c r="I61" s="1"/>
  <c r="S90" i="28"/>
  <c r="S91" s="1"/>
  <c r="S92" s="1"/>
  <c r="S93" s="1"/>
  <c r="H199" i="8"/>
  <c r="H200" s="1"/>
  <c r="G170"/>
  <c r="K170"/>
  <c r="H170"/>
  <c r="M170"/>
  <c r="J80" i="10"/>
  <c r="N370" i="18"/>
  <c r="G960" i="8"/>
  <c r="G122" i="55"/>
  <c r="N122" s="1"/>
  <c r="N124" s="1"/>
  <c r="G112" i="60"/>
  <c r="O112" s="1"/>
  <c r="O114" s="1"/>
  <c r="O115" s="1"/>
  <c r="F181" s="1"/>
  <c r="F205" s="1"/>
  <c r="N190" i="8"/>
  <c r="AH184"/>
  <c r="P229"/>
  <c r="P233" s="1"/>
  <c r="P213"/>
  <c r="W213" s="1"/>
  <c r="R214"/>
  <c r="Q214"/>
  <c r="P214"/>
  <c r="T214"/>
  <c r="V214"/>
  <c r="S214"/>
  <c r="U214"/>
  <c r="BM200"/>
  <c r="BD200"/>
  <c r="AC200"/>
  <c r="K86" i="10"/>
  <c r="AU200" i="8"/>
  <c r="E150" i="66"/>
  <c r="K201" i="8"/>
  <c r="T200"/>
  <c r="K966"/>
  <c r="S184" i="18"/>
  <c r="S185" s="1"/>
  <c r="S187" s="1"/>
  <c r="S312" s="1"/>
  <c r="S357" s="1"/>
  <c r="J61" i="10"/>
  <c r="J47"/>
  <c r="J67" s="1"/>
  <c r="J53"/>
  <c r="J73" s="1"/>
  <c r="AM229" i="8"/>
  <c r="AM233" s="1"/>
  <c r="AM213"/>
  <c r="AM214" s="1"/>
  <c r="AE200"/>
  <c r="M86" i="10"/>
  <c r="BF200" i="8"/>
  <c r="BO200"/>
  <c r="AW200"/>
  <c r="M201"/>
  <c r="E152" i="66"/>
  <c r="V200" i="8"/>
  <c r="M966"/>
  <c r="V184" i="18"/>
  <c r="V185" s="1"/>
  <c r="V187" s="1"/>
  <c r="V312" s="1"/>
  <c r="V357" s="1"/>
  <c r="M196"/>
  <c r="J82" i="10"/>
  <c r="L81"/>
  <c r="I196" i="18"/>
  <c r="AZ213" i="8"/>
  <c r="BG213" s="1"/>
  <c r="AZ229"/>
  <c r="AZ233" s="1"/>
  <c r="BB214"/>
  <c r="BD214"/>
  <c r="AZ214"/>
  <c r="BC214"/>
  <c r="BA214"/>
  <c r="BE214"/>
  <c r="BF214"/>
  <c r="P184" i="18"/>
  <c r="P185" s="1"/>
  <c r="P187" s="1"/>
  <c r="P312" s="1"/>
  <c r="K184"/>
  <c r="K185" s="1"/>
  <c r="K187" s="1"/>
  <c r="K312" s="1"/>
  <c r="K357" s="1"/>
  <c r="I118" i="41"/>
  <c r="I123"/>
  <c r="L124" s="1"/>
  <c r="I728" i="66" s="1"/>
  <c r="I121" i="41"/>
  <c r="I122"/>
  <c r="I120"/>
  <c r="L120" s="1"/>
  <c r="I724" i="66" s="1"/>
  <c r="I53" i="10"/>
  <c r="I73" s="1"/>
  <c r="I61"/>
  <c r="I47"/>
  <c r="I67" s="1"/>
  <c r="Q184" i="18"/>
  <c r="Q185" s="1"/>
  <c r="Q187" s="1"/>
  <c r="Q312" s="1"/>
  <c r="Q357" s="1"/>
  <c r="AJ213" i="8"/>
  <c r="AJ214" s="1"/>
  <c r="AJ229"/>
  <c r="AJ233" s="1"/>
  <c r="B197" i="55"/>
  <c r="I119" i="41"/>
  <c r="L119" s="1"/>
  <c r="I723" i="66" s="1"/>
  <c r="I80" i="10"/>
  <c r="B184" i="55"/>
  <c r="E492" i="25"/>
  <c r="F485"/>
  <c r="F492" s="1"/>
  <c r="AX812" i="9"/>
  <c r="AX813" s="1"/>
  <c r="AQ813"/>
  <c r="AQ859"/>
  <c r="AX812" i="8"/>
  <c r="AX813" s="1"/>
  <c r="AQ859"/>
  <c r="AQ813"/>
  <c r="H79" i="10"/>
  <c r="AI214" i="8"/>
  <c r="M63" i="27"/>
  <c r="K63" s="1"/>
  <c r="H196" i="18" l="1"/>
  <c r="L363"/>
  <c r="T363" s="1"/>
  <c r="X363" s="1"/>
  <c r="Q370"/>
  <c r="H231"/>
  <c r="H237" s="1"/>
  <c r="U196"/>
  <c r="H227"/>
  <c r="H233" s="1"/>
  <c r="I357"/>
  <c r="P357"/>
  <c r="BP214" i="9"/>
  <c r="BG214"/>
  <c r="R380" i="18"/>
  <c r="R384" s="1"/>
  <c r="R392" s="1"/>
  <c r="R378"/>
  <c r="T117" i="10"/>
  <c r="T103"/>
  <c r="T123" s="1"/>
  <c r="T150" s="1"/>
  <c r="T109"/>
  <c r="T129" s="1"/>
  <c r="T156" s="1"/>
  <c r="G253" i="26"/>
  <c r="H253" s="1"/>
  <c r="J253" s="1"/>
  <c r="N98" i="56"/>
  <c r="M378" i="18"/>
  <c r="M380"/>
  <c r="M384" s="1"/>
  <c r="M392" s="1"/>
  <c r="L346"/>
  <c r="T346" s="1"/>
  <c r="X346" s="1"/>
  <c r="G352"/>
  <c r="L352" s="1"/>
  <c r="T352" s="1"/>
  <c r="X352" s="1"/>
  <c r="L161"/>
  <c r="T161" s="1"/>
  <c r="X161" s="1"/>
  <c r="G183"/>
  <c r="G164"/>
  <c r="L164" s="1"/>
  <c r="T164" s="1"/>
  <c r="X164" s="1"/>
  <c r="W77" i="10"/>
  <c r="Z77" s="1"/>
  <c r="P82"/>
  <c r="W82" s="1"/>
  <c r="Z82" s="1"/>
  <c r="W64"/>
  <c r="Z64" s="1"/>
  <c r="P53"/>
  <c r="P73" s="1"/>
  <c r="P61"/>
  <c r="P47"/>
  <c r="P67" s="1"/>
  <c r="AR215" i="9"/>
  <c r="AR217" s="1"/>
  <c r="AR230"/>
  <c r="AR234" s="1"/>
  <c r="AR235" s="1"/>
  <c r="AR254" s="1"/>
  <c r="BJ230"/>
  <c r="BJ234" s="1"/>
  <c r="BJ235" s="1"/>
  <c r="BJ254" s="1"/>
  <c r="BJ215"/>
  <c r="O380" i="18"/>
  <c r="O384" s="1"/>
  <c r="O392" s="1"/>
  <c r="O378"/>
  <c r="J247"/>
  <c r="V247"/>
  <c r="S365"/>
  <c r="R365"/>
  <c r="U228"/>
  <c r="U234" s="1"/>
  <c r="U227"/>
  <c r="U233" s="1"/>
  <c r="U231"/>
  <c r="U237" s="1"/>
  <c r="U230"/>
  <c r="U236" s="1"/>
  <c r="G378"/>
  <c r="G380"/>
  <c r="L374"/>
  <c r="T374" s="1"/>
  <c r="AL215" i="9"/>
  <c r="AL216" s="1"/>
  <c r="AL217" s="1"/>
  <c r="AL230"/>
  <c r="AL234" s="1"/>
  <c r="AL235" s="1"/>
  <c r="AL254" s="1"/>
  <c r="T147" i="10"/>
  <c r="T165" s="1"/>
  <c r="T138"/>
  <c r="BP213" i="9"/>
  <c r="AF213"/>
  <c r="S378" i="18"/>
  <c r="S380"/>
  <c r="S384" s="1"/>
  <c r="S392" s="1"/>
  <c r="G230"/>
  <c r="G236" s="1"/>
  <c r="G247" s="1"/>
  <c r="G231"/>
  <c r="G237" s="1"/>
  <c r="G228"/>
  <c r="G234" s="1"/>
  <c r="G227"/>
  <c r="G233" s="1"/>
  <c r="G170" i="9"/>
  <c r="G199"/>
  <c r="G200" s="1"/>
  <c r="K170"/>
  <c r="H170"/>
  <c r="N230" i="18"/>
  <c r="N236" s="1"/>
  <c r="N247" s="1"/>
  <c r="N227"/>
  <c r="N233" s="1"/>
  <c r="N231"/>
  <c r="N237" s="1"/>
  <c r="N228"/>
  <c r="N234" s="1"/>
  <c r="AH229" i="9"/>
  <c r="AH233" s="1"/>
  <c r="AH213"/>
  <c r="P80" i="10"/>
  <c r="W80" s="1"/>
  <c r="Z80" s="1"/>
  <c r="W62"/>
  <c r="Z62" s="1"/>
  <c r="W69"/>
  <c r="Z69" s="1"/>
  <c r="AA69" s="1"/>
  <c r="W74"/>
  <c r="Z74" s="1"/>
  <c r="AA74" s="1"/>
  <c r="W75"/>
  <c r="Z75" s="1"/>
  <c r="Z215" i="9"/>
  <c r="Z230"/>
  <c r="Z234" s="1"/>
  <c r="Z235" s="1"/>
  <c r="Z254" s="1"/>
  <c r="P378" i="18"/>
  <c r="P380"/>
  <c r="P384" s="1"/>
  <c r="H365"/>
  <c r="H367" s="1"/>
  <c r="J170" i="9"/>
  <c r="AX213"/>
  <c r="T145" i="10"/>
  <c r="T163" s="1"/>
  <c r="T136"/>
  <c r="T139"/>
  <c r="T148"/>
  <c r="T166" s="1"/>
  <c r="I199" i="9"/>
  <c r="I200" s="1"/>
  <c r="I170"/>
  <c r="Q228" i="18"/>
  <c r="Q234" s="1"/>
  <c r="Q227"/>
  <c r="Q233" s="1"/>
  <c r="Q231"/>
  <c r="Q237" s="1"/>
  <c r="Q230"/>
  <c r="Q236" s="1"/>
  <c r="Q247" s="1"/>
  <c r="J378"/>
  <c r="J380"/>
  <c r="J384" s="1"/>
  <c r="J392" s="1"/>
  <c r="K380"/>
  <c r="K384" s="1"/>
  <c r="K392" s="1"/>
  <c r="K378"/>
  <c r="BL200" i="9"/>
  <c r="BC200"/>
  <c r="I150" i="66"/>
  <c r="S86" i="10"/>
  <c r="AT200" i="9"/>
  <c r="AB200"/>
  <c r="J201"/>
  <c r="S200"/>
  <c r="J966"/>
  <c r="J129" i="56" s="1"/>
  <c r="J134" s="1"/>
  <c r="N380" i="18"/>
  <c r="N384" s="1"/>
  <c r="N392" s="1"/>
  <c r="N378"/>
  <c r="I378"/>
  <c r="I380"/>
  <c r="I384" s="1"/>
  <c r="I392" s="1"/>
  <c r="L334"/>
  <c r="T334" s="1"/>
  <c r="X334" s="1"/>
  <c r="G336"/>
  <c r="BG213" i="9"/>
  <c r="W68" i="10"/>
  <c r="Z68" s="1"/>
  <c r="AA68" s="1"/>
  <c r="W70"/>
  <c r="Z70" s="1"/>
  <c r="AA70" s="1"/>
  <c r="W76"/>
  <c r="Z76" s="1"/>
  <c r="AA76" s="1"/>
  <c r="Q106"/>
  <c r="Q126" s="1"/>
  <c r="Q153" s="1"/>
  <c r="Q93"/>
  <c r="Q97" s="1"/>
  <c r="Q101"/>
  <c r="Q121" s="1"/>
  <c r="Q113"/>
  <c r="Q133" s="1"/>
  <c r="Q160" s="1"/>
  <c r="Q104"/>
  <c r="Q124" s="1"/>
  <c r="Q151" s="1"/>
  <c r="Q112"/>
  <c r="Q132" s="1"/>
  <c r="Q159" s="1"/>
  <c r="Q111"/>
  <c r="Q131" s="1"/>
  <c r="Q158" s="1"/>
  <c r="Q100"/>
  <c r="Q120" s="1"/>
  <c r="Q98"/>
  <c r="Q118" s="1"/>
  <c r="Q110"/>
  <c r="Q130" s="1"/>
  <c r="Q157" s="1"/>
  <c r="Q107"/>
  <c r="Q127" s="1"/>
  <c r="Q154" s="1"/>
  <c r="Q105"/>
  <c r="Q125" s="1"/>
  <c r="Q152" s="1"/>
  <c r="Q99"/>
  <c r="Q119" s="1"/>
  <c r="Q380" i="18"/>
  <c r="Q384" s="1"/>
  <c r="Q378"/>
  <c r="AA77" i="10"/>
  <c r="AF214" i="9"/>
  <c r="M370" i="18"/>
  <c r="U247"/>
  <c r="H247"/>
  <c r="L192"/>
  <c r="O247"/>
  <c r="W214" i="9"/>
  <c r="U200"/>
  <c r="BE200"/>
  <c r="BN200"/>
  <c r="AD200"/>
  <c r="U86" i="10"/>
  <c r="L201" i="9"/>
  <c r="I152" i="66"/>
  <c r="AV200" i="9"/>
  <c r="L966"/>
  <c r="L129" i="56" s="1"/>
  <c r="L134" s="1"/>
  <c r="N119"/>
  <c r="N124" s="1"/>
  <c r="K196" i="60" s="1"/>
  <c r="T146" i="10"/>
  <c r="T164" s="1"/>
  <c r="T137"/>
  <c r="H380" i="18"/>
  <c r="H384" s="1"/>
  <c r="H392" s="1"/>
  <c r="H378"/>
  <c r="T129"/>
  <c r="L195"/>
  <c r="R228"/>
  <c r="R234" s="1"/>
  <c r="R227"/>
  <c r="R233" s="1"/>
  <c r="R230"/>
  <c r="R236" s="1"/>
  <c r="R247" s="1"/>
  <c r="R231"/>
  <c r="R237" s="1"/>
  <c r="G98" i="56"/>
  <c r="G111" s="1"/>
  <c r="G112" s="1"/>
  <c r="N97"/>
  <c r="N99" s="1"/>
  <c r="W213" i="9"/>
  <c r="G359" i="18"/>
  <c r="L328"/>
  <c r="T328" s="1"/>
  <c r="X328" s="1"/>
  <c r="AJ214" i="9"/>
  <c r="W63" i="10"/>
  <c r="Z63" s="1"/>
  <c r="P81"/>
  <c r="W81" s="1"/>
  <c r="Z81" s="1"/>
  <c r="W71"/>
  <c r="Z71" s="1"/>
  <c r="AA71" s="1"/>
  <c r="W65"/>
  <c r="Z65" s="1"/>
  <c r="P83"/>
  <c r="W83" s="1"/>
  <c r="Z83" s="1"/>
  <c r="BA215" i="9"/>
  <c r="BA230"/>
  <c r="BA234" s="1"/>
  <c r="BA235" s="1"/>
  <c r="BA254" s="1"/>
  <c r="Q230"/>
  <c r="Q234" s="1"/>
  <c r="Q235" s="1"/>
  <c r="Q254" s="1"/>
  <c r="AI200"/>
  <c r="Q215"/>
  <c r="R79" i="10"/>
  <c r="AA75"/>
  <c r="J365" i="18"/>
  <c r="K365"/>
  <c r="K367" s="1"/>
  <c r="V97" i="28"/>
  <c r="I282" i="34"/>
  <c r="K196" i="18"/>
  <c r="J196"/>
  <c r="V196"/>
  <c r="L125" i="41"/>
  <c r="I729" i="66" s="1"/>
  <c r="L126" i="41"/>
  <c r="I730" i="66" s="1"/>
  <c r="AN200" i="8"/>
  <c r="V230"/>
  <c r="V234" s="1"/>
  <c r="V235" s="1"/>
  <c r="V254" s="1"/>
  <c r="V215"/>
  <c r="BO230"/>
  <c r="BO234" s="1"/>
  <c r="BO235" s="1"/>
  <c r="BO254" s="1"/>
  <c r="BO215"/>
  <c r="AC215"/>
  <c r="AC230"/>
  <c r="AC234" s="1"/>
  <c r="AC235" s="1"/>
  <c r="AC254" s="1"/>
  <c r="AH213"/>
  <c r="AH229"/>
  <c r="AH233" s="1"/>
  <c r="J86" i="10"/>
  <c r="BC200" i="8"/>
  <c r="AB200"/>
  <c r="J201"/>
  <c r="J966"/>
  <c r="BL200"/>
  <c r="S200"/>
  <c r="E149" i="66"/>
  <c r="AT200" i="8"/>
  <c r="K187" i="9"/>
  <c r="N106" i="55"/>
  <c r="G15" i="58"/>
  <c r="G17" s="1"/>
  <c r="H933" i="8"/>
  <c r="P230"/>
  <c r="P234" s="1"/>
  <c r="P235" s="1"/>
  <c r="P254" s="1"/>
  <c r="AH200"/>
  <c r="P215"/>
  <c r="BI215"/>
  <c r="BI230"/>
  <c r="BI234" s="1"/>
  <c r="BI235" s="1"/>
  <c r="BI254" s="1"/>
  <c r="G81" i="10"/>
  <c r="N81" s="1"/>
  <c r="Y81" s="1"/>
  <c r="AA81" s="1"/>
  <c r="N63"/>
  <c r="Y63" s="1"/>
  <c r="G61"/>
  <c r="G47"/>
  <c r="G67" s="1"/>
  <c r="N67" s="1"/>
  <c r="Y67" s="1"/>
  <c r="G53"/>
  <c r="G73" s="1"/>
  <c r="N73" s="1"/>
  <c r="Y73" s="1"/>
  <c r="I79"/>
  <c r="J79"/>
  <c r="L122" i="41"/>
  <c r="I726" i="66" s="1"/>
  <c r="L123" i="41"/>
  <c r="I727" i="66" s="1"/>
  <c r="L121" i="41"/>
  <c r="I725" i="66" s="1"/>
  <c r="M129" i="55"/>
  <c r="M134" s="1"/>
  <c r="M120" i="60"/>
  <c r="AW230" i="8"/>
  <c r="AW234" s="1"/>
  <c r="AW235" s="1"/>
  <c r="AW254" s="1"/>
  <c r="AW215"/>
  <c r="AW217" s="1"/>
  <c r="AE215"/>
  <c r="AE230"/>
  <c r="AE234" s="1"/>
  <c r="AE235" s="1"/>
  <c r="AE254" s="1"/>
  <c r="AL200"/>
  <c r="T230"/>
  <c r="T234" s="1"/>
  <c r="T235" s="1"/>
  <c r="T254" s="1"/>
  <c r="T215"/>
  <c r="K99" i="10"/>
  <c r="K119" s="1"/>
  <c r="K111"/>
  <c r="K131" s="1"/>
  <c r="K158" s="1"/>
  <c r="K107"/>
  <c r="K127" s="1"/>
  <c r="K154" s="1"/>
  <c r="K98"/>
  <c r="K118" s="1"/>
  <c r="K101"/>
  <c r="K121" s="1"/>
  <c r="K110"/>
  <c r="K130" s="1"/>
  <c r="K157" s="1"/>
  <c r="K93"/>
  <c r="K97" s="1"/>
  <c r="K112"/>
  <c r="K132" s="1"/>
  <c r="K159" s="1"/>
  <c r="K113"/>
  <c r="K133" s="1"/>
  <c r="K160" s="1"/>
  <c r="K104"/>
  <c r="K124" s="1"/>
  <c r="K151" s="1"/>
  <c r="K100"/>
  <c r="K120" s="1"/>
  <c r="K106"/>
  <c r="K126" s="1"/>
  <c r="K153" s="1"/>
  <c r="K105"/>
  <c r="K125" s="1"/>
  <c r="K152" s="1"/>
  <c r="R200" i="8"/>
  <c r="AS200"/>
  <c r="I966"/>
  <c r="BK200"/>
  <c r="I86" i="10"/>
  <c r="E148" i="66"/>
  <c r="J96" i="67"/>
  <c r="AA200" i="8"/>
  <c r="I201"/>
  <c r="BB200"/>
  <c r="H42" i="58"/>
  <c r="H44" s="1"/>
  <c r="G113" i="55"/>
  <c r="K115" s="1"/>
  <c r="G126"/>
  <c r="AZ230" i="8"/>
  <c r="AZ234" s="1"/>
  <c r="AZ235" s="1"/>
  <c r="AZ254" s="1"/>
  <c r="AZ215"/>
  <c r="L86" i="10"/>
  <c r="BN200" i="8"/>
  <c r="AD200"/>
  <c r="BE200"/>
  <c r="L201"/>
  <c r="AV200"/>
  <c r="J42" i="58"/>
  <c r="J44" s="1"/>
  <c r="E151" i="66"/>
  <c r="U200" i="8"/>
  <c r="J131" i="67"/>
  <c r="J132" s="1"/>
  <c r="J137" s="1"/>
  <c r="L966" i="8"/>
  <c r="G83" i="10"/>
  <c r="N83" s="1"/>
  <c r="Y83" s="1"/>
  <c r="AA83" s="1"/>
  <c r="N65"/>
  <c r="Y65" s="1"/>
  <c r="AA65" s="1"/>
  <c r="BG214" i="8"/>
  <c r="W214"/>
  <c r="BP214"/>
  <c r="AF214"/>
  <c r="L118" i="41"/>
  <c r="I124"/>
  <c r="M99" i="10"/>
  <c r="M119" s="1"/>
  <c r="M111"/>
  <c r="M131" s="1"/>
  <c r="M158" s="1"/>
  <c r="M100"/>
  <c r="M120" s="1"/>
  <c r="M104"/>
  <c r="M124" s="1"/>
  <c r="M151" s="1"/>
  <c r="M105"/>
  <c r="M125" s="1"/>
  <c r="M152" s="1"/>
  <c r="M101"/>
  <c r="M121" s="1"/>
  <c r="M110"/>
  <c r="M130" s="1"/>
  <c r="M157" s="1"/>
  <c r="M93"/>
  <c r="M97" s="1"/>
  <c r="M98"/>
  <c r="M118" s="1"/>
  <c r="M112"/>
  <c r="M132" s="1"/>
  <c r="M159" s="1"/>
  <c r="M106"/>
  <c r="M126" s="1"/>
  <c r="M153" s="1"/>
  <c r="M107"/>
  <c r="M127" s="1"/>
  <c r="M154" s="1"/>
  <c r="M113"/>
  <c r="M133" s="1"/>
  <c r="M160" s="1"/>
  <c r="K120" i="60"/>
  <c r="K129" i="55"/>
  <c r="K134" s="1"/>
  <c r="AU215" i="8"/>
  <c r="AU217" s="1"/>
  <c r="AU230"/>
  <c r="AU234" s="1"/>
  <c r="AU235" s="1"/>
  <c r="AU254" s="1"/>
  <c r="BM215"/>
  <c r="BM230"/>
  <c r="BM234" s="1"/>
  <c r="BM235" s="1"/>
  <c r="BM254" s="1"/>
  <c r="G104" i="60"/>
  <c r="K106" s="1"/>
  <c r="G117"/>
  <c r="O117" s="1"/>
  <c r="G120"/>
  <c r="G129" i="55"/>
  <c r="Y230" i="8"/>
  <c r="Y234" s="1"/>
  <c r="Y235" s="1"/>
  <c r="Y254" s="1"/>
  <c r="Y215"/>
  <c r="BF230"/>
  <c r="BF234" s="1"/>
  <c r="BF235" s="1"/>
  <c r="BF254" s="1"/>
  <c r="BF215"/>
  <c r="BD215"/>
  <c r="BD230"/>
  <c r="BD234" s="1"/>
  <c r="BD235" s="1"/>
  <c r="BD254" s="1"/>
  <c r="I226" i="34"/>
  <c r="I240" s="1"/>
  <c r="I242" s="1"/>
  <c r="I255" s="1"/>
  <c r="I257" s="1"/>
  <c r="N170" i="60"/>
  <c r="N171" s="1"/>
  <c r="N172" s="1"/>
  <c r="N960" i="8"/>
  <c r="BA200"/>
  <c r="Z200"/>
  <c r="AR200"/>
  <c r="BJ200"/>
  <c r="Q200"/>
  <c r="H86" i="10"/>
  <c r="E147" i="66"/>
  <c r="H201" i="8"/>
  <c r="H966"/>
  <c r="G105" i="10"/>
  <c r="G125" s="1"/>
  <c r="G152" s="1"/>
  <c r="G106"/>
  <c r="G126" s="1"/>
  <c r="G153" s="1"/>
  <c r="G110"/>
  <c r="G130" s="1"/>
  <c r="G157" s="1"/>
  <c r="G113"/>
  <c r="G133" s="1"/>
  <c r="G160" s="1"/>
  <c r="G104"/>
  <c r="G124" s="1"/>
  <c r="G151" s="1"/>
  <c r="G99"/>
  <c r="G119" s="1"/>
  <c r="G107"/>
  <c r="G127" s="1"/>
  <c r="G154" s="1"/>
  <c r="G101"/>
  <c r="G121" s="1"/>
  <c r="G111"/>
  <c r="G131" s="1"/>
  <c r="G98"/>
  <c r="G118" s="1"/>
  <c r="G112"/>
  <c r="G132" s="1"/>
  <c r="G100"/>
  <c r="G120" s="1"/>
  <c r="G93"/>
  <c r="G97" s="1"/>
  <c r="AQ215" i="8"/>
  <c r="AQ217" s="1"/>
  <c r="AQ230"/>
  <c r="AQ234" s="1"/>
  <c r="AQ235" s="1"/>
  <c r="AQ254" s="1"/>
  <c r="G80" i="10"/>
  <c r="N80" s="1"/>
  <c r="Y80" s="1"/>
  <c r="N62"/>
  <c r="Y62" s="1"/>
  <c r="AA62" s="1"/>
  <c r="G82"/>
  <c r="N82" s="1"/>
  <c r="Y82" s="1"/>
  <c r="AA82" s="1"/>
  <c r="N64"/>
  <c r="Y64" s="1"/>
  <c r="AA64" s="1"/>
  <c r="Q196" i="18"/>
  <c r="P196"/>
  <c r="S196"/>
  <c r="L79" i="10"/>
  <c r="N196" i="18"/>
  <c r="O196"/>
  <c r="B40" i="27"/>
  <c r="I65"/>
  <c r="I66" s="1"/>
  <c r="H65"/>
  <c r="H66" s="1"/>
  <c r="F65"/>
  <c r="F66" s="1"/>
  <c r="G65"/>
  <c r="G66" s="1"/>
  <c r="AQ860" i="8"/>
  <c r="AX859"/>
  <c r="AX859" i="9"/>
  <c r="AQ860"/>
  <c r="I386" i="18" l="1"/>
  <c r="S394"/>
  <c r="K394"/>
  <c r="K398" s="1"/>
  <c r="O386"/>
  <c r="AA80" i="10"/>
  <c r="H370" i="18"/>
  <c r="J394"/>
  <c r="M386"/>
  <c r="N386"/>
  <c r="O394"/>
  <c r="AA63" i="10"/>
  <c r="AI230" i="9"/>
  <c r="AI234" s="1"/>
  <c r="AI235" s="1"/>
  <c r="AI254" s="1"/>
  <c r="AI215"/>
  <c r="L228" i="18"/>
  <c r="L234" s="1"/>
  <c r="L231"/>
  <c r="L237" s="1"/>
  <c r="L227"/>
  <c r="L233" s="1"/>
  <c r="U99" i="10"/>
  <c r="U119" s="1"/>
  <c r="U112"/>
  <c r="U132" s="1"/>
  <c r="U159" s="1"/>
  <c r="U111"/>
  <c r="U131" s="1"/>
  <c r="U158" s="1"/>
  <c r="U98"/>
  <c r="U118" s="1"/>
  <c r="U107"/>
  <c r="U127" s="1"/>
  <c r="U154" s="1"/>
  <c r="U106"/>
  <c r="U126" s="1"/>
  <c r="U153" s="1"/>
  <c r="U104"/>
  <c r="U124" s="1"/>
  <c r="U151" s="1"/>
  <c r="U110"/>
  <c r="U130" s="1"/>
  <c r="U157" s="1"/>
  <c r="U100"/>
  <c r="U120" s="1"/>
  <c r="U105"/>
  <c r="U125" s="1"/>
  <c r="U152" s="1"/>
  <c r="U101"/>
  <c r="U121" s="1"/>
  <c r="U93"/>
  <c r="U97" s="1"/>
  <c r="U113"/>
  <c r="U133" s="1"/>
  <c r="U160" s="1"/>
  <c r="U215" i="9"/>
  <c r="AM200"/>
  <c r="U230"/>
  <c r="U234" s="1"/>
  <c r="U235" s="1"/>
  <c r="U254" s="1"/>
  <c r="Q137" i="10"/>
  <c r="Q146"/>
  <c r="Q164" s="1"/>
  <c r="Q145"/>
  <c r="Q163" s="1"/>
  <c r="Q136"/>
  <c r="S215" i="9"/>
  <c r="AK200"/>
  <c r="S230"/>
  <c r="S234" s="1"/>
  <c r="S235" s="1"/>
  <c r="S254" s="1"/>
  <c r="S100" i="10"/>
  <c r="S120" s="1"/>
  <c r="S110"/>
  <c r="S130" s="1"/>
  <c r="S157" s="1"/>
  <c r="S93"/>
  <c r="S97" s="1"/>
  <c r="S107"/>
  <c r="S127" s="1"/>
  <c r="S154" s="1"/>
  <c r="S101"/>
  <c r="S121" s="1"/>
  <c r="S98"/>
  <c r="S118" s="1"/>
  <c r="S113"/>
  <c r="S133" s="1"/>
  <c r="S160" s="1"/>
  <c r="S106"/>
  <c r="S126" s="1"/>
  <c r="S153" s="1"/>
  <c r="S111"/>
  <c r="S131" s="1"/>
  <c r="S158" s="1"/>
  <c r="S104"/>
  <c r="S124" s="1"/>
  <c r="S151" s="1"/>
  <c r="S105"/>
  <c r="S125" s="1"/>
  <c r="S152" s="1"/>
  <c r="S99"/>
  <c r="S119" s="1"/>
  <c r="S112"/>
  <c r="S132" s="1"/>
  <c r="S159" s="1"/>
  <c r="G384" i="18"/>
  <c r="L380"/>
  <c r="T380" s="1"/>
  <c r="S367"/>
  <c r="S370"/>
  <c r="S386" s="1"/>
  <c r="W73" i="10"/>
  <c r="Z73" s="1"/>
  <c r="I394" i="18"/>
  <c r="L247"/>
  <c r="T247" s="1"/>
  <c r="X247" s="1"/>
  <c r="M394"/>
  <c r="J367"/>
  <c r="J370"/>
  <c r="J386" s="1"/>
  <c r="G365"/>
  <c r="L359"/>
  <c r="T359" s="1"/>
  <c r="X359" s="1"/>
  <c r="G113" i="56"/>
  <c r="K114" s="1"/>
  <c r="G126"/>
  <c r="BE215" i="9"/>
  <c r="BE230"/>
  <c r="BE234" s="1"/>
  <c r="BE235" s="1"/>
  <c r="BE254" s="1"/>
  <c r="Q392" i="18"/>
  <c r="Q386"/>
  <c r="Q117" i="10"/>
  <c r="Q109"/>
  <c r="Q129" s="1"/>
  <c r="Q156" s="1"/>
  <c r="Q103"/>
  <c r="Q123" s="1"/>
  <c r="Q150" s="1"/>
  <c r="AT230" i="9"/>
  <c r="AT234" s="1"/>
  <c r="AT235" s="1"/>
  <c r="AT254" s="1"/>
  <c r="AT215"/>
  <c r="AT217" s="1"/>
  <c r="BL215"/>
  <c r="BL230"/>
  <c r="BL234" s="1"/>
  <c r="BL235" s="1"/>
  <c r="BL254" s="1"/>
  <c r="AO213"/>
  <c r="AH214"/>
  <c r="I147" i="66"/>
  <c r="G201" i="9"/>
  <c r="Y200"/>
  <c r="P86" i="10"/>
  <c r="AQ200" i="9"/>
  <c r="P200"/>
  <c r="AZ200"/>
  <c r="BI200"/>
  <c r="G966"/>
  <c r="P79" i="10"/>
  <c r="W79" s="1"/>
  <c r="Z79" s="1"/>
  <c r="W61"/>
  <c r="Z61" s="1"/>
  <c r="L183" i="18"/>
  <c r="T183" s="1"/>
  <c r="X183" s="1"/>
  <c r="G184"/>
  <c r="H386"/>
  <c r="K370"/>
  <c r="K386" s="1"/>
  <c r="BN230" i="9"/>
  <c r="BN234" s="1"/>
  <c r="BN235" s="1"/>
  <c r="BN254" s="1"/>
  <c r="BN215"/>
  <c r="T192" i="18"/>
  <c r="X192" s="1"/>
  <c r="Q148" i="10"/>
  <c r="Q166" s="1"/>
  <c r="Q139"/>
  <c r="AB215" i="9"/>
  <c r="AB230"/>
  <c r="AB234" s="1"/>
  <c r="AB235" s="1"/>
  <c r="AB254" s="1"/>
  <c r="BC230"/>
  <c r="BC234" s="1"/>
  <c r="BC235" s="1"/>
  <c r="BC254" s="1"/>
  <c r="BC215"/>
  <c r="P392" i="18"/>
  <c r="P394" s="1"/>
  <c r="P386"/>
  <c r="R367"/>
  <c r="R370"/>
  <c r="R386" s="1"/>
  <c r="W67" i="10"/>
  <c r="Z67" s="1"/>
  <c r="AA67" s="1"/>
  <c r="H394" i="18"/>
  <c r="Q394"/>
  <c r="R394"/>
  <c r="X129"/>
  <c r="T195"/>
  <c r="AV215" i="9"/>
  <c r="AV217" s="1"/>
  <c r="AV230"/>
  <c r="AV234" s="1"/>
  <c r="AV235" s="1"/>
  <c r="AV254" s="1"/>
  <c r="AD230"/>
  <c r="AD234" s="1"/>
  <c r="AD235" s="1"/>
  <c r="AD254" s="1"/>
  <c r="AD215"/>
  <c r="Q138" i="10"/>
  <c r="Q147"/>
  <c r="Q165" s="1"/>
  <c r="L336" i="18"/>
  <c r="T336" s="1"/>
  <c r="X336" s="1"/>
  <c r="G338"/>
  <c r="AA200" i="9"/>
  <c r="R86" i="10"/>
  <c r="R200" i="9"/>
  <c r="BK200"/>
  <c r="I201"/>
  <c r="BB200"/>
  <c r="I149" i="66"/>
  <c r="AS200" i="9"/>
  <c r="I966"/>
  <c r="I129" i="56" s="1"/>
  <c r="I134" s="1"/>
  <c r="L378" i="18"/>
  <c r="T378" s="1"/>
  <c r="X378"/>
  <c r="T135" i="10"/>
  <c r="T144"/>
  <c r="T162" s="1"/>
  <c r="AA73"/>
  <c r="N394" i="18"/>
  <c r="K204" i="8"/>
  <c r="G109" i="10"/>
  <c r="G129" s="1"/>
  <c r="G156" s="1"/>
  <c r="G103"/>
  <c r="G123" s="1"/>
  <c r="G150" s="1"/>
  <c r="G117"/>
  <c r="G158"/>
  <c r="H113"/>
  <c r="H133" s="1"/>
  <c r="H111"/>
  <c r="H131" s="1"/>
  <c r="H158" s="1"/>
  <c r="H93"/>
  <c r="H97" s="1"/>
  <c r="H104"/>
  <c r="H124" s="1"/>
  <c r="H110"/>
  <c r="H130" s="1"/>
  <c r="H107"/>
  <c r="H127" s="1"/>
  <c r="H99"/>
  <c r="H119" s="1"/>
  <c r="H101"/>
  <c r="H121" s="1"/>
  <c r="H100"/>
  <c r="H120" s="1"/>
  <c r="H98"/>
  <c r="H118" s="1"/>
  <c r="H106"/>
  <c r="H126" s="1"/>
  <c r="H112"/>
  <c r="H132" s="1"/>
  <c r="H159" s="1"/>
  <c r="H105"/>
  <c r="H125" s="1"/>
  <c r="H152" s="1"/>
  <c r="Z230" i="8"/>
  <c r="Z234" s="1"/>
  <c r="Z235" s="1"/>
  <c r="Z254" s="1"/>
  <c r="Z215"/>
  <c r="AC216"/>
  <c r="AC217" s="1"/>
  <c r="AB216"/>
  <c r="AD216"/>
  <c r="AA216"/>
  <c r="M147" i="10"/>
  <c r="M165" s="1"/>
  <c r="M138"/>
  <c r="I722" i="66"/>
  <c r="I731" s="1"/>
  <c r="M127" i="41"/>
  <c r="L127"/>
  <c r="U215" i="8"/>
  <c r="U230"/>
  <c r="U234" s="1"/>
  <c r="U235" s="1"/>
  <c r="U254" s="1"/>
  <c r="AM200"/>
  <c r="L99" i="10"/>
  <c r="L119" s="1"/>
  <c r="L106"/>
  <c r="L126" s="1"/>
  <c r="L153" s="1"/>
  <c r="L112"/>
  <c r="L132" s="1"/>
  <c r="L159" s="1"/>
  <c r="L105"/>
  <c r="L125" s="1"/>
  <c r="L152" s="1"/>
  <c r="L113"/>
  <c r="L133" s="1"/>
  <c r="L160" s="1"/>
  <c r="L100"/>
  <c r="L120" s="1"/>
  <c r="L111"/>
  <c r="L131" s="1"/>
  <c r="L158" s="1"/>
  <c r="L107"/>
  <c r="L127" s="1"/>
  <c r="L154" s="1"/>
  <c r="L110"/>
  <c r="L130" s="1"/>
  <c r="L157" s="1"/>
  <c r="L101"/>
  <c r="L121" s="1"/>
  <c r="L98"/>
  <c r="L118" s="1"/>
  <c r="L104"/>
  <c r="L124" s="1"/>
  <c r="L151" s="1"/>
  <c r="L93"/>
  <c r="L97" s="1"/>
  <c r="BB230" i="8"/>
  <c r="BB234" s="1"/>
  <c r="BB235" s="1"/>
  <c r="BB254" s="1"/>
  <c r="BB215"/>
  <c r="AS215"/>
  <c r="AS217" s="1"/>
  <c r="AS230"/>
  <c r="AS234" s="1"/>
  <c r="AS235" s="1"/>
  <c r="AS254" s="1"/>
  <c r="K147" i="10"/>
  <c r="K165" s="1"/>
  <c r="K138"/>
  <c r="K109"/>
  <c r="K129" s="1"/>
  <c r="K156" s="1"/>
  <c r="K117"/>
  <c r="K103"/>
  <c r="K123" s="1"/>
  <c r="K150" s="1"/>
  <c r="G167" i="66"/>
  <c r="C167"/>
  <c r="AE216" i="8"/>
  <c r="G136" i="10"/>
  <c r="G145"/>
  <c r="G163" s="1"/>
  <c r="G137"/>
  <c r="G146"/>
  <c r="AR230" i="8"/>
  <c r="AR234" s="1"/>
  <c r="AR235" s="1"/>
  <c r="AR254" s="1"/>
  <c r="AR215"/>
  <c r="M173" i="60"/>
  <c r="F183"/>
  <c r="F207" s="1"/>
  <c r="M109" i="10"/>
  <c r="M129" s="1"/>
  <c r="M156" s="1"/>
  <c r="M117"/>
  <c r="M103"/>
  <c r="M123" s="1"/>
  <c r="M150" s="1"/>
  <c r="AV230" i="8"/>
  <c r="AV234" s="1"/>
  <c r="AV235" s="1"/>
  <c r="AV254" s="1"/>
  <c r="AV215"/>
  <c r="AV217" s="1"/>
  <c r="BN230"/>
  <c r="BN234" s="1"/>
  <c r="BN235" s="1"/>
  <c r="BN254" s="1"/>
  <c r="BN215"/>
  <c r="N126" i="55"/>
  <c r="G134"/>
  <c r="I81" i="67"/>
  <c r="J100"/>
  <c r="J114" s="1"/>
  <c r="J140" s="1"/>
  <c r="J144" s="1"/>
  <c r="H81"/>
  <c r="I129" i="55"/>
  <c r="I134" s="1"/>
  <c r="I120" i="60"/>
  <c r="K145" i="10"/>
  <c r="K163" s="1"/>
  <c r="K136"/>
  <c r="AH215" i="8"/>
  <c r="AH230"/>
  <c r="AH234" s="1"/>
  <c r="AH235" s="1"/>
  <c r="AH254" s="1"/>
  <c r="N50" i="25"/>
  <c r="G336"/>
  <c r="G339" s="1"/>
  <c r="H77" i="58"/>
  <c r="H79" s="1"/>
  <c r="AT215" i="8"/>
  <c r="AT217" s="1"/>
  <c r="AT230"/>
  <c r="AT234" s="1"/>
  <c r="AT235" s="1"/>
  <c r="AT254" s="1"/>
  <c r="J129" i="55"/>
  <c r="J134" s="1"/>
  <c r="J120" i="60"/>
  <c r="J112" i="10"/>
  <c r="J132" s="1"/>
  <c r="J159" s="1"/>
  <c r="J101"/>
  <c r="J121" s="1"/>
  <c r="J105"/>
  <c r="J125" s="1"/>
  <c r="J152" s="1"/>
  <c r="J113"/>
  <c r="J133" s="1"/>
  <c r="J160" s="1"/>
  <c r="J98"/>
  <c r="J118" s="1"/>
  <c r="J111"/>
  <c r="J131" s="1"/>
  <c r="J158" s="1"/>
  <c r="J107"/>
  <c r="J127" s="1"/>
  <c r="J154" s="1"/>
  <c r="J106"/>
  <c r="J126" s="1"/>
  <c r="J153" s="1"/>
  <c r="J99"/>
  <c r="J119" s="1"/>
  <c r="J104"/>
  <c r="J124" s="1"/>
  <c r="J151" s="1"/>
  <c r="J100"/>
  <c r="J120" s="1"/>
  <c r="J93"/>
  <c r="J97" s="1"/>
  <c r="J110"/>
  <c r="J130" s="1"/>
  <c r="J157" s="1"/>
  <c r="K44" i="58"/>
  <c r="AE217" i="8"/>
  <c r="G159" i="10"/>
  <c r="BJ215" i="8"/>
  <c r="BJ230"/>
  <c r="BJ234" s="1"/>
  <c r="BJ235" s="1"/>
  <c r="BJ254" s="1"/>
  <c r="BM216"/>
  <c r="BM217" s="1"/>
  <c r="BK216"/>
  <c r="BI216"/>
  <c r="BJ216"/>
  <c r="BL216"/>
  <c r="BO216"/>
  <c r="BO217" s="1"/>
  <c r="M136" i="10"/>
  <c r="M145"/>
  <c r="M163" s="1"/>
  <c r="M137"/>
  <c r="M146"/>
  <c r="M164" s="1"/>
  <c r="L129" i="55"/>
  <c r="L134" s="1"/>
  <c r="L120" i="60"/>
  <c r="AD230" i="8"/>
  <c r="AD234" s="1"/>
  <c r="AD235" s="1"/>
  <c r="AD254" s="1"/>
  <c r="AD215"/>
  <c r="AA230"/>
  <c r="AA234" s="1"/>
  <c r="AA235" s="1"/>
  <c r="AA254" s="1"/>
  <c r="AA215"/>
  <c r="BN216"/>
  <c r="BK230"/>
  <c r="BK234" s="1"/>
  <c r="BK235" s="1"/>
  <c r="BK254" s="1"/>
  <c r="BK215"/>
  <c r="K139" i="10"/>
  <c r="K148"/>
  <c r="K166" s="1"/>
  <c r="K146"/>
  <c r="K164" s="1"/>
  <c r="K137"/>
  <c r="BL215" i="8"/>
  <c r="BL230"/>
  <c r="BL234" s="1"/>
  <c r="BL235" s="1"/>
  <c r="BL254" s="1"/>
  <c r="BB216"/>
  <c r="BC230"/>
  <c r="BC234" s="1"/>
  <c r="BC235" s="1"/>
  <c r="BC254" s="1"/>
  <c r="BC215"/>
  <c r="AN215"/>
  <c r="AN216" s="1"/>
  <c r="AN217" s="1"/>
  <c r="AN230"/>
  <c r="AN234" s="1"/>
  <c r="AN235" s="1"/>
  <c r="AN254" s="1"/>
  <c r="G147" i="10"/>
  <c r="G138"/>
  <c r="G148"/>
  <c r="G166" s="1"/>
  <c r="G139"/>
  <c r="H120" i="60"/>
  <c r="H129" i="55"/>
  <c r="N966" i="8"/>
  <c r="Q230"/>
  <c r="Q234" s="1"/>
  <c r="Q235" s="1"/>
  <c r="Q254" s="1"/>
  <c r="Q215"/>
  <c r="AI200"/>
  <c r="T216"/>
  <c r="T217" s="1"/>
  <c r="U216"/>
  <c r="V216"/>
  <c r="V217" s="1"/>
  <c r="R216"/>
  <c r="P216"/>
  <c r="P217" s="1"/>
  <c r="Q216"/>
  <c r="BA215"/>
  <c r="BA230"/>
  <c r="BA234" s="1"/>
  <c r="BA235" s="1"/>
  <c r="BA254" s="1"/>
  <c r="AZ216"/>
  <c r="AZ217" s="1"/>
  <c r="BA216"/>
  <c r="BD216"/>
  <c r="BD217" s="1"/>
  <c r="BC216"/>
  <c r="BE216"/>
  <c r="BF216"/>
  <c r="BF217" s="1"/>
  <c r="M139" i="10"/>
  <c r="M148"/>
  <c r="M166" s="1"/>
  <c r="BE230" i="8"/>
  <c r="BE234" s="1"/>
  <c r="BE235" s="1"/>
  <c r="BE254" s="1"/>
  <c r="BE215"/>
  <c r="I113" i="10"/>
  <c r="I133" s="1"/>
  <c r="I160" s="1"/>
  <c r="I106"/>
  <c r="I126" s="1"/>
  <c r="I153" s="1"/>
  <c r="I101"/>
  <c r="I121" s="1"/>
  <c r="I110"/>
  <c r="I130" s="1"/>
  <c r="I157" s="1"/>
  <c r="I107"/>
  <c r="I127" s="1"/>
  <c r="I154" s="1"/>
  <c r="I100"/>
  <c r="I120" s="1"/>
  <c r="I93"/>
  <c r="I97" s="1"/>
  <c r="I105"/>
  <c r="I125" s="1"/>
  <c r="I152" s="1"/>
  <c r="I104"/>
  <c r="I124" s="1"/>
  <c r="I151" s="1"/>
  <c r="I98"/>
  <c r="I118" s="1"/>
  <c r="I99"/>
  <c r="I119" s="1"/>
  <c r="I111"/>
  <c r="I131" s="1"/>
  <c r="I158" s="1"/>
  <c r="I112"/>
  <c r="I132" s="1"/>
  <c r="I159" s="1"/>
  <c r="S216" i="8"/>
  <c r="R215"/>
  <c r="R230"/>
  <c r="AJ200"/>
  <c r="AL230"/>
  <c r="AL234" s="1"/>
  <c r="AL235" s="1"/>
  <c r="AL254" s="1"/>
  <c r="AL215"/>
  <c r="AL216" s="1"/>
  <c r="AL217" s="1"/>
  <c r="G79" i="10"/>
  <c r="N79" s="1"/>
  <c r="Y79" s="1"/>
  <c r="AA79" s="1"/>
  <c r="N61"/>
  <c r="Y61" s="1"/>
  <c r="AA61" s="1"/>
  <c r="AK200" i="8"/>
  <c r="S230"/>
  <c r="S234" s="1"/>
  <c r="S235" s="1"/>
  <c r="S254" s="1"/>
  <c r="S215"/>
  <c r="Y216"/>
  <c r="Y217" s="1"/>
  <c r="AB215"/>
  <c r="AB230"/>
  <c r="AB234" s="1"/>
  <c r="AB235" s="1"/>
  <c r="AB254" s="1"/>
  <c r="AH214"/>
  <c r="AO214" s="1"/>
  <c r="AO213"/>
  <c r="I167" i="66"/>
  <c r="Z216" i="8"/>
  <c r="K203"/>
  <c r="AQ861" i="9"/>
  <c r="AQ888"/>
  <c r="AX860"/>
  <c r="AX861" s="1"/>
  <c r="AQ888" i="8"/>
  <c r="AQ861"/>
  <c r="AX860"/>
  <c r="AX861" s="1"/>
  <c r="K66" i="27"/>
  <c r="Y209" i="18" l="1"/>
  <c r="Y211"/>
  <c r="Y212"/>
  <c r="Y204"/>
  <c r="Y205"/>
  <c r="Y207"/>
  <c r="S398"/>
  <c r="S396"/>
  <c r="Y210"/>
  <c r="Y208"/>
  <c r="K396"/>
  <c r="J398"/>
  <c r="J396"/>
  <c r="O398"/>
  <c r="O396"/>
  <c r="Y206"/>
  <c r="P398"/>
  <c r="P396"/>
  <c r="BB215" i="9"/>
  <c r="BB230"/>
  <c r="BB234" s="1"/>
  <c r="BB235" s="1"/>
  <c r="BB254" s="1"/>
  <c r="R107" i="10"/>
  <c r="R127" s="1"/>
  <c r="R154" s="1"/>
  <c r="R106"/>
  <c r="R126" s="1"/>
  <c r="R153" s="1"/>
  <c r="R99"/>
  <c r="R119" s="1"/>
  <c r="R112"/>
  <c r="R132" s="1"/>
  <c r="R159" s="1"/>
  <c r="R100"/>
  <c r="R120" s="1"/>
  <c r="R105"/>
  <c r="R125" s="1"/>
  <c r="R152" s="1"/>
  <c r="R93"/>
  <c r="R97" s="1"/>
  <c r="R113"/>
  <c r="R133" s="1"/>
  <c r="R160" s="1"/>
  <c r="R104"/>
  <c r="R124" s="1"/>
  <c r="R151" s="1"/>
  <c r="R111"/>
  <c r="R131" s="1"/>
  <c r="R158" s="1"/>
  <c r="R110"/>
  <c r="R130" s="1"/>
  <c r="R157" s="1"/>
  <c r="R98"/>
  <c r="R118" s="1"/>
  <c r="R101"/>
  <c r="R121" s="1"/>
  <c r="R396" i="18"/>
  <c r="R398"/>
  <c r="G196"/>
  <c r="L184"/>
  <c r="G185"/>
  <c r="P230" i="9"/>
  <c r="P234" s="1"/>
  <c r="P235" s="1"/>
  <c r="P254" s="1"/>
  <c r="S216"/>
  <c r="AH200"/>
  <c r="R216"/>
  <c r="T216"/>
  <c r="T217" s="1"/>
  <c r="P216"/>
  <c r="Q216"/>
  <c r="Q217" s="1"/>
  <c r="U216"/>
  <c r="U217" s="1"/>
  <c r="P215"/>
  <c r="I398" i="18"/>
  <c r="I396"/>
  <c r="S148" i="10"/>
  <c r="S166" s="1"/>
  <c r="S139"/>
  <c r="S147"/>
  <c r="S165" s="1"/>
  <c r="S138"/>
  <c r="U117"/>
  <c r="U103"/>
  <c r="U123" s="1"/>
  <c r="U150" s="1"/>
  <c r="U109"/>
  <c r="U129" s="1"/>
  <c r="U156" s="1"/>
  <c r="U145"/>
  <c r="U163" s="1"/>
  <c r="U136"/>
  <c r="K204" i="9"/>
  <c r="AJ200"/>
  <c r="R215"/>
  <c r="R230"/>
  <c r="R234" s="1"/>
  <c r="R235" s="1"/>
  <c r="R254" s="1"/>
  <c r="S191" i="18"/>
  <c r="I191"/>
  <c r="W191"/>
  <c r="E40" i="40" s="1"/>
  <c r="J191" i="18"/>
  <c r="O191"/>
  <c r="V191"/>
  <c r="E39" i="40" s="1"/>
  <c r="P191" i="18"/>
  <c r="N191"/>
  <c r="Q191"/>
  <c r="K191"/>
  <c r="M191"/>
  <c r="G191"/>
  <c r="H191"/>
  <c r="U191"/>
  <c r="E38" i="40" s="1"/>
  <c r="R191" i="18"/>
  <c r="X195"/>
  <c r="H396"/>
  <c r="H398"/>
  <c r="BB216" i="9"/>
  <c r="BB217" s="1"/>
  <c r="AZ216"/>
  <c r="AZ215"/>
  <c r="BC216"/>
  <c r="BC217" s="1"/>
  <c r="AZ230"/>
  <c r="AZ234" s="1"/>
  <c r="AZ235" s="1"/>
  <c r="AZ254" s="1"/>
  <c r="BG254" s="1"/>
  <c r="BA216"/>
  <c r="BA217" s="1"/>
  <c r="BD216"/>
  <c r="BD217" s="1"/>
  <c r="BE216"/>
  <c r="BE217" s="1"/>
  <c r="Z216"/>
  <c r="Z217" s="1"/>
  <c r="AA216"/>
  <c r="Y215"/>
  <c r="AB216"/>
  <c r="Y230"/>
  <c r="Y234" s="1"/>
  <c r="Y235" s="1"/>
  <c r="Y254" s="1"/>
  <c r="Y216"/>
  <c r="AD216"/>
  <c r="AD217" s="1"/>
  <c r="AC216"/>
  <c r="AC217" s="1"/>
  <c r="N126" i="56"/>
  <c r="L384" i="18"/>
  <c r="T384" s="1"/>
  <c r="G392"/>
  <c r="S145" i="10"/>
  <c r="S163" s="1"/>
  <c r="S136"/>
  <c r="U138"/>
  <c r="U147"/>
  <c r="U165" s="1"/>
  <c r="U146"/>
  <c r="U164" s="1"/>
  <c r="U137"/>
  <c r="AI216" i="9"/>
  <c r="AI217" s="1"/>
  <c r="S217"/>
  <c r="N398" i="18"/>
  <c r="N396"/>
  <c r="AS230" i="9"/>
  <c r="AS234" s="1"/>
  <c r="AS235" s="1"/>
  <c r="AS254" s="1"/>
  <c r="AS215"/>
  <c r="AS217" s="1"/>
  <c r="BK215"/>
  <c r="BK230"/>
  <c r="BK234" s="1"/>
  <c r="BK235" s="1"/>
  <c r="BK254" s="1"/>
  <c r="G340" i="18"/>
  <c r="L338"/>
  <c r="T338" s="1"/>
  <c r="X338" s="1"/>
  <c r="T228"/>
  <c r="T234" s="1"/>
  <c r="T231"/>
  <c r="T237" s="1"/>
  <c r="T227"/>
  <c r="T233" s="1"/>
  <c r="Q396"/>
  <c r="Q398"/>
  <c r="BK216" i="9"/>
  <c r="BM216"/>
  <c r="BM217" s="1"/>
  <c r="BI215"/>
  <c r="BN216"/>
  <c r="BN217" s="1"/>
  <c r="BI230"/>
  <c r="BI234" s="1"/>
  <c r="BI235" s="1"/>
  <c r="BI254" s="1"/>
  <c r="BP254" s="1"/>
  <c r="BJ216"/>
  <c r="BJ217" s="1"/>
  <c r="BL216"/>
  <c r="BI216"/>
  <c r="P100" i="10"/>
  <c r="P120" s="1"/>
  <c r="P111"/>
  <c r="P131" s="1"/>
  <c r="P110"/>
  <c r="P130" s="1"/>
  <c r="P113"/>
  <c r="P133" s="1"/>
  <c r="P104"/>
  <c r="P124" s="1"/>
  <c r="P107"/>
  <c r="P127" s="1"/>
  <c r="P105"/>
  <c r="P125" s="1"/>
  <c r="P106"/>
  <c r="P126" s="1"/>
  <c r="P112"/>
  <c r="P132" s="1"/>
  <c r="P98"/>
  <c r="P118" s="1"/>
  <c r="P99"/>
  <c r="P119" s="1"/>
  <c r="P101"/>
  <c r="P121" s="1"/>
  <c r="P93"/>
  <c r="P97" s="1"/>
  <c r="AO214" i="9"/>
  <c r="Q144" i="10"/>
  <c r="Q162" s="1"/>
  <c r="Q135"/>
  <c r="G367" i="18"/>
  <c r="L365"/>
  <c r="S103" i="10"/>
  <c r="S123" s="1"/>
  <c r="S150" s="1"/>
  <c r="S117"/>
  <c r="S109"/>
  <c r="S129" s="1"/>
  <c r="S156" s="1"/>
  <c r="AK230" i="9"/>
  <c r="AK234" s="1"/>
  <c r="AK235" s="1"/>
  <c r="AK254" s="1"/>
  <c r="AK215"/>
  <c r="AK216" s="1"/>
  <c r="AK217" s="1"/>
  <c r="AB217"/>
  <c r="AA215"/>
  <c r="AA230"/>
  <c r="AA234" s="1"/>
  <c r="AA235" s="1"/>
  <c r="AA254" s="1"/>
  <c r="G129" i="56"/>
  <c r="N129" s="1"/>
  <c r="N966" i="9"/>
  <c r="AQ230"/>
  <c r="AQ234" s="1"/>
  <c r="AQ235" s="1"/>
  <c r="AQ254" s="1"/>
  <c r="AQ215"/>
  <c r="M396" i="18"/>
  <c r="M398"/>
  <c r="S137" i="10"/>
  <c r="S146"/>
  <c r="S164" s="1"/>
  <c r="AM215" i="9"/>
  <c r="AM216" s="1"/>
  <c r="AM217" s="1"/>
  <c r="AM230"/>
  <c r="AM234" s="1"/>
  <c r="AM235" s="1"/>
  <c r="AM254" s="1"/>
  <c r="U148" i="10"/>
  <c r="U166" s="1"/>
  <c r="U139"/>
  <c r="BL217" i="9"/>
  <c r="BK217" i="8"/>
  <c r="BL217"/>
  <c r="AA217"/>
  <c r="G165" i="10"/>
  <c r="N119"/>
  <c r="Y119" s="1"/>
  <c r="Q217" i="8"/>
  <c r="H15" i="58"/>
  <c r="H17" s="1"/>
  <c r="I17" s="1"/>
  <c r="H938" i="8"/>
  <c r="N115" i="55"/>
  <c r="K203" i="9"/>
  <c r="G164" i="10"/>
  <c r="S217" i="8"/>
  <c r="R217"/>
  <c r="BJ217"/>
  <c r="N152" i="10"/>
  <c r="Y152" s="1"/>
  <c r="AB217" i="8"/>
  <c r="U217"/>
  <c r="BN217"/>
  <c r="O120" i="60"/>
  <c r="O122" s="1"/>
  <c r="O123" s="1"/>
  <c r="M126" s="1"/>
  <c r="F167" i="66"/>
  <c r="I137" i="10"/>
  <c r="I146"/>
  <c r="I164" s="1"/>
  <c r="I109"/>
  <c r="I129" s="1"/>
  <c r="I156" s="1"/>
  <c r="I117"/>
  <c r="I103"/>
  <c r="I123" s="1"/>
  <c r="I150" s="1"/>
  <c r="I148"/>
  <c r="I166" s="1"/>
  <c r="I139"/>
  <c r="BA217" i="8"/>
  <c r="BG215"/>
  <c r="BP254"/>
  <c r="J139" i="10"/>
  <c r="J148"/>
  <c r="J166" s="1"/>
  <c r="N54" i="25"/>
  <c r="E66" s="1"/>
  <c r="H66" s="1"/>
  <c r="C66"/>
  <c r="N53"/>
  <c r="D66" s="1"/>
  <c r="L145" i="10"/>
  <c r="L163" s="1"/>
  <c r="L136"/>
  <c r="H167" i="66"/>
  <c r="AF254" i="8"/>
  <c r="H145" i="10"/>
  <c r="H136"/>
  <c r="H154"/>
  <c r="N154" s="1"/>
  <c r="Y154" s="1"/>
  <c r="N127"/>
  <c r="Y127" s="1"/>
  <c r="G135"/>
  <c r="G144"/>
  <c r="G162" s="1"/>
  <c r="W215" i="8"/>
  <c r="BC217"/>
  <c r="N125" i="10"/>
  <c r="Y125" s="1"/>
  <c r="BB217" i="8"/>
  <c r="AD217"/>
  <c r="J164" i="67"/>
  <c r="J174" s="1"/>
  <c r="J182" s="1"/>
  <c r="M296"/>
  <c r="M304" s="1"/>
  <c r="I296"/>
  <c r="I304" s="1"/>
  <c r="I310" s="1"/>
  <c r="H325" s="1"/>
  <c r="H327" s="1"/>
  <c r="H164"/>
  <c r="H174" s="1"/>
  <c r="M164"/>
  <c r="M174" s="1"/>
  <c r="R234" i="8"/>
  <c r="R235" s="1"/>
  <c r="R254" s="1"/>
  <c r="L296" i="67"/>
  <c r="L304" s="1"/>
  <c r="H296"/>
  <c r="H304" s="1"/>
  <c r="H310" s="1"/>
  <c r="H316" s="1"/>
  <c r="H318" s="1"/>
  <c r="I164"/>
  <c r="I174" s="1"/>
  <c r="L164"/>
  <c r="L174" s="1"/>
  <c r="N296"/>
  <c r="N304" s="1"/>
  <c r="N310" s="1"/>
  <c r="J296"/>
  <c r="J304" s="1"/>
  <c r="J310" s="1"/>
  <c r="N164"/>
  <c r="N174" s="1"/>
  <c r="BG254" i="8"/>
  <c r="AI215"/>
  <c r="AI230"/>
  <c r="AI234" s="1"/>
  <c r="AI235" s="1"/>
  <c r="AI254" s="1"/>
  <c r="H134" i="55"/>
  <c r="N129"/>
  <c r="N131" s="1"/>
  <c r="J138" i="10"/>
  <c r="J147"/>
  <c r="J165" s="1"/>
  <c r="G341" i="25"/>
  <c r="G340"/>
  <c r="L81" i="67"/>
  <c r="H136"/>
  <c r="H137" s="1"/>
  <c r="H114"/>
  <c r="AM215" i="8"/>
  <c r="AM216" s="1"/>
  <c r="AM217" s="1"/>
  <c r="AM230"/>
  <c r="AM234" s="1"/>
  <c r="AM235" s="1"/>
  <c r="AM254" s="1"/>
  <c r="J731" i="66"/>
  <c r="I219" i="7"/>
  <c r="E32" i="57"/>
  <c r="E48" s="1"/>
  <c r="I65" i="66"/>
  <c r="I66" s="1"/>
  <c r="Z217" i="8"/>
  <c r="AF215"/>
  <c r="H153" i="10"/>
  <c r="N153" s="1"/>
  <c r="Y153" s="1"/>
  <c r="N126"/>
  <c r="Y126" s="1"/>
  <c r="H146"/>
  <c r="H137"/>
  <c r="H109"/>
  <c r="H129" s="1"/>
  <c r="H103"/>
  <c r="H123" s="1"/>
  <c r="H117"/>
  <c r="N159"/>
  <c r="Y159" s="1"/>
  <c r="N131"/>
  <c r="Y131" s="1"/>
  <c r="N114" i="55"/>
  <c r="G938" i="8"/>
  <c r="I140" i="66"/>
  <c r="AJ215" i="8"/>
  <c r="AJ216" s="1"/>
  <c r="AJ217" s="1"/>
  <c r="AJ230"/>
  <c r="AJ234" s="1"/>
  <c r="AJ235" s="1"/>
  <c r="AJ254" s="1"/>
  <c r="J109" i="10"/>
  <c r="J129" s="1"/>
  <c r="J156" s="1"/>
  <c r="J117"/>
  <c r="J103"/>
  <c r="J123" s="1"/>
  <c r="J150" s="1"/>
  <c r="AH216" i="8"/>
  <c r="K144" i="10"/>
  <c r="K162" s="1"/>
  <c r="K135"/>
  <c r="L117"/>
  <c r="L109"/>
  <c r="L129" s="1"/>
  <c r="L156" s="1"/>
  <c r="L103"/>
  <c r="L123" s="1"/>
  <c r="L150" s="1"/>
  <c r="L137"/>
  <c r="L146"/>
  <c r="L164" s="1"/>
  <c r="H148"/>
  <c r="H139"/>
  <c r="N121"/>
  <c r="Y121" s="1"/>
  <c r="H151"/>
  <c r="N151" s="1"/>
  <c r="Y151" s="1"/>
  <c r="N124"/>
  <c r="Y124" s="1"/>
  <c r="AF216" i="8"/>
  <c r="BE217"/>
  <c r="BG216"/>
  <c r="W216"/>
  <c r="N132" i="10"/>
  <c r="Y132" s="1"/>
  <c r="N158"/>
  <c r="Y158" s="1"/>
  <c r="AK230" i="8"/>
  <c r="AK234" s="1"/>
  <c r="AK235" s="1"/>
  <c r="AK254" s="1"/>
  <c r="AK215"/>
  <c r="AK216" s="1"/>
  <c r="AK217" s="1"/>
  <c r="I145" i="10"/>
  <c r="I163" s="1"/>
  <c r="I136"/>
  <c r="I147"/>
  <c r="I165" s="1"/>
  <c r="I138"/>
  <c r="D167" i="66"/>
  <c r="BI217" i="8"/>
  <c r="BP216"/>
  <c r="J146" i="10"/>
  <c r="J164" s="1"/>
  <c r="J137"/>
  <c r="J145"/>
  <c r="J163" s="1"/>
  <c r="J136"/>
  <c r="I136" i="67"/>
  <c r="I137" s="1"/>
  <c r="I114"/>
  <c r="M81"/>
  <c r="M144" i="10"/>
  <c r="M162" s="1"/>
  <c r="M135"/>
  <c r="AR217" i="8"/>
  <c r="AX215"/>
  <c r="AX217" s="1"/>
  <c r="L139" i="10"/>
  <c r="L148"/>
  <c r="L166" s="1"/>
  <c r="L147"/>
  <c r="L165" s="1"/>
  <c r="L138"/>
  <c r="H138"/>
  <c r="H147"/>
  <c r="N120"/>
  <c r="Y120" s="1"/>
  <c r="H157"/>
  <c r="N157" s="1"/>
  <c r="Y157" s="1"/>
  <c r="N130"/>
  <c r="Y130" s="1"/>
  <c r="H160"/>
  <c r="N160" s="1"/>
  <c r="Y160" s="1"/>
  <c r="N133"/>
  <c r="Y133" s="1"/>
  <c r="BP215" i="8"/>
  <c r="N118" i="10"/>
  <c r="Y118" s="1"/>
  <c r="AQ889" i="9"/>
  <c r="AX888"/>
  <c r="AX889" s="1"/>
  <c r="AX888" i="8"/>
  <c r="AX889" s="1"/>
  <c r="AQ889"/>
  <c r="N131" i="56" l="1"/>
  <c r="N134" s="1"/>
  <c r="M135" s="1"/>
  <c r="BK217" i="9"/>
  <c r="W254"/>
  <c r="P136" i="10"/>
  <c r="W118"/>
  <c r="Z118" s="1"/>
  <c r="AA118" s="1"/>
  <c r="P145"/>
  <c r="W127"/>
  <c r="Z127" s="1"/>
  <c r="P154"/>
  <c r="W154" s="1"/>
  <c r="Z154" s="1"/>
  <c r="W131"/>
  <c r="Z131" s="1"/>
  <c r="AA131" s="1"/>
  <c r="P158"/>
  <c r="W158" s="1"/>
  <c r="Z158" s="1"/>
  <c r="AA158" s="1"/>
  <c r="L340" i="18"/>
  <c r="T340" s="1"/>
  <c r="X340" s="1"/>
  <c r="G355"/>
  <c r="G36" i="40"/>
  <c r="G45" s="1"/>
  <c r="F36"/>
  <c r="E36"/>
  <c r="E45" s="1"/>
  <c r="E49"/>
  <c r="K49" s="1"/>
  <c r="K40"/>
  <c r="AH215" i="9"/>
  <c r="AH230"/>
  <c r="AH234" s="1"/>
  <c r="AH235" s="1"/>
  <c r="AH254" s="1"/>
  <c r="T184" i="18"/>
  <c r="L196"/>
  <c r="L230" s="1"/>
  <c r="L236" s="1"/>
  <c r="R148" i="10"/>
  <c r="R166" s="1"/>
  <c r="R139"/>
  <c r="R147"/>
  <c r="R165" s="1"/>
  <c r="R138"/>
  <c r="AF254" i="9"/>
  <c r="T365" i="18"/>
  <c r="L367"/>
  <c r="P137" i="10"/>
  <c r="W119"/>
  <c r="Z119" s="1"/>
  <c r="AA119" s="1"/>
  <c r="P146"/>
  <c r="W125"/>
  <c r="Z125" s="1"/>
  <c r="AA125" s="1"/>
  <c r="P152"/>
  <c r="W152" s="1"/>
  <c r="Z152" s="1"/>
  <c r="AA152" s="1"/>
  <c r="W130"/>
  <c r="Z130" s="1"/>
  <c r="AA130" s="1"/>
  <c r="P157"/>
  <c r="W157" s="1"/>
  <c r="Z157" s="1"/>
  <c r="AA157" s="1"/>
  <c r="BP215" i="9"/>
  <c r="BI217"/>
  <c r="G35" i="40"/>
  <c r="G44" s="1"/>
  <c r="F35"/>
  <c r="E35"/>
  <c r="L191" i="18"/>
  <c r="T191" s="1"/>
  <c r="X191" s="1"/>
  <c r="X209"/>
  <c r="U144" i="10"/>
  <c r="U162" s="1"/>
  <c r="U135"/>
  <c r="G187" i="18"/>
  <c r="L185"/>
  <c r="T185" s="1"/>
  <c r="X185" s="1"/>
  <c r="AA154" i="10"/>
  <c r="G134" i="56"/>
  <c r="AF216" i="9"/>
  <c r="AA217"/>
  <c r="BG216"/>
  <c r="R217"/>
  <c r="AX215"/>
  <c r="AX217" s="1"/>
  <c r="AQ217"/>
  <c r="P139" i="10"/>
  <c r="W139" s="1"/>
  <c r="Z139" s="1"/>
  <c r="W121"/>
  <c r="Z121" s="1"/>
  <c r="AA121" s="1"/>
  <c r="P148"/>
  <c r="W126"/>
  <c r="Z126" s="1"/>
  <c r="AA126" s="1"/>
  <c r="P153"/>
  <c r="W153" s="1"/>
  <c r="Z153" s="1"/>
  <c r="AA153" s="1"/>
  <c r="W133"/>
  <c r="Z133" s="1"/>
  <c r="AA133" s="1"/>
  <c r="P160"/>
  <c r="W160" s="1"/>
  <c r="Z160" s="1"/>
  <c r="AA160" s="1"/>
  <c r="AF215" i="9"/>
  <c r="Y217"/>
  <c r="BG215"/>
  <c r="AZ217"/>
  <c r="G37" i="40"/>
  <c r="G46" s="1"/>
  <c r="F37"/>
  <c r="E37"/>
  <c r="E46" s="1"/>
  <c r="N114" i="56"/>
  <c r="H938" i="9"/>
  <c r="W215"/>
  <c r="P217"/>
  <c r="R117" i="10"/>
  <c r="R109"/>
  <c r="R129" s="1"/>
  <c r="R156" s="1"/>
  <c r="R103"/>
  <c r="R123" s="1"/>
  <c r="R150" s="1"/>
  <c r="R137"/>
  <c r="R146"/>
  <c r="R164" s="1"/>
  <c r="BP216" i="9"/>
  <c r="S135" i="10"/>
  <c r="S144"/>
  <c r="S162" s="1"/>
  <c r="P103"/>
  <c r="P123" s="1"/>
  <c r="P109"/>
  <c r="P129" s="1"/>
  <c r="P117"/>
  <c r="W132"/>
  <c r="Z132" s="1"/>
  <c r="AA132" s="1"/>
  <c r="P159"/>
  <c r="W159" s="1"/>
  <c r="Z159" s="1"/>
  <c r="AA159" s="1"/>
  <c r="W124"/>
  <c r="Z124" s="1"/>
  <c r="AA124" s="1"/>
  <c r="P151"/>
  <c r="W151" s="1"/>
  <c r="Z151" s="1"/>
  <c r="AA151" s="1"/>
  <c r="P138"/>
  <c r="W120"/>
  <c r="Z120" s="1"/>
  <c r="AA120" s="1"/>
  <c r="P147"/>
  <c r="L392" i="18"/>
  <c r="T392" s="1"/>
  <c r="G394"/>
  <c r="X392"/>
  <c r="E47" i="40"/>
  <c r="K47" s="1"/>
  <c r="K38"/>
  <c r="E48"/>
  <c r="K48" s="1"/>
  <c r="K39"/>
  <c r="AJ230" i="9"/>
  <c r="AJ234" s="1"/>
  <c r="AJ235" s="1"/>
  <c r="AJ254" s="1"/>
  <c r="AJ215"/>
  <c r="R145" i="10"/>
  <c r="R163" s="1"/>
  <c r="R136"/>
  <c r="AA127"/>
  <c r="W216" i="9"/>
  <c r="G324" i="25"/>
  <c r="G346"/>
  <c r="G349" s="1"/>
  <c r="I140" i="67"/>
  <c r="I144" s="1"/>
  <c r="I182" s="1"/>
  <c r="H197" s="1"/>
  <c r="H199" s="1"/>
  <c r="F182" i="60"/>
  <c r="F186" s="1"/>
  <c r="F187" s="1"/>
  <c r="F188" s="1"/>
  <c r="F217" s="1"/>
  <c r="N139" i="10"/>
  <c r="Y139" s="1"/>
  <c r="N137"/>
  <c r="Y137" s="1"/>
  <c r="BP217" i="8"/>
  <c r="H140" i="67"/>
  <c r="H144" s="1"/>
  <c r="H182" s="1"/>
  <c r="H188" s="1"/>
  <c r="H190" s="1"/>
  <c r="BG217" i="8"/>
  <c r="H150" i="10"/>
  <c r="N150" s="1"/>
  <c r="Y150" s="1"/>
  <c r="N123"/>
  <c r="Y123" s="1"/>
  <c r="G182" i="60"/>
  <c r="C194" i="55"/>
  <c r="C196"/>
  <c r="C191"/>
  <c r="C192"/>
  <c r="C195"/>
  <c r="C193"/>
  <c r="C190"/>
  <c r="J219" i="7"/>
  <c r="H165" i="10"/>
  <c r="N165" s="1"/>
  <c r="Y165" s="1"/>
  <c r="N147"/>
  <c r="Y147" s="1"/>
  <c r="M136" i="67"/>
  <c r="M137" s="1"/>
  <c r="M114"/>
  <c r="L135" i="10"/>
  <c r="L144"/>
  <c r="L162" s="1"/>
  <c r="AH217" i="8"/>
  <c r="L114" i="67"/>
  <c r="L136"/>
  <c r="L137" s="1"/>
  <c r="AI216" i="8"/>
  <c r="AO216" s="1"/>
  <c r="N316" i="67"/>
  <c r="N318" s="1"/>
  <c r="N312"/>
  <c r="N325"/>
  <c r="N327" s="1"/>
  <c r="H163" i="10"/>
  <c r="N163" s="1"/>
  <c r="Y163" s="1"/>
  <c r="N145"/>
  <c r="Y145" s="1"/>
  <c r="AF217" i="8"/>
  <c r="N138" i="10"/>
  <c r="Y138" s="1"/>
  <c r="W217" i="8"/>
  <c r="J144" i="10"/>
  <c r="J162" s="1"/>
  <c r="J135"/>
  <c r="J188" i="67"/>
  <c r="J190" s="1"/>
  <c r="J197"/>
  <c r="J199" s="1"/>
  <c r="H166" i="10"/>
  <c r="N166" s="1"/>
  <c r="Y166" s="1"/>
  <c r="N148"/>
  <c r="Y148" s="1"/>
  <c r="H156"/>
  <c r="N156" s="1"/>
  <c r="Y156" s="1"/>
  <c r="N129"/>
  <c r="Y129" s="1"/>
  <c r="AO254" i="8"/>
  <c r="J325" i="67"/>
  <c r="J316"/>
  <c r="I144" i="10"/>
  <c r="I162" s="1"/>
  <c r="I135"/>
  <c r="AO215" i="8"/>
  <c r="N136" i="10"/>
  <c r="Y136" s="1"/>
  <c r="H144"/>
  <c r="H135"/>
  <c r="N117"/>
  <c r="Y117" s="1"/>
  <c r="H164"/>
  <c r="N164" s="1"/>
  <c r="Y164" s="1"/>
  <c r="N146"/>
  <c r="Y146" s="1"/>
  <c r="I280" i="34"/>
  <c r="I284" s="1"/>
  <c r="N134" i="55"/>
  <c r="M135" s="1"/>
  <c r="W254" i="8"/>
  <c r="E167" i="66"/>
  <c r="N105" i="25"/>
  <c r="K413" s="1"/>
  <c r="I66"/>
  <c r="N102" s="1"/>
  <c r="N150" s="1"/>
  <c r="K414" s="1"/>
  <c r="L196" i="60" l="1"/>
  <c r="X207" i="18"/>
  <c r="X206"/>
  <c r="X205"/>
  <c r="X212"/>
  <c r="X211"/>
  <c r="X208"/>
  <c r="X204"/>
  <c r="X210"/>
  <c r="J37" i="40"/>
  <c r="K37" s="1"/>
  <c r="F46"/>
  <c r="J46" s="1"/>
  <c r="K46" s="1"/>
  <c r="AJ216" i="9"/>
  <c r="AJ217" s="1"/>
  <c r="P135" i="10"/>
  <c r="W117"/>
  <c r="Z117" s="1"/>
  <c r="AA117" s="1"/>
  <c r="P144"/>
  <c r="T367" i="18"/>
  <c r="X365"/>
  <c r="X367" s="1"/>
  <c r="AO215" i="9"/>
  <c r="AH216"/>
  <c r="W145" i="10"/>
  <c r="Z145" s="1"/>
  <c r="AA145" s="1"/>
  <c r="P163"/>
  <c r="W163" s="1"/>
  <c r="Z163" s="1"/>
  <c r="AA163" s="1"/>
  <c r="W123"/>
  <c r="Z123" s="1"/>
  <c r="AA123" s="1"/>
  <c r="P150"/>
  <c r="W150" s="1"/>
  <c r="Z150" s="1"/>
  <c r="AA150" s="1"/>
  <c r="K324" i="25"/>
  <c r="K346"/>
  <c r="K349" s="1"/>
  <c r="G312" i="18"/>
  <c r="L187"/>
  <c r="T187" s="1"/>
  <c r="X187" s="1"/>
  <c r="J261" i="26" s="1"/>
  <c r="X184" i="18"/>
  <c r="X196" s="1"/>
  <c r="T196"/>
  <c r="T230" s="1"/>
  <c r="T236" s="1"/>
  <c r="G370"/>
  <c r="L355"/>
  <c r="T355" s="1"/>
  <c r="X355" s="1"/>
  <c r="BG217" i="9"/>
  <c r="AF217"/>
  <c r="W137" i="10"/>
  <c r="Z137" s="1"/>
  <c r="AA137" s="1"/>
  <c r="W136"/>
  <c r="Z136" s="1"/>
  <c r="AA136" s="1"/>
  <c r="W147"/>
  <c r="Z147" s="1"/>
  <c r="AA147" s="1"/>
  <c r="P165"/>
  <c r="W165" s="1"/>
  <c r="Z165" s="1"/>
  <c r="AA165" s="1"/>
  <c r="W129"/>
  <c r="Z129" s="1"/>
  <c r="AA129" s="1"/>
  <c r="P156"/>
  <c r="W156" s="1"/>
  <c r="Z156" s="1"/>
  <c r="AA156" s="1"/>
  <c r="F44" i="40"/>
  <c r="J44" s="1"/>
  <c r="J35"/>
  <c r="K35" s="1"/>
  <c r="P164" i="10"/>
  <c r="W164" s="1"/>
  <c r="Z164" s="1"/>
  <c r="AA164" s="1"/>
  <c r="W146"/>
  <c r="Z146" s="1"/>
  <c r="AA146" s="1"/>
  <c r="F45" i="40"/>
  <c r="J45" s="1"/>
  <c r="K45" s="1"/>
  <c r="J36"/>
  <c r="K36" s="1"/>
  <c r="L394" i="18"/>
  <c r="X394"/>
  <c r="G398"/>
  <c r="R135" i="10"/>
  <c r="R144"/>
  <c r="R162" s="1"/>
  <c r="W148"/>
  <c r="Z148" s="1"/>
  <c r="AA148" s="1"/>
  <c r="P166"/>
  <c r="W166" s="1"/>
  <c r="Z166" s="1"/>
  <c r="AA166" s="1"/>
  <c r="E41" i="40"/>
  <c r="E44"/>
  <c r="W217" i="9"/>
  <c r="AA139" i="10"/>
  <c r="W138"/>
  <c r="Z138" s="1"/>
  <c r="AA138" s="1"/>
  <c r="BP217" i="9"/>
  <c r="AO254"/>
  <c r="F206" i="60"/>
  <c r="F210" s="1"/>
  <c r="F211" s="1"/>
  <c r="F212" s="1"/>
  <c r="G217" s="1"/>
  <c r="G221" s="1"/>
  <c r="H182"/>
  <c r="H191" i="67"/>
  <c r="G351" i="25"/>
  <c r="G350"/>
  <c r="F375"/>
  <c r="G327"/>
  <c r="N135" i="10"/>
  <c r="Y135" s="1"/>
  <c r="H200" i="67"/>
  <c r="H198"/>
  <c r="L140"/>
  <c r="L144" s="1"/>
  <c r="L182" s="1"/>
  <c r="L184" s="1"/>
  <c r="C197" i="55"/>
  <c r="AO217" i="8"/>
  <c r="K412" i="25"/>
  <c r="H189" i="67"/>
  <c r="J327"/>
  <c r="H328" s="1"/>
  <c r="H326"/>
  <c r="F221" i="60"/>
  <c r="AI217" i="8"/>
  <c r="M140" i="67"/>
  <c r="M144" s="1"/>
  <c r="M182" s="1"/>
  <c r="H162" i="10"/>
  <c r="N162" s="1"/>
  <c r="Y162" s="1"/>
  <c r="N144"/>
  <c r="Y144" s="1"/>
  <c r="J318" i="67"/>
  <c r="H319" s="1"/>
  <c r="H317"/>
  <c r="I288" i="34"/>
  <c r="I292" s="1"/>
  <c r="I262"/>
  <c r="I265" s="1"/>
  <c r="I267" s="1"/>
  <c r="G206" i="60"/>
  <c r="H206" s="1"/>
  <c r="C194" i="56"/>
  <c r="C192"/>
  <c r="C193"/>
  <c r="C190"/>
  <c r="C195"/>
  <c r="C191"/>
  <c r="H217" i="60" l="1"/>
  <c r="AO216" i="9"/>
  <c r="AH217"/>
  <c r="L398" i="18"/>
  <c r="T398" s="1"/>
  <c r="X398"/>
  <c r="I417" s="1"/>
  <c r="I424" s="1"/>
  <c r="K327" i="25"/>
  <c r="K375"/>
  <c r="K378" s="1"/>
  <c r="K41" i="40"/>
  <c r="W135" i="10"/>
  <c r="Z135" s="1"/>
  <c r="AA135" s="1"/>
  <c r="K351" i="25"/>
  <c r="K350"/>
  <c r="K44" i="40"/>
  <c r="K50" s="1"/>
  <c r="E50"/>
  <c r="T394" i="18"/>
  <c r="L370"/>
  <c r="G386"/>
  <c r="L312"/>
  <c r="T312" s="1"/>
  <c r="X312" s="1"/>
  <c r="X396" s="1"/>
  <c r="G396"/>
  <c r="G357"/>
  <c r="P162" i="10"/>
  <c r="W162" s="1"/>
  <c r="Z162" s="1"/>
  <c r="AA162" s="1"/>
  <c r="W144"/>
  <c r="Z144" s="1"/>
  <c r="AO217" i="9"/>
  <c r="J265" i="26"/>
  <c r="I562" i="66"/>
  <c r="AA144" i="10"/>
  <c r="H192" i="67"/>
  <c r="H221" i="60"/>
  <c r="E420" i="25"/>
  <c r="E421" s="1"/>
  <c r="F378"/>
  <c r="G77" i="58"/>
  <c r="G79" s="1"/>
  <c r="G329" i="25"/>
  <c r="G328"/>
  <c r="H201" i="67"/>
  <c r="L188"/>
  <c r="L190" s="1"/>
  <c r="K419" i="25"/>
  <c r="L419" s="1"/>
  <c r="N419" s="1"/>
  <c r="L412"/>
  <c r="I294" i="34"/>
  <c r="I296" s="1"/>
  <c r="I299" s="1"/>
  <c r="H320" i="67"/>
  <c r="H329"/>
  <c r="C197" i="56"/>
  <c r="L197" i="67"/>
  <c r="L199" s="1"/>
  <c r="M184"/>
  <c r="T396" i="18" l="1"/>
  <c r="T370"/>
  <c r="T386" s="1"/>
  <c r="L386"/>
  <c r="BN256" i="8"/>
  <c r="Y256"/>
  <c r="BO256"/>
  <c r="BB256"/>
  <c r="AK256" i="9"/>
  <c r="Y256"/>
  <c r="AZ256" i="8"/>
  <c r="AH256" i="9"/>
  <c r="S256"/>
  <c r="AI256"/>
  <c r="AI256" i="8"/>
  <c r="Z256" i="9"/>
  <c r="BI256" i="8"/>
  <c r="BC256"/>
  <c r="P256"/>
  <c r="T256"/>
  <c r="P256" i="9"/>
  <c r="S256" i="8"/>
  <c r="V256"/>
  <c r="BF256"/>
  <c r="BM256"/>
  <c r="Z256"/>
  <c r="AH256"/>
  <c r="BI256" i="9"/>
  <c r="BC256"/>
  <c r="Q256" i="8"/>
  <c r="BL256"/>
  <c r="AB256"/>
  <c r="AK256"/>
  <c r="BD256" i="9"/>
  <c r="BA256" i="8"/>
  <c r="AC256" i="9"/>
  <c r="BJ256"/>
  <c r="BA256"/>
  <c r="Q256"/>
  <c r="AL256" i="8"/>
  <c r="AB256" i="9"/>
  <c r="AL256"/>
  <c r="BD256" i="8"/>
  <c r="AC256"/>
  <c r="AN256"/>
  <c r="BM256" i="9"/>
  <c r="BL256"/>
  <c r="BJ256" i="8"/>
  <c r="AE256"/>
  <c r="T256" i="9"/>
  <c r="AZ256"/>
  <c r="BE256" i="8"/>
  <c r="AA256" i="9"/>
  <c r="R256" i="8"/>
  <c r="BB256" i="9"/>
  <c r="BK256"/>
  <c r="AJ256" i="8"/>
  <c r="AJ256" i="9"/>
  <c r="AA256" i="8"/>
  <c r="R256" i="9"/>
  <c r="BK256" i="8"/>
  <c r="AM256"/>
  <c r="AD256" i="9"/>
  <c r="AM256"/>
  <c r="BE256"/>
  <c r="AD256" i="8"/>
  <c r="BN256" i="9"/>
  <c r="U256"/>
  <c r="U256" i="8"/>
  <c r="AE289"/>
  <c r="AE291" s="1"/>
  <c r="AE293" s="1"/>
  <c r="AB289"/>
  <c r="AB291" s="1"/>
  <c r="AL289" i="9"/>
  <c r="AL291" s="1"/>
  <c r="Z289" i="8"/>
  <c r="Z291" s="1"/>
  <c r="Q289" i="9"/>
  <c r="Q291" s="1"/>
  <c r="G40" i="57" s="1"/>
  <c r="G102" s="1"/>
  <c r="AC289" i="9"/>
  <c r="AC291" s="1"/>
  <c r="AK289"/>
  <c r="AK291" s="1"/>
  <c r="AK293" s="1"/>
  <c r="P289"/>
  <c r="AM289"/>
  <c r="AM291" s="1"/>
  <c r="AH289"/>
  <c r="I257" i="66"/>
  <c r="AN289" i="8"/>
  <c r="AN291" s="1"/>
  <c r="AN293" s="1"/>
  <c r="AN985" s="1"/>
  <c r="S289" i="9"/>
  <c r="S291" s="1"/>
  <c r="G42" i="57" s="1"/>
  <c r="G104" s="1"/>
  <c r="R289" i="8"/>
  <c r="R291" s="1"/>
  <c r="AJ289"/>
  <c r="AJ291" s="1"/>
  <c r="AA289" i="9"/>
  <c r="AA291" s="1"/>
  <c r="AK289" i="8"/>
  <c r="AK291" s="1"/>
  <c r="AH289"/>
  <c r="Z289" i="9"/>
  <c r="Z291" s="1"/>
  <c r="Z293" s="1"/>
  <c r="AI289" i="8"/>
  <c r="AI291" s="1"/>
  <c r="AC289"/>
  <c r="AC291" s="1"/>
  <c r="AB289" i="9"/>
  <c r="AB291" s="1"/>
  <c r="AB293" s="1"/>
  <c r="S289" i="8"/>
  <c r="S291" s="1"/>
  <c r="G25" i="57" s="1"/>
  <c r="G92" s="1"/>
  <c r="Y289" i="9"/>
  <c r="AD289"/>
  <c r="AD291" s="1"/>
  <c r="AD293" s="1"/>
  <c r="Q289" i="8"/>
  <c r="Q291" s="1"/>
  <c r="G23" i="57" s="1"/>
  <c r="G90" s="1"/>
  <c r="V289" i="8"/>
  <c r="V291" s="1"/>
  <c r="G28" i="57" s="1"/>
  <c r="G95" s="1"/>
  <c r="P289" i="8"/>
  <c r="U289" i="9"/>
  <c r="U291" s="1"/>
  <c r="G44" i="57" s="1"/>
  <c r="G106" s="1"/>
  <c r="T289" i="8"/>
  <c r="T291" s="1"/>
  <c r="G26" i="57" s="1"/>
  <c r="G93" s="1"/>
  <c r="AD289" i="8"/>
  <c r="AD291" s="1"/>
  <c r="AL289"/>
  <c r="AL291" s="1"/>
  <c r="AM289"/>
  <c r="AM291" s="1"/>
  <c r="AA289"/>
  <c r="AA291" s="1"/>
  <c r="U289"/>
  <c r="U291" s="1"/>
  <c r="G27" i="57" s="1"/>
  <c r="G94" s="1"/>
  <c r="R289" i="9"/>
  <c r="R291" s="1"/>
  <c r="G41" i="57" s="1"/>
  <c r="G103" s="1"/>
  <c r="AI289" i="9"/>
  <c r="AI291" s="1"/>
  <c r="AI293" s="1"/>
  <c r="AJ289"/>
  <c r="AJ291" s="1"/>
  <c r="Y289" i="8"/>
  <c r="T289" i="9"/>
  <c r="T291" s="1"/>
  <c r="G43" i="57" s="1"/>
  <c r="G105" s="1"/>
  <c r="I565" i="66"/>
  <c r="J269" i="26"/>
  <c r="I569" i="66" s="1"/>
  <c r="K329" i="25"/>
  <c r="K328"/>
  <c r="L396" i="18"/>
  <c r="K380" i="25"/>
  <c r="K379"/>
  <c r="F380"/>
  <c r="F379"/>
  <c r="G331"/>
  <c r="M419"/>
  <c r="N412"/>
  <c r="M412"/>
  <c r="AD293" i="8" l="1"/>
  <c r="AD985" s="1"/>
  <c r="AL293" i="9"/>
  <c r="AL331" s="1"/>
  <c r="Z293" i="8"/>
  <c r="Z985" s="1"/>
  <c r="Z985" i="9"/>
  <c r="Z978"/>
  <c r="AK978"/>
  <c r="AK985"/>
  <c r="U330"/>
  <c r="U253"/>
  <c r="U295" s="1"/>
  <c r="U329"/>
  <c r="U293"/>
  <c r="AB978"/>
  <c r="AB985"/>
  <c r="AH291" i="8"/>
  <c r="AO289"/>
  <c r="G24" i="57"/>
  <c r="G91" s="1"/>
  <c r="K50" i="58"/>
  <c r="AO289" i="9"/>
  <c r="AH291"/>
  <c r="AO291" s="1"/>
  <c r="BN253"/>
  <c r="BN295" s="1"/>
  <c r="BN293"/>
  <c r="BN330"/>
  <c r="BN329"/>
  <c r="AD329"/>
  <c r="AD330"/>
  <c r="AD253"/>
  <c r="AD295" s="1"/>
  <c r="AA253" i="8"/>
  <c r="AA295" s="1"/>
  <c r="AA329"/>
  <c r="AA293"/>
  <c r="BB293" i="9"/>
  <c r="BB253"/>
  <c r="BB295" s="1"/>
  <c r="BB330"/>
  <c r="AZ293"/>
  <c r="AZ330"/>
  <c r="AZ329"/>
  <c r="BG256"/>
  <c r="AZ253"/>
  <c r="BL253"/>
  <c r="BL295" s="1"/>
  <c r="BL329"/>
  <c r="BL293"/>
  <c r="BL330"/>
  <c r="BD293" i="8"/>
  <c r="BD329"/>
  <c r="BD253"/>
  <c r="BD295" s="1"/>
  <c r="BD330"/>
  <c r="R329" i="9"/>
  <c r="Q330"/>
  <c r="Q329"/>
  <c r="Q253"/>
  <c r="Q295" s="1"/>
  <c r="Q293"/>
  <c r="BA293" i="8"/>
  <c r="BA330"/>
  <c r="BA329"/>
  <c r="BA253"/>
  <c r="BA295" s="1"/>
  <c r="BK330"/>
  <c r="BL253"/>
  <c r="BL295" s="1"/>
  <c r="BL329"/>
  <c r="BL330"/>
  <c r="BL293"/>
  <c r="AH330"/>
  <c r="AH329"/>
  <c r="AO256"/>
  <c r="AH253"/>
  <c r="V330"/>
  <c r="V253"/>
  <c r="I169" i="66"/>
  <c r="V329" i="8"/>
  <c r="V293"/>
  <c r="C169" i="66"/>
  <c r="P330" i="8"/>
  <c r="P253"/>
  <c r="P329"/>
  <c r="W256"/>
  <c r="AI253"/>
  <c r="AI295" s="1"/>
  <c r="AI310" s="1"/>
  <c r="AI312" s="1"/>
  <c r="AI315" s="1"/>
  <c r="AI330"/>
  <c r="AI329"/>
  <c r="AI293"/>
  <c r="AZ329"/>
  <c r="AZ253"/>
  <c r="AZ295" s="1"/>
  <c r="AZ330"/>
  <c r="AZ293"/>
  <c r="BG256"/>
  <c r="BO329"/>
  <c r="BO330"/>
  <c r="BO253"/>
  <c r="BO295" s="1"/>
  <c r="BO293"/>
  <c r="AC293" i="9"/>
  <c r="AB293" i="8"/>
  <c r="Y291"/>
  <c r="AF289"/>
  <c r="AM253" i="9"/>
  <c r="AM295" s="1"/>
  <c r="AM310" s="1"/>
  <c r="AM312" s="1"/>
  <c r="AM315" s="1"/>
  <c r="AM330"/>
  <c r="AM329"/>
  <c r="AM293"/>
  <c r="R253"/>
  <c r="R295" s="1"/>
  <c r="R330"/>
  <c r="R293"/>
  <c r="BK253"/>
  <c r="BK295" s="1"/>
  <c r="BK293"/>
  <c r="BK330"/>
  <c r="BK329"/>
  <c r="BE293" i="8"/>
  <c r="BE329"/>
  <c r="BE330"/>
  <c r="BE253"/>
  <c r="BE295" s="1"/>
  <c r="BK329"/>
  <c r="BJ253"/>
  <c r="BJ295" s="1"/>
  <c r="BJ330"/>
  <c r="BJ329"/>
  <c r="BJ293"/>
  <c r="AC253"/>
  <c r="AC295" s="1"/>
  <c r="AC329"/>
  <c r="AC330"/>
  <c r="AL329"/>
  <c r="AL253"/>
  <c r="AL295" s="1"/>
  <c r="AL310" s="1"/>
  <c r="AL312" s="1"/>
  <c r="AL315" s="1"/>
  <c r="AL330"/>
  <c r="AC253" i="9"/>
  <c r="AC295" s="1"/>
  <c r="AC330"/>
  <c r="AC329"/>
  <c r="AA330" i="8"/>
  <c r="AB253"/>
  <c r="AB295" s="1"/>
  <c r="AB330"/>
  <c r="AB329"/>
  <c r="BI293" i="9"/>
  <c r="BI253"/>
  <c r="BI330"/>
  <c r="BI329"/>
  <c r="BP256"/>
  <c r="BF253" i="8"/>
  <c r="BF295" s="1"/>
  <c r="BF329"/>
  <c r="BF293"/>
  <c r="BF330"/>
  <c r="G169" i="66"/>
  <c r="T330" i="8"/>
  <c r="T329"/>
  <c r="T253"/>
  <c r="T293"/>
  <c r="AA329" i="9"/>
  <c r="Z253"/>
  <c r="Z295" s="1"/>
  <c r="Z330"/>
  <c r="Z329"/>
  <c r="AO256"/>
  <c r="AH253"/>
  <c r="AH330"/>
  <c r="AH329"/>
  <c r="BB293" i="8"/>
  <c r="BB253"/>
  <c r="BB295" s="1"/>
  <c r="BB330"/>
  <c r="BB329"/>
  <c r="P291"/>
  <c r="W289"/>
  <c r="AF289" i="9"/>
  <c r="Y291"/>
  <c r="W289"/>
  <c r="P291"/>
  <c r="H169" i="66"/>
  <c r="U330" i="8"/>
  <c r="U253"/>
  <c r="U329"/>
  <c r="U293"/>
  <c r="BE253" i="9"/>
  <c r="BE295" s="1"/>
  <c r="BE293"/>
  <c r="BE329"/>
  <c r="BE330"/>
  <c r="BK253" i="8"/>
  <c r="BK295" s="1"/>
  <c r="BK293"/>
  <c r="BK985" s="1"/>
  <c r="AJ253"/>
  <c r="AJ295" s="1"/>
  <c r="AJ310" s="1"/>
  <c r="AJ312" s="1"/>
  <c r="AJ315" s="1"/>
  <c r="AJ330"/>
  <c r="AJ329"/>
  <c r="AJ293"/>
  <c r="AA253" i="9"/>
  <c r="AA295" s="1"/>
  <c r="AA293"/>
  <c r="AE253" i="8"/>
  <c r="AE295" s="1"/>
  <c r="AE330"/>
  <c r="AE329"/>
  <c r="AN330"/>
  <c r="AN329"/>
  <c r="AN253"/>
  <c r="AN295" s="1"/>
  <c r="AN310" s="1"/>
  <c r="AN312" s="1"/>
  <c r="AN315" s="1"/>
  <c r="AA330" i="9"/>
  <c r="AB329"/>
  <c r="AB253"/>
  <c r="AB295" s="1"/>
  <c r="AB330"/>
  <c r="BJ253"/>
  <c r="BJ295" s="1"/>
  <c r="BJ293"/>
  <c r="BJ330"/>
  <c r="BJ329"/>
  <c r="AK253" i="8"/>
  <c r="AK295" s="1"/>
  <c r="AK310" s="1"/>
  <c r="AK312" s="1"/>
  <c r="AK315" s="1"/>
  <c r="AK330"/>
  <c r="AK329"/>
  <c r="AK293"/>
  <c r="BC330" i="9"/>
  <c r="BC293"/>
  <c r="BC329"/>
  <c r="BC253"/>
  <c r="BC295" s="1"/>
  <c r="BM330" i="8"/>
  <c r="BM293"/>
  <c r="BM329"/>
  <c r="BM253"/>
  <c r="BM295" s="1"/>
  <c r="P329" i="9"/>
  <c r="W256"/>
  <c r="P253"/>
  <c r="P330"/>
  <c r="BI293" i="8"/>
  <c r="BI329"/>
  <c r="BI253"/>
  <c r="BI295" s="1"/>
  <c r="BP256"/>
  <c r="BI330"/>
  <c r="S329" i="9"/>
  <c r="S253"/>
  <c r="S295" s="1"/>
  <c r="S330"/>
  <c r="S293"/>
  <c r="AJ330"/>
  <c r="AK253"/>
  <c r="AK295" s="1"/>
  <c r="AK310" s="1"/>
  <c r="AK312" s="1"/>
  <c r="AK315" s="1"/>
  <c r="AK330"/>
  <c r="AK329"/>
  <c r="BN293" i="8"/>
  <c r="BN253"/>
  <c r="BN295" s="1"/>
  <c r="BN329"/>
  <c r="BN330"/>
  <c r="K331" i="25"/>
  <c r="AL293" i="8"/>
  <c r="K381" i="25"/>
  <c r="K383" s="1"/>
  <c r="K384" s="1"/>
  <c r="K399" s="1"/>
  <c r="J310" i="66" s="1"/>
  <c r="K398" i="25"/>
  <c r="AI978" i="9"/>
  <c r="AI985"/>
  <c r="AD985"/>
  <c r="AD978"/>
  <c r="AD331"/>
  <c r="AD333" s="1"/>
  <c r="AE985" i="8"/>
  <c r="AD253"/>
  <c r="AD295" s="1"/>
  <c r="AD329"/>
  <c r="AD330"/>
  <c r="AM253"/>
  <c r="AM295" s="1"/>
  <c r="AM310" s="1"/>
  <c r="AM312" s="1"/>
  <c r="AM315" s="1"/>
  <c r="AM330"/>
  <c r="AM329"/>
  <c r="AM293"/>
  <c r="AJ253" i="9"/>
  <c r="AJ295" s="1"/>
  <c r="AJ310" s="1"/>
  <c r="AJ312" s="1"/>
  <c r="AJ315" s="1"/>
  <c r="AJ329"/>
  <c r="AJ293"/>
  <c r="R253" i="8"/>
  <c r="E169" i="66"/>
  <c r="R293" i="8"/>
  <c r="T329" i="9"/>
  <c r="T253"/>
  <c r="T295" s="1"/>
  <c r="T330"/>
  <c r="T293"/>
  <c r="BM293"/>
  <c r="BM330"/>
  <c r="BM329"/>
  <c r="BM253"/>
  <c r="BM295" s="1"/>
  <c r="AL330"/>
  <c r="AL329"/>
  <c r="AL253"/>
  <c r="AL295" s="1"/>
  <c r="AL310" s="1"/>
  <c r="AL312" s="1"/>
  <c r="AL315" s="1"/>
  <c r="BB329"/>
  <c r="BA330"/>
  <c r="BA329"/>
  <c r="BA293"/>
  <c r="BA253"/>
  <c r="BA295" s="1"/>
  <c r="BD329"/>
  <c r="BD253"/>
  <c r="BD295" s="1"/>
  <c r="BD330"/>
  <c r="BD293"/>
  <c r="R329" i="8"/>
  <c r="Q329"/>
  <c r="D169" i="66"/>
  <c r="Q330" i="8"/>
  <c r="Q253"/>
  <c r="Q293"/>
  <c r="Z329"/>
  <c r="Z330"/>
  <c r="Z253"/>
  <c r="Z295" s="1"/>
  <c r="R330"/>
  <c r="S330"/>
  <c r="S253"/>
  <c r="F169" i="66"/>
  <c r="S329" i="8"/>
  <c r="S293"/>
  <c r="BC329"/>
  <c r="BC330"/>
  <c r="BC293"/>
  <c r="BC253"/>
  <c r="BC295" s="1"/>
  <c r="AI330" i="9"/>
  <c r="AI253"/>
  <c r="AI295" s="1"/>
  <c r="AI310" s="1"/>
  <c r="AI312" s="1"/>
  <c r="AI315" s="1"/>
  <c r="AI329"/>
  <c r="Y329"/>
  <c r="Y253"/>
  <c r="Y330"/>
  <c r="AF256"/>
  <c r="Y329" i="8"/>
  <c r="Y330"/>
  <c r="Y253"/>
  <c r="AF256"/>
  <c r="AC293"/>
  <c r="J573" i="25"/>
  <c r="J575" s="1"/>
  <c r="J579" s="1"/>
  <c r="J591" s="1"/>
  <c r="J593" s="1"/>
  <c r="F398"/>
  <c r="F381"/>
  <c r="F383" s="1"/>
  <c r="F384" s="1"/>
  <c r="F399" s="1"/>
  <c r="I310" i="66" s="1"/>
  <c r="AD332" i="8" l="1"/>
  <c r="AL978" i="9"/>
  <c r="AE331" i="8"/>
  <c r="AE333" s="1"/>
  <c r="AE339" s="1"/>
  <c r="AE341" s="1"/>
  <c r="AE343" s="1"/>
  <c r="AE349" s="1"/>
  <c r="AD352" s="1"/>
  <c r="AL985" i="9"/>
  <c r="AK332"/>
  <c r="AK334" s="1"/>
  <c r="AK338" s="1"/>
  <c r="AK342" s="1"/>
  <c r="AK344" s="1"/>
  <c r="AK350" s="1"/>
  <c r="AL353" s="1"/>
  <c r="AL332"/>
  <c r="AL334" s="1"/>
  <c r="BP295" i="8"/>
  <c r="AI317" i="9"/>
  <c r="AI348" s="1"/>
  <c r="AI321"/>
  <c r="AI323" s="1"/>
  <c r="AI332"/>
  <c r="AI334" s="1"/>
  <c r="AJ978"/>
  <c r="AJ332"/>
  <c r="AJ334" s="1"/>
  <c r="AJ985"/>
  <c r="AJ331"/>
  <c r="AJ333" s="1"/>
  <c r="AL985" i="8"/>
  <c r="AL332"/>
  <c r="AL334" s="1"/>
  <c r="AL340" s="1"/>
  <c r="AL342" s="1"/>
  <c r="AL344" s="1"/>
  <c r="AL350" s="1"/>
  <c r="AM353" s="1"/>
  <c r="AK317" i="9"/>
  <c r="AK348" s="1"/>
  <c r="AK321"/>
  <c r="AK323" s="1"/>
  <c r="W253"/>
  <c r="P295"/>
  <c r="W295" s="1"/>
  <c r="Y293"/>
  <c r="AF291"/>
  <c r="T331" i="8"/>
  <c r="T333" s="1"/>
  <c r="T339" s="1"/>
  <c r="T341" s="1"/>
  <c r="T343" s="1"/>
  <c r="T332"/>
  <c r="T334" s="1"/>
  <c r="T340" s="1"/>
  <c r="T342" s="1"/>
  <c r="T344" s="1"/>
  <c r="T985"/>
  <c r="BP253" i="9"/>
  <c r="BI295"/>
  <c r="BP295" s="1"/>
  <c r="R331"/>
  <c r="R333" s="1"/>
  <c r="R337" s="1"/>
  <c r="R339" s="1"/>
  <c r="R341" s="1"/>
  <c r="R343" s="1"/>
  <c r="R332"/>
  <c r="R334" s="1"/>
  <c r="R338" s="1"/>
  <c r="R340" s="1"/>
  <c r="R342" s="1"/>
  <c r="R344" s="1"/>
  <c r="R978"/>
  <c r="R985"/>
  <c r="AZ985" i="8"/>
  <c r="AZ331"/>
  <c r="AZ333" s="1"/>
  <c r="AZ339" s="1"/>
  <c r="AZ341" s="1"/>
  <c r="AZ343" s="1"/>
  <c r="AZ349" s="1"/>
  <c r="BG293"/>
  <c r="AZ332"/>
  <c r="AZ334" s="1"/>
  <c r="AZ340" s="1"/>
  <c r="AZ342" s="1"/>
  <c r="AZ344" s="1"/>
  <c r="AZ350" s="1"/>
  <c r="AI332"/>
  <c r="AI334" s="1"/>
  <c r="AI340" s="1"/>
  <c r="AI342" s="1"/>
  <c r="AI344" s="1"/>
  <c r="AI350" s="1"/>
  <c r="AJ353" s="1"/>
  <c r="AI985"/>
  <c r="V295"/>
  <c r="I171" i="66"/>
  <c r="BG253" i="9"/>
  <c r="AZ295"/>
  <c r="BG295" s="1"/>
  <c r="Z332" i="8"/>
  <c r="Z334" s="1"/>
  <c r="Z340" s="1"/>
  <c r="Z342" s="1"/>
  <c r="Z344" s="1"/>
  <c r="Z350" s="1"/>
  <c r="AA353" s="1"/>
  <c r="AA331"/>
  <c r="AA333" s="1"/>
  <c r="AA339" s="1"/>
  <c r="AA341" s="1"/>
  <c r="AA343" s="1"/>
  <c r="AA349" s="1"/>
  <c r="AA332"/>
  <c r="AA334" s="1"/>
  <c r="AA340" s="1"/>
  <c r="AA342" s="1"/>
  <c r="AA344" s="1"/>
  <c r="AA350" s="1"/>
  <c r="AB353" s="1"/>
  <c r="AA985"/>
  <c r="BN985" i="9"/>
  <c r="BN978"/>
  <c r="AC985" i="8"/>
  <c r="AC332"/>
  <c r="AC334" s="1"/>
  <c r="AC340" s="1"/>
  <c r="AC342" s="1"/>
  <c r="AC344" s="1"/>
  <c r="AC350" s="1"/>
  <c r="AD353" s="1"/>
  <c r="AD354" s="1"/>
  <c r="AC331"/>
  <c r="AC333" s="1"/>
  <c r="AC339" s="1"/>
  <c r="AC341" s="1"/>
  <c r="AC343" s="1"/>
  <c r="AC349" s="1"/>
  <c r="S985"/>
  <c r="S331"/>
  <c r="S333" s="1"/>
  <c r="S339" s="1"/>
  <c r="S341" s="1"/>
  <c r="S343" s="1"/>
  <c r="S332"/>
  <c r="S334" s="1"/>
  <c r="S340" s="1"/>
  <c r="S342" s="1"/>
  <c r="S344" s="1"/>
  <c r="AL321" i="9"/>
  <c r="AL323" s="1"/>
  <c r="AL317"/>
  <c r="AL348" s="1"/>
  <c r="AJ321"/>
  <c r="AJ323" s="1"/>
  <c r="AJ317"/>
  <c r="AJ348" s="1"/>
  <c r="AM317" i="8"/>
  <c r="AM321"/>
  <c r="AM323" s="1"/>
  <c r="AM348" s="1"/>
  <c r="AF253" i="9"/>
  <c r="Y295"/>
  <c r="AF295" s="1"/>
  <c r="S295" i="8"/>
  <c r="F171" i="66"/>
  <c r="BD331" i="9"/>
  <c r="BD333" s="1"/>
  <c r="BD332"/>
  <c r="BD334" s="1"/>
  <c r="BD978"/>
  <c r="BD985"/>
  <c r="T331"/>
  <c r="T333" s="1"/>
  <c r="T337" s="1"/>
  <c r="T339" s="1"/>
  <c r="T341" s="1"/>
  <c r="T343" s="1"/>
  <c r="T332"/>
  <c r="T334" s="1"/>
  <c r="T338" s="1"/>
  <c r="T340" s="1"/>
  <c r="T342" s="1"/>
  <c r="T344" s="1"/>
  <c r="T978"/>
  <c r="T985"/>
  <c r="R332" i="8"/>
  <c r="R334" s="1"/>
  <c r="R340" s="1"/>
  <c r="R342" s="1"/>
  <c r="R344" s="1"/>
  <c r="R331"/>
  <c r="R333" s="1"/>
  <c r="R339" s="1"/>
  <c r="R341" s="1"/>
  <c r="R343" s="1"/>
  <c r="R985"/>
  <c r="BN331"/>
  <c r="BN333" s="1"/>
  <c r="BN339" s="1"/>
  <c r="BN341" s="1"/>
  <c r="BN343" s="1"/>
  <c r="BN349" s="1"/>
  <c r="BN985"/>
  <c r="BN332"/>
  <c r="BN334" s="1"/>
  <c r="BN340" s="1"/>
  <c r="BN342" s="1"/>
  <c r="BN344" s="1"/>
  <c r="BN350" s="1"/>
  <c r="BO353" s="1"/>
  <c r="BM985"/>
  <c r="BM331"/>
  <c r="BM333" s="1"/>
  <c r="BM339" s="1"/>
  <c r="BM341" s="1"/>
  <c r="BM343" s="1"/>
  <c r="BM349" s="1"/>
  <c r="BM332"/>
  <c r="BM334" s="1"/>
  <c r="BM340" s="1"/>
  <c r="BM342" s="1"/>
  <c r="BM344" s="1"/>
  <c r="BM350" s="1"/>
  <c r="BN353" s="1"/>
  <c r="BB332" i="9"/>
  <c r="BB334" s="1"/>
  <c r="BC332"/>
  <c r="BC334" s="1"/>
  <c r="BC978"/>
  <c r="BC331"/>
  <c r="BC333" s="1"/>
  <c r="BC985"/>
  <c r="BK331"/>
  <c r="BK333" s="1"/>
  <c r="BJ332"/>
  <c r="BJ334" s="1"/>
  <c r="BJ331"/>
  <c r="BJ333" s="1"/>
  <c r="BJ978"/>
  <c r="BJ985"/>
  <c r="AA985"/>
  <c r="AB331"/>
  <c r="AB333" s="1"/>
  <c r="AA331"/>
  <c r="AA333" s="1"/>
  <c r="AA332"/>
  <c r="AA334" s="1"/>
  <c r="AA978"/>
  <c r="U331" i="8"/>
  <c r="U333" s="1"/>
  <c r="U339" s="1"/>
  <c r="U341" s="1"/>
  <c r="U343" s="1"/>
  <c r="U985"/>
  <c r="U332"/>
  <c r="U334" s="1"/>
  <c r="U340" s="1"/>
  <c r="U342" s="1"/>
  <c r="U344" s="1"/>
  <c r="T295"/>
  <c r="G171" i="66"/>
  <c r="BN332" i="9"/>
  <c r="BN334" s="1"/>
  <c r="BI331"/>
  <c r="BI333" s="1"/>
  <c r="BI978"/>
  <c r="BI985"/>
  <c r="BI332"/>
  <c r="BI334" s="1"/>
  <c r="BP293"/>
  <c r="V985" i="8"/>
  <c r="V331"/>
  <c r="V333" s="1"/>
  <c r="V339" s="1"/>
  <c r="V341" s="1"/>
  <c r="V343" s="1"/>
  <c r="BK332" i="9"/>
  <c r="BK334" s="1"/>
  <c r="BL985"/>
  <c r="BL978"/>
  <c r="BL331"/>
  <c r="BL333" s="1"/>
  <c r="BL332"/>
  <c r="BL334" s="1"/>
  <c r="K403" i="25"/>
  <c r="Z332" i="9"/>
  <c r="Z334" s="1"/>
  <c r="AH293"/>
  <c r="AF253" i="8"/>
  <c r="Y295"/>
  <c r="AF295" s="1"/>
  <c r="AN317"/>
  <c r="AN321"/>
  <c r="AN323" s="1"/>
  <c r="AN348" s="1"/>
  <c r="AJ985"/>
  <c r="AJ332"/>
  <c r="AJ334" s="1"/>
  <c r="AJ340" s="1"/>
  <c r="AJ342" s="1"/>
  <c r="AJ344" s="1"/>
  <c r="AJ350" s="1"/>
  <c r="AK353" s="1"/>
  <c r="AJ331"/>
  <c r="AJ333" s="1"/>
  <c r="AJ339" s="1"/>
  <c r="AJ341" s="1"/>
  <c r="AJ343" s="1"/>
  <c r="AJ349" s="1"/>
  <c r="BE978" i="9"/>
  <c r="BE331"/>
  <c r="BE333" s="1"/>
  <c r="BE985"/>
  <c r="BE332"/>
  <c r="BE334" s="1"/>
  <c r="H171" i="66"/>
  <c r="U295" i="8"/>
  <c r="W291"/>
  <c r="I23" i="58" s="1"/>
  <c r="G22" i="57"/>
  <c r="G89" s="1"/>
  <c r="P293" i="8"/>
  <c r="Q331" s="1"/>
  <c r="Q333" s="1"/>
  <c r="Q339" s="1"/>
  <c r="Q341" s="1"/>
  <c r="Q343" s="1"/>
  <c r="BB985"/>
  <c r="BB332"/>
  <c r="BB334" s="1"/>
  <c r="BB340" s="1"/>
  <c r="BB342" s="1"/>
  <c r="BB344" s="1"/>
  <c r="BB350" s="1"/>
  <c r="BC353" s="1"/>
  <c r="BB331"/>
  <c r="BB333" s="1"/>
  <c r="BB339" s="1"/>
  <c r="BB341" s="1"/>
  <c r="BB343" s="1"/>
  <c r="BB349" s="1"/>
  <c r="BK331"/>
  <c r="BK333" s="1"/>
  <c r="BK339" s="1"/>
  <c r="BK341" s="1"/>
  <c r="BK343" s="1"/>
  <c r="BK349" s="1"/>
  <c r="BJ332"/>
  <c r="BJ334" s="1"/>
  <c r="BJ340" s="1"/>
  <c r="BJ342" s="1"/>
  <c r="BJ344" s="1"/>
  <c r="BJ350" s="1"/>
  <c r="BK353" s="1"/>
  <c r="BJ331"/>
  <c r="BJ333" s="1"/>
  <c r="BJ339" s="1"/>
  <c r="BJ341" s="1"/>
  <c r="BJ343" s="1"/>
  <c r="BJ349" s="1"/>
  <c r="BJ985"/>
  <c r="BE331"/>
  <c r="BE333" s="1"/>
  <c r="BE339" s="1"/>
  <c r="BE341" s="1"/>
  <c r="BE343" s="1"/>
  <c r="BE349" s="1"/>
  <c r="BE985"/>
  <c r="BE332"/>
  <c r="BE334" s="1"/>
  <c r="BE340" s="1"/>
  <c r="BE342" s="1"/>
  <c r="BE344" s="1"/>
  <c r="BE350" s="1"/>
  <c r="BF353" s="1"/>
  <c r="AM985" i="9"/>
  <c r="AM978"/>
  <c r="AM331"/>
  <c r="AM333" s="1"/>
  <c r="AB985" i="8"/>
  <c r="AB332"/>
  <c r="AB334" s="1"/>
  <c r="AB340" s="1"/>
  <c r="AB342" s="1"/>
  <c r="AB344" s="1"/>
  <c r="AB350" s="1"/>
  <c r="AC353" s="1"/>
  <c r="AB331"/>
  <c r="AB333" s="1"/>
  <c r="AB339" s="1"/>
  <c r="AB341" s="1"/>
  <c r="AB343" s="1"/>
  <c r="AB349" s="1"/>
  <c r="BO331"/>
  <c r="BO333" s="1"/>
  <c r="BO339" s="1"/>
  <c r="BO341" s="1"/>
  <c r="BO343" s="1"/>
  <c r="BO349" s="1"/>
  <c r="BO985"/>
  <c r="BO332"/>
  <c r="BO334" s="1"/>
  <c r="BO340" s="1"/>
  <c r="BO342" s="1"/>
  <c r="BO344" s="1"/>
  <c r="BO350" s="1"/>
  <c r="BI353" s="1"/>
  <c r="Q332" i="9"/>
  <c r="Q334" s="1"/>
  <c r="Q338" s="1"/>
  <c r="Q340" s="1"/>
  <c r="Q342" s="1"/>
  <c r="Q344" s="1"/>
  <c r="Q978"/>
  <c r="Q985"/>
  <c r="BD331" i="8"/>
  <c r="BD333" s="1"/>
  <c r="BD339" s="1"/>
  <c r="BD341" s="1"/>
  <c r="BD343" s="1"/>
  <c r="BD349" s="1"/>
  <c r="BD332"/>
  <c r="BD334" s="1"/>
  <c r="BD340" s="1"/>
  <c r="BD342" s="1"/>
  <c r="BD344" s="1"/>
  <c r="BD350" s="1"/>
  <c r="BE353" s="1"/>
  <c r="BD985"/>
  <c r="BB978" i="9"/>
  <c r="BB985"/>
  <c r="BB331"/>
  <c r="BB333" s="1"/>
  <c r="AO291" i="8"/>
  <c r="AH293"/>
  <c r="U985" i="9"/>
  <c r="U331"/>
  <c r="U333" s="1"/>
  <c r="U337" s="1"/>
  <c r="U339" s="1"/>
  <c r="U341" s="1"/>
  <c r="U343" s="1"/>
  <c r="U978"/>
  <c r="AL333"/>
  <c r="AD334" i="8"/>
  <c r="AD340" s="1"/>
  <c r="AD342" s="1"/>
  <c r="AD344" s="1"/>
  <c r="AD350" s="1"/>
  <c r="AE353" s="1"/>
  <c r="D171" i="66"/>
  <c r="Q295" i="8"/>
  <c r="BN331" i="9"/>
  <c r="BN333" s="1"/>
  <c r="BM331"/>
  <c r="BM333" s="1"/>
  <c r="BM332"/>
  <c r="BM334" s="1"/>
  <c r="BM985"/>
  <c r="BM978"/>
  <c r="AD337"/>
  <c r="AD341" s="1"/>
  <c r="AD343" s="1"/>
  <c r="AD349" s="1"/>
  <c r="AC352" s="1"/>
  <c r="AC978"/>
  <c r="AC985"/>
  <c r="AC331"/>
  <c r="AC333" s="1"/>
  <c r="AC332"/>
  <c r="AC334" s="1"/>
  <c r="AZ331"/>
  <c r="AZ333" s="1"/>
  <c r="AZ978"/>
  <c r="AZ985"/>
  <c r="AZ332"/>
  <c r="AZ334" s="1"/>
  <c r="BG293"/>
  <c r="BC332" i="8"/>
  <c r="BC334" s="1"/>
  <c r="BC340" s="1"/>
  <c r="BC342" s="1"/>
  <c r="BC344" s="1"/>
  <c r="BC350" s="1"/>
  <c r="BD353" s="1"/>
  <c r="BC331"/>
  <c r="BC333" s="1"/>
  <c r="BC339" s="1"/>
  <c r="BC341" s="1"/>
  <c r="BC343" s="1"/>
  <c r="BC349" s="1"/>
  <c r="BC985"/>
  <c r="Q332"/>
  <c r="Q334" s="1"/>
  <c r="Q340" s="1"/>
  <c r="Q342" s="1"/>
  <c r="Q344" s="1"/>
  <c r="Q985"/>
  <c r="E171" i="66"/>
  <c r="R295" i="8"/>
  <c r="AM331"/>
  <c r="AM333" s="1"/>
  <c r="AM339" s="1"/>
  <c r="AM341" s="1"/>
  <c r="AM343" s="1"/>
  <c r="AM349" s="1"/>
  <c r="AM985"/>
  <c r="AN331"/>
  <c r="AN333" s="1"/>
  <c r="AN339" s="1"/>
  <c r="AN341" s="1"/>
  <c r="AN343" s="1"/>
  <c r="AN349" s="1"/>
  <c r="AM352" s="1"/>
  <c r="AM354" s="1"/>
  <c r="AM332"/>
  <c r="AM334" s="1"/>
  <c r="AM340" s="1"/>
  <c r="AM342" s="1"/>
  <c r="AM344" s="1"/>
  <c r="AM350" s="1"/>
  <c r="AN353" s="1"/>
  <c r="AI317"/>
  <c r="AI321"/>
  <c r="AI323" s="1"/>
  <c r="AI348" s="1"/>
  <c r="AL331"/>
  <c r="AL333" s="1"/>
  <c r="AL339" s="1"/>
  <c r="AL341" s="1"/>
  <c r="AL343" s="1"/>
  <c r="AL349" s="1"/>
  <c r="AK332"/>
  <c r="AK334" s="1"/>
  <c r="AK340" s="1"/>
  <c r="AK342" s="1"/>
  <c r="AK344" s="1"/>
  <c r="AK350" s="1"/>
  <c r="AL353" s="1"/>
  <c r="AK985"/>
  <c r="AK331"/>
  <c r="AK333" s="1"/>
  <c r="AK339" s="1"/>
  <c r="AK341" s="1"/>
  <c r="AK343" s="1"/>
  <c r="AK349" s="1"/>
  <c r="BA985" i="9"/>
  <c r="BA978"/>
  <c r="BA332"/>
  <c r="BA334" s="1"/>
  <c r="BA331"/>
  <c r="BA333" s="1"/>
  <c r="S978"/>
  <c r="S985"/>
  <c r="S332"/>
  <c r="S334" s="1"/>
  <c r="S338" s="1"/>
  <c r="S340" s="1"/>
  <c r="S342" s="1"/>
  <c r="S344" s="1"/>
  <c r="S331"/>
  <c r="S333" s="1"/>
  <c r="S337" s="1"/>
  <c r="S339" s="1"/>
  <c r="S341" s="1"/>
  <c r="S343" s="1"/>
  <c r="BI331" i="8"/>
  <c r="BI333" s="1"/>
  <c r="BI339" s="1"/>
  <c r="BI341" s="1"/>
  <c r="BI343" s="1"/>
  <c r="BI349" s="1"/>
  <c r="BI985"/>
  <c r="BI332"/>
  <c r="BI334" s="1"/>
  <c r="BI340" s="1"/>
  <c r="BI342" s="1"/>
  <c r="BI344" s="1"/>
  <c r="BI350" s="1"/>
  <c r="BP293"/>
  <c r="AK317"/>
  <c r="AK321"/>
  <c r="AK323" s="1"/>
  <c r="AK348" s="1"/>
  <c r="AJ321"/>
  <c r="AJ323" s="1"/>
  <c r="AJ348" s="1"/>
  <c r="AJ317"/>
  <c r="G39" i="57"/>
  <c r="G101" s="1"/>
  <c r="W291" i="9"/>
  <c r="P293"/>
  <c r="AO253"/>
  <c r="AH295"/>
  <c r="BF985" i="8"/>
  <c r="BF331"/>
  <c r="BF333" s="1"/>
  <c r="BF339" s="1"/>
  <c r="BF341" s="1"/>
  <c r="BF343" s="1"/>
  <c r="BF349" s="1"/>
  <c r="BF332"/>
  <c r="BF334" s="1"/>
  <c r="BF340" s="1"/>
  <c r="BF342" s="1"/>
  <c r="BF344" s="1"/>
  <c r="BF350" s="1"/>
  <c r="AZ353" s="1"/>
  <c r="AL317"/>
  <c r="AL321"/>
  <c r="AL323" s="1"/>
  <c r="AL348" s="1"/>
  <c r="BK985" i="9"/>
  <c r="BK978"/>
  <c r="AM321"/>
  <c r="AM323" s="1"/>
  <c r="AM317"/>
  <c r="AM348" s="1"/>
  <c r="AF291" i="8"/>
  <c r="Y293"/>
  <c r="W253"/>
  <c r="C171" i="66"/>
  <c r="P295" i="8"/>
  <c r="AO253"/>
  <c r="AH295"/>
  <c r="BK332"/>
  <c r="BK334" s="1"/>
  <c r="BK340" s="1"/>
  <c r="BK342" s="1"/>
  <c r="BK344" s="1"/>
  <c r="BK350" s="1"/>
  <c r="BL353" s="1"/>
  <c r="BL332"/>
  <c r="BL334" s="1"/>
  <c r="BL340" s="1"/>
  <c r="BL342" s="1"/>
  <c r="BL344" s="1"/>
  <c r="BL350" s="1"/>
  <c r="BM353" s="1"/>
  <c r="BL331"/>
  <c r="BL333" s="1"/>
  <c r="BL339" s="1"/>
  <c r="BL341" s="1"/>
  <c r="BL343" s="1"/>
  <c r="BL349" s="1"/>
  <c r="BL985"/>
  <c r="BA332"/>
  <c r="BA334" s="1"/>
  <c r="BA340" s="1"/>
  <c r="BA342" s="1"/>
  <c r="BA344" s="1"/>
  <c r="BA350" s="1"/>
  <c r="BB353" s="1"/>
  <c r="BA331"/>
  <c r="BA333" s="1"/>
  <c r="BA339" s="1"/>
  <c r="BA341" s="1"/>
  <c r="BA343" s="1"/>
  <c r="BA349" s="1"/>
  <c r="BA985"/>
  <c r="AB332" i="9"/>
  <c r="AB334" s="1"/>
  <c r="AD331" i="8"/>
  <c r="AD333" s="1"/>
  <c r="AD339" s="1"/>
  <c r="AD341" s="1"/>
  <c r="AD343" s="1"/>
  <c r="AD349" s="1"/>
  <c r="AK331" i="9"/>
  <c r="AK333" s="1"/>
  <c r="BG295" i="8"/>
  <c r="F403" i="25"/>
  <c r="W295" i="8" l="1"/>
  <c r="AK340" i="9"/>
  <c r="Q349" i="8"/>
  <c r="BN337" i="9"/>
  <c r="BN341" s="1"/>
  <c r="BN343" s="1"/>
  <c r="BN349" s="1"/>
  <c r="AL337"/>
  <c r="AL341" s="1"/>
  <c r="AL343" s="1"/>
  <c r="AL349" s="1"/>
  <c r="AI331" i="8"/>
  <c r="AI333" s="1"/>
  <c r="AI339" s="1"/>
  <c r="AI341" s="1"/>
  <c r="AI343" s="1"/>
  <c r="AI349" s="1"/>
  <c r="AN332"/>
  <c r="AN334" s="1"/>
  <c r="AN340" s="1"/>
  <c r="AN342" s="1"/>
  <c r="AN344" s="1"/>
  <c r="AN350" s="1"/>
  <c r="AH332"/>
  <c r="AH334" s="1"/>
  <c r="AH340" s="1"/>
  <c r="AH342" s="1"/>
  <c r="AH344" s="1"/>
  <c r="AH350" s="1"/>
  <c r="AH985"/>
  <c r="AH331"/>
  <c r="AH333" s="1"/>
  <c r="AH339" s="1"/>
  <c r="AH341" s="1"/>
  <c r="AH343" s="1"/>
  <c r="AH349" s="1"/>
  <c r="AO293"/>
  <c r="BJ351"/>
  <c r="BI352"/>
  <c r="BJ338" i="9"/>
  <c r="BJ342" s="1"/>
  <c r="BJ344" s="1"/>
  <c r="BJ350" s="1"/>
  <c r="BK353" s="1"/>
  <c r="BM351" i="8"/>
  <c r="BL352"/>
  <c r="BL354" s="1"/>
  <c r="BM352"/>
  <c r="BM354" s="1"/>
  <c r="BN351"/>
  <c r="AA351"/>
  <c r="Z352"/>
  <c r="BA353"/>
  <c r="BG353" s="1"/>
  <c r="BG350"/>
  <c r="T349"/>
  <c r="K343"/>
  <c r="S349" i="9"/>
  <c r="S350"/>
  <c r="S351" s="1"/>
  <c r="BA338"/>
  <c r="BA342" s="1"/>
  <c r="BA344" s="1"/>
  <c r="BA350" s="1"/>
  <c r="BB353" s="1"/>
  <c r="AL352" i="8"/>
  <c r="AL354" s="1"/>
  <c r="AM351"/>
  <c r="AM355" s="1"/>
  <c r="AM366" s="1"/>
  <c r="AM374" s="1"/>
  <c r="AM376" s="1"/>
  <c r="AM382" s="1"/>
  <c r="AM383" s="1"/>
  <c r="AM475" s="1"/>
  <c r="Q350"/>
  <c r="H344"/>
  <c r="AC337" i="9"/>
  <c r="AC341" s="1"/>
  <c r="AC343" s="1"/>
  <c r="AC349" s="1"/>
  <c r="BM337"/>
  <c r="BM341" s="1"/>
  <c r="BM343" s="1"/>
  <c r="BM349" s="1"/>
  <c r="BD351" i="8"/>
  <c r="BC352"/>
  <c r="BC354" s="1"/>
  <c r="BB351"/>
  <c r="BA352"/>
  <c r="BE338" i="9"/>
  <c r="BE342" s="1"/>
  <c r="BE344" s="1"/>
  <c r="BE350" s="1"/>
  <c r="AZ353" s="1"/>
  <c r="AJ351" i="8"/>
  <c r="AI352"/>
  <c r="Z338" i="9"/>
  <c r="Z342" s="1"/>
  <c r="Z344" s="1"/>
  <c r="Z350" s="1"/>
  <c r="AA353" s="1"/>
  <c r="BL337"/>
  <c r="BL341" s="1"/>
  <c r="BL343" s="1"/>
  <c r="BL349" s="1"/>
  <c r="M343" i="8"/>
  <c r="V349"/>
  <c r="L343"/>
  <c r="U349"/>
  <c r="AB337" i="9"/>
  <c r="AB341" s="1"/>
  <c r="AB343" s="1"/>
  <c r="AB349" s="1"/>
  <c r="BJ337"/>
  <c r="BJ341" s="1"/>
  <c r="BJ343" s="1"/>
  <c r="BJ349" s="1"/>
  <c r="BC337"/>
  <c r="BC341" s="1"/>
  <c r="BC343" s="1"/>
  <c r="BC349" s="1"/>
  <c r="R350" i="8"/>
  <c r="I344"/>
  <c r="T349" i="9"/>
  <c r="BD337"/>
  <c r="BD341" s="1"/>
  <c r="BD343" s="1"/>
  <c r="BD349" s="1"/>
  <c r="J343" i="8"/>
  <c r="S349"/>
  <c r="R349" i="9"/>
  <c r="T350" i="8"/>
  <c r="K344"/>
  <c r="AJ338" i="9"/>
  <c r="AJ342" s="1"/>
  <c r="AJ344" s="1"/>
  <c r="AJ350" s="1"/>
  <c r="AK353" s="1"/>
  <c r="BP350" i="8"/>
  <c r="BJ353"/>
  <c r="BK352"/>
  <c r="BK354" s="1"/>
  <c r="BL351"/>
  <c r="AJ352"/>
  <c r="AJ354" s="1"/>
  <c r="AK351"/>
  <c r="AZ338" i="9"/>
  <c r="AZ342" s="1"/>
  <c r="AZ344" s="1"/>
  <c r="AZ350" s="1"/>
  <c r="BM338"/>
  <c r="BM342" s="1"/>
  <c r="BM344" s="1"/>
  <c r="BM350" s="1"/>
  <c r="BN353" s="1"/>
  <c r="U349"/>
  <c r="BB337"/>
  <c r="BB341" s="1"/>
  <c r="BB343" s="1"/>
  <c r="BB349" s="1"/>
  <c r="Q350"/>
  <c r="AB351" i="8"/>
  <c r="AA352"/>
  <c r="AA354" s="1"/>
  <c r="BE351"/>
  <c r="BD352"/>
  <c r="BD354" s="1"/>
  <c r="BJ352"/>
  <c r="BK351"/>
  <c r="W293"/>
  <c r="P331"/>
  <c r="P333" s="1"/>
  <c r="P339" s="1"/>
  <c r="P341" s="1"/>
  <c r="P343" s="1"/>
  <c r="V332"/>
  <c r="V334" s="1"/>
  <c r="V340" s="1"/>
  <c r="V342" s="1"/>
  <c r="V344" s="1"/>
  <c r="P985"/>
  <c r="P332"/>
  <c r="P334" s="1"/>
  <c r="P340" s="1"/>
  <c r="P342" s="1"/>
  <c r="P344" s="1"/>
  <c r="AH985" i="9"/>
  <c r="AH331"/>
  <c r="AH333" s="1"/>
  <c r="AM332"/>
  <c r="AM334" s="1"/>
  <c r="AM338" s="1"/>
  <c r="AM342" s="1"/>
  <c r="AM344" s="1"/>
  <c r="AM350" s="1"/>
  <c r="AH353" s="1"/>
  <c r="AH332"/>
  <c r="AH334" s="1"/>
  <c r="AI331"/>
  <c r="AI333" s="1"/>
  <c r="AH978"/>
  <c r="AO293"/>
  <c r="BL338"/>
  <c r="BL342" s="1"/>
  <c r="BL344" s="1"/>
  <c r="BL350" s="1"/>
  <c r="BM353" s="1"/>
  <c r="BK338"/>
  <c r="BK342" s="1"/>
  <c r="BK344" s="1"/>
  <c r="BK350" s="1"/>
  <c r="BL353" s="1"/>
  <c r="BI338"/>
  <c r="BI342" s="1"/>
  <c r="BI344" s="1"/>
  <c r="BI350" s="1"/>
  <c r="BN338"/>
  <c r="BN342" s="1"/>
  <c r="BN344" s="1"/>
  <c r="BN350" s="1"/>
  <c r="BI353" s="1"/>
  <c r="AA337"/>
  <c r="AA341" s="1"/>
  <c r="AA343" s="1"/>
  <c r="AA349" s="1"/>
  <c r="BB338"/>
  <c r="BB342" s="1"/>
  <c r="BB344" s="1"/>
  <c r="BB350" s="1"/>
  <c r="BC353" s="1"/>
  <c r="I343" i="8"/>
  <c r="R349"/>
  <c r="T350" i="9"/>
  <c r="BD338"/>
  <c r="BD342" s="1"/>
  <c r="BD344" s="1"/>
  <c r="BD350" s="1"/>
  <c r="BE353" s="1"/>
  <c r="S350" i="8"/>
  <c r="J344"/>
  <c r="BF352"/>
  <c r="BF354" s="1"/>
  <c r="AZ351"/>
  <c r="BG349"/>
  <c r="R350" i="9"/>
  <c r="Y985"/>
  <c r="Y978"/>
  <c r="Z331"/>
  <c r="Z333" s="1"/>
  <c r="AD332"/>
  <c r="AD334" s="1"/>
  <c r="AD338" s="1"/>
  <c r="AD342" s="1"/>
  <c r="AD344" s="1"/>
  <c r="AD350" s="1"/>
  <c r="Y353" s="1"/>
  <c r="AF293"/>
  <c r="Y331"/>
  <c r="Y333" s="1"/>
  <c r="Y332"/>
  <c r="Y334" s="1"/>
  <c r="AC352" i="8"/>
  <c r="AC354" s="1"/>
  <c r="AD351"/>
  <c r="BA351"/>
  <c r="AZ352"/>
  <c r="BF351"/>
  <c r="BE352"/>
  <c r="BE354" s="1"/>
  <c r="Q331" i="9"/>
  <c r="Q333" s="1"/>
  <c r="Q337" s="1"/>
  <c r="Q339" s="1"/>
  <c r="Q341" s="1"/>
  <c r="Q343" s="1"/>
  <c r="P332"/>
  <c r="P334" s="1"/>
  <c r="P338" s="1"/>
  <c r="P340" s="1"/>
  <c r="P342" s="1"/>
  <c r="P344" s="1"/>
  <c r="P331"/>
  <c r="P333" s="1"/>
  <c r="P337" s="1"/>
  <c r="P339" s="1"/>
  <c r="P341" s="1"/>
  <c r="P343" s="1"/>
  <c r="P985"/>
  <c r="U332"/>
  <c r="U334" s="1"/>
  <c r="U338" s="1"/>
  <c r="U340" s="1"/>
  <c r="U342" s="1"/>
  <c r="U344" s="1"/>
  <c r="U350" s="1"/>
  <c r="P353" s="1"/>
  <c r="W293"/>
  <c r="P978"/>
  <c r="AK337"/>
  <c r="AK341" s="1"/>
  <c r="AK343" s="1"/>
  <c r="AK349" s="1"/>
  <c r="I209" i="64"/>
  <c r="I213" s="1"/>
  <c r="I207"/>
  <c r="Y985" i="8"/>
  <c r="Y331"/>
  <c r="Y333" s="1"/>
  <c r="Y339" s="1"/>
  <c r="Y341" s="1"/>
  <c r="Y343" s="1"/>
  <c r="Y349" s="1"/>
  <c r="Y332"/>
  <c r="Y334" s="1"/>
  <c r="Y340" s="1"/>
  <c r="Y342" s="1"/>
  <c r="Y344" s="1"/>
  <c r="Y350" s="1"/>
  <c r="AE332"/>
  <c r="AE334" s="1"/>
  <c r="AE340" s="1"/>
  <c r="AE342" s="1"/>
  <c r="AE344" s="1"/>
  <c r="AE350" s="1"/>
  <c r="Z331"/>
  <c r="Z333" s="1"/>
  <c r="Z339" s="1"/>
  <c r="Z341" s="1"/>
  <c r="Z343" s="1"/>
  <c r="Z349" s="1"/>
  <c r="AF293"/>
  <c r="BA337" i="9"/>
  <c r="BA341" s="1"/>
  <c r="BA343" s="1"/>
  <c r="BA349" s="1"/>
  <c r="AC338"/>
  <c r="AC342" s="1"/>
  <c r="AC344" s="1"/>
  <c r="AC350" s="1"/>
  <c r="AD353" s="1"/>
  <c r="AB338"/>
  <c r="AB342" s="1"/>
  <c r="AB344" s="1"/>
  <c r="AB350" s="1"/>
  <c r="AC353" s="1"/>
  <c r="AC354" s="1"/>
  <c r="AO295" i="8"/>
  <c r="AH310"/>
  <c r="G207" i="64"/>
  <c r="G209"/>
  <c r="AO295" i="9"/>
  <c r="AH310"/>
  <c r="BO352" i="8"/>
  <c r="BO354" s="1"/>
  <c r="BP349"/>
  <c r="BI351"/>
  <c r="AK352"/>
  <c r="AK354" s="1"/>
  <c r="AL351"/>
  <c r="BB352"/>
  <c r="BB354" s="1"/>
  <c r="BC351"/>
  <c r="AZ337" i="9"/>
  <c r="AZ341" s="1"/>
  <c r="AZ343" s="1"/>
  <c r="AZ349" s="1"/>
  <c r="BN352" i="8"/>
  <c r="BN354" s="1"/>
  <c r="BO351"/>
  <c r="AM337" i="9"/>
  <c r="AM341" s="1"/>
  <c r="AM343" s="1"/>
  <c r="AM349" s="1"/>
  <c r="AL352" s="1"/>
  <c r="AL354" s="1"/>
  <c r="BE337"/>
  <c r="BE341" s="1"/>
  <c r="BE343" s="1"/>
  <c r="BE349" s="1"/>
  <c r="H209" i="64"/>
  <c r="H207"/>
  <c r="AL338" i="9"/>
  <c r="AL342" s="1"/>
  <c r="AL344" s="1"/>
  <c r="AL350" s="1"/>
  <c r="AM353" s="1"/>
  <c r="BI337"/>
  <c r="BI341" s="1"/>
  <c r="BI343" s="1"/>
  <c r="BI349" s="1"/>
  <c r="L344" i="8"/>
  <c r="U350"/>
  <c r="AA338" i="9"/>
  <c r="AA342" s="1"/>
  <c r="AA344" s="1"/>
  <c r="AA350" s="1"/>
  <c r="AB353" s="1"/>
  <c r="BK337"/>
  <c r="BK341" s="1"/>
  <c r="BK343" s="1"/>
  <c r="BK349" s="1"/>
  <c r="BC338"/>
  <c r="BC342" s="1"/>
  <c r="BC344" s="1"/>
  <c r="BC350" s="1"/>
  <c r="BD353" s="1"/>
  <c r="AB352" i="8"/>
  <c r="AB354" s="1"/>
  <c r="AC351"/>
  <c r="AJ337" i="9"/>
  <c r="AJ341" s="1"/>
  <c r="AJ343" s="1"/>
  <c r="AJ349" s="1"/>
  <c r="AI338"/>
  <c r="AI342" s="1"/>
  <c r="AI344" s="1"/>
  <c r="AI350" s="1"/>
  <c r="AJ353" s="1"/>
  <c r="AD339"/>
  <c r="AM356" i="8"/>
  <c r="AM357" s="1"/>
  <c r="AD351" i="9"/>
  <c r="AM407" i="8"/>
  <c r="AM409" s="1"/>
  <c r="AM413" s="1"/>
  <c r="AM414" s="1"/>
  <c r="AM422" s="1"/>
  <c r="P352"/>
  <c r="Q351"/>
  <c r="AM340" i="9"/>
  <c r="H349" i="8" l="1"/>
  <c r="L344" i="9"/>
  <c r="AD340"/>
  <c r="U351"/>
  <c r="J349"/>
  <c r="L350"/>
  <c r="AM368" i="8"/>
  <c r="AM370" s="1"/>
  <c r="R352" i="9"/>
  <c r="AM351"/>
  <c r="BK340"/>
  <c r="BD340"/>
  <c r="AI340"/>
  <c r="BK339"/>
  <c r="AL340"/>
  <c r="BE339"/>
  <c r="BB340"/>
  <c r="BN340"/>
  <c r="AZ340"/>
  <c r="BB339"/>
  <c r="AJ339"/>
  <c r="BC340"/>
  <c r="AA340"/>
  <c r="BI339"/>
  <c r="AM339"/>
  <c r="AZ339"/>
  <c r="AA339"/>
  <c r="BI340"/>
  <c r="BL340"/>
  <c r="BM340"/>
  <c r="BJ354" i="8"/>
  <c r="AI352" i="9"/>
  <c r="AJ351"/>
  <c r="BI351"/>
  <c r="BN352"/>
  <c r="BN354" s="1"/>
  <c r="BP349"/>
  <c r="BE352"/>
  <c r="BE354" s="1"/>
  <c r="AZ351"/>
  <c r="BG349"/>
  <c r="AH312"/>
  <c r="AH315" s="1"/>
  <c r="AO310"/>
  <c r="AO310" i="8"/>
  <c r="AH312"/>
  <c r="AH315" s="1"/>
  <c r="AE352"/>
  <c r="AE354" s="1"/>
  <c r="AF349"/>
  <c r="Y351"/>
  <c r="Q349" i="9"/>
  <c r="Y337"/>
  <c r="Y341" s="1"/>
  <c r="Y343" s="1"/>
  <c r="Y349" s="1"/>
  <c r="J350" i="8"/>
  <c r="T353"/>
  <c r="K353" s="1"/>
  <c r="U353" i="9"/>
  <c r="L353" s="1"/>
  <c r="K350"/>
  <c r="AH337"/>
  <c r="AH341" s="1"/>
  <c r="AH343" s="1"/>
  <c r="AH349" s="1"/>
  <c r="V350" i="8"/>
  <c r="M344"/>
  <c r="BB351" i="9"/>
  <c r="BA352"/>
  <c r="T352" i="8"/>
  <c r="U351"/>
  <c r="L351" s="1"/>
  <c r="L1040" s="1"/>
  <c r="L349"/>
  <c r="AH353"/>
  <c r="AN351"/>
  <c r="H213" i="64"/>
  <c r="AC340" i="9"/>
  <c r="AK339"/>
  <c r="AJ355" i="8"/>
  <c r="AJ340" i="9"/>
  <c r="I343"/>
  <c r="BD339"/>
  <c r="BJ339"/>
  <c r="BL339"/>
  <c r="BA354" i="8"/>
  <c r="BM339" i="9"/>
  <c r="BA340"/>
  <c r="BJ340"/>
  <c r="BN339"/>
  <c r="J343"/>
  <c r="BA351"/>
  <c r="AZ352"/>
  <c r="Z353" i="8"/>
  <c r="Z354" s="1"/>
  <c r="AF350"/>
  <c r="I215" i="64"/>
  <c r="H61"/>
  <c r="I61" s="1"/>
  <c r="J61" s="1"/>
  <c r="P350" i="9"/>
  <c r="AZ354" i="8"/>
  <c r="BG352"/>
  <c r="Y338" i="9"/>
  <c r="Y342" s="1"/>
  <c r="Y344" s="1"/>
  <c r="Y350" s="1"/>
  <c r="Z337"/>
  <c r="Z341" s="1"/>
  <c r="Z343" s="1"/>
  <c r="Z349" s="1"/>
  <c r="S353"/>
  <c r="J353" s="1"/>
  <c r="I350"/>
  <c r="U353" i="8"/>
  <c r="L353" s="1"/>
  <c r="K350"/>
  <c r="S352" i="9"/>
  <c r="K349"/>
  <c r="T351"/>
  <c r="BB352"/>
  <c r="BB354" s="1"/>
  <c r="BC351"/>
  <c r="AB351"/>
  <c r="AA352"/>
  <c r="AA354" s="1"/>
  <c r="AC351"/>
  <c r="AB352"/>
  <c r="AB354" s="1"/>
  <c r="T353"/>
  <c r="K353" s="1"/>
  <c r="J350"/>
  <c r="T351" i="8"/>
  <c r="K351" s="1"/>
  <c r="K1040" s="1"/>
  <c r="S352"/>
  <c r="K349"/>
  <c r="AI353"/>
  <c r="AI354" s="1"/>
  <c r="AO350"/>
  <c r="AK352" i="9"/>
  <c r="AK354" s="1"/>
  <c r="AL351"/>
  <c r="AL355" s="1"/>
  <c r="AL356" s="1"/>
  <c r="AL357" s="1"/>
  <c r="N293"/>
  <c r="K344"/>
  <c r="AK355" i="8"/>
  <c r="AL355"/>
  <c r="BK351" i="9"/>
  <c r="BJ352"/>
  <c r="BE351"/>
  <c r="BD352"/>
  <c r="BD354" s="1"/>
  <c r="AE351" i="8"/>
  <c r="Y353"/>
  <c r="AF353" s="1"/>
  <c r="P349" i="9"/>
  <c r="Z352"/>
  <c r="AA351"/>
  <c r="BP350"/>
  <c r="BJ353"/>
  <c r="BP353" s="1"/>
  <c r="AH338"/>
  <c r="AH342" s="1"/>
  <c r="AH344" s="1"/>
  <c r="AH350" s="1"/>
  <c r="G344" i="8"/>
  <c r="N344" s="1"/>
  <c r="P350"/>
  <c r="H350" i="9"/>
  <c r="R353"/>
  <c r="I353" s="1"/>
  <c r="T352"/>
  <c r="L349"/>
  <c r="BG350"/>
  <c r="BA353"/>
  <c r="BG353" s="1"/>
  <c r="R352" i="8"/>
  <c r="J349"/>
  <c r="S351"/>
  <c r="J351" s="1"/>
  <c r="J1040" s="1"/>
  <c r="M349"/>
  <c r="U352"/>
  <c r="BI354"/>
  <c r="BP352"/>
  <c r="G213" i="64"/>
  <c r="AB340" i="9"/>
  <c r="BA339"/>
  <c r="I344"/>
  <c r="N293" i="8"/>
  <c r="BP353"/>
  <c r="K343" i="9"/>
  <c r="BC339"/>
  <c r="AB339"/>
  <c r="Z340"/>
  <c r="BE340"/>
  <c r="AC339"/>
  <c r="J344"/>
  <c r="AL339"/>
  <c r="H343" i="8"/>
  <c r="L350"/>
  <c r="V353"/>
  <c r="M353" s="1"/>
  <c r="Z351"/>
  <c r="Y352"/>
  <c r="AJ352" i="9"/>
  <c r="AJ354" s="1"/>
  <c r="AK351"/>
  <c r="Q352" i="8"/>
  <c r="H352" s="1"/>
  <c r="R351"/>
  <c r="I351" s="1"/>
  <c r="I1040" s="1"/>
  <c r="I349"/>
  <c r="AI337" i="9"/>
  <c r="AI341" s="1"/>
  <c r="AI343" s="1"/>
  <c r="AI349" s="1"/>
  <c r="G343" i="8"/>
  <c r="P349"/>
  <c r="R351" i="9"/>
  <c r="Q352"/>
  <c r="I349"/>
  <c r="BD351"/>
  <c r="BC352"/>
  <c r="BC354" s="1"/>
  <c r="S353" i="8"/>
  <c r="J353" s="1"/>
  <c r="I350"/>
  <c r="BI352" i="9"/>
  <c r="BJ351"/>
  <c r="BK352"/>
  <c r="BK354" s="1"/>
  <c r="BL351"/>
  <c r="BL352"/>
  <c r="BL354" s="1"/>
  <c r="BM351"/>
  <c r="R353" i="8"/>
  <c r="I353" s="1"/>
  <c r="H350"/>
  <c r="AO349"/>
  <c r="AH351"/>
  <c r="AN352"/>
  <c r="AN354" s="1"/>
  <c r="AN355" s="1"/>
  <c r="AN366" s="1"/>
  <c r="AI351"/>
  <c r="AH352"/>
  <c r="G352" s="1"/>
  <c r="BM352" i="9"/>
  <c r="BM354" s="1"/>
  <c r="BN351"/>
  <c r="BP351" i="8"/>
  <c r="BG351"/>
  <c r="H344" i="9"/>
  <c r="L343"/>
  <c r="AM392" i="8"/>
  <c r="G353" i="9"/>
  <c r="BP354" i="8" l="1"/>
  <c r="AM456"/>
  <c r="AM371"/>
  <c r="AN356"/>
  <c r="AN357" s="1"/>
  <c r="R354" i="9"/>
  <c r="I354" s="1"/>
  <c r="N343" i="8"/>
  <c r="I351" i="9"/>
  <c r="AJ355"/>
  <c r="AJ356" s="1"/>
  <c r="AJ357" s="1"/>
  <c r="G343"/>
  <c r="L351"/>
  <c r="J351"/>
  <c r="Z339"/>
  <c r="AI339"/>
  <c r="H351" i="8"/>
  <c r="H1040" s="1"/>
  <c r="AH352" i="9"/>
  <c r="AI351"/>
  <c r="G215" i="64"/>
  <c r="H59"/>
  <c r="I59" s="1"/>
  <c r="J59" s="1"/>
  <c r="U354" i="8"/>
  <c r="L354" s="1"/>
  <c r="L1041" s="1"/>
  <c r="L352"/>
  <c r="I352"/>
  <c r="R354"/>
  <c r="I354" s="1"/>
  <c r="I1041" s="1"/>
  <c r="T354" i="9"/>
  <c r="K354" s="1"/>
  <c r="K352"/>
  <c r="W349"/>
  <c r="U352"/>
  <c r="P351"/>
  <c r="G349"/>
  <c r="AK356" i="8"/>
  <c r="AK357" s="1"/>
  <c r="AK366"/>
  <c r="Z351" i="9"/>
  <c r="Y352"/>
  <c r="AJ356" i="8"/>
  <c r="AJ357" s="1"/>
  <c r="AJ366"/>
  <c r="H60" i="64"/>
  <c r="I60" s="1"/>
  <c r="J60" s="1"/>
  <c r="H215"/>
  <c r="AH321" i="9"/>
  <c r="AH323" s="1"/>
  <c r="AH317"/>
  <c r="AH348" s="1"/>
  <c r="AO348" s="1"/>
  <c r="AO351" i="8"/>
  <c r="AI355"/>
  <c r="K351" i="9"/>
  <c r="BG354" i="8"/>
  <c r="AO353"/>
  <c r="BA354" i="9"/>
  <c r="AH339"/>
  <c r="H343"/>
  <c r="N343" s="1"/>
  <c r="H352"/>
  <c r="W350" i="8"/>
  <c r="Q353"/>
  <c r="G350"/>
  <c r="AL356"/>
  <c r="AL357" s="1"/>
  <c r="AL366"/>
  <c r="AZ354" i="9"/>
  <c r="BG352"/>
  <c r="K352" i="8"/>
  <c r="T354"/>
  <c r="K354" s="1"/>
  <c r="K1041" s="1"/>
  <c r="V351"/>
  <c r="M351" s="1"/>
  <c r="M1040" s="1"/>
  <c r="M350"/>
  <c r="P353"/>
  <c r="AD352" i="9"/>
  <c r="AD354" s="1"/>
  <c r="Y351"/>
  <c r="AF349"/>
  <c r="Y354" i="8"/>
  <c r="AF354" s="1"/>
  <c r="AF352"/>
  <c r="AI353" i="9"/>
  <c r="AO350"/>
  <c r="J352" i="8"/>
  <c r="S354"/>
  <c r="J354" s="1"/>
  <c r="J1041" s="1"/>
  <c r="J352" i="9"/>
  <c r="S354"/>
  <c r="J354" s="1"/>
  <c r="Z353"/>
  <c r="AF353" s="1"/>
  <c r="AF350"/>
  <c r="Q353"/>
  <c r="Q354" s="1"/>
  <c r="G350"/>
  <c r="N350" s="1"/>
  <c r="W350"/>
  <c r="AK355"/>
  <c r="AK356" s="1"/>
  <c r="AK357" s="1"/>
  <c r="Y339"/>
  <c r="AF351" i="8"/>
  <c r="BG351" i="9"/>
  <c r="BP351"/>
  <c r="AH354" i="8"/>
  <c r="AO352"/>
  <c r="BI354" i="9"/>
  <c r="BP352"/>
  <c r="V352" i="8"/>
  <c r="W349"/>
  <c r="G349"/>
  <c r="N349" s="1"/>
  <c r="P351"/>
  <c r="AM352" i="9"/>
  <c r="AM354" s="1"/>
  <c r="AM355" s="1"/>
  <c r="AM356" s="1"/>
  <c r="AM357" s="1"/>
  <c r="AH351"/>
  <c r="AO349"/>
  <c r="P352"/>
  <c r="Q351"/>
  <c r="H349"/>
  <c r="AH321" i="8"/>
  <c r="AH323" s="1"/>
  <c r="AH348" s="1"/>
  <c r="AO348" s="1"/>
  <c r="AH317"/>
  <c r="I352" i="9"/>
  <c r="AH340"/>
  <c r="BJ354"/>
  <c r="Y340"/>
  <c r="G344"/>
  <c r="N344" s="1"/>
  <c r="AN368" i="8"/>
  <c r="AN407"/>
  <c r="AN409" s="1"/>
  <c r="AN413" s="1"/>
  <c r="AN414" s="1"/>
  <c r="AN422" s="1"/>
  <c r="AN374"/>
  <c r="AN376" s="1"/>
  <c r="AN382" s="1"/>
  <c r="AN383" s="1"/>
  <c r="H351" i="9" l="1"/>
  <c r="Z354"/>
  <c r="AF351"/>
  <c r="N349"/>
  <c r="G352"/>
  <c r="W352"/>
  <c r="P354"/>
  <c r="W351" i="8"/>
  <c r="G351"/>
  <c r="H353" i="9"/>
  <c r="N353" s="1"/>
  <c r="W353"/>
  <c r="AI354"/>
  <c r="AI355" s="1"/>
  <c r="AI356" s="1"/>
  <c r="AI357" s="1"/>
  <c r="AO353"/>
  <c r="G351"/>
  <c r="W351"/>
  <c r="AO352"/>
  <c r="AH354"/>
  <c r="N350" i="8"/>
  <c r="M352"/>
  <c r="N352" s="1"/>
  <c r="V354"/>
  <c r="M354" s="1"/>
  <c r="M1041" s="1"/>
  <c r="W352"/>
  <c r="AO354"/>
  <c r="AH355"/>
  <c r="AI366"/>
  <c r="AI356"/>
  <c r="AI357" s="1"/>
  <c r="AF352" i="9"/>
  <c r="Y354"/>
  <c r="AL368" i="8"/>
  <c r="AL407"/>
  <c r="AL409" s="1"/>
  <c r="AL413" s="1"/>
  <c r="AL414" s="1"/>
  <c r="AL422" s="1"/>
  <c r="AL374"/>
  <c r="AL376" s="1"/>
  <c r="AL382" s="1"/>
  <c r="AL383" s="1"/>
  <c r="AO351" i="9"/>
  <c r="G353" i="8"/>
  <c r="P354"/>
  <c r="W353"/>
  <c r="H353"/>
  <c r="Q354"/>
  <c r="H354" s="1"/>
  <c r="H1041" s="1"/>
  <c r="AJ368"/>
  <c r="AJ407"/>
  <c r="AJ409" s="1"/>
  <c r="AJ413" s="1"/>
  <c r="AJ414" s="1"/>
  <c r="AJ422" s="1"/>
  <c r="AJ374"/>
  <c r="AJ376" s="1"/>
  <c r="AJ382" s="1"/>
  <c r="AJ383" s="1"/>
  <c r="AK407"/>
  <c r="AK409" s="1"/>
  <c r="AK413" s="1"/>
  <c r="AK414" s="1"/>
  <c r="AK422" s="1"/>
  <c r="AK368"/>
  <c r="AK374"/>
  <c r="AK376" s="1"/>
  <c r="AK382" s="1"/>
  <c r="AK383" s="1"/>
  <c r="L352" i="9"/>
  <c r="U354"/>
  <c r="L354" s="1"/>
  <c r="BP354"/>
  <c r="BG354"/>
  <c r="AN475" i="8"/>
  <c r="AN392"/>
  <c r="AN370"/>
  <c r="AN371"/>
  <c r="AN456"/>
  <c r="N351" i="9" l="1"/>
  <c r="AF354"/>
  <c r="H354"/>
  <c r="AJ456" i="8"/>
  <c r="AJ371"/>
  <c r="AJ370"/>
  <c r="AL370"/>
  <c r="AL456"/>
  <c r="AL371"/>
  <c r="AI407"/>
  <c r="AI409" s="1"/>
  <c r="AI413" s="1"/>
  <c r="AI414" s="1"/>
  <c r="AI422" s="1"/>
  <c r="AI368"/>
  <c r="AI374"/>
  <c r="AI376" s="1"/>
  <c r="AI382" s="1"/>
  <c r="AI383" s="1"/>
  <c r="AH355" i="9"/>
  <c r="AO354"/>
  <c r="N351" i="8"/>
  <c r="N1040" s="1"/>
  <c r="G1040"/>
  <c r="N353"/>
  <c r="N352" i="9"/>
  <c r="AK371" i="8"/>
  <c r="AK456"/>
  <c r="AK370"/>
  <c r="G354"/>
  <c r="W354"/>
  <c r="AK475"/>
  <c r="AK392"/>
  <c r="AL392"/>
  <c r="AL475"/>
  <c r="G354" i="9"/>
  <c r="W354"/>
  <c r="AJ475" i="8"/>
  <c r="AJ392"/>
  <c r="AH366"/>
  <c r="AH356"/>
  <c r="AO355"/>
  <c r="N354" i="9" l="1"/>
  <c r="AO355"/>
  <c r="AH356"/>
  <c r="AH407" i="8"/>
  <c r="AO366"/>
  <c r="AH374"/>
  <c r="AH368"/>
  <c r="AI392"/>
  <c r="AI475"/>
  <c r="AH357"/>
  <c r="AO356"/>
  <c r="G1041"/>
  <c r="N354"/>
  <c r="N1041" s="1"/>
  <c r="AI456"/>
  <c r="AI370"/>
  <c r="AI371"/>
  <c r="AH357" i="9" l="1"/>
  <c r="AO356"/>
  <c r="AO374" i="8"/>
  <c r="AO376" s="1"/>
  <c r="AO382" s="1"/>
  <c r="AH376"/>
  <c r="AH382" s="1"/>
  <c r="AH383" s="1"/>
  <c r="AH409"/>
  <c r="AO407"/>
  <c r="AH371"/>
  <c r="AO368"/>
  <c r="AO371" s="1"/>
  <c r="AH456"/>
  <c r="AO456" s="1"/>
  <c r="AH370"/>
  <c r="AI463" l="1"/>
  <c r="AN463"/>
  <c r="AH463"/>
  <c r="AM463"/>
  <c r="AL463"/>
  <c r="AK463"/>
  <c r="AJ463"/>
  <c r="AH413"/>
  <c r="AO409"/>
  <c r="AH475"/>
  <c r="AO475" s="1"/>
  <c r="AH392"/>
  <c r="AO392" s="1"/>
  <c r="AO383"/>
  <c r="AH414" l="1"/>
  <c r="AO413"/>
  <c r="AO463"/>
  <c r="AO414" l="1"/>
  <c r="AH422"/>
  <c r="AO422" s="1"/>
  <c r="F116" i="13" l="1"/>
  <c r="G116"/>
  <c r="H116"/>
  <c r="I116"/>
  <c r="J116"/>
  <c r="K116"/>
  <c r="L116"/>
  <c r="F119"/>
  <c r="G119"/>
  <c r="H119"/>
  <c r="I119"/>
  <c r="J119"/>
  <c r="K119"/>
  <c r="L119"/>
  <c r="F121"/>
  <c r="G121"/>
  <c r="H121"/>
  <c r="I121"/>
  <c r="J121"/>
  <c r="K121"/>
  <c r="L121"/>
  <c r="F122"/>
  <c r="G122"/>
  <c r="H122"/>
  <c r="I122"/>
  <c r="J122"/>
  <c r="K122"/>
  <c r="L122"/>
  <c r="F123"/>
  <c r="I144"/>
  <c r="K144"/>
  <c r="M144"/>
  <c r="I145"/>
  <c r="K145"/>
  <c r="M145"/>
  <c r="I146"/>
  <c r="K146"/>
  <c r="M146"/>
  <c r="I147"/>
  <c r="K147"/>
  <c r="M147"/>
  <c r="I148"/>
  <c r="K148"/>
  <c r="M148"/>
  <c r="I149"/>
  <c r="K149"/>
  <c r="M149"/>
  <c r="I150"/>
  <c r="K150"/>
  <c r="M150"/>
  <c r="I151"/>
  <c r="K151"/>
  <c r="M151"/>
  <c r="I152"/>
  <c r="K152"/>
  <c r="M152"/>
  <c r="I153"/>
  <c r="K153"/>
  <c r="M153"/>
  <c r="I154"/>
  <c r="K154"/>
  <c r="M154"/>
  <c r="I155"/>
  <c r="K155"/>
  <c r="M155"/>
  <c r="I156"/>
  <c r="K156"/>
  <c r="M156"/>
  <c r="I157"/>
  <c r="K157"/>
  <c r="M157"/>
  <c r="I60" i="66"/>
  <c r="I64"/>
  <c r="I446"/>
  <c r="I448"/>
  <c r="I471"/>
  <c r="I611"/>
  <c r="I617"/>
  <c r="I618"/>
  <c r="I620"/>
  <c r="I622"/>
  <c r="I624"/>
  <c r="I625"/>
  <c r="I627"/>
  <c r="I629"/>
  <c r="F722"/>
  <c r="F723"/>
  <c r="F724"/>
  <c r="F725"/>
  <c r="F726"/>
  <c r="F727"/>
  <c r="F728"/>
  <c r="F729"/>
  <c r="F730"/>
  <c r="F731"/>
  <c r="G731"/>
  <c r="G16" i="58"/>
  <c r="H16"/>
  <c r="G18"/>
  <c r="H18"/>
  <c r="I18"/>
  <c r="G19"/>
  <c r="H19"/>
  <c r="I19"/>
  <c r="G20"/>
  <c r="H20"/>
  <c r="I20"/>
  <c r="G21"/>
  <c r="H21"/>
  <c r="I21"/>
  <c r="G22"/>
  <c r="H22"/>
  <c r="I22"/>
  <c r="G43"/>
  <c r="H43"/>
  <c r="I43"/>
  <c r="J43"/>
  <c r="G45"/>
  <c r="H45"/>
  <c r="I45"/>
  <c r="J45"/>
  <c r="K45"/>
  <c r="G46"/>
  <c r="H46"/>
  <c r="I46"/>
  <c r="J46"/>
  <c r="K46"/>
  <c r="G47"/>
  <c r="H47"/>
  <c r="I47"/>
  <c r="J47"/>
  <c r="K47"/>
  <c r="G48"/>
  <c r="H48"/>
  <c r="I48"/>
  <c r="J48"/>
  <c r="K48"/>
  <c r="G49"/>
  <c r="H49"/>
  <c r="I49"/>
  <c r="J49"/>
  <c r="K49"/>
  <c r="G60"/>
  <c r="H60"/>
  <c r="G62"/>
  <c r="H62"/>
  <c r="I62"/>
  <c r="G63"/>
  <c r="H63"/>
  <c r="I63"/>
  <c r="G64"/>
  <c r="H64"/>
  <c r="I64"/>
  <c r="G65"/>
  <c r="H65"/>
  <c r="I65"/>
  <c r="O65"/>
  <c r="O66"/>
  <c r="C71"/>
  <c r="C72"/>
  <c r="G78"/>
  <c r="H78"/>
  <c r="I78"/>
  <c r="G80"/>
  <c r="H80"/>
  <c r="I80"/>
  <c r="G81"/>
  <c r="H81"/>
  <c r="I81"/>
  <c r="G82"/>
  <c r="H82"/>
  <c r="I82"/>
  <c r="G83"/>
  <c r="H83"/>
  <c r="I83"/>
  <c r="G84"/>
  <c r="H84"/>
  <c r="I84"/>
  <c r="J129" i="24"/>
  <c r="J132"/>
  <c r="J133"/>
  <c r="J134"/>
  <c r="J135"/>
  <c r="J136"/>
  <c r="J137"/>
  <c r="J138"/>
  <c r="J139"/>
  <c r="J146"/>
  <c r="J147"/>
  <c r="I74" i="23"/>
  <c r="K74"/>
  <c r="L74"/>
  <c r="I77"/>
  <c r="K77"/>
  <c r="L77"/>
  <c r="I79"/>
  <c r="K79"/>
  <c r="L79"/>
  <c r="I81"/>
  <c r="K81"/>
  <c r="L81"/>
  <c r="I82"/>
  <c r="K82"/>
  <c r="L82"/>
  <c r="H86"/>
  <c r="I86"/>
  <c r="K86"/>
  <c r="L86"/>
  <c r="H88"/>
  <c r="I88"/>
  <c r="K88"/>
  <c r="L88"/>
  <c r="H90"/>
  <c r="I90"/>
  <c r="K90"/>
  <c r="L90"/>
  <c r="I95"/>
  <c r="K95"/>
  <c r="L95"/>
  <c r="I98"/>
  <c r="K98"/>
  <c r="L98"/>
  <c r="I100"/>
  <c r="K100"/>
  <c r="L100"/>
  <c r="I102"/>
  <c r="K102"/>
  <c r="L102"/>
  <c r="I104"/>
  <c r="K104"/>
  <c r="L104"/>
  <c r="I105"/>
  <c r="K105"/>
  <c r="L105"/>
  <c r="H108"/>
  <c r="I108"/>
  <c r="J108"/>
  <c r="K108"/>
  <c r="L108"/>
  <c r="H109"/>
  <c r="I109"/>
  <c r="J109"/>
  <c r="K109"/>
  <c r="L109"/>
  <c r="H113"/>
  <c r="I113"/>
  <c r="J113"/>
  <c r="K113"/>
  <c r="L113"/>
  <c r="I115"/>
  <c r="J115"/>
  <c r="K115"/>
  <c r="L115"/>
  <c r="H118"/>
  <c r="I118"/>
  <c r="J118"/>
  <c r="K118"/>
  <c r="L118"/>
  <c r="H120"/>
  <c r="I120"/>
  <c r="J120"/>
  <c r="K120"/>
  <c r="L120"/>
  <c r="H122"/>
  <c r="I122"/>
  <c r="J122"/>
  <c r="K122"/>
  <c r="L122"/>
  <c r="H140"/>
  <c r="I140"/>
  <c r="K140"/>
  <c r="L140"/>
  <c r="H142"/>
  <c r="I142"/>
  <c r="J142"/>
  <c r="K142"/>
  <c r="L142"/>
  <c r="H144"/>
  <c r="I144"/>
  <c r="J144"/>
  <c r="K144"/>
  <c r="L144"/>
  <c r="H146"/>
  <c r="I146"/>
  <c r="J146"/>
  <c r="K146"/>
  <c r="L146"/>
  <c r="H148"/>
  <c r="I148"/>
  <c r="J148"/>
  <c r="K148"/>
  <c r="L148"/>
  <c r="H156"/>
  <c r="I156"/>
  <c r="J156"/>
  <c r="K156"/>
  <c r="L156"/>
  <c r="H158"/>
  <c r="I158"/>
  <c r="J158"/>
  <c r="K158"/>
  <c r="L158"/>
  <c r="H160"/>
  <c r="I160"/>
  <c r="J160"/>
  <c r="K160"/>
  <c r="L160"/>
  <c r="H162"/>
  <c r="I162"/>
  <c r="J162"/>
  <c r="K162"/>
  <c r="L162"/>
  <c r="H164"/>
  <c r="I164"/>
  <c r="J164"/>
  <c r="K164"/>
  <c r="L164"/>
  <c r="H166"/>
  <c r="I166"/>
  <c r="J166"/>
  <c r="K166"/>
  <c r="L166"/>
  <c r="H60" i="30"/>
  <c r="I60"/>
  <c r="J60"/>
  <c r="H65"/>
  <c r="I65"/>
  <c r="J65"/>
  <c r="H89"/>
  <c r="I89"/>
  <c r="J89"/>
  <c r="H90"/>
  <c r="I90"/>
  <c r="J90"/>
  <c r="H91"/>
  <c r="I91"/>
  <c r="J91"/>
  <c r="H92"/>
  <c r="I92"/>
  <c r="J92"/>
  <c r="H93"/>
  <c r="I93"/>
  <c r="J93"/>
  <c r="H94"/>
  <c r="I94"/>
  <c r="J94"/>
  <c r="H95"/>
  <c r="I95"/>
  <c r="J95"/>
  <c r="H97"/>
  <c r="I97"/>
  <c r="J97"/>
  <c r="H101"/>
  <c r="I101"/>
  <c r="J101"/>
  <c r="H106"/>
  <c r="I106"/>
  <c r="J106"/>
  <c r="H111"/>
  <c r="I111"/>
  <c r="J111"/>
  <c r="H112"/>
  <c r="I112"/>
  <c r="J112"/>
  <c r="H113"/>
  <c r="I113"/>
  <c r="J113"/>
  <c r="H114"/>
  <c r="I114"/>
  <c r="J114"/>
  <c r="H115"/>
  <c r="I115"/>
  <c r="J115"/>
  <c r="H116"/>
  <c r="I116"/>
  <c r="J116"/>
  <c r="H117"/>
  <c r="I117"/>
  <c r="J117"/>
  <c r="H119"/>
  <c r="I119"/>
  <c r="J119"/>
  <c r="H125"/>
  <c r="I125"/>
  <c r="J125"/>
  <c r="H128"/>
  <c r="G194"/>
  <c r="I194"/>
  <c r="J194"/>
  <c r="G195"/>
  <c r="H195"/>
  <c r="I195"/>
  <c r="J195"/>
  <c r="G196"/>
  <c r="H196"/>
  <c r="I196"/>
  <c r="J196"/>
  <c r="G197"/>
  <c r="H197"/>
  <c r="I197"/>
  <c r="J197"/>
  <c r="I7" i="7"/>
  <c r="J45"/>
  <c r="K45"/>
  <c r="J47"/>
  <c r="K47"/>
  <c r="I50"/>
  <c r="K50"/>
  <c r="I51"/>
  <c r="K51"/>
  <c r="I52"/>
  <c r="K52"/>
  <c r="G54"/>
  <c r="H54"/>
  <c r="I54"/>
  <c r="K54"/>
  <c r="G55"/>
  <c r="H55"/>
  <c r="G56"/>
  <c r="H56"/>
  <c r="I57"/>
  <c r="J57"/>
  <c r="K57"/>
  <c r="I58"/>
  <c r="K58"/>
  <c r="I59"/>
  <c r="K59"/>
  <c r="I60"/>
  <c r="K60"/>
  <c r="I61"/>
  <c r="K61"/>
  <c r="I62"/>
  <c r="K62"/>
  <c r="I63"/>
  <c r="K63"/>
  <c r="I64"/>
  <c r="K64"/>
  <c r="I65"/>
  <c r="K65"/>
  <c r="I66"/>
  <c r="K66"/>
  <c r="I67"/>
  <c r="J67"/>
  <c r="K67"/>
  <c r="J70"/>
  <c r="K70"/>
  <c r="J71"/>
  <c r="K71"/>
  <c r="I72"/>
  <c r="J72"/>
  <c r="K72"/>
  <c r="I73"/>
  <c r="J73"/>
  <c r="K73"/>
  <c r="I75"/>
  <c r="J75"/>
  <c r="K75"/>
  <c r="F79"/>
  <c r="G79"/>
  <c r="I79"/>
  <c r="I80"/>
  <c r="I81"/>
  <c r="I82"/>
  <c r="I83"/>
  <c r="K84"/>
  <c r="K85"/>
  <c r="K86"/>
  <c r="J87"/>
  <c r="J88"/>
  <c r="H89"/>
  <c r="H90"/>
  <c r="H91"/>
  <c r="L92"/>
  <c r="L93"/>
  <c r="L94"/>
  <c r="F95"/>
  <c r="G95"/>
  <c r="H95"/>
  <c r="I95"/>
  <c r="J95"/>
  <c r="K95"/>
  <c r="L95"/>
  <c r="M95"/>
  <c r="I110"/>
  <c r="J110"/>
  <c r="K110"/>
  <c r="I112"/>
  <c r="J112"/>
  <c r="I114"/>
  <c r="J114"/>
  <c r="K114"/>
  <c r="I122"/>
  <c r="J122"/>
  <c r="M122"/>
  <c r="N122"/>
  <c r="I123"/>
  <c r="J123"/>
  <c r="M123"/>
  <c r="N123"/>
  <c r="I128"/>
  <c r="J128"/>
  <c r="K128"/>
  <c r="I131"/>
  <c r="K131"/>
  <c r="I135"/>
  <c r="K135"/>
  <c r="I142"/>
  <c r="I143"/>
  <c r="I146"/>
  <c r="K146"/>
  <c r="I170"/>
  <c r="I173"/>
  <c r="I175"/>
  <c r="I188"/>
  <c r="J188"/>
  <c r="I190"/>
  <c r="J190"/>
  <c r="I192"/>
  <c r="J192"/>
  <c r="I197"/>
  <c r="J197"/>
  <c r="I199"/>
  <c r="J199"/>
  <c r="I201"/>
  <c r="J201"/>
  <c r="K201"/>
  <c r="I204"/>
  <c r="J204"/>
  <c r="K204"/>
  <c r="I205"/>
  <c r="J205"/>
  <c r="K205"/>
  <c r="I207"/>
  <c r="J207"/>
  <c r="K207"/>
  <c r="I209"/>
  <c r="J209"/>
  <c r="K209"/>
  <c r="I211"/>
  <c r="J211"/>
  <c r="K211"/>
  <c r="I214"/>
  <c r="J214"/>
  <c r="I216"/>
  <c r="J216"/>
  <c r="I218"/>
  <c r="J218"/>
  <c r="K218"/>
  <c r="K219"/>
  <c r="I221"/>
  <c r="J221"/>
  <c r="K221"/>
  <c r="I223"/>
  <c r="J223"/>
  <c r="K223"/>
  <c r="I225"/>
  <c r="J225"/>
  <c r="K225"/>
  <c r="I228"/>
  <c r="J228"/>
  <c r="K228"/>
  <c r="I230"/>
  <c r="J230"/>
  <c r="K230"/>
  <c r="I240"/>
  <c r="J240"/>
  <c r="I242"/>
  <c r="J242"/>
  <c r="I243"/>
  <c r="J243"/>
  <c r="I245"/>
  <c r="J245"/>
  <c r="I249"/>
  <c r="J249"/>
  <c r="K249"/>
  <c r="I251"/>
  <c r="J251"/>
  <c r="I252"/>
  <c r="J252"/>
  <c r="I253"/>
  <c r="J253"/>
  <c r="I255"/>
  <c r="J255"/>
  <c r="I257"/>
  <c r="J257"/>
  <c r="K257"/>
  <c r="I259"/>
  <c r="I260"/>
  <c r="I261"/>
  <c r="I263"/>
  <c r="I265"/>
  <c r="K265"/>
  <c r="I267"/>
  <c r="J267"/>
  <c r="I268"/>
  <c r="J268"/>
  <c r="I269"/>
  <c r="J269"/>
  <c r="I270"/>
  <c r="J270"/>
  <c r="I271"/>
  <c r="J271"/>
  <c r="K271"/>
  <c r="I276"/>
  <c r="I279"/>
  <c r="I280"/>
  <c r="K280"/>
  <c r="I282"/>
  <c r="I284"/>
  <c r="I285"/>
  <c r="K285"/>
  <c r="K289"/>
  <c r="K290"/>
  <c r="L408"/>
  <c r="L410"/>
  <c r="I422"/>
  <c r="I423"/>
  <c r="I425"/>
  <c r="I427"/>
  <c r="I431"/>
  <c r="I433"/>
  <c r="I435"/>
  <c r="I444"/>
  <c r="J444"/>
  <c r="K444"/>
  <c r="K446"/>
  <c r="K448"/>
  <c r="K450"/>
  <c r="K453"/>
  <c r="K459"/>
  <c r="J520"/>
  <c r="K520"/>
  <c r="L520"/>
  <c r="J522"/>
  <c r="J524"/>
  <c r="K524"/>
  <c r="L524"/>
  <c r="J529"/>
  <c r="K529"/>
  <c r="L529"/>
  <c r="L534"/>
  <c r="L535"/>
  <c r="L536"/>
  <c r="I546"/>
  <c r="J546"/>
  <c r="I547"/>
  <c r="J547"/>
  <c r="I548"/>
  <c r="J548"/>
  <c r="I549"/>
  <c r="J549"/>
  <c r="I558"/>
  <c r="J558"/>
  <c r="K558"/>
  <c r="I559"/>
  <c r="J559"/>
  <c r="K559"/>
  <c r="I560"/>
  <c r="J560"/>
  <c r="K560"/>
  <c r="I561"/>
  <c r="J561"/>
  <c r="K561"/>
  <c r="I562"/>
  <c r="J562"/>
  <c r="K562"/>
  <c r="B565"/>
  <c r="I620"/>
  <c r="I621"/>
  <c r="I622"/>
  <c r="I649"/>
  <c r="I652"/>
  <c r="I654"/>
  <c r="I673"/>
  <c r="I674"/>
  <c r="I676"/>
  <c r="I683"/>
  <c r="I693"/>
  <c r="I695"/>
  <c r="E22" i="57"/>
  <c r="F22"/>
  <c r="H22"/>
  <c r="N22"/>
  <c r="E23"/>
  <c r="F23"/>
  <c r="H23"/>
  <c r="N23"/>
  <c r="E24"/>
  <c r="F24"/>
  <c r="H24"/>
  <c r="N24"/>
  <c r="E25"/>
  <c r="F25"/>
  <c r="H25"/>
  <c r="N25"/>
  <c r="E26"/>
  <c r="F26"/>
  <c r="H26"/>
  <c r="N26"/>
  <c r="E27"/>
  <c r="F27"/>
  <c r="H27"/>
  <c r="N27"/>
  <c r="E28"/>
  <c r="F28"/>
  <c r="H28"/>
  <c r="N28"/>
  <c r="E29"/>
  <c r="F29"/>
  <c r="G29"/>
  <c r="H29"/>
  <c r="E31"/>
  <c r="E39"/>
  <c r="F39"/>
  <c r="H39"/>
  <c r="N39"/>
  <c r="E40"/>
  <c r="F40"/>
  <c r="H40"/>
  <c r="N40"/>
  <c r="E41"/>
  <c r="F41"/>
  <c r="H41"/>
  <c r="N41"/>
  <c r="E42"/>
  <c r="F42"/>
  <c r="H42"/>
  <c r="N42"/>
  <c r="E43"/>
  <c r="F43"/>
  <c r="H43"/>
  <c r="N43"/>
  <c r="E44"/>
  <c r="F44"/>
  <c r="H44"/>
  <c r="N44"/>
  <c r="E45"/>
  <c r="F45"/>
  <c r="G45"/>
  <c r="H45"/>
  <c r="E47"/>
  <c r="E89"/>
  <c r="F89"/>
  <c r="H89"/>
  <c r="E90"/>
  <c r="F90"/>
  <c r="H90"/>
  <c r="E91"/>
  <c r="F91"/>
  <c r="H91"/>
  <c r="E92"/>
  <c r="F92"/>
  <c r="H92"/>
  <c r="E93"/>
  <c r="F93"/>
  <c r="H93"/>
  <c r="E94"/>
  <c r="F94"/>
  <c r="H94"/>
  <c r="E95"/>
  <c r="F95"/>
  <c r="H95"/>
  <c r="E96"/>
  <c r="F96"/>
  <c r="G96"/>
  <c r="H96"/>
  <c r="E101"/>
  <c r="F101"/>
  <c r="H101"/>
  <c r="E102"/>
  <c r="F102"/>
  <c r="H102"/>
  <c r="E103"/>
  <c r="F103"/>
  <c r="H103"/>
  <c r="E104"/>
  <c r="F104"/>
  <c r="H104"/>
  <c r="E105"/>
  <c r="F105"/>
  <c r="H105"/>
  <c r="E106"/>
  <c r="F106"/>
  <c r="H106"/>
  <c r="E107"/>
  <c r="F107"/>
  <c r="G107"/>
  <c r="H107"/>
  <c r="B152"/>
  <c r="B153"/>
  <c r="B154"/>
  <c r="B155"/>
  <c r="B156"/>
  <c r="B157"/>
  <c r="B158"/>
  <c r="C177" i="55"/>
  <c r="C178"/>
  <c r="C179"/>
  <c r="C180"/>
  <c r="C181"/>
  <c r="C182"/>
  <c r="C183"/>
  <c r="C184"/>
  <c r="C177" i="56"/>
  <c r="C178"/>
  <c r="C179"/>
  <c r="C180"/>
  <c r="C181"/>
  <c r="C182"/>
  <c r="C184"/>
  <c r="G172" i="10"/>
  <c r="H172"/>
  <c r="I172"/>
  <c r="J172"/>
  <c r="K172"/>
  <c r="L172"/>
  <c r="M172"/>
  <c r="P172"/>
  <c r="Q172"/>
  <c r="R172"/>
  <c r="S172"/>
  <c r="T172"/>
  <c r="U172"/>
  <c r="G175"/>
  <c r="H175"/>
  <c r="I175"/>
  <c r="J175"/>
  <c r="K175"/>
  <c r="L175"/>
  <c r="M175"/>
  <c r="N175"/>
  <c r="P175"/>
  <c r="Q175"/>
  <c r="R175"/>
  <c r="S175"/>
  <c r="T175"/>
  <c r="U175"/>
  <c r="W175"/>
  <c r="Y175"/>
  <c r="Z175"/>
  <c r="AA175"/>
  <c r="G176"/>
  <c r="H176"/>
  <c r="I176"/>
  <c r="J176"/>
  <c r="K176"/>
  <c r="L176"/>
  <c r="M176"/>
  <c r="N176"/>
  <c r="P176"/>
  <c r="Q176"/>
  <c r="R176"/>
  <c r="S176"/>
  <c r="T176"/>
  <c r="U176"/>
  <c r="W176"/>
  <c r="Y176"/>
  <c r="Z176"/>
  <c r="AA176"/>
  <c r="G177"/>
  <c r="H177"/>
  <c r="I177"/>
  <c r="J177"/>
  <c r="K177"/>
  <c r="L177"/>
  <c r="M177"/>
  <c r="N177"/>
  <c r="P177"/>
  <c r="Q177"/>
  <c r="R177"/>
  <c r="S177"/>
  <c r="T177"/>
  <c r="U177"/>
  <c r="W177"/>
  <c r="Y177"/>
  <c r="Z177"/>
  <c r="AA177"/>
  <c r="G179"/>
  <c r="H179"/>
  <c r="I179"/>
  <c r="J179"/>
  <c r="K179"/>
  <c r="L179"/>
  <c r="M179"/>
  <c r="P179"/>
  <c r="Q179"/>
  <c r="R179"/>
  <c r="S179"/>
  <c r="T179"/>
  <c r="U179"/>
  <c r="G184"/>
  <c r="H184"/>
  <c r="I184"/>
  <c r="J184"/>
  <c r="K184"/>
  <c r="L184"/>
  <c r="M184"/>
  <c r="P184"/>
  <c r="Q184"/>
  <c r="R184"/>
  <c r="S184"/>
  <c r="T184"/>
  <c r="U184"/>
  <c r="G185"/>
  <c r="H185"/>
  <c r="I185"/>
  <c r="J185"/>
  <c r="K185"/>
  <c r="L185"/>
  <c r="M185"/>
  <c r="P185"/>
  <c r="Q185"/>
  <c r="R185"/>
  <c r="S185"/>
  <c r="T185"/>
  <c r="U185"/>
  <c r="G186"/>
  <c r="H186"/>
  <c r="I186"/>
  <c r="J186"/>
  <c r="K186"/>
  <c r="L186"/>
  <c r="M186"/>
  <c r="P186"/>
  <c r="Q186"/>
  <c r="R186"/>
  <c r="S186"/>
  <c r="T186"/>
  <c r="U186"/>
  <c r="G187"/>
  <c r="H187"/>
  <c r="I187"/>
  <c r="J187"/>
  <c r="K187"/>
  <c r="L187"/>
  <c r="M187"/>
  <c r="P187"/>
  <c r="Q187"/>
  <c r="R187"/>
  <c r="S187"/>
  <c r="T187"/>
  <c r="U187"/>
  <c r="G188"/>
  <c r="H188"/>
  <c r="I188"/>
  <c r="J188"/>
  <c r="K188"/>
  <c r="L188"/>
  <c r="M188"/>
  <c r="P188"/>
  <c r="Q188"/>
  <c r="R188"/>
  <c r="S188"/>
  <c r="T188"/>
  <c r="U188"/>
  <c r="G190"/>
  <c r="H190"/>
  <c r="I190"/>
  <c r="J190"/>
  <c r="K190"/>
  <c r="L190"/>
  <c r="M190"/>
  <c r="P190"/>
  <c r="Q190"/>
  <c r="R190"/>
  <c r="S190"/>
  <c r="T190"/>
  <c r="U190"/>
  <c r="G191"/>
  <c r="H191"/>
  <c r="I191"/>
  <c r="J191"/>
  <c r="K191"/>
  <c r="L191"/>
  <c r="M191"/>
  <c r="P191"/>
  <c r="Q191"/>
  <c r="R191"/>
  <c r="S191"/>
  <c r="T191"/>
  <c r="U191"/>
  <c r="G192"/>
  <c r="H192"/>
  <c r="I192"/>
  <c r="J192"/>
  <c r="K192"/>
  <c r="L192"/>
  <c r="M192"/>
  <c r="P192"/>
  <c r="Q192"/>
  <c r="R192"/>
  <c r="S192"/>
  <c r="T192"/>
  <c r="U192"/>
  <c r="G193"/>
  <c r="H193"/>
  <c r="I193"/>
  <c r="J193"/>
  <c r="K193"/>
  <c r="L193"/>
  <c r="M193"/>
  <c r="P193"/>
  <c r="Q193"/>
  <c r="R193"/>
  <c r="S193"/>
  <c r="T193"/>
  <c r="U193"/>
  <c r="G194"/>
  <c r="H194"/>
  <c r="I194"/>
  <c r="J194"/>
  <c r="K194"/>
  <c r="L194"/>
  <c r="M194"/>
  <c r="P194"/>
  <c r="Q194"/>
  <c r="R194"/>
  <c r="S194"/>
  <c r="T194"/>
  <c r="U194"/>
  <c r="G196"/>
  <c r="H196"/>
  <c r="I196"/>
  <c r="J196"/>
  <c r="K196"/>
  <c r="L196"/>
  <c r="M196"/>
  <c r="P196"/>
  <c r="Q196"/>
  <c r="R196"/>
  <c r="S196"/>
  <c r="T196"/>
  <c r="U196"/>
  <c r="G197"/>
  <c r="H197"/>
  <c r="I197"/>
  <c r="J197"/>
  <c r="K197"/>
  <c r="L197"/>
  <c r="M197"/>
  <c r="P197"/>
  <c r="Q197"/>
  <c r="R197"/>
  <c r="S197"/>
  <c r="T197"/>
  <c r="U197"/>
  <c r="G198"/>
  <c r="H198"/>
  <c r="I198"/>
  <c r="J198"/>
  <c r="K198"/>
  <c r="L198"/>
  <c r="M198"/>
  <c r="P198"/>
  <c r="Q198"/>
  <c r="R198"/>
  <c r="S198"/>
  <c r="T198"/>
  <c r="U198"/>
  <c r="G199"/>
  <c r="H199"/>
  <c r="I199"/>
  <c r="J199"/>
  <c r="K199"/>
  <c r="L199"/>
  <c r="M199"/>
  <c r="P199"/>
  <c r="Q199"/>
  <c r="R199"/>
  <c r="S199"/>
  <c r="T199"/>
  <c r="U199"/>
  <c r="G200"/>
  <c r="H200"/>
  <c r="I200"/>
  <c r="J200"/>
  <c r="K200"/>
  <c r="L200"/>
  <c r="M200"/>
  <c r="P200"/>
  <c r="Q200"/>
  <c r="R200"/>
  <c r="S200"/>
  <c r="T200"/>
  <c r="U200"/>
  <c r="G204"/>
  <c r="H204"/>
  <c r="I204"/>
  <c r="J204"/>
  <c r="K204"/>
  <c r="L204"/>
  <c r="M204"/>
  <c r="N204"/>
  <c r="P204"/>
  <c r="Q204"/>
  <c r="R204"/>
  <c r="S204"/>
  <c r="T204"/>
  <c r="U204"/>
  <c r="W204"/>
  <c r="Y204"/>
  <c r="Z204"/>
  <c r="AA204"/>
  <c r="G205"/>
  <c r="H205"/>
  <c r="I205"/>
  <c r="J205"/>
  <c r="K205"/>
  <c r="L205"/>
  <c r="M205"/>
  <c r="N205"/>
  <c r="P205"/>
  <c r="Q205"/>
  <c r="R205"/>
  <c r="S205"/>
  <c r="T205"/>
  <c r="U205"/>
  <c r="W205"/>
  <c r="Y205"/>
  <c r="Z205"/>
  <c r="AA205"/>
  <c r="G206"/>
  <c r="H206"/>
  <c r="I206"/>
  <c r="J206"/>
  <c r="K206"/>
  <c r="L206"/>
  <c r="M206"/>
  <c r="N206"/>
  <c r="P206"/>
  <c r="Q206"/>
  <c r="R206"/>
  <c r="S206"/>
  <c r="T206"/>
  <c r="U206"/>
  <c r="W206"/>
  <c r="Y206"/>
  <c r="Z206"/>
  <c r="AA206"/>
  <c r="G207"/>
  <c r="H207"/>
  <c r="I207"/>
  <c r="J207"/>
  <c r="K207"/>
  <c r="L207"/>
  <c r="M207"/>
  <c r="N207"/>
  <c r="P207"/>
  <c r="Q207"/>
  <c r="R207"/>
  <c r="S207"/>
  <c r="T207"/>
  <c r="U207"/>
  <c r="W207"/>
  <c r="Y207"/>
  <c r="Z207"/>
  <c r="AA207"/>
  <c r="G208"/>
  <c r="H208"/>
  <c r="I208"/>
  <c r="J208"/>
  <c r="K208"/>
  <c r="L208"/>
  <c r="M208"/>
  <c r="N208"/>
  <c r="P208"/>
  <c r="Q208"/>
  <c r="R208"/>
  <c r="S208"/>
  <c r="T208"/>
  <c r="U208"/>
  <c r="W208"/>
  <c r="Y208"/>
  <c r="Z208"/>
  <c r="AA208"/>
  <c r="G210"/>
  <c r="H210"/>
  <c r="I210"/>
  <c r="J210"/>
  <c r="K210"/>
  <c r="L210"/>
  <c r="M210"/>
  <c r="N210"/>
  <c r="P210"/>
  <c r="Q210"/>
  <c r="R210"/>
  <c r="S210"/>
  <c r="T210"/>
  <c r="U210"/>
  <c r="W210"/>
  <c r="Y210"/>
  <c r="Z210"/>
  <c r="AA210"/>
  <c r="G211"/>
  <c r="H211"/>
  <c r="I211"/>
  <c r="J211"/>
  <c r="K211"/>
  <c r="L211"/>
  <c r="M211"/>
  <c r="N211"/>
  <c r="P211"/>
  <c r="Q211"/>
  <c r="R211"/>
  <c r="S211"/>
  <c r="T211"/>
  <c r="U211"/>
  <c r="W211"/>
  <c r="Y211"/>
  <c r="Z211"/>
  <c r="AA211"/>
  <c r="G212"/>
  <c r="H212"/>
  <c r="I212"/>
  <c r="J212"/>
  <c r="K212"/>
  <c r="L212"/>
  <c r="M212"/>
  <c r="N212"/>
  <c r="P212"/>
  <c r="Q212"/>
  <c r="R212"/>
  <c r="S212"/>
  <c r="T212"/>
  <c r="U212"/>
  <c r="W212"/>
  <c r="Y212"/>
  <c r="Z212"/>
  <c r="AA212"/>
  <c r="G213"/>
  <c r="H213"/>
  <c r="I213"/>
  <c r="J213"/>
  <c r="K213"/>
  <c r="L213"/>
  <c r="M213"/>
  <c r="N213"/>
  <c r="P213"/>
  <c r="Q213"/>
  <c r="R213"/>
  <c r="S213"/>
  <c r="T213"/>
  <c r="U213"/>
  <c r="W213"/>
  <c r="Y213"/>
  <c r="Z213"/>
  <c r="AA213"/>
  <c r="G214"/>
  <c r="H214"/>
  <c r="I214"/>
  <c r="J214"/>
  <c r="K214"/>
  <c r="L214"/>
  <c r="M214"/>
  <c r="N214"/>
  <c r="P214"/>
  <c r="Q214"/>
  <c r="R214"/>
  <c r="S214"/>
  <c r="T214"/>
  <c r="U214"/>
  <c r="W214"/>
  <c r="Y214"/>
  <c r="Z214"/>
  <c r="AA214"/>
  <c r="G216"/>
  <c r="H216"/>
  <c r="I216"/>
  <c r="J216"/>
  <c r="K216"/>
  <c r="L216"/>
  <c r="M216"/>
  <c r="N216"/>
  <c r="P216"/>
  <c r="Q216"/>
  <c r="R216"/>
  <c r="S216"/>
  <c r="T216"/>
  <c r="U216"/>
  <c r="W216"/>
  <c r="Y216"/>
  <c r="Z216"/>
  <c r="AA216"/>
  <c r="G217"/>
  <c r="H217"/>
  <c r="I217"/>
  <c r="J217"/>
  <c r="K217"/>
  <c r="L217"/>
  <c r="M217"/>
  <c r="N217"/>
  <c r="P217"/>
  <c r="Q217"/>
  <c r="R217"/>
  <c r="S217"/>
  <c r="T217"/>
  <c r="U217"/>
  <c r="W217"/>
  <c r="Y217"/>
  <c r="Z217"/>
  <c r="AA217"/>
  <c r="G218"/>
  <c r="H218"/>
  <c r="I218"/>
  <c r="J218"/>
  <c r="K218"/>
  <c r="L218"/>
  <c r="M218"/>
  <c r="N218"/>
  <c r="P218"/>
  <c r="Q218"/>
  <c r="R218"/>
  <c r="S218"/>
  <c r="T218"/>
  <c r="U218"/>
  <c r="W218"/>
  <c r="Y218"/>
  <c r="Z218"/>
  <c r="AA218"/>
  <c r="G219"/>
  <c r="H219"/>
  <c r="I219"/>
  <c r="J219"/>
  <c r="K219"/>
  <c r="L219"/>
  <c r="M219"/>
  <c r="N219"/>
  <c r="P219"/>
  <c r="Q219"/>
  <c r="R219"/>
  <c r="S219"/>
  <c r="T219"/>
  <c r="U219"/>
  <c r="W219"/>
  <c r="Y219"/>
  <c r="Z219"/>
  <c r="AA219"/>
  <c r="G220"/>
  <c r="H220"/>
  <c r="I220"/>
  <c r="J220"/>
  <c r="K220"/>
  <c r="L220"/>
  <c r="M220"/>
  <c r="N220"/>
  <c r="P220"/>
  <c r="Q220"/>
  <c r="R220"/>
  <c r="S220"/>
  <c r="T220"/>
  <c r="U220"/>
  <c r="W220"/>
  <c r="Y220"/>
  <c r="Z220"/>
  <c r="AA220"/>
  <c r="G222"/>
  <c r="H222"/>
  <c r="I222"/>
  <c r="J222"/>
  <c r="K222"/>
  <c r="L222"/>
  <c r="M222"/>
  <c r="N222"/>
  <c r="P222"/>
  <c r="Q222"/>
  <c r="R222"/>
  <c r="S222"/>
  <c r="T222"/>
  <c r="U222"/>
  <c r="W222"/>
  <c r="Y222"/>
  <c r="Z222"/>
  <c r="AA222"/>
  <c r="G223"/>
  <c r="H223"/>
  <c r="I223"/>
  <c r="J223"/>
  <c r="K223"/>
  <c r="L223"/>
  <c r="M223"/>
  <c r="N223"/>
  <c r="P223"/>
  <c r="Q223"/>
  <c r="R223"/>
  <c r="S223"/>
  <c r="T223"/>
  <c r="U223"/>
  <c r="W223"/>
  <c r="Y223"/>
  <c r="Z223"/>
  <c r="AA223"/>
  <c r="G224"/>
  <c r="H224"/>
  <c r="I224"/>
  <c r="J224"/>
  <c r="K224"/>
  <c r="L224"/>
  <c r="M224"/>
  <c r="N224"/>
  <c r="P224"/>
  <c r="Q224"/>
  <c r="R224"/>
  <c r="S224"/>
  <c r="T224"/>
  <c r="U224"/>
  <c r="W224"/>
  <c r="Y224"/>
  <c r="Z224"/>
  <c r="AA224"/>
  <c r="G225"/>
  <c r="H225"/>
  <c r="I225"/>
  <c r="J225"/>
  <c r="K225"/>
  <c r="L225"/>
  <c r="M225"/>
  <c r="N225"/>
  <c r="P225"/>
  <c r="Q225"/>
  <c r="R225"/>
  <c r="S225"/>
  <c r="T225"/>
  <c r="U225"/>
  <c r="W225"/>
  <c r="Y225"/>
  <c r="Z225"/>
  <c r="AA225"/>
  <c r="G226"/>
  <c r="H226"/>
  <c r="I226"/>
  <c r="J226"/>
  <c r="K226"/>
  <c r="L226"/>
  <c r="M226"/>
  <c r="N226"/>
  <c r="P226"/>
  <c r="Q226"/>
  <c r="R226"/>
  <c r="S226"/>
  <c r="T226"/>
  <c r="U226"/>
  <c r="W226"/>
  <c r="Y226"/>
  <c r="Z226"/>
  <c r="AA226"/>
  <c r="G229"/>
  <c r="H229"/>
  <c r="I229"/>
  <c r="J229"/>
  <c r="K229"/>
  <c r="L229"/>
  <c r="M229"/>
  <c r="P229"/>
  <c r="Q229"/>
  <c r="R229"/>
  <c r="S229"/>
  <c r="T229"/>
  <c r="U229"/>
  <c r="G232"/>
  <c r="H232"/>
  <c r="I232"/>
  <c r="J232"/>
  <c r="K232"/>
  <c r="L232"/>
  <c r="M232"/>
  <c r="P232"/>
  <c r="Q232"/>
  <c r="R232"/>
  <c r="S232"/>
  <c r="T232"/>
  <c r="U232"/>
  <c r="G233"/>
  <c r="H233"/>
  <c r="I233"/>
  <c r="J233"/>
  <c r="K233"/>
  <c r="L233"/>
  <c r="M233"/>
  <c r="P233"/>
  <c r="Q233"/>
  <c r="R233"/>
  <c r="S233"/>
  <c r="T233"/>
  <c r="U233"/>
  <c r="G234"/>
  <c r="H234"/>
  <c r="I234"/>
  <c r="J234"/>
  <c r="K234"/>
  <c r="L234"/>
  <c r="M234"/>
  <c r="P234"/>
  <c r="Q234"/>
  <c r="R234"/>
  <c r="S234"/>
  <c r="T234"/>
  <c r="U234"/>
  <c r="G236"/>
  <c r="H236"/>
  <c r="I236"/>
  <c r="J236"/>
  <c r="K236"/>
  <c r="L236"/>
  <c r="M236"/>
  <c r="P236"/>
  <c r="Q236"/>
  <c r="R236"/>
  <c r="S236"/>
  <c r="T236"/>
  <c r="U236"/>
  <c r="G240"/>
  <c r="H240"/>
  <c r="I240"/>
  <c r="J240"/>
  <c r="K240"/>
  <c r="L240"/>
  <c r="M240"/>
  <c r="P240"/>
  <c r="Q240"/>
  <c r="R240"/>
  <c r="S240"/>
  <c r="T240"/>
  <c r="U240"/>
  <c r="G241"/>
  <c r="H241"/>
  <c r="I241"/>
  <c r="J241"/>
  <c r="K241"/>
  <c r="L241"/>
  <c r="M241"/>
  <c r="P241"/>
  <c r="Q241"/>
  <c r="R241"/>
  <c r="S241"/>
  <c r="T241"/>
  <c r="U241"/>
  <c r="G242"/>
  <c r="H242"/>
  <c r="I242"/>
  <c r="J242"/>
  <c r="K242"/>
  <c r="L242"/>
  <c r="M242"/>
  <c r="P242"/>
  <c r="Q242"/>
  <c r="R242"/>
  <c r="S242"/>
  <c r="T242"/>
  <c r="U242"/>
  <c r="G243"/>
  <c r="H243"/>
  <c r="I243"/>
  <c r="J243"/>
  <c r="K243"/>
  <c r="L243"/>
  <c r="M243"/>
  <c r="P243"/>
  <c r="Q243"/>
  <c r="R243"/>
  <c r="S243"/>
  <c r="T243"/>
  <c r="U243"/>
  <c r="G244"/>
  <c r="H244"/>
  <c r="I244"/>
  <c r="J244"/>
  <c r="K244"/>
  <c r="L244"/>
  <c r="M244"/>
  <c r="P244"/>
  <c r="Q244"/>
  <c r="R244"/>
  <c r="S244"/>
  <c r="T244"/>
  <c r="U244"/>
  <c r="G246"/>
  <c r="H246"/>
  <c r="I246"/>
  <c r="J246"/>
  <c r="K246"/>
  <c r="L246"/>
  <c r="M246"/>
  <c r="P246"/>
  <c r="Q246"/>
  <c r="R246"/>
  <c r="S246"/>
  <c r="T246"/>
  <c r="U246"/>
  <c r="G247"/>
  <c r="H247"/>
  <c r="I247"/>
  <c r="J247"/>
  <c r="K247"/>
  <c r="L247"/>
  <c r="M247"/>
  <c r="P247"/>
  <c r="Q247"/>
  <c r="R247"/>
  <c r="S247"/>
  <c r="T247"/>
  <c r="U247"/>
  <c r="G248"/>
  <c r="H248"/>
  <c r="I248"/>
  <c r="J248"/>
  <c r="K248"/>
  <c r="L248"/>
  <c r="M248"/>
  <c r="P248"/>
  <c r="Q248"/>
  <c r="R248"/>
  <c r="S248"/>
  <c r="T248"/>
  <c r="U248"/>
  <c r="G249"/>
  <c r="H249"/>
  <c r="I249"/>
  <c r="J249"/>
  <c r="K249"/>
  <c r="L249"/>
  <c r="M249"/>
  <c r="P249"/>
  <c r="Q249"/>
  <c r="R249"/>
  <c r="S249"/>
  <c r="T249"/>
  <c r="U249"/>
  <c r="G250"/>
  <c r="H250"/>
  <c r="I250"/>
  <c r="J250"/>
  <c r="K250"/>
  <c r="L250"/>
  <c r="M250"/>
  <c r="P250"/>
  <c r="Q250"/>
  <c r="R250"/>
  <c r="S250"/>
  <c r="T250"/>
  <c r="U250"/>
  <c r="G252"/>
  <c r="H252"/>
  <c r="I252"/>
  <c r="J252"/>
  <c r="K252"/>
  <c r="L252"/>
  <c r="M252"/>
  <c r="P252"/>
  <c r="Q252"/>
  <c r="R252"/>
  <c r="S252"/>
  <c r="T252"/>
  <c r="U252"/>
  <c r="G253"/>
  <c r="H253"/>
  <c r="I253"/>
  <c r="J253"/>
  <c r="K253"/>
  <c r="L253"/>
  <c r="M253"/>
  <c r="P253"/>
  <c r="Q253"/>
  <c r="R253"/>
  <c r="S253"/>
  <c r="T253"/>
  <c r="U253"/>
  <c r="G254"/>
  <c r="H254"/>
  <c r="I254"/>
  <c r="J254"/>
  <c r="K254"/>
  <c r="L254"/>
  <c r="M254"/>
  <c r="P254"/>
  <c r="Q254"/>
  <c r="R254"/>
  <c r="S254"/>
  <c r="T254"/>
  <c r="U254"/>
  <c r="G255"/>
  <c r="H255"/>
  <c r="I255"/>
  <c r="J255"/>
  <c r="K255"/>
  <c r="L255"/>
  <c r="M255"/>
  <c r="P255"/>
  <c r="Q255"/>
  <c r="R255"/>
  <c r="S255"/>
  <c r="T255"/>
  <c r="U255"/>
  <c r="G256"/>
  <c r="H256"/>
  <c r="I256"/>
  <c r="J256"/>
  <c r="K256"/>
  <c r="L256"/>
  <c r="M256"/>
  <c r="P256"/>
  <c r="Q256"/>
  <c r="R256"/>
  <c r="S256"/>
  <c r="T256"/>
  <c r="U256"/>
  <c r="G260"/>
  <c r="H260"/>
  <c r="I260"/>
  <c r="J260"/>
  <c r="K260"/>
  <c r="L260"/>
  <c r="M260"/>
  <c r="N260"/>
  <c r="P260"/>
  <c r="Q260"/>
  <c r="R260"/>
  <c r="S260"/>
  <c r="T260"/>
  <c r="U260"/>
  <c r="W260"/>
  <c r="Y260"/>
  <c r="Z260"/>
  <c r="AA260"/>
  <c r="G261"/>
  <c r="H261"/>
  <c r="I261"/>
  <c r="J261"/>
  <c r="K261"/>
  <c r="L261"/>
  <c r="M261"/>
  <c r="N261"/>
  <c r="P261"/>
  <c r="Q261"/>
  <c r="R261"/>
  <c r="S261"/>
  <c r="T261"/>
  <c r="U261"/>
  <c r="W261"/>
  <c r="Y261"/>
  <c r="Z261"/>
  <c r="AA261"/>
  <c r="G262"/>
  <c r="H262"/>
  <c r="I262"/>
  <c r="J262"/>
  <c r="K262"/>
  <c r="L262"/>
  <c r="M262"/>
  <c r="N262"/>
  <c r="P262"/>
  <c r="Q262"/>
  <c r="R262"/>
  <c r="S262"/>
  <c r="T262"/>
  <c r="U262"/>
  <c r="W262"/>
  <c r="Y262"/>
  <c r="Z262"/>
  <c r="AA262"/>
  <c r="G263"/>
  <c r="H263"/>
  <c r="I263"/>
  <c r="J263"/>
  <c r="K263"/>
  <c r="L263"/>
  <c r="M263"/>
  <c r="N263"/>
  <c r="P263"/>
  <c r="Q263"/>
  <c r="R263"/>
  <c r="S263"/>
  <c r="T263"/>
  <c r="U263"/>
  <c r="W263"/>
  <c r="Y263"/>
  <c r="Z263"/>
  <c r="AA263"/>
  <c r="G264"/>
  <c r="H264"/>
  <c r="I264"/>
  <c r="J264"/>
  <c r="K264"/>
  <c r="L264"/>
  <c r="M264"/>
  <c r="N264"/>
  <c r="P264"/>
  <c r="Q264"/>
  <c r="R264"/>
  <c r="S264"/>
  <c r="T264"/>
  <c r="U264"/>
  <c r="W264"/>
  <c r="Y264"/>
  <c r="Z264"/>
  <c r="AA264"/>
  <c r="G266"/>
  <c r="H266"/>
  <c r="I266"/>
  <c r="J266"/>
  <c r="K266"/>
  <c r="L266"/>
  <c r="M266"/>
  <c r="N266"/>
  <c r="P266"/>
  <c r="Q266"/>
  <c r="R266"/>
  <c r="S266"/>
  <c r="T266"/>
  <c r="U266"/>
  <c r="W266"/>
  <c r="Y266"/>
  <c r="Z266"/>
  <c r="AA266"/>
  <c r="G267"/>
  <c r="H267"/>
  <c r="I267"/>
  <c r="J267"/>
  <c r="K267"/>
  <c r="L267"/>
  <c r="M267"/>
  <c r="N267"/>
  <c r="P267"/>
  <c r="Q267"/>
  <c r="R267"/>
  <c r="S267"/>
  <c r="T267"/>
  <c r="U267"/>
  <c r="W267"/>
  <c r="Y267"/>
  <c r="Z267"/>
  <c r="AA267"/>
  <c r="G268"/>
  <c r="H268"/>
  <c r="I268"/>
  <c r="J268"/>
  <c r="K268"/>
  <c r="L268"/>
  <c r="M268"/>
  <c r="N268"/>
  <c r="P268"/>
  <c r="Q268"/>
  <c r="R268"/>
  <c r="S268"/>
  <c r="T268"/>
  <c r="U268"/>
  <c r="W268"/>
  <c r="Y268"/>
  <c r="Z268"/>
  <c r="AA268"/>
  <c r="G269"/>
  <c r="H269"/>
  <c r="I269"/>
  <c r="J269"/>
  <c r="K269"/>
  <c r="L269"/>
  <c r="M269"/>
  <c r="N269"/>
  <c r="P269"/>
  <c r="Q269"/>
  <c r="R269"/>
  <c r="S269"/>
  <c r="T269"/>
  <c r="U269"/>
  <c r="W269"/>
  <c r="Y269"/>
  <c r="Z269"/>
  <c r="AA269"/>
  <c r="G270"/>
  <c r="H270"/>
  <c r="I270"/>
  <c r="J270"/>
  <c r="K270"/>
  <c r="L270"/>
  <c r="M270"/>
  <c r="N270"/>
  <c r="P270"/>
  <c r="Q270"/>
  <c r="R270"/>
  <c r="S270"/>
  <c r="T270"/>
  <c r="U270"/>
  <c r="W270"/>
  <c r="Y270"/>
  <c r="Z270"/>
  <c r="AA270"/>
  <c r="G272"/>
  <c r="H272"/>
  <c r="I272"/>
  <c r="J272"/>
  <c r="K272"/>
  <c r="L272"/>
  <c r="M272"/>
  <c r="N272"/>
  <c r="P272"/>
  <c r="Q272"/>
  <c r="R272"/>
  <c r="S272"/>
  <c r="T272"/>
  <c r="U272"/>
  <c r="W272"/>
  <c r="Y272"/>
  <c r="Z272"/>
  <c r="AA272"/>
  <c r="G273"/>
  <c r="H273"/>
  <c r="I273"/>
  <c r="J273"/>
  <c r="K273"/>
  <c r="L273"/>
  <c r="M273"/>
  <c r="N273"/>
  <c r="P273"/>
  <c r="Q273"/>
  <c r="R273"/>
  <c r="S273"/>
  <c r="T273"/>
  <c r="U273"/>
  <c r="W273"/>
  <c r="Y273"/>
  <c r="Z273"/>
  <c r="AA273"/>
  <c r="G274"/>
  <c r="H274"/>
  <c r="I274"/>
  <c r="J274"/>
  <c r="K274"/>
  <c r="L274"/>
  <c r="M274"/>
  <c r="N274"/>
  <c r="P274"/>
  <c r="Q274"/>
  <c r="R274"/>
  <c r="S274"/>
  <c r="T274"/>
  <c r="U274"/>
  <c r="W274"/>
  <c r="Y274"/>
  <c r="Z274"/>
  <c r="AA274"/>
  <c r="G275"/>
  <c r="H275"/>
  <c r="I275"/>
  <c r="J275"/>
  <c r="K275"/>
  <c r="L275"/>
  <c r="M275"/>
  <c r="N275"/>
  <c r="P275"/>
  <c r="Q275"/>
  <c r="R275"/>
  <c r="S275"/>
  <c r="T275"/>
  <c r="U275"/>
  <c r="W275"/>
  <c r="Y275"/>
  <c r="Z275"/>
  <c r="AA275"/>
  <c r="G276"/>
  <c r="H276"/>
  <c r="I276"/>
  <c r="J276"/>
  <c r="K276"/>
  <c r="L276"/>
  <c r="M276"/>
  <c r="N276"/>
  <c r="P276"/>
  <c r="Q276"/>
  <c r="R276"/>
  <c r="S276"/>
  <c r="T276"/>
  <c r="U276"/>
  <c r="W276"/>
  <c r="Y276"/>
  <c r="Z276"/>
  <c r="AA276"/>
  <c r="G278"/>
  <c r="H278"/>
  <c r="I278"/>
  <c r="J278"/>
  <c r="K278"/>
  <c r="L278"/>
  <c r="M278"/>
  <c r="N278"/>
  <c r="P278"/>
  <c r="Q278"/>
  <c r="R278"/>
  <c r="S278"/>
  <c r="T278"/>
  <c r="U278"/>
  <c r="W278"/>
  <c r="Y278"/>
  <c r="Z278"/>
  <c r="AA278"/>
  <c r="G279"/>
  <c r="H279"/>
  <c r="I279"/>
  <c r="J279"/>
  <c r="K279"/>
  <c r="L279"/>
  <c r="M279"/>
  <c r="N279"/>
  <c r="P279"/>
  <c r="Q279"/>
  <c r="R279"/>
  <c r="S279"/>
  <c r="T279"/>
  <c r="U279"/>
  <c r="W279"/>
  <c r="Y279"/>
  <c r="Z279"/>
  <c r="AA279"/>
  <c r="G280"/>
  <c r="H280"/>
  <c r="I280"/>
  <c r="J280"/>
  <c r="K280"/>
  <c r="L280"/>
  <c r="M280"/>
  <c r="N280"/>
  <c r="P280"/>
  <c r="Q280"/>
  <c r="R280"/>
  <c r="S280"/>
  <c r="T280"/>
  <c r="U280"/>
  <c r="W280"/>
  <c r="Y280"/>
  <c r="Z280"/>
  <c r="AA280"/>
  <c r="G281"/>
  <c r="H281"/>
  <c r="I281"/>
  <c r="J281"/>
  <c r="K281"/>
  <c r="L281"/>
  <c r="M281"/>
  <c r="N281"/>
  <c r="P281"/>
  <c r="Q281"/>
  <c r="R281"/>
  <c r="S281"/>
  <c r="T281"/>
  <c r="U281"/>
  <c r="W281"/>
  <c r="Y281"/>
  <c r="Z281"/>
  <c r="AA281"/>
  <c r="G282"/>
  <c r="H282"/>
  <c r="I282"/>
  <c r="J282"/>
  <c r="K282"/>
  <c r="L282"/>
  <c r="M282"/>
  <c r="N282"/>
  <c r="P282"/>
  <c r="Q282"/>
  <c r="R282"/>
  <c r="S282"/>
  <c r="T282"/>
  <c r="U282"/>
  <c r="W282"/>
  <c r="Y282"/>
  <c r="Z282"/>
  <c r="AA282"/>
  <c r="G287"/>
  <c r="H287"/>
  <c r="I287"/>
  <c r="J287"/>
  <c r="K287"/>
  <c r="L287"/>
  <c r="M287"/>
  <c r="N287"/>
  <c r="P287"/>
  <c r="Q287"/>
  <c r="R287"/>
  <c r="S287"/>
  <c r="T287"/>
  <c r="U287"/>
  <c r="W287"/>
  <c r="Y287"/>
  <c r="Z287"/>
  <c r="AA287"/>
  <c r="G288"/>
  <c r="H288"/>
  <c r="I288"/>
  <c r="J288"/>
  <c r="K288"/>
  <c r="L288"/>
  <c r="M288"/>
  <c r="N288"/>
  <c r="P288"/>
  <c r="Q288"/>
  <c r="R288"/>
  <c r="S288"/>
  <c r="T288"/>
  <c r="U288"/>
  <c r="W288"/>
  <c r="Y288"/>
  <c r="Z288"/>
  <c r="AA288"/>
  <c r="G289"/>
  <c r="H289"/>
  <c r="I289"/>
  <c r="J289"/>
  <c r="K289"/>
  <c r="L289"/>
  <c r="M289"/>
  <c r="N289"/>
  <c r="P289"/>
  <c r="Q289"/>
  <c r="R289"/>
  <c r="S289"/>
  <c r="T289"/>
  <c r="U289"/>
  <c r="W289"/>
  <c r="Y289"/>
  <c r="Z289"/>
  <c r="AA289"/>
  <c r="G290"/>
  <c r="H290"/>
  <c r="I290"/>
  <c r="J290"/>
  <c r="K290"/>
  <c r="L290"/>
  <c r="M290"/>
  <c r="N290"/>
  <c r="P290"/>
  <c r="Q290"/>
  <c r="R290"/>
  <c r="S290"/>
  <c r="T290"/>
  <c r="U290"/>
  <c r="W290"/>
  <c r="Y290"/>
  <c r="Z290"/>
  <c r="AA290"/>
  <c r="G291"/>
  <c r="H291"/>
  <c r="I291"/>
  <c r="J291"/>
  <c r="K291"/>
  <c r="L291"/>
  <c r="M291"/>
  <c r="N291"/>
  <c r="P291"/>
  <c r="Q291"/>
  <c r="R291"/>
  <c r="S291"/>
  <c r="T291"/>
  <c r="U291"/>
  <c r="W291"/>
  <c r="Y291"/>
  <c r="Z291"/>
  <c r="AA291"/>
  <c r="G293"/>
  <c r="H293"/>
  <c r="I293"/>
  <c r="J293"/>
  <c r="K293"/>
  <c r="L293"/>
  <c r="M293"/>
  <c r="N293"/>
  <c r="P293"/>
  <c r="Q293"/>
  <c r="R293"/>
  <c r="S293"/>
  <c r="T293"/>
  <c r="U293"/>
  <c r="W293"/>
  <c r="Y293"/>
  <c r="Z293"/>
  <c r="AA293"/>
  <c r="G294"/>
  <c r="H294"/>
  <c r="I294"/>
  <c r="J294"/>
  <c r="K294"/>
  <c r="L294"/>
  <c r="M294"/>
  <c r="N294"/>
  <c r="P294"/>
  <c r="Q294"/>
  <c r="R294"/>
  <c r="S294"/>
  <c r="T294"/>
  <c r="U294"/>
  <c r="W294"/>
  <c r="Y294"/>
  <c r="Z294"/>
  <c r="AA294"/>
  <c r="G295"/>
  <c r="H295"/>
  <c r="I295"/>
  <c r="J295"/>
  <c r="K295"/>
  <c r="L295"/>
  <c r="M295"/>
  <c r="N295"/>
  <c r="P295"/>
  <c r="Q295"/>
  <c r="R295"/>
  <c r="S295"/>
  <c r="T295"/>
  <c r="U295"/>
  <c r="W295"/>
  <c r="Y295"/>
  <c r="Z295"/>
  <c r="AA295"/>
  <c r="G296"/>
  <c r="H296"/>
  <c r="I296"/>
  <c r="J296"/>
  <c r="K296"/>
  <c r="L296"/>
  <c r="M296"/>
  <c r="N296"/>
  <c r="P296"/>
  <c r="Q296"/>
  <c r="R296"/>
  <c r="S296"/>
  <c r="T296"/>
  <c r="U296"/>
  <c r="W296"/>
  <c r="Y296"/>
  <c r="Z296"/>
  <c r="AA296"/>
  <c r="G297"/>
  <c r="H297"/>
  <c r="I297"/>
  <c r="J297"/>
  <c r="K297"/>
  <c r="L297"/>
  <c r="M297"/>
  <c r="N297"/>
  <c r="P297"/>
  <c r="Q297"/>
  <c r="R297"/>
  <c r="S297"/>
  <c r="T297"/>
  <c r="U297"/>
  <c r="W297"/>
  <c r="Y297"/>
  <c r="Z297"/>
  <c r="AA297"/>
  <c r="G299"/>
  <c r="H299"/>
  <c r="I299"/>
  <c r="J299"/>
  <c r="K299"/>
  <c r="L299"/>
  <c r="M299"/>
  <c r="N299"/>
  <c r="P299"/>
  <c r="Q299"/>
  <c r="R299"/>
  <c r="S299"/>
  <c r="T299"/>
  <c r="U299"/>
  <c r="W299"/>
  <c r="Y299"/>
  <c r="Z299"/>
  <c r="AA299"/>
  <c r="G300"/>
  <c r="H300"/>
  <c r="I300"/>
  <c r="J300"/>
  <c r="K300"/>
  <c r="L300"/>
  <c r="M300"/>
  <c r="N300"/>
  <c r="P300"/>
  <c r="Q300"/>
  <c r="R300"/>
  <c r="S300"/>
  <c r="T300"/>
  <c r="U300"/>
  <c r="W300"/>
  <c r="Y300"/>
  <c r="Z300"/>
  <c r="AA300"/>
  <c r="G301"/>
  <c r="H301"/>
  <c r="I301"/>
  <c r="J301"/>
  <c r="K301"/>
  <c r="L301"/>
  <c r="M301"/>
  <c r="N301"/>
  <c r="P301"/>
  <c r="Q301"/>
  <c r="R301"/>
  <c r="S301"/>
  <c r="T301"/>
  <c r="U301"/>
  <c r="W301"/>
  <c r="Y301"/>
  <c r="Z301"/>
  <c r="AA301"/>
  <c r="G302"/>
  <c r="H302"/>
  <c r="I302"/>
  <c r="J302"/>
  <c r="K302"/>
  <c r="L302"/>
  <c r="M302"/>
  <c r="N302"/>
  <c r="P302"/>
  <c r="Q302"/>
  <c r="R302"/>
  <c r="S302"/>
  <c r="T302"/>
  <c r="U302"/>
  <c r="W302"/>
  <c r="Y302"/>
  <c r="Z302"/>
  <c r="AA302"/>
  <c r="G303"/>
  <c r="H303"/>
  <c r="I303"/>
  <c r="J303"/>
  <c r="K303"/>
  <c r="L303"/>
  <c r="M303"/>
  <c r="N303"/>
  <c r="P303"/>
  <c r="Q303"/>
  <c r="R303"/>
  <c r="S303"/>
  <c r="T303"/>
  <c r="U303"/>
  <c r="W303"/>
  <c r="Y303"/>
  <c r="Z303"/>
  <c r="AA303"/>
  <c r="G305"/>
  <c r="H305"/>
  <c r="I305"/>
  <c r="J305"/>
  <c r="K305"/>
  <c r="L305"/>
  <c r="M305"/>
  <c r="N305"/>
  <c r="P305"/>
  <c r="Q305"/>
  <c r="R305"/>
  <c r="S305"/>
  <c r="T305"/>
  <c r="U305"/>
  <c r="W305"/>
  <c r="Y305"/>
  <c r="Z305"/>
  <c r="AA305"/>
  <c r="G306"/>
  <c r="H306"/>
  <c r="I306"/>
  <c r="J306"/>
  <c r="K306"/>
  <c r="L306"/>
  <c r="M306"/>
  <c r="N306"/>
  <c r="P306"/>
  <c r="Q306"/>
  <c r="R306"/>
  <c r="S306"/>
  <c r="T306"/>
  <c r="U306"/>
  <c r="W306"/>
  <c r="Y306"/>
  <c r="Z306"/>
  <c r="AA306"/>
  <c r="G307"/>
  <c r="H307"/>
  <c r="I307"/>
  <c r="J307"/>
  <c r="K307"/>
  <c r="L307"/>
  <c r="M307"/>
  <c r="N307"/>
  <c r="P307"/>
  <c r="Q307"/>
  <c r="R307"/>
  <c r="S307"/>
  <c r="T307"/>
  <c r="U307"/>
  <c r="W307"/>
  <c r="Y307"/>
  <c r="Z307"/>
  <c r="AA307"/>
  <c r="G308"/>
  <c r="H308"/>
  <c r="I308"/>
  <c r="J308"/>
  <c r="K308"/>
  <c r="L308"/>
  <c r="M308"/>
  <c r="N308"/>
  <c r="P308"/>
  <c r="Q308"/>
  <c r="R308"/>
  <c r="S308"/>
  <c r="T308"/>
  <c r="U308"/>
  <c r="W308"/>
  <c r="Y308"/>
  <c r="Z308"/>
  <c r="AA308"/>
  <c r="G309"/>
  <c r="H309"/>
  <c r="I309"/>
  <c r="J309"/>
  <c r="K309"/>
  <c r="L309"/>
  <c r="M309"/>
  <c r="N309"/>
  <c r="P309"/>
  <c r="Q309"/>
  <c r="R309"/>
  <c r="S309"/>
  <c r="T309"/>
  <c r="U309"/>
  <c r="W309"/>
  <c r="Y309"/>
  <c r="Z309"/>
  <c r="AA309"/>
  <c r="H321"/>
  <c r="I321"/>
  <c r="J321"/>
  <c r="K321"/>
  <c r="L321"/>
  <c r="M321"/>
  <c r="N321"/>
  <c r="Q321"/>
  <c r="R321"/>
  <c r="S321"/>
  <c r="T321"/>
  <c r="U321"/>
  <c r="V321"/>
  <c r="W321"/>
  <c r="Z321"/>
  <c r="AA321"/>
  <c r="AB321"/>
  <c r="AC321"/>
  <c r="AD321"/>
  <c r="AE321"/>
  <c r="H322"/>
  <c r="I322"/>
  <c r="J322"/>
  <c r="K322"/>
  <c r="L322"/>
  <c r="M322"/>
  <c r="N322"/>
  <c r="Q322"/>
  <c r="R322"/>
  <c r="S322"/>
  <c r="T322"/>
  <c r="U322"/>
  <c r="V322"/>
  <c r="W322"/>
  <c r="Z322"/>
  <c r="AA322"/>
  <c r="AB322"/>
  <c r="AC322"/>
  <c r="AD322"/>
  <c r="AE322"/>
  <c r="H323"/>
  <c r="I323"/>
  <c r="J323"/>
  <c r="K323"/>
  <c r="L323"/>
  <c r="M323"/>
  <c r="N323"/>
  <c r="Q323"/>
  <c r="R323"/>
  <c r="S323"/>
  <c r="T323"/>
  <c r="U323"/>
  <c r="V323"/>
  <c r="W323"/>
  <c r="Z323"/>
  <c r="AA323"/>
  <c r="AB323"/>
  <c r="AC323"/>
  <c r="AD323"/>
  <c r="AE323"/>
  <c r="H324"/>
  <c r="I324"/>
  <c r="J324"/>
  <c r="K324"/>
  <c r="L324"/>
  <c r="M324"/>
  <c r="N324"/>
  <c r="Q324"/>
  <c r="R324"/>
  <c r="S324"/>
  <c r="T324"/>
  <c r="U324"/>
  <c r="V324"/>
  <c r="W324"/>
  <c r="Z324"/>
  <c r="AA324"/>
  <c r="AB324"/>
  <c r="AC324"/>
  <c r="AD324"/>
  <c r="AE324"/>
  <c r="H325"/>
  <c r="I325"/>
  <c r="J325"/>
  <c r="K325"/>
  <c r="L325"/>
  <c r="M325"/>
  <c r="N325"/>
  <c r="Q325"/>
  <c r="R325"/>
  <c r="S325"/>
  <c r="T325"/>
  <c r="U325"/>
  <c r="V325"/>
  <c r="W325"/>
  <c r="Z325"/>
  <c r="AA325"/>
  <c r="AB325"/>
  <c r="AC325"/>
  <c r="AD325"/>
  <c r="AE325"/>
  <c r="H332"/>
  <c r="I332"/>
  <c r="J332"/>
  <c r="K332"/>
  <c r="L332"/>
  <c r="M332"/>
  <c r="N332"/>
  <c r="Q332"/>
  <c r="R332"/>
  <c r="S332"/>
  <c r="T332"/>
  <c r="U332"/>
  <c r="V332"/>
  <c r="W332"/>
  <c r="Z332"/>
  <c r="AA332"/>
  <c r="AB332"/>
  <c r="AC332"/>
  <c r="AD332"/>
  <c r="AE332"/>
  <c r="H333"/>
  <c r="I333"/>
  <c r="J333"/>
  <c r="K333"/>
  <c r="L333"/>
  <c r="M333"/>
  <c r="N333"/>
  <c r="Q333"/>
  <c r="R333"/>
  <c r="S333"/>
  <c r="T333"/>
  <c r="U333"/>
  <c r="V333"/>
  <c r="W333"/>
  <c r="Z333"/>
  <c r="AA333"/>
  <c r="AB333"/>
  <c r="AC333"/>
  <c r="AD333"/>
  <c r="AE333"/>
  <c r="H334"/>
  <c r="I334"/>
  <c r="J334"/>
  <c r="K334"/>
  <c r="L334"/>
  <c r="M334"/>
  <c r="N334"/>
  <c r="Q334"/>
  <c r="R334"/>
  <c r="S334"/>
  <c r="T334"/>
  <c r="U334"/>
  <c r="V334"/>
  <c r="W334"/>
  <c r="Z334"/>
  <c r="AA334"/>
  <c r="AB334"/>
  <c r="AC334"/>
  <c r="AD334"/>
  <c r="AE334"/>
  <c r="H335"/>
  <c r="I335"/>
  <c r="J335"/>
  <c r="K335"/>
  <c r="L335"/>
  <c r="M335"/>
  <c r="N335"/>
  <c r="Q335"/>
  <c r="R335"/>
  <c r="S335"/>
  <c r="T335"/>
  <c r="U335"/>
  <c r="V335"/>
  <c r="W335"/>
  <c r="Z335"/>
  <c r="AA335"/>
  <c r="AB335"/>
  <c r="AC335"/>
  <c r="AD335"/>
  <c r="AE335"/>
  <c r="H336"/>
  <c r="I336"/>
  <c r="J336"/>
  <c r="K336"/>
  <c r="L336"/>
  <c r="M336"/>
  <c r="N336"/>
  <c r="Q336"/>
  <c r="R336"/>
  <c r="S336"/>
  <c r="T336"/>
  <c r="U336"/>
  <c r="V336"/>
  <c r="W336"/>
  <c r="Z336"/>
  <c r="AA336"/>
  <c r="AB336"/>
  <c r="AC336"/>
  <c r="AD336"/>
  <c r="AE336"/>
  <c r="Z349"/>
  <c r="AA349"/>
  <c r="AB349"/>
  <c r="AC349"/>
  <c r="Z350"/>
  <c r="AA350"/>
  <c r="AB350"/>
  <c r="AC350"/>
  <c r="Z351"/>
  <c r="AA351"/>
  <c r="AB351"/>
  <c r="AC351"/>
  <c r="Z352"/>
  <c r="AA352"/>
  <c r="AB352"/>
  <c r="AC352"/>
  <c r="Z353"/>
  <c r="AA353"/>
  <c r="AB353"/>
  <c r="AC353"/>
  <c r="AE358"/>
  <c r="Z365"/>
  <c r="AA365"/>
  <c r="AB365"/>
  <c r="AC365"/>
  <c r="AD365"/>
  <c r="AE365"/>
  <c r="Z366"/>
  <c r="AA366"/>
  <c r="AB366"/>
  <c r="AC366"/>
  <c r="AD366"/>
  <c r="AE366"/>
  <c r="Z367"/>
  <c r="AA367"/>
  <c r="AB367"/>
  <c r="AC367"/>
  <c r="AD367"/>
  <c r="AE367"/>
  <c r="Z368"/>
  <c r="AA368"/>
  <c r="AB368"/>
  <c r="AC368"/>
  <c r="AD368"/>
  <c r="AE368"/>
  <c r="Z369"/>
  <c r="AA369"/>
  <c r="AB369"/>
  <c r="AC369"/>
  <c r="AD369"/>
  <c r="AE369"/>
  <c r="J113" i="31"/>
  <c r="J120"/>
  <c r="J129"/>
  <c r="J133"/>
  <c r="J136"/>
  <c r="G181" i="60"/>
  <c r="H181"/>
  <c r="G183"/>
  <c r="H183"/>
  <c r="H186"/>
  <c r="H187"/>
  <c r="H188"/>
  <c r="G205"/>
  <c r="H205"/>
  <c r="G207"/>
  <c r="H207"/>
  <c r="H210"/>
  <c r="H211"/>
  <c r="H212"/>
  <c r="F219"/>
  <c r="G219"/>
  <c r="H219"/>
  <c r="F222"/>
  <c r="G222"/>
  <c r="H222"/>
  <c r="F223"/>
  <c r="G223"/>
  <c r="H223"/>
  <c r="C52" i="22"/>
  <c r="D52"/>
  <c r="E52"/>
  <c r="F52"/>
  <c r="G52"/>
  <c r="H52"/>
  <c r="I52"/>
  <c r="J52"/>
  <c r="K52"/>
  <c r="L52"/>
  <c r="M52"/>
  <c r="N52"/>
  <c r="O52"/>
  <c r="P52"/>
  <c r="Q52"/>
  <c r="R52"/>
  <c r="S52"/>
  <c r="T52"/>
  <c r="U52"/>
  <c r="V52"/>
  <c r="W52"/>
  <c r="X52"/>
  <c r="Y52"/>
  <c r="Z52"/>
  <c r="B53"/>
  <c r="C53"/>
  <c r="D53"/>
  <c r="E53"/>
  <c r="F53"/>
  <c r="G53"/>
  <c r="H53"/>
  <c r="I53"/>
  <c r="J53"/>
  <c r="K53"/>
  <c r="L53"/>
  <c r="M53"/>
  <c r="N53"/>
  <c r="O53"/>
  <c r="P53"/>
  <c r="Q53"/>
  <c r="R53"/>
  <c r="S53"/>
  <c r="T53"/>
  <c r="U53"/>
  <c r="V53"/>
  <c r="W53"/>
  <c r="X53"/>
  <c r="Y53"/>
  <c r="Z53"/>
  <c r="AA53"/>
  <c r="B54"/>
  <c r="C54"/>
  <c r="D54"/>
  <c r="E54"/>
  <c r="F54"/>
  <c r="G54"/>
  <c r="H54"/>
  <c r="I54"/>
  <c r="J54"/>
  <c r="K54"/>
  <c r="L54"/>
  <c r="M54"/>
  <c r="N54"/>
  <c r="O54"/>
  <c r="P54"/>
  <c r="Q54"/>
  <c r="R54"/>
  <c r="S54"/>
  <c r="T54"/>
  <c r="U54"/>
  <c r="V54"/>
  <c r="W54"/>
  <c r="X54"/>
  <c r="Y54"/>
  <c r="Z54"/>
  <c r="AA54"/>
  <c r="B55"/>
  <c r="C55"/>
  <c r="D55"/>
  <c r="E55"/>
  <c r="F55"/>
  <c r="G55"/>
  <c r="H55"/>
  <c r="I55"/>
  <c r="J55"/>
  <c r="K55"/>
  <c r="L55"/>
  <c r="M55"/>
  <c r="N55"/>
  <c r="O55"/>
  <c r="P55"/>
  <c r="Q55"/>
  <c r="R55"/>
  <c r="S55"/>
  <c r="T55"/>
  <c r="U55"/>
  <c r="V55"/>
  <c r="W55"/>
  <c r="X55"/>
  <c r="Y55"/>
  <c r="Z55"/>
  <c r="AA55"/>
  <c r="B56"/>
  <c r="C56"/>
  <c r="D56"/>
  <c r="E56"/>
  <c r="F56"/>
  <c r="G56"/>
  <c r="H56"/>
  <c r="I56"/>
  <c r="J56"/>
  <c r="K56"/>
  <c r="L56"/>
  <c r="M56"/>
  <c r="N56"/>
  <c r="O56"/>
  <c r="P56"/>
  <c r="Q56"/>
  <c r="R56"/>
  <c r="S56"/>
  <c r="T56"/>
  <c r="U56"/>
  <c r="V56"/>
  <c r="W56"/>
  <c r="X56"/>
  <c r="Y56"/>
  <c r="Z56"/>
  <c r="AA56"/>
  <c r="B57"/>
  <c r="C57"/>
  <c r="D57"/>
  <c r="E57"/>
  <c r="F57"/>
  <c r="G57"/>
  <c r="H57"/>
  <c r="I57"/>
  <c r="J57"/>
  <c r="K57"/>
  <c r="L57"/>
  <c r="M57"/>
  <c r="N57"/>
  <c r="O57"/>
  <c r="P57"/>
  <c r="Q57"/>
  <c r="R57"/>
  <c r="S57"/>
  <c r="T57"/>
  <c r="U57"/>
  <c r="V57"/>
  <c r="W57"/>
  <c r="X57"/>
  <c r="Y57"/>
  <c r="Z57"/>
  <c r="AA57"/>
  <c r="B58"/>
  <c r="C58"/>
  <c r="D58"/>
  <c r="E58"/>
  <c r="F58"/>
  <c r="G58"/>
  <c r="H58"/>
  <c r="I58"/>
  <c r="J58"/>
  <c r="K58"/>
  <c r="L58"/>
  <c r="M58"/>
  <c r="N58"/>
  <c r="O58"/>
  <c r="P58"/>
  <c r="Q58"/>
  <c r="R58"/>
  <c r="S58"/>
  <c r="T58"/>
  <c r="U58"/>
  <c r="V58"/>
  <c r="W58"/>
  <c r="X58"/>
  <c r="Y58"/>
  <c r="Z58"/>
  <c r="AA58"/>
  <c r="B59"/>
  <c r="C59"/>
  <c r="D59"/>
  <c r="E59"/>
  <c r="F59"/>
  <c r="G59"/>
  <c r="H59"/>
  <c r="I59"/>
  <c r="J59"/>
  <c r="K59"/>
  <c r="L59"/>
  <c r="M59"/>
  <c r="N59"/>
  <c r="O59"/>
  <c r="P59"/>
  <c r="Q59"/>
  <c r="R59"/>
  <c r="S59"/>
  <c r="T59"/>
  <c r="U59"/>
  <c r="V59"/>
  <c r="W59"/>
  <c r="X59"/>
  <c r="Y59"/>
  <c r="Z59"/>
  <c r="AA59"/>
  <c r="B60"/>
  <c r="C60"/>
  <c r="D60"/>
  <c r="E60"/>
  <c r="F60"/>
  <c r="G60"/>
  <c r="H60"/>
  <c r="I60"/>
  <c r="J60"/>
  <c r="K60"/>
  <c r="L60"/>
  <c r="M60"/>
  <c r="N60"/>
  <c r="O60"/>
  <c r="P60"/>
  <c r="Q60"/>
  <c r="R60"/>
  <c r="S60"/>
  <c r="T60"/>
  <c r="U60"/>
  <c r="V60"/>
  <c r="W60"/>
  <c r="X60"/>
  <c r="Y60"/>
  <c r="Z60"/>
  <c r="AA60"/>
  <c r="B61"/>
  <c r="C61"/>
  <c r="D61"/>
  <c r="E61"/>
  <c r="F61"/>
  <c r="G61"/>
  <c r="H61"/>
  <c r="I61"/>
  <c r="J61"/>
  <c r="K61"/>
  <c r="L61"/>
  <c r="M61"/>
  <c r="N61"/>
  <c r="O61"/>
  <c r="P61"/>
  <c r="Q61"/>
  <c r="R61"/>
  <c r="S61"/>
  <c r="T61"/>
  <c r="U61"/>
  <c r="V61"/>
  <c r="W61"/>
  <c r="X61"/>
  <c r="Y61"/>
  <c r="Z61"/>
  <c r="AA61"/>
  <c r="B62"/>
  <c r="C62"/>
  <c r="D62"/>
  <c r="E62"/>
  <c r="F62"/>
  <c r="G62"/>
  <c r="H62"/>
  <c r="I62"/>
  <c r="J62"/>
  <c r="K62"/>
  <c r="L62"/>
  <c r="M62"/>
  <c r="N62"/>
  <c r="O62"/>
  <c r="P62"/>
  <c r="Q62"/>
  <c r="R62"/>
  <c r="S62"/>
  <c r="T62"/>
  <c r="U62"/>
  <c r="V62"/>
  <c r="W62"/>
  <c r="X62"/>
  <c r="Y62"/>
  <c r="Z62"/>
  <c r="AA62"/>
  <c r="B63"/>
  <c r="C63"/>
  <c r="D63"/>
  <c r="E63"/>
  <c r="F63"/>
  <c r="G63"/>
  <c r="H63"/>
  <c r="I63"/>
  <c r="J63"/>
  <c r="K63"/>
  <c r="L63"/>
  <c r="M63"/>
  <c r="N63"/>
  <c r="O63"/>
  <c r="P63"/>
  <c r="Q63"/>
  <c r="R63"/>
  <c r="S63"/>
  <c r="T63"/>
  <c r="U63"/>
  <c r="V63"/>
  <c r="W63"/>
  <c r="X63"/>
  <c r="Y63"/>
  <c r="Z63"/>
  <c r="AA63"/>
  <c r="B64"/>
  <c r="C64"/>
  <c r="D64"/>
  <c r="E64"/>
  <c r="F64"/>
  <c r="G64"/>
  <c r="H64"/>
  <c r="I64"/>
  <c r="J64"/>
  <c r="K64"/>
  <c r="L64"/>
  <c r="M64"/>
  <c r="N64"/>
  <c r="O64"/>
  <c r="P64"/>
  <c r="Q64"/>
  <c r="R64"/>
  <c r="S64"/>
  <c r="T64"/>
  <c r="U64"/>
  <c r="V64"/>
  <c r="W64"/>
  <c r="X64"/>
  <c r="Y64"/>
  <c r="Z64"/>
  <c r="AA64"/>
  <c r="B65"/>
  <c r="C65"/>
  <c r="D65"/>
  <c r="E65"/>
  <c r="F65"/>
  <c r="G65"/>
  <c r="H65"/>
  <c r="I65"/>
  <c r="J65"/>
  <c r="K65"/>
  <c r="L65"/>
  <c r="M65"/>
  <c r="N65"/>
  <c r="O65"/>
  <c r="P65"/>
  <c r="Q65"/>
  <c r="R65"/>
  <c r="S65"/>
  <c r="T65"/>
  <c r="U65"/>
  <c r="V65"/>
  <c r="W65"/>
  <c r="X65"/>
  <c r="Y65"/>
  <c r="Z65"/>
  <c r="AA65"/>
  <c r="B66"/>
  <c r="C66"/>
  <c r="D66"/>
  <c r="E66"/>
  <c r="F66"/>
  <c r="G66"/>
  <c r="H66"/>
  <c r="I66"/>
  <c r="J66"/>
  <c r="K66"/>
  <c r="L66"/>
  <c r="M66"/>
  <c r="N66"/>
  <c r="O66"/>
  <c r="P66"/>
  <c r="Q66"/>
  <c r="R66"/>
  <c r="S66"/>
  <c r="T66"/>
  <c r="U66"/>
  <c r="V66"/>
  <c r="W66"/>
  <c r="X66"/>
  <c r="Y66"/>
  <c r="Z66"/>
  <c r="AA66"/>
  <c r="B67"/>
  <c r="C67"/>
  <c r="D67"/>
  <c r="E67"/>
  <c r="F67"/>
  <c r="G67"/>
  <c r="H67"/>
  <c r="I67"/>
  <c r="J67"/>
  <c r="K67"/>
  <c r="L67"/>
  <c r="M67"/>
  <c r="N67"/>
  <c r="O67"/>
  <c r="P67"/>
  <c r="Q67"/>
  <c r="R67"/>
  <c r="S67"/>
  <c r="T67"/>
  <c r="U67"/>
  <c r="V67"/>
  <c r="W67"/>
  <c r="X67"/>
  <c r="Y67"/>
  <c r="Z67"/>
  <c r="AA67"/>
  <c r="B68"/>
  <c r="C68"/>
  <c r="D68"/>
  <c r="E68"/>
  <c r="F68"/>
  <c r="G68"/>
  <c r="H68"/>
  <c r="I68"/>
  <c r="J68"/>
  <c r="K68"/>
  <c r="L68"/>
  <c r="M68"/>
  <c r="N68"/>
  <c r="O68"/>
  <c r="P68"/>
  <c r="Q68"/>
  <c r="R68"/>
  <c r="S68"/>
  <c r="T68"/>
  <c r="U68"/>
  <c r="V68"/>
  <c r="W68"/>
  <c r="X68"/>
  <c r="Y68"/>
  <c r="Z68"/>
  <c r="AA68"/>
  <c r="B69"/>
  <c r="C69"/>
  <c r="D69"/>
  <c r="E69"/>
  <c r="F69"/>
  <c r="G69"/>
  <c r="H69"/>
  <c r="I69"/>
  <c r="J69"/>
  <c r="K69"/>
  <c r="L69"/>
  <c r="M69"/>
  <c r="N69"/>
  <c r="O69"/>
  <c r="P69"/>
  <c r="Q69"/>
  <c r="R69"/>
  <c r="S69"/>
  <c r="T69"/>
  <c r="U69"/>
  <c r="V69"/>
  <c r="W69"/>
  <c r="X69"/>
  <c r="Y69"/>
  <c r="Z69"/>
  <c r="AA69"/>
  <c r="B70"/>
  <c r="C70"/>
  <c r="D70"/>
  <c r="E70"/>
  <c r="F70"/>
  <c r="G70"/>
  <c r="H70"/>
  <c r="I70"/>
  <c r="J70"/>
  <c r="K70"/>
  <c r="L70"/>
  <c r="M70"/>
  <c r="N70"/>
  <c r="O70"/>
  <c r="P70"/>
  <c r="Q70"/>
  <c r="R70"/>
  <c r="S70"/>
  <c r="T70"/>
  <c r="U70"/>
  <c r="V70"/>
  <c r="W70"/>
  <c r="X70"/>
  <c r="Y70"/>
  <c r="Z70"/>
  <c r="AA70"/>
  <c r="B71"/>
  <c r="C71"/>
  <c r="D71"/>
  <c r="E71"/>
  <c r="F71"/>
  <c r="G71"/>
  <c r="H71"/>
  <c r="I71"/>
  <c r="J71"/>
  <c r="K71"/>
  <c r="L71"/>
  <c r="M71"/>
  <c r="N71"/>
  <c r="O71"/>
  <c r="P71"/>
  <c r="Q71"/>
  <c r="R71"/>
  <c r="S71"/>
  <c r="T71"/>
  <c r="U71"/>
  <c r="V71"/>
  <c r="W71"/>
  <c r="X71"/>
  <c r="Y71"/>
  <c r="Z71"/>
  <c r="AA71"/>
  <c r="B72"/>
  <c r="C72"/>
  <c r="D72"/>
  <c r="E72"/>
  <c r="F72"/>
  <c r="G72"/>
  <c r="H72"/>
  <c r="I72"/>
  <c r="J72"/>
  <c r="K72"/>
  <c r="L72"/>
  <c r="M72"/>
  <c r="N72"/>
  <c r="O72"/>
  <c r="P72"/>
  <c r="Q72"/>
  <c r="R72"/>
  <c r="S72"/>
  <c r="T72"/>
  <c r="U72"/>
  <c r="V72"/>
  <c r="W72"/>
  <c r="X72"/>
  <c r="Y72"/>
  <c r="Z72"/>
  <c r="AA72"/>
  <c r="B73"/>
  <c r="C73"/>
  <c r="D73"/>
  <c r="E73"/>
  <c r="F73"/>
  <c r="G73"/>
  <c r="H73"/>
  <c r="I73"/>
  <c r="J73"/>
  <c r="K73"/>
  <c r="L73"/>
  <c r="M73"/>
  <c r="N73"/>
  <c r="O73"/>
  <c r="P73"/>
  <c r="Q73"/>
  <c r="R73"/>
  <c r="S73"/>
  <c r="T73"/>
  <c r="U73"/>
  <c r="V73"/>
  <c r="W73"/>
  <c r="X73"/>
  <c r="Y73"/>
  <c r="Z73"/>
  <c r="AA73"/>
  <c r="B74"/>
  <c r="C74"/>
  <c r="D74"/>
  <c r="E74"/>
  <c r="F74"/>
  <c r="G74"/>
  <c r="H74"/>
  <c r="I74"/>
  <c r="J74"/>
  <c r="K74"/>
  <c r="L74"/>
  <c r="M74"/>
  <c r="N74"/>
  <c r="O74"/>
  <c r="P74"/>
  <c r="Q74"/>
  <c r="R74"/>
  <c r="S74"/>
  <c r="T74"/>
  <c r="U74"/>
  <c r="V74"/>
  <c r="W74"/>
  <c r="X74"/>
  <c r="Y74"/>
  <c r="Z74"/>
  <c r="AA74"/>
  <c r="B75"/>
  <c r="C75"/>
  <c r="D75"/>
  <c r="E75"/>
  <c r="F75"/>
  <c r="G75"/>
  <c r="H75"/>
  <c r="I75"/>
  <c r="J75"/>
  <c r="K75"/>
  <c r="L75"/>
  <c r="M75"/>
  <c r="N75"/>
  <c r="O75"/>
  <c r="P75"/>
  <c r="Q75"/>
  <c r="R75"/>
  <c r="S75"/>
  <c r="T75"/>
  <c r="U75"/>
  <c r="V75"/>
  <c r="W75"/>
  <c r="X75"/>
  <c r="Y75"/>
  <c r="Z75"/>
  <c r="AA75"/>
  <c r="B76"/>
  <c r="C76"/>
  <c r="D76"/>
  <c r="E76"/>
  <c r="F76"/>
  <c r="G76"/>
  <c r="H76"/>
  <c r="I76"/>
  <c r="J76"/>
  <c r="K76"/>
  <c r="L76"/>
  <c r="M76"/>
  <c r="N76"/>
  <c r="O76"/>
  <c r="P76"/>
  <c r="Q76"/>
  <c r="R76"/>
  <c r="S76"/>
  <c r="T76"/>
  <c r="U76"/>
  <c r="V76"/>
  <c r="W76"/>
  <c r="X76"/>
  <c r="Y76"/>
  <c r="Z76"/>
  <c r="AA76"/>
  <c r="B77"/>
  <c r="AA77"/>
  <c r="B79"/>
  <c r="B81"/>
  <c r="D220" i="18"/>
  <c r="D221"/>
  <c r="E221"/>
  <c r="D223"/>
  <c r="D224"/>
  <c r="E224"/>
  <c r="F224"/>
  <c r="G240"/>
  <c r="H240"/>
  <c r="I240"/>
  <c r="J240"/>
  <c r="K240"/>
  <c r="L240"/>
  <c r="M240"/>
  <c r="N240"/>
  <c r="O240"/>
  <c r="P240"/>
  <c r="Q240"/>
  <c r="R240"/>
  <c r="S240"/>
  <c r="T240"/>
  <c r="U240"/>
  <c r="V240"/>
  <c r="W240"/>
  <c r="X240"/>
  <c r="G242"/>
  <c r="H242"/>
  <c r="I242"/>
  <c r="J242"/>
  <c r="K242"/>
  <c r="L242"/>
  <c r="M242"/>
  <c r="N242"/>
  <c r="O242"/>
  <c r="P242"/>
  <c r="Q242"/>
  <c r="R242"/>
  <c r="S242"/>
  <c r="T242"/>
  <c r="U242"/>
  <c r="V242"/>
  <c r="W242"/>
  <c r="X242"/>
  <c r="G244"/>
  <c r="H244"/>
  <c r="I244"/>
  <c r="J244"/>
  <c r="K244"/>
  <c r="L244"/>
  <c r="M244"/>
  <c r="N244"/>
  <c r="O244"/>
  <c r="P244"/>
  <c r="Q244"/>
  <c r="R244"/>
  <c r="S244"/>
  <c r="T244"/>
  <c r="U244"/>
  <c r="V244"/>
  <c r="W244"/>
  <c r="X244"/>
  <c r="G249"/>
  <c r="H249"/>
  <c r="I249"/>
  <c r="J249"/>
  <c r="K249"/>
  <c r="L249"/>
  <c r="M249"/>
  <c r="N249"/>
  <c r="O249"/>
  <c r="P249"/>
  <c r="Q249"/>
  <c r="R249"/>
  <c r="S249"/>
  <c r="T249"/>
  <c r="U249"/>
  <c r="V249"/>
  <c r="W249"/>
  <c r="X249"/>
  <c r="G251"/>
  <c r="H251"/>
  <c r="I251"/>
  <c r="J251"/>
  <c r="K251"/>
  <c r="L251"/>
  <c r="M251"/>
  <c r="N251"/>
  <c r="O251"/>
  <c r="P251"/>
  <c r="Q251"/>
  <c r="R251"/>
  <c r="S251"/>
  <c r="T251"/>
  <c r="U251"/>
  <c r="V251"/>
  <c r="W251"/>
  <c r="X251"/>
  <c r="G254"/>
  <c r="H254"/>
  <c r="I254"/>
  <c r="J254"/>
  <c r="K254"/>
  <c r="L254"/>
  <c r="M254"/>
  <c r="N254"/>
  <c r="O254"/>
  <c r="P254"/>
  <c r="Q254"/>
  <c r="R254"/>
  <c r="S254"/>
  <c r="T254"/>
  <c r="U254"/>
  <c r="V254"/>
  <c r="W254"/>
  <c r="X254"/>
  <c r="G256"/>
  <c r="H256"/>
  <c r="I256"/>
  <c r="J256"/>
  <c r="K256"/>
  <c r="M256"/>
  <c r="N256"/>
  <c r="O256"/>
  <c r="P256"/>
  <c r="Q256"/>
  <c r="R256"/>
  <c r="S256"/>
  <c r="U256"/>
  <c r="V256"/>
  <c r="W256"/>
  <c r="X256"/>
  <c r="X261"/>
  <c r="G269"/>
  <c r="H269"/>
  <c r="I269"/>
  <c r="J269"/>
  <c r="K269"/>
  <c r="L269"/>
  <c r="M269"/>
  <c r="N269"/>
  <c r="O269"/>
  <c r="P269"/>
  <c r="Q269"/>
  <c r="R269"/>
  <c r="S269"/>
  <c r="T269"/>
  <c r="U269"/>
  <c r="V269"/>
  <c r="W269"/>
  <c r="X269"/>
  <c r="G271"/>
  <c r="H271"/>
  <c r="I271"/>
  <c r="J271"/>
  <c r="K271"/>
  <c r="L271"/>
  <c r="M271"/>
  <c r="N271"/>
  <c r="O271"/>
  <c r="P271"/>
  <c r="Q271"/>
  <c r="R271"/>
  <c r="S271"/>
  <c r="T271"/>
  <c r="U271"/>
  <c r="V271"/>
  <c r="W271"/>
  <c r="X271"/>
  <c r="G273"/>
  <c r="H273"/>
  <c r="I273"/>
  <c r="J273"/>
  <c r="K273"/>
  <c r="L273"/>
  <c r="M273"/>
  <c r="N273"/>
  <c r="O273"/>
  <c r="P273"/>
  <c r="Q273"/>
  <c r="R273"/>
  <c r="S273"/>
  <c r="T273"/>
  <c r="U273"/>
  <c r="V273"/>
  <c r="W273"/>
  <c r="X273"/>
  <c r="G303"/>
  <c r="H303"/>
  <c r="I303"/>
  <c r="J303"/>
  <c r="K303"/>
  <c r="L303"/>
  <c r="M303"/>
  <c r="N303"/>
  <c r="O303"/>
  <c r="P303"/>
  <c r="Q303"/>
  <c r="R303"/>
  <c r="S303"/>
  <c r="T303"/>
  <c r="U303"/>
  <c r="V303"/>
  <c r="W303"/>
  <c r="X303"/>
  <c r="G305"/>
  <c r="H305"/>
  <c r="I305"/>
  <c r="J305"/>
  <c r="K305"/>
  <c r="L305"/>
  <c r="M305"/>
  <c r="N305"/>
  <c r="O305"/>
  <c r="P305"/>
  <c r="Q305"/>
  <c r="R305"/>
  <c r="S305"/>
  <c r="T305"/>
  <c r="U305"/>
  <c r="V305"/>
  <c r="W305"/>
  <c r="X305"/>
  <c r="D406"/>
  <c r="E406"/>
  <c r="F406"/>
  <c r="G406"/>
  <c r="H406"/>
  <c r="I406"/>
  <c r="D407"/>
  <c r="E407"/>
  <c r="F407"/>
  <c r="G407"/>
  <c r="H407"/>
  <c r="I407"/>
  <c r="H408"/>
  <c r="I408"/>
  <c r="I419"/>
  <c r="I423"/>
  <c r="J423"/>
  <c r="K423"/>
  <c r="J424"/>
  <c r="K424"/>
  <c r="I425"/>
  <c r="J425"/>
  <c r="K425"/>
  <c r="G469"/>
  <c r="H469"/>
  <c r="I469"/>
  <c r="J469"/>
  <c r="K469"/>
  <c r="M469"/>
  <c r="N469"/>
  <c r="O469"/>
  <c r="P469"/>
  <c r="Q469"/>
  <c r="R469"/>
  <c r="S469"/>
  <c r="V469"/>
  <c r="X469"/>
  <c r="G471"/>
  <c r="H471"/>
  <c r="I471"/>
  <c r="J471"/>
  <c r="K471"/>
  <c r="M471"/>
  <c r="N471"/>
  <c r="O471"/>
  <c r="P471"/>
  <c r="Q471"/>
  <c r="R471"/>
  <c r="S471"/>
  <c r="V471"/>
  <c r="X471"/>
  <c r="G473"/>
  <c r="H473"/>
  <c r="I473"/>
  <c r="J473"/>
  <c r="K473"/>
  <c r="M473"/>
  <c r="N473"/>
  <c r="O473"/>
  <c r="P473"/>
  <c r="Q473"/>
  <c r="R473"/>
  <c r="S473"/>
  <c r="V473"/>
  <c r="X473"/>
  <c r="N302" i="8"/>
  <c r="M303"/>
  <c r="N303"/>
  <c r="N304"/>
  <c r="P304"/>
  <c r="Q304"/>
  <c r="R304"/>
  <c r="S304"/>
  <c r="T304"/>
  <c r="U304"/>
  <c r="V304"/>
  <c r="W304"/>
  <c r="Y304"/>
  <c r="Z304"/>
  <c r="AA304"/>
  <c r="AB304"/>
  <c r="AC304"/>
  <c r="AD304"/>
  <c r="AE304"/>
  <c r="AF304"/>
  <c r="AZ304"/>
  <c r="BA304"/>
  <c r="BB304"/>
  <c r="BC304"/>
  <c r="BD304"/>
  <c r="BE304"/>
  <c r="BF304"/>
  <c r="BG304"/>
  <c r="BI304"/>
  <c r="BJ304"/>
  <c r="BK304"/>
  <c r="BL304"/>
  <c r="BM304"/>
  <c r="BN304"/>
  <c r="BO304"/>
  <c r="BP304"/>
  <c r="P307"/>
  <c r="Q307"/>
  <c r="R307"/>
  <c r="S307"/>
  <c r="T307"/>
  <c r="U307"/>
  <c r="V307"/>
  <c r="W307"/>
  <c r="Y307"/>
  <c r="Z307"/>
  <c r="AA307"/>
  <c r="AB307"/>
  <c r="AC307"/>
  <c r="AD307"/>
  <c r="AE307"/>
  <c r="AF307"/>
  <c r="AZ307"/>
  <c r="BA307"/>
  <c r="BB307"/>
  <c r="BC307"/>
  <c r="BD307"/>
  <c r="BE307"/>
  <c r="BF307"/>
  <c r="BG307"/>
  <c r="BI307"/>
  <c r="BJ307"/>
  <c r="BK307"/>
  <c r="BL307"/>
  <c r="BM307"/>
  <c r="BN307"/>
  <c r="BO307"/>
  <c r="BP307"/>
  <c r="P308"/>
  <c r="Q308"/>
  <c r="R308"/>
  <c r="S308"/>
  <c r="T308"/>
  <c r="U308"/>
  <c r="V308"/>
  <c r="W308"/>
  <c r="Y308"/>
  <c r="Z308"/>
  <c r="AA308"/>
  <c r="AB308"/>
  <c r="AC308"/>
  <c r="AD308"/>
  <c r="AE308"/>
  <c r="AF308"/>
  <c r="AZ308"/>
  <c r="BA308"/>
  <c r="BB308"/>
  <c r="BC308"/>
  <c r="BD308"/>
  <c r="BE308"/>
  <c r="BF308"/>
  <c r="BG308"/>
  <c r="BI308"/>
  <c r="BJ308"/>
  <c r="BK308"/>
  <c r="BL308"/>
  <c r="BM308"/>
  <c r="BN308"/>
  <c r="BO308"/>
  <c r="BP308"/>
  <c r="P310"/>
  <c r="Q310"/>
  <c r="R310"/>
  <c r="S310"/>
  <c r="T310"/>
  <c r="U310"/>
  <c r="V310"/>
  <c r="W310"/>
  <c r="Y310"/>
  <c r="Z310"/>
  <c r="AA310"/>
  <c r="AB310"/>
  <c r="AC310"/>
  <c r="AD310"/>
  <c r="AE310"/>
  <c r="AF310"/>
  <c r="AZ310"/>
  <c r="BA310"/>
  <c r="BB310"/>
  <c r="BC310"/>
  <c r="BD310"/>
  <c r="BE310"/>
  <c r="BF310"/>
  <c r="BG310"/>
  <c r="BI310"/>
  <c r="BJ310"/>
  <c r="BK310"/>
  <c r="BL310"/>
  <c r="BM310"/>
  <c r="BN310"/>
  <c r="BO310"/>
  <c r="BP310"/>
  <c r="P312"/>
  <c r="Q312"/>
  <c r="R312"/>
  <c r="S312"/>
  <c r="T312"/>
  <c r="U312"/>
  <c r="V312"/>
  <c r="Y312"/>
  <c r="Z312"/>
  <c r="AA312"/>
  <c r="AB312"/>
  <c r="AC312"/>
  <c r="AD312"/>
  <c r="AE312"/>
  <c r="AZ312"/>
  <c r="BA312"/>
  <c r="BB312"/>
  <c r="BC312"/>
  <c r="BD312"/>
  <c r="BE312"/>
  <c r="BF312"/>
  <c r="BI312"/>
  <c r="BJ312"/>
  <c r="BK312"/>
  <c r="BL312"/>
  <c r="BM312"/>
  <c r="BN312"/>
  <c r="BO312"/>
  <c r="P315"/>
  <c r="Q315"/>
  <c r="R315"/>
  <c r="S315"/>
  <c r="T315"/>
  <c r="U315"/>
  <c r="V315"/>
  <c r="Y315"/>
  <c r="Z315"/>
  <c r="AA315"/>
  <c r="AB315"/>
  <c r="AC315"/>
  <c r="AD315"/>
  <c r="AE315"/>
  <c r="AZ315"/>
  <c r="BA315"/>
  <c r="BB315"/>
  <c r="BC315"/>
  <c r="BD315"/>
  <c r="BE315"/>
  <c r="BF315"/>
  <c r="BI315"/>
  <c r="BJ315"/>
  <c r="BK315"/>
  <c r="BL315"/>
  <c r="BM315"/>
  <c r="BN315"/>
  <c r="BO315"/>
  <c r="P317"/>
  <c r="Q317"/>
  <c r="R317"/>
  <c r="S317"/>
  <c r="T317"/>
  <c r="U317"/>
  <c r="V317"/>
  <c r="Y317"/>
  <c r="Z317"/>
  <c r="AA317"/>
  <c r="AB317"/>
  <c r="AC317"/>
  <c r="AD317"/>
  <c r="AE317"/>
  <c r="AZ317"/>
  <c r="BA317"/>
  <c r="BB317"/>
  <c r="BC317"/>
  <c r="BD317"/>
  <c r="BE317"/>
  <c r="BF317"/>
  <c r="BI317"/>
  <c r="BJ317"/>
  <c r="BK317"/>
  <c r="BL317"/>
  <c r="BM317"/>
  <c r="BN317"/>
  <c r="BO317"/>
  <c r="P321"/>
  <c r="Q321"/>
  <c r="R321"/>
  <c r="S321"/>
  <c r="T321"/>
  <c r="U321"/>
  <c r="V321"/>
  <c r="Y321"/>
  <c r="Z321"/>
  <c r="AA321"/>
  <c r="AB321"/>
  <c r="AC321"/>
  <c r="AD321"/>
  <c r="AE321"/>
  <c r="AZ321"/>
  <c r="BA321"/>
  <c r="BB321"/>
  <c r="BC321"/>
  <c r="BD321"/>
  <c r="BE321"/>
  <c r="BF321"/>
  <c r="BI321"/>
  <c r="BJ321"/>
  <c r="BK321"/>
  <c r="BL321"/>
  <c r="BM321"/>
  <c r="BN321"/>
  <c r="BO321"/>
  <c r="P323"/>
  <c r="Q323"/>
  <c r="R323"/>
  <c r="S323"/>
  <c r="T323"/>
  <c r="U323"/>
  <c r="V323"/>
  <c r="Y323"/>
  <c r="Z323"/>
  <c r="AA323"/>
  <c r="AB323"/>
  <c r="AC323"/>
  <c r="AD323"/>
  <c r="AE323"/>
  <c r="AZ323"/>
  <c r="BA323"/>
  <c r="BB323"/>
  <c r="BC323"/>
  <c r="BD323"/>
  <c r="BE323"/>
  <c r="BF323"/>
  <c r="BI323"/>
  <c r="BJ323"/>
  <c r="BK323"/>
  <c r="BL323"/>
  <c r="BM323"/>
  <c r="BN323"/>
  <c r="BO323"/>
  <c r="AX325"/>
  <c r="AQ332"/>
  <c r="AR332"/>
  <c r="AS332"/>
  <c r="AT332"/>
  <c r="AU332"/>
  <c r="AV332"/>
  <c r="AW332"/>
  <c r="AX332"/>
  <c r="G348"/>
  <c r="H348"/>
  <c r="I348"/>
  <c r="J348"/>
  <c r="K348"/>
  <c r="L348"/>
  <c r="M348"/>
  <c r="N348"/>
  <c r="P348"/>
  <c r="Q348"/>
  <c r="R348"/>
  <c r="S348"/>
  <c r="T348"/>
  <c r="U348"/>
  <c r="V348"/>
  <c r="W348"/>
  <c r="Y348"/>
  <c r="Z348"/>
  <c r="AA348"/>
  <c r="AB348"/>
  <c r="AC348"/>
  <c r="AD348"/>
  <c r="AE348"/>
  <c r="AF348"/>
  <c r="AZ348"/>
  <c r="BA348"/>
  <c r="BB348"/>
  <c r="BC348"/>
  <c r="BD348"/>
  <c r="BE348"/>
  <c r="BF348"/>
  <c r="BG348"/>
  <c r="BI348"/>
  <c r="BJ348"/>
  <c r="BK348"/>
  <c r="BL348"/>
  <c r="BM348"/>
  <c r="BN348"/>
  <c r="BO348"/>
  <c r="BP348"/>
  <c r="G355"/>
  <c r="H355"/>
  <c r="I355"/>
  <c r="J355"/>
  <c r="K355"/>
  <c r="L355"/>
  <c r="M355"/>
  <c r="N355"/>
  <c r="P355"/>
  <c r="Q355"/>
  <c r="R355"/>
  <c r="S355"/>
  <c r="T355"/>
  <c r="U355"/>
  <c r="V355"/>
  <c r="W355"/>
  <c r="Y355"/>
  <c r="Z355"/>
  <c r="AA355"/>
  <c r="AB355"/>
  <c r="AC355"/>
  <c r="AD355"/>
  <c r="AE355"/>
  <c r="AF355"/>
  <c r="AQ355"/>
  <c r="AR355"/>
  <c r="AS355"/>
  <c r="AT355"/>
  <c r="AU355"/>
  <c r="AV355"/>
  <c r="AW355"/>
  <c r="AX355"/>
  <c r="AZ355"/>
  <c r="BA355"/>
  <c r="BB355"/>
  <c r="BC355"/>
  <c r="BD355"/>
  <c r="BE355"/>
  <c r="BF355"/>
  <c r="BG355"/>
  <c r="BI355"/>
  <c r="BJ355"/>
  <c r="BK355"/>
  <c r="BL355"/>
  <c r="BM355"/>
  <c r="BN355"/>
  <c r="BO355"/>
  <c r="BP355"/>
  <c r="G356"/>
  <c r="H356"/>
  <c r="I356"/>
  <c r="J356"/>
  <c r="K356"/>
  <c r="L356"/>
  <c r="M356"/>
  <c r="N356"/>
  <c r="P356"/>
  <c r="Q356"/>
  <c r="R356"/>
  <c r="S356"/>
  <c r="T356"/>
  <c r="U356"/>
  <c r="V356"/>
  <c r="W356"/>
  <c r="Y356"/>
  <c r="Z356"/>
  <c r="AA356"/>
  <c r="AB356"/>
  <c r="AC356"/>
  <c r="AD356"/>
  <c r="AE356"/>
  <c r="AF356"/>
  <c r="AQ356"/>
  <c r="AR356"/>
  <c r="AS356"/>
  <c r="AT356"/>
  <c r="AU356"/>
  <c r="AV356"/>
  <c r="AW356"/>
  <c r="AX356"/>
  <c r="AZ356"/>
  <c r="BA356"/>
  <c r="BB356"/>
  <c r="BC356"/>
  <c r="BD356"/>
  <c r="BE356"/>
  <c r="BF356"/>
  <c r="BG356"/>
  <c r="BI356"/>
  <c r="BJ356"/>
  <c r="BK356"/>
  <c r="BL356"/>
  <c r="BM356"/>
  <c r="BN356"/>
  <c r="BO356"/>
  <c r="BP356"/>
  <c r="G357"/>
  <c r="H357"/>
  <c r="I357"/>
  <c r="J357"/>
  <c r="K357"/>
  <c r="L357"/>
  <c r="M357"/>
  <c r="P357"/>
  <c r="Q357"/>
  <c r="R357"/>
  <c r="S357"/>
  <c r="T357"/>
  <c r="U357"/>
  <c r="V357"/>
  <c r="Y357"/>
  <c r="Z357"/>
  <c r="AA357"/>
  <c r="AB357"/>
  <c r="AC357"/>
  <c r="AD357"/>
  <c r="AE357"/>
  <c r="AQ357"/>
  <c r="AR357"/>
  <c r="AS357"/>
  <c r="AT357"/>
  <c r="AU357"/>
  <c r="AV357"/>
  <c r="AW357"/>
  <c r="AZ357"/>
  <c r="BA357"/>
  <c r="BB357"/>
  <c r="BC357"/>
  <c r="BD357"/>
  <c r="BE357"/>
  <c r="BF357"/>
  <c r="BI357"/>
  <c r="BJ357"/>
  <c r="BK357"/>
  <c r="BL357"/>
  <c r="BM357"/>
  <c r="BN357"/>
  <c r="BO357"/>
  <c r="G366"/>
  <c r="H366"/>
  <c r="I366"/>
  <c r="J366"/>
  <c r="K366"/>
  <c r="L366"/>
  <c r="M366"/>
  <c r="N366"/>
  <c r="P366"/>
  <c r="Q366"/>
  <c r="R366"/>
  <c r="S366"/>
  <c r="T366"/>
  <c r="U366"/>
  <c r="V366"/>
  <c r="W366"/>
  <c r="Y366"/>
  <c r="Z366"/>
  <c r="AA366"/>
  <c r="AB366"/>
  <c r="AC366"/>
  <c r="AD366"/>
  <c r="AE366"/>
  <c r="AF366"/>
  <c r="AQ366"/>
  <c r="AR366"/>
  <c r="AS366"/>
  <c r="AT366"/>
  <c r="AU366"/>
  <c r="AV366"/>
  <c r="AW366"/>
  <c r="AX366"/>
  <c r="AZ366"/>
  <c r="BA366"/>
  <c r="BB366"/>
  <c r="BC366"/>
  <c r="BD366"/>
  <c r="BE366"/>
  <c r="BF366"/>
  <c r="BG366"/>
  <c r="BI366"/>
  <c r="BJ366"/>
  <c r="BK366"/>
  <c r="BL366"/>
  <c r="BM366"/>
  <c r="BN366"/>
  <c r="BO366"/>
  <c r="BP366"/>
  <c r="G368"/>
  <c r="H368"/>
  <c r="I368"/>
  <c r="J368"/>
  <c r="K368"/>
  <c r="L368"/>
  <c r="M368"/>
  <c r="N368"/>
  <c r="P368"/>
  <c r="Q368"/>
  <c r="R368"/>
  <c r="S368"/>
  <c r="T368"/>
  <c r="U368"/>
  <c r="V368"/>
  <c r="W368"/>
  <c r="Y368"/>
  <c r="Z368"/>
  <c r="AA368"/>
  <c r="AB368"/>
  <c r="AC368"/>
  <c r="AD368"/>
  <c r="AE368"/>
  <c r="AF368"/>
  <c r="AQ368"/>
  <c r="AR368"/>
  <c r="AS368"/>
  <c r="AT368"/>
  <c r="AU368"/>
  <c r="AV368"/>
  <c r="AW368"/>
  <c r="AX368"/>
  <c r="AZ368"/>
  <c r="BA368"/>
  <c r="BB368"/>
  <c r="BC368"/>
  <c r="BD368"/>
  <c r="BE368"/>
  <c r="BF368"/>
  <c r="BG368"/>
  <c r="BI368"/>
  <c r="BJ368"/>
  <c r="BK368"/>
  <c r="BL368"/>
  <c r="BM368"/>
  <c r="BN368"/>
  <c r="BO368"/>
  <c r="BP368"/>
  <c r="G370"/>
  <c r="H370"/>
  <c r="I370"/>
  <c r="J370"/>
  <c r="K370"/>
  <c r="L370"/>
  <c r="M370"/>
  <c r="P370"/>
  <c r="Q370"/>
  <c r="R370"/>
  <c r="S370"/>
  <c r="T370"/>
  <c r="U370"/>
  <c r="V370"/>
  <c r="Y370"/>
  <c r="Z370"/>
  <c r="AA370"/>
  <c r="AB370"/>
  <c r="AC370"/>
  <c r="AD370"/>
  <c r="AE370"/>
  <c r="AQ370"/>
  <c r="AR370"/>
  <c r="AS370"/>
  <c r="AT370"/>
  <c r="AU370"/>
  <c r="AV370"/>
  <c r="AW370"/>
  <c r="AZ370"/>
  <c r="BA370"/>
  <c r="BB370"/>
  <c r="BC370"/>
  <c r="BD370"/>
  <c r="BE370"/>
  <c r="BF370"/>
  <c r="BI370"/>
  <c r="BJ370"/>
  <c r="BK370"/>
  <c r="BL370"/>
  <c r="BM370"/>
  <c r="BN370"/>
  <c r="BO370"/>
  <c r="G371"/>
  <c r="H371"/>
  <c r="I371"/>
  <c r="J371"/>
  <c r="K371"/>
  <c r="L371"/>
  <c r="M371"/>
  <c r="N371"/>
  <c r="P371"/>
  <c r="Q371"/>
  <c r="R371"/>
  <c r="S371"/>
  <c r="T371"/>
  <c r="U371"/>
  <c r="V371"/>
  <c r="W371"/>
  <c r="Y371"/>
  <c r="Z371"/>
  <c r="AA371"/>
  <c r="AB371"/>
  <c r="AC371"/>
  <c r="AD371"/>
  <c r="AE371"/>
  <c r="AF371"/>
  <c r="AQ371"/>
  <c r="AR371"/>
  <c r="AS371"/>
  <c r="AT371"/>
  <c r="AU371"/>
  <c r="AV371"/>
  <c r="AW371"/>
  <c r="AX371"/>
  <c r="AZ371"/>
  <c r="BA371"/>
  <c r="BB371"/>
  <c r="BC371"/>
  <c r="BD371"/>
  <c r="BE371"/>
  <c r="BF371"/>
  <c r="BG371"/>
  <c r="BI371"/>
  <c r="BJ371"/>
  <c r="BK371"/>
  <c r="BL371"/>
  <c r="BM371"/>
  <c r="BN371"/>
  <c r="BO371"/>
  <c r="BP371"/>
  <c r="G374"/>
  <c r="H374"/>
  <c r="I374"/>
  <c r="J374"/>
  <c r="K374"/>
  <c r="L374"/>
  <c r="M374"/>
  <c r="N374"/>
  <c r="P374"/>
  <c r="Q374"/>
  <c r="R374"/>
  <c r="S374"/>
  <c r="T374"/>
  <c r="U374"/>
  <c r="V374"/>
  <c r="W374"/>
  <c r="Y374"/>
  <c r="Z374"/>
  <c r="AA374"/>
  <c r="AB374"/>
  <c r="AC374"/>
  <c r="AD374"/>
  <c r="AE374"/>
  <c r="AF374"/>
  <c r="AQ374"/>
  <c r="AR374"/>
  <c r="AS374"/>
  <c r="AT374"/>
  <c r="AU374"/>
  <c r="AV374"/>
  <c r="AW374"/>
  <c r="AX374"/>
  <c r="AZ374"/>
  <c r="BA374"/>
  <c r="BB374"/>
  <c r="BC374"/>
  <c r="BD374"/>
  <c r="BE374"/>
  <c r="BF374"/>
  <c r="BG374"/>
  <c r="BI374"/>
  <c r="BJ374"/>
  <c r="BK374"/>
  <c r="BL374"/>
  <c r="BM374"/>
  <c r="BN374"/>
  <c r="BO374"/>
  <c r="BP374"/>
  <c r="G376"/>
  <c r="H376"/>
  <c r="I376"/>
  <c r="J376"/>
  <c r="K376"/>
  <c r="L376"/>
  <c r="M376"/>
  <c r="N376"/>
  <c r="P376"/>
  <c r="Q376"/>
  <c r="R376"/>
  <c r="S376"/>
  <c r="T376"/>
  <c r="U376"/>
  <c r="V376"/>
  <c r="W376"/>
  <c r="Y376"/>
  <c r="Z376"/>
  <c r="AA376"/>
  <c r="AB376"/>
  <c r="AC376"/>
  <c r="AD376"/>
  <c r="AE376"/>
  <c r="AF376"/>
  <c r="AQ376"/>
  <c r="AR376"/>
  <c r="AS376"/>
  <c r="AT376"/>
  <c r="AU376"/>
  <c r="AV376"/>
  <c r="AW376"/>
  <c r="AX376"/>
  <c r="AZ376"/>
  <c r="BA376"/>
  <c r="BB376"/>
  <c r="BC376"/>
  <c r="BD376"/>
  <c r="BE376"/>
  <c r="BF376"/>
  <c r="BG376"/>
  <c r="BI376"/>
  <c r="BJ376"/>
  <c r="BK376"/>
  <c r="BL376"/>
  <c r="BM376"/>
  <c r="BN376"/>
  <c r="BO376"/>
  <c r="BP376"/>
  <c r="AQ380"/>
  <c r="AR380"/>
  <c r="AS380"/>
  <c r="AT380"/>
  <c r="AU380"/>
  <c r="AV380"/>
  <c r="AW380"/>
  <c r="AX380"/>
  <c r="G382"/>
  <c r="H382"/>
  <c r="I382"/>
  <c r="J382"/>
  <c r="K382"/>
  <c r="L382"/>
  <c r="M382"/>
  <c r="N382"/>
  <c r="P382"/>
  <c r="Q382"/>
  <c r="R382"/>
  <c r="S382"/>
  <c r="T382"/>
  <c r="U382"/>
  <c r="V382"/>
  <c r="W382"/>
  <c r="Y382"/>
  <c r="Z382"/>
  <c r="AA382"/>
  <c r="AB382"/>
  <c r="AC382"/>
  <c r="AD382"/>
  <c r="AE382"/>
  <c r="AF382"/>
  <c r="AQ382"/>
  <c r="AR382"/>
  <c r="AS382"/>
  <c r="AT382"/>
  <c r="AU382"/>
  <c r="AV382"/>
  <c r="AW382"/>
  <c r="AX382"/>
  <c r="AZ382"/>
  <c r="BA382"/>
  <c r="BB382"/>
  <c r="BC382"/>
  <c r="BD382"/>
  <c r="BE382"/>
  <c r="BF382"/>
  <c r="BG382"/>
  <c r="BI382"/>
  <c r="BJ382"/>
  <c r="BK382"/>
  <c r="BL382"/>
  <c r="BM382"/>
  <c r="BN382"/>
  <c r="BO382"/>
  <c r="BP382"/>
  <c r="G383"/>
  <c r="H383"/>
  <c r="I383"/>
  <c r="J383"/>
  <c r="K383"/>
  <c r="L383"/>
  <c r="M383"/>
  <c r="N383"/>
  <c r="P383"/>
  <c r="Q383"/>
  <c r="R383"/>
  <c r="S383"/>
  <c r="T383"/>
  <c r="U383"/>
  <c r="V383"/>
  <c r="W383"/>
  <c r="Y383"/>
  <c r="Z383"/>
  <c r="AA383"/>
  <c r="AB383"/>
  <c r="AC383"/>
  <c r="AD383"/>
  <c r="AE383"/>
  <c r="AF383"/>
  <c r="AQ383"/>
  <c r="AR383"/>
  <c r="AS383"/>
  <c r="AT383"/>
  <c r="AU383"/>
  <c r="AV383"/>
  <c r="AW383"/>
  <c r="AX383"/>
  <c r="AZ383"/>
  <c r="BA383"/>
  <c r="BB383"/>
  <c r="BC383"/>
  <c r="BD383"/>
  <c r="BE383"/>
  <c r="BF383"/>
  <c r="BG383"/>
  <c r="BI383"/>
  <c r="BJ383"/>
  <c r="BK383"/>
  <c r="BL383"/>
  <c r="BM383"/>
  <c r="BN383"/>
  <c r="BO383"/>
  <c r="BP383"/>
  <c r="N386"/>
  <c r="W386"/>
  <c r="AF386"/>
  <c r="P387"/>
  <c r="Q387"/>
  <c r="R387"/>
  <c r="S387"/>
  <c r="T387"/>
  <c r="U387"/>
  <c r="V387"/>
  <c r="W387"/>
  <c r="Y387"/>
  <c r="Z387"/>
  <c r="AA387"/>
  <c r="AB387"/>
  <c r="AC387"/>
  <c r="AD387"/>
  <c r="AE387"/>
  <c r="AF387"/>
  <c r="P388"/>
  <c r="Q388"/>
  <c r="R388"/>
  <c r="S388"/>
  <c r="T388"/>
  <c r="U388"/>
  <c r="V388"/>
  <c r="W388"/>
  <c r="Y388"/>
  <c r="Z388"/>
  <c r="AA388"/>
  <c r="AB388"/>
  <c r="AC388"/>
  <c r="AD388"/>
  <c r="AE388"/>
  <c r="AF388"/>
  <c r="P389"/>
  <c r="Q389"/>
  <c r="R389"/>
  <c r="S389"/>
  <c r="T389"/>
  <c r="U389"/>
  <c r="V389"/>
  <c r="W389"/>
  <c r="Y389"/>
  <c r="Z389"/>
  <c r="AA389"/>
  <c r="AB389"/>
  <c r="AC389"/>
  <c r="AD389"/>
  <c r="AE389"/>
  <c r="AF389"/>
  <c r="P390"/>
  <c r="Q390"/>
  <c r="R390"/>
  <c r="S390"/>
  <c r="T390"/>
  <c r="U390"/>
  <c r="V390"/>
  <c r="W390"/>
  <c r="Y390"/>
  <c r="Z390"/>
  <c r="AA390"/>
  <c r="AB390"/>
  <c r="AC390"/>
  <c r="AD390"/>
  <c r="AE390"/>
  <c r="AF390"/>
  <c r="P391"/>
  <c r="Q391"/>
  <c r="R391"/>
  <c r="S391"/>
  <c r="T391"/>
  <c r="U391"/>
  <c r="V391"/>
  <c r="W391"/>
  <c r="Y391"/>
  <c r="Z391"/>
  <c r="AA391"/>
  <c r="AB391"/>
  <c r="AC391"/>
  <c r="AD391"/>
  <c r="AE391"/>
  <c r="AF391"/>
  <c r="G392"/>
  <c r="H392"/>
  <c r="I392"/>
  <c r="J392"/>
  <c r="K392"/>
  <c r="L392"/>
  <c r="M392"/>
  <c r="N392"/>
  <c r="P392"/>
  <c r="Q392"/>
  <c r="R392"/>
  <c r="S392"/>
  <c r="T392"/>
  <c r="U392"/>
  <c r="V392"/>
  <c r="W392"/>
  <c r="Y392"/>
  <c r="Z392"/>
  <c r="AA392"/>
  <c r="AB392"/>
  <c r="AC392"/>
  <c r="AD392"/>
  <c r="AE392"/>
  <c r="AF392"/>
  <c r="AQ392"/>
  <c r="AR392"/>
  <c r="AS392"/>
  <c r="AT392"/>
  <c r="AU392"/>
  <c r="AV392"/>
  <c r="AW392"/>
  <c r="AX392"/>
  <c r="AZ392"/>
  <c r="BA392"/>
  <c r="BB392"/>
  <c r="BC392"/>
  <c r="BD392"/>
  <c r="BE392"/>
  <c r="BF392"/>
  <c r="BG392"/>
  <c r="BI392"/>
  <c r="BJ392"/>
  <c r="BK392"/>
  <c r="BL392"/>
  <c r="BM392"/>
  <c r="BN392"/>
  <c r="BO392"/>
  <c r="BP392"/>
  <c r="G395"/>
  <c r="H395"/>
  <c r="I395"/>
  <c r="J395"/>
  <c r="K395"/>
  <c r="L395"/>
  <c r="M395"/>
  <c r="G397"/>
  <c r="H397"/>
  <c r="I397"/>
  <c r="J397"/>
  <c r="K397"/>
  <c r="L397"/>
  <c r="M397"/>
  <c r="N397"/>
  <c r="G403"/>
  <c r="H403"/>
  <c r="I403"/>
  <c r="J403"/>
  <c r="K403"/>
  <c r="L403"/>
  <c r="M403"/>
  <c r="P403"/>
  <c r="Q403"/>
  <c r="R403"/>
  <c r="S403"/>
  <c r="T403"/>
  <c r="U403"/>
  <c r="V403"/>
  <c r="Y403"/>
  <c r="Z403"/>
  <c r="AA403"/>
  <c r="AB403"/>
  <c r="AC403"/>
  <c r="AD403"/>
  <c r="AE403"/>
  <c r="AH403"/>
  <c r="AI403"/>
  <c r="AJ403"/>
  <c r="AK403"/>
  <c r="AL403"/>
  <c r="AM403"/>
  <c r="AN403"/>
  <c r="AQ403"/>
  <c r="AR403"/>
  <c r="AS403"/>
  <c r="AT403"/>
  <c r="AU403"/>
  <c r="AV403"/>
  <c r="AW403"/>
  <c r="AZ403"/>
  <c r="BA403"/>
  <c r="BB403"/>
  <c r="BC403"/>
  <c r="BD403"/>
  <c r="BE403"/>
  <c r="BF403"/>
  <c r="BI403"/>
  <c r="BJ403"/>
  <c r="BK403"/>
  <c r="BL403"/>
  <c r="BM403"/>
  <c r="BN403"/>
  <c r="BO403"/>
  <c r="G407"/>
  <c r="H407"/>
  <c r="I407"/>
  <c r="J407"/>
  <c r="K407"/>
  <c r="L407"/>
  <c r="M407"/>
  <c r="N407"/>
  <c r="P407"/>
  <c r="Q407"/>
  <c r="R407"/>
  <c r="S407"/>
  <c r="T407"/>
  <c r="U407"/>
  <c r="V407"/>
  <c r="W407"/>
  <c r="Y407"/>
  <c r="Z407"/>
  <c r="AA407"/>
  <c r="AB407"/>
  <c r="AC407"/>
  <c r="AD407"/>
  <c r="AE407"/>
  <c r="AF407"/>
  <c r="AQ407"/>
  <c r="AR407"/>
  <c r="AS407"/>
  <c r="AT407"/>
  <c r="AU407"/>
  <c r="AV407"/>
  <c r="AW407"/>
  <c r="AX407"/>
  <c r="AZ407"/>
  <c r="BA407"/>
  <c r="BB407"/>
  <c r="BC407"/>
  <c r="BD407"/>
  <c r="BE407"/>
  <c r="BF407"/>
  <c r="BG407"/>
  <c r="BI407"/>
  <c r="BJ407"/>
  <c r="BK407"/>
  <c r="BL407"/>
  <c r="BM407"/>
  <c r="BN407"/>
  <c r="BO407"/>
  <c r="BP407"/>
  <c r="G409"/>
  <c r="H409"/>
  <c r="I409"/>
  <c r="J409"/>
  <c r="K409"/>
  <c r="L409"/>
  <c r="M409"/>
  <c r="N409"/>
  <c r="P409"/>
  <c r="Q409"/>
  <c r="R409"/>
  <c r="S409"/>
  <c r="T409"/>
  <c r="U409"/>
  <c r="V409"/>
  <c r="W409"/>
  <c r="Y409"/>
  <c r="Z409"/>
  <c r="AA409"/>
  <c r="AB409"/>
  <c r="AC409"/>
  <c r="AD409"/>
  <c r="AE409"/>
  <c r="AF409"/>
  <c r="AQ409"/>
  <c r="AR409"/>
  <c r="AS409"/>
  <c r="AT409"/>
  <c r="AU409"/>
  <c r="AV409"/>
  <c r="AW409"/>
  <c r="AX409"/>
  <c r="AZ409"/>
  <c r="BA409"/>
  <c r="BB409"/>
  <c r="BC409"/>
  <c r="BD409"/>
  <c r="BE409"/>
  <c r="BF409"/>
  <c r="BG409"/>
  <c r="BI409"/>
  <c r="BJ409"/>
  <c r="BK409"/>
  <c r="BL409"/>
  <c r="BM409"/>
  <c r="BN409"/>
  <c r="BO409"/>
  <c r="BP409"/>
  <c r="AQ411"/>
  <c r="AR411"/>
  <c r="AS411"/>
  <c r="AT411"/>
  <c r="AU411"/>
  <c r="AV411"/>
  <c r="AW411"/>
  <c r="AX411"/>
  <c r="G413"/>
  <c r="H413"/>
  <c r="I413"/>
  <c r="J413"/>
  <c r="K413"/>
  <c r="L413"/>
  <c r="M413"/>
  <c r="N413"/>
  <c r="P413"/>
  <c r="Q413"/>
  <c r="R413"/>
  <c r="S413"/>
  <c r="T413"/>
  <c r="U413"/>
  <c r="V413"/>
  <c r="W413"/>
  <c r="Y413"/>
  <c r="Z413"/>
  <c r="AA413"/>
  <c r="AB413"/>
  <c r="AC413"/>
  <c r="AD413"/>
  <c r="AE413"/>
  <c r="AF413"/>
  <c r="AQ413"/>
  <c r="AR413"/>
  <c r="AS413"/>
  <c r="AT413"/>
  <c r="AU413"/>
  <c r="AV413"/>
  <c r="AW413"/>
  <c r="AX413"/>
  <c r="AZ413"/>
  <c r="BA413"/>
  <c r="BB413"/>
  <c r="BC413"/>
  <c r="BD413"/>
  <c r="BE413"/>
  <c r="BF413"/>
  <c r="BG413"/>
  <c r="BI413"/>
  <c r="BJ413"/>
  <c r="BK413"/>
  <c r="BL413"/>
  <c r="BM413"/>
  <c r="BN413"/>
  <c r="BO413"/>
  <c r="BP413"/>
  <c r="G414"/>
  <c r="H414"/>
  <c r="I414"/>
  <c r="J414"/>
  <c r="K414"/>
  <c r="L414"/>
  <c r="M414"/>
  <c r="N414"/>
  <c r="P414"/>
  <c r="Q414"/>
  <c r="R414"/>
  <c r="S414"/>
  <c r="T414"/>
  <c r="U414"/>
  <c r="V414"/>
  <c r="W414"/>
  <c r="Y414"/>
  <c r="Z414"/>
  <c r="AA414"/>
  <c r="AB414"/>
  <c r="AC414"/>
  <c r="AD414"/>
  <c r="AE414"/>
  <c r="AF414"/>
  <c r="AQ414"/>
  <c r="AR414"/>
  <c r="AS414"/>
  <c r="AT414"/>
  <c r="AU414"/>
  <c r="AV414"/>
  <c r="AW414"/>
  <c r="AX414"/>
  <c r="AZ414"/>
  <c r="BA414"/>
  <c r="BB414"/>
  <c r="BC414"/>
  <c r="BD414"/>
  <c r="BE414"/>
  <c r="BF414"/>
  <c r="BG414"/>
  <c r="BI414"/>
  <c r="BJ414"/>
  <c r="BK414"/>
  <c r="BL414"/>
  <c r="BM414"/>
  <c r="BN414"/>
  <c r="BO414"/>
  <c r="BP414"/>
  <c r="P418"/>
  <c r="Q418"/>
  <c r="R418"/>
  <c r="S418"/>
  <c r="T418"/>
  <c r="U418"/>
  <c r="V418"/>
  <c r="W418"/>
  <c r="Y418"/>
  <c r="Z418"/>
  <c r="AA418"/>
  <c r="AB418"/>
  <c r="AC418"/>
  <c r="AD418"/>
  <c r="AE418"/>
  <c r="AF418"/>
  <c r="P419"/>
  <c r="Q419"/>
  <c r="R419"/>
  <c r="S419"/>
  <c r="T419"/>
  <c r="U419"/>
  <c r="V419"/>
  <c r="W419"/>
  <c r="Y419"/>
  <c r="Z419"/>
  <c r="AA419"/>
  <c r="AB419"/>
  <c r="AC419"/>
  <c r="AD419"/>
  <c r="AE419"/>
  <c r="AF419"/>
  <c r="AQ419"/>
  <c r="AR419"/>
  <c r="AS419"/>
  <c r="AT419"/>
  <c r="AU419"/>
  <c r="AV419"/>
  <c r="AW419"/>
  <c r="AX419"/>
  <c r="P420"/>
  <c r="Q420"/>
  <c r="R420"/>
  <c r="S420"/>
  <c r="T420"/>
  <c r="U420"/>
  <c r="V420"/>
  <c r="W420"/>
  <c r="Y420"/>
  <c r="Z420"/>
  <c r="AA420"/>
  <c r="AB420"/>
  <c r="AC420"/>
  <c r="AD420"/>
  <c r="AE420"/>
  <c r="AF420"/>
  <c r="P421"/>
  <c r="Q421"/>
  <c r="R421"/>
  <c r="S421"/>
  <c r="T421"/>
  <c r="U421"/>
  <c r="V421"/>
  <c r="W421"/>
  <c r="Y421"/>
  <c r="Z421"/>
  <c r="AA421"/>
  <c r="AB421"/>
  <c r="AC421"/>
  <c r="AD421"/>
  <c r="AE421"/>
  <c r="AF421"/>
  <c r="G422"/>
  <c r="H422"/>
  <c r="I422"/>
  <c r="J422"/>
  <c r="K422"/>
  <c r="L422"/>
  <c r="M422"/>
  <c r="N422"/>
  <c r="P422"/>
  <c r="Q422"/>
  <c r="R422"/>
  <c r="S422"/>
  <c r="T422"/>
  <c r="U422"/>
  <c r="V422"/>
  <c r="W422"/>
  <c r="Y422"/>
  <c r="Z422"/>
  <c r="AA422"/>
  <c r="AB422"/>
  <c r="AC422"/>
  <c r="AD422"/>
  <c r="AE422"/>
  <c r="AF422"/>
  <c r="AQ422"/>
  <c r="AR422"/>
  <c r="AS422"/>
  <c r="AT422"/>
  <c r="AU422"/>
  <c r="AV422"/>
  <c r="AW422"/>
  <c r="AX422"/>
  <c r="AZ422"/>
  <c r="BA422"/>
  <c r="BB422"/>
  <c r="BC422"/>
  <c r="BD422"/>
  <c r="BE422"/>
  <c r="BF422"/>
  <c r="BG422"/>
  <c r="BI422"/>
  <c r="BJ422"/>
  <c r="BK422"/>
  <c r="BL422"/>
  <c r="BM422"/>
  <c r="BN422"/>
  <c r="BO422"/>
  <c r="BP422"/>
  <c r="G425"/>
  <c r="H425"/>
  <c r="I425"/>
  <c r="J425"/>
  <c r="K425"/>
  <c r="L425"/>
  <c r="M425"/>
  <c r="N425"/>
  <c r="P425"/>
  <c r="Q425"/>
  <c r="R425"/>
  <c r="S425"/>
  <c r="T425"/>
  <c r="U425"/>
  <c r="V425"/>
  <c r="W425"/>
  <c r="Y425"/>
  <c r="Z425"/>
  <c r="AA425"/>
  <c r="AB425"/>
  <c r="AC425"/>
  <c r="AD425"/>
  <c r="AE425"/>
  <c r="AF425"/>
  <c r="AH425"/>
  <c r="AI425"/>
  <c r="AJ425"/>
  <c r="AK425"/>
  <c r="AL425"/>
  <c r="AM425"/>
  <c r="AN425"/>
  <c r="AO425"/>
  <c r="AQ425"/>
  <c r="AR425"/>
  <c r="AS425"/>
  <c r="AT425"/>
  <c r="AU425"/>
  <c r="AV425"/>
  <c r="AW425"/>
  <c r="AX425"/>
  <c r="AZ425"/>
  <c r="BA425"/>
  <c r="BB425"/>
  <c r="BC425"/>
  <c r="BD425"/>
  <c r="BE425"/>
  <c r="BF425"/>
  <c r="BG425"/>
  <c r="BI425"/>
  <c r="BJ425"/>
  <c r="BK425"/>
  <c r="BL425"/>
  <c r="BM425"/>
  <c r="BN425"/>
  <c r="BO425"/>
  <c r="BP425"/>
  <c r="G427"/>
  <c r="H427"/>
  <c r="I427"/>
  <c r="J427"/>
  <c r="K427"/>
  <c r="L427"/>
  <c r="M427"/>
  <c r="P427"/>
  <c r="Q427"/>
  <c r="R427"/>
  <c r="S427"/>
  <c r="T427"/>
  <c r="U427"/>
  <c r="V427"/>
  <c r="Y427"/>
  <c r="Z427"/>
  <c r="AA427"/>
  <c r="AB427"/>
  <c r="AC427"/>
  <c r="AD427"/>
  <c r="AE427"/>
  <c r="AH427"/>
  <c r="AI427"/>
  <c r="AJ427"/>
  <c r="AK427"/>
  <c r="AL427"/>
  <c r="AM427"/>
  <c r="AN427"/>
  <c r="AQ427"/>
  <c r="AR427"/>
  <c r="AS427"/>
  <c r="AT427"/>
  <c r="AU427"/>
  <c r="AV427"/>
  <c r="AW427"/>
  <c r="AZ427"/>
  <c r="BA427"/>
  <c r="BB427"/>
  <c r="BC427"/>
  <c r="BD427"/>
  <c r="BE427"/>
  <c r="BF427"/>
  <c r="BI427"/>
  <c r="BJ427"/>
  <c r="BK427"/>
  <c r="BL427"/>
  <c r="BM427"/>
  <c r="BN427"/>
  <c r="BO427"/>
  <c r="P431"/>
  <c r="Q431"/>
  <c r="R431"/>
  <c r="S431"/>
  <c r="T431"/>
  <c r="U431"/>
  <c r="V431"/>
  <c r="W431"/>
  <c r="Y431"/>
  <c r="Z431"/>
  <c r="AA431"/>
  <c r="AB431"/>
  <c r="AC431"/>
  <c r="AD431"/>
  <c r="AE431"/>
  <c r="AF431"/>
  <c r="AH431"/>
  <c r="AI431"/>
  <c r="AJ431"/>
  <c r="AK431"/>
  <c r="AL431"/>
  <c r="AM431"/>
  <c r="AN431"/>
  <c r="AO431"/>
  <c r="AQ431"/>
  <c r="AR431"/>
  <c r="AS431"/>
  <c r="AT431"/>
  <c r="AU431"/>
  <c r="AV431"/>
  <c r="AW431"/>
  <c r="AX431"/>
  <c r="AZ431"/>
  <c r="BA431"/>
  <c r="BB431"/>
  <c r="BC431"/>
  <c r="BD431"/>
  <c r="BE431"/>
  <c r="BF431"/>
  <c r="BG431"/>
  <c r="BI431"/>
  <c r="BJ431"/>
  <c r="BK431"/>
  <c r="BL431"/>
  <c r="BM431"/>
  <c r="BN431"/>
  <c r="BO431"/>
  <c r="BP431"/>
  <c r="P432"/>
  <c r="Q432"/>
  <c r="R432"/>
  <c r="S432"/>
  <c r="T432"/>
  <c r="U432"/>
  <c r="V432"/>
  <c r="W432"/>
  <c r="Y432"/>
  <c r="Z432"/>
  <c r="AA432"/>
  <c r="AB432"/>
  <c r="AC432"/>
  <c r="AD432"/>
  <c r="AE432"/>
  <c r="AF432"/>
  <c r="AH432"/>
  <c r="AI432"/>
  <c r="AJ432"/>
  <c r="AK432"/>
  <c r="AL432"/>
  <c r="AM432"/>
  <c r="AN432"/>
  <c r="AO432"/>
  <c r="AZ432"/>
  <c r="BA432"/>
  <c r="BB432"/>
  <c r="BC432"/>
  <c r="BD432"/>
  <c r="BE432"/>
  <c r="BF432"/>
  <c r="BG432"/>
  <c r="BI432"/>
  <c r="BJ432"/>
  <c r="BK432"/>
  <c r="BL432"/>
  <c r="BM432"/>
  <c r="BN432"/>
  <c r="BO432"/>
  <c r="BP432"/>
  <c r="P433"/>
  <c r="Q433"/>
  <c r="R433"/>
  <c r="S433"/>
  <c r="T433"/>
  <c r="U433"/>
  <c r="V433"/>
  <c r="W433"/>
  <c r="Y433"/>
  <c r="Z433"/>
  <c r="AA433"/>
  <c r="AB433"/>
  <c r="AC433"/>
  <c r="AD433"/>
  <c r="AE433"/>
  <c r="AF433"/>
  <c r="AH433"/>
  <c r="AI433"/>
  <c r="AJ433"/>
  <c r="AK433"/>
  <c r="AL433"/>
  <c r="AM433"/>
  <c r="AN433"/>
  <c r="AO433"/>
  <c r="AQ433"/>
  <c r="AR433"/>
  <c r="AS433"/>
  <c r="AT433"/>
  <c r="AU433"/>
  <c r="AV433"/>
  <c r="AW433"/>
  <c r="AX433"/>
  <c r="AZ433"/>
  <c r="BA433"/>
  <c r="BB433"/>
  <c r="BC433"/>
  <c r="BD433"/>
  <c r="BE433"/>
  <c r="BF433"/>
  <c r="BG433"/>
  <c r="BI433"/>
  <c r="BJ433"/>
  <c r="BK433"/>
  <c r="BL433"/>
  <c r="BM433"/>
  <c r="BN433"/>
  <c r="BO433"/>
  <c r="BP433"/>
  <c r="P434"/>
  <c r="Q434"/>
  <c r="R434"/>
  <c r="S434"/>
  <c r="T434"/>
  <c r="U434"/>
  <c r="V434"/>
  <c r="W434"/>
  <c r="Y434"/>
  <c r="Z434"/>
  <c r="AA434"/>
  <c r="AB434"/>
  <c r="AC434"/>
  <c r="AD434"/>
  <c r="AE434"/>
  <c r="AF434"/>
  <c r="AH434"/>
  <c r="AI434"/>
  <c r="AJ434"/>
  <c r="AK434"/>
  <c r="AL434"/>
  <c r="AM434"/>
  <c r="AN434"/>
  <c r="AO434"/>
  <c r="AZ434"/>
  <c r="BA434"/>
  <c r="BB434"/>
  <c r="BC434"/>
  <c r="BD434"/>
  <c r="BE434"/>
  <c r="BF434"/>
  <c r="BG434"/>
  <c r="BI434"/>
  <c r="BJ434"/>
  <c r="BK434"/>
  <c r="BL434"/>
  <c r="BM434"/>
  <c r="BN434"/>
  <c r="BO434"/>
  <c r="BP434"/>
  <c r="P435"/>
  <c r="Q435"/>
  <c r="R435"/>
  <c r="S435"/>
  <c r="T435"/>
  <c r="U435"/>
  <c r="V435"/>
  <c r="W435"/>
  <c r="Y435"/>
  <c r="Z435"/>
  <c r="AA435"/>
  <c r="AB435"/>
  <c r="AC435"/>
  <c r="AD435"/>
  <c r="AE435"/>
  <c r="AF435"/>
  <c r="AH435"/>
  <c r="AI435"/>
  <c r="AJ435"/>
  <c r="AK435"/>
  <c r="AL435"/>
  <c r="AM435"/>
  <c r="AN435"/>
  <c r="AO435"/>
  <c r="AQ435"/>
  <c r="AR435"/>
  <c r="AS435"/>
  <c r="AT435"/>
  <c r="AU435"/>
  <c r="AV435"/>
  <c r="AW435"/>
  <c r="AX435"/>
  <c r="AZ435"/>
  <c r="BA435"/>
  <c r="BB435"/>
  <c r="BC435"/>
  <c r="BD435"/>
  <c r="BE435"/>
  <c r="BF435"/>
  <c r="BG435"/>
  <c r="BI435"/>
  <c r="BJ435"/>
  <c r="BK435"/>
  <c r="BL435"/>
  <c r="BM435"/>
  <c r="BN435"/>
  <c r="BO435"/>
  <c r="BP435"/>
  <c r="P436"/>
  <c r="Q436"/>
  <c r="R436"/>
  <c r="S436"/>
  <c r="T436"/>
  <c r="U436"/>
  <c r="V436"/>
  <c r="W436"/>
  <c r="Y436"/>
  <c r="Z436"/>
  <c r="AA436"/>
  <c r="AB436"/>
  <c r="AC436"/>
  <c r="AD436"/>
  <c r="AE436"/>
  <c r="AF436"/>
  <c r="AH436"/>
  <c r="AI436"/>
  <c r="AJ436"/>
  <c r="AK436"/>
  <c r="AL436"/>
  <c r="AM436"/>
  <c r="AN436"/>
  <c r="AO436"/>
  <c r="AQ436"/>
  <c r="AR436"/>
  <c r="AS436"/>
  <c r="AT436"/>
  <c r="AU436"/>
  <c r="AV436"/>
  <c r="AW436"/>
  <c r="AX436"/>
  <c r="AZ436"/>
  <c r="BA436"/>
  <c r="BB436"/>
  <c r="BC436"/>
  <c r="BD436"/>
  <c r="BE436"/>
  <c r="BF436"/>
  <c r="BG436"/>
  <c r="BI436"/>
  <c r="BJ436"/>
  <c r="BK436"/>
  <c r="BL436"/>
  <c r="BM436"/>
  <c r="BN436"/>
  <c r="BO436"/>
  <c r="BP436"/>
  <c r="P440"/>
  <c r="Q440"/>
  <c r="R440"/>
  <c r="S440"/>
  <c r="T440"/>
  <c r="U440"/>
  <c r="V440"/>
  <c r="Y440"/>
  <c r="Z440"/>
  <c r="AA440"/>
  <c r="AB440"/>
  <c r="AC440"/>
  <c r="AD440"/>
  <c r="AE440"/>
  <c r="AH440"/>
  <c r="AI440"/>
  <c r="AJ440"/>
  <c r="AK440"/>
  <c r="AL440"/>
  <c r="AM440"/>
  <c r="AN440"/>
  <c r="AQ440"/>
  <c r="AR440"/>
  <c r="AS440"/>
  <c r="AT440"/>
  <c r="AU440"/>
  <c r="AV440"/>
  <c r="AW440"/>
  <c r="AZ440"/>
  <c r="BA440"/>
  <c r="BB440"/>
  <c r="BC440"/>
  <c r="BD440"/>
  <c r="BE440"/>
  <c r="BF440"/>
  <c r="BI440"/>
  <c r="BJ440"/>
  <c r="BK440"/>
  <c r="BL440"/>
  <c r="BM440"/>
  <c r="BN440"/>
  <c r="BO440"/>
  <c r="P442"/>
  <c r="Q442"/>
  <c r="R442"/>
  <c r="S442"/>
  <c r="T442"/>
  <c r="U442"/>
  <c r="V442"/>
  <c r="Y442"/>
  <c r="Z442"/>
  <c r="AA442"/>
  <c r="AB442"/>
  <c r="AC442"/>
  <c r="AD442"/>
  <c r="AE442"/>
  <c r="AH442"/>
  <c r="AI442"/>
  <c r="AJ442"/>
  <c r="AK442"/>
  <c r="AL442"/>
  <c r="AM442"/>
  <c r="AN442"/>
  <c r="AQ442"/>
  <c r="AR442"/>
  <c r="AS442"/>
  <c r="AT442"/>
  <c r="AU442"/>
  <c r="AV442"/>
  <c r="AW442"/>
  <c r="AZ442"/>
  <c r="BA442"/>
  <c r="BB442"/>
  <c r="BC442"/>
  <c r="BD442"/>
  <c r="BE442"/>
  <c r="BF442"/>
  <c r="BI442"/>
  <c r="BJ442"/>
  <c r="BK442"/>
  <c r="BL442"/>
  <c r="BM442"/>
  <c r="BN442"/>
  <c r="BO442"/>
  <c r="G444"/>
  <c r="H444"/>
  <c r="I444"/>
  <c r="J444"/>
  <c r="K444"/>
  <c r="L444"/>
  <c r="M444"/>
  <c r="P444"/>
  <c r="Q444"/>
  <c r="R444"/>
  <c r="S444"/>
  <c r="T444"/>
  <c r="U444"/>
  <c r="V444"/>
  <c r="Y444"/>
  <c r="Z444"/>
  <c r="AA444"/>
  <c r="AB444"/>
  <c r="AC444"/>
  <c r="AD444"/>
  <c r="AE444"/>
  <c r="AH444"/>
  <c r="AI444"/>
  <c r="AJ444"/>
  <c r="AK444"/>
  <c r="AL444"/>
  <c r="AM444"/>
  <c r="AN444"/>
  <c r="AQ444"/>
  <c r="AR444"/>
  <c r="AS444"/>
  <c r="AT444"/>
  <c r="AU444"/>
  <c r="AV444"/>
  <c r="AW444"/>
  <c r="AZ444"/>
  <c r="BA444"/>
  <c r="BB444"/>
  <c r="BC444"/>
  <c r="BD444"/>
  <c r="BE444"/>
  <c r="BF444"/>
  <c r="BI444"/>
  <c r="BJ444"/>
  <c r="BK444"/>
  <c r="BL444"/>
  <c r="BM444"/>
  <c r="BN444"/>
  <c r="BO444"/>
  <c r="G456"/>
  <c r="H456"/>
  <c r="I456"/>
  <c r="J456"/>
  <c r="K456"/>
  <c r="L456"/>
  <c r="M456"/>
  <c r="N456"/>
  <c r="P456"/>
  <c r="Q456"/>
  <c r="R456"/>
  <c r="S456"/>
  <c r="T456"/>
  <c r="U456"/>
  <c r="V456"/>
  <c r="W456"/>
  <c r="Y456"/>
  <c r="Z456"/>
  <c r="AA456"/>
  <c r="AB456"/>
  <c r="AC456"/>
  <c r="AD456"/>
  <c r="AE456"/>
  <c r="AF456"/>
  <c r="AQ456"/>
  <c r="AR456"/>
  <c r="AS456"/>
  <c r="AT456"/>
  <c r="AU456"/>
  <c r="AV456"/>
  <c r="AW456"/>
  <c r="AX456"/>
  <c r="AZ456"/>
  <c r="BA456"/>
  <c r="BB456"/>
  <c r="BC456"/>
  <c r="BD456"/>
  <c r="BE456"/>
  <c r="BF456"/>
  <c r="BG456"/>
  <c r="BI456"/>
  <c r="BJ456"/>
  <c r="BK456"/>
  <c r="BL456"/>
  <c r="BM456"/>
  <c r="BN456"/>
  <c r="BO456"/>
  <c r="BP456"/>
  <c r="G458"/>
  <c r="H458"/>
  <c r="I458"/>
  <c r="J458"/>
  <c r="K458"/>
  <c r="L458"/>
  <c r="M458"/>
  <c r="N458"/>
  <c r="P458"/>
  <c r="Q458"/>
  <c r="R458"/>
  <c r="S458"/>
  <c r="T458"/>
  <c r="U458"/>
  <c r="V458"/>
  <c r="W458"/>
  <c r="Y458"/>
  <c r="Z458"/>
  <c r="AA458"/>
  <c r="AB458"/>
  <c r="AC458"/>
  <c r="AD458"/>
  <c r="AE458"/>
  <c r="AF458"/>
  <c r="AH458"/>
  <c r="AI458"/>
  <c r="AJ458"/>
  <c r="AK458"/>
  <c r="AL458"/>
  <c r="AM458"/>
  <c r="AN458"/>
  <c r="AO458"/>
  <c r="AQ458"/>
  <c r="AR458"/>
  <c r="AS458"/>
  <c r="AT458"/>
  <c r="AU458"/>
  <c r="AV458"/>
  <c r="AW458"/>
  <c r="AX458"/>
  <c r="AZ458"/>
  <c r="BA458"/>
  <c r="BB458"/>
  <c r="BC458"/>
  <c r="BD458"/>
  <c r="BE458"/>
  <c r="BF458"/>
  <c r="BG458"/>
  <c r="BI458"/>
  <c r="BJ458"/>
  <c r="BK458"/>
  <c r="BL458"/>
  <c r="BM458"/>
  <c r="BN458"/>
  <c r="BO458"/>
  <c r="BP458"/>
  <c r="G460"/>
  <c r="H460"/>
  <c r="I460"/>
  <c r="J460"/>
  <c r="K460"/>
  <c r="L460"/>
  <c r="M460"/>
  <c r="N460"/>
  <c r="P460"/>
  <c r="Q460"/>
  <c r="R460"/>
  <c r="S460"/>
  <c r="T460"/>
  <c r="U460"/>
  <c r="V460"/>
  <c r="W460"/>
  <c r="Y460"/>
  <c r="Z460"/>
  <c r="AA460"/>
  <c r="AB460"/>
  <c r="AC460"/>
  <c r="AD460"/>
  <c r="AE460"/>
  <c r="AF460"/>
  <c r="AH460"/>
  <c r="AI460"/>
  <c r="AJ460"/>
  <c r="AK460"/>
  <c r="AL460"/>
  <c r="AM460"/>
  <c r="AN460"/>
  <c r="AO460"/>
  <c r="AQ460"/>
  <c r="AR460"/>
  <c r="AS460"/>
  <c r="AT460"/>
  <c r="AU460"/>
  <c r="AV460"/>
  <c r="AW460"/>
  <c r="AX460"/>
  <c r="AZ460"/>
  <c r="BA460"/>
  <c r="BB460"/>
  <c r="BC460"/>
  <c r="BD460"/>
  <c r="BE460"/>
  <c r="BF460"/>
  <c r="BG460"/>
  <c r="BI460"/>
  <c r="BJ460"/>
  <c r="BK460"/>
  <c r="BL460"/>
  <c r="BM460"/>
  <c r="BN460"/>
  <c r="BO460"/>
  <c r="BP460"/>
  <c r="G463"/>
  <c r="H463"/>
  <c r="I463"/>
  <c r="J463"/>
  <c r="K463"/>
  <c r="L463"/>
  <c r="M463"/>
  <c r="N463"/>
  <c r="P463"/>
  <c r="Q463"/>
  <c r="R463"/>
  <c r="S463"/>
  <c r="T463"/>
  <c r="U463"/>
  <c r="V463"/>
  <c r="W463"/>
  <c r="Y463"/>
  <c r="Z463"/>
  <c r="AA463"/>
  <c r="AB463"/>
  <c r="AC463"/>
  <c r="AD463"/>
  <c r="AE463"/>
  <c r="AF463"/>
  <c r="AQ463"/>
  <c r="AR463"/>
  <c r="AS463"/>
  <c r="AT463"/>
  <c r="AU463"/>
  <c r="AV463"/>
  <c r="AW463"/>
  <c r="AX463"/>
  <c r="AZ463"/>
  <c r="BA463"/>
  <c r="BB463"/>
  <c r="BC463"/>
  <c r="BD463"/>
  <c r="BE463"/>
  <c r="BF463"/>
  <c r="BG463"/>
  <c r="BI463"/>
  <c r="BJ463"/>
  <c r="BK463"/>
  <c r="BL463"/>
  <c r="BM463"/>
  <c r="BN463"/>
  <c r="BO463"/>
  <c r="BP463"/>
  <c r="P465"/>
  <c r="Q465"/>
  <c r="R465"/>
  <c r="S465"/>
  <c r="T465"/>
  <c r="U465"/>
  <c r="V465"/>
  <c r="W465"/>
  <c r="Y465"/>
  <c r="Z465"/>
  <c r="AA465"/>
  <c r="AB465"/>
  <c r="AC465"/>
  <c r="AD465"/>
  <c r="AE465"/>
  <c r="AF465"/>
  <c r="AH465"/>
  <c r="AI465"/>
  <c r="AJ465"/>
  <c r="AK465"/>
  <c r="AL465"/>
  <c r="AM465"/>
  <c r="AN465"/>
  <c r="AO465"/>
  <c r="AQ465"/>
  <c r="AR465"/>
  <c r="AS465"/>
  <c r="AT465"/>
  <c r="AU465"/>
  <c r="AV465"/>
  <c r="AW465"/>
  <c r="AX465"/>
  <c r="AZ465"/>
  <c r="BA465"/>
  <c r="BB465"/>
  <c r="BC465"/>
  <c r="BD465"/>
  <c r="BE465"/>
  <c r="BF465"/>
  <c r="BG465"/>
  <c r="BI465"/>
  <c r="BJ465"/>
  <c r="BK465"/>
  <c r="BL465"/>
  <c r="BM465"/>
  <c r="BN465"/>
  <c r="BO465"/>
  <c r="BP465"/>
  <c r="G467"/>
  <c r="H467"/>
  <c r="I467"/>
  <c r="J467"/>
  <c r="K467"/>
  <c r="L467"/>
  <c r="M467"/>
  <c r="N467"/>
  <c r="P467"/>
  <c r="Q467"/>
  <c r="R467"/>
  <c r="S467"/>
  <c r="T467"/>
  <c r="U467"/>
  <c r="V467"/>
  <c r="W467"/>
  <c r="Y467"/>
  <c r="Z467"/>
  <c r="AA467"/>
  <c r="AB467"/>
  <c r="AC467"/>
  <c r="AD467"/>
  <c r="AE467"/>
  <c r="AF467"/>
  <c r="AH467"/>
  <c r="AI467"/>
  <c r="AJ467"/>
  <c r="AK467"/>
  <c r="AL467"/>
  <c r="AM467"/>
  <c r="AN467"/>
  <c r="AO467"/>
  <c r="AQ467"/>
  <c r="AR467"/>
  <c r="AS467"/>
  <c r="AT467"/>
  <c r="AU467"/>
  <c r="AV467"/>
  <c r="AW467"/>
  <c r="AX467"/>
  <c r="AZ467"/>
  <c r="BA467"/>
  <c r="BB467"/>
  <c r="BC467"/>
  <c r="BD467"/>
  <c r="BE467"/>
  <c r="BF467"/>
  <c r="BG467"/>
  <c r="BI467"/>
  <c r="BJ467"/>
  <c r="BK467"/>
  <c r="BL467"/>
  <c r="BM467"/>
  <c r="BN467"/>
  <c r="BO467"/>
  <c r="BP467"/>
  <c r="G472"/>
  <c r="H472"/>
  <c r="I472"/>
  <c r="J472"/>
  <c r="K472"/>
  <c r="L472"/>
  <c r="M472"/>
  <c r="N472"/>
  <c r="P472"/>
  <c r="Q472"/>
  <c r="R472"/>
  <c r="S472"/>
  <c r="T472"/>
  <c r="U472"/>
  <c r="V472"/>
  <c r="W472"/>
  <c r="Y472"/>
  <c r="Z472"/>
  <c r="AA472"/>
  <c r="AB472"/>
  <c r="AC472"/>
  <c r="AD472"/>
  <c r="AE472"/>
  <c r="AF472"/>
  <c r="AH472"/>
  <c r="AI472"/>
  <c r="AJ472"/>
  <c r="AK472"/>
  <c r="AL472"/>
  <c r="AM472"/>
  <c r="AN472"/>
  <c r="AO472"/>
  <c r="AZ472"/>
  <c r="BA472"/>
  <c r="BB472"/>
  <c r="BC472"/>
  <c r="BD472"/>
  <c r="BE472"/>
  <c r="BF472"/>
  <c r="BG472"/>
  <c r="BI472"/>
  <c r="BJ472"/>
  <c r="BK472"/>
  <c r="BL472"/>
  <c r="BM472"/>
  <c r="BN472"/>
  <c r="BO472"/>
  <c r="BP472"/>
  <c r="G473"/>
  <c r="H473"/>
  <c r="I473"/>
  <c r="J473"/>
  <c r="K473"/>
  <c r="L473"/>
  <c r="M473"/>
  <c r="N473"/>
  <c r="P473"/>
  <c r="Q473"/>
  <c r="R473"/>
  <c r="S473"/>
  <c r="T473"/>
  <c r="U473"/>
  <c r="V473"/>
  <c r="W473"/>
  <c r="Y473"/>
  <c r="Z473"/>
  <c r="AA473"/>
  <c r="AB473"/>
  <c r="AC473"/>
  <c r="AD473"/>
  <c r="AE473"/>
  <c r="AF473"/>
  <c r="AH473"/>
  <c r="AI473"/>
  <c r="AJ473"/>
  <c r="AK473"/>
  <c r="AL473"/>
  <c r="AM473"/>
  <c r="AN473"/>
  <c r="AO473"/>
  <c r="AZ473"/>
  <c r="BA473"/>
  <c r="BB473"/>
  <c r="BC473"/>
  <c r="BD473"/>
  <c r="BE473"/>
  <c r="BF473"/>
  <c r="BG473"/>
  <c r="BI473"/>
  <c r="BJ473"/>
  <c r="BK473"/>
  <c r="BL473"/>
  <c r="BM473"/>
  <c r="BN473"/>
  <c r="BO473"/>
  <c r="BP473"/>
  <c r="G475"/>
  <c r="H475"/>
  <c r="I475"/>
  <c r="J475"/>
  <c r="K475"/>
  <c r="L475"/>
  <c r="M475"/>
  <c r="N475"/>
  <c r="P475"/>
  <c r="Q475"/>
  <c r="R475"/>
  <c r="S475"/>
  <c r="T475"/>
  <c r="U475"/>
  <c r="V475"/>
  <c r="W475"/>
  <c r="Y475"/>
  <c r="Z475"/>
  <c r="AA475"/>
  <c r="AB475"/>
  <c r="AC475"/>
  <c r="AD475"/>
  <c r="AE475"/>
  <c r="AF475"/>
  <c r="AQ475"/>
  <c r="AR475"/>
  <c r="AS475"/>
  <c r="AT475"/>
  <c r="AU475"/>
  <c r="AV475"/>
  <c r="AW475"/>
  <c r="AX475"/>
  <c r="AZ475"/>
  <c r="BA475"/>
  <c r="BB475"/>
  <c r="BC475"/>
  <c r="BD475"/>
  <c r="BE475"/>
  <c r="BF475"/>
  <c r="BG475"/>
  <c r="BI475"/>
  <c r="BJ475"/>
  <c r="BK475"/>
  <c r="BL475"/>
  <c r="BM475"/>
  <c r="BN475"/>
  <c r="BO475"/>
  <c r="BP475"/>
  <c r="G476"/>
  <c r="H476"/>
  <c r="I476"/>
  <c r="J476"/>
  <c r="K476"/>
  <c r="L476"/>
  <c r="M476"/>
  <c r="N476"/>
  <c r="P476"/>
  <c r="Q476"/>
  <c r="R476"/>
  <c r="S476"/>
  <c r="T476"/>
  <c r="U476"/>
  <c r="V476"/>
  <c r="W476"/>
  <c r="Y476"/>
  <c r="Z476"/>
  <c r="AA476"/>
  <c r="AB476"/>
  <c r="AC476"/>
  <c r="AD476"/>
  <c r="AE476"/>
  <c r="AF476"/>
  <c r="AH476"/>
  <c r="AI476"/>
  <c r="AJ476"/>
  <c r="AK476"/>
  <c r="AL476"/>
  <c r="AM476"/>
  <c r="AN476"/>
  <c r="AO476"/>
  <c r="AQ476"/>
  <c r="AR476"/>
  <c r="AS476"/>
  <c r="AT476"/>
  <c r="AU476"/>
  <c r="AV476"/>
  <c r="AW476"/>
  <c r="AX476"/>
  <c r="AZ476"/>
  <c r="BA476"/>
  <c r="BB476"/>
  <c r="BC476"/>
  <c r="BD476"/>
  <c r="BE476"/>
  <c r="BF476"/>
  <c r="BG476"/>
  <c r="BI476"/>
  <c r="BJ476"/>
  <c r="BK476"/>
  <c r="BL476"/>
  <c r="BM476"/>
  <c r="BN476"/>
  <c r="BO476"/>
  <c r="BP476"/>
  <c r="G478"/>
  <c r="H478"/>
  <c r="I478"/>
  <c r="J478"/>
  <c r="K478"/>
  <c r="L478"/>
  <c r="M478"/>
  <c r="G481"/>
  <c r="H481"/>
  <c r="I481"/>
  <c r="J481"/>
  <c r="K481"/>
  <c r="L481"/>
  <c r="M481"/>
  <c r="P481"/>
  <c r="Q481"/>
  <c r="R481"/>
  <c r="S481"/>
  <c r="T481"/>
  <c r="U481"/>
  <c r="V481"/>
  <c r="Y481"/>
  <c r="Z481"/>
  <c r="AA481"/>
  <c r="AB481"/>
  <c r="AC481"/>
  <c r="AD481"/>
  <c r="AE481"/>
  <c r="AH481"/>
  <c r="AI481"/>
  <c r="AJ481"/>
  <c r="AK481"/>
  <c r="AL481"/>
  <c r="AM481"/>
  <c r="AN481"/>
  <c r="AQ481"/>
  <c r="AR481"/>
  <c r="AS481"/>
  <c r="AT481"/>
  <c r="AU481"/>
  <c r="AV481"/>
  <c r="AW481"/>
  <c r="AZ481"/>
  <c r="BA481"/>
  <c r="BB481"/>
  <c r="BC481"/>
  <c r="BD481"/>
  <c r="BE481"/>
  <c r="BF481"/>
  <c r="BI481"/>
  <c r="BJ481"/>
  <c r="BK481"/>
  <c r="BL481"/>
  <c r="BM481"/>
  <c r="BN481"/>
  <c r="BO481"/>
  <c r="G482"/>
  <c r="H482"/>
  <c r="I482"/>
  <c r="J482"/>
  <c r="K482"/>
  <c r="L482"/>
  <c r="M482"/>
  <c r="P482"/>
  <c r="Q482"/>
  <c r="R482"/>
  <c r="S482"/>
  <c r="T482"/>
  <c r="U482"/>
  <c r="V482"/>
  <c r="Y482"/>
  <c r="Z482"/>
  <c r="AA482"/>
  <c r="AB482"/>
  <c r="AC482"/>
  <c r="AD482"/>
  <c r="AE482"/>
  <c r="AH482"/>
  <c r="AI482"/>
  <c r="AJ482"/>
  <c r="AK482"/>
  <c r="AL482"/>
  <c r="AM482"/>
  <c r="AN482"/>
  <c r="AQ482"/>
  <c r="AR482"/>
  <c r="AS482"/>
  <c r="AT482"/>
  <c r="AU482"/>
  <c r="AV482"/>
  <c r="AW482"/>
  <c r="AZ482"/>
  <c r="BA482"/>
  <c r="BB482"/>
  <c r="BC482"/>
  <c r="BD482"/>
  <c r="BE482"/>
  <c r="BF482"/>
  <c r="BI482"/>
  <c r="BJ482"/>
  <c r="BK482"/>
  <c r="BL482"/>
  <c r="BM482"/>
  <c r="BN482"/>
  <c r="BO482"/>
  <c r="P485"/>
  <c r="Q485"/>
  <c r="R485"/>
  <c r="S485"/>
  <c r="T485"/>
  <c r="U485"/>
  <c r="V485"/>
  <c r="W485"/>
  <c r="Y485"/>
  <c r="Z485"/>
  <c r="AA485"/>
  <c r="AB485"/>
  <c r="AC485"/>
  <c r="AD485"/>
  <c r="AE485"/>
  <c r="AF485"/>
  <c r="AH485"/>
  <c r="AI485"/>
  <c r="AJ485"/>
  <c r="AK485"/>
  <c r="AL485"/>
  <c r="AM485"/>
  <c r="AN485"/>
  <c r="AO485"/>
  <c r="AQ485"/>
  <c r="AR485"/>
  <c r="AS485"/>
  <c r="AT485"/>
  <c r="AU485"/>
  <c r="AV485"/>
  <c r="AW485"/>
  <c r="AX485"/>
  <c r="AZ485"/>
  <c r="BA485"/>
  <c r="BB485"/>
  <c r="BC485"/>
  <c r="BD485"/>
  <c r="BE485"/>
  <c r="BF485"/>
  <c r="BG485"/>
  <c r="BI485"/>
  <c r="BJ485"/>
  <c r="BK485"/>
  <c r="BL485"/>
  <c r="BM485"/>
  <c r="BN485"/>
  <c r="BO485"/>
  <c r="BP485"/>
  <c r="P486"/>
  <c r="Q486"/>
  <c r="R486"/>
  <c r="S486"/>
  <c r="T486"/>
  <c r="U486"/>
  <c r="V486"/>
  <c r="W486"/>
  <c r="Y486"/>
  <c r="Z486"/>
  <c r="AA486"/>
  <c r="AB486"/>
  <c r="AC486"/>
  <c r="AD486"/>
  <c r="AE486"/>
  <c r="AF486"/>
  <c r="AH486"/>
  <c r="AI486"/>
  <c r="AJ486"/>
  <c r="AK486"/>
  <c r="AL486"/>
  <c r="AM486"/>
  <c r="AN486"/>
  <c r="AO486"/>
  <c r="AZ486"/>
  <c r="BA486"/>
  <c r="BB486"/>
  <c r="BC486"/>
  <c r="BD486"/>
  <c r="BE486"/>
  <c r="BF486"/>
  <c r="BG486"/>
  <c r="BI486"/>
  <c r="BJ486"/>
  <c r="BK486"/>
  <c r="BL486"/>
  <c r="BM486"/>
  <c r="BN486"/>
  <c r="BO486"/>
  <c r="BP486"/>
  <c r="P487"/>
  <c r="Q487"/>
  <c r="R487"/>
  <c r="S487"/>
  <c r="T487"/>
  <c r="U487"/>
  <c r="V487"/>
  <c r="W487"/>
  <c r="Y487"/>
  <c r="Z487"/>
  <c r="AA487"/>
  <c r="AB487"/>
  <c r="AC487"/>
  <c r="AD487"/>
  <c r="AE487"/>
  <c r="AF487"/>
  <c r="AH487"/>
  <c r="AI487"/>
  <c r="AJ487"/>
  <c r="AK487"/>
  <c r="AL487"/>
  <c r="AM487"/>
  <c r="AN487"/>
  <c r="AO487"/>
  <c r="AQ487"/>
  <c r="AR487"/>
  <c r="AS487"/>
  <c r="AT487"/>
  <c r="AU487"/>
  <c r="AV487"/>
  <c r="AW487"/>
  <c r="AX487"/>
  <c r="AZ487"/>
  <c r="BA487"/>
  <c r="BB487"/>
  <c r="BC487"/>
  <c r="BD487"/>
  <c r="BE487"/>
  <c r="BF487"/>
  <c r="BG487"/>
  <c r="BI487"/>
  <c r="BJ487"/>
  <c r="BK487"/>
  <c r="BL487"/>
  <c r="BM487"/>
  <c r="BN487"/>
  <c r="BO487"/>
  <c r="BP487"/>
  <c r="P488"/>
  <c r="Q488"/>
  <c r="R488"/>
  <c r="S488"/>
  <c r="T488"/>
  <c r="U488"/>
  <c r="V488"/>
  <c r="W488"/>
  <c r="Y488"/>
  <c r="Z488"/>
  <c r="AA488"/>
  <c r="AB488"/>
  <c r="AC488"/>
  <c r="AD488"/>
  <c r="AE488"/>
  <c r="AF488"/>
  <c r="AH488"/>
  <c r="AI488"/>
  <c r="AJ488"/>
  <c r="AK488"/>
  <c r="AL488"/>
  <c r="AM488"/>
  <c r="AN488"/>
  <c r="AO488"/>
  <c r="AZ488"/>
  <c r="BA488"/>
  <c r="BB488"/>
  <c r="BC488"/>
  <c r="BD488"/>
  <c r="BE488"/>
  <c r="BF488"/>
  <c r="BG488"/>
  <c r="BI488"/>
  <c r="BJ488"/>
  <c r="BK488"/>
  <c r="BL488"/>
  <c r="BM488"/>
  <c r="BN488"/>
  <c r="BO488"/>
  <c r="BP488"/>
  <c r="P489"/>
  <c r="Q489"/>
  <c r="R489"/>
  <c r="S489"/>
  <c r="T489"/>
  <c r="U489"/>
  <c r="V489"/>
  <c r="W489"/>
  <c r="Y489"/>
  <c r="Z489"/>
  <c r="AA489"/>
  <c r="AB489"/>
  <c r="AC489"/>
  <c r="AD489"/>
  <c r="AE489"/>
  <c r="AF489"/>
  <c r="AH489"/>
  <c r="AI489"/>
  <c r="AJ489"/>
  <c r="AK489"/>
  <c r="AL489"/>
  <c r="AM489"/>
  <c r="AN489"/>
  <c r="AO489"/>
  <c r="AQ489"/>
  <c r="AR489"/>
  <c r="AS489"/>
  <c r="AT489"/>
  <c r="AU489"/>
  <c r="AV489"/>
  <c r="AW489"/>
  <c r="AX489"/>
  <c r="AZ489"/>
  <c r="BA489"/>
  <c r="BB489"/>
  <c r="BC489"/>
  <c r="BD489"/>
  <c r="BE489"/>
  <c r="BF489"/>
  <c r="BG489"/>
  <c r="BI489"/>
  <c r="BJ489"/>
  <c r="BK489"/>
  <c r="BL489"/>
  <c r="BM489"/>
  <c r="BN489"/>
  <c r="BO489"/>
  <c r="BP489"/>
  <c r="P491"/>
  <c r="Q491"/>
  <c r="R491"/>
  <c r="S491"/>
  <c r="T491"/>
  <c r="U491"/>
  <c r="V491"/>
  <c r="W491"/>
  <c r="Y491"/>
  <c r="Z491"/>
  <c r="AA491"/>
  <c r="AB491"/>
  <c r="AC491"/>
  <c r="AD491"/>
  <c r="AE491"/>
  <c r="AF491"/>
  <c r="AH491"/>
  <c r="AI491"/>
  <c r="AJ491"/>
  <c r="AK491"/>
  <c r="AL491"/>
  <c r="AM491"/>
  <c r="AN491"/>
  <c r="AO491"/>
  <c r="AQ491"/>
  <c r="AR491"/>
  <c r="AS491"/>
  <c r="AT491"/>
  <c r="AU491"/>
  <c r="AV491"/>
  <c r="AW491"/>
  <c r="AX491"/>
  <c r="AZ491"/>
  <c r="BA491"/>
  <c r="BB491"/>
  <c r="BC491"/>
  <c r="BD491"/>
  <c r="BE491"/>
  <c r="BF491"/>
  <c r="BG491"/>
  <c r="BI491"/>
  <c r="BJ491"/>
  <c r="BK491"/>
  <c r="BL491"/>
  <c r="BM491"/>
  <c r="BN491"/>
  <c r="BO491"/>
  <c r="BP491"/>
  <c r="P493"/>
  <c r="Q493"/>
  <c r="R493"/>
  <c r="S493"/>
  <c r="T493"/>
  <c r="U493"/>
  <c r="V493"/>
  <c r="W493"/>
  <c r="Y493"/>
  <c r="Z493"/>
  <c r="AA493"/>
  <c r="AB493"/>
  <c r="AC493"/>
  <c r="AD493"/>
  <c r="AE493"/>
  <c r="AF493"/>
  <c r="AH493"/>
  <c r="AI493"/>
  <c r="AJ493"/>
  <c r="AK493"/>
  <c r="AL493"/>
  <c r="AM493"/>
  <c r="AN493"/>
  <c r="AO493"/>
  <c r="AQ493"/>
  <c r="AR493"/>
  <c r="AS493"/>
  <c r="AT493"/>
  <c r="AU493"/>
  <c r="AV493"/>
  <c r="AW493"/>
  <c r="AX493"/>
  <c r="AZ493"/>
  <c r="BA493"/>
  <c r="BB493"/>
  <c r="BC493"/>
  <c r="BD493"/>
  <c r="BE493"/>
  <c r="BF493"/>
  <c r="BG493"/>
  <c r="BI493"/>
  <c r="BJ493"/>
  <c r="BK493"/>
  <c r="BL493"/>
  <c r="BM493"/>
  <c r="BN493"/>
  <c r="BO493"/>
  <c r="BP493"/>
  <c r="G496"/>
  <c r="H496"/>
  <c r="I496"/>
  <c r="J496"/>
  <c r="K496"/>
  <c r="L496"/>
  <c r="M496"/>
  <c r="P496"/>
  <c r="Q496"/>
  <c r="R496"/>
  <c r="S496"/>
  <c r="T496"/>
  <c r="U496"/>
  <c r="V496"/>
  <c r="Y496"/>
  <c r="Z496"/>
  <c r="AA496"/>
  <c r="AB496"/>
  <c r="AC496"/>
  <c r="AD496"/>
  <c r="AE496"/>
  <c r="AH496"/>
  <c r="AI496"/>
  <c r="AJ496"/>
  <c r="AK496"/>
  <c r="AL496"/>
  <c r="AM496"/>
  <c r="AN496"/>
  <c r="AQ496"/>
  <c r="AR496"/>
  <c r="AS496"/>
  <c r="AT496"/>
  <c r="AU496"/>
  <c r="AV496"/>
  <c r="AW496"/>
  <c r="AZ496"/>
  <c r="BA496"/>
  <c r="BB496"/>
  <c r="BC496"/>
  <c r="BD496"/>
  <c r="BE496"/>
  <c r="BF496"/>
  <c r="BI496"/>
  <c r="BJ496"/>
  <c r="BK496"/>
  <c r="BL496"/>
  <c r="BM496"/>
  <c r="BN496"/>
  <c r="BO496"/>
  <c r="G497"/>
  <c r="H497"/>
  <c r="I497"/>
  <c r="J497"/>
  <c r="K497"/>
  <c r="L497"/>
  <c r="M497"/>
  <c r="P497"/>
  <c r="Q497"/>
  <c r="R497"/>
  <c r="S497"/>
  <c r="T497"/>
  <c r="U497"/>
  <c r="V497"/>
  <c r="Y497"/>
  <c r="Z497"/>
  <c r="AA497"/>
  <c r="AB497"/>
  <c r="AC497"/>
  <c r="AD497"/>
  <c r="AE497"/>
  <c r="AH497"/>
  <c r="AI497"/>
  <c r="AJ497"/>
  <c r="AK497"/>
  <c r="AL497"/>
  <c r="AM497"/>
  <c r="AN497"/>
  <c r="AQ497"/>
  <c r="AR497"/>
  <c r="AS497"/>
  <c r="AT497"/>
  <c r="AU497"/>
  <c r="AV497"/>
  <c r="AW497"/>
  <c r="AZ497"/>
  <c r="BA497"/>
  <c r="BB497"/>
  <c r="BC497"/>
  <c r="BD497"/>
  <c r="BE497"/>
  <c r="BF497"/>
  <c r="BI497"/>
  <c r="BJ497"/>
  <c r="BK497"/>
  <c r="BL497"/>
  <c r="BM497"/>
  <c r="BN497"/>
  <c r="BO497"/>
  <c r="P499"/>
  <c r="Q499"/>
  <c r="R499"/>
  <c r="S499"/>
  <c r="T499"/>
  <c r="U499"/>
  <c r="V499"/>
  <c r="Y499"/>
  <c r="Z499"/>
  <c r="AA499"/>
  <c r="AB499"/>
  <c r="AC499"/>
  <c r="AD499"/>
  <c r="AE499"/>
  <c r="AH499"/>
  <c r="AI499"/>
  <c r="AJ499"/>
  <c r="AK499"/>
  <c r="AL499"/>
  <c r="AM499"/>
  <c r="AN499"/>
  <c r="AQ499"/>
  <c r="AR499"/>
  <c r="AS499"/>
  <c r="AT499"/>
  <c r="AU499"/>
  <c r="AV499"/>
  <c r="AW499"/>
  <c r="AZ499"/>
  <c r="BA499"/>
  <c r="BB499"/>
  <c r="BC499"/>
  <c r="BD499"/>
  <c r="BE499"/>
  <c r="BF499"/>
  <c r="BI499"/>
  <c r="BJ499"/>
  <c r="BK499"/>
  <c r="BL499"/>
  <c r="BM499"/>
  <c r="BN499"/>
  <c r="BO499"/>
  <c r="P501"/>
  <c r="Q501"/>
  <c r="R501"/>
  <c r="S501"/>
  <c r="T501"/>
  <c r="U501"/>
  <c r="V501"/>
  <c r="Y501"/>
  <c r="Z501"/>
  <c r="AA501"/>
  <c r="AB501"/>
  <c r="AC501"/>
  <c r="AD501"/>
  <c r="AE501"/>
  <c r="AH501"/>
  <c r="AI501"/>
  <c r="AJ501"/>
  <c r="AK501"/>
  <c r="AL501"/>
  <c r="AM501"/>
  <c r="AN501"/>
  <c r="AQ501"/>
  <c r="AR501"/>
  <c r="AS501"/>
  <c r="AT501"/>
  <c r="AU501"/>
  <c r="AV501"/>
  <c r="AW501"/>
  <c r="AZ501"/>
  <c r="BA501"/>
  <c r="BB501"/>
  <c r="BC501"/>
  <c r="BD501"/>
  <c r="BE501"/>
  <c r="BF501"/>
  <c r="BI501"/>
  <c r="BJ501"/>
  <c r="BK501"/>
  <c r="BL501"/>
  <c r="BM501"/>
  <c r="BN501"/>
  <c r="BO501"/>
  <c r="G503"/>
  <c r="H503"/>
  <c r="I503"/>
  <c r="J503"/>
  <c r="K503"/>
  <c r="L503"/>
  <c r="M503"/>
  <c r="P503"/>
  <c r="Q503"/>
  <c r="R503"/>
  <c r="S503"/>
  <c r="T503"/>
  <c r="U503"/>
  <c r="V503"/>
  <c r="Y503"/>
  <c r="Z503"/>
  <c r="AA503"/>
  <c r="AB503"/>
  <c r="AC503"/>
  <c r="AD503"/>
  <c r="AE503"/>
  <c r="AH503"/>
  <c r="AI503"/>
  <c r="AJ503"/>
  <c r="AK503"/>
  <c r="AL503"/>
  <c r="AM503"/>
  <c r="AN503"/>
  <c r="AQ503"/>
  <c r="AR503"/>
  <c r="AS503"/>
  <c r="AT503"/>
  <c r="AU503"/>
  <c r="AV503"/>
  <c r="AW503"/>
  <c r="AZ503"/>
  <c r="BA503"/>
  <c r="BB503"/>
  <c r="BC503"/>
  <c r="BD503"/>
  <c r="BE503"/>
  <c r="BF503"/>
  <c r="BI503"/>
  <c r="BJ503"/>
  <c r="BK503"/>
  <c r="BL503"/>
  <c r="BM503"/>
  <c r="BN503"/>
  <c r="BO503"/>
  <c r="G509"/>
  <c r="H509"/>
  <c r="I509"/>
  <c r="J509"/>
  <c r="K509"/>
  <c r="L509"/>
  <c r="M509"/>
  <c r="N509"/>
  <c r="P509"/>
  <c r="Q509"/>
  <c r="R509"/>
  <c r="S509"/>
  <c r="T509"/>
  <c r="U509"/>
  <c r="V509"/>
  <c r="W509"/>
  <c r="Y509"/>
  <c r="Z509"/>
  <c r="AA509"/>
  <c r="AB509"/>
  <c r="AC509"/>
  <c r="AD509"/>
  <c r="AE509"/>
  <c r="AF509"/>
  <c r="AH509"/>
  <c r="AI509"/>
  <c r="AJ509"/>
  <c r="AK509"/>
  <c r="AL509"/>
  <c r="AM509"/>
  <c r="AN509"/>
  <c r="AO509"/>
  <c r="AQ509"/>
  <c r="AR509"/>
  <c r="AS509"/>
  <c r="AT509"/>
  <c r="AU509"/>
  <c r="AV509"/>
  <c r="AW509"/>
  <c r="AX509"/>
  <c r="AZ509"/>
  <c r="BA509"/>
  <c r="BB509"/>
  <c r="BC509"/>
  <c r="BD509"/>
  <c r="BE509"/>
  <c r="BF509"/>
  <c r="BG509"/>
  <c r="BI509"/>
  <c r="BJ509"/>
  <c r="BK509"/>
  <c r="BL509"/>
  <c r="BM509"/>
  <c r="BN509"/>
  <c r="BO509"/>
  <c r="BP509"/>
  <c r="G511"/>
  <c r="H511"/>
  <c r="I511"/>
  <c r="J511"/>
  <c r="K511"/>
  <c r="L511"/>
  <c r="M511"/>
  <c r="N511"/>
  <c r="P511"/>
  <c r="Q511"/>
  <c r="R511"/>
  <c r="S511"/>
  <c r="T511"/>
  <c r="U511"/>
  <c r="V511"/>
  <c r="W511"/>
  <c r="Y511"/>
  <c r="Z511"/>
  <c r="AA511"/>
  <c r="AB511"/>
  <c r="AC511"/>
  <c r="AD511"/>
  <c r="AE511"/>
  <c r="AF511"/>
  <c r="AH511"/>
  <c r="AI511"/>
  <c r="AJ511"/>
  <c r="AK511"/>
  <c r="AL511"/>
  <c r="AM511"/>
  <c r="AN511"/>
  <c r="AO511"/>
  <c r="AQ511"/>
  <c r="AR511"/>
  <c r="AS511"/>
  <c r="AT511"/>
  <c r="AU511"/>
  <c r="AV511"/>
  <c r="AW511"/>
  <c r="AX511"/>
  <c r="AZ511"/>
  <c r="BA511"/>
  <c r="BB511"/>
  <c r="BC511"/>
  <c r="BD511"/>
  <c r="BE511"/>
  <c r="BF511"/>
  <c r="BG511"/>
  <c r="BI511"/>
  <c r="BJ511"/>
  <c r="BK511"/>
  <c r="BL511"/>
  <c r="BM511"/>
  <c r="BN511"/>
  <c r="BO511"/>
  <c r="BP511"/>
  <c r="G512"/>
  <c r="H512"/>
  <c r="I512"/>
  <c r="J512"/>
  <c r="K512"/>
  <c r="L512"/>
  <c r="M512"/>
  <c r="N512"/>
  <c r="P512"/>
  <c r="Q512"/>
  <c r="R512"/>
  <c r="S512"/>
  <c r="T512"/>
  <c r="U512"/>
  <c r="V512"/>
  <c r="W512"/>
  <c r="Y512"/>
  <c r="Z512"/>
  <c r="AA512"/>
  <c r="AB512"/>
  <c r="AC512"/>
  <c r="AD512"/>
  <c r="AE512"/>
  <c r="AF512"/>
  <c r="AH512"/>
  <c r="AI512"/>
  <c r="AJ512"/>
  <c r="AK512"/>
  <c r="AL512"/>
  <c r="AM512"/>
  <c r="AN512"/>
  <c r="AO512"/>
  <c r="AQ512"/>
  <c r="AR512"/>
  <c r="AS512"/>
  <c r="AT512"/>
  <c r="AU512"/>
  <c r="AV512"/>
  <c r="AW512"/>
  <c r="AX512"/>
  <c r="AZ512"/>
  <c r="BA512"/>
  <c r="BB512"/>
  <c r="BC512"/>
  <c r="BD512"/>
  <c r="BE512"/>
  <c r="BF512"/>
  <c r="BG512"/>
  <c r="BI512"/>
  <c r="BJ512"/>
  <c r="BK512"/>
  <c r="BL512"/>
  <c r="BM512"/>
  <c r="BN512"/>
  <c r="BO512"/>
  <c r="BP512"/>
  <c r="G515"/>
  <c r="H515"/>
  <c r="I515"/>
  <c r="J515"/>
  <c r="K515"/>
  <c r="L515"/>
  <c r="M515"/>
  <c r="N515"/>
  <c r="P515"/>
  <c r="Q515"/>
  <c r="R515"/>
  <c r="S515"/>
  <c r="T515"/>
  <c r="U515"/>
  <c r="V515"/>
  <c r="W515"/>
  <c r="Y515"/>
  <c r="Z515"/>
  <c r="AA515"/>
  <c r="AB515"/>
  <c r="AC515"/>
  <c r="AD515"/>
  <c r="AE515"/>
  <c r="AF515"/>
  <c r="AH515"/>
  <c r="AI515"/>
  <c r="AJ515"/>
  <c r="AK515"/>
  <c r="AL515"/>
  <c r="AM515"/>
  <c r="AN515"/>
  <c r="AO515"/>
  <c r="AQ515"/>
  <c r="AR515"/>
  <c r="AS515"/>
  <c r="AT515"/>
  <c r="AU515"/>
  <c r="AV515"/>
  <c r="AW515"/>
  <c r="AX515"/>
  <c r="AZ515"/>
  <c r="BA515"/>
  <c r="BB515"/>
  <c r="BC515"/>
  <c r="BD515"/>
  <c r="BE515"/>
  <c r="BF515"/>
  <c r="BG515"/>
  <c r="BI515"/>
  <c r="BJ515"/>
  <c r="BK515"/>
  <c r="BL515"/>
  <c r="BM515"/>
  <c r="BN515"/>
  <c r="BO515"/>
  <c r="BP515"/>
  <c r="P517"/>
  <c r="Q517"/>
  <c r="R517"/>
  <c r="S517"/>
  <c r="T517"/>
  <c r="U517"/>
  <c r="V517"/>
  <c r="W517"/>
  <c r="Y517"/>
  <c r="Z517"/>
  <c r="AA517"/>
  <c r="AB517"/>
  <c r="AC517"/>
  <c r="AD517"/>
  <c r="AE517"/>
  <c r="AF517"/>
  <c r="AH517"/>
  <c r="AI517"/>
  <c r="AJ517"/>
  <c r="AK517"/>
  <c r="AL517"/>
  <c r="AM517"/>
  <c r="AN517"/>
  <c r="AO517"/>
  <c r="AQ517"/>
  <c r="AR517"/>
  <c r="AS517"/>
  <c r="AT517"/>
  <c r="AU517"/>
  <c r="AV517"/>
  <c r="AW517"/>
  <c r="AX517"/>
  <c r="AZ517"/>
  <c r="BA517"/>
  <c r="BB517"/>
  <c r="BC517"/>
  <c r="BD517"/>
  <c r="BE517"/>
  <c r="BF517"/>
  <c r="BG517"/>
  <c r="BI517"/>
  <c r="BJ517"/>
  <c r="BK517"/>
  <c r="BL517"/>
  <c r="BM517"/>
  <c r="BN517"/>
  <c r="BO517"/>
  <c r="BP517"/>
  <c r="G519"/>
  <c r="H519"/>
  <c r="I519"/>
  <c r="J519"/>
  <c r="K519"/>
  <c r="L519"/>
  <c r="M519"/>
  <c r="N519"/>
  <c r="P519"/>
  <c r="Q519"/>
  <c r="R519"/>
  <c r="S519"/>
  <c r="T519"/>
  <c r="U519"/>
  <c r="V519"/>
  <c r="W519"/>
  <c r="Y519"/>
  <c r="Z519"/>
  <c r="AA519"/>
  <c r="AB519"/>
  <c r="AC519"/>
  <c r="AD519"/>
  <c r="AE519"/>
  <c r="AF519"/>
  <c r="AH519"/>
  <c r="AI519"/>
  <c r="AJ519"/>
  <c r="AK519"/>
  <c r="AL519"/>
  <c r="AM519"/>
  <c r="AN519"/>
  <c r="AO519"/>
  <c r="AQ519"/>
  <c r="AR519"/>
  <c r="AS519"/>
  <c r="AT519"/>
  <c r="AU519"/>
  <c r="AV519"/>
  <c r="AW519"/>
  <c r="AX519"/>
  <c r="AZ519"/>
  <c r="BA519"/>
  <c r="BB519"/>
  <c r="BC519"/>
  <c r="BD519"/>
  <c r="BE519"/>
  <c r="BF519"/>
  <c r="BG519"/>
  <c r="BI519"/>
  <c r="BJ519"/>
  <c r="BK519"/>
  <c r="BL519"/>
  <c r="BM519"/>
  <c r="BN519"/>
  <c r="BO519"/>
  <c r="BP519"/>
  <c r="G523"/>
  <c r="H523"/>
  <c r="I523"/>
  <c r="J523"/>
  <c r="K523"/>
  <c r="L523"/>
  <c r="M523"/>
  <c r="N523"/>
  <c r="P523"/>
  <c r="Q523"/>
  <c r="R523"/>
  <c r="S523"/>
  <c r="T523"/>
  <c r="U523"/>
  <c r="V523"/>
  <c r="W523"/>
  <c r="Y523"/>
  <c r="Z523"/>
  <c r="AA523"/>
  <c r="AB523"/>
  <c r="AC523"/>
  <c r="AD523"/>
  <c r="AE523"/>
  <c r="AF523"/>
  <c r="AH523"/>
  <c r="AI523"/>
  <c r="AJ523"/>
  <c r="AK523"/>
  <c r="AL523"/>
  <c r="AM523"/>
  <c r="AN523"/>
  <c r="AO523"/>
  <c r="AZ523"/>
  <c r="BA523"/>
  <c r="BB523"/>
  <c r="BC523"/>
  <c r="BD523"/>
  <c r="BE523"/>
  <c r="BF523"/>
  <c r="BG523"/>
  <c r="BI523"/>
  <c r="BJ523"/>
  <c r="BK523"/>
  <c r="BL523"/>
  <c r="BM523"/>
  <c r="BN523"/>
  <c r="BO523"/>
  <c r="BP523"/>
  <c r="G524"/>
  <c r="H524"/>
  <c r="I524"/>
  <c r="J524"/>
  <c r="K524"/>
  <c r="L524"/>
  <c r="M524"/>
  <c r="N524"/>
  <c r="P524"/>
  <c r="Q524"/>
  <c r="R524"/>
  <c r="S524"/>
  <c r="T524"/>
  <c r="U524"/>
  <c r="V524"/>
  <c r="W524"/>
  <c r="Y524"/>
  <c r="Z524"/>
  <c r="AA524"/>
  <c r="AB524"/>
  <c r="AC524"/>
  <c r="AD524"/>
  <c r="AE524"/>
  <c r="AF524"/>
  <c r="AH524"/>
  <c r="AI524"/>
  <c r="AJ524"/>
  <c r="AK524"/>
  <c r="AL524"/>
  <c r="AM524"/>
  <c r="AN524"/>
  <c r="AO524"/>
  <c r="AZ524"/>
  <c r="BA524"/>
  <c r="BB524"/>
  <c r="BC524"/>
  <c r="BD524"/>
  <c r="BE524"/>
  <c r="BF524"/>
  <c r="BG524"/>
  <c r="BI524"/>
  <c r="BJ524"/>
  <c r="BK524"/>
  <c r="BL524"/>
  <c r="BM524"/>
  <c r="BN524"/>
  <c r="BO524"/>
  <c r="BP524"/>
  <c r="G525"/>
  <c r="H525"/>
  <c r="I525"/>
  <c r="J525"/>
  <c r="K525"/>
  <c r="L525"/>
  <c r="M525"/>
  <c r="N525"/>
  <c r="P525"/>
  <c r="Q525"/>
  <c r="R525"/>
  <c r="S525"/>
  <c r="T525"/>
  <c r="U525"/>
  <c r="V525"/>
  <c r="W525"/>
  <c r="Y525"/>
  <c r="Z525"/>
  <c r="AA525"/>
  <c r="AB525"/>
  <c r="AC525"/>
  <c r="AD525"/>
  <c r="AE525"/>
  <c r="AF525"/>
  <c r="AH525"/>
  <c r="AI525"/>
  <c r="AJ525"/>
  <c r="AK525"/>
  <c r="AL525"/>
  <c r="AM525"/>
  <c r="AN525"/>
  <c r="AO525"/>
  <c r="AZ525"/>
  <c r="BA525"/>
  <c r="BB525"/>
  <c r="BC525"/>
  <c r="BD525"/>
  <c r="BE525"/>
  <c r="BF525"/>
  <c r="BG525"/>
  <c r="BI525"/>
  <c r="BJ525"/>
  <c r="BK525"/>
  <c r="BL525"/>
  <c r="BM525"/>
  <c r="BN525"/>
  <c r="BO525"/>
  <c r="BP525"/>
  <c r="G527"/>
  <c r="H527"/>
  <c r="I527"/>
  <c r="J527"/>
  <c r="K527"/>
  <c r="L527"/>
  <c r="M527"/>
  <c r="N527"/>
  <c r="P527"/>
  <c r="Q527"/>
  <c r="R527"/>
  <c r="S527"/>
  <c r="T527"/>
  <c r="U527"/>
  <c r="V527"/>
  <c r="W527"/>
  <c r="Y527"/>
  <c r="Z527"/>
  <c r="AA527"/>
  <c r="AB527"/>
  <c r="AC527"/>
  <c r="AD527"/>
  <c r="AE527"/>
  <c r="AF527"/>
  <c r="AH527"/>
  <c r="AI527"/>
  <c r="AJ527"/>
  <c r="AK527"/>
  <c r="AL527"/>
  <c r="AM527"/>
  <c r="AN527"/>
  <c r="AO527"/>
  <c r="AQ527"/>
  <c r="AR527"/>
  <c r="AS527"/>
  <c r="AT527"/>
  <c r="AU527"/>
  <c r="AV527"/>
  <c r="AW527"/>
  <c r="AX527"/>
  <c r="AZ527"/>
  <c r="BA527"/>
  <c r="BB527"/>
  <c r="BC527"/>
  <c r="BD527"/>
  <c r="BE527"/>
  <c r="BF527"/>
  <c r="BG527"/>
  <c r="BI527"/>
  <c r="BJ527"/>
  <c r="BK527"/>
  <c r="BL527"/>
  <c r="BM527"/>
  <c r="BN527"/>
  <c r="BO527"/>
  <c r="BP527"/>
  <c r="G528"/>
  <c r="H528"/>
  <c r="I528"/>
  <c r="J528"/>
  <c r="K528"/>
  <c r="L528"/>
  <c r="M528"/>
  <c r="N528"/>
  <c r="P528"/>
  <c r="Q528"/>
  <c r="R528"/>
  <c r="S528"/>
  <c r="T528"/>
  <c r="U528"/>
  <c r="V528"/>
  <c r="W528"/>
  <c r="Y528"/>
  <c r="Z528"/>
  <c r="AA528"/>
  <c r="AB528"/>
  <c r="AC528"/>
  <c r="AD528"/>
  <c r="AE528"/>
  <c r="AF528"/>
  <c r="AH528"/>
  <c r="AI528"/>
  <c r="AJ528"/>
  <c r="AK528"/>
  <c r="AL528"/>
  <c r="AM528"/>
  <c r="AN528"/>
  <c r="AO528"/>
  <c r="AQ528"/>
  <c r="AR528"/>
  <c r="AS528"/>
  <c r="AT528"/>
  <c r="AU528"/>
  <c r="AV528"/>
  <c r="AW528"/>
  <c r="AX528"/>
  <c r="AZ528"/>
  <c r="BA528"/>
  <c r="BB528"/>
  <c r="BC528"/>
  <c r="BD528"/>
  <c r="BE528"/>
  <c r="BF528"/>
  <c r="BG528"/>
  <c r="BI528"/>
  <c r="BJ528"/>
  <c r="BK528"/>
  <c r="BL528"/>
  <c r="BM528"/>
  <c r="BN528"/>
  <c r="BO528"/>
  <c r="BP528"/>
  <c r="G529"/>
  <c r="H529"/>
  <c r="I529"/>
  <c r="J529"/>
  <c r="K529"/>
  <c r="L529"/>
  <c r="M529"/>
  <c r="G530"/>
  <c r="H530"/>
  <c r="I530"/>
  <c r="J530"/>
  <c r="K530"/>
  <c r="L530"/>
  <c r="M530"/>
  <c r="G533"/>
  <c r="H533"/>
  <c r="I533"/>
  <c r="J533"/>
  <c r="K533"/>
  <c r="L533"/>
  <c r="M533"/>
  <c r="P533"/>
  <c r="Q533"/>
  <c r="R533"/>
  <c r="S533"/>
  <c r="T533"/>
  <c r="U533"/>
  <c r="V533"/>
  <c r="Y533"/>
  <c r="Z533"/>
  <c r="AA533"/>
  <c r="AB533"/>
  <c r="AC533"/>
  <c r="AD533"/>
  <c r="AE533"/>
  <c r="AH533"/>
  <c r="AI533"/>
  <c r="AJ533"/>
  <c r="AK533"/>
  <c r="AL533"/>
  <c r="AM533"/>
  <c r="AN533"/>
  <c r="AQ533"/>
  <c r="AR533"/>
  <c r="AS533"/>
  <c r="AT533"/>
  <c r="AU533"/>
  <c r="AV533"/>
  <c r="AW533"/>
  <c r="AZ533"/>
  <c r="BA533"/>
  <c r="BB533"/>
  <c r="BC533"/>
  <c r="BD533"/>
  <c r="BE533"/>
  <c r="BF533"/>
  <c r="BI533"/>
  <c r="BJ533"/>
  <c r="BK533"/>
  <c r="BL533"/>
  <c r="BM533"/>
  <c r="BN533"/>
  <c r="BO533"/>
  <c r="G534"/>
  <c r="H534"/>
  <c r="I534"/>
  <c r="J534"/>
  <c r="K534"/>
  <c r="L534"/>
  <c r="M534"/>
  <c r="P534"/>
  <c r="Q534"/>
  <c r="R534"/>
  <c r="S534"/>
  <c r="T534"/>
  <c r="U534"/>
  <c r="V534"/>
  <c r="Y534"/>
  <c r="Z534"/>
  <c r="AA534"/>
  <c r="AB534"/>
  <c r="AC534"/>
  <c r="AD534"/>
  <c r="AE534"/>
  <c r="AH534"/>
  <c r="AI534"/>
  <c r="AJ534"/>
  <c r="AK534"/>
  <c r="AL534"/>
  <c r="AM534"/>
  <c r="AN534"/>
  <c r="AQ534"/>
  <c r="AR534"/>
  <c r="AS534"/>
  <c r="AT534"/>
  <c r="AU534"/>
  <c r="AV534"/>
  <c r="AW534"/>
  <c r="AZ534"/>
  <c r="BA534"/>
  <c r="BB534"/>
  <c r="BC534"/>
  <c r="BD534"/>
  <c r="BE534"/>
  <c r="BF534"/>
  <c r="BI534"/>
  <c r="BJ534"/>
  <c r="BK534"/>
  <c r="BL534"/>
  <c r="BM534"/>
  <c r="BN534"/>
  <c r="BO534"/>
  <c r="P537"/>
  <c r="Q537"/>
  <c r="R537"/>
  <c r="S537"/>
  <c r="T537"/>
  <c r="U537"/>
  <c r="V537"/>
  <c r="W537"/>
  <c r="Y537"/>
  <c r="Z537"/>
  <c r="AA537"/>
  <c r="AB537"/>
  <c r="AC537"/>
  <c r="AD537"/>
  <c r="AE537"/>
  <c r="AF537"/>
  <c r="AH537"/>
  <c r="AI537"/>
  <c r="AJ537"/>
  <c r="AK537"/>
  <c r="AL537"/>
  <c r="AM537"/>
  <c r="AN537"/>
  <c r="AO537"/>
  <c r="AQ537"/>
  <c r="AR537"/>
  <c r="AS537"/>
  <c r="AT537"/>
  <c r="AU537"/>
  <c r="AV537"/>
  <c r="AW537"/>
  <c r="AX537"/>
  <c r="AZ537"/>
  <c r="BA537"/>
  <c r="BB537"/>
  <c r="BC537"/>
  <c r="BD537"/>
  <c r="BE537"/>
  <c r="BF537"/>
  <c r="BG537"/>
  <c r="BI537"/>
  <c r="BJ537"/>
  <c r="BK537"/>
  <c r="BL537"/>
  <c r="BM537"/>
  <c r="BN537"/>
  <c r="BO537"/>
  <c r="BP537"/>
  <c r="P538"/>
  <c r="Q538"/>
  <c r="R538"/>
  <c r="S538"/>
  <c r="T538"/>
  <c r="U538"/>
  <c r="V538"/>
  <c r="W538"/>
  <c r="Y538"/>
  <c r="Z538"/>
  <c r="AA538"/>
  <c r="AB538"/>
  <c r="AC538"/>
  <c r="AD538"/>
  <c r="AE538"/>
  <c r="AF538"/>
  <c r="AH538"/>
  <c r="AI538"/>
  <c r="AJ538"/>
  <c r="AK538"/>
  <c r="AL538"/>
  <c r="AM538"/>
  <c r="AN538"/>
  <c r="AO538"/>
  <c r="AZ538"/>
  <c r="BA538"/>
  <c r="BB538"/>
  <c r="BC538"/>
  <c r="BD538"/>
  <c r="BE538"/>
  <c r="BF538"/>
  <c r="BG538"/>
  <c r="BI538"/>
  <c r="BJ538"/>
  <c r="BK538"/>
  <c r="BL538"/>
  <c r="BM538"/>
  <c r="BN538"/>
  <c r="BO538"/>
  <c r="BP538"/>
  <c r="P539"/>
  <c r="Q539"/>
  <c r="R539"/>
  <c r="S539"/>
  <c r="T539"/>
  <c r="U539"/>
  <c r="V539"/>
  <c r="W539"/>
  <c r="Y539"/>
  <c r="Z539"/>
  <c r="AA539"/>
  <c r="AB539"/>
  <c r="AC539"/>
  <c r="AD539"/>
  <c r="AE539"/>
  <c r="AF539"/>
  <c r="AH539"/>
  <c r="AI539"/>
  <c r="AJ539"/>
  <c r="AK539"/>
  <c r="AL539"/>
  <c r="AM539"/>
  <c r="AN539"/>
  <c r="AO539"/>
  <c r="AQ539"/>
  <c r="AR539"/>
  <c r="AS539"/>
  <c r="AT539"/>
  <c r="AU539"/>
  <c r="AV539"/>
  <c r="AW539"/>
  <c r="AX539"/>
  <c r="AZ539"/>
  <c r="BA539"/>
  <c r="BB539"/>
  <c r="BC539"/>
  <c r="BD539"/>
  <c r="BE539"/>
  <c r="BF539"/>
  <c r="BG539"/>
  <c r="BI539"/>
  <c r="BJ539"/>
  <c r="BK539"/>
  <c r="BL539"/>
  <c r="BM539"/>
  <c r="BN539"/>
  <c r="BO539"/>
  <c r="BP539"/>
  <c r="P540"/>
  <c r="Q540"/>
  <c r="R540"/>
  <c r="S540"/>
  <c r="T540"/>
  <c r="U540"/>
  <c r="V540"/>
  <c r="W540"/>
  <c r="Y540"/>
  <c r="Z540"/>
  <c r="AA540"/>
  <c r="AB540"/>
  <c r="AC540"/>
  <c r="AD540"/>
  <c r="AE540"/>
  <c r="AF540"/>
  <c r="AH540"/>
  <c r="AI540"/>
  <c r="AJ540"/>
  <c r="AK540"/>
  <c r="AL540"/>
  <c r="AM540"/>
  <c r="AN540"/>
  <c r="AO540"/>
  <c r="AZ540"/>
  <c r="BA540"/>
  <c r="BB540"/>
  <c r="BC540"/>
  <c r="BD540"/>
  <c r="BE540"/>
  <c r="BF540"/>
  <c r="BG540"/>
  <c r="BI540"/>
  <c r="BJ540"/>
  <c r="BK540"/>
  <c r="BL540"/>
  <c r="BM540"/>
  <c r="BN540"/>
  <c r="BO540"/>
  <c r="BP540"/>
  <c r="P541"/>
  <c r="Q541"/>
  <c r="R541"/>
  <c r="S541"/>
  <c r="T541"/>
  <c r="U541"/>
  <c r="V541"/>
  <c r="W541"/>
  <c r="Y541"/>
  <c r="Z541"/>
  <c r="AA541"/>
  <c r="AB541"/>
  <c r="AC541"/>
  <c r="AD541"/>
  <c r="AE541"/>
  <c r="AF541"/>
  <c r="AH541"/>
  <c r="AI541"/>
  <c r="AJ541"/>
  <c r="AK541"/>
  <c r="AL541"/>
  <c r="AM541"/>
  <c r="AN541"/>
  <c r="AO541"/>
  <c r="AQ541"/>
  <c r="AR541"/>
  <c r="AS541"/>
  <c r="AT541"/>
  <c r="AU541"/>
  <c r="AV541"/>
  <c r="AW541"/>
  <c r="AX541"/>
  <c r="AZ541"/>
  <c r="BA541"/>
  <c r="BB541"/>
  <c r="BC541"/>
  <c r="BD541"/>
  <c r="BE541"/>
  <c r="BF541"/>
  <c r="BG541"/>
  <c r="BI541"/>
  <c r="BJ541"/>
  <c r="BK541"/>
  <c r="BL541"/>
  <c r="BM541"/>
  <c r="BN541"/>
  <c r="BO541"/>
  <c r="BP541"/>
  <c r="P543"/>
  <c r="Q543"/>
  <c r="R543"/>
  <c r="S543"/>
  <c r="T543"/>
  <c r="U543"/>
  <c r="V543"/>
  <c r="W543"/>
  <c r="Y543"/>
  <c r="Z543"/>
  <c r="AA543"/>
  <c r="AB543"/>
  <c r="AC543"/>
  <c r="AD543"/>
  <c r="AE543"/>
  <c r="AF543"/>
  <c r="AH543"/>
  <c r="AI543"/>
  <c r="AJ543"/>
  <c r="AK543"/>
  <c r="AL543"/>
  <c r="AM543"/>
  <c r="AN543"/>
  <c r="AO543"/>
  <c r="AQ543"/>
  <c r="AR543"/>
  <c r="AS543"/>
  <c r="AT543"/>
  <c r="AU543"/>
  <c r="AV543"/>
  <c r="AW543"/>
  <c r="AX543"/>
  <c r="AZ543"/>
  <c r="BA543"/>
  <c r="BB543"/>
  <c r="BC543"/>
  <c r="BD543"/>
  <c r="BE543"/>
  <c r="BF543"/>
  <c r="BG543"/>
  <c r="BI543"/>
  <c r="BJ543"/>
  <c r="BK543"/>
  <c r="BL543"/>
  <c r="BM543"/>
  <c r="BN543"/>
  <c r="BO543"/>
  <c r="BP543"/>
  <c r="G546"/>
  <c r="H546"/>
  <c r="I546"/>
  <c r="J546"/>
  <c r="K546"/>
  <c r="L546"/>
  <c r="M546"/>
  <c r="P546"/>
  <c r="Q546"/>
  <c r="R546"/>
  <c r="S546"/>
  <c r="T546"/>
  <c r="U546"/>
  <c r="V546"/>
  <c r="Y546"/>
  <c r="Z546"/>
  <c r="AA546"/>
  <c r="AB546"/>
  <c r="AC546"/>
  <c r="AD546"/>
  <c r="AE546"/>
  <c r="AH546"/>
  <c r="AI546"/>
  <c r="AJ546"/>
  <c r="AK546"/>
  <c r="AL546"/>
  <c r="AM546"/>
  <c r="AN546"/>
  <c r="AQ546"/>
  <c r="AR546"/>
  <c r="AS546"/>
  <c r="AT546"/>
  <c r="AU546"/>
  <c r="AV546"/>
  <c r="AW546"/>
  <c r="AZ546"/>
  <c r="BA546"/>
  <c r="BB546"/>
  <c r="BC546"/>
  <c r="BD546"/>
  <c r="BE546"/>
  <c r="BF546"/>
  <c r="BI546"/>
  <c r="BJ546"/>
  <c r="BK546"/>
  <c r="BL546"/>
  <c r="BM546"/>
  <c r="BN546"/>
  <c r="BO546"/>
  <c r="G547"/>
  <c r="H547"/>
  <c r="I547"/>
  <c r="J547"/>
  <c r="K547"/>
  <c r="L547"/>
  <c r="M547"/>
  <c r="P547"/>
  <c r="Q547"/>
  <c r="R547"/>
  <c r="S547"/>
  <c r="T547"/>
  <c r="U547"/>
  <c r="V547"/>
  <c r="Y547"/>
  <c r="Z547"/>
  <c r="AA547"/>
  <c r="AB547"/>
  <c r="AC547"/>
  <c r="AD547"/>
  <c r="AE547"/>
  <c r="AH547"/>
  <c r="AI547"/>
  <c r="AJ547"/>
  <c r="AK547"/>
  <c r="AL547"/>
  <c r="AM547"/>
  <c r="AN547"/>
  <c r="AQ547"/>
  <c r="AR547"/>
  <c r="AS547"/>
  <c r="AT547"/>
  <c r="AU547"/>
  <c r="AV547"/>
  <c r="AW547"/>
  <c r="AZ547"/>
  <c r="BA547"/>
  <c r="BB547"/>
  <c r="BC547"/>
  <c r="BD547"/>
  <c r="BE547"/>
  <c r="BF547"/>
  <c r="BI547"/>
  <c r="BJ547"/>
  <c r="BK547"/>
  <c r="BL547"/>
  <c r="BM547"/>
  <c r="BN547"/>
  <c r="BO547"/>
  <c r="P549"/>
  <c r="Q549"/>
  <c r="R549"/>
  <c r="S549"/>
  <c r="T549"/>
  <c r="U549"/>
  <c r="V549"/>
  <c r="Y549"/>
  <c r="Z549"/>
  <c r="AA549"/>
  <c r="AB549"/>
  <c r="AC549"/>
  <c r="AD549"/>
  <c r="AE549"/>
  <c r="AH549"/>
  <c r="AI549"/>
  <c r="AJ549"/>
  <c r="AK549"/>
  <c r="AL549"/>
  <c r="AM549"/>
  <c r="AN549"/>
  <c r="AQ549"/>
  <c r="AR549"/>
  <c r="AS549"/>
  <c r="AT549"/>
  <c r="AU549"/>
  <c r="AV549"/>
  <c r="AW549"/>
  <c r="AZ549"/>
  <c r="BA549"/>
  <c r="BB549"/>
  <c r="BC549"/>
  <c r="BD549"/>
  <c r="BE549"/>
  <c r="BF549"/>
  <c r="BI549"/>
  <c r="BJ549"/>
  <c r="BK549"/>
  <c r="BL549"/>
  <c r="BM549"/>
  <c r="BN549"/>
  <c r="BO549"/>
  <c r="P551"/>
  <c r="Q551"/>
  <c r="R551"/>
  <c r="S551"/>
  <c r="T551"/>
  <c r="U551"/>
  <c r="V551"/>
  <c r="Y551"/>
  <c r="Z551"/>
  <c r="AA551"/>
  <c r="AB551"/>
  <c r="AC551"/>
  <c r="AD551"/>
  <c r="AE551"/>
  <c r="AH551"/>
  <c r="AI551"/>
  <c r="AJ551"/>
  <c r="AK551"/>
  <c r="AL551"/>
  <c r="AM551"/>
  <c r="AN551"/>
  <c r="AQ551"/>
  <c r="AR551"/>
  <c r="AS551"/>
  <c r="AT551"/>
  <c r="AU551"/>
  <c r="AV551"/>
  <c r="AW551"/>
  <c r="AZ551"/>
  <c r="BA551"/>
  <c r="BB551"/>
  <c r="BC551"/>
  <c r="BD551"/>
  <c r="BE551"/>
  <c r="BF551"/>
  <c r="BI551"/>
  <c r="BJ551"/>
  <c r="BK551"/>
  <c r="BL551"/>
  <c r="BM551"/>
  <c r="BN551"/>
  <c r="BO551"/>
  <c r="G553"/>
  <c r="H553"/>
  <c r="I553"/>
  <c r="J553"/>
  <c r="K553"/>
  <c r="L553"/>
  <c r="M553"/>
  <c r="P553"/>
  <c r="Q553"/>
  <c r="R553"/>
  <c r="S553"/>
  <c r="T553"/>
  <c r="U553"/>
  <c r="V553"/>
  <c r="Y553"/>
  <c r="Z553"/>
  <c r="AA553"/>
  <c r="AB553"/>
  <c r="AC553"/>
  <c r="AD553"/>
  <c r="AE553"/>
  <c r="AH553"/>
  <c r="AI553"/>
  <c r="AJ553"/>
  <c r="AK553"/>
  <c r="AL553"/>
  <c r="AM553"/>
  <c r="AN553"/>
  <c r="AQ553"/>
  <c r="AR553"/>
  <c r="AS553"/>
  <c r="AT553"/>
  <c r="AU553"/>
  <c r="AV553"/>
  <c r="AW553"/>
  <c r="AZ553"/>
  <c r="BA553"/>
  <c r="BB553"/>
  <c r="BC553"/>
  <c r="BD553"/>
  <c r="BE553"/>
  <c r="BF553"/>
  <c r="BI553"/>
  <c r="BJ553"/>
  <c r="BK553"/>
  <c r="BL553"/>
  <c r="BM553"/>
  <c r="BN553"/>
  <c r="BO553"/>
  <c r="G558"/>
  <c r="H558"/>
  <c r="I558"/>
  <c r="J558"/>
  <c r="K558"/>
  <c r="L558"/>
  <c r="M558"/>
  <c r="N558"/>
  <c r="P558"/>
  <c r="Q558"/>
  <c r="R558"/>
  <c r="S558"/>
  <c r="T558"/>
  <c r="U558"/>
  <c r="V558"/>
  <c r="W558"/>
  <c r="Y558"/>
  <c r="Z558"/>
  <c r="AA558"/>
  <c r="AB558"/>
  <c r="AC558"/>
  <c r="AD558"/>
  <c r="AE558"/>
  <c r="AF558"/>
  <c r="AH558"/>
  <c r="AI558"/>
  <c r="AJ558"/>
  <c r="AK558"/>
  <c r="AL558"/>
  <c r="AM558"/>
  <c r="AN558"/>
  <c r="AO558"/>
  <c r="AQ558"/>
  <c r="AR558"/>
  <c r="AS558"/>
  <c r="AT558"/>
  <c r="AU558"/>
  <c r="AV558"/>
  <c r="AW558"/>
  <c r="AX558"/>
  <c r="AZ558"/>
  <c r="BA558"/>
  <c r="BB558"/>
  <c r="BC558"/>
  <c r="BD558"/>
  <c r="BE558"/>
  <c r="BF558"/>
  <c r="BG558"/>
  <c r="BI558"/>
  <c r="BJ558"/>
  <c r="BK558"/>
  <c r="BL558"/>
  <c r="BM558"/>
  <c r="BN558"/>
  <c r="BO558"/>
  <c r="BP558"/>
  <c r="G560"/>
  <c r="H560"/>
  <c r="I560"/>
  <c r="J560"/>
  <c r="K560"/>
  <c r="L560"/>
  <c r="M560"/>
  <c r="N560"/>
  <c r="P560"/>
  <c r="Q560"/>
  <c r="R560"/>
  <c r="S560"/>
  <c r="T560"/>
  <c r="U560"/>
  <c r="V560"/>
  <c r="W560"/>
  <c r="Y560"/>
  <c r="Z560"/>
  <c r="AA560"/>
  <c r="AB560"/>
  <c r="AC560"/>
  <c r="AD560"/>
  <c r="AE560"/>
  <c r="AF560"/>
  <c r="AH560"/>
  <c r="AI560"/>
  <c r="AJ560"/>
  <c r="AK560"/>
  <c r="AL560"/>
  <c r="AM560"/>
  <c r="AN560"/>
  <c r="AO560"/>
  <c r="AQ560"/>
  <c r="AR560"/>
  <c r="AS560"/>
  <c r="AT560"/>
  <c r="AU560"/>
  <c r="AV560"/>
  <c r="AW560"/>
  <c r="AX560"/>
  <c r="AZ560"/>
  <c r="BA560"/>
  <c r="BB560"/>
  <c r="BC560"/>
  <c r="BD560"/>
  <c r="BE560"/>
  <c r="BF560"/>
  <c r="BG560"/>
  <c r="BI560"/>
  <c r="BJ560"/>
  <c r="BK560"/>
  <c r="BL560"/>
  <c r="BM560"/>
  <c r="BN560"/>
  <c r="BO560"/>
  <c r="BP560"/>
  <c r="G561"/>
  <c r="H561"/>
  <c r="I561"/>
  <c r="J561"/>
  <c r="K561"/>
  <c r="L561"/>
  <c r="M561"/>
  <c r="N561"/>
  <c r="P561"/>
  <c r="Q561"/>
  <c r="R561"/>
  <c r="S561"/>
  <c r="T561"/>
  <c r="U561"/>
  <c r="V561"/>
  <c r="W561"/>
  <c r="Y561"/>
  <c r="Z561"/>
  <c r="AA561"/>
  <c r="AB561"/>
  <c r="AC561"/>
  <c r="AD561"/>
  <c r="AE561"/>
  <c r="AF561"/>
  <c r="AH561"/>
  <c r="AI561"/>
  <c r="AJ561"/>
  <c r="AK561"/>
  <c r="AL561"/>
  <c r="AM561"/>
  <c r="AN561"/>
  <c r="AO561"/>
  <c r="AQ561"/>
  <c r="AR561"/>
  <c r="AS561"/>
  <c r="AT561"/>
  <c r="AU561"/>
  <c r="AV561"/>
  <c r="AW561"/>
  <c r="AX561"/>
  <c r="AZ561"/>
  <c r="BA561"/>
  <c r="BB561"/>
  <c r="BC561"/>
  <c r="BD561"/>
  <c r="BE561"/>
  <c r="BF561"/>
  <c r="BG561"/>
  <c r="BI561"/>
  <c r="BJ561"/>
  <c r="BK561"/>
  <c r="BL561"/>
  <c r="BM561"/>
  <c r="BN561"/>
  <c r="BO561"/>
  <c r="BP561"/>
  <c r="G564"/>
  <c r="H564"/>
  <c r="I564"/>
  <c r="J564"/>
  <c r="K564"/>
  <c r="L564"/>
  <c r="M564"/>
  <c r="N564"/>
  <c r="P564"/>
  <c r="Q564"/>
  <c r="R564"/>
  <c r="S564"/>
  <c r="T564"/>
  <c r="U564"/>
  <c r="V564"/>
  <c r="W564"/>
  <c r="Y564"/>
  <c r="Z564"/>
  <c r="AA564"/>
  <c r="AB564"/>
  <c r="AC564"/>
  <c r="AD564"/>
  <c r="AE564"/>
  <c r="AF564"/>
  <c r="AH564"/>
  <c r="AI564"/>
  <c r="AJ564"/>
  <c r="AK564"/>
  <c r="AL564"/>
  <c r="AM564"/>
  <c r="AN564"/>
  <c r="AO564"/>
  <c r="AQ564"/>
  <c r="AR564"/>
  <c r="AS564"/>
  <c r="AT564"/>
  <c r="AU564"/>
  <c r="AV564"/>
  <c r="AW564"/>
  <c r="AX564"/>
  <c r="AZ564"/>
  <c r="BA564"/>
  <c r="BB564"/>
  <c r="BC564"/>
  <c r="BD564"/>
  <c r="BE564"/>
  <c r="BF564"/>
  <c r="BG564"/>
  <c r="BI564"/>
  <c r="BJ564"/>
  <c r="BK564"/>
  <c r="BL564"/>
  <c r="BM564"/>
  <c r="BN564"/>
  <c r="BO564"/>
  <c r="BP564"/>
  <c r="P566"/>
  <c r="Q566"/>
  <c r="R566"/>
  <c r="S566"/>
  <c r="T566"/>
  <c r="U566"/>
  <c r="V566"/>
  <c r="W566"/>
  <c r="Y566"/>
  <c r="Z566"/>
  <c r="AA566"/>
  <c r="AB566"/>
  <c r="AC566"/>
  <c r="AD566"/>
  <c r="AE566"/>
  <c r="AF566"/>
  <c r="AH566"/>
  <c r="AI566"/>
  <c r="AJ566"/>
  <c r="AK566"/>
  <c r="AL566"/>
  <c r="AM566"/>
  <c r="AN566"/>
  <c r="AO566"/>
  <c r="AQ566"/>
  <c r="AR566"/>
  <c r="AS566"/>
  <c r="AT566"/>
  <c r="AU566"/>
  <c r="AV566"/>
  <c r="AW566"/>
  <c r="AX566"/>
  <c r="AZ566"/>
  <c r="BA566"/>
  <c r="BB566"/>
  <c r="BC566"/>
  <c r="BD566"/>
  <c r="BE566"/>
  <c r="BF566"/>
  <c r="BG566"/>
  <c r="BI566"/>
  <c r="BJ566"/>
  <c r="BK566"/>
  <c r="BL566"/>
  <c r="BM566"/>
  <c r="BN566"/>
  <c r="BO566"/>
  <c r="BP566"/>
  <c r="G568"/>
  <c r="H568"/>
  <c r="I568"/>
  <c r="J568"/>
  <c r="K568"/>
  <c r="L568"/>
  <c r="M568"/>
  <c r="N568"/>
  <c r="P568"/>
  <c r="Q568"/>
  <c r="R568"/>
  <c r="S568"/>
  <c r="T568"/>
  <c r="U568"/>
  <c r="V568"/>
  <c r="W568"/>
  <c r="Y568"/>
  <c r="Z568"/>
  <c r="AA568"/>
  <c r="AB568"/>
  <c r="AC568"/>
  <c r="AD568"/>
  <c r="AE568"/>
  <c r="AF568"/>
  <c r="AH568"/>
  <c r="AI568"/>
  <c r="AJ568"/>
  <c r="AK568"/>
  <c r="AL568"/>
  <c r="AM568"/>
  <c r="AN568"/>
  <c r="AO568"/>
  <c r="AQ568"/>
  <c r="AR568"/>
  <c r="AS568"/>
  <c r="AT568"/>
  <c r="AU568"/>
  <c r="AV568"/>
  <c r="AW568"/>
  <c r="AX568"/>
  <c r="AZ568"/>
  <c r="BA568"/>
  <c r="BB568"/>
  <c r="BC568"/>
  <c r="BD568"/>
  <c r="BE568"/>
  <c r="BF568"/>
  <c r="BG568"/>
  <c r="BI568"/>
  <c r="BJ568"/>
  <c r="BK568"/>
  <c r="BL568"/>
  <c r="BM568"/>
  <c r="BN568"/>
  <c r="BO568"/>
  <c r="BP568"/>
  <c r="G571"/>
  <c r="H571"/>
  <c r="I571"/>
  <c r="J571"/>
  <c r="K571"/>
  <c r="L571"/>
  <c r="M571"/>
  <c r="N571"/>
  <c r="P571"/>
  <c r="Q571"/>
  <c r="R571"/>
  <c r="S571"/>
  <c r="T571"/>
  <c r="U571"/>
  <c r="V571"/>
  <c r="W571"/>
  <c r="Y571"/>
  <c r="Z571"/>
  <c r="AA571"/>
  <c r="AB571"/>
  <c r="AC571"/>
  <c r="AD571"/>
  <c r="AE571"/>
  <c r="AF571"/>
  <c r="AH571"/>
  <c r="AI571"/>
  <c r="AJ571"/>
  <c r="AK571"/>
  <c r="AL571"/>
  <c r="AM571"/>
  <c r="AN571"/>
  <c r="AO571"/>
  <c r="AZ571"/>
  <c r="BA571"/>
  <c r="BB571"/>
  <c r="BC571"/>
  <c r="BD571"/>
  <c r="BE571"/>
  <c r="BF571"/>
  <c r="BG571"/>
  <c r="BI571"/>
  <c r="BJ571"/>
  <c r="BK571"/>
  <c r="BL571"/>
  <c r="BM571"/>
  <c r="BN571"/>
  <c r="BO571"/>
  <c r="BP571"/>
  <c r="G572"/>
  <c r="H572"/>
  <c r="I572"/>
  <c r="J572"/>
  <c r="K572"/>
  <c r="L572"/>
  <c r="M572"/>
  <c r="N572"/>
  <c r="P572"/>
  <c r="Q572"/>
  <c r="R572"/>
  <c r="S572"/>
  <c r="T572"/>
  <c r="U572"/>
  <c r="V572"/>
  <c r="W572"/>
  <c r="Y572"/>
  <c r="Z572"/>
  <c r="AA572"/>
  <c r="AB572"/>
  <c r="AC572"/>
  <c r="AD572"/>
  <c r="AE572"/>
  <c r="AF572"/>
  <c r="AH572"/>
  <c r="AI572"/>
  <c r="AJ572"/>
  <c r="AK572"/>
  <c r="AL572"/>
  <c r="AM572"/>
  <c r="AN572"/>
  <c r="AO572"/>
  <c r="AZ572"/>
  <c r="BA572"/>
  <c r="BB572"/>
  <c r="BC572"/>
  <c r="BD572"/>
  <c r="BE572"/>
  <c r="BF572"/>
  <c r="BG572"/>
  <c r="BI572"/>
  <c r="BJ572"/>
  <c r="BK572"/>
  <c r="BL572"/>
  <c r="BM572"/>
  <c r="BN572"/>
  <c r="BO572"/>
  <c r="BP572"/>
  <c r="G573"/>
  <c r="H573"/>
  <c r="I573"/>
  <c r="J573"/>
  <c r="K573"/>
  <c r="L573"/>
  <c r="M573"/>
  <c r="N573"/>
  <c r="P573"/>
  <c r="Q573"/>
  <c r="R573"/>
  <c r="S573"/>
  <c r="T573"/>
  <c r="U573"/>
  <c r="V573"/>
  <c r="W573"/>
  <c r="Y573"/>
  <c r="Z573"/>
  <c r="AA573"/>
  <c r="AB573"/>
  <c r="AC573"/>
  <c r="AD573"/>
  <c r="AE573"/>
  <c r="AF573"/>
  <c r="AH573"/>
  <c r="AI573"/>
  <c r="AJ573"/>
  <c r="AK573"/>
  <c r="AL573"/>
  <c r="AM573"/>
  <c r="AN573"/>
  <c r="AO573"/>
  <c r="AZ573"/>
  <c r="BA573"/>
  <c r="BB573"/>
  <c r="BC573"/>
  <c r="BD573"/>
  <c r="BE573"/>
  <c r="BF573"/>
  <c r="BG573"/>
  <c r="BI573"/>
  <c r="BJ573"/>
  <c r="BK573"/>
  <c r="BL573"/>
  <c r="BM573"/>
  <c r="BN573"/>
  <c r="BO573"/>
  <c r="BP573"/>
  <c r="G575"/>
  <c r="H575"/>
  <c r="I575"/>
  <c r="J575"/>
  <c r="K575"/>
  <c r="L575"/>
  <c r="M575"/>
  <c r="N575"/>
  <c r="P575"/>
  <c r="Q575"/>
  <c r="R575"/>
  <c r="S575"/>
  <c r="T575"/>
  <c r="U575"/>
  <c r="V575"/>
  <c r="W575"/>
  <c r="Y575"/>
  <c r="Z575"/>
  <c r="AA575"/>
  <c r="AB575"/>
  <c r="AC575"/>
  <c r="AD575"/>
  <c r="AE575"/>
  <c r="AF575"/>
  <c r="AH575"/>
  <c r="AI575"/>
  <c r="AJ575"/>
  <c r="AK575"/>
  <c r="AL575"/>
  <c r="AM575"/>
  <c r="AN575"/>
  <c r="AO575"/>
  <c r="AQ575"/>
  <c r="AR575"/>
  <c r="AS575"/>
  <c r="AT575"/>
  <c r="AU575"/>
  <c r="AV575"/>
  <c r="AW575"/>
  <c r="AX575"/>
  <c r="AZ575"/>
  <c r="BA575"/>
  <c r="BB575"/>
  <c r="BC575"/>
  <c r="BD575"/>
  <c r="BE575"/>
  <c r="BF575"/>
  <c r="BG575"/>
  <c r="BI575"/>
  <c r="BJ575"/>
  <c r="BK575"/>
  <c r="BL575"/>
  <c r="BM575"/>
  <c r="BN575"/>
  <c r="BO575"/>
  <c r="BP575"/>
  <c r="G576"/>
  <c r="H576"/>
  <c r="I576"/>
  <c r="J576"/>
  <c r="K576"/>
  <c r="L576"/>
  <c r="M576"/>
  <c r="N576"/>
  <c r="P576"/>
  <c r="Q576"/>
  <c r="R576"/>
  <c r="S576"/>
  <c r="T576"/>
  <c r="U576"/>
  <c r="V576"/>
  <c r="W576"/>
  <c r="Y576"/>
  <c r="Z576"/>
  <c r="AA576"/>
  <c r="AB576"/>
  <c r="AC576"/>
  <c r="AD576"/>
  <c r="AE576"/>
  <c r="AF576"/>
  <c r="AH576"/>
  <c r="AI576"/>
  <c r="AJ576"/>
  <c r="AK576"/>
  <c r="AL576"/>
  <c r="AM576"/>
  <c r="AN576"/>
  <c r="AO576"/>
  <c r="AQ576"/>
  <c r="AR576"/>
  <c r="AS576"/>
  <c r="AT576"/>
  <c r="AU576"/>
  <c r="AV576"/>
  <c r="AW576"/>
  <c r="AX576"/>
  <c r="AZ576"/>
  <c r="BA576"/>
  <c r="BB576"/>
  <c r="BC576"/>
  <c r="BD576"/>
  <c r="BE576"/>
  <c r="BF576"/>
  <c r="BG576"/>
  <c r="BI576"/>
  <c r="BJ576"/>
  <c r="BK576"/>
  <c r="BL576"/>
  <c r="BM576"/>
  <c r="BN576"/>
  <c r="BO576"/>
  <c r="BP576"/>
  <c r="G577"/>
  <c r="H577"/>
  <c r="I577"/>
  <c r="J577"/>
  <c r="K577"/>
  <c r="L577"/>
  <c r="M577"/>
  <c r="G578"/>
  <c r="H578"/>
  <c r="I578"/>
  <c r="J578"/>
  <c r="K578"/>
  <c r="L578"/>
  <c r="M578"/>
  <c r="G581"/>
  <c r="H581"/>
  <c r="I581"/>
  <c r="J581"/>
  <c r="K581"/>
  <c r="L581"/>
  <c r="M581"/>
  <c r="P581"/>
  <c r="Q581"/>
  <c r="R581"/>
  <c r="S581"/>
  <c r="T581"/>
  <c r="U581"/>
  <c r="V581"/>
  <c r="Y581"/>
  <c r="Z581"/>
  <c r="AA581"/>
  <c r="AB581"/>
  <c r="AC581"/>
  <c r="AD581"/>
  <c r="AE581"/>
  <c r="AH581"/>
  <c r="AI581"/>
  <c r="AJ581"/>
  <c r="AK581"/>
  <c r="AL581"/>
  <c r="AM581"/>
  <c r="AN581"/>
  <c r="AQ581"/>
  <c r="AR581"/>
  <c r="AS581"/>
  <c r="AT581"/>
  <c r="AU581"/>
  <c r="AV581"/>
  <c r="AW581"/>
  <c r="AZ581"/>
  <c r="BA581"/>
  <c r="BB581"/>
  <c r="BC581"/>
  <c r="BD581"/>
  <c r="BE581"/>
  <c r="BF581"/>
  <c r="BI581"/>
  <c r="BJ581"/>
  <c r="BK581"/>
  <c r="BL581"/>
  <c r="BM581"/>
  <c r="BN581"/>
  <c r="BO581"/>
  <c r="G582"/>
  <c r="H582"/>
  <c r="I582"/>
  <c r="J582"/>
  <c r="K582"/>
  <c r="L582"/>
  <c r="M582"/>
  <c r="P582"/>
  <c r="Q582"/>
  <c r="R582"/>
  <c r="S582"/>
  <c r="T582"/>
  <c r="U582"/>
  <c r="V582"/>
  <c r="Y582"/>
  <c r="Z582"/>
  <c r="AA582"/>
  <c r="AB582"/>
  <c r="AC582"/>
  <c r="AD582"/>
  <c r="AE582"/>
  <c r="AH582"/>
  <c r="AI582"/>
  <c r="AJ582"/>
  <c r="AK582"/>
  <c r="AL582"/>
  <c r="AM582"/>
  <c r="AN582"/>
  <c r="AQ582"/>
  <c r="AR582"/>
  <c r="AS582"/>
  <c r="AT582"/>
  <c r="AU582"/>
  <c r="AV582"/>
  <c r="AW582"/>
  <c r="AZ582"/>
  <c r="BA582"/>
  <c r="BB582"/>
  <c r="BC582"/>
  <c r="BD582"/>
  <c r="BE582"/>
  <c r="BF582"/>
  <c r="BI582"/>
  <c r="BJ582"/>
  <c r="BK582"/>
  <c r="BL582"/>
  <c r="BM582"/>
  <c r="BN582"/>
  <c r="BO582"/>
  <c r="P585"/>
  <c r="Q585"/>
  <c r="R585"/>
  <c r="S585"/>
  <c r="T585"/>
  <c r="U585"/>
  <c r="V585"/>
  <c r="W585"/>
  <c r="Y585"/>
  <c r="Z585"/>
  <c r="AA585"/>
  <c r="AB585"/>
  <c r="AC585"/>
  <c r="AD585"/>
  <c r="AE585"/>
  <c r="AF585"/>
  <c r="AH585"/>
  <c r="AI585"/>
  <c r="AJ585"/>
  <c r="AK585"/>
  <c r="AL585"/>
  <c r="AM585"/>
  <c r="AN585"/>
  <c r="AO585"/>
  <c r="AQ585"/>
  <c r="AR585"/>
  <c r="AS585"/>
  <c r="AT585"/>
  <c r="AU585"/>
  <c r="AV585"/>
  <c r="AW585"/>
  <c r="AX585"/>
  <c r="AZ585"/>
  <c r="BA585"/>
  <c r="BB585"/>
  <c r="BC585"/>
  <c r="BD585"/>
  <c r="BE585"/>
  <c r="BF585"/>
  <c r="BG585"/>
  <c r="BI585"/>
  <c r="BJ585"/>
  <c r="BK585"/>
  <c r="BL585"/>
  <c r="BM585"/>
  <c r="BN585"/>
  <c r="BO585"/>
  <c r="BP585"/>
  <c r="P586"/>
  <c r="Q586"/>
  <c r="R586"/>
  <c r="S586"/>
  <c r="T586"/>
  <c r="U586"/>
  <c r="V586"/>
  <c r="W586"/>
  <c r="Y586"/>
  <c r="Z586"/>
  <c r="AA586"/>
  <c r="AB586"/>
  <c r="AC586"/>
  <c r="AD586"/>
  <c r="AE586"/>
  <c r="AF586"/>
  <c r="AH586"/>
  <c r="AI586"/>
  <c r="AJ586"/>
  <c r="AK586"/>
  <c r="AL586"/>
  <c r="AM586"/>
  <c r="AN586"/>
  <c r="AO586"/>
  <c r="AZ586"/>
  <c r="BA586"/>
  <c r="BB586"/>
  <c r="BC586"/>
  <c r="BD586"/>
  <c r="BE586"/>
  <c r="BF586"/>
  <c r="BG586"/>
  <c r="BI586"/>
  <c r="BJ586"/>
  <c r="BK586"/>
  <c r="BL586"/>
  <c r="BM586"/>
  <c r="BN586"/>
  <c r="BO586"/>
  <c r="BP586"/>
  <c r="P587"/>
  <c r="Q587"/>
  <c r="R587"/>
  <c r="S587"/>
  <c r="T587"/>
  <c r="U587"/>
  <c r="V587"/>
  <c r="W587"/>
  <c r="Y587"/>
  <c r="Z587"/>
  <c r="AA587"/>
  <c r="AB587"/>
  <c r="AC587"/>
  <c r="AD587"/>
  <c r="AE587"/>
  <c r="AF587"/>
  <c r="AH587"/>
  <c r="AI587"/>
  <c r="AJ587"/>
  <c r="AK587"/>
  <c r="AL587"/>
  <c r="AM587"/>
  <c r="AN587"/>
  <c r="AO587"/>
  <c r="AQ587"/>
  <c r="AR587"/>
  <c r="AS587"/>
  <c r="AT587"/>
  <c r="AU587"/>
  <c r="AV587"/>
  <c r="AW587"/>
  <c r="AX587"/>
  <c r="AZ587"/>
  <c r="BA587"/>
  <c r="BB587"/>
  <c r="BC587"/>
  <c r="BD587"/>
  <c r="BE587"/>
  <c r="BF587"/>
  <c r="BG587"/>
  <c r="BI587"/>
  <c r="BJ587"/>
  <c r="BK587"/>
  <c r="BL587"/>
  <c r="BM587"/>
  <c r="BN587"/>
  <c r="BO587"/>
  <c r="BP587"/>
  <c r="P588"/>
  <c r="Q588"/>
  <c r="R588"/>
  <c r="S588"/>
  <c r="T588"/>
  <c r="U588"/>
  <c r="V588"/>
  <c r="W588"/>
  <c r="Y588"/>
  <c r="Z588"/>
  <c r="AA588"/>
  <c r="AB588"/>
  <c r="AC588"/>
  <c r="AD588"/>
  <c r="AE588"/>
  <c r="AF588"/>
  <c r="AH588"/>
  <c r="AI588"/>
  <c r="AJ588"/>
  <c r="AK588"/>
  <c r="AL588"/>
  <c r="AM588"/>
  <c r="AN588"/>
  <c r="AO588"/>
  <c r="AZ588"/>
  <c r="BA588"/>
  <c r="BB588"/>
  <c r="BC588"/>
  <c r="BD588"/>
  <c r="BE588"/>
  <c r="BF588"/>
  <c r="BG588"/>
  <c r="BI588"/>
  <c r="BJ588"/>
  <c r="BK588"/>
  <c r="BL588"/>
  <c r="BM588"/>
  <c r="BN588"/>
  <c r="BO588"/>
  <c r="BP588"/>
  <c r="P589"/>
  <c r="Q589"/>
  <c r="R589"/>
  <c r="S589"/>
  <c r="T589"/>
  <c r="U589"/>
  <c r="V589"/>
  <c r="W589"/>
  <c r="Y589"/>
  <c r="Z589"/>
  <c r="AA589"/>
  <c r="AB589"/>
  <c r="AC589"/>
  <c r="AD589"/>
  <c r="AE589"/>
  <c r="AF589"/>
  <c r="AH589"/>
  <c r="AI589"/>
  <c r="AJ589"/>
  <c r="AK589"/>
  <c r="AL589"/>
  <c r="AM589"/>
  <c r="AN589"/>
  <c r="AO589"/>
  <c r="AQ589"/>
  <c r="AR589"/>
  <c r="AS589"/>
  <c r="AT589"/>
  <c r="AU589"/>
  <c r="AV589"/>
  <c r="AW589"/>
  <c r="AX589"/>
  <c r="AZ589"/>
  <c r="BA589"/>
  <c r="BB589"/>
  <c r="BC589"/>
  <c r="BD589"/>
  <c r="BE589"/>
  <c r="BF589"/>
  <c r="BG589"/>
  <c r="BI589"/>
  <c r="BJ589"/>
  <c r="BK589"/>
  <c r="BL589"/>
  <c r="BM589"/>
  <c r="BN589"/>
  <c r="BO589"/>
  <c r="BP589"/>
  <c r="P591"/>
  <c r="Q591"/>
  <c r="R591"/>
  <c r="S591"/>
  <c r="T591"/>
  <c r="U591"/>
  <c r="V591"/>
  <c r="W591"/>
  <c r="Y591"/>
  <c r="Z591"/>
  <c r="AA591"/>
  <c r="AB591"/>
  <c r="AC591"/>
  <c r="AD591"/>
  <c r="AE591"/>
  <c r="AF591"/>
  <c r="AH591"/>
  <c r="AI591"/>
  <c r="AJ591"/>
  <c r="AK591"/>
  <c r="AL591"/>
  <c r="AM591"/>
  <c r="AN591"/>
  <c r="AO591"/>
  <c r="AQ591"/>
  <c r="AR591"/>
  <c r="AS591"/>
  <c r="AT591"/>
  <c r="AU591"/>
  <c r="AV591"/>
  <c r="AW591"/>
  <c r="AX591"/>
  <c r="AZ591"/>
  <c r="BA591"/>
  <c r="BB591"/>
  <c r="BC591"/>
  <c r="BD591"/>
  <c r="BE591"/>
  <c r="BF591"/>
  <c r="BG591"/>
  <c r="BI591"/>
  <c r="BJ591"/>
  <c r="BK591"/>
  <c r="BL591"/>
  <c r="BM591"/>
  <c r="BN591"/>
  <c r="BO591"/>
  <c r="BP591"/>
  <c r="G594"/>
  <c r="H594"/>
  <c r="I594"/>
  <c r="J594"/>
  <c r="K594"/>
  <c r="L594"/>
  <c r="M594"/>
  <c r="P594"/>
  <c r="Q594"/>
  <c r="R594"/>
  <c r="S594"/>
  <c r="T594"/>
  <c r="U594"/>
  <c r="V594"/>
  <c r="Y594"/>
  <c r="Z594"/>
  <c r="AA594"/>
  <c r="AB594"/>
  <c r="AC594"/>
  <c r="AD594"/>
  <c r="AE594"/>
  <c r="AH594"/>
  <c r="AI594"/>
  <c r="AJ594"/>
  <c r="AK594"/>
  <c r="AL594"/>
  <c r="AM594"/>
  <c r="AN594"/>
  <c r="AQ594"/>
  <c r="AR594"/>
  <c r="AS594"/>
  <c r="AT594"/>
  <c r="AU594"/>
  <c r="AV594"/>
  <c r="AW594"/>
  <c r="AZ594"/>
  <c r="BA594"/>
  <c r="BB594"/>
  <c r="BC594"/>
  <c r="BD594"/>
  <c r="BE594"/>
  <c r="BF594"/>
  <c r="BI594"/>
  <c r="BJ594"/>
  <c r="BK594"/>
  <c r="BL594"/>
  <c r="BM594"/>
  <c r="BN594"/>
  <c r="BO594"/>
  <c r="G595"/>
  <c r="H595"/>
  <c r="I595"/>
  <c r="J595"/>
  <c r="K595"/>
  <c r="L595"/>
  <c r="M595"/>
  <c r="P595"/>
  <c r="Q595"/>
  <c r="R595"/>
  <c r="S595"/>
  <c r="T595"/>
  <c r="U595"/>
  <c r="V595"/>
  <c r="Y595"/>
  <c r="Z595"/>
  <c r="AA595"/>
  <c r="AB595"/>
  <c r="AC595"/>
  <c r="AD595"/>
  <c r="AE595"/>
  <c r="AH595"/>
  <c r="AI595"/>
  <c r="AJ595"/>
  <c r="AK595"/>
  <c r="AL595"/>
  <c r="AM595"/>
  <c r="AN595"/>
  <c r="AQ595"/>
  <c r="AR595"/>
  <c r="AS595"/>
  <c r="AT595"/>
  <c r="AU595"/>
  <c r="AV595"/>
  <c r="AW595"/>
  <c r="AZ595"/>
  <c r="BA595"/>
  <c r="BB595"/>
  <c r="BC595"/>
  <c r="BD595"/>
  <c r="BE595"/>
  <c r="BF595"/>
  <c r="BI595"/>
  <c r="BJ595"/>
  <c r="BK595"/>
  <c r="BL595"/>
  <c r="BM595"/>
  <c r="BN595"/>
  <c r="BO595"/>
  <c r="P597"/>
  <c r="Q597"/>
  <c r="R597"/>
  <c r="S597"/>
  <c r="T597"/>
  <c r="U597"/>
  <c r="V597"/>
  <c r="Y597"/>
  <c r="Z597"/>
  <c r="AA597"/>
  <c r="AB597"/>
  <c r="AC597"/>
  <c r="AD597"/>
  <c r="AE597"/>
  <c r="AH597"/>
  <c r="AI597"/>
  <c r="AJ597"/>
  <c r="AK597"/>
  <c r="AL597"/>
  <c r="AM597"/>
  <c r="AN597"/>
  <c r="AQ597"/>
  <c r="AR597"/>
  <c r="AS597"/>
  <c r="AT597"/>
  <c r="AU597"/>
  <c r="AV597"/>
  <c r="AW597"/>
  <c r="AZ597"/>
  <c r="BA597"/>
  <c r="BB597"/>
  <c r="BC597"/>
  <c r="BD597"/>
  <c r="BE597"/>
  <c r="BF597"/>
  <c r="BI597"/>
  <c r="BJ597"/>
  <c r="BK597"/>
  <c r="BL597"/>
  <c r="BM597"/>
  <c r="BN597"/>
  <c r="BO597"/>
  <c r="P599"/>
  <c r="Q599"/>
  <c r="R599"/>
  <c r="S599"/>
  <c r="T599"/>
  <c r="U599"/>
  <c r="V599"/>
  <c r="Y599"/>
  <c r="Z599"/>
  <c r="AA599"/>
  <c r="AB599"/>
  <c r="AC599"/>
  <c r="AD599"/>
  <c r="AE599"/>
  <c r="AH599"/>
  <c r="AI599"/>
  <c r="AJ599"/>
  <c r="AK599"/>
  <c r="AL599"/>
  <c r="AM599"/>
  <c r="AN599"/>
  <c r="AQ599"/>
  <c r="AR599"/>
  <c r="AS599"/>
  <c r="AT599"/>
  <c r="AU599"/>
  <c r="AV599"/>
  <c r="AW599"/>
  <c r="AZ599"/>
  <c r="BA599"/>
  <c r="BB599"/>
  <c r="BC599"/>
  <c r="BD599"/>
  <c r="BE599"/>
  <c r="BF599"/>
  <c r="BI599"/>
  <c r="BJ599"/>
  <c r="BK599"/>
  <c r="BL599"/>
  <c r="BM599"/>
  <c r="BN599"/>
  <c r="BO599"/>
  <c r="G601"/>
  <c r="H601"/>
  <c r="I601"/>
  <c r="J601"/>
  <c r="K601"/>
  <c r="L601"/>
  <c r="M601"/>
  <c r="P601"/>
  <c r="Q601"/>
  <c r="R601"/>
  <c r="S601"/>
  <c r="T601"/>
  <c r="U601"/>
  <c r="V601"/>
  <c r="Y601"/>
  <c r="Z601"/>
  <c r="AA601"/>
  <c r="AB601"/>
  <c r="AC601"/>
  <c r="AD601"/>
  <c r="AE601"/>
  <c r="AH601"/>
  <c r="AI601"/>
  <c r="AJ601"/>
  <c r="AK601"/>
  <c r="AL601"/>
  <c r="AM601"/>
  <c r="AN601"/>
  <c r="AQ601"/>
  <c r="AR601"/>
  <c r="AS601"/>
  <c r="AT601"/>
  <c r="AU601"/>
  <c r="AV601"/>
  <c r="AW601"/>
  <c r="AZ601"/>
  <c r="BA601"/>
  <c r="BB601"/>
  <c r="BC601"/>
  <c r="BD601"/>
  <c r="BE601"/>
  <c r="BF601"/>
  <c r="BI601"/>
  <c r="BJ601"/>
  <c r="BK601"/>
  <c r="BL601"/>
  <c r="BM601"/>
  <c r="BN601"/>
  <c r="BO601"/>
  <c r="G606"/>
  <c r="H606"/>
  <c r="I606"/>
  <c r="J606"/>
  <c r="K606"/>
  <c r="L606"/>
  <c r="M606"/>
  <c r="N606"/>
  <c r="P606"/>
  <c r="Q606"/>
  <c r="R606"/>
  <c r="S606"/>
  <c r="T606"/>
  <c r="U606"/>
  <c r="V606"/>
  <c r="W606"/>
  <c r="Y606"/>
  <c r="Z606"/>
  <c r="AA606"/>
  <c r="AB606"/>
  <c r="AC606"/>
  <c r="AD606"/>
  <c r="AE606"/>
  <c r="AF606"/>
  <c r="AH606"/>
  <c r="AI606"/>
  <c r="AJ606"/>
  <c r="AK606"/>
  <c r="AL606"/>
  <c r="AM606"/>
  <c r="AN606"/>
  <c r="AO606"/>
  <c r="AQ606"/>
  <c r="AR606"/>
  <c r="AS606"/>
  <c r="AT606"/>
  <c r="AU606"/>
  <c r="AV606"/>
  <c r="AW606"/>
  <c r="AX606"/>
  <c r="AZ606"/>
  <c r="BA606"/>
  <c r="BB606"/>
  <c r="BC606"/>
  <c r="BD606"/>
  <c r="BE606"/>
  <c r="BF606"/>
  <c r="BG606"/>
  <c r="BI606"/>
  <c r="BJ606"/>
  <c r="BK606"/>
  <c r="BL606"/>
  <c r="BM606"/>
  <c r="BN606"/>
  <c r="BO606"/>
  <c r="BP606"/>
  <c r="G608"/>
  <c r="H608"/>
  <c r="I608"/>
  <c r="J608"/>
  <c r="K608"/>
  <c r="L608"/>
  <c r="M608"/>
  <c r="N608"/>
  <c r="P608"/>
  <c r="Q608"/>
  <c r="R608"/>
  <c r="S608"/>
  <c r="T608"/>
  <c r="U608"/>
  <c r="V608"/>
  <c r="W608"/>
  <c r="Y608"/>
  <c r="Z608"/>
  <c r="AA608"/>
  <c r="AB608"/>
  <c r="AC608"/>
  <c r="AD608"/>
  <c r="AE608"/>
  <c r="AF608"/>
  <c r="AH608"/>
  <c r="AI608"/>
  <c r="AJ608"/>
  <c r="AK608"/>
  <c r="AL608"/>
  <c r="AM608"/>
  <c r="AN608"/>
  <c r="AO608"/>
  <c r="AQ608"/>
  <c r="AR608"/>
  <c r="AS608"/>
  <c r="AT608"/>
  <c r="AU608"/>
  <c r="AV608"/>
  <c r="AW608"/>
  <c r="AX608"/>
  <c r="AZ608"/>
  <c r="BA608"/>
  <c r="BB608"/>
  <c r="BC608"/>
  <c r="BD608"/>
  <c r="BE608"/>
  <c r="BF608"/>
  <c r="BG608"/>
  <c r="BI608"/>
  <c r="BJ608"/>
  <c r="BK608"/>
  <c r="BL608"/>
  <c r="BM608"/>
  <c r="BN608"/>
  <c r="BO608"/>
  <c r="BP608"/>
  <c r="G609"/>
  <c r="H609"/>
  <c r="I609"/>
  <c r="J609"/>
  <c r="K609"/>
  <c r="L609"/>
  <c r="M609"/>
  <c r="N609"/>
  <c r="P609"/>
  <c r="Q609"/>
  <c r="R609"/>
  <c r="S609"/>
  <c r="T609"/>
  <c r="U609"/>
  <c r="V609"/>
  <c r="W609"/>
  <c r="Y609"/>
  <c r="Z609"/>
  <c r="AA609"/>
  <c r="AB609"/>
  <c r="AC609"/>
  <c r="AD609"/>
  <c r="AE609"/>
  <c r="AF609"/>
  <c r="AH609"/>
  <c r="AI609"/>
  <c r="AJ609"/>
  <c r="AK609"/>
  <c r="AL609"/>
  <c r="AM609"/>
  <c r="AN609"/>
  <c r="AO609"/>
  <c r="AQ609"/>
  <c r="AR609"/>
  <c r="AS609"/>
  <c r="AT609"/>
  <c r="AU609"/>
  <c r="AV609"/>
  <c r="AW609"/>
  <c r="AX609"/>
  <c r="AZ609"/>
  <c r="BA609"/>
  <c r="BB609"/>
  <c r="BC609"/>
  <c r="BD609"/>
  <c r="BE609"/>
  <c r="BF609"/>
  <c r="BG609"/>
  <c r="BI609"/>
  <c r="BJ609"/>
  <c r="BK609"/>
  <c r="BL609"/>
  <c r="BM609"/>
  <c r="BN609"/>
  <c r="BO609"/>
  <c r="BP609"/>
  <c r="G612"/>
  <c r="H612"/>
  <c r="I612"/>
  <c r="J612"/>
  <c r="K612"/>
  <c r="L612"/>
  <c r="M612"/>
  <c r="N612"/>
  <c r="P612"/>
  <c r="Q612"/>
  <c r="R612"/>
  <c r="S612"/>
  <c r="T612"/>
  <c r="U612"/>
  <c r="V612"/>
  <c r="W612"/>
  <c r="Y612"/>
  <c r="Z612"/>
  <c r="AA612"/>
  <c r="AB612"/>
  <c r="AC612"/>
  <c r="AD612"/>
  <c r="AE612"/>
  <c r="AF612"/>
  <c r="AH612"/>
  <c r="AI612"/>
  <c r="AJ612"/>
  <c r="AK612"/>
  <c r="AL612"/>
  <c r="AM612"/>
  <c r="AN612"/>
  <c r="AO612"/>
  <c r="AQ612"/>
  <c r="AR612"/>
  <c r="AS612"/>
  <c r="AT612"/>
  <c r="AU612"/>
  <c r="AV612"/>
  <c r="AW612"/>
  <c r="AX612"/>
  <c r="AZ612"/>
  <c r="BA612"/>
  <c r="BB612"/>
  <c r="BC612"/>
  <c r="BD612"/>
  <c r="BE612"/>
  <c r="BF612"/>
  <c r="BG612"/>
  <c r="BI612"/>
  <c r="BJ612"/>
  <c r="BK612"/>
  <c r="BL612"/>
  <c r="BM612"/>
  <c r="BN612"/>
  <c r="BO612"/>
  <c r="BP612"/>
  <c r="P614"/>
  <c r="Q614"/>
  <c r="R614"/>
  <c r="S614"/>
  <c r="T614"/>
  <c r="U614"/>
  <c r="V614"/>
  <c r="W614"/>
  <c r="Y614"/>
  <c r="Z614"/>
  <c r="AA614"/>
  <c r="AB614"/>
  <c r="AC614"/>
  <c r="AD614"/>
  <c r="AE614"/>
  <c r="AF614"/>
  <c r="AH614"/>
  <c r="AI614"/>
  <c r="AJ614"/>
  <c r="AK614"/>
  <c r="AL614"/>
  <c r="AM614"/>
  <c r="AN614"/>
  <c r="AO614"/>
  <c r="AQ614"/>
  <c r="AR614"/>
  <c r="AS614"/>
  <c r="AT614"/>
  <c r="AU614"/>
  <c r="AV614"/>
  <c r="AW614"/>
  <c r="AX614"/>
  <c r="AZ614"/>
  <c r="BA614"/>
  <c r="BB614"/>
  <c r="BC614"/>
  <c r="BD614"/>
  <c r="BE614"/>
  <c r="BF614"/>
  <c r="BG614"/>
  <c r="BI614"/>
  <c r="BJ614"/>
  <c r="BK614"/>
  <c r="BL614"/>
  <c r="BM614"/>
  <c r="BN614"/>
  <c r="BO614"/>
  <c r="BP614"/>
  <c r="G616"/>
  <c r="H616"/>
  <c r="I616"/>
  <c r="J616"/>
  <c r="K616"/>
  <c r="L616"/>
  <c r="M616"/>
  <c r="N616"/>
  <c r="P616"/>
  <c r="Q616"/>
  <c r="R616"/>
  <c r="S616"/>
  <c r="T616"/>
  <c r="U616"/>
  <c r="V616"/>
  <c r="W616"/>
  <c r="Y616"/>
  <c r="Z616"/>
  <c r="AA616"/>
  <c r="AB616"/>
  <c r="AC616"/>
  <c r="AD616"/>
  <c r="AE616"/>
  <c r="AF616"/>
  <c r="AH616"/>
  <c r="AI616"/>
  <c r="AJ616"/>
  <c r="AK616"/>
  <c r="AL616"/>
  <c r="AM616"/>
  <c r="AN616"/>
  <c r="AO616"/>
  <c r="AQ616"/>
  <c r="AR616"/>
  <c r="AS616"/>
  <c r="AT616"/>
  <c r="AU616"/>
  <c r="AV616"/>
  <c r="AW616"/>
  <c r="AX616"/>
  <c r="AZ616"/>
  <c r="BA616"/>
  <c r="BB616"/>
  <c r="BC616"/>
  <c r="BD616"/>
  <c r="BE616"/>
  <c r="BF616"/>
  <c r="BG616"/>
  <c r="BI616"/>
  <c r="BJ616"/>
  <c r="BK616"/>
  <c r="BL616"/>
  <c r="BM616"/>
  <c r="BN616"/>
  <c r="BO616"/>
  <c r="BP616"/>
  <c r="G619"/>
  <c r="H619"/>
  <c r="I619"/>
  <c r="J619"/>
  <c r="K619"/>
  <c r="L619"/>
  <c r="M619"/>
  <c r="N619"/>
  <c r="P619"/>
  <c r="Q619"/>
  <c r="R619"/>
  <c r="S619"/>
  <c r="T619"/>
  <c r="U619"/>
  <c r="V619"/>
  <c r="W619"/>
  <c r="Y619"/>
  <c r="Z619"/>
  <c r="AA619"/>
  <c r="AB619"/>
  <c r="AC619"/>
  <c r="AD619"/>
  <c r="AE619"/>
  <c r="AF619"/>
  <c r="AH619"/>
  <c r="AI619"/>
  <c r="AJ619"/>
  <c r="AK619"/>
  <c r="AL619"/>
  <c r="AM619"/>
  <c r="AN619"/>
  <c r="AO619"/>
  <c r="AZ619"/>
  <c r="BA619"/>
  <c r="BB619"/>
  <c r="BC619"/>
  <c r="BD619"/>
  <c r="BE619"/>
  <c r="BF619"/>
  <c r="BG619"/>
  <c r="BI619"/>
  <c r="BJ619"/>
  <c r="BK619"/>
  <c r="BL619"/>
  <c r="BM619"/>
  <c r="BN619"/>
  <c r="BO619"/>
  <c r="BP619"/>
  <c r="G620"/>
  <c r="H620"/>
  <c r="I620"/>
  <c r="J620"/>
  <c r="K620"/>
  <c r="L620"/>
  <c r="M620"/>
  <c r="N620"/>
  <c r="P620"/>
  <c r="Q620"/>
  <c r="R620"/>
  <c r="S620"/>
  <c r="T620"/>
  <c r="U620"/>
  <c r="V620"/>
  <c r="W620"/>
  <c r="Y620"/>
  <c r="Z620"/>
  <c r="AA620"/>
  <c r="AB620"/>
  <c r="AC620"/>
  <c r="AD620"/>
  <c r="AE620"/>
  <c r="AF620"/>
  <c r="AH620"/>
  <c r="AI620"/>
  <c r="AJ620"/>
  <c r="AK620"/>
  <c r="AL620"/>
  <c r="AM620"/>
  <c r="AN620"/>
  <c r="AO620"/>
  <c r="AZ620"/>
  <c r="BA620"/>
  <c r="BB620"/>
  <c r="BC620"/>
  <c r="BD620"/>
  <c r="BE620"/>
  <c r="BF620"/>
  <c r="BG620"/>
  <c r="BI620"/>
  <c r="BJ620"/>
  <c r="BK620"/>
  <c r="BL620"/>
  <c r="BM620"/>
  <c r="BN620"/>
  <c r="BO620"/>
  <c r="BP620"/>
  <c r="G621"/>
  <c r="H621"/>
  <c r="I621"/>
  <c r="J621"/>
  <c r="K621"/>
  <c r="L621"/>
  <c r="M621"/>
  <c r="N621"/>
  <c r="P621"/>
  <c r="Q621"/>
  <c r="R621"/>
  <c r="S621"/>
  <c r="T621"/>
  <c r="U621"/>
  <c r="V621"/>
  <c r="W621"/>
  <c r="Y621"/>
  <c r="Z621"/>
  <c r="AA621"/>
  <c r="AB621"/>
  <c r="AC621"/>
  <c r="AD621"/>
  <c r="AE621"/>
  <c r="AF621"/>
  <c r="AH621"/>
  <c r="AI621"/>
  <c r="AJ621"/>
  <c r="AK621"/>
  <c r="AL621"/>
  <c r="AM621"/>
  <c r="AN621"/>
  <c r="AO621"/>
  <c r="AZ621"/>
  <c r="BA621"/>
  <c r="BB621"/>
  <c r="BC621"/>
  <c r="BD621"/>
  <c r="BE621"/>
  <c r="BF621"/>
  <c r="BG621"/>
  <c r="BI621"/>
  <c r="BJ621"/>
  <c r="BK621"/>
  <c r="BL621"/>
  <c r="BM621"/>
  <c r="BN621"/>
  <c r="BO621"/>
  <c r="BP621"/>
  <c r="G623"/>
  <c r="H623"/>
  <c r="I623"/>
  <c r="J623"/>
  <c r="K623"/>
  <c r="L623"/>
  <c r="M623"/>
  <c r="N623"/>
  <c r="P623"/>
  <c r="Q623"/>
  <c r="R623"/>
  <c r="S623"/>
  <c r="T623"/>
  <c r="U623"/>
  <c r="V623"/>
  <c r="W623"/>
  <c r="Y623"/>
  <c r="Z623"/>
  <c r="AA623"/>
  <c r="AB623"/>
  <c r="AC623"/>
  <c r="AD623"/>
  <c r="AE623"/>
  <c r="AF623"/>
  <c r="AH623"/>
  <c r="AI623"/>
  <c r="AJ623"/>
  <c r="AK623"/>
  <c r="AL623"/>
  <c r="AM623"/>
  <c r="AN623"/>
  <c r="AO623"/>
  <c r="AQ623"/>
  <c r="AR623"/>
  <c r="AS623"/>
  <c r="AT623"/>
  <c r="AU623"/>
  <c r="AV623"/>
  <c r="AW623"/>
  <c r="AX623"/>
  <c r="AZ623"/>
  <c r="BA623"/>
  <c r="BB623"/>
  <c r="BC623"/>
  <c r="BD623"/>
  <c r="BE623"/>
  <c r="BF623"/>
  <c r="BG623"/>
  <c r="BI623"/>
  <c r="BJ623"/>
  <c r="BK623"/>
  <c r="BL623"/>
  <c r="BM623"/>
  <c r="BN623"/>
  <c r="BO623"/>
  <c r="BP623"/>
  <c r="G624"/>
  <c r="H624"/>
  <c r="I624"/>
  <c r="J624"/>
  <c r="K624"/>
  <c r="L624"/>
  <c r="M624"/>
  <c r="N624"/>
  <c r="P624"/>
  <c r="Q624"/>
  <c r="R624"/>
  <c r="S624"/>
  <c r="T624"/>
  <c r="U624"/>
  <c r="V624"/>
  <c r="W624"/>
  <c r="Y624"/>
  <c r="Z624"/>
  <c r="AA624"/>
  <c r="AB624"/>
  <c r="AC624"/>
  <c r="AD624"/>
  <c r="AE624"/>
  <c r="AF624"/>
  <c r="AH624"/>
  <c r="AI624"/>
  <c r="AJ624"/>
  <c r="AK624"/>
  <c r="AL624"/>
  <c r="AM624"/>
  <c r="AN624"/>
  <c r="AO624"/>
  <c r="AQ624"/>
  <c r="AR624"/>
  <c r="AS624"/>
  <c r="AT624"/>
  <c r="AU624"/>
  <c r="AV624"/>
  <c r="AW624"/>
  <c r="AX624"/>
  <c r="AZ624"/>
  <c r="BA624"/>
  <c r="BB624"/>
  <c r="BC624"/>
  <c r="BD624"/>
  <c r="BE624"/>
  <c r="BF624"/>
  <c r="BG624"/>
  <c r="BI624"/>
  <c r="BJ624"/>
  <c r="BK624"/>
  <c r="BL624"/>
  <c r="BM624"/>
  <c r="BN624"/>
  <c r="BO624"/>
  <c r="BP624"/>
  <c r="G625"/>
  <c r="H625"/>
  <c r="I625"/>
  <c r="J625"/>
  <c r="K625"/>
  <c r="L625"/>
  <c r="M625"/>
  <c r="G626"/>
  <c r="H626"/>
  <c r="I626"/>
  <c r="J626"/>
  <c r="K626"/>
  <c r="L626"/>
  <c r="M626"/>
  <c r="G629"/>
  <c r="H629"/>
  <c r="I629"/>
  <c r="J629"/>
  <c r="K629"/>
  <c r="L629"/>
  <c r="M629"/>
  <c r="P629"/>
  <c r="Q629"/>
  <c r="R629"/>
  <c r="S629"/>
  <c r="T629"/>
  <c r="U629"/>
  <c r="V629"/>
  <c r="Y629"/>
  <c r="Z629"/>
  <c r="AA629"/>
  <c r="AB629"/>
  <c r="AC629"/>
  <c r="AD629"/>
  <c r="AE629"/>
  <c r="AH629"/>
  <c r="AI629"/>
  <c r="AJ629"/>
  <c r="AK629"/>
  <c r="AL629"/>
  <c r="AM629"/>
  <c r="AN629"/>
  <c r="AQ629"/>
  <c r="AR629"/>
  <c r="AS629"/>
  <c r="AT629"/>
  <c r="AU629"/>
  <c r="AV629"/>
  <c r="AW629"/>
  <c r="AZ629"/>
  <c r="BA629"/>
  <c r="BB629"/>
  <c r="BC629"/>
  <c r="BD629"/>
  <c r="BE629"/>
  <c r="BF629"/>
  <c r="BI629"/>
  <c r="BJ629"/>
  <c r="BK629"/>
  <c r="BL629"/>
  <c r="BM629"/>
  <c r="BN629"/>
  <c r="BO629"/>
  <c r="G630"/>
  <c r="H630"/>
  <c r="I630"/>
  <c r="J630"/>
  <c r="K630"/>
  <c r="L630"/>
  <c r="M630"/>
  <c r="P630"/>
  <c r="Q630"/>
  <c r="R630"/>
  <c r="S630"/>
  <c r="T630"/>
  <c r="U630"/>
  <c r="V630"/>
  <c r="Y630"/>
  <c r="Z630"/>
  <c r="AA630"/>
  <c r="AB630"/>
  <c r="AC630"/>
  <c r="AD630"/>
  <c r="AE630"/>
  <c r="AH630"/>
  <c r="AI630"/>
  <c r="AJ630"/>
  <c r="AK630"/>
  <c r="AL630"/>
  <c r="AM630"/>
  <c r="AN630"/>
  <c r="AQ630"/>
  <c r="AR630"/>
  <c r="AS630"/>
  <c r="AT630"/>
  <c r="AU630"/>
  <c r="AV630"/>
  <c r="AW630"/>
  <c r="AZ630"/>
  <c r="BA630"/>
  <c r="BB630"/>
  <c r="BC630"/>
  <c r="BD630"/>
  <c r="BE630"/>
  <c r="BF630"/>
  <c r="BI630"/>
  <c r="BJ630"/>
  <c r="BK630"/>
  <c r="BL630"/>
  <c r="BM630"/>
  <c r="BN630"/>
  <c r="BO630"/>
  <c r="P633"/>
  <c r="Q633"/>
  <c r="R633"/>
  <c r="S633"/>
  <c r="T633"/>
  <c r="U633"/>
  <c r="V633"/>
  <c r="W633"/>
  <c r="Y633"/>
  <c r="Z633"/>
  <c r="AA633"/>
  <c r="AB633"/>
  <c r="AC633"/>
  <c r="AD633"/>
  <c r="AE633"/>
  <c r="AF633"/>
  <c r="AH633"/>
  <c r="AI633"/>
  <c r="AJ633"/>
  <c r="AK633"/>
  <c r="AL633"/>
  <c r="AM633"/>
  <c r="AN633"/>
  <c r="AO633"/>
  <c r="AQ633"/>
  <c r="AR633"/>
  <c r="AS633"/>
  <c r="AT633"/>
  <c r="AU633"/>
  <c r="AV633"/>
  <c r="AW633"/>
  <c r="AX633"/>
  <c r="AZ633"/>
  <c r="BA633"/>
  <c r="BB633"/>
  <c r="BC633"/>
  <c r="BD633"/>
  <c r="BE633"/>
  <c r="BF633"/>
  <c r="BG633"/>
  <c r="BI633"/>
  <c r="BJ633"/>
  <c r="BK633"/>
  <c r="BL633"/>
  <c r="BM633"/>
  <c r="BN633"/>
  <c r="BO633"/>
  <c r="BP633"/>
  <c r="P634"/>
  <c r="Q634"/>
  <c r="R634"/>
  <c r="S634"/>
  <c r="T634"/>
  <c r="U634"/>
  <c r="V634"/>
  <c r="W634"/>
  <c r="Y634"/>
  <c r="Z634"/>
  <c r="AA634"/>
  <c r="AB634"/>
  <c r="AC634"/>
  <c r="AD634"/>
  <c r="AE634"/>
  <c r="AF634"/>
  <c r="AH634"/>
  <c r="AI634"/>
  <c r="AJ634"/>
  <c r="AK634"/>
  <c r="AL634"/>
  <c r="AM634"/>
  <c r="AN634"/>
  <c r="AO634"/>
  <c r="AZ634"/>
  <c r="BA634"/>
  <c r="BB634"/>
  <c r="BC634"/>
  <c r="BD634"/>
  <c r="BE634"/>
  <c r="BF634"/>
  <c r="BG634"/>
  <c r="BI634"/>
  <c r="BJ634"/>
  <c r="BK634"/>
  <c r="BL634"/>
  <c r="BM634"/>
  <c r="BN634"/>
  <c r="BO634"/>
  <c r="BP634"/>
  <c r="P635"/>
  <c r="Q635"/>
  <c r="R635"/>
  <c r="S635"/>
  <c r="T635"/>
  <c r="U635"/>
  <c r="V635"/>
  <c r="W635"/>
  <c r="Y635"/>
  <c r="Z635"/>
  <c r="AA635"/>
  <c r="AB635"/>
  <c r="AC635"/>
  <c r="AD635"/>
  <c r="AE635"/>
  <c r="AF635"/>
  <c r="AH635"/>
  <c r="AI635"/>
  <c r="AJ635"/>
  <c r="AK635"/>
  <c r="AL635"/>
  <c r="AM635"/>
  <c r="AN635"/>
  <c r="AO635"/>
  <c r="AQ635"/>
  <c r="AR635"/>
  <c r="AS635"/>
  <c r="AT635"/>
  <c r="AU635"/>
  <c r="AV635"/>
  <c r="AW635"/>
  <c r="AX635"/>
  <c r="AZ635"/>
  <c r="BA635"/>
  <c r="BB635"/>
  <c r="BC635"/>
  <c r="BD635"/>
  <c r="BE635"/>
  <c r="BF635"/>
  <c r="BG635"/>
  <c r="BI635"/>
  <c r="BJ635"/>
  <c r="BK635"/>
  <c r="BL635"/>
  <c r="BM635"/>
  <c r="BN635"/>
  <c r="BO635"/>
  <c r="BP635"/>
  <c r="P636"/>
  <c r="Q636"/>
  <c r="R636"/>
  <c r="S636"/>
  <c r="T636"/>
  <c r="U636"/>
  <c r="V636"/>
  <c r="W636"/>
  <c r="Y636"/>
  <c r="Z636"/>
  <c r="AA636"/>
  <c r="AB636"/>
  <c r="AC636"/>
  <c r="AD636"/>
  <c r="AE636"/>
  <c r="AF636"/>
  <c r="AH636"/>
  <c r="AI636"/>
  <c r="AJ636"/>
  <c r="AK636"/>
  <c r="AL636"/>
  <c r="AM636"/>
  <c r="AN636"/>
  <c r="AO636"/>
  <c r="AZ636"/>
  <c r="BA636"/>
  <c r="BB636"/>
  <c r="BC636"/>
  <c r="BD636"/>
  <c r="BE636"/>
  <c r="BF636"/>
  <c r="BG636"/>
  <c r="BI636"/>
  <c r="BJ636"/>
  <c r="BK636"/>
  <c r="BL636"/>
  <c r="BM636"/>
  <c r="BN636"/>
  <c r="BO636"/>
  <c r="BP636"/>
  <c r="P637"/>
  <c r="Q637"/>
  <c r="R637"/>
  <c r="S637"/>
  <c r="T637"/>
  <c r="U637"/>
  <c r="V637"/>
  <c r="W637"/>
  <c r="Y637"/>
  <c r="Z637"/>
  <c r="AA637"/>
  <c r="AB637"/>
  <c r="AC637"/>
  <c r="AD637"/>
  <c r="AE637"/>
  <c r="AF637"/>
  <c r="AH637"/>
  <c r="AI637"/>
  <c r="AJ637"/>
  <c r="AK637"/>
  <c r="AL637"/>
  <c r="AM637"/>
  <c r="AN637"/>
  <c r="AO637"/>
  <c r="AQ637"/>
  <c r="AR637"/>
  <c r="AS637"/>
  <c r="AT637"/>
  <c r="AU637"/>
  <c r="AV637"/>
  <c r="AW637"/>
  <c r="AX637"/>
  <c r="AZ637"/>
  <c r="BA637"/>
  <c r="BB637"/>
  <c r="BC637"/>
  <c r="BD637"/>
  <c r="BE637"/>
  <c r="BF637"/>
  <c r="BG637"/>
  <c r="BI637"/>
  <c r="BJ637"/>
  <c r="BK637"/>
  <c r="BL637"/>
  <c r="BM637"/>
  <c r="BN637"/>
  <c r="BO637"/>
  <c r="BP637"/>
  <c r="P639"/>
  <c r="Q639"/>
  <c r="R639"/>
  <c r="S639"/>
  <c r="T639"/>
  <c r="U639"/>
  <c r="V639"/>
  <c r="W639"/>
  <c r="Y639"/>
  <c r="Z639"/>
  <c r="AA639"/>
  <c r="AB639"/>
  <c r="AC639"/>
  <c r="AD639"/>
  <c r="AE639"/>
  <c r="AF639"/>
  <c r="AH639"/>
  <c r="AI639"/>
  <c r="AJ639"/>
  <c r="AK639"/>
  <c r="AL639"/>
  <c r="AM639"/>
  <c r="AN639"/>
  <c r="AO639"/>
  <c r="AQ639"/>
  <c r="AR639"/>
  <c r="AS639"/>
  <c r="AT639"/>
  <c r="AU639"/>
  <c r="AV639"/>
  <c r="AW639"/>
  <c r="AX639"/>
  <c r="AZ639"/>
  <c r="BA639"/>
  <c r="BB639"/>
  <c r="BC639"/>
  <c r="BD639"/>
  <c r="BE639"/>
  <c r="BF639"/>
  <c r="BG639"/>
  <c r="BI639"/>
  <c r="BJ639"/>
  <c r="BK639"/>
  <c r="BL639"/>
  <c r="BM639"/>
  <c r="BN639"/>
  <c r="BO639"/>
  <c r="BP639"/>
  <c r="G642"/>
  <c r="H642"/>
  <c r="I642"/>
  <c r="J642"/>
  <c r="K642"/>
  <c r="L642"/>
  <c r="M642"/>
  <c r="P642"/>
  <c r="Q642"/>
  <c r="R642"/>
  <c r="S642"/>
  <c r="T642"/>
  <c r="U642"/>
  <c r="V642"/>
  <c r="Y642"/>
  <c r="Z642"/>
  <c r="AA642"/>
  <c r="AB642"/>
  <c r="AC642"/>
  <c r="AD642"/>
  <c r="AE642"/>
  <c r="AH642"/>
  <c r="AI642"/>
  <c r="AJ642"/>
  <c r="AK642"/>
  <c r="AL642"/>
  <c r="AM642"/>
  <c r="AN642"/>
  <c r="AQ642"/>
  <c r="AR642"/>
  <c r="AS642"/>
  <c r="AT642"/>
  <c r="AU642"/>
  <c r="AV642"/>
  <c r="AW642"/>
  <c r="AZ642"/>
  <c r="BA642"/>
  <c r="BB642"/>
  <c r="BC642"/>
  <c r="BD642"/>
  <c r="BE642"/>
  <c r="BF642"/>
  <c r="BI642"/>
  <c r="BJ642"/>
  <c r="BK642"/>
  <c r="BL642"/>
  <c r="BM642"/>
  <c r="BN642"/>
  <c r="BO642"/>
  <c r="G643"/>
  <c r="H643"/>
  <c r="I643"/>
  <c r="J643"/>
  <c r="K643"/>
  <c r="L643"/>
  <c r="M643"/>
  <c r="P643"/>
  <c r="Q643"/>
  <c r="R643"/>
  <c r="S643"/>
  <c r="T643"/>
  <c r="U643"/>
  <c r="V643"/>
  <c r="Y643"/>
  <c r="Z643"/>
  <c r="AA643"/>
  <c r="AB643"/>
  <c r="AC643"/>
  <c r="AD643"/>
  <c r="AE643"/>
  <c r="AH643"/>
  <c r="AI643"/>
  <c r="AJ643"/>
  <c r="AK643"/>
  <c r="AL643"/>
  <c r="AM643"/>
  <c r="AN643"/>
  <c r="AQ643"/>
  <c r="AR643"/>
  <c r="AS643"/>
  <c r="AT643"/>
  <c r="AU643"/>
  <c r="AV643"/>
  <c r="AW643"/>
  <c r="AZ643"/>
  <c r="BA643"/>
  <c r="BB643"/>
  <c r="BC643"/>
  <c r="BD643"/>
  <c r="BE643"/>
  <c r="BF643"/>
  <c r="BI643"/>
  <c r="BJ643"/>
  <c r="BK643"/>
  <c r="BL643"/>
  <c r="BM643"/>
  <c r="BN643"/>
  <c r="BO643"/>
  <c r="P645"/>
  <c r="Q645"/>
  <c r="R645"/>
  <c r="S645"/>
  <c r="T645"/>
  <c r="U645"/>
  <c r="V645"/>
  <c r="Y645"/>
  <c r="Z645"/>
  <c r="AA645"/>
  <c r="AB645"/>
  <c r="AC645"/>
  <c r="AD645"/>
  <c r="AE645"/>
  <c r="AH645"/>
  <c r="AI645"/>
  <c r="AJ645"/>
  <c r="AK645"/>
  <c r="AL645"/>
  <c r="AM645"/>
  <c r="AN645"/>
  <c r="AQ645"/>
  <c r="AR645"/>
  <c r="AS645"/>
  <c r="AT645"/>
  <c r="AU645"/>
  <c r="AV645"/>
  <c r="AW645"/>
  <c r="AZ645"/>
  <c r="BA645"/>
  <c r="BB645"/>
  <c r="BC645"/>
  <c r="BD645"/>
  <c r="BE645"/>
  <c r="BF645"/>
  <c r="BI645"/>
  <c r="BJ645"/>
  <c r="BK645"/>
  <c r="BL645"/>
  <c r="BM645"/>
  <c r="BN645"/>
  <c r="BO645"/>
  <c r="P647"/>
  <c r="Q647"/>
  <c r="R647"/>
  <c r="S647"/>
  <c r="T647"/>
  <c r="U647"/>
  <c r="V647"/>
  <c r="Y647"/>
  <c r="Z647"/>
  <c r="AA647"/>
  <c r="AB647"/>
  <c r="AC647"/>
  <c r="AD647"/>
  <c r="AE647"/>
  <c r="AH647"/>
  <c r="AI647"/>
  <c r="AJ647"/>
  <c r="AK647"/>
  <c r="AL647"/>
  <c r="AM647"/>
  <c r="AN647"/>
  <c r="AQ647"/>
  <c r="AR647"/>
  <c r="AS647"/>
  <c r="AT647"/>
  <c r="AU647"/>
  <c r="AV647"/>
  <c r="AW647"/>
  <c r="AZ647"/>
  <c r="BA647"/>
  <c r="BB647"/>
  <c r="BC647"/>
  <c r="BD647"/>
  <c r="BE647"/>
  <c r="BF647"/>
  <c r="BI647"/>
  <c r="BJ647"/>
  <c r="BK647"/>
  <c r="BL647"/>
  <c r="BM647"/>
  <c r="BN647"/>
  <c r="BO647"/>
  <c r="G649"/>
  <c r="H649"/>
  <c r="I649"/>
  <c r="J649"/>
  <c r="K649"/>
  <c r="L649"/>
  <c r="M649"/>
  <c r="P649"/>
  <c r="Q649"/>
  <c r="R649"/>
  <c r="S649"/>
  <c r="T649"/>
  <c r="U649"/>
  <c r="V649"/>
  <c r="Y649"/>
  <c r="Z649"/>
  <c r="AA649"/>
  <c r="AB649"/>
  <c r="AC649"/>
  <c r="AD649"/>
  <c r="AE649"/>
  <c r="AH649"/>
  <c r="AI649"/>
  <c r="AJ649"/>
  <c r="AK649"/>
  <c r="AL649"/>
  <c r="AM649"/>
  <c r="AN649"/>
  <c r="AQ649"/>
  <c r="AR649"/>
  <c r="AS649"/>
  <c r="AT649"/>
  <c r="AU649"/>
  <c r="AV649"/>
  <c r="AW649"/>
  <c r="AZ649"/>
  <c r="BA649"/>
  <c r="BB649"/>
  <c r="BC649"/>
  <c r="BD649"/>
  <c r="BE649"/>
  <c r="BF649"/>
  <c r="BI649"/>
  <c r="BJ649"/>
  <c r="BK649"/>
  <c r="BL649"/>
  <c r="BM649"/>
  <c r="BN649"/>
  <c r="BO649"/>
  <c r="G654"/>
  <c r="H654"/>
  <c r="I654"/>
  <c r="J654"/>
  <c r="K654"/>
  <c r="L654"/>
  <c r="M654"/>
  <c r="N654"/>
  <c r="P654"/>
  <c r="Q654"/>
  <c r="R654"/>
  <c r="S654"/>
  <c r="T654"/>
  <c r="U654"/>
  <c r="V654"/>
  <c r="W654"/>
  <c r="Y654"/>
  <c r="Z654"/>
  <c r="AA654"/>
  <c r="AB654"/>
  <c r="AC654"/>
  <c r="AD654"/>
  <c r="AE654"/>
  <c r="AF654"/>
  <c r="AH654"/>
  <c r="AI654"/>
  <c r="AJ654"/>
  <c r="AK654"/>
  <c r="AL654"/>
  <c r="AM654"/>
  <c r="AN654"/>
  <c r="AO654"/>
  <c r="AQ654"/>
  <c r="AR654"/>
  <c r="AS654"/>
  <c r="AT654"/>
  <c r="AU654"/>
  <c r="AV654"/>
  <c r="AW654"/>
  <c r="AX654"/>
  <c r="AZ654"/>
  <c r="BA654"/>
  <c r="BB654"/>
  <c r="BC654"/>
  <c r="BD654"/>
  <c r="BE654"/>
  <c r="BF654"/>
  <c r="BG654"/>
  <c r="BI654"/>
  <c r="BJ654"/>
  <c r="BK654"/>
  <c r="BL654"/>
  <c r="BM654"/>
  <c r="BN654"/>
  <c r="BO654"/>
  <c r="BP654"/>
  <c r="G656"/>
  <c r="H656"/>
  <c r="I656"/>
  <c r="J656"/>
  <c r="K656"/>
  <c r="L656"/>
  <c r="M656"/>
  <c r="N656"/>
  <c r="P656"/>
  <c r="Q656"/>
  <c r="R656"/>
  <c r="S656"/>
  <c r="T656"/>
  <c r="U656"/>
  <c r="V656"/>
  <c r="W656"/>
  <c r="Y656"/>
  <c r="Z656"/>
  <c r="AA656"/>
  <c r="AB656"/>
  <c r="AC656"/>
  <c r="AD656"/>
  <c r="AE656"/>
  <c r="AF656"/>
  <c r="AH656"/>
  <c r="AI656"/>
  <c r="AJ656"/>
  <c r="AK656"/>
  <c r="AL656"/>
  <c r="AM656"/>
  <c r="AN656"/>
  <c r="AO656"/>
  <c r="AQ656"/>
  <c r="AR656"/>
  <c r="AS656"/>
  <c r="AT656"/>
  <c r="AU656"/>
  <c r="AV656"/>
  <c r="AW656"/>
  <c r="AX656"/>
  <c r="AZ656"/>
  <c r="BA656"/>
  <c r="BB656"/>
  <c r="BC656"/>
  <c r="BD656"/>
  <c r="BE656"/>
  <c r="BF656"/>
  <c r="BG656"/>
  <c r="BI656"/>
  <c r="BJ656"/>
  <c r="BK656"/>
  <c r="BL656"/>
  <c r="BM656"/>
  <c r="BN656"/>
  <c r="BO656"/>
  <c r="BP656"/>
  <c r="G657"/>
  <c r="H657"/>
  <c r="I657"/>
  <c r="J657"/>
  <c r="K657"/>
  <c r="L657"/>
  <c r="M657"/>
  <c r="N657"/>
  <c r="P657"/>
  <c r="Q657"/>
  <c r="R657"/>
  <c r="S657"/>
  <c r="T657"/>
  <c r="U657"/>
  <c r="V657"/>
  <c r="W657"/>
  <c r="Y657"/>
  <c r="Z657"/>
  <c r="AA657"/>
  <c r="AB657"/>
  <c r="AC657"/>
  <c r="AD657"/>
  <c r="AE657"/>
  <c r="AF657"/>
  <c r="AH657"/>
  <c r="AI657"/>
  <c r="AJ657"/>
  <c r="AK657"/>
  <c r="AL657"/>
  <c r="AM657"/>
  <c r="AN657"/>
  <c r="AO657"/>
  <c r="AQ657"/>
  <c r="AR657"/>
  <c r="AS657"/>
  <c r="AT657"/>
  <c r="AU657"/>
  <c r="AV657"/>
  <c r="AW657"/>
  <c r="AX657"/>
  <c r="AZ657"/>
  <c r="BA657"/>
  <c r="BB657"/>
  <c r="BC657"/>
  <c r="BD657"/>
  <c r="BE657"/>
  <c r="BF657"/>
  <c r="BG657"/>
  <c r="BI657"/>
  <c r="BJ657"/>
  <c r="BK657"/>
  <c r="BL657"/>
  <c r="BM657"/>
  <c r="BN657"/>
  <c r="BO657"/>
  <c r="BP657"/>
  <c r="G660"/>
  <c r="H660"/>
  <c r="I660"/>
  <c r="J660"/>
  <c r="K660"/>
  <c r="L660"/>
  <c r="M660"/>
  <c r="N660"/>
  <c r="P660"/>
  <c r="Q660"/>
  <c r="R660"/>
  <c r="S660"/>
  <c r="T660"/>
  <c r="U660"/>
  <c r="V660"/>
  <c r="W660"/>
  <c r="Y660"/>
  <c r="Z660"/>
  <c r="AA660"/>
  <c r="AB660"/>
  <c r="AC660"/>
  <c r="AD660"/>
  <c r="AE660"/>
  <c r="AF660"/>
  <c r="AH660"/>
  <c r="AI660"/>
  <c r="AJ660"/>
  <c r="AK660"/>
  <c r="AL660"/>
  <c r="AM660"/>
  <c r="AN660"/>
  <c r="AO660"/>
  <c r="AQ660"/>
  <c r="AR660"/>
  <c r="AS660"/>
  <c r="AT660"/>
  <c r="AU660"/>
  <c r="AV660"/>
  <c r="AW660"/>
  <c r="AX660"/>
  <c r="AZ660"/>
  <c r="BA660"/>
  <c r="BB660"/>
  <c r="BC660"/>
  <c r="BD660"/>
  <c r="BE660"/>
  <c r="BF660"/>
  <c r="BG660"/>
  <c r="BI660"/>
  <c r="BJ660"/>
  <c r="BK660"/>
  <c r="BL660"/>
  <c r="BM660"/>
  <c r="BN660"/>
  <c r="BO660"/>
  <c r="BP660"/>
  <c r="P662"/>
  <c r="Q662"/>
  <c r="R662"/>
  <c r="S662"/>
  <c r="T662"/>
  <c r="U662"/>
  <c r="V662"/>
  <c r="W662"/>
  <c r="Y662"/>
  <c r="Z662"/>
  <c r="AA662"/>
  <c r="AB662"/>
  <c r="AC662"/>
  <c r="AD662"/>
  <c r="AE662"/>
  <c r="AF662"/>
  <c r="AH662"/>
  <c r="AI662"/>
  <c r="AJ662"/>
  <c r="AK662"/>
  <c r="AL662"/>
  <c r="AM662"/>
  <c r="AN662"/>
  <c r="AO662"/>
  <c r="AQ662"/>
  <c r="AR662"/>
  <c r="AS662"/>
  <c r="AT662"/>
  <c r="AU662"/>
  <c r="AV662"/>
  <c r="AW662"/>
  <c r="AX662"/>
  <c r="AZ662"/>
  <c r="BA662"/>
  <c r="BB662"/>
  <c r="BC662"/>
  <c r="BD662"/>
  <c r="BE662"/>
  <c r="BF662"/>
  <c r="BG662"/>
  <c r="BI662"/>
  <c r="BJ662"/>
  <c r="BK662"/>
  <c r="BL662"/>
  <c r="BM662"/>
  <c r="BN662"/>
  <c r="BO662"/>
  <c r="BP662"/>
  <c r="G664"/>
  <c r="H664"/>
  <c r="I664"/>
  <c r="J664"/>
  <c r="K664"/>
  <c r="L664"/>
  <c r="M664"/>
  <c r="N664"/>
  <c r="P664"/>
  <c r="Q664"/>
  <c r="R664"/>
  <c r="S664"/>
  <c r="T664"/>
  <c r="U664"/>
  <c r="V664"/>
  <c r="W664"/>
  <c r="Y664"/>
  <c r="Z664"/>
  <c r="AA664"/>
  <c r="AB664"/>
  <c r="AC664"/>
  <c r="AD664"/>
  <c r="AE664"/>
  <c r="AF664"/>
  <c r="AH664"/>
  <c r="AI664"/>
  <c r="AJ664"/>
  <c r="AK664"/>
  <c r="AL664"/>
  <c r="AM664"/>
  <c r="AN664"/>
  <c r="AO664"/>
  <c r="AQ664"/>
  <c r="AR664"/>
  <c r="AS664"/>
  <c r="AT664"/>
  <c r="AU664"/>
  <c r="AV664"/>
  <c r="AW664"/>
  <c r="AX664"/>
  <c r="AZ664"/>
  <c r="BA664"/>
  <c r="BB664"/>
  <c r="BC664"/>
  <c r="BD664"/>
  <c r="BE664"/>
  <c r="BF664"/>
  <c r="BG664"/>
  <c r="BI664"/>
  <c r="BJ664"/>
  <c r="BK664"/>
  <c r="BL664"/>
  <c r="BM664"/>
  <c r="BN664"/>
  <c r="BO664"/>
  <c r="BP664"/>
  <c r="G667"/>
  <c r="H667"/>
  <c r="I667"/>
  <c r="J667"/>
  <c r="K667"/>
  <c r="L667"/>
  <c r="M667"/>
  <c r="N667"/>
  <c r="P667"/>
  <c r="Q667"/>
  <c r="R667"/>
  <c r="S667"/>
  <c r="T667"/>
  <c r="U667"/>
  <c r="V667"/>
  <c r="W667"/>
  <c r="Y667"/>
  <c r="Z667"/>
  <c r="AA667"/>
  <c r="AB667"/>
  <c r="AC667"/>
  <c r="AD667"/>
  <c r="AE667"/>
  <c r="AF667"/>
  <c r="AH667"/>
  <c r="AI667"/>
  <c r="AJ667"/>
  <c r="AK667"/>
  <c r="AL667"/>
  <c r="AM667"/>
  <c r="AN667"/>
  <c r="AO667"/>
  <c r="AZ667"/>
  <c r="BA667"/>
  <c r="BB667"/>
  <c r="BC667"/>
  <c r="BD667"/>
  <c r="BE667"/>
  <c r="BF667"/>
  <c r="BG667"/>
  <c r="BI667"/>
  <c r="BJ667"/>
  <c r="BK667"/>
  <c r="BL667"/>
  <c r="BM667"/>
  <c r="BN667"/>
  <c r="BO667"/>
  <c r="BP667"/>
  <c r="G668"/>
  <c r="H668"/>
  <c r="I668"/>
  <c r="J668"/>
  <c r="K668"/>
  <c r="L668"/>
  <c r="M668"/>
  <c r="N668"/>
  <c r="P668"/>
  <c r="Q668"/>
  <c r="R668"/>
  <c r="S668"/>
  <c r="T668"/>
  <c r="U668"/>
  <c r="V668"/>
  <c r="W668"/>
  <c r="Y668"/>
  <c r="Z668"/>
  <c r="AA668"/>
  <c r="AB668"/>
  <c r="AC668"/>
  <c r="AD668"/>
  <c r="AE668"/>
  <c r="AF668"/>
  <c r="AH668"/>
  <c r="AI668"/>
  <c r="AJ668"/>
  <c r="AK668"/>
  <c r="AL668"/>
  <c r="AM668"/>
  <c r="AN668"/>
  <c r="AO668"/>
  <c r="AZ668"/>
  <c r="BA668"/>
  <c r="BB668"/>
  <c r="BC668"/>
  <c r="BD668"/>
  <c r="BE668"/>
  <c r="BF668"/>
  <c r="BG668"/>
  <c r="BI668"/>
  <c r="BJ668"/>
  <c r="BK668"/>
  <c r="BL668"/>
  <c r="BM668"/>
  <c r="BN668"/>
  <c r="BO668"/>
  <c r="BP668"/>
  <c r="G669"/>
  <c r="H669"/>
  <c r="I669"/>
  <c r="J669"/>
  <c r="K669"/>
  <c r="L669"/>
  <c r="M669"/>
  <c r="N669"/>
  <c r="P669"/>
  <c r="Q669"/>
  <c r="R669"/>
  <c r="S669"/>
  <c r="T669"/>
  <c r="U669"/>
  <c r="V669"/>
  <c r="W669"/>
  <c r="Y669"/>
  <c r="Z669"/>
  <c r="AA669"/>
  <c r="AB669"/>
  <c r="AC669"/>
  <c r="AD669"/>
  <c r="AE669"/>
  <c r="AF669"/>
  <c r="AH669"/>
  <c r="AI669"/>
  <c r="AJ669"/>
  <c r="AK669"/>
  <c r="AL669"/>
  <c r="AM669"/>
  <c r="AN669"/>
  <c r="AO669"/>
  <c r="AZ669"/>
  <c r="BA669"/>
  <c r="BB669"/>
  <c r="BC669"/>
  <c r="BD669"/>
  <c r="BE669"/>
  <c r="BF669"/>
  <c r="BG669"/>
  <c r="BI669"/>
  <c r="BJ669"/>
  <c r="BK669"/>
  <c r="BL669"/>
  <c r="BM669"/>
  <c r="BN669"/>
  <c r="BO669"/>
  <c r="BP669"/>
  <c r="G671"/>
  <c r="H671"/>
  <c r="I671"/>
  <c r="J671"/>
  <c r="K671"/>
  <c r="L671"/>
  <c r="M671"/>
  <c r="N671"/>
  <c r="P671"/>
  <c r="Q671"/>
  <c r="R671"/>
  <c r="S671"/>
  <c r="T671"/>
  <c r="U671"/>
  <c r="V671"/>
  <c r="W671"/>
  <c r="Y671"/>
  <c r="Z671"/>
  <c r="AA671"/>
  <c r="AB671"/>
  <c r="AC671"/>
  <c r="AD671"/>
  <c r="AE671"/>
  <c r="AF671"/>
  <c r="AH671"/>
  <c r="AI671"/>
  <c r="AJ671"/>
  <c r="AK671"/>
  <c r="AL671"/>
  <c r="AM671"/>
  <c r="AN671"/>
  <c r="AO671"/>
  <c r="AQ671"/>
  <c r="AR671"/>
  <c r="AS671"/>
  <c r="AT671"/>
  <c r="AU671"/>
  <c r="AV671"/>
  <c r="AW671"/>
  <c r="AX671"/>
  <c r="AZ671"/>
  <c r="BA671"/>
  <c r="BB671"/>
  <c r="BC671"/>
  <c r="BD671"/>
  <c r="BE671"/>
  <c r="BF671"/>
  <c r="BG671"/>
  <c r="BI671"/>
  <c r="BJ671"/>
  <c r="BK671"/>
  <c r="BL671"/>
  <c r="BM671"/>
  <c r="BN671"/>
  <c r="BO671"/>
  <c r="BP671"/>
  <c r="G672"/>
  <c r="H672"/>
  <c r="I672"/>
  <c r="J672"/>
  <c r="K672"/>
  <c r="L672"/>
  <c r="M672"/>
  <c r="N672"/>
  <c r="P672"/>
  <c r="Q672"/>
  <c r="R672"/>
  <c r="S672"/>
  <c r="T672"/>
  <c r="U672"/>
  <c r="V672"/>
  <c r="W672"/>
  <c r="Y672"/>
  <c r="Z672"/>
  <c r="AA672"/>
  <c r="AB672"/>
  <c r="AC672"/>
  <c r="AD672"/>
  <c r="AE672"/>
  <c r="AF672"/>
  <c r="AH672"/>
  <c r="AI672"/>
  <c r="AJ672"/>
  <c r="AK672"/>
  <c r="AL672"/>
  <c r="AM672"/>
  <c r="AN672"/>
  <c r="AO672"/>
  <c r="AQ672"/>
  <c r="AR672"/>
  <c r="AS672"/>
  <c r="AT672"/>
  <c r="AU672"/>
  <c r="AV672"/>
  <c r="AW672"/>
  <c r="AX672"/>
  <c r="AZ672"/>
  <c r="BA672"/>
  <c r="BB672"/>
  <c r="BC672"/>
  <c r="BD672"/>
  <c r="BE672"/>
  <c r="BF672"/>
  <c r="BG672"/>
  <c r="BI672"/>
  <c r="BJ672"/>
  <c r="BK672"/>
  <c r="BL672"/>
  <c r="BM672"/>
  <c r="BN672"/>
  <c r="BO672"/>
  <c r="BP672"/>
  <c r="G673"/>
  <c r="H673"/>
  <c r="I673"/>
  <c r="J673"/>
  <c r="K673"/>
  <c r="L673"/>
  <c r="M673"/>
  <c r="G674"/>
  <c r="H674"/>
  <c r="I674"/>
  <c r="J674"/>
  <c r="K674"/>
  <c r="L674"/>
  <c r="M674"/>
  <c r="G677"/>
  <c r="H677"/>
  <c r="I677"/>
  <c r="J677"/>
  <c r="K677"/>
  <c r="L677"/>
  <c r="M677"/>
  <c r="P677"/>
  <c r="Q677"/>
  <c r="R677"/>
  <c r="S677"/>
  <c r="T677"/>
  <c r="U677"/>
  <c r="V677"/>
  <c r="Y677"/>
  <c r="Z677"/>
  <c r="AA677"/>
  <c r="AB677"/>
  <c r="AC677"/>
  <c r="AD677"/>
  <c r="AE677"/>
  <c r="AH677"/>
  <c r="AI677"/>
  <c r="AJ677"/>
  <c r="AK677"/>
  <c r="AL677"/>
  <c r="AM677"/>
  <c r="AN677"/>
  <c r="AQ677"/>
  <c r="AR677"/>
  <c r="AS677"/>
  <c r="AT677"/>
  <c r="AU677"/>
  <c r="AV677"/>
  <c r="AW677"/>
  <c r="AZ677"/>
  <c r="BA677"/>
  <c r="BB677"/>
  <c r="BC677"/>
  <c r="BD677"/>
  <c r="BE677"/>
  <c r="BF677"/>
  <c r="BI677"/>
  <c r="BJ677"/>
  <c r="BK677"/>
  <c r="BL677"/>
  <c r="BM677"/>
  <c r="BN677"/>
  <c r="BO677"/>
  <c r="G678"/>
  <c r="H678"/>
  <c r="I678"/>
  <c r="J678"/>
  <c r="K678"/>
  <c r="L678"/>
  <c r="M678"/>
  <c r="P678"/>
  <c r="Q678"/>
  <c r="R678"/>
  <c r="S678"/>
  <c r="T678"/>
  <c r="U678"/>
  <c r="V678"/>
  <c r="Y678"/>
  <c r="Z678"/>
  <c r="AA678"/>
  <c r="AB678"/>
  <c r="AC678"/>
  <c r="AD678"/>
  <c r="AE678"/>
  <c r="AH678"/>
  <c r="AI678"/>
  <c r="AJ678"/>
  <c r="AK678"/>
  <c r="AL678"/>
  <c r="AM678"/>
  <c r="AN678"/>
  <c r="AQ678"/>
  <c r="AR678"/>
  <c r="AS678"/>
  <c r="AT678"/>
  <c r="AU678"/>
  <c r="AV678"/>
  <c r="AW678"/>
  <c r="AZ678"/>
  <c r="BA678"/>
  <c r="BB678"/>
  <c r="BC678"/>
  <c r="BD678"/>
  <c r="BE678"/>
  <c r="BF678"/>
  <c r="BI678"/>
  <c r="BJ678"/>
  <c r="BK678"/>
  <c r="BL678"/>
  <c r="BM678"/>
  <c r="BN678"/>
  <c r="BO678"/>
  <c r="P681"/>
  <c r="Q681"/>
  <c r="R681"/>
  <c r="S681"/>
  <c r="T681"/>
  <c r="U681"/>
  <c r="V681"/>
  <c r="W681"/>
  <c r="Y681"/>
  <c r="Z681"/>
  <c r="AA681"/>
  <c r="AB681"/>
  <c r="AC681"/>
  <c r="AD681"/>
  <c r="AE681"/>
  <c r="AF681"/>
  <c r="AH681"/>
  <c r="AI681"/>
  <c r="AJ681"/>
  <c r="AK681"/>
  <c r="AL681"/>
  <c r="AM681"/>
  <c r="AN681"/>
  <c r="AO681"/>
  <c r="AQ681"/>
  <c r="AR681"/>
  <c r="AS681"/>
  <c r="AT681"/>
  <c r="AU681"/>
  <c r="AV681"/>
  <c r="AW681"/>
  <c r="AX681"/>
  <c r="AZ681"/>
  <c r="BA681"/>
  <c r="BB681"/>
  <c r="BC681"/>
  <c r="BD681"/>
  <c r="BE681"/>
  <c r="BF681"/>
  <c r="BG681"/>
  <c r="BI681"/>
  <c r="BJ681"/>
  <c r="BK681"/>
  <c r="BL681"/>
  <c r="BM681"/>
  <c r="BN681"/>
  <c r="BO681"/>
  <c r="BP681"/>
  <c r="P682"/>
  <c r="Q682"/>
  <c r="R682"/>
  <c r="S682"/>
  <c r="T682"/>
  <c r="U682"/>
  <c r="V682"/>
  <c r="W682"/>
  <c r="Y682"/>
  <c r="Z682"/>
  <c r="AA682"/>
  <c r="AB682"/>
  <c r="AC682"/>
  <c r="AD682"/>
  <c r="AE682"/>
  <c r="AF682"/>
  <c r="AH682"/>
  <c r="AI682"/>
  <c r="AJ682"/>
  <c r="AK682"/>
  <c r="AL682"/>
  <c r="AM682"/>
  <c r="AN682"/>
  <c r="AO682"/>
  <c r="AZ682"/>
  <c r="BA682"/>
  <c r="BB682"/>
  <c r="BC682"/>
  <c r="BD682"/>
  <c r="BE682"/>
  <c r="BF682"/>
  <c r="BG682"/>
  <c r="BI682"/>
  <c r="BJ682"/>
  <c r="BK682"/>
  <c r="BL682"/>
  <c r="BM682"/>
  <c r="BN682"/>
  <c r="BO682"/>
  <c r="BP682"/>
  <c r="P683"/>
  <c r="Q683"/>
  <c r="R683"/>
  <c r="S683"/>
  <c r="T683"/>
  <c r="U683"/>
  <c r="V683"/>
  <c r="W683"/>
  <c r="Y683"/>
  <c r="Z683"/>
  <c r="AA683"/>
  <c r="AB683"/>
  <c r="AC683"/>
  <c r="AD683"/>
  <c r="AE683"/>
  <c r="AF683"/>
  <c r="AH683"/>
  <c r="AI683"/>
  <c r="AJ683"/>
  <c r="AK683"/>
  <c r="AL683"/>
  <c r="AM683"/>
  <c r="AN683"/>
  <c r="AO683"/>
  <c r="AQ683"/>
  <c r="AR683"/>
  <c r="AS683"/>
  <c r="AT683"/>
  <c r="AU683"/>
  <c r="AV683"/>
  <c r="AW683"/>
  <c r="AX683"/>
  <c r="AZ683"/>
  <c r="BA683"/>
  <c r="BB683"/>
  <c r="BC683"/>
  <c r="BD683"/>
  <c r="BE683"/>
  <c r="BF683"/>
  <c r="BG683"/>
  <c r="BI683"/>
  <c r="BJ683"/>
  <c r="BK683"/>
  <c r="BL683"/>
  <c r="BM683"/>
  <c r="BN683"/>
  <c r="BO683"/>
  <c r="BP683"/>
  <c r="P684"/>
  <c r="Q684"/>
  <c r="R684"/>
  <c r="S684"/>
  <c r="T684"/>
  <c r="U684"/>
  <c r="V684"/>
  <c r="W684"/>
  <c r="Y684"/>
  <c r="Z684"/>
  <c r="AA684"/>
  <c r="AB684"/>
  <c r="AC684"/>
  <c r="AD684"/>
  <c r="AE684"/>
  <c r="AF684"/>
  <c r="AH684"/>
  <c r="AI684"/>
  <c r="AJ684"/>
  <c r="AK684"/>
  <c r="AL684"/>
  <c r="AM684"/>
  <c r="AN684"/>
  <c r="AO684"/>
  <c r="AZ684"/>
  <c r="BA684"/>
  <c r="BB684"/>
  <c r="BC684"/>
  <c r="BD684"/>
  <c r="BE684"/>
  <c r="BF684"/>
  <c r="BG684"/>
  <c r="BI684"/>
  <c r="BJ684"/>
  <c r="BK684"/>
  <c r="BL684"/>
  <c r="BM684"/>
  <c r="BN684"/>
  <c r="BO684"/>
  <c r="BP684"/>
  <c r="P685"/>
  <c r="Q685"/>
  <c r="R685"/>
  <c r="S685"/>
  <c r="T685"/>
  <c r="U685"/>
  <c r="V685"/>
  <c r="W685"/>
  <c r="Y685"/>
  <c r="Z685"/>
  <c r="AA685"/>
  <c r="AB685"/>
  <c r="AC685"/>
  <c r="AD685"/>
  <c r="AE685"/>
  <c r="AF685"/>
  <c r="AH685"/>
  <c r="AI685"/>
  <c r="AJ685"/>
  <c r="AK685"/>
  <c r="AL685"/>
  <c r="AM685"/>
  <c r="AN685"/>
  <c r="AO685"/>
  <c r="AQ685"/>
  <c r="AR685"/>
  <c r="AS685"/>
  <c r="AT685"/>
  <c r="AU685"/>
  <c r="AV685"/>
  <c r="AW685"/>
  <c r="AX685"/>
  <c r="AZ685"/>
  <c r="BA685"/>
  <c r="BB685"/>
  <c r="BC685"/>
  <c r="BD685"/>
  <c r="BE685"/>
  <c r="BF685"/>
  <c r="BG685"/>
  <c r="BI685"/>
  <c r="BJ685"/>
  <c r="BK685"/>
  <c r="BL685"/>
  <c r="BM685"/>
  <c r="BN685"/>
  <c r="BO685"/>
  <c r="BP685"/>
  <c r="P687"/>
  <c r="Q687"/>
  <c r="R687"/>
  <c r="S687"/>
  <c r="T687"/>
  <c r="U687"/>
  <c r="V687"/>
  <c r="W687"/>
  <c r="Y687"/>
  <c r="Z687"/>
  <c r="AA687"/>
  <c r="AB687"/>
  <c r="AC687"/>
  <c r="AD687"/>
  <c r="AE687"/>
  <c r="AF687"/>
  <c r="AH687"/>
  <c r="AI687"/>
  <c r="AJ687"/>
  <c r="AK687"/>
  <c r="AL687"/>
  <c r="AM687"/>
  <c r="AN687"/>
  <c r="AO687"/>
  <c r="AQ687"/>
  <c r="AR687"/>
  <c r="AS687"/>
  <c r="AT687"/>
  <c r="AU687"/>
  <c r="AV687"/>
  <c r="AW687"/>
  <c r="AX687"/>
  <c r="AZ687"/>
  <c r="BA687"/>
  <c r="BB687"/>
  <c r="BC687"/>
  <c r="BD687"/>
  <c r="BE687"/>
  <c r="BF687"/>
  <c r="BG687"/>
  <c r="BI687"/>
  <c r="BJ687"/>
  <c r="BK687"/>
  <c r="BL687"/>
  <c r="BM687"/>
  <c r="BN687"/>
  <c r="BO687"/>
  <c r="BP687"/>
  <c r="G690"/>
  <c r="H690"/>
  <c r="I690"/>
  <c r="J690"/>
  <c r="K690"/>
  <c r="L690"/>
  <c r="M690"/>
  <c r="P690"/>
  <c r="Q690"/>
  <c r="R690"/>
  <c r="S690"/>
  <c r="T690"/>
  <c r="U690"/>
  <c r="V690"/>
  <c r="Y690"/>
  <c r="Z690"/>
  <c r="AA690"/>
  <c r="AB690"/>
  <c r="AC690"/>
  <c r="AD690"/>
  <c r="AE690"/>
  <c r="AH690"/>
  <c r="AI690"/>
  <c r="AJ690"/>
  <c r="AK690"/>
  <c r="AL690"/>
  <c r="AM690"/>
  <c r="AN690"/>
  <c r="AQ690"/>
  <c r="AR690"/>
  <c r="AS690"/>
  <c r="AT690"/>
  <c r="AU690"/>
  <c r="AV690"/>
  <c r="AW690"/>
  <c r="AZ690"/>
  <c r="BA690"/>
  <c r="BB690"/>
  <c r="BC690"/>
  <c r="BD690"/>
  <c r="BE690"/>
  <c r="BF690"/>
  <c r="BI690"/>
  <c r="BJ690"/>
  <c r="BK690"/>
  <c r="BL690"/>
  <c r="BM690"/>
  <c r="BN690"/>
  <c r="BO690"/>
  <c r="G691"/>
  <c r="H691"/>
  <c r="I691"/>
  <c r="J691"/>
  <c r="K691"/>
  <c r="L691"/>
  <c r="M691"/>
  <c r="P691"/>
  <c r="Q691"/>
  <c r="R691"/>
  <c r="S691"/>
  <c r="T691"/>
  <c r="U691"/>
  <c r="V691"/>
  <c r="Y691"/>
  <c r="Z691"/>
  <c r="AA691"/>
  <c r="AB691"/>
  <c r="AC691"/>
  <c r="AD691"/>
  <c r="AE691"/>
  <c r="AH691"/>
  <c r="AI691"/>
  <c r="AJ691"/>
  <c r="AK691"/>
  <c r="AL691"/>
  <c r="AM691"/>
  <c r="AN691"/>
  <c r="AQ691"/>
  <c r="AR691"/>
  <c r="AS691"/>
  <c r="AT691"/>
  <c r="AU691"/>
  <c r="AV691"/>
  <c r="AW691"/>
  <c r="AZ691"/>
  <c r="BA691"/>
  <c r="BB691"/>
  <c r="BC691"/>
  <c r="BD691"/>
  <c r="BE691"/>
  <c r="BF691"/>
  <c r="BI691"/>
  <c r="BJ691"/>
  <c r="BK691"/>
  <c r="BL691"/>
  <c r="BM691"/>
  <c r="BN691"/>
  <c r="BO691"/>
  <c r="P693"/>
  <c r="Q693"/>
  <c r="R693"/>
  <c r="S693"/>
  <c r="T693"/>
  <c r="U693"/>
  <c r="V693"/>
  <c r="Y693"/>
  <c r="Z693"/>
  <c r="AA693"/>
  <c r="AB693"/>
  <c r="AC693"/>
  <c r="AD693"/>
  <c r="AE693"/>
  <c r="AH693"/>
  <c r="AI693"/>
  <c r="AJ693"/>
  <c r="AK693"/>
  <c r="AL693"/>
  <c r="AM693"/>
  <c r="AN693"/>
  <c r="AQ693"/>
  <c r="AR693"/>
  <c r="AS693"/>
  <c r="AT693"/>
  <c r="AU693"/>
  <c r="AV693"/>
  <c r="AW693"/>
  <c r="AZ693"/>
  <c r="BA693"/>
  <c r="BB693"/>
  <c r="BC693"/>
  <c r="BD693"/>
  <c r="BE693"/>
  <c r="BF693"/>
  <c r="BI693"/>
  <c r="BJ693"/>
  <c r="BK693"/>
  <c r="BL693"/>
  <c r="BM693"/>
  <c r="BN693"/>
  <c r="BO693"/>
  <c r="P695"/>
  <c r="Q695"/>
  <c r="R695"/>
  <c r="S695"/>
  <c r="T695"/>
  <c r="U695"/>
  <c r="V695"/>
  <c r="Y695"/>
  <c r="Z695"/>
  <c r="AA695"/>
  <c r="AB695"/>
  <c r="AC695"/>
  <c r="AD695"/>
  <c r="AE695"/>
  <c r="AH695"/>
  <c r="AI695"/>
  <c r="AJ695"/>
  <c r="AK695"/>
  <c r="AL695"/>
  <c r="AM695"/>
  <c r="AN695"/>
  <c r="AQ695"/>
  <c r="AR695"/>
  <c r="AS695"/>
  <c r="AT695"/>
  <c r="AU695"/>
  <c r="AV695"/>
  <c r="AW695"/>
  <c r="AZ695"/>
  <c r="BA695"/>
  <c r="BB695"/>
  <c r="BC695"/>
  <c r="BD695"/>
  <c r="BE695"/>
  <c r="BF695"/>
  <c r="BI695"/>
  <c r="BJ695"/>
  <c r="BK695"/>
  <c r="BL695"/>
  <c r="BM695"/>
  <c r="BN695"/>
  <c r="BO695"/>
  <c r="G697"/>
  <c r="H697"/>
  <c r="I697"/>
  <c r="J697"/>
  <c r="K697"/>
  <c r="L697"/>
  <c r="M697"/>
  <c r="P697"/>
  <c r="Q697"/>
  <c r="R697"/>
  <c r="S697"/>
  <c r="T697"/>
  <c r="U697"/>
  <c r="V697"/>
  <c r="Y697"/>
  <c r="Z697"/>
  <c r="AA697"/>
  <c r="AB697"/>
  <c r="AC697"/>
  <c r="AD697"/>
  <c r="AE697"/>
  <c r="AH697"/>
  <c r="AI697"/>
  <c r="AJ697"/>
  <c r="AK697"/>
  <c r="AL697"/>
  <c r="AM697"/>
  <c r="AN697"/>
  <c r="AQ697"/>
  <c r="AR697"/>
  <c r="AS697"/>
  <c r="AT697"/>
  <c r="AU697"/>
  <c r="AV697"/>
  <c r="AW697"/>
  <c r="AZ697"/>
  <c r="BA697"/>
  <c r="BB697"/>
  <c r="BC697"/>
  <c r="BD697"/>
  <c r="BE697"/>
  <c r="BF697"/>
  <c r="BI697"/>
  <c r="BJ697"/>
  <c r="BK697"/>
  <c r="BL697"/>
  <c r="BM697"/>
  <c r="BN697"/>
  <c r="BO697"/>
  <c r="G702"/>
  <c r="H702"/>
  <c r="I702"/>
  <c r="J702"/>
  <c r="K702"/>
  <c r="L702"/>
  <c r="M702"/>
  <c r="N702"/>
  <c r="P702"/>
  <c r="Q702"/>
  <c r="R702"/>
  <c r="S702"/>
  <c r="T702"/>
  <c r="U702"/>
  <c r="V702"/>
  <c r="W702"/>
  <c r="Y702"/>
  <c r="Z702"/>
  <c r="AA702"/>
  <c r="AB702"/>
  <c r="AC702"/>
  <c r="AD702"/>
  <c r="AE702"/>
  <c r="AF702"/>
  <c r="AH702"/>
  <c r="AI702"/>
  <c r="AJ702"/>
  <c r="AK702"/>
  <c r="AL702"/>
  <c r="AM702"/>
  <c r="AN702"/>
  <c r="AO702"/>
  <c r="AQ702"/>
  <c r="AR702"/>
  <c r="AS702"/>
  <c r="AT702"/>
  <c r="AU702"/>
  <c r="AV702"/>
  <c r="AW702"/>
  <c r="AX702"/>
  <c r="AZ702"/>
  <c r="BA702"/>
  <c r="BB702"/>
  <c r="BC702"/>
  <c r="BD702"/>
  <c r="BE702"/>
  <c r="BF702"/>
  <c r="BG702"/>
  <c r="BI702"/>
  <c r="BJ702"/>
  <c r="BK702"/>
  <c r="BL702"/>
  <c r="BM702"/>
  <c r="BN702"/>
  <c r="BO702"/>
  <c r="BP702"/>
  <c r="G704"/>
  <c r="H704"/>
  <c r="I704"/>
  <c r="J704"/>
  <c r="K704"/>
  <c r="L704"/>
  <c r="M704"/>
  <c r="N704"/>
  <c r="P704"/>
  <c r="Q704"/>
  <c r="R704"/>
  <c r="S704"/>
  <c r="T704"/>
  <c r="U704"/>
  <c r="V704"/>
  <c r="W704"/>
  <c r="Y704"/>
  <c r="Z704"/>
  <c r="AA704"/>
  <c r="AB704"/>
  <c r="AC704"/>
  <c r="AD704"/>
  <c r="AE704"/>
  <c r="AF704"/>
  <c r="AH704"/>
  <c r="AI704"/>
  <c r="AJ704"/>
  <c r="AK704"/>
  <c r="AL704"/>
  <c r="AM704"/>
  <c r="AN704"/>
  <c r="AO704"/>
  <c r="AQ704"/>
  <c r="AR704"/>
  <c r="AS704"/>
  <c r="AT704"/>
  <c r="AU704"/>
  <c r="AV704"/>
  <c r="AW704"/>
  <c r="AX704"/>
  <c r="AZ704"/>
  <c r="BA704"/>
  <c r="BB704"/>
  <c r="BC704"/>
  <c r="BD704"/>
  <c r="BE704"/>
  <c r="BF704"/>
  <c r="BG704"/>
  <c r="BI704"/>
  <c r="BJ704"/>
  <c r="BK704"/>
  <c r="BL704"/>
  <c r="BM704"/>
  <c r="BN704"/>
  <c r="BO704"/>
  <c r="BP704"/>
  <c r="G705"/>
  <c r="H705"/>
  <c r="I705"/>
  <c r="J705"/>
  <c r="K705"/>
  <c r="L705"/>
  <c r="M705"/>
  <c r="N705"/>
  <c r="P705"/>
  <c r="Q705"/>
  <c r="R705"/>
  <c r="S705"/>
  <c r="T705"/>
  <c r="U705"/>
  <c r="V705"/>
  <c r="W705"/>
  <c r="Y705"/>
  <c r="Z705"/>
  <c r="AA705"/>
  <c r="AB705"/>
  <c r="AC705"/>
  <c r="AD705"/>
  <c r="AE705"/>
  <c r="AF705"/>
  <c r="AH705"/>
  <c r="AI705"/>
  <c r="AJ705"/>
  <c r="AK705"/>
  <c r="AL705"/>
  <c r="AM705"/>
  <c r="AN705"/>
  <c r="AO705"/>
  <c r="AQ705"/>
  <c r="AR705"/>
  <c r="AS705"/>
  <c r="AT705"/>
  <c r="AU705"/>
  <c r="AV705"/>
  <c r="AW705"/>
  <c r="AX705"/>
  <c r="AZ705"/>
  <c r="BA705"/>
  <c r="BB705"/>
  <c r="BC705"/>
  <c r="BD705"/>
  <c r="BE705"/>
  <c r="BF705"/>
  <c r="BG705"/>
  <c r="BI705"/>
  <c r="BJ705"/>
  <c r="BK705"/>
  <c r="BL705"/>
  <c r="BM705"/>
  <c r="BN705"/>
  <c r="BO705"/>
  <c r="BP705"/>
  <c r="N706"/>
  <c r="W706"/>
  <c r="AF706"/>
  <c r="AO706"/>
  <c r="BG706"/>
  <c r="BP706"/>
  <c r="G708"/>
  <c r="H708"/>
  <c r="I708"/>
  <c r="J708"/>
  <c r="K708"/>
  <c r="L708"/>
  <c r="M708"/>
  <c r="N708"/>
  <c r="P708"/>
  <c r="Q708"/>
  <c r="R708"/>
  <c r="S708"/>
  <c r="T708"/>
  <c r="U708"/>
  <c r="V708"/>
  <c r="W708"/>
  <c r="Y708"/>
  <c r="Z708"/>
  <c r="AA708"/>
  <c r="AB708"/>
  <c r="AC708"/>
  <c r="AD708"/>
  <c r="AE708"/>
  <c r="AF708"/>
  <c r="AH708"/>
  <c r="AI708"/>
  <c r="AJ708"/>
  <c r="AK708"/>
  <c r="AL708"/>
  <c r="AM708"/>
  <c r="AN708"/>
  <c r="AO708"/>
  <c r="AQ708"/>
  <c r="AR708"/>
  <c r="AS708"/>
  <c r="AT708"/>
  <c r="AU708"/>
  <c r="AV708"/>
  <c r="AW708"/>
  <c r="AX708"/>
  <c r="AZ708"/>
  <c r="BA708"/>
  <c r="BB708"/>
  <c r="BC708"/>
  <c r="BD708"/>
  <c r="BE708"/>
  <c r="BF708"/>
  <c r="BG708"/>
  <c r="BI708"/>
  <c r="BJ708"/>
  <c r="BK708"/>
  <c r="BL708"/>
  <c r="BM708"/>
  <c r="BN708"/>
  <c r="BO708"/>
  <c r="BP708"/>
  <c r="P710"/>
  <c r="Q710"/>
  <c r="R710"/>
  <c r="S710"/>
  <c r="T710"/>
  <c r="U710"/>
  <c r="V710"/>
  <c r="W710"/>
  <c r="Y710"/>
  <c r="Z710"/>
  <c r="AA710"/>
  <c r="AB710"/>
  <c r="AC710"/>
  <c r="AD710"/>
  <c r="AE710"/>
  <c r="AF710"/>
  <c r="AH710"/>
  <c r="AI710"/>
  <c r="AJ710"/>
  <c r="AK710"/>
  <c r="AL710"/>
  <c r="AM710"/>
  <c r="AN710"/>
  <c r="AO710"/>
  <c r="AQ710"/>
  <c r="AR710"/>
  <c r="AS710"/>
  <c r="AT710"/>
  <c r="AU710"/>
  <c r="AV710"/>
  <c r="AW710"/>
  <c r="AX710"/>
  <c r="AZ710"/>
  <c r="BA710"/>
  <c r="BB710"/>
  <c r="BC710"/>
  <c r="BD710"/>
  <c r="BE710"/>
  <c r="BF710"/>
  <c r="BG710"/>
  <c r="BI710"/>
  <c r="BJ710"/>
  <c r="BK710"/>
  <c r="BL710"/>
  <c r="BM710"/>
  <c r="BN710"/>
  <c r="BO710"/>
  <c r="BP710"/>
  <c r="G712"/>
  <c r="H712"/>
  <c r="I712"/>
  <c r="J712"/>
  <c r="K712"/>
  <c r="L712"/>
  <c r="M712"/>
  <c r="N712"/>
  <c r="P712"/>
  <c r="Q712"/>
  <c r="R712"/>
  <c r="S712"/>
  <c r="T712"/>
  <c r="U712"/>
  <c r="V712"/>
  <c r="W712"/>
  <c r="Y712"/>
  <c r="Z712"/>
  <c r="AA712"/>
  <c r="AB712"/>
  <c r="AC712"/>
  <c r="AD712"/>
  <c r="AE712"/>
  <c r="AF712"/>
  <c r="AH712"/>
  <c r="AI712"/>
  <c r="AJ712"/>
  <c r="AK712"/>
  <c r="AL712"/>
  <c r="AM712"/>
  <c r="AN712"/>
  <c r="AO712"/>
  <c r="AQ712"/>
  <c r="AR712"/>
  <c r="AS712"/>
  <c r="AT712"/>
  <c r="AU712"/>
  <c r="AV712"/>
  <c r="AW712"/>
  <c r="AX712"/>
  <c r="AZ712"/>
  <c r="BA712"/>
  <c r="BB712"/>
  <c r="BC712"/>
  <c r="BD712"/>
  <c r="BE712"/>
  <c r="BF712"/>
  <c r="BG712"/>
  <c r="BI712"/>
  <c r="BJ712"/>
  <c r="BK712"/>
  <c r="BL712"/>
  <c r="BM712"/>
  <c r="BN712"/>
  <c r="BO712"/>
  <c r="BP712"/>
  <c r="G715"/>
  <c r="H715"/>
  <c r="I715"/>
  <c r="J715"/>
  <c r="K715"/>
  <c r="L715"/>
  <c r="M715"/>
  <c r="N715"/>
  <c r="P715"/>
  <c r="Q715"/>
  <c r="R715"/>
  <c r="S715"/>
  <c r="T715"/>
  <c r="U715"/>
  <c r="V715"/>
  <c r="W715"/>
  <c r="Y715"/>
  <c r="Z715"/>
  <c r="AA715"/>
  <c r="AB715"/>
  <c r="AC715"/>
  <c r="AD715"/>
  <c r="AE715"/>
  <c r="AF715"/>
  <c r="AH715"/>
  <c r="AI715"/>
  <c r="AJ715"/>
  <c r="AK715"/>
  <c r="AL715"/>
  <c r="AM715"/>
  <c r="AN715"/>
  <c r="AO715"/>
  <c r="AZ715"/>
  <c r="BA715"/>
  <c r="BB715"/>
  <c r="BC715"/>
  <c r="BD715"/>
  <c r="BE715"/>
  <c r="BF715"/>
  <c r="BG715"/>
  <c r="BI715"/>
  <c r="BJ715"/>
  <c r="BK715"/>
  <c r="BL715"/>
  <c r="BM715"/>
  <c r="BN715"/>
  <c r="BO715"/>
  <c r="BP715"/>
  <c r="G716"/>
  <c r="H716"/>
  <c r="I716"/>
  <c r="J716"/>
  <c r="K716"/>
  <c r="L716"/>
  <c r="M716"/>
  <c r="N716"/>
  <c r="P716"/>
  <c r="Q716"/>
  <c r="R716"/>
  <c r="S716"/>
  <c r="T716"/>
  <c r="U716"/>
  <c r="V716"/>
  <c r="W716"/>
  <c r="Y716"/>
  <c r="Z716"/>
  <c r="AA716"/>
  <c r="AB716"/>
  <c r="AC716"/>
  <c r="AD716"/>
  <c r="AE716"/>
  <c r="AF716"/>
  <c r="AH716"/>
  <c r="AI716"/>
  <c r="AJ716"/>
  <c r="AK716"/>
  <c r="AL716"/>
  <c r="AM716"/>
  <c r="AN716"/>
  <c r="AO716"/>
  <c r="AZ716"/>
  <c r="BA716"/>
  <c r="BB716"/>
  <c r="BC716"/>
  <c r="BD716"/>
  <c r="BE716"/>
  <c r="BF716"/>
  <c r="BG716"/>
  <c r="BI716"/>
  <c r="BJ716"/>
  <c r="BK716"/>
  <c r="BL716"/>
  <c r="BM716"/>
  <c r="BN716"/>
  <c r="BO716"/>
  <c r="BP716"/>
  <c r="G717"/>
  <c r="H717"/>
  <c r="I717"/>
  <c r="J717"/>
  <c r="K717"/>
  <c r="L717"/>
  <c r="M717"/>
  <c r="N717"/>
  <c r="P717"/>
  <c r="Q717"/>
  <c r="R717"/>
  <c r="S717"/>
  <c r="T717"/>
  <c r="U717"/>
  <c r="V717"/>
  <c r="W717"/>
  <c r="Y717"/>
  <c r="Z717"/>
  <c r="AA717"/>
  <c r="AB717"/>
  <c r="AC717"/>
  <c r="AD717"/>
  <c r="AE717"/>
  <c r="AF717"/>
  <c r="AH717"/>
  <c r="AI717"/>
  <c r="AJ717"/>
  <c r="AK717"/>
  <c r="AL717"/>
  <c r="AM717"/>
  <c r="AN717"/>
  <c r="AO717"/>
  <c r="AZ717"/>
  <c r="BA717"/>
  <c r="BB717"/>
  <c r="BC717"/>
  <c r="BD717"/>
  <c r="BE717"/>
  <c r="BF717"/>
  <c r="BG717"/>
  <c r="BI717"/>
  <c r="BJ717"/>
  <c r="BK717"/>
  <c r="BL717"/>
  <c r="BM717"/>
  <c r="BN717"/>
  <c r="BO717"/>
  <c r="BP717"/>
  <c r="G719"/>
  <c r="H719"/>
  <c r="I719"/>
  <c r="J719"/>
  <c r="K719"/>
  <c r="L719"/>
  <c r="M719"/>
  <c r="N719"/>
  <c r="P719"/>
  <c r="Q719"/>
  <c r="R719"/>
  <c r="S719"/>
  <c r="T719"/>
  <c r="U719"/>
  <c r="V719"/>
  <c r="W719"/>
  <c r="Y719"/>
  <c r="Z719"/>
  <c r="AA719"/>
  <c r="AB719"/>
  <c r="AC719"/>
  <c r="AD719"/>
  <c r="AE719"/>
  <c r="AF719"/>
  <c r="AH719"/>
  <c r="AI719"/>
  <c r="AJ719"/>
  <c r="AK719"/>
  <c r="AL719"/>
  <c r="AM719"/>
  <c r="AN719"/>
  <c r="AO719"/>
  <c r="AQ719"/>
  <c r="AR719"/>
  <c r="AS719"/>
  <c r="AT719"/>
  <c r="AU719"/>
  <c r="AV719"/>
  <c r="AW719"/>
  <c r="AX719"/>
  <c r="AZ719"/>
  <c r="BA719"/>
  <c r="BB719"/>
  <c r="BC719"/>
  <c r="BD719"/>
  <c r="BE719"/>
  <c r="BF719"/>
  <c r="BG719"/>
  <c r="BI719"/>
  <c r="BJ719"/>
  <c r="BK719"/>
  <c r="BL719"/>
  <c r="BM719"/>
  <c r="BN719"/>
  <c r="BO719"/>
  <c r="BP719"/>
  <c r="G720"/>
  <c r="H720"/>
  <c r="I720"/>
  <c r="J720"/>
  <c r="K720"/>
  <c r="L720"/>
  <c r="M720"/>
  <c r="N720"/>
  <c r="P720"/>
  <c r="Q720"/>
  <c r="R720"/>
  <c r="S720"/>
  <c r="T720"/>
  <c r="U720"/>
  <c r="V720"/>
  <c r="W720"/>
  <c r="Y720"/>
  <c r="Z720"/>
  <c r="AA720"/>
  <c r="AB720"/>
  <c r="AC720"/>
  <c r="AD720"/>
  <c r="AE720"/>
  <c r="AF720"/>
  <c r="AH720"/>
  <c r="AI720"/>
  <c r="AJ720"/>
  <c r="AK720"/>
  <c r="AL720"/>
  <c r="AM720"/>
  <c r="AN720"/>
  <c r="AO720"/>
  <c r="AQ720"/>
  <c r="AR720"/>
  <c r="AS720"/>
  <c r="AT720"/>
  <c r="AU720"/>
  <c r="AV720"/>
  <c r="AW720"/>
  <c r="AX720"/>
  <c r="AZ720"/>
  <c r="BA720"/>
  <c r="BB720"/>
  <c r="BC720"/>
  <c r="BD720"/>
  <c r="BE720"/>
  <c r="BF720"/>
  <c r="BG720"/>
  <c r="BI720"/>
  <c r="BJ720"/>
  <c r="BK720"/>
  <c r="BL720"/>
  <c r="BM720"/>
  <c r="BN720"/>
  <c r="BO720"/>
  <c r="BP720"/>
  <c r="G721"/>
  <c r="H721"/>
  <c r="I721"/>
  <c r="J721"/>
  <c r="K721"/>
  <c r="L721"/>
  <c r="M721"/>
  <c r="G722"/>
  <c r="H722"/>
  <c r="I722"/>
  <c r="J722"/>
  <c r="K722"/>
  <c r="L722"/>
  <c r="M722"/>
  <c r="G725"/>
  <c r="H725"/>
  <c r="I725"/>
  <c r="J725"/>
  <c r="K725"/>
  <c r="L725"/>
  <c r="M725"/>
  <c r="P725"/>
  <c r="Q725"/>
  <c r="R725"/>
  <c r="S725"/>
  <c r="T725"/>
  <c r="U725"/>
  <c r="V725"/>
  <c r="Y725"/>
  <c r="Z725"/>
  <c r="AA725"/>
  <c r="AB725"/>
  <c r="AC725"/>
  <c r="AD725"/>
  <c r="AE725"/>
  <c r="AH725"/>
  <c r="AI725"/>
  <c r="AJ725"/>
  <c r="AK725"/>
  <c r="AL725"/>
  <c r="AM725"/>
  <c r="AN725"/>
  <c r="AQ725"/>
  <c r="AR725"/>
  <c r="AS725"/>
  <c r="AT725"/>
  <c r="AU725"/>
  <c r="AV725"/>
  <c r="AW725"/>
  <c r="AZ725"/>
  <c r="BA725"/>
  <c r="BB725"/>
  <c r="BC725"/>
  <c r="BD725"/>
  <c r="BE725"/>
  <c r="BF725"/>
  <c r="BI725"/>
  <c r="BJ725"/>
  <c r="BK725"/>
  <c r="BL725"/>
  <c r="BM725"/>
  <c r="BN725"/>
  <c r="BO725"/>
  <c r="G726"/>
  <c r="H726"/>
  <c r="I726"/>
  <c r="J726"/>
  <c r="K726"/>
  <c r="L726"/>
  <c r="M726"/>
  <c r="P726"/>
  <c r="Q726"/>
  <c r="R726"/>
  <c r="S726"/>
  <c r="T726"/>
  <c r="U726"/>
  <c r="V726"/>
  <c r="Y726"/>
  <c r="Z726"/>
  <c r="AA726"/>
  <c r="AB726"/>
  <c r="AC726"/>
  <c r="AD726"/>
  <c r="AE726"/>
  <c r="AH726"/>
  <c r="AI726"/>
  <c r="AJ726"/>
  <c r="AK726"/>
  <c r="AL726"/>
  <c r="AM726"/>
  <c r="AN726"/>
  <c r="AQ726"/>
  <c r="AR726"/>
  <c r="AS726"/>
  <c r="AT726"/>
  <c r="AU726"/>
  <c r="AV726"/>
  <c r="AW726"/>
  <c r="AZ726"/>
  <c r="BA726"/>
  <c r="BB726"/>
  <c r="BC726"/>
  <c r="BD726"/>
  <c r="BE726"/>
  <c r="BF726"/>
  <c r="BI726"/>
  <c r="BJ726"/>
  <c r="BK726"/>
  <c r="BL726"/>
  <c r="BM726"/>
  <c r="BN726"/>
  <c r="BO726"/>
  <c r="P729"/>
  <c r="Q729"/>
  <c r="R729"/>
  <c r="S729"/>
  <c r="T729"/>
  <c r="U729"/>
  <c r="V729"/>
  <c r="W729"/>
  <c r="Y729"/>
  <c r="Z729"/>
  <c r="AA729"/>
  <c r="AB729"/>
  <c r="AC729"/>
  <c r="AD729"/>
  <c r="AE729"/>
  <c r="AF729"/>
  <c r="AH729"/>
  <c r="AI729"/>
  <c r="AJ729"/>
  <c r="AK729"/>
  <c r="AL729"/>
  <c r="AM729"/>
  <c r="AN729"/>
  <c r="AO729"/>
  <c r="AQ729"/>
  <c r="AR729"/>
  <c r="AS729"/>
  <c r="AT729"/>
  <c r="AU729"/>
  <c r="AV729"/>
  <c r="AW729"/>
  <c r="AX729"/>
  <c r="AZ729"/>
  <c r="BA729"/>
  <c r="BB729"/>
  <c r="BC729"/>
  <c r="BD729"/>
  <c r="BE729"/>
  <c r="BF729"/>
  <c r="BG729"/>
  <c r="BI729"/>
  <c r="BJ729"/>
  <c r="BK729"/>
  <c r="BL729"/>
  <c r="BM729"/>
  <c r="BN729"/>
  <c r="BO729"/>
  <c r="BP729"/>
  <c r="P730"/>
  <c r="Q730"/>
  <c r="R730"/>
  <c r="S730"/>
  <c r="T730"/>
  <c r="U730"/>
  <c r="V730"/>
  <c r="W730"/>
  <c r="Y730"/>
  <c r="Z730"/>
  <c r="AA730"/>
  <c r="AB730"/>
  <c r="AC730"/>
  <c r="AD730"/>
  <c r="AE730"/>
  <c r="AF730"/>
  <c r="AH730"/>
  <c r="AI730"/>
  <c r="AJ730"/>
  <c r="AK730"/>
  <c r="AL730"/>
  <c r="AM730"/>
  <c r="AN730"/>
  <c r="AO730"/>
  <c r="AZ730"/>
  <c r="BA730"/>
  <c r="BB730"/>
  <c r="BC730"/>
  <c r="BD730"/>
  <c r="BE730"/>
  <c r="BF730"/>
  <c r="BG730"/>
  <c r="BI730"/>
  <c r="BJ730"/>
  <c r="BK730"/>
  <c r="BL730"/>
  <c r="BM730"/>
  <c r="BN730"/>
  <c r="BO730"/>
  <c r="BP730"/>
  <c r="P731"/>
  <c r="Q731"/>
  <c r="R731"/>
  <c r="S731"/>
  <c r="T731"/>
  <c r="U731"/>
  <c r="V731"/>
  <c r="W731"/>
  <c r="Y731"/>
  <c r="Z731"/>
  <c r="AA731"/>
  <c r="AB731"/>
  <c r="AC731"/>
  <c r="AD731"/>
  <c r="AE731"/>
  <c r="AF731"/>
  <c r="AH731"/>
  <c r="AI731"/>
  <c r="AJ731"/>
  <c r="AK731"/>
  <c r="AL731"/>
  <c r="AM731"/>
  <c r="AN731"/>
  <c r="AO731"/>
  <c r="AQ731"/>
  <c r="AR731"/>
  <c r="AS731"/>
  <c r="AT731"/>
  <c r="AU731"/>
  <c r="AV731"/>
  <c r="AW731"/>
  <c r="AX731"/>
  <c r="AZ731"/>
  <c r="BA731"/>
  <c r="BB731"/>
  <c r="BC731"/>
  <c r="BD731"/>
  <c r="BE731"/>
  <c r="BF731"/>
  <c r="BG731"/>
  <c r="BI731"/>
  <c r="BJ731"/>
  <c r="BK731"/>
  <c r="BL731"/>
  <c r="BM731"/>
  <c r="BN731"/>
  <c r="BO731"/>
  <c r="BP731"/>
  <c r="P732"/>
  <c r="Q732"/>
  <c r="R732"/>
  <c r="S732"/>
  <c r="T732"/>
  <c r="U732"/>
  <c r="V732"/>
  <c r="W732"/>
  <c r="Y732"/>
  <c r="Z732"/>
  <c r="AA732"/>
  <c r="AB732"/>
  <c r="AC732"/>
  <c r="AD732"/>
  <c r="AE732"/>
  <c r="AF732"/>
  <c r="AH732"/>
  <c r="AI732"/>
  <c r="AJ732"/>
  <c r="AK732"/>
  <c r="AL732"/>
  <c r="AM732"/>
  <c r="AN732"/>
  <c r="AO732"/>
  <c r="AZ732"/>
  <c r="BA732"/>
  <c r="BB732"/>
  <c r="BC732"/>
  <c r="BD732"/>
  <c r="BE732"/>
  <c r="BF732"/>
  <c r="BG732"/>
  <c r="BI732"/>
  <c r="BJ732"/>
  <c r="BK732"/>
  <c r="BL732"/>
  <c r="BM732"/>
  <c r="BN732"/>
  <c r="BO732"/>
  <c r="BP732"/>
  <c r="P733"/>
  <c r="Q733"/>
  <c r="R733"/>
  <c r="S733"/>
  <c r="T733"/>
  <c r="U733"/>
  <c r="V733"/>
  <c r="W733"/>
  <c r="Y733"/>
  <c r="Z733"/>
  <c r="AA733"/>
  <c r="AB733"/>
  <c r="AC733"/>
  <c r="AD733"/>
  <c r="AE733"/>
  <c r="AF733"/>
  <c r="AH733"/>
  <c r="AI733"/>
  <c r="AJ733"/>
  <c r="AK733"/>
  <c r="AL733"/>
  <c r="AM733"/>
  <c r="AN733"/>
  <c r="AO733"/>
  <c r="AQ733"/>
  <c r="AR733"/>
  <c r="AS733"/>
  <c r="AT733"/>
  <c r="AU733"/>
  <c r="AV733"/>
  <c r="AW733"/>
  <c r="AX733"/>
  <c r="AZ733"/>
  <c r="BA733"/>
  <c r="BB733"/>
  <c r="BC733"/>
  <c r="BD733"/>
  <c r="BE733"/>
  <c r="BF733"/>
  <c r="BG733"/>
  <c r="BI733"/>
  <c r="BJ733"/>
  <c r="BK733"/>
  <c r="BL733"/>
  <c r="BM733"/>
  <c r="BN733"/>
  <c r="BO733"/>
  <c r="BP733"/>
  <c r="P735"/>
  <c r="Q735"/>
  <c r="R735"/>
  <c r="S735"/>
  <c r="T735"/>
  <c r="U735"/>
  <c r="V735"/>
  <c r="W735"/>
  <c r="Y735"/>
  <c r="Z735"/>
  <c r="AA735"/>
  <c r="AB735"/>
  <c r="AC735"/>
  <c r="AD735"/>
  <c r="AE735"/>
  <c r="AF735"/>
  <c r="AH735"/>
  <c r="AI735"/>
  <c r="AJ735"/>
  <c r="AK735"/>
  <c r="AL735"/>
  <c r="AM735"/>
  <c r="AN735"/>
  <c r="AO735"/>
  <c r="AQ735"/>
  <c r="AR735"/>
  <c r="AS735"/>
  <c r="AT735"/>
  <c r="AU735"/>
  <c r="AV735"/>
  <c r="AW735"/>
  <c r="AX735"/>
  <c r="AZ735"/>
  <c r="BA735"/>
  <c r="BB735"/>
  <c r="BC735"/>
  <c r="BD735"/>
  <c r="BE735"/>
  <c r="BF735"/>
  <c r="BG735"/>
  <c r="BI735"/>
  <c r="BJ735"/>
  <c r="BK735"/>
  <c r="BL735"/>
  <c r="BM735"/>
  <c r="BN735"/>
  <c r="BO735"/>
  <c r="BP735"/>
  <c r="G738"/>
  <c r="H738"/>
  <c r="I738"/>
  <c r="J738"/>
  <c r="K738"/>
  <c r="L738"/>
  <c r="M738"/>
  <c r="P738"/>
  <c r="Q738"/>
  <c r="R738"/>
  <c r="S738"/>
  <c r="T738"/>
  <c r="U738"/>
  <c r="V738"/>
  <c r="Y738"/>
  <c r="Z738"/>
  <c r="AA738"/>
  <c r="AB738"/>
  <c r="AC738"/>
  <c r="AD738"/>
  <c r="AE738"/>
  <c r="AH738"/>
  <c r="AI738"/>
  <c r="AJ738"/>
  <c r="AK738"/>
  <c r="AL738"/>
  <c r="AM738"/>
  <c r="AN738"/>
  <c r="AQ738"/>
  <c r="AR738"/>
  <c r="AS738"/>
  <c r="AT738"/>
  <c r="AU738"/>
  <c r="AV738"/>
  <c r="AW738"/>
  <c r="AZ738"/>
  <c r="BA738"/>
  <c r="BB738"/>
  <c r="BC738"/>
  <c r="BD738"/>
  <c r="BE738"/>
  <c r="BF738"/>
  <c r="BI738"/>
  <c r="BJ738"/>
  <c r="BK738"/>
  <c r="BL738"/>
  <c r="BM738"/>
  <c r="BN738"/>
  <c r="BO738"/>
  <c r="G739"/>
  <c r="H739"/>
  <c r="I739"/>
  <c r="J739"/>
  <c r="K739"/>
  <c r="L739"/>
  <c r="M739"/>
  <c r="P739"/>
  <c r="Q739"/>
  <c r="R739"/>
  <c r="S739"/>
  <c r="T739"/>
  <c r="U739"/>
  <c r="V739"/>
  <c r="Y739"/>
  <c r="Z739"/>
  <c r="AA739"/>
  <c r="AB739"/>
  <c r="AC739"/>
  <c r="AD739"/>
  <c r="AE739"/>
  <c r="AH739"/>
  <c r="AI739"/>
  <c r="AJ739"/>
  <c r="AK739"/>
  <c r="AL739"/>
  <c r="AM739"/>
  <c r="AN739"/>
  <c r="AQ739"/>
  <c r="AR739"/>
  <c r="AS739"/>
  <c r="AT739"/>
  <c r="AU739"/>
  <c r="AV739"/>
  <c r="AW739"/>
  <c r="AZ739"/>
  <c r="BA739"/>
  <c r="BB739"/>
  <c r="BC739"/>
  <c r="BD739"/>
  <c r="BE739"/>
  <c r="BF739"/>
  <c r="BI739"/>
  <c r="BJ739"/>
  <c r="BK739"/>
  <c r="BL739"/>
  <c r="BM739"/>
  <c r="BN739"/>
  <c r="BO739"/>
  <c r="P741"/>
  <c r="Q741"/>
  <c r="R741"/>
  <c r="S741"/>
  <c r="T741"/>
  <c r="U741"/>
  <c r="V741"/>
  <c r="Y741"/>
  <c r="Z741"/>
  <c r="AA741"/>
  <c r="AB741"/>
  <c r="AC741"/>
  <c r="AD741"/>
  <c r="AE741"/>
  <c r="AH741"/>
  <c r="AI741"/>
  <c r="AJ741"/>
  <c r="AK741"/>
  <c r="AL741"/>
  <c r="AM741"/>
  <c r="AN741"/>
  <c r="AQ741"/>
  <c r="AR741"/>
  <c r="AS741"/>
  <c r="AT741"/>
  <c r="AU741"/>
  <c r="AV741"/>
  <c r="AW741"/>
  <c r="AZ741"/>
  <c r="BA741"/>
  <c r="BB741"/>
  <c r="BC741"/>
  <c r="BD741"/>
  <c r="BE741"/>
  <c r="BF741"/>
  <c r="BI741"/>
  <c r="BJ741"/>
  <c r="BK741"/>
  <c r="BL741"/>
  <c r="BM741"/>
  <c r="BN741"/>
  <c r="BO741"/>
  <c r="P743"/>
  <c r="Q743"/>
  <c r="R743"/>
  <c r="S743"/>
  <c r="T743"/>
  <c r="U743"/>
  <c r="V743"/>
  <c r="Y743"/>
  <c r="Z743"/>
  <c r="AA743"/>
  <c r="AB743"/>
  <c r="AC743"/>
  <c r="AD743"/>
  <c r="AE743"/>
  <c r="AH743"/>
  <c r="AI743"/>
  <c r="AJ743"/>
  <c r="AK743"/>
  <c r="AL743"/>
  <c r="AM743"/>
  <c r="AN743"/>
  <c r="AQ743"/>
  <c r="AR743"/>
  <c r="AS743"/>
  <c r="AT743"/>
  <c r="AU743"/>
  <c r="AV743"/>
  <c r="AW743"/>
  <c r="AZ743"/>
  <c r="BA743"/>
  <c r="BB743"/>
  <c r="BC743"/>
  <c r="BD743"/>
  <c r="BE743"/>
  <c r="BF743"/>
  <c r="BI743"/>
  <c r="BJ743"/>
  <c r="BK743"/>
  <c r="BL743"/>
  <c r="BM743"/>
  <c r="BN743"/>
  <c r="BO743"/>
  <c r="G745"/>
  <c r="H745"/>
  <c r="I745"/>
  <c r="J745"/>
  <c r="K745"/>
  <c r="L745"/>
  <c r="M745"/>
  <c r="P745"/>
  <c r="Q745"/>
  <c r="R745"/>
  <c r="S745"/>
  <c r="T745"/>
  <c r="U745"/>
  <c r="V745"/>
  <c r="Y745"/>
  <c r="Z745"/>
  <c r="AA745"/>
  <c r="AB745"/>
  <c r="AC745"/>
  <c r="AD745"/>
  <c r="AE745"/>
  <c r="AH745"/>
  <c r="AI745"/>
  <c r="AJ745"/>
  <c r="AK745"/>
  <c r="AL745"/>
  <c r="AM745"/>
  <c r="AN745"/>
  <c r="AQ745"/>
  <c r="AR745"/>
  <c r="AS745"/>
  <c r="AT745"/>
  <c r="AU745"/>
  <c r="AV745"/>
  <c r="AW745"/>
  <c r="AZ745"/>
  <c r="BA745"/>
  <c r="BB745"/>
  <c r="BC745"/>
  <c r="BD745"/>
  <c r="BE745"/>
  <c r="BF745"/>
  <c r="BI745"/>
  <c r="BJ745"/>
  <c r="BK745"/>
  <c r="BL745"/>
  <c r="BM745"/>
  <c r="BN745"/>
  <c r="BO745"/>
  <c r="G750"/>
  <c r="H750"/>
  <c r="I750"/>
  <c r="J750"/>
  <c r="K750"/>
  <c r="L750"/>
  <c r="M750"/>
  <c r="N750"/>
  <c r="P750"/>
  <c r="Q750"/>
  <c r="R750"/>
  <c r="S750"/>
  <c r="T750"/>
  <c r="U750"/>
  <c r="V750"/>
  <c r="W750"/>
  <c r="Y750"/>
  <c r="Z750"/>
  <c r="AA750"/>
  <c r="AB750"/>
  <c r="AC750"/>
  <c r="AD750"/>
  <c r="AE750"/>
  <c r="AF750"/>
  <c r="AH750"/>
  <c r="AI750"/>
  <c r="AJ750"/>
  <c r="AK750"/>
  <c r="AL750"/>
  <c r="AM750"/>
  <c r="AN750"/>
  <c r="AO750"/>
  <c r="AQ750"/>
  <c r="AR750"/>
  <c r="AS750"/>
  <c r="AT750"/>
  <c r="AU750"/>
  <c r="AV750"/>
  <c r="AW750"/>
  <c r="AX750"/>
  <c r="AZ750"/>
  <c r="BA750"/>
  <c r="BB750"/>
  <c r="BC750"/>
  <c r="BD750"/>
  <c r="BE750"/>
  <c r="BF750"/>
  <c r="BG750"/>
  <c r="BI750"/>
  <c r="BJ750"/>
  <c r="BK750"/>
  <c r="BL750"/>
  <c r="BM750"/>
  <c r="BN750"/>
  <c r="BO750"/>
  <c r="BP750"/>
  <c r="G752"/>
  <c r="H752"/>
  <c r="I752"/>
  <c r="J752"/>
  <c r="K752"/>
  <c r="L752"/>
  <c r="M752"/>
  <c r="N752"/>
  <c r="P752"/>
  <c r="Q752"/>
  <c r="R752"/>
  <c r="S752"/>
  <c r="T752"/>
  <c r="U752"/>
  <c r="V752"/>
  <c r="W752"/>
  <c r="Y752"/>
  <c r="Z752"/>
  <c r="AA752"/>
  <c r="AB752"/>
  <c r="AC752"/>
  <c r="AD752"/>
  <c r="AE752"/>
  <c r="AF752"/>
  <c r="AH752"/>
  <c r="AI752"/>
  <c r="AJ752"/>
  <c r="AK752"/>
  <c r="AL752"/>
  <c r="AM752"/>
  <c r="AN752"/>
  <c r="AO752"/>
  <c r="AQ752"/>
  <c r="AR752"/>
  <c r="AS752"/>
  <c r="AT752"/>
  <c r="AU752"/>
  <c r="AV752"/>
  <c r="AW752"/>
  <c r="AX752"/>
  <c r="AZ752"/>
  <c r="BA752"/>
  <c r="BB752"/>
  <c r="BC752"/>
  <c r="BD752"/>
  <c r="BE752"/>
  <c r="BF752"/>
  <c r="BG752"/>
  <c r="BI752"/>
  <c r="BJ752"/>
  <c r="BK752"/>
  <c r="BL752"/>
  <c r="BM752"/>
  <c r="BN752"/>
  <c r="BO752"/>
  <c r="BP752"/>
  <c r="G753"/>
  <c r="H753"/>
  <c r="I753"/>
  <c r="J753"/>
  <c r="K753"/>
  <c r="L753"/>
  <c r="M753"/>
  <c r="N753"/>
  <c r="P753"/>
  <c r="Q753"/>
  <c r="R753"/>
  <c r="S753"/>
  <c r="T753"/>
  <c r="U753"/>
  <c r="V753"/>
  <c r="W753"/>
  <c r="Y753"/>
  <c r="Z753"/>
  <c r="AA753"/>
  <c r="AB753"/>
  <c r="AC753"/>
  <c r="AD753"/>
  <c r="AE753"/>
  <c r="AF753"/>
  <c r="AH753"/>
  <c r="AI753"/>
  <c r="AJ753"/>
  <c r="AK753"/>
  <c r="AL753"/>
  <c r="AM753"/>
  <c r="AN753"/>
  <c r="AO753"/>
  <c r="AQ753"/>
  <c r="AR753"/>
  <c r="AS753"/>
  <c r="AT753"/>
  <c r="AU753"/>
  <c r="AV753"/>
  <c r="AW753"/>
  <c r="AX753"/>
  <c r="AZ753"/>
  <c r="BA753"/>
  <c r="BB753"/>
  <c r="BC753"/>
  <c r="BD753"/>
  <c r="BE753"/>
  <c r="BF753"/>
  <c r="BG753"/>
  <c r="BI753"/>
  <c r="BJ753"/>
  <c r="BK753"/>
  <c r="BL753"/>
  <c r="BM753"/>
  <c r="BN753"/>
  <c r="BO753"/>
  <c r="BP753"/>
  <c r="N754"/>
  <c r="W754"/>
  <c r="AF754"/>
  <c r="AO754"/>
  <c r="BG754"/>
  <c r="BP754"/>
  <c r="G756"/>
  <c r="H756"/>
  <c r="I756"/>
  <c r="J756"/>
  <c r="K756"/>
  <c r="L756"/>
  <c r="M756"/>
  <c r="N756"/>
  <c r="P756"/>
  <c r="Q756"/>
  <c r="R756"/>
  <c r="S756"/>
  <c r="T756"/>
  <c r="U756"/>
  <c r="V756"/>
  <c r="W756"/>
  <c r="Y756"/>
  <c r="Z756"/>
  <c r="AA756"/>
  <c r="AB756"/>
  <c r="AC756"/>
  <c r="AD756"/>
  <c r="AE756"/>
  <c r="AF756"/>
  <c r="AH756"/>
  <c r="AI756"/>
  <c r="AJ756"/>
  <c r="AK756"/>
  <c r="AL756"/>
  <c r="AM756"/>
  <c r="AN756"/>
  <c r="AO756"/>
  <c r="AQ756"/>
  <c r="AR756"/>
  <c r="AS756"/>
  <c r="AT756"/>
  <c r="AU756"/>
  <c r="AV756"/>
  <c r="AW756"/>
  <c r="AX756"/>
  <c r="AZ756"/>
  <c r="BA756"/>
  <c r="BB756"/>
  <c r="BC756"/>
  <c r="BD756"/>
  <c r="BE756"/>
  <c r="BF756"/>
  <c r="BG756"/>
  <c r="BI756"/>
  <c r="BJ756"/>
  <c r="BK756"/>
  <c r="BL756"/>
  <c r="BM756"/>
  <c r="BN756"/>
  <c r="BO756"/>
  <c r="BP756"/>
  <c r="P758"/>
  <c r="Q758"/>
  <c r="R758"/>
  <c r="S758"/>
  <c r="T758"/>
  <c r="U758"/>
  <c r="V758"/>
  <c r="W758"/>
  <c r="Y758"/>
  <c r="Z758"/>
  <c r="AA758"/>
  <c r="AB758"/>
  <c r="AC758"/>
  <c r="AD758"/>
  <c r="AE758"/>
  <c r="AF758"/>
  <c r="AH758"/>
  <c r="AI758"/>
  <c r="AJ758"/>
  <c r="AK758"/>
  <c r="AL758"/>
  <c r="AM758"/>
  <c r="AN758"/>
  <c r="AO758"/>
  <c r="AQ758"/>
  <c r="AR758"/>
  <c r="AS758"/>
  <c r="AT758"/>
  <c r="AU758"/>
  <c r="AV758"/>
  <c r="AW758"/>
  <c r="AX758"/>
  <c r="AZ758"/>
  <c r="BA758"/>
  <c r="BB758"/>
  <c r="BC758"/>
  <c r="BD758"/>
  <c r="BE758"/>
  <c r="BF758"/>
  <c r="BG758"/>
  <c r="BI758"/>
  <c r="BJ758"/>
  <c r="BK758"/>
  <c r="BL758"/>
  <c r="BM758"/>
  <c r="BN758"/>
  <c r="BO758"/>
  <c r="BP758"/>
  <c r="G760"/>
  <c r="H760"/>
  <c r="I760"/>
  <c r="J760"/>
  <c r="K760"/>
  <c r="L760"/>
  <c r="M760"/>
  <c r="N760"/>
  <c r="P760"/>
  <c r="Q760"/>
  <c r="R760"/>
  <c r="S760"/>
  <c r="T760"/>
  <c r="U760"/>
  <c r="V760"/>
  <c r="W760"/>
  <c r="Y760"/>
  <c r="Z760"/>
  <c r="AA760"/>
  <c r="AB760"/>
  <c r="AC760"/>
  <c r="AD760"/>
  <c r="AE760"/>
  <c r="AF760"/>
  <c r="AH760"/>
  <c r="AI760"/>
  <c r="AJ760"/>
  <c r="AK760"/>
  <c r="AL760"/>
  <c r="AM760"/>
  <c r="AN760"/>
  <c r="AO760"/>
  <c r="AQ760"/>
  <c r="AR760"/>
  <c r="AS760"/>
  <c r="AT760"/>
  <c r="AU760"/>
  <c r="AV760"/>
  <c r="AW760"/>
  <c r="AX760"/>
  <c r="AZ760"/>
  <c r="BA760"/>
  <c r="BB760"/>
  <c r="BC760"/>
  <c r="BD760"/>
  <c r="BE760"/>
  <c r="BF760"/>
  <c r="BG760"/>
  <c r="BI760"/>
  <c r="BJ760"/>
  <c r="BK760"/>
  <c r="BL760"/>
  <c r="BM760"/>
  <c r="BN760"/>
  <c r="BO760"/>
  <c r="BP760"/>
  <c r="G763"/>
  <c r="H763"/>
  <c r="I763"/>
  <c r="J763"/>
  <c r="K763"/>
  <c r="L763"/>
  <c r="M763"/>
  <c r="N763"/>
  <c r="P763"/>
  <c r="Q763"/>
  <c r="R763"/>
  <c r="S763"/>
  <c r="T763"/>
  <c r="U763"/>
  <c r="V763"/>
  <c r="W763"/>
  <c r="Y763"/>
  <c r="Z763"/>
  <c r="AA763"/>
  <c r="AB763"/>
  <c r="AC763"/>
  <c r="AD763"/>
  <c r="AE763"/>
  <c r="AF763"/>
  <c r="AH763"/>
  <c r="AI763"/>
  <c r="AJ763"/>
  <c r="AK763"/>
  <c r="AL763"/>
  <c r="AM763"/>
  <c r="AN763"/>
  <c r="AO763"/>
  <c r="AZ763"/>
  <c r="BA763"/>
  <c r="BB763"/>
  <c r="BC763"/>
  <c r="BD763"/>
  <c r="BE763"/>
  <c r="BF763"/>
  <c r="BG763"/>
  <c r="BI763"/>
  <c r="BJ763"/>
  <c r="BK763"/>
  <c r="BL763"/>
  <c r="BM763"/>
  <c r="BN763"/>
  <c r="BO763"/>
  <c r="BP763"/>
  <c r="G764"/>
  <c r="H764"/>
  <c r="I764"/>
  <c r="J764"/>
  <c r="K764"/>
  <c r="L764"/>
  <c r="M764"/>
  <c r="N764"/>
  <c r="P764"/>
  <c r="Q764"/>
  <c r="R764"/>
  <c r="S764"/>
  <c r="T764"/>
  <c r="U764"/>
  <c r="V764"/>
  <c r="W764"/>
  <c r="Y764"/>
  <c r="Z764"/>
  <c r="AA764"/>
  <c r="AB764"/>
  <c r="AC764"/>
  <c r="AD764"/>
  <c r="AE764"/>
  <c r="AF764"/>
  <c r="AH764"/>
  <c r="AI764"/>
  <c r="AJ764"/>
  <c r="AK764"/>
  <c r="AL764"/>
  <c r="AM764"/>
  <c r="AN764"/>
  <c r="AO764"/>
  <c r="AZ764"/>
  <c r="BA764"/>
  <c r="BB764"/>
  <c r="BC764"/>
  <c r="BD764"/>
  <c r="BE764"/>
  <c r="BF764"/>
  <c r="BG764"/>
  <c r="BI764"/>
  <c r="BJ764"/>
  <c r="BK764"/>
  <c r="BL764"/>
  <c r="BM764"/>
  <c r="BN764"/>
  <c r="BO764"/>
  <c r="BP764"/>
  <c r="G765"/>
  <c r="H765"/>
  <c r="I765"/>
  <c r="J765"/>
  <c r="K765"/>
  <c r="L765"/>
  <c r="M765"/>
  <c r="N765"/>
  <c r="P765"/>
  <c r="Q765"/>
  <c r="R765"/>
  <c r="S765"/>
  <c r="T765"/>
  <c r="U765"/>
  <c r="V765"/>
  <c r="W765"/>
  <c r="Y765"/>
  <c r="Z765"/>
  <c r="AA765"/>
  <c r="AB765"/>
  <c r="AC765"/>
  <c r="AD765"/>
  <c r="AE765"/>
  <c r="AF765"/>
  <c r="AH765"/>
  <c r="AI765"/>
  <c r="AJ765"/>
  <c r="AK765"/>
  <c r="AL765"/>
  <c r="AM765"/>
  <c r="AN765"/>
  <c r="AO765"/>
  <c r="AZ765"/>
  <c r="BA765"/>
  <c r="BB765"/>
  <c r="BC765"/>
  <c r="BD765"/>
  <c r="BE765"/>
  <c r="BF765"/>
  <c r="BG765"/>
  <c r="BI765"/>
  <c r="BJ765"/>
  <c r="BK765"/>
  <c r="BL765"/>
  <c r="BM765"/>
  <c r="BN765"/>
  <c r="BO765"/>
  <c r="BP765"/>
  <c r="G767"/>
  <c r="H767"/>
  <c r="I767"/>
  <c r="J767"/>
  <c r="K767"/>
  <c r="L767"/>
  <c r="M767"/>
  <c r="N767"/>
  <c r="P767"/>
  <c r="Q767"/>
  <c r="R767"/>
  <c r="S767"/>
  <c r="T767"/>
  <c r="U767"/>
  <c r="V767"/>
  <c r="W767"/>
  <c r="Y767"/>
  <c r="Z767"/>
  <c r="AA767"/>
  <c r="AB767"/>
  <c r="AC767"/>
  <c r="AD767"/>
  <c r="AE767"/>
  <c r="AF767"/>
  <c r="AH767"/>
  <c r="AI767"/>
  <c r="AJ767"/>
  <c r="AK767"/>
  <c r="AL767"/>
  <c r="AM767"/>
  <c r="AN767"/>
  <c r="AO767"/>
  <c r="AQ767"/>
  <c r="AR767"/>
  <c r="AS767"/>
  <c r="AT767"/>
  <c r="AU767"/>
  <c r="AV767"/>
  <c r="AW767"/>
  <c r="AX767"/>
  <c r="AZ767"/>
  <c r="BA767"/>
  <c r="BB767"/>
  <c r="BC767"/>
  <c r="BD767"/>
  <c r="BE767"/>
  <c r="BF767"/>
  <c r="BG767"/>
  <c r="BI767"/>
  <c r="BJ767"/>
  <c r="BK767"/>
  <c r="BL767"/>
  <c r="BM767"/>
  <c r="BN767"/>
  <c r="BO767"/>
  <c r="BP767"/>
  <c r="G768"/>
  <c r="H768"/>
  <c r="I768"/>
  <c r="J768"/>
  <c r="K768"/>
  <c r="L768"/>
  <c r="M768"/>
  <c r="N768"/>
  <c r="P768"/>
  <c r="Q768"/>
  <c r="R768"/>
  <c r="S768"/>
  <c r="T768"/>
  <c r="U768"/>
  <c r="V768"/>
  <c r="W768"/>
  <c r="Y768"/>
  <c r="Z768"/>
  <c r="AA768"/>
  <c r="AB768"/>
  <c r="AC768"/>
  <c r="AD768"/>
  <c r="AE768"/>
  <c r="AF768"/>
  <c r="AH768"/>
  <c r="AI768"/>
  <c r="AJ768"/>
  <c r="AK768"/>
  <c r="AL768"/>
  <c r="AM768"/>
  <c r="AN768"/>
  <c r="AO768"/>
  <c r="AQ768"/>
  <c r="AR768"/>
  <c r="AS768"/>
  <c r="AT768"/>
  <c r="AU768"/>
  <c r="AV768"/>
  <c r="AW768"/>
  <c r="AX768"/>
  <c r="AZ768"/>
  <c r="BA768"/>
  <c r="BB768"/>
  <c r="BC768"/>
  <c r="BD768"/>
  <c r="BE768"/>
  <c r="BF768"/>
  <c r="BG768"/>
  <c r="BI768"/>
  <c r="BJ768"/>
  <c r="BK768"/>
  <c r="BL768"/>
  <c r="BM768"/>
  <c r="BN768"/>
  <c r="BO768"/>
  <c r="BP768"/>
  <c r="G769"/>
  <c r="H769"/>
  <c r="I769"/>
  <c r="J769"/>
  <c r="K769"/>
  <c r="L769"/>
  <c r="M769"/>
  <c r="G770"/>
  <c r="H770"/>
  <c r="I770"/>
  <c r="J770"/>
  <c r="K770"/>
  <c r="L770"/>
  <c r="M770"/>
  <c r="G773"/>
  <c r="H773"/>
  <c r="I773"/>
  <c r="J773"/>
  <c r="K773"/>
  <c r="L773"/>
  <c r="M773"/>
  <c r="P773"/>
  <c r="Q773"/>
  <c r="R773"/>
  <c r="S773"/>
  <c r="T773"/>
  <c r="U773"/>
  <c r="V773"/>
  <c r="Y773"/>
  <c r="Z773"/>
  <c r="AA773"/>
  <c r="AB773"/>
  <c r="AC773"/>
  <c r="AD773"/>
  <c r="AE773"/>
  <c r="AH773"/>
  <c r="AI773"/>
  <c r="AJ773"/>
  <c r="AK773"/>
  <c r="AL773"/>
  <c r="AM773"/>
  <c r="AN773"/>
  <c r="AQ773"/>
  <c r="AR773"/>
  <c r="AS773"/>
  <c r="AT773"/>
  <c r="AU773"/>
  <c r="AV773"/>
  <c r="AW773"/>
  <c r="AZ773"/>
  <c r="BA773"/>
  <c r="BB773"/>
  <c r="BC773"/>
  <c r="BD773"/>
  <c r="BE773"/>
  <c r="BF773"/>
  <c r="BI773"/>
  <c r="BJ773"/>
  <c r="BK773"/>
  <c r="BL773"/>
  <c r="BM773"/>
  <c r="BN773"/>
  <c r="BO773"/>
  <c r="G774"/>
  <c r="H774"/>
  <c r="I774"/>
  <c r="J774"/>
  <c r="K774"/>
  <c r="L774"/>
  <c r="M774"/>
  <c r="P774"/>
  <c r="Q774"/>
  <c r="R774"/>
  <c r="S774"/>
  <c r="T774"/>
  <c r="U774"/>
  <c r="V774"/>
  <c r="Y774"/>
  <c r="Z774"/>
  <c r="AA774"/>
  <c r="AB774"/>
  <c r="AC774"/>
  <c r="AD774"/>
  <c r="AE774"/>
  <c r="AH774"/>
  <c r="AI774"/>
  <c r="AJ774"/>
  <c r="AK774"/>
  <c r="AL774"/>
  <c r="AM774"/>
  <c r="AN774"/>
  <c r="AQ774"/>
  <c r="AR774"/>
  <c r="AS774"/>
  <c r="AT774"/>
  <c r="AU774"/>
  <c r="AV774"/>
  <c r="AW774"/>
  <c r="AZ774"/>
  <c r="BA774"/>
  <c r="BB774"/>
  <c r="BC774"/>
  <c r="BD774"/>
  <c r="BE774"/>
  <c r="BF774"/>
  <c r="BI774"/>
  <c r="BJ774"/>
  <c r="BK774"/>
  <c r="BL774"/>
  <c r="BM774"/>
  <c r="BN774"/>
  <c r="BO774"/>
  <c r="P777"/>
  <c r="Q777"/>
  <c r="R777"/>
  <c r="S777"/>
  <c r="T777"/>
  <c r="U777"/>
  <c r="V777"/>
  <c r="W777"/>
  <c r="Y777"/>
  <c r="Z777"/>
  <c r="AA777"/>
  <c r="AB777"/>
  <c r="AC777"/>
  <c r="AD777"/>
  <c r="AE777"/>
  <c r="AF777"/>
  <c r="AH777"/>
  <c r="AI777"/>
  <c r="AJ777"/>
  <c r="AK777"/>
  <c r="AL777"/>
  <c r="AM777"/>
  <c r="AN777"/>
  <c r="AO777"/>
  <c r="AQ777"/>
  <c r="AR777"/>
  <c r="AS777"/>
  <c r="AT777"/>
  <c r="AU777"/>
  <c r="AV777"/>
  <c r="AW777"/>
  <c r="AX777"/>
  <c r="AZ777"/>
  <c r="BA777"/>
  <c r="BB777"/>
  <c r="BC777"/>
  <c r="BD777"/>
  <c r="BE777"/>
  <c r="BF777"/>
  <c r="BG777"/>
  <c r="BI777"/>
  <c r="BJ777"/>
  <c r="BK777"/>
  <c r="BL777"/>
  <c r="BM777"/>
  <c r="BN777"/>
  <c r="BO777"/>
  <c r="BP777"/>
  <c r="P778"/>
  <c r="Q778"/>
  <c r="R778"/>
  <c r="S778"/>
  <c r="T778"/>
  <c r="U778"/>
  <c r="V778"/>
  <c r="W778"/>
  <c r="Y778"/>
  <c r="Z778"/>
  <c r="AA778"/>
  <c r="AB778"/>
  <c r="AC778"/>
  <c r="AD778"/>
  <c r="AE778"/>
  <c r="AF778"/>
  <c r="AH778"/>
  <c r="AI778"/>
  <c r="AJ778"/>
  <c r="AK778"/>
  <c r="AL778"/>
  <c r="AM778"/>
  <c r="AN778"/>
  <c r="AO778"/>
  <c r="AZ778"/>
  <c r="BA778"/>
  <c r="BB778"/>
  <c r="BC778"/>
  <c r="BD778"/>
  <c r="BE778"/>
  <c r="BF778"/>
  <c r="BG778"/>
  <c r="BI778"/>
  <c r="BJ778"/>
  <c r="BK778"/>
  <c r="BL778"/>
  <c r="BM778"/>
  <c r="BN778"/>
  <c r="BO778"/>
  <c r="BP778"/>
  <c r="P779"/>
  <c r="Q779"/>
  <c r="R779"/>
  <c r="S779"/>
  <c r="T779"/>
  <c r="U779"/>
  <c r="V779"/>
  <c r="W779"/>
  <c r="Y779"/>
  <c r="Z779"/>
  <c r="AA779"/>
  <c r="AB779"/>
  <c r="AC779"/>
  <c r="AD779"/>
  <c r="AE779"/>
  <c r="AF779"/>
  <c r="AH779"/>
  <c r="AI779"/>
  <c r="AJ779"/>
  <c r="AK779"/>
  <c r="AL779"/>
  <c r="AM779"/>
  <c r="AN779"/>
  <c r="AO779"/>
  <c r="AQ779"/>
  <c r="AR779"/>
  <c r="AS779"/>
  <c r="AT779"/>
  <c r="AU779"/>
  <c r="AV779"/>
  <c r="AW779"/>
  <c r="AX779"/>
  <c r="AZ779"/>
  <c r="BA779"/>
  <c r="BB779"/>
  <c r="BC779"/>
  <c r="BD779"/>
  <c r="BE779"/>
  <c r="BF779"/>
  <c r="BG779"/>
  <c r="BI779"/>
  <c r="BJ779"/>
  <c r="BK779"/>
  <c r="BL779"/>
  <c r="BM779"/>
  <c r="BN779"/>
  <c r="BO779"/>
  <c r="BP779"/>
  <c r="P780"/>
  <c r="Q780"/>
  <c r="R780"/>
  <c r="S780"/>
  <c r="T780"/>
  <c r="U780"/>
  <c r="V780"/>
  <c r="W780"/>
  <c r="Y780"/>
  <c r="Z780"/>
  <c r="AA780"/>
  <c r="AB780"/>
  <c r="AC780"/>
  <c r="AD780"/>
  <c r="AE780"/>
  <c r="AF780"/>
  <c r="AH780"/>
  <c r="AI780"/>
  <c r="AJ780"/>
  <c r="AK780"/>
  <c r="AL780"/>
  <c r="AM780"/>
  <c r="AN780"/>
  <c r="AO780"/>
  <c r="AZ780"/>
  <c r="BA780"/>
  <c r="BB780"/>
  <c r="BC780"/>
  <c r="BD780"/>
  <c r="BE780"/>
  <c r="BF780"/>
  <c r="BG780"/>
  <c r="BI780"/>
  <c r="BJ780"/>
  <c r="BK780"/>
  <c r="BL780"/>
  <c r="BM780"/>
  <c r="BN780"/>
  <c r="BO780"/>
  <c r="BP780"/>
  <c r="P781"/>
  <c r="Q781"/>
  <c r="R781"/>
  <c r="S781"/>
  <c r="T781"/>
  <c r="U781"/>
  <c r="V781"/>
  <c r="W781"/>
  <c r="Y781"/>
  <c r="Z781"/>
  <c r="AA781"/>
  <c r="AB781"/>
  <c r="AC781"/>
  <c r="AD781"/>
  <c r="AE781"/>
  <c r="AF781"/>
  <c r="AH781"/>
  <c r="AI781"/>
  <c r="AJ781"/>
  <c r="AK781"/>
  <c r="AL781"/>
  <c r="AM781"/>
  <c r="AN781"/>
  <c r="AO781"/>
  <c r="AQ781"/>
  <c r="AR781"/>
  <c r="AS781"/>
  <c r="AT781"/>
  <c r="AU781"/>
  <c r="AV781"/>
  <c r="AW781"/>
  <c r="AX781"/>
  <c r="AZ781"/>
  <c r="BA781"/>
  <c r="BB781"/>
  <c r="BC781"/>
  <c r="BD781"/>
  <c r="BE781"/>
  <c r="BF781"/>
  <c r="BG781"/>
  <c r="BI781"/>
  <c r="BJ781"/>
  <c r="BK781"/>
  <c r="BL781"/>
  <c r="BM781"/>
  <c r="BN781"/>
  <c r="BO781"/>
  <c r="BP781"/>
  <c r="P783"/>
  <c r="Q783"/>
  <c r="R783"/>
  <c r="S783"/>
  <c r="T783"/>
  <c r="U783"/>
  <c r="V783"/>
  <c r="W783"/>
  <c r="Y783"/>
  <c r="Z783"/>
  <c r="AA783"/>
  <c r="AB783"/>
  <c r="AC783"/>
  <c r="AD783"/>
  <c r="AE783"/>
  <c r="AF783"/>
  <c r="AH783"/>
  <c r="AI783"/>
  <c r="AJ783"/>
  <c r="AK783"/>
  <c r="AL783"/>
  <c r="AM783"/>
  <c r="AN783"/>
  <c r="AO783"/>
  <c r="AQ783"/>
  <c r="AR783"/>
  <c r="AS783"/>
  <c r="AT783"/>
  <c r="AU783"/>
  <c r="AV783"/>
  <c r="AW783"/>
  <c r="AX783"/>
  <c r="AZ783"/>
  <c r="BA783"/>
  <c r="BB783"/>
  <c r="BC783"/>
  <c r="BD783"/>
  <c r="BE783"/>
  <c r="BF783"/>
  <c r="BG783"/>
  <c r="BI783"/>
  <c r="BJ783"/>
  <c r="BK783"/>
  <c r="BL783"/>
  <c r="BM783"/>
  <c r="BN783"/>
  <c r="BO783"/>
  <c r="BP783"/>
  <c r="G786"/>
  <c r="H786"/>
  <c r="I786"/>
  <c r="J786"/>
  <c r="K786"/>
  <c r="L786"/>
  <c r="M786"/>
  <c r="P786"/>
  <c r="Q786"/>
  <c r="R786"/>
  <c r="S786"/>
  <c r="T786"/>
  <c r="U786"/>
  <c r="V786"/>
  <c r="Y786"/>
  <c r="Z786"/>
  <c r="AA786"/>
  <c r="AB786"/>
  <c r="AC786"/>
  <c r="AD786"/>
  <c r="AE786"/>
  <c r="AH786"/>
  <c r="AI786"/>
  <c r="AJ786"/>
  <c r="AK786"/>
  <c r="AL786"/>
  <c r="AM786"/>
  <c r="AN786"/>
  <c r="AQ786"/>
  <c r="AR786"/>
  <c r="AS786"/>
  <c r="AT786"/>
  <c r="AU786"/>
  <c r="AV786"/>
  <c r="AW786"/>
  <c r="AZ786"/>
  <c r="BA786"/>
  <c r="BB786"/>
  <c r="BC786"/>
  <c r="BD786"/>
  <c r="BE786"/>
  <c r="BF786"/>
  <c r="BI786"/>
  <c r="BJ786"/>
  <c r="BK786"/>
  <c r="BL786"/>
  <c r="BM786"/>
  <c r="BN786"/>
  <c r="BO786"/>
  <c r="G787"/>
  <c r="H787"/>
  <c r="I787"/>
  <c r="J787"/>
  <c r="K787"/>
  <c r="L787"/>
  <c r="M787"/>
  <c r="P787"/>
  <c r="Q787"/>
  <c r="R787"/>
  <c r="S787"/>
  <c r="T787"/>
  <c r="U787"/>
  <c r="V787"/>
  <c r="Y787"/>
  <c r="Z787"/>
  <c r="AA787"/>
  <c r="AB787"/>
  <c r="AC787"/>
  <c r="AD787"/>
  <c r="AE787"/>
  <c r="AH787"/>
  <c r="AI787"/>
  <c r="AJ787"/>
  <c r="AK787"/>
  <c r="AL787"/>
  <c r="AM787"/>
  <c r="AN787"/>
  <c r="AQ787"/>
  <c r="AR787"/>
  <c r="AS787"/>
  <c r="AT787"/>
  <c r="AU787"/>
  <c r="AV787"/>
  <c r="AW787"/>
  <c r="AZ787"/>
  <c r="BA787"/>
  <c r="BB787"/>
  <c r="BC787"/>
  <c r="BD787"/>
  <c r="BE787"/>
  <c r="BF787"/>
  <c r="BI787"/>
  <c r="BJ787"/>
  <c r="BK787"/>
  <c r="BL787"/>
  <c r="BM787"/>
  <c r="BN787"/>
  <c r="BO787"/>
  <c r="P789"/>
  <c r="Q789"/>
  <c r="R789"/>
  <c r="S789"/>
  <c r="T789"/>
  <c r="U789"/>
  <c r="V789"/>
  <c r="Y789"/>
  <c r="Z789"/>
  <c r="AA789"/>
  <c r="AB789"/>
  <c r="AC789"/>
  <c r="AD789"/>
  <c r="AE789"/>
  <c r="AH789"/>
  <c r="AI789"/>
  <c r="AJ789"/>
  <c r="AK789"/>
  <c r="AL789"/>
  <c r="AM789"/>
  <c r="AN789"/>
  <c r="AQ789"/>
  <c r="AR789"/>
  <c r="AS789"/>
  <c r="AT789"/>
  <c r="AU789"/>
  <c r="AV789"/>
  <c r="AW789"/>
  <c r="AZ789"/>
  <c r="BA789"/>
  <c r="BB789"/>
  <c r="BC789"/>
  <c r="BD789"/>
  <c r="BE789"/>
  <c r="BF789"/>
  <c r="BI789"/>
  <c r="BJ789"/>
  <c r="BK789"/>
  <c r="BL789"/>
  <c r="BM789"/>
  <c r="BN789"/>
  <c r="BO789"/>
  <c r="P791"/>
  <c r="Q791"/>
  <c r="R791"/>
  <c r="S791"/>
  <c r="T791"/>
  <c r="U791"/>
  <c r="V791"/>
  <c r="Y791"/>
  <c r="Z791"/>
  <c r="AA791"/>
  <c r="AB791"/>
  <c r="AC791"/>
  <c r="AD791"/>
  <c r="AE791"/>
  <c r="AH791"/>
  <c r="AI791"/>
  <c r="AJ791"/>
  <c r="AK791"/>
  <c r="AL791"/>
  <c r="AM791"/>
  <c r="AN791"/>
  <c r="AQ791"/>
  <c r="AR791"/>
  <c r="AS791"/>
  <c r="AT791"/>
  <c r="AU791"/>
  <c r="AV791"/>
  <c r="AW791"/>
  <c r="AZ791"/>
  <c r="BA791"/>
  <c r="BB791"/>
  <c r="BC791"/>
  <c r="BD791"/>
  <c r="BE791"/>
  <c r="BF791"/>
  <c r="BI791"/>
  <c r="BJ791"/>
  <c r="BK791"/>
  <c r="BL791"/>
  <c r="BM791"/>
  <c r="BN791"/>
  <c r="BO791"/>
  <c r="G793"/>
  <c r="H793"/>
  <c r="I793"/>
  <c r="J793"/>
  <c r="K793"/>
  <c r="L793"/>
  <c r="M793"/>
  <c r="P793"/>
  <c r="Q793"/>
  <c r="R793"/>
  <c r="S793"/>
  <c r="T793"/>
  <c r="U793"/>
  <c r="V793"/>
  <c r="Y793"/>
  <c r="Z793"/>
  <c r="AA793"/>
  <c r="AB793"/>
  <c r="AC793"/>
  <c r="AD793"/>
  <c r="AE793"/>
  <c r="AH793"/>
  <c r="AI793"/>
  <c r="AJ793"/>
  <c r="AK793"/>
  <c r="AL793"/>
  <c r="AM793"/>
  <c r="AN793"/>
  <c r="AQ793"/>
  <c r="AR793"/>
  <c r="AS793"/>
  <c r="AT793"/>
  <c r="AU793"/>
  <c r="AV793"/>
  <c r="AW793"/>
  <c r="AZ793"/>
  <c r="BA793"/>
  <c r="BB793"/>
  <c r="BC793"/>
  <c r="BD793"/>
  <c r="BE793"/>
  <c r="BF793"/>
  <c r="BI793"/>
  <c r="BJ793"/>
  <c r="BK793"/>
  <c r="BL793"/>
  <c r="BM793"/>
  <c r="BN793"/>
  <c r="BO793"/>
  <c r="G798"/>
  <c r="H798"/>
  <c r="I798"/>
  <c r="J798"/>
  <c r="K798"/>
  <c r="L798"/>
  <c r="M798"/>
  <c r="N798"/>
  <c r="P798"/>
  <c r="Q798"/>
  <c r="R798"/>
  <c r="S798"/>
  <c r="T798"/>
  <c r="U798"/>
  <c r="V798"/>
  <c r="W798"/>
  <c r="Y798"/>
  <c r="Z798"/>
  <c r="AA798"/>
  <c r="AB798"/>
  <c r="AC798"/>
  <c r="AD798"/>
  <c r="AE798"/>
  <c r="AF798"/>
  <c r="AH798"/>
  <c r="AI798"/>
  <c r="AJ798"/>
  <c r="AK798"/>
  <c r="AL798"/>
  <c r="AM798"/>
  <c r="AN798"/>
  <c r="AO798"/>
  <c r="AQ798"/>
  <c r="AR798"/>
  <c r="AS798"/>
  <c r="AT798"/>
  <c r="AU798"/>
  <c r="AV798"/>
  <c r="AW798"/>
  <c r="AX798"/>
  <c r="AZ798"/>
  <c r="BA798"/>
  <c r="BB798"/>
  <c r="BC798"/>
  <c r="BD798"/>
  <c r="BE798"/>
  <c r="BF798"/>
  <c r="BG798"/>
  <c r="BI798"/>
  <c r="BJ798"/>
  <c r="BK798"/>
  <c r="BL798"/>
  <c r="BM798"/>
  <c r="BN798"/>
  <c r="BO798"/>
  <c r="BP798"/>
  <c r="G800"/>
  <c r="H800"/>
  <c r="I800"/>
  <c r="J800"/>
  <c r="K800"/>
  <c r="L800"/>
  <c r="M800"/>
  <c r="N800"/>
  <c r="P800"/>
  <c r="Q800"/>
  <c r="R800"/>
  <c r="S800"/>
  <c r="T800"/>
  <c r="U800"/>
  <c r="V800"/>
  <c r="W800"/>
  <c r="Y800"/>
  <c r="Z800"/>
  <c r="AA800"/>
  <c r="AB800"/>
  <c r="AC800"/>
  <c r="AD800"/>
  <c r="AE800"/>
  <c r="AF800"/>
  <c r="AH800"/>
  <c r="AI800"/>
  <c r="AJ800"/>
  <c r="AK800"/>
  <c r="AL800"/>
  <c r="AM800"/>
  <c r="AN800"/>
  <c r="AO800"/>
  <c r="AQ800"/>
  <c r="AR800"/>
  <c r="AS800"/>
  <c r="AT800"/>
  <c r="AU800"/>
  <c r="AV800"/>
  <c r="AW800"/>
  <c r="AX800"/>
  <c r="AZ800"/>
  <c r="BA800"/>
  <c r="BB800"/>
  <c r="BC800"/>
  <c r="BD800"/>
  <c r="BE800"/>
  <c r="BF800"/>
  <c r="BG800"/>
  <c r="BI800"/>
  <c r="BJ800"/>
  <c r="BK800"/>
  <c r="BL800"/>
  <c r="BM800"/>
  <c r="BN800"/>
  <c r="BO800"/>
  <c r="BP800"/>
  <c r="G801"/>
  <c r="H801"/>
  <c r="I801"/>
  <c r="J801"/>
  <c r="K801"/>
  <c r="L801"/>
  <c r="M801"/>
  <c r="N801"/>
  <c r="P801"/>
  <c r="Q801"/>
  <c r="R801"/>
  <c r="S801"/>
  <c r="T801"/>
  <c r="U801"/>
  <c r="V801"/>
  <c r="W801"/>
  <c r="Y801"/>
  <c r="Z801"/>
  <c r="AA801"/>
  <c r="AB801"/>
  <c r="AC801"/>
  <c r="AD801"/>
  <c r="AE801"/>
  <c r="AF801"/>
  <c r="AH801"/>
  <c r="AI801"/>
  <c r="AJ801"/>
  <c r="AK801"/>
  <c r="AL801"/>
  <c r="AM801"/>
  <c r="AN801"/>
  <c r="AO801"/>
  <c r="AQ801"/>
  <c r="AR801"/>
  <c r="AS801"/>
  <c r="AT801"/>
  <c r="AU801"/>
  <c r="AV801"/>
  <c r="AW801"/>
  <c r="AX801"/>
  <c r="AZ801"/>
  <c r="BA801"/>
  <c r="BB801"/>
  <c r="BC801"/>
  <c r="BD801"/>
  <c r="BE801"/>
  <c r="BF801"/>
  <c r="BG801"/>
  <c r="BI801"/>
  <c r="BJ801"/>
  <c r="BK801"/>
  <c r="BL801"/>
  <c r="BM801"/>
  <c r="BN801"/>
  <c r="BO801"/>
  <c r="BP801"/>
  <c r="N802"/>
  <c r="W802"/>
  <c r="AF802"/>
  <c r="AO802"/>
  <c r="BG802"/>
  <c r="BP802"/>
  <c r="G804"/>
  <c r="H804"/>
  <c r="I804"/>
  <c r="J804"/>
  <c r="K804"/>
  <c r="L804"/>
  <c r="M804"/>
  <c r="N804"/>
  <c r="P804"/>
  <c r="Q804"/>
  <c r="R804"/>
  <c r="S804"/>
  <c r="T804"/>
  <c r="U804"/>
  <c r="V804"/>
  <c r="W804"/>
  <c r="Y804"/>
  <c r="Z804"/>
  <c r="AA804"/>
  <c r="AB804"/>
  <c r="AC804"/>
  <c r="AD804"/>
  <c r="AE804"/>
  <c r="AF804"/>
  <c r="AH804"/>
  <c r="AI804"/>
  <c r="AJ804"/>
  <c r="AK804"/>
  <c r="AL804"/>
  <c r="AM804"/>
  <c r="AN804"/>
  <c r="AO804"/>
  <c r="AQ804"/>
  <c r="AR804"/>
  <c r="AS804"/>
  <c r="AT804"/>
  <c r="AU804"/>
  <c r="AV804"/>
  <c r="AW804"/>
  <c r="AX804"/>
  <c r="AZ804"/>
  <c r="BA804"/>
  <c r="BB804"/>
  <c r="BC804"/>
  <c r="BD804"/>
  <c r="BE804"/>
  <c r="BF804"/>
  <c r="BG804"/>
  <c r="BI804"/>
  <c r="BJ804"/>
  <c r="BK804"/>
  <c r="BL804"/>
  <c r="BM804"/>
  <c r="BN804"/>
  <c r="BO804"/>
  <c r="BP804"/>
  <c r="P806"/>
  <c r="Q806"/>
  <c r="R806"/>
  <c r="S806"/>
  <c r="T806"/>
  <c r="U806"/>
  <c r="V806"/>
  <c r="W806"/>
  <c r="Y806"/>
  <c r="Z806"/>
  <c r="AA806"/>
  <c r="AB806"/>
  <c r="AC806"/>
  <c r="AD806"/>
  <c r="AE806"/>
  <c r="AF806"/>
  <c r="AH806"/>
  <c r="AI806"/>
  <c r="AJ806"/>
  <c r="AK806"/>
  <c r="AL806"/>
  <c r="AM806"/>
  <c r="AN806"/>
  <c r="AO806"/>
  <c r="AQ806"/>
  <c r="AR806"/>
  <c r="AS806"/>
  <c r="AT806"/>
  <c r="AU806"/>
  <c r="AV806"/>
  <c r="AW806"/>
  <c r="AX806"/>
  <c r="AZ806"/>
  <c r="BA806"/>
  <c r="BB806"/>
  <c r="BC806"/>
  <c r="BD806"/>
  <c r="BE806"/>
  <c r="BF806"/>
  <c r="BG806"/>
  <c r="BI806"/>
  <c r="BJ806"/>
  <c r="BK806"/>
  <c r="BL806"/>
  <c r="BM806"/>
  <c r="BN806"/>
  <c r="BO806"/>
  <c r="BP806"/>
  <c r="G808"/>
  <c r="H808"/>
  <c r="I808"/>
  <c r="J808"/>
  <c r="K808"/>
  <c r="L808"/>
  <c r="M808"/>
  <c r="N808"/>
  <c r="P808"/>
  <c r="Q808"/>
  <c r="R808"/>
  <c r="S808"/>
  <c r="T808"/>
  <c r="U808"/>
  <c r="V808"/>
  <c r="W808"/>
  <c r="Y808"/>
  <c r="Z808"/>
  <c r="AA808"/>
  <c r="AB808"/>
  <c r="AC808"/>
  <c r="AD808"/>
  <c r="AE808"/>
  <c r="AF808"/>
  <c r="AH808"/>
  <c r="AI808"/>
  <c r="AJ808"/>
  <c r="AK808"/>
  <c r="AL808"/>
  <c r="AM808"/>
  <c r="AN808"/>
  <c r="AO808"/>
  <c r="AQ808"/>
  <c r="AR808"/>
  <c r="AS808"/>
  <c r="AT808"/>
  <c r="AU808"/>
  <c r="AV808"/>
  <c r="AW808"/>
  <c r="AX808"/>
  <c r="AZ808"/>
  <c r="BA808"/>
  <c r="BB808"/>
  <c r="BC808"/>
  <c r="BD808"/>
  <c r="BE808"/>
  <c r="BF808"/>
  <c r="BG808"/>
  <c r="BI808"/>
  <c r="BJ808"/>
  <c r="BK808"/>
  <c r="BL808"/>
  <c r="BM808"/>
  <c r="BN808"/>
  <c r="BO808"/>
  <c r="BP808"/>
  <c r="G811"/>
  <c r="H811"/>
  <c r="I811"/>
  <c r="J811"/>
  <c r="K811"/>
  <c r="L811"/>
  <c r="M811"/>
  <c r="N811"/>
  <c r="P811"/>
  <c r="Q811"/>
  <c r="R811"/>
  <c r="S811"/>
  <c r="T811"/>
  <c r="U811"/>
  <c r="V811"/>
  <c r="W811"/>
  <c r="Y811"/>
  <c r="Z811"/>
  <c r="AA811"/>
  <c r="AB811"/>
  <c r="AC811"/>
  <c r="AD811"/>
  <c r="AE811"/>
  <c r="AF811"/>
  <c r="AH811"/>
  <c r="AI811"/>
  <c r="AJ811"/>
  <c r="AK811"/>
  <c r="AL811"/>
  <c r="AM811"/>
  <c r="AN811"/>
  <c r="AO811"/>
  <c r="AZ811"/>
  <c r="BA811"/>
  <c r="BB811"/>
  <c r="BC811"/>
  <c r="BD811"/>
  <c r="BE811"/>
  <c r="BF811"/>
  <c r="BG811"/>
  <c r="BI811"/>
  <c r="BJ811"/>
  <c r="BK811"/>
  <c r="BL811"/>
  <c r="BM811"/>
  <c r="BN811"/>
  <c r="BO811"/>
  <c r="BP811"/>
  <c r="G812"/>
  <c r="H812"/>
  <c r="I812"/>
  <c r="J812"/>
  <c r="K812"/>
  <c r="L812"/>
  <c r="M812"/>
  <c r="N812"/>
  <c r="P812"/>
  <c r="Q812"/>
  <c r="R812"/>
  <c r="S812"/>
  <c r="T812"/>
  <c r="U812"/>
  <c r="V812"/>
  <c r="W812"/>
  <c r="Y812"/>
  <c r="Z812"/>
  <c r="AA812"/>
  <c r="AB812"/>
  <c r="AC812"/>
  <c r="AD812"/>
  <c r="AE812"/>
  <c r="AF812"/>
  <c r="AH812"/>
  <c r="AI812"/>
  <c r="AJ812"/>
  <c r="AK812"/>
  <c r="AL812"/>
  <c r="AM812"/>
  <c r="AN812"/>
  <c r="AO812"/>
  <c r="AZ812"/>
  <c r="BA812"/>
  <c r="BB812"/>
  <c r="BC812"/>
  <c r="BD812"/>
  <c r="BE812"/>
  <c r="BF812"/>
  <c r="BG812"/>
  <c r="BI812"/>
  <c r="BJ812"/>
  <c r="BK812"/>
  <c r="BL812"/>
  <c r="BM812"/>
  <c r="BN812"/>
  <c r="BO812"/>
  <c r="BP812"/>
  <c r="G813"/>
  <c r="H813"/>
  <c r="I813"/>
  <c r="J813"/>
  <c r="K813"/>
  <c r="L813"/>
  <c r="M813"/>
  <c r="N813"/>
  <c r="P813"/>
  <c r="Q813"/>
  <c r="R813"/>
  <c r="S813"/>
  <c r="T813"/>
  <c r="U813"/>
  <c r="V813"/>
  <c r="W813"/>
  <c r="Y813"/>
  <c r="Z813"/>
  <c r="AA813"/>
  <c r="AB813"/>
  <c r="AC813"/>
  <c r="AD813"/>
  <c r="AE813"/>
  <c r="AF813"/>
  <c r="AH813"/>
  <c r="AI813"/>
  <c r="AJ813"/>
  <c r="AK813"/>
  <c r="AL813"/>
  <c r="AM813"/>
  <c r="AN813"/>
  <c r="AO813"/>
  <c r="AZ813"/>
  <c r="BA813"/>
  <c r="BB813"/>
  <c r="BC813"/>
  <c r="BD813"/>
  <c r="BE813"/>
  <c r="BF813"/>
  <c r="BG813"/>
  <c r="BI813"/>
  <c r="BJ813"/>
  <c r="BK813"/>
  <c r="BL813"/>
  <c r="BM813"/>
  <c r="BN813"/>
  <c r="BO813"/>
  <c r="BP813"/>
  <c r="G815"/>
  <c r="H815"/>
  <c r="I815"/>
  <c r="J815"/>
  <c r="K815"/>
  <c r="L815"/>
  <c r="M815"/>
  <c r="N815"/>
  <c r="P815"/>
  <c r="Q815"/>
  <c r="R815"/>
  <c r="S815"/>
  <c r="T815"/>
  <c r="U815"/>
  <c r="V815"/>
  <c r="W815"/>
  <c r="Y815"/>
  <c r="Z815"/>
  <c r="AA815"/>
  <c r="AB815"/>
  <c r="AC815"/>
  <c r="AD815"/>
  <c r="AE815"/>
  <c r="AF815"/>
  <c r="AH815"/>
  <c r="AI815"/>
  <c r="AJ815"/>
  <c r="AK815"/>
  <c r="AL815"/>
  <c r="AM815"/>
  <c r="AN815"/>
  <c r="AO815"/>
  <c r="AQ815"/>
  <c r="AR815"/>
  <c r="AS815"/>
  <c r="AT815"/>
  <c r="AU815"/>
  <c r="AV815"/>
  <c r="AW815"/>
  <c r="AX815"/>
  <c r="AZ815"/>
  <c r="BA815"/>
  <c r="BB815"/>
  <c r="BC815"/>
  <c r="BD815"/>
  <c r="BE815"/>
  <c r="BF815"/>
  <c r="BG815"/>
  <c r="BI815"/>
  <c r="BJ815"/>
  <c r="BK815"/>
  <c r="BL815"/>
  <c r="BM815"/>
  <c r="BN815"/>
  <c r="BO815"/>
  <c r="BP815"/>
  <c r="G816"/>
  <c r="H816"/>
  <c r="I816"/>
  <c r="J816"/>
  <c r="K816"/>
  <c r="L816"/>
  <c r="M816"/>
  <c r="N816"/>
  <c r="P816"/>
  <c r="Q816"/>
  <c r="R816"/>
  <c r="S816"/>
  <c r="T816"/>
  <c r="U816"/>
  <c r="V816"/>
  <c r="W816"/>
  <c r="Y816"/>
  <c r="Z816"/>
  <c r="AA816"/>
  <c r="AB816"/>
  <c r="AC816"/>
  <c r="AD816"/>
  <c r="AE816"/>
  <c r="AF816"/>
  <c r="AH816"/>
  <c r="AI816"/>
  <c r="AJ816"/>
  <c r="AK816"/>
  <c r="AL816"/>
  <c r="AM816"/>
  <c r="AN816"/>
  <c r="AO816"/>
  <c r="AQ816"/>
  <c r="AR816"/>
  <c r="AS816"/>
  <c r="AT816"/>
  <c r="AU816"/>
  <c r="AV816"/>
  <c r="AW816"/>
  <c r="AX816"/>
  <c r="AZ816"/>
  <c r="BA816"/>
  <c r="BB816"/>
  <c r="BC816"/>
  <c r="BD816"/>
  <c r="BE816"/>
  <c r="BF816"/>
  <c r="BG816"/>
  <c r="BI816"/>
  <c r="BJ816"/>
  <c r="BK816"/>
  <c r="BL816"/>
  <c r="BM816"/>
  <c r="BN816"/>
  <c r="BO816"/>
  <c r="BP816"/>
  <c r="G817"/>
  <c r="H817"/>
  <c r="I817"/>
  <c r="J817"/>
  <c r="K817"/>
  <c r="L817"/>
  <c r="M817"/>
  <c r="G818"/>
  <c r="H818"/>
  <c r="I818"/>
  <c r="J818"/>
  <c r="K818"/>
  <c r="L818"/>
  <c r="M818"/>
  <c r="G821"/>
  <c r="H821"/>
  <c r="I821"/>
  <c r="J821"/>
  <c r="K821"/>
  <c r="L821"/>
  <c r="M821"/>
  <c r="P821"/>
  <c r="Q821"/>
  <c r="R821"/>
  <c r="S821"/>
  <c r="T821"/>
  <c r="U821"/>
  <c r="V821"/>
  <c r="Y821"/>
  <c r="Z821"/>
  <c r="AA821"/>
  <c r="AB821"/>
  <c r="AC821"/>
  <c r="AD821"/>
  <c r="AE821"/>
  <c r="AH821"/>
  <c r="AI821"/>
  <c r="AJ821"/>
  <c r="AK821"/>
  <c r="AL821"/>
  <c r="AM821"/>
  <c r="AN821"/>
  <c r="AQ821"/>
  <c r="AR821"/>
  <c r="AS821"/>
  <c r="AT821"/>
  <c r="AU821"/>
  <c r="AV821"/>
  <c r="AW821"/>
  <c r="AZ821"/>
  <c r="BA821"/>
  <c r="BB821"/>
  <c r="BC821"/>
  <c r="BD821"/>
  <c r="BE821"/>
  <c r="BF821"/>
  <c r="BI821"/>
  <c r="BJ821"/>
  <c r="BK821"/>
  <c r="BL821"/>
  <c r="BM821"/>
  <c r="BN821"/>
  <c r="BO821"/>
  <c r="G822"/>
  <c r="H822"/>
  <c r="I822"/>
  <c r="J822"/>
  <c r="K822"/>
  <c r="L822"/>
  <c r="M822"/>
  <c r="P822"/>
  <c r="Q822"/>
  <c r="R822"/>
  <c r="S822"/>
  <c r="T822"/>
  <c r="U822"/>
  <c r="V822"/>
  <c r="Y822"/>
  <c r="Z822"/>
  <c r="AA822"/>
  <c r="AB822"/>
  <c r="AC822"/>
  <c r="AD822"/>
  <c r="AE822"/>
  <c r="AH822"/>
  <c r="AI822"/>
  <c r="AJ822"/>
  <c r="AK822"/>
  <c r="AL822"/>
  <c r="AM822"/>
  <c r="AN822"/>
  <c r="AQ822"/>
  <c r="AR822"/>
  <c r="AS822"/>
  <c r="AT822"/>
  <c r="AU822"/>
  <c r="AV822"/>
  <c r="AW822"/>
  <c r="AZ822"/>
  <c r="BA822"/>
  <c r="BB822"/>
  <c r="BC822"/>
  <c r="BD822"/>
  <c r="BE822"/>
  <c r="BF822"/>
  <c r="BI822"/>
  <c r="BJ822"/>
  <c r="BK822"/>
  <c r="BL822"/>
  <c r="BM822"/>
  <c r="BN822"/>
  <c r="BO822"/>
  <c r="P825"/>
  <c r="Q825"/>
  <c r="R825"/>
  <c r="S825"/>
  <c r="T825"/>
  <c r="U825"/>
  <c r="V825"/>
  <c r="W825"/>
  <c r="Y825"/>
  <c r="Z825"/>
  <c r="AA825"/>
  <c r="AB825"/>
  <c r="AC825"/>
  <c r="AD825"/>
  <c r="AE825"/>
  <c r="AF825"/>
  <c r="AH825"/>
  <c r="AI825"/>
  <c r="AJ825"/>
  <c r="AK825"/>
  <c r="AL825"/>
  <c r="AM825"/>
  <c r="AN825"/>
  <c r="AO825"/>
  <c r="AQ825"/>
  <c r="AR825"/>
  <c r="AS825"/>
  <c r="AT825"/>
  <c r="AU825"/>
  <c r="AV825"/>
  <c r="AW825"/>
  <c r="AX825"/>
  <c r="AZ825"/>
  <c r="BA825"/>
  <c r="BB825"/>
  <c r="BC825"/>
  <c r="BD825"/>
  <c r="BE825"/>
  <c r="BF825"/>
  <c r="BG825"/>
  <c r="BI825"/>
  <c r="BJ825"/>
  <c r="BK825"/>
  <c r="BL825"/>
  <c r="BM825"/>
  <c r="BN825"/>
  <c r="BO825"/>
  <c r="BP825"/>
  <c r="P826"/>
  <c r="Q826"/>
  <c r="R826"/>
  <c r="S826"/>
  <c r="T826"/>
  <c r="U826"/>
  <c r="V826"/>
  <c r="W826"/>
  <c r="Y826"/>
  <c r="Z826"/>
  <c r="AA826"/>
  <c r="AB826"/>
  <c r="AC826"/>
  <c r="AD826"/>
  <c r="AE826"/>
  <c r="AF826"/>
  <c r="AH826"/>
  <c r="AI826"/>
  <c r="AJ826"/>
  <c r="AK826"/>
  <c r="AL826"/>
  <c r="AM826"/>
  <c r="AN826"/>
  <c r="AO826"/>
  <c r="AZ826"/>
  <c r="BA826"/>
  <c r="BB826"/>
  <c r="BC826"/>
  <c r="BD826"/>
  <c r="BE826"/>
  <c r="BF826"/>
  <c r="BG826"/>
  <c r="BI826"/>
  <c r="BJ826"/>
  <c r="BK826"/>
  <c r="BL826"/>
  <c r="BM826"/>
  <c r="BN826"/>
  <c r="BO826"/>
  <c r="BP826"/>
  <c r="P827"/>
  <c r="Q827"/>
  <c r="R827"/>
  <c r="S827"/>
  <c r="T827"/>
  <c r="U827"/>
  <c r="V827"/>
  <c r="W827"/>
  <c r="Y827"/>
  <c r="Z827"/>
  <c r="AA827"/>
  <c r="AB827"/>
  <c r="AC827"/>
  <c r="AD827"/>
  <c r="AE827"/>
  <c r="AF827"/>
  <c r="AH827"/>
  <c r="AI827"/>
  <c r="AJ827"/>
  <c r="AK827"/>
  <c r="AL827"/>
  <c r="AM827"/>
  <c r="AN827"/>
  <c r="AO827"/>
  <c r="AQ827"/>
  <c r="AR827"/>
  <c r="AS827"/>
  <c r="AT827"/>
  <c r="AU827"/>
  <c r="AV827"/>
  <c r="AW827"/>
  <c r="AX827"/>
  <c r="AZ827"/>
  <c r="BA827"/>
  <c r="BB827"/>
  <c r="BC827"/>
  <c r="BD827"/>
  <c r="BE827"/>
  <c r="BF827"/>
  <c r="BG827"/>
  <c r="BI827"/>
  <c r="BJ827"/>
  <c r="BK827"/>
  <c r="BL827"/>
  <c r="BM827"/>
  <c r="BN827"/>
  <c r="BO827"/>
  <c r="BP827"/>
  <c r="P828"/>
  <c r="Q828"/>
  <c r="R828"/>
  <c r="S828"/>
  <c r="T828"/>
  <c r="U828"/>
  <c r="V828"/>
  <c r="W828"/>
  <c r="Y828"/>
  <c r="Z828"/>
  <c r="AA828"/>
  <c r="AB828"/>
  <c r="AC828"/>
  <c r="AD828"/>
  <c r="AE828"/>
  <c r="AF828"/>
  <c r="AH828"/>
  <c r="AI828"/>
  <c r="AJ828"/>
  <c r="AK828"/>
  <c r="AL828"/>
  <c r="AM828"/>
  <c r="AN828"/>
  <c r="AO828"/>
  <c r="AZ828"/>
  <c r="BA828"/>
  <c r="BB828"/>
  <c r="BC828"/>
  <c r="BD828"/>
  <c r="BE828"/>
  <c r="BF828"/>
  <c r="BG828"/>
  <c r="BI828"/>
  <c r="BJ828"/>
  <c r="BK828"/>
  <c r="BL828"/>
  <c r="BM828"/>
  <c r="BN828"/>
  <c r="BO828"/>
  <c r="BP828"/>
  <c r="P829"/>
  <c r="Q829"/>
  <c r="R829"/>
  <c r="S829"/>
  <c r="T829"/>
  <c r="U829"/>
  <c r="V829"/>
  <c r="W829"/>
  <c r="Y829"/>
  <c r="Z829"/>
  <c r="AA829"/>
  <c r="AB829"/>
  <c r="AC829"/>
  <c r="AD829"/>
  <c r="AE829"/>
  <c r="AF829"/>
  <c r="AH829"/>
  <c r="AI829"/>
  <c r="AJ829"/>
  <c r="AK829"/>
  <c r="AL829"/>
  <c r="AM829"/>
  <c r="AN829"/>
  <c r="AO829"/>
  <c r="AQ829"/>
  <c r="AR829"/>
  <c r="AS829"/>
  <c r="AT829"/>
  <c r="AU829"/>
  <c r="AV829"/>
  <c r="AW829"/>
  <c r="AX829"/>
  <c r="AZ829"/>
  <c r="BA829"/>
  <c r="BB829"/>
  <c r="BC829"/>
  <c r="BD829"/>
  <c r="BE829"/>
  <c r="BF829"/>
  <c r="BG829"/>
  <c r="BI829"/>
  <c r="BJ829"/>
  <c r="BK829"/>
  <c r="BL829"/>
  <c r="BM829"/>
  <c r="BN829"/>
  <c r="BO829"/>
  <c r="BP829"/>
  <c r="P831"/>
  <c r="Q831"/>
  <c r="R831"/>
  <c r="S831"/>
  <c r="T831"/>
  <c r="U831"/>
  <c r="V831"/>
  <c r="W831"/>
  <c r="Y831"/>
  <c r="Z831"/>
  <c r="AA831"/>
  <c r="AB831"/>
  <c r="AC831"/>
  <c r="AD831"/>
  <c r="AE831"/>
  <c r="AF831"/>
  <c r="AH831"/>
  <c r="AI831"/>
  <c r="AJ831"/>
  <c r="AK831"/>
  <c r="AL831"/>
  <c r="AM831"/>
  <c r="AN831"/>
  <c r="AO831"/>
  <c r="AQ831"/>
  <c r="AR831"/>
  <c r="AS831"/>
  <c r="AT831"/>
  <c r="AU831"/>
  <c r="AV831"/>
  <c r="AW831"/>
  <c r="AX831"/>
  <c r="AZ831"/>
  <c r="BA831"/>
  <c r="BB831"/>
  <c r="BC831"/>
  <c r="BD831"/>
  <c r="BE831"/>
  <c r="BF831"/>
  <c r="BG831"/>
  <c r="BI831"/>
  <c r="BJ831"/>
  <c r="BK831"/>
  <c r="BL831"/>
  <c r="BM831"/>
  <c r="BN831"/>
  <c r="BO831"/>
  <c r="BP831"/>
  <c r="G834"/>
  <c r="H834"/>
  <c r="I834"/>
  <c r="J834"/>
  <c r="K834"/>
  <c r="L834"/>
  <c r="M834"/>
  <c r="P834"/>
  <c r="Q834"/>
  <c r="R834"/>
  <c r="S834"/>
  <c r="T834"/>
  <c r="U834"/>
  <c r="V834"/>
  <c r="Y834"/>
  <c r="Z834"/>
  <c r="AA834"/>
  <c r="AB834"/>
  <c r="AC834"/>
  <c r="AD834"/>
  <c r="AE834"/>
  <c r="AH834"/>
  <c r="AI834"/>
  <c r="AJ834"/>
  <c r="AK834"/>
  <c r="AL834"/>
  <c r="AM834"/>
  <c r="AN834"/>
  <c r="AQ834"/>
  <c r="AR834"/>
  <c r="AS834"/>
  <c r="AT834"/>
  <c r="AU834"/>
  <c r="AV834"/>
  <c r="AW834"/>
  <c r="AZ834"/>
  <c r="BA834"/>
  <c r="BB834"/>
  <c r="BC834"/>
  <c r="BD834"/>
  <c r="BE834"/>
  <c r="BF834"/>
  <c r="BI834"/>
  <c r="BJ834"/>
  <c r="BK834"/>
  <c r="BL834"/>
  <c r="BM834"/>
  <c r="BN834"/>
  <c r="BO834"/>
  <c r="G835"/>
  <c r="H835"/>
  <c r="I835"/>
  <c r="J835"/>
  <c r="K835"/>
  <c r="L835"/>
  <c r="M835"/>
  <c r="P835"/>
  <c r="Q835"/>
  <c r="R835"/>
  <c r="S835"/>
  <c r="T835"/>
  <c r="U835"/>
  <c r="V835"/>
  <c r="Y835"/>
  <c r="Z835"/>
  <c r="AA835"/>
  <c r="AB835"/>
  <c r="AC835"/>
  <c r="AD835"/>
  <c r="AE835"/>
  <c r="AH835"/>
  <c r="AI835"/>
  <c r="AJ835"/>
  <c r="AK835"/>
  <c r="AL835"/>
  <c r="AM835"/>
  <c r="AN835"/>
  <c r="AQ835"/>
  <c r="AR835"/>
  <c r="AS835"/>
  <c r="AT835"/>
  <c r="AU835"/>
  <c r="AV835"/>
  <c r="AW835"/>
  <c r="AZ835"/>
  <c r="BA835"/>
  <c r="BB835"/>
  <c r="BC835"/>
  <c r="BD835"/>
  <c r="BE835"/>
  <c r="BF835"/>
  <c r="BI835"/>
  <c r="BJ835"/>
  <c r="BK835"/>
  <c r="BL835"/>
  <c r="BM835"/>
  <c r="BN835"/>
  <c r="BO835"/>
  <c r="P837"/>
  <c r="Q837"/>
  <c r="R837"/>
  <c r="S837"/>
  <c r="T837"/>
  <c r="U837"/>
  <c r="V837"/>
  <c r="Y837"/>
  <c r="Z837"/>
  <c r="AA837"/>
  <c r="AB837"/>
  <c r="AC837"/>
  <c r="AD837"/>
  <c r="AE837"/>
  <c r="AH837"/>
  <c r="AI837"/>
  <c r="AJ837"/>
  <c r="AK837"/>
  <c r="AL837"/>
  <c r="AM837"/>
  <c r="AN837"/>
  <c r="AQ837"/>
  <c r="AR837"/>
  <c r="AS837"/>
  <c r="AT837"/>
  <c r="AU837"/>
  <c r="AV837"/>
  <c r="AW837"/>
  <c r="AZ837"/>
  <c r="BA837"/>
  <c r="BB837"/>
  <c r="BC837"/>
  <c r="BD837"/>
  <c r="BE837"/>
  <c r="BF837"/>
  <c r="BI837"/>
  <c r="BJ837"/>
  <c r="BK837"/>
  <c r="BL837"/>
  <c r="BM837"/>
  <c r="BN837"/>
  <c r="BO837"/>
  <c r="P839"/>
  <c r="Q839"/>
  <c r="R839"/>
  <c r="S839"/>
  <c r="T839"/>
  <c r="U839"/>
  <c r="V839"/>
  <c r="Y839"/>
  <c r="Z839"/>
  <c r="AA839"/>
  <c r="AB839"/>
  <c r="AC839"/>
  <c r="AD839"/>
  <c r="AE839"/>
  <c r="AH839"/>
  <c r="AI839"/>
  <c r="AJ839"/>
  <c r="AK839"/>
  <c r="AL839"/>
  <c r="AM839"/>
  <c r="AN839"/>
  <c r="AQ839"/>
  <c r="AR839"/>
  <c r="AS839"/>
  <c r="AT839"/>
  <c r="AU839"/>
  <c r="AV839"/>
  <c r="AW839"/>
  <c r="AZ839"/>
  <c r="BA839"/>
  <c r="BB839"/>
  <c r="BC839"/>
  <c r="BD839"/>
  <c r="BE839"/>
  <c r="BF839"/>
  <c r="BI839"/>
  <c r="BJ839"/>
  <c r="BK839"/>
  <c r="BL839"/>
  <c r="BM839"/>
  <c r="BN839"/>
  <c r="BO839"/>
  <c r="G841"/>
  <c r="H841"/>
  <c r="I841"/>
  <c r="J841"/>
  <c r="K841"/>
  <c r="L841"/>
  <c r="M841"/>
  <c r="P841"/>
  <c r="Q841"/>
  <c r="R841"/>
  <c r="S841"/>
  <c r="T841"/>
  <c r="U841"/>
  <c r="V841"/>
  <c r="Y841"/>
  <c r="Z841"/>
  <c r="AA841"/>
  <c r="AB841"/>
  <c r="AC841"/>
  <c r="AD841"/>
  <c r="AE841"/>
  <c r="AH841"/>
  <c r="AI841"/>
  <c r="AJ841"/>
  <c r="AK841"/>
  <c r="AL841"/>
  <c r="AM841"/>
  <c r="AN841"/>
  <c r="AQ841"/>
  <c r="AR841"/>
  <c r="AS841"/>
  <c r="AT841"/>
  <c r="AU841"/>
  <c r="AV841"/>
  <c r="AW841"/>
  <c r="AZ841"/>
  <c r="BA841"/>
  <c r="BB841"/>
  <c r="BC841"/>
  <c r="BD841"/>
  <c r="BE841"/>
  <c r="BF841"/>
  <c r="BI841"/>
  <c r="BJ841"/>
  <c r="BK841"/>
  <c r="BL841"/>
  <c r="BM841"/>
  <c r="BN841"/>
  <c r="BO841"/>
  <c r="G846"/>
  <c r="H846"/>
  <c r="I846"/>
  <c r="J846"/>
  <c r="K846"/>
  <c r="L846"/>
  <c r="M846"/>
  <c r="N846"/>
  <c r="P846"/>
  <c r="Q846"/>
  <c r="R846"/>
  <c r="S846"/>
  <c r="T846"/>
  <c r="U846"/>
  <c r="V846"/>
  <c r="W846"/>
  <c r="Y846"/>
  <c r="Z846"/>
  <c r="AA846"/>
  <c r="AB846"/>
  <c r="AC846"/>
  <c r="AD846"/>
  <c r="AE846"/>
  <c r="AF846"/>
  <c r="AH846"/>
  <c r="AI846"/>
  <c r="AJ846"/>
  <c r="AK846"/>
  <c r="AL846"/>
  <c r="AM846"/>
  <c r="AN846"/>
  <c r="AO846"/>
  <c r="AQ846"/>
  <c r="AR846"/>
  <c r="AS846"/>
  <c r="AT846"/>
  <c r="AU846"/>
  <c r="AV846"/>
  <c r="AW846"/>
  <c r="AX846"/>
  <c r="AZ846"/>
  <c r="BA846"/>
  <c r="BB846"/>
  <c r="BC846"/>
  <c r="BD846"/>
  <c r="BE846"/>
  <c r="BF846"/>
  <c r="BG846"/>
  <c r="BI846"/>
  <c r="BJ846"/>
  <c r="BK846"/>
  <c r="BL846"/>
  <c r="BM846"/>
  <c r="BN846"/>
  <c r="BO846"/>
  <c r="BP846"/>
  <c r="G848"/>
  <c r="H848"/>
  <c r="I848"/>
  <c r="J848"/>
  <c r="K848"/>
  <c r="L848"/>
  <c r="M848"/>
  <c r="N848"/>
  <c r="P848"/>
  <c r="Q848"/>
  <c r="R848"/>
  <c r="S848"/>
  <c r="T848"/>
  <c r="U848"/>
  <c r="V848"/>
  <c r="W848"/>
  <c r="Y848"/>
  <c r="Z848"/>
  <c r="AA848"/>
  <c r="AB848"/>
  <c r="AC848"/>
  <c r="AD848"/>
  <c r="AE848"/>
  <c r="AF848"/>
  <c r="AH848"/>
  <c r="AI848"/>
  <c r="AJ848"/>
  <c r="AK848"/>
  <c r="AL848"/>
  <c r="AM848"/>
  <c r="AN848"/>
  <c r="AO848"/>
  <c r="AQ848"/>
  <c r="AR848"/>
  <c r="AS848"/>
  <c r="AT848"/>
  <c r="AU848"/>
  <c r="AV848"/>
  <c r="AW848"/>
  <c r="AX848"/>
  <c r="AZ848"/>
  <c r="BA848"/>
  <c r="BB848"/>
  <c r="BC848"/>
  <c r="BD848"/>
  <c r="BE848"/>
  <c r="BF848"/>
  <c r="BG848"/>
  <c r="BI848"/>
  <c r="BJ848"/>
  <c r="BK848"/>
  <c r="BL848"/>
  <c r="BM848"/>
  <c r="BN848"/>
  <c r="BO848"/>
  <c r="BP848"/>
  <c r="G849"/>
  <c r="H849"/>
  <c r="I849"/>
  <c r="J849"/>
  <c r="K849"/>
  <c r="L849"/>
  <c r="M849"/>
  <c r="N849"/>
  <c r="P849"/>
  <c r="Q849"/>
  <c r="R849"/>
  <c r="S849"/>
  <c r="T849"/>
  <c r="U849"/>
  <c r="V849"/>
  <c r="W849"/>
  <c r="Y849"/>
  <c r="Z849"/>
  <c r="AA849"/>
  <c r="AB849"/>
  <c r="AC849"/>
  <c r="AD849"/>
  <c r="AE849"/>
  <c r="AF849"/>
  <c r="AH849"/>
  <c r="AI849"/>
  <c r="AJ849"/>
  <c r="AK849"/>
  <c r="AL849"/>
  <c r="AM849"/>
  <c r="AN849"/>
  <c r="AO849"/>
  <c r="AQ849"/>
  <c r="AR849"/>
  <c r="AS849"/>
  <c r="AT849"/>
  <c r="AU849"/>
  <c r="AV849"/>
  <c r="AW849"/>
  <c r="AX849"/>
  <c r="AZ849"/>
  <c r="BA849"/>
  <c r="BB849"/>
  <c r="BC849"/>
  <c r="BD849"/>
  <c r="BE849"/>
  <c r="BF849"/>
  <c r="BG849"/>
  <c r="BI849"/>
  <c r="BJ849"/>
  <c r="BK849"/>
  <c r="BL849"/>
  <c r="BM849"/>
  <c r="BN849"/>
  <c r="BO849"/>
  <c r="BP849"/>
  <c r="N850"/>
  <c r="W850"/>
  <c r="AF850"/>
  <c r="AO850"/>
  <c r="BG850"/>
  <c r="BP850"/>
  <c r="G852"/>
  <c r="H852"/>
  <c r="I852"/>
  <c r="J852"/>
  <c r="K852"/>
  <c r="L852"/>
  <c r="M852"/>
  <c r="N852"/>
  <c r="P852"/>
  <c r="Q852"/>
  <c r="R852"/>
  <c r="S852"/>
  <c r="T852"/>
  <c r="U852"/>
  <c r="V852"/>
  <c r="W852"/>
  <c r="Y852"/>
  <c r="Z852"/>
  <c r="AA852"/>
  <c r="AB852"/>
  <c r="AC852"/>
  <c r="AD852"/>
  <c r="AE852"/>
  <c r="AF852"/>
  <c r="AH852"/>
  <c r="AI852"/>
  <c r="AJ852"/>
  <c r="AK852"/>
  <c r="AL852"/>
  <c r="AM852"/>
  <c r="AN852"/>
  <c r="AO852"/>
  <c r="AQ852"/>
  <c r="AR852"/>
  <c r="AS852"/>
  <c r="AT852"/>
  <c r="AU852"/>
  <c r="AV852"/>
  <c r="AW852"/>
  <c r="AX852"/>
  <c r="AZ852"/>
  <c r="BA852"/>
  <c r="BB852"/>
  <c r="BC852"/>
  <c r="BD852"/>
  <c r="BE852"/>
  <c r="BF852"/>
  <c r="BG852"/>
  <c r="BI852"/>
  <c r="BJ852"/>
  <c r="BK852"/>
  <c r="BL852"/>
  <c r="BM852"/>
  <c r="BN852"/>
  <c r="BO852"/>
  <c r="BP852"/>
  <c r="G854"/>
  <c r="H854"/>
  <c r="I854"/>
  <c r="J854"/>
  <c r="K854"/>
  <c r="L854"/>
  <c r="M854"/>
  <c r="N854"/>
  <c r="P854"/>
  <c r="Q854"/>
  <c r="R854"/>
  <c r="S854"/>
  <c r="T854"/>
  <c r="U854"/>
  <c r="V854"/>
  <c r="W854"/>
  <c r="Y854"/>
  <c r="Z854"/>
  <c r="AA854"/>
  <c r="AB854"/>
  <c r="AC854"/>
  <c r="AD854"/>
  <c r="AE854"/>
  <c r="AF854"/>
  <c r="AH854"/>
  <c r="AI854"/>
  <c r="AJ854"/>
  <c r="AK854"/>
  <c r="AL854"/>
  <c r="AM854"/>
  <c r="AN854"/>
  <c r="AO854"/>
  <c r="AQ854"/>
  <c r="AR854"/>
  <c r="AS854"/>
  <c r="AT854"/>
  <c r="AU854"/>
  <c r="AV854"/>
  <c r="AW854"/>
  <c r="AX854"/>
  <c r="AZ854"/>
  <c r="BA854"/>
  <c r="BB854"/>
  <c r="BC854"/>
  <c r="BD854"/>
  <c r="BE854"/>
  <c r="BF854"/>
  <c r="BG854"/>
  <c r="BI854"/>
  <c r="BJ854"/>
  <c r="BK854"/>
  <c r="BL854"/>
  <c r="BM854"/>
  <c r="BN854"/>
  <c r="BO854"/>
  <c r="BP854"/>
  <c r="G856"/>
  <c r="H856"/>
  <c r="I856"/>
  <c r="J856"/>
  <c r="K856"/>
  <c r="L856"/>
  <c r="M856"/>
  <c r="N856"/>
  <c r="P856"/>
  <c r="Q856"/>
  <c r="R856"/>
  <c r="S856"/>
  <c r="T856"/>
  <c r="U856"/>
  <c r="V856"/>
  <c r="W856"/>
  <c r="Y856"/>
  <c r="Z856"/>
  <c r="AA856"/>
  <c r="AB856"/>
  <c r="AC856"/>
  <c r="AD856"/>
  <c r="AE856"/>
  <c r="AF856"/>
  <c r="AH856"/>
  <c r="AI856"/>
  <c r="AJ856"/>
  <c r="AK856"/>
  <c r="AL856"/>
  <c r="AM856"/>
  <c r="AN856"/>
  <c r="AO856"/>
  <c r="AQ856"/>
  <c r="AR856"/>
  <c r="AS856"/>
  <c r="AT856"/>
  <c r="AU856"/>
  <c r="AV856"/>
  <c r="AW856"/>
  <c r="AX856"/>
  <c r="AZ856"/>
  <c r="BA856"/>
  <c r="BB856"/>
  <c r="BC856"/>
  <c r="BD856"/>
  <c r="BE856"/>
  <c r="BF856"/>
  <c r="BG856"/>
  <c r="BI856"/>
  <c r="BJ856"/>
  <c r="BK856"/>
  <c r="BL856"/>
  <c r="BM856"/>
  <c r="BN856"/>
  <c r="BO856"/>
  <c r="BP856"/>
  <c r="G859"/>
  <c r="H859"/>
  <c r="I859"/>
  <c r="J859"/>
  <c r="K859"/>
  <c r="L859"/>
  <c r="M859"/>
  <c r="N859"/>
  <c r="P859"/>
  <c r="Q859"/>
  <c r="R859"/>
  <c r="S859"/>
  <c r="T859"/>
  <c r="U859"/>
  <c r="V859"/>
  <c r="W859"/>
  <c r="Y859"/>
  <c r="Z859"/>
  <c r="AA859"/>
  <c r="AB859"/>
  <c r="AC859"/>
  <c r="AD859"/>
  <c r="AE859"/>
  <c r="AF859"/>
  <c r="AH859"/>
  <c r="AI859"/>
  <c r="AJ859"/>
  <c r="AK859"/>
  <c r="AL859"/>
  <c r="AM859"/>
  <c r="AN859"/>
  <c r="AO859"/>
  <c r="AZ859"/>
  <c r="BA859"/>
  <c r="BB859"/>
  <c r="BC859"/>
  <c r="BD859"/>
  <c r="BE859"/>
  <c r="BF859"/>
  <c r="BG859"/>
  <c r="BI859"/>
  <c r="BJ859"/>
  <c r="BK859"/>
  <c r="BL859"/>
  <c r="BM859"/>
  <c r="BN859"/>
  <c r="BO859"/>
  <c r="BP859"/>
  <c r="G860"/>
  <c r="H860"/>
  <c r="I860"/>
  <c r="J860"/>
  <c r="K860"/>
  <c r="L860"/>
  <c r="M860"/>
  <c r="N860"/>
  <c r="P860"/>
  <c r="Q860"/>
  <c r="R860"/>
  <c r="S860"/>
  <c r="T860"/>
  <c r="U860"/>
  <c r="V860"/>
  <c r="W860"/>
  <c r="Y860"/>
  <c r="Z860"/>
  <c r="AA860"/>
  <c r="AB860"/>
  <c r="AC860"/>
  <c r="AD860"/>
  <c r="AE860"/>
  <c r="AF860"/>
  <c r="AH860"/>
  <c r="AI860"/>
  <c r="AJ860"/>
  <c r="AK860"/>
  <c r="AL860"/>
  <c r="AM860"/>
  <c r="AN860"/>
  <c r="AO860"/>
  <c r="AZ860"/>
  <c r="BA860"/>
  <c r="BB860"/>
  <c r="BC860"/>
  <c r="BD860"/>
  <c r="BE860"/>
  <c r="BF860"/>
  <c r="BG860"/>
  <c r="BI860"/>
  <c r="BJ860"/>
  <c r="BK860"/>
  <c r="BL860"/>
  <c r="BM860"/>
  <c r="BN860"/>
  <c r="BO860"/>
  <c r="BP860"/>
  <c r="G861"/>
  <c r="H861"/>
  <c r="I861"/>
  <c r="J861"/>
  <c r="K861"/>
  <c r="L861"/>
  <c r="M861"/>
  <c r="N861"/>
  <c r="P861"/>
  <c r="Q861"/>
  <c r="R861"/>
  <c r="S861"/>
  <c r="T861"/>
  <c r="U861"/>
  <c r="V861"/>
  <c r="W861"/>
  <c r="Y861"/>
  <c r="Z861"/>
  <c r="AA861"/>
  <c r="AB861"/>
  <c r="AC861"/>
  <c r="AD861"/>
  <c r="AE861"/>
  <c r="AF861"/>
  <c r="AH861"/>
  <c r="AI861"/>
  <c r="AJ861"/>
  <c r="AK861"/>
  <c r="AL861"/>
  <c r="AM861"/>
  <c r="AN861"/>
  <c r="AO861"/>
  <c r="AZ861"/>
  <c r="BA861"/>
  <c r="BB861"/>
  <c r="BC861"/>
  <c r="BD861"/>
  <c r="BE861"/>
  <c r="BF861"/>
  <c r="BG861"/>
  <c r="BI861"/>
  <c r="BJ861"/>
  <c r="BK861"/>
  <c r="BL861"/>
  <c r="BM861"/>
  <c r="BN861"/>
  <c r="BO861"/>
  <c r="BP861"/>
  <c r="G863"/>
  <c r="H863"/>
  <c r="I863"/>
  <c r="J863"/>
  <c r="K863"/>
  <c r="L863"/>
  <c r="M863"/>
  <c r="N863"/>
  <c r="P863"/>
  <c r="Q863"/>
  <c r="R863"/>
  <c r="S863"/>
  <c r="T863"/>
  <c r="U863"/>
  <c r="V863"/>
  <c r="W863"/>
  <c r="Y863"/>
  <c r="Z863"/>
  <c r="AA863"/>
  <c r="AB863"/>
  <c r="AC863"/>
  <c r="AD863"/>
  <c r="AE863"/>
  <c r="AF863"/>
  <c r="AH863"/>
  <c r="AI863"/>
  <c r="AJ863"/>
  <c r="AK863"/>
  <c r="AL863"/>
  <c r="AM863"/>
  <c r="AN863"/>
  <c r="AO863"/>
  <c r="AQ863"/>
  <c r="AR863"/>
  <c r="AS863"/>
  <c r="AT863"/>
  <c r="AU863"/>
  <c r="AV863"/>
  <c r="AW863"/>
  <c r="AX863"/>
  <c r="AZ863"/>
  <c r="BA863"/>
  <c r="BB863"/>
  <c r="BC863"/>
  <c r="BD863"/>
  <c r="BE863"/>
  <c r="BF863"/>
  <c r="BG863"/>
  <c r="BI863"/>
  <c r="BJ863"/>
  <c r="BK863"/>
  <c r="BL863"/>
  <c r="BM863"/>
  <c r="BN863"/>
  <c r="BO863"/>
  <c r="BP863"/>
  <c r="G864"/>
  <c r="H864"/>
  <c r="I864"/>
  <c r="J864"/>
  <c r="K864"/>
  <c r="L864"/>
  <c r="M864"/>
  <c r="N864"/>
  <c r="P864"/>
  <c r="Q864"/>
  <c r="R864"/>
  <c r="S864"/>
  <c r="T864"/>
  <c r="U864"/>
  <c r="V864"/>
  <c r="W864"/>
  <c r="Y864"/>
  <c r="Z864"/>
  <c r="AA864"/>
  <c r="AB864"/>
  <c r="AC864"/>
  <c r="AD864"/>
  <c r="AE864"/>
  <c r="AF864"/>
  <c r="AH864"/>
  <c r="AI864"/>
  <c r="AJ864"/>
  <c r="AK864"/>
  <c r="AL864"/>
  <c r="AM864"/>
  <c r="AN864"/>
  <c r="AO864"/>
  <c r="AQ864"/>
  <c r="AR864"/>
  <c r="AS864"/>
  <c r="AT864"/>
  <c r="AU864"/>
  <c r="AV864"/>
  <c r="AW864"/>
  <c r="AX864"/>
  <c r="AZ864"/>
  <c r="BA864"/>
  <c r="BB864"/>
  <c r="BC864"/>
  <c r="BD864"/>
  <c r="BE864"/>
  <c r="BF864"/>
  <c r="BG864"/>
  <c r="BI864"/>
  <c r="BJ864"/>
  <c r="BK864"/>
  <c r="BL864"/>
  <c r="BM864"/>
  <c r="BN864"/>
  <c r="BO864"/>
  <c r="BP864"/>
  <c r="G865"/>
  <c r="H865"/>
  <c r="I865"/>
  <c r="J865"/>
  <c r="K865"/>
  <c r="L865"/>
  <c r="M865"/>
  <c r="G866"/>
  <c r="H866"/>
  <c r="I866"/>
  <c r="J866"/>
  <c r="K866"/>
  <c r="L866"/>
  <c r="M866"/>
  <c r="G869"/>
  <c r="H869"/>
  <c r="I869"/>
  <c r="J869"/>
  <c r="K869"/>
  <c r="L869"/>
  <c r="M869"/>
  <c r="P869"/>
  <c r="Q869"/>
  <c r="R869"/>
  <c r="S869"/>
  <c r="T869"/>
  <c r="U869"/>
  <c r="V869"/>
  <c r="Y869"/>
  <c r="Z869"/>
  <c r="AA869"/>
  <c r="AB869"/>
  <c r="AC869"/>
  <c r="AD869"/>
  <c r="AE869"/>
  <c r="AH869"/>
  <c r="AI869"/>
  <c r="AJ869"/>
  <c r="AK869"/>
  <c r="AL869"/>
  <c r="AM869"/>
  <c r="AN869"/>
  <c r="AQ869"/>
  <c r="AR869"/>
  <c r="AS869"/>
  <c r="AT869"/>
  <c r="AU869"/>
  <c r="AV869"/>
  <c r="AW869"/>
  <c r="AZ869"/>
  <c r="BA869"/>
  <c r="BB869"/>
  <c r="BC869"/>
  <c r="BD869"/>
  <c r="BE869"/>
  <c r="BF869"/>
  <c r="BI869"/>
  <c r="BJ869"/>
  <c r="BK869"/>
  <c r="BL869"/>
  <c r="BM869"/>
  <c r="BN869"/>
  <c r="BO869"/>
  <c r="G870"/>
  <c r="H870"/>
  <c r="I870"/>
  <c r="J870"/>
  <c r="K870"/>
  <c r="L870"/>
  <c r="M870"/>
  <c r="P870"/>
  <c r="Q870"/>
  <c r="R870"/>
  <c r="S870"/>
  <c r="T870"/>
  <c r="U870"/>
  <c r="V870"/>
  <c r="Y870"/>
  <c r="Z870"/>
  <c r="AA870"/>
  <c r="AB870"/>
  <c r="AC870"/>
  <c r="AD870"/>
  <c r="AE870"/>
  <c r="AH870"/>
  <c r="AI870"/>
  <c r="AJ870"/>
  <c r="AK870"/>
  <c r="AL870"/>
  <c r="AM870"/>
  <c r="AN870"/>
  <c r="AQ870"/>
  <c r="AR870"/>
  <c r="AS870"/>
  <c r="AT870"/>
  <c r="AU870"/>
  <c r="AV870"/>
  <c r="AW870"/>
  <c r="AZ870"/>
  <c r="BA870"/>
  <c r="BB870"/>
  <c r="BC870"/>
  <c r="BD870"/>
  <c r="BE870"/>
  <c r="BF870"/>
  <c r="BI870"/>
  <c r="BJ870"/>
  <c r="BK870"/>
  <c r="BL870"/>
  <c r="BM870"/>
  <c r="BN870"/>
  <c r="BO870"/>
  <c r="P873"/>
  <c r="Q873"/>
  <c r="R873"/>
  <c r="S873"/>
  <c r="T873"/>
  <c r="U873"/>
  <c r="V873"/>
  <c r="W873"/>
  <c r="Y873"/>
  <c r="Z873"/>
  <c r="AA873"/>
  <c r="AB873"/>
  <c r="AC873"/>
  <c r="AD873"/>
  <c r="AE873"/>
  <c r="AF873"/>
  <c r="AH873"/>
  <c r="AI873"/>
  <c r="AJ873"/>
  <c r="AK873"/>
  <c r="AL873"/>
  <c r="AM873"/>
  <c r="AN873"/>
  <c r="AO873"/>
  <c r="AQ873"/>
  <c r="AR873"/>
  <c r="AS873"/>
  <c r="AT873"/>
  <c r="AU873"/>
  <c r="AV873"/>
  <c r="AW873"/>
  <c r="AX873"/>
  <c r="AZ873"/>
  <c r="BA873"/>
  <c r="BB873"/>
  <c r="BC873"/>
  <c r="BD873"/>
  <c r="BE873"/>
  <c r="BF873"/>
  <c r="BG873"/>
  <c r="BI873"/>
  <c r="BJ873"/>
  <c r="BK873"/>
  <c r="BL873"/>
  <c r="BM873"/>
  <c r="BN873"/>
  <c r="BO873"/>
  <c r="BP873"/>
  <c r="P874"/>
  <c r="Q874"/>
  <c r="R874"/>
  <c r="S874"/>
  <c r="T874"/>
  <c r="U874"/>
  <c r="V874"/>
  <c r="W874"/>
  <c r="Y874"/>
  <c r="Z874"/>
  <c r="AA874"/>
  <c r="AB874"/>
  <c r="AC874"/>
  <c r="AD874"/>
  <c r="AE874"/>
  <c r="AF874"/>
  <c r="AH874"/>
  <c r="AI874"/>
  <c r="AJ874"/>
  <c r="AK874"/>
  <c r="AL874"/>
  <c r="AM874"/>
  <c r="AN874"/>
  <c r="AO874"/>
  <c r="AZ874"/>
  <c r="BA874"/>
  <c r="BB874"/>
  <c r="BC874"/>
  <c r="BD874"/>
  <c r="BE874"/>
  <c r="BF874"/>
  <c r="BG874"/>
  <c r="BI874"/>
  <c r="BJ874"/>
  <c r="BK874"/>
  <c r="BL874"/>
  <c r="BM874"/>
  <c r="BN874"/>
  <c r="BO874"/>
  <c r="BP874"/>
  <c r="P875"/>
  <c r="Q875"/>
  <c r="R875"/>
  <c r="S875"/>
  <c r="T875"/>
  <c r="U875"/>
  <c r="V875"/>
  <c r="W875"/>
  <c r="Y875"/>
  <c r="Z875"/>
  <c r="AA875"/>
  <c r="AB875"/>
  <c r="AC875"/>
  <c r="AD875"/>
  <c r="AE875"/>
  <c r="AF875"/>
  <c r="AH875"/>
  <c r="AI875"/>
  <c r="AJ875"/>
  <c r="AK875"/>
  <c r="AL875"/>
  <c r="AM875"/>
  <c r="AN875"/>
  <c r="AO875"/>
  <c r="AQ875"/>
  <c r="AR875"/>
  <c r="AS875"/>
  <c r="AT875"/>
  <c r="AU875"/>
  <c r="AV875"/>
  <c r="AW875"/>
  <c r="AX875"/>
  <c r="AZ875"/>
  <c r="BA875"/>
  <c r="BB875"/>
  <c r="BC875"/>
  <c r="BD875"/>
  <c r="BE875"/>
  <c r="BF875"/>
  <c r="BG875"/>
  <c r="BI875"/>
  <c r="BJ875"/>
  <c r="BK875"/>
  <c r="BL875"/>
  <c r="BM875"/>
  <c r="BN875"/>
  <c r="BO875"/>
  <c r="BP875"/>
  <c r="P876"/>
  <c r="Q876"/>
  <c r="R876"/>
  <c r="S876"/>
  <c r="T876"/>
  <c r="U876"/>
  <c r="V876"/>
  <c r="W876"/>
  <c r="Y876"/>
  <c r="Z876"/>
  <c r="AA876"/>
  <c r="AB876"/>
  <c r="AC876"/>
  <c r="AD876"/>
  <c r="AE876"/>
  <c r="AF876"/>
  <c r="AH876"/>
  <c r="AI876"/>
  <c r="AJ876"/>
  <c r="AK876"/>
  <c r="AL876"/>
  <c r="AM876"/>
  <c r="AN876"/>
  <c r="AO876"/>
  <c r="AZ876"/>
  <c r="BA876"/>
  <c r="BB876"/>
  <c r="BC876"/>
  <c r="BD876"/>
  <c r="BE876"/>
  <c r="BF876"/>
  <c r="BG876"/>
  <c r="BI876"/>
  <c r="BJ876"/>
  <c r="BK876"/>
  <c r="BL876"/>
  <c r="BM876"/>
  <c r="BN876"/>
  <c r="BO876"/>
  <c r="BP876"/>
  <c r="P877"/>
  <c r="Q877"/>
  <c r="R877"/>
  <c r="S877"/>
  <c r="T877"/>
  <c r="U877"/>
  <c r="V877"/>
  <c r="W877"/>
  <c r="Y877"/>
  <c r="Z877"/>
  <c r="AA877"/>
  <c r="AB877"/>
  <c r="AC877"/>
  <c r="AD877"/>
  <c r="AE877"/>
  <c r="AF877"/>
  <c r="AH877"/>
  <c r="AI877"/>
  <c r="AJ877"/>
  <c r="AK877"/>
  <c r="AL877"/>
  <c r="AM877"/>
  <c r="AN877"/>
  <c r="AO877"/>
  <c r="AQ877"/>
  <c r="AR877"/>
  <c r="AS877"/>
  <c r="AT877"/>
  <c r="AU877"/>
  <c r="AV877"/>
  <c r="AW877"/>
  <c r="AX877"/>
  <c r="AZ877"/>
  <c r="BA877"/>
  <c r="BB877"/>
  <c r="BC877"/>
  <c r="BD877"/>
  <c r="BE877"/>
  <c r="BF877"/>
  <c r="BG877"/>
  <c r="BI877"/>
  <c r="BJ877"/>
  <c r="BK877"/>
  <c r="BL877"/>
  <c r="BM877"/>
  <c r="BN877"/>
  <c r="BO877"/>
  <c r="BP877"/>
  <c r="P878"/>
  <c r="Q878"/>
  <c r="R878"/>
  <c r="S878"/>
  <c r="T878"/>
  <c r="U878"/>
  <c r="V878"/>
  <c r="W878"/>
  <c r="Y878"/>
  <c r="Z878"/>
  <c r="AA878"/>
  <c r="AB878"/>
  <c r="AC878"/>
  <c r="AD878"/>
  <c r="AE878"/>
  <c r="AF878"/>
  <c r="AH878"/>
  <c r="AI878"/>
  <c r="AJ878"/>
  <c r="AK878"/>
  <c r="AL878"/>
  <c r="AM878"/>
  <c r="AN878"/>
  <c r="AO878"/>
  <c r="AQ878"/>
  <c r="AR878"/>
  <c r="AS878"/>
  <c r="AT878"/>
  <c r="AU878"/>
  <c r="AV878"/>
  <c r="AW878"/>
  <c r="AX878"/>
  <c r="AZ878"/>
  <c r="BA878"/>
  <c r="BB878"/>
  <c r="BC878"/>
  <c r="BD878"/>
  <c r="BE878"/>
  <c r="BF878"/>
  <c r="BG878"/>
  <c r="BI878"/>
  <c r="BJ878"/>
  <c r="BK878"/>
  <c r="BL878"/>
  <c r="BM878"/>
  <c r="BN878"/>
  <c r="BO878"/>
  <c r="BP878"/>
  <c r="G883"/>
  <c r="H883"/>
  <c r="I883"/>
  <c r="J883"/>
  <c r="K883"/>
  <c r="L883"/>
  <c r="M883"/>
  <c r="N883"/>
  <c r="P883"/>
  <c r="Q883"/>
  <c r="R883"/>
  <c r="S883"/>
  <c r="T883"/>
  <c r="U883"/>
  <c r="V883"/>
  <c r="W883"/>
  <c r="Y883"/>
  <c r="Z883"/>
  <c r="AA883"/>
  <c r="AB883"/>
  <c r="AC883"/>
  <c r="AD883"/>
  <c r="AE883"/>
  <c r="AF883"/>
  <c r="AH883"/>
  <c r="AI883"/>
  <c r="AJ883"/>
  <c r="AK883"/>
  <c r="AL883"/>
  <c r="AM883"/>
  <c r="AN883"/>
  <c r="AO883"/>
  <c r="AQ883"/>
  <c r="AR883"/>
  <c r="AS883"/>
  <c r="AT883"/>
  <c r="AU883"/>
  <c r="AV883"/>
  <c r="AW883"/>
  <c r="AX883"/>
  <c r="AZ883"/>
  <c r="BA883"/>
  <c r="BB883"/>
  <c r="BC883"/>
  <c r="BD883"/>
  <c r="BE883"/>
  <c r="BF883"/>
  <c r="BG883"/>
  <c r="BI883"/>
  <c r="BJ883"/>
  <c r="BK883"/>
  <c r="BL883"/>
  <c r="BM883"/>
  <c r="BN883"/>
  <c r="BO883"/>
  <c r="BP883"/>
  <c r="G884"/>
  <c r="H884"/>
  <c r="I884"/>
  <c r="J884"/>
  <c r="K884"/>
  <c r="L884"/>
  <c r="M884"/>
  <c r="N884"/>
  <c r="P884"/>
  <c r="Q884"/>
  <c r="R884"/>
  <c r="S884"/>
  <c r="T884"/>
  <c r="U884"/>
  <c r="V884"/>
  <c r="W884"/>
  <c r="Y884"/>
  <c r="Z884"/>
  <c r="AA884"/>
  <c r="AB884"/>
  <c r="AC884"/>
  <c r="AD884"/>
  <c r="AE884"/>
  <c r="AF884"/>
  <c r="AH884"/>
  <c r="AI884"/>
  <c r="AJ884"/>
  <c r="AK884"/>
  <c r="AL884"/>
  <c r="AM884"/>
  <c r="AN884"/>
  <c r="AO884"/>
  <c r="AQ884"/>
  <c r="AR884"/>
  <c r="AS884"/>
  <c r="AT884"/>
  <c r="AU884"/>
  <c r="AV884"/>
  <c r="AW884"/>
  <c r="AX884"/>
  <c r="AZ884"/>
  <c r="BA884"/>
  <c r="BB884"/>
  <c r="BC884"/>
  <c r="BD884"/>
  <c r="BE884"/>
  <c r="BF884"/>
  <c r="BG884"/>
  <c r="BI884"/>
  <c r="BJ884"/>
  <c r="BK884"/>
  <c r="BL884"/>
  <c r="BM884"/>
  <c r="BN884"/>
  <c r="BO884"/>
  <c r="BP884"/>
  <c r="G885"/>
  <c r="H885"/>
  <c r="I885"/>
  <c r="J885"/>
  <c r="K885"/>
  <c r="L885"/>
  <c r="M885"/>
  <c r="G888"/>
  <c r="H888"/>
  <c r="I888"/>
  <c r="J888"/>
  <c r="K888"/>
  <c r="L888"/>
  <c r="M888"/>
  <c r="N888"/>
  <c r="P888"/>
  <c r="Q888"/>
  <c r="R888"/>
  <c r="S888"/>
  <c r="T888"/>
  <c r="U888"/>
  <c r="V888"/>
  <c r="W888"/>
  <c r="Y888"/>
  <c r="Z888"/>
  <c r="AA888"/>
  <c r="AB888"/>
  <c r="AC888"/>
  <c r="AD888"/>
  <c r="AE888"/>
  <c r="AF888"/>
  <c r="AH888"/>
  <c r="AI888"/>
  <c r="AJ888"/>
  <c r="AK888"/>
  <c r="AL888"/>
  <c r="AM888"/>
  <c r="AN888"/>
  <c r="AO888"/>
  <c r="AZ888"/>
  <c r="BA888"/>
  <c r="BB888"/>
  <c r="BC888"/>
  <c r="BD888"/>
  <c r="BE888"/>
  <c r="BF888"/>
  <c r="BG888"/>
  <c r="BI888"/>
  <c r="BJ888"/>
  <c r="BK888"/>
  <c r="BL888"/>
  <c r="BM888"/>
  <c r="BN888"/>
  <c r="BO888"/>
  <c r="BP888"/>
  <c r="G889"/>
  <c r="H889"/>
  <c r="I889"/>
  <c r="J889"/>
  <c r="K889"/>
  <c r="L889"/>
  <c r="M889"/>
  <c r="N889"/>
  <c r="P889"/>
  <c r="Q889"/>
  <c r="R889"/>
  <c r="S889"/>
  <c r="T889"/>
  <c r="U889"/>
  <c r="V889"/>
  <c r="W889"/>
  <c r="Y889"/>
  <c r="Z889"/>
  <c r="AA889"/>
  <c r="AB889"/>
  <c r="AC889"/>
  <c r="AD889"/>
  <c r="AE889"/>
  <c r="AF889"/>
  <c r="AZ889"/>
  <c r="BA889"/>
  <c r="BB889"/>
  <c r="BC889"/>
  <c r="BD889"/>
  <c r="BE889"/>
  <c r="BF889"/>
  <c r="BG889"/>
  <c r="BI889"/>
  <c r="BJ889"/>
  <c r="BK889"/>
  <c r="BL889"/>
  <c r="BM889"/>
  <c r="BN889"/>
  <c r="BO889"/>
  <c r="BP889"/>
  <c r="G891"/>
  <c r="H891"/>
  <c r="I891"/>
  <c r="J891"/>
  <c r="K891"/>
  <c r="L891"/>
  <c r="M891"/>
  <c r="N891"/>
  <c r="P891"/>
  <c r="Q891"/>
  <c r="R891"/>
  <c r="S891"/>
  <c r="T891"/>
  <c r="U891"/>
  <c r="V891"/>
  <c r="W891"/>
  <c r="Y891"/>
  <c r="Z891"/>
  <c r="AA891"/>
  <c r="AB891"/>
  <c r="AC891"/>
  <c r="AD891"/>
  <c r="AE891"/>
  <c r="AF891"/>
  <c r="AH891"/>
  <c r="AI891"/>
  <c r="AJ891"/>
  <c r="AK891"/>
  <c r="AL891"/>
  <c r="AM891"/>
  <c r="AN891"/>
  <c r="AO891"/>
  <c r="AQ891"/>
  <c r="AR891"/>
  <c r="AS891"/>
  <c r="AT891"/>
  <c r="AU891"/>
  <c r="AV891"/>
  <c r="AW891"/>
  <c r="AX891"/>
  <c r="AZ891"/>
  <c r="BA891"/>
  <c r="BB891"/>
  <c r="BC891"/>
  <c r="BD891"/>
  <c r="BE891"/>
  <c r="BF891"/>
  <c r="BG891"/>
  <c r="BI891"/>
  <c r="BJ891"/>
  <c r="BK891"/>
  <c r="BL891"/>
  <c r="BM891"/>
  <c r="BN891"/>
  <c r="BO891"/>
  <c r="BP891"/>
  <c r="G893"/>
  <c r="H893"/>
  <c r="I893"/>
  <c r="J893"/>
  <c r="K893"/>
  <c r="L893"/>
  <c r="M893"/>
  <c r="N893"/>
  <c r="P893"/>
  <c r="Q893"/>
  <c r="R893"/>
  <c r="S893"/>
  <c r="T893"/>
  <c r="U893"/>
  <c r="V893"/>
  <c r="W893"/>
  <c r="Y893"/>
  <c r="Z893"/>
  <c r="AA893"/>
  <c r="AB893"/>
  <c r="AC893"/>
  <c r="AD893"/>
  <c r="AE893"/>
  <c r="AF893"/>
  <c r="AH893"/>
  <c r="AI893"/>
  <c r="AJ893"/>
  <c r="AK893"/>
  <c r="AL893"/>
  <c r="AM893"/>
  <c r="AN893"/>
  <c r="AO893"/>
  <c r="AQ893"/>
  <c r="AR893"/>
  <c r="AS893"/>
  <c r="AT893"/>
  <c r="AU893"/>
  <c r="AV893"/>
  <c r="AW893"/>
  <c r="AX893"/>
  <c r="AZ893"/>
  <c r="BA893"/>
  <c r="BB893"/>
  <c r="BC893"/>
  <c r="BD893"/>
  <c r="BE893"/>
  <c r="BF893"/>
  <c r="BG893"/>
  <c r="BI893"/>
  <c r="BJ893"/>
  <c r="BK893"/>
  <c r="BL893"/>
  <c r="BM893"/>
  <c r="BN893"/>
  <c r="BO893"/>
  <c r="BP893"/>
  <c r="N894"/>
  <c r="P898"/>
  <c r="Q898"/>
  <c r="R898"/>
  <c r="S898"/>
  <c r="T898"/>
  <c r="U898"/>
  <c r="V898"/>
  <c r="Y898"/>
  <c r="Z898"/>
  <c r="AA898"/>
  <c r="AB898"/>
  <c r="AC898"/>
  <c r="AD898"/>
  <c r="AE898"/>
  <c r="AH898"/>
  <c r="AI898"/>
  <c r="AJ898"/>
  <c r="AK898"/>
  <c r="AL898"/>
  <c r="AM898"/>
  <c r="AN898"/>
  <c r="AQ898"/>
  <c r="AR898"/>
  <c r="AS898"/>
  <c r="AT898"/>
  <c r="AU898"/>
  <c r="AV898"/>
  <c r="AW898"/>
  <c r="AZ898"/>
  <c r="BA898"/>
  <c r="BB898"/>
  <c r="BC898"/>
  <c r="BD898"/>
  <c r="BE898"/>
  <c r="BF898"/>
  <c r="BI898"/>
  <c r="BJ898"/>
  <c r="BK898"/>
  <c r="BL898"/>
  <c r="BM898"/>
  <c r="BN898"/>
  <c r="BO898"/>
  <c r="G899"/>
  <c r="H899"/>
  <c r="I899"/>
  <c r="J899"/>
  <c r="K899"/>
  <c r="L899"/>
  <c r="M899"/>
  <c r="N899"/>
  <c r="P899"/>
  <c r="Q899"/>
  <c r="R899"/>
  <c r="S899"/>
  <c r="T899"/>
  <c r="U899"/>
  <c r="V899"/>
  <c r="W899"/>
  <c r="Y899"/>
  <c r="Z899"/>
  <c r="AA899"/>
  <c r="AB899"/>
  <c r="AC899"/>
  <c r="AD899"/>
  <c r="AE899"/>
  <c r="AF899"/>
  <c r="AH899"/>
  <c r="AI899"/>
  <c r="AJ899"/>
  <c r="AK899"/>
  <c r="AL899"/>
  <c r="AM899"/>
  <c r="AN899"/>
  <c r="AO899"/>
  <c r="AQ899"/>
  <c r="AR899"/>
  <c r="AS899"/>
  <c r="AT899"/>
  <c r="AU899"/>
  <c r="AV899"/>
  <c r="AW899"/>
  <c r="AX899"/>
  <c r="AZ899"/>
  <c r="BA899"/>
  <c r="BB899"/>
  <c r="BC899"/>
  <c r="BD899"/>
  <c r="BE899"/>
  <c r="BF899"/>
  <c r="BG899"/>
  <c r="BI899"/>
  <c r="BJ899"/>
  <c r="BK899"/>
  <c r="BL899"/>
  <c r="BM899"/>
  <c r="BN899"/>
  <c r="BO899"/>
  <c r="BP899"/>
  <c r="P901"/>
  <c r="Q901"/>
  <c r="R901"/>
  <c r="S901"/>
  <c r="T901"/>
  <c r="U901"/>
  <c r="V901"/>
  <c r="Y901"/>
  <c r="Z901"/>
  <c r="AA901"/>
  <c r="AB901"/>
  <c r="AC901"/>
  <c r="AD901"/>
  <c r="AE901"/>
  <c r="AH901"/>
  <c r="AI901"/>
  <c r="AJ901"/>
  <c r="AK901"/>
  <c r="AL901"/>
  <c r="AM901"/>
  <c r="AN901"/>
  <c r="AQ901"/>
  <c r="AR901"/>
  <c r="AS901"/>
  <c r="AT901"/>
  <c r="AU901"/>
  <c r="AV901"/>
  <c r="AW901"/>
  <c r="AZ901"/>
  <c r="BA901"/>
  <c r="BB901"/>
  <c r="BC901"/>
  <c r="BD901"/>
  <c r="BE901"/>
  <c r="BF901"/>
  <c r="BI901"/>
  <c r="BJ901"/>
  <c r="BK901"/>
  <c r="BL901"/>
  <c r="BM901"/>
  <c r="BN901"/>
  <c r="BO901"/>
  <c r="G902"/>
  <c r="H902"/>
  <c r="I902"/>
  <c r="J902"/>
  <c r="K902"/>
  <c r="L902"/>
  <c r="M902"/>
  <c r="N902"/>
  <c r="P902"/>
  <c r="Q902"/>
  <c r="R902"/>
  <c r="S902"/>
  <c r="T902"/>
  <c r="U902"/>
  <c r="V902"/>
  <c r="W902"/>
  <c r="Y902"/>
  <c r="Z902"/>
  <c r="AA902"/>
  <c r="AB902"/>
  <c r="AC902"/>
  <c r="AD902"/>
  <c r="AE902"/>
  <c r="AF902"/>
  <c r="AH902"/>
  <c r="AI902"/>
  <c r="AJ902"/>
  <c r="AK902"/>
  <c r="AL902"/>
  <c r="AM902"/>
  <c r="AN902"/>
  <c r="AO902"/>
  <c r="AQ902"/>
  <c r="AR902"/>
  <c r="AS902"/>
  <c r="AT902"/>
  <c r="AU902"/>
  <c r="AV902"/>
  <c r="AW902"/>
  <c r="AX902"/>
  <c r="AZ902"/>
  <c r="BA902"/>
  <c r="BB902"/>
  <c r="BC902"/>
  <c r="BD902"/>
  <c r="BE902"/>
  <c r="BF902"/>
  <c r="BG902"/>
  <c r="BI902"/>
  <c r="BJ902"/>
  <c r="BK902"/>
  <c r="BL902"/>
  <c r="BM902"/>
  <c r="BN902"/>
  <c r="BO902"/>
  <c r="BP902"/>
  <c r="G904"/>
  <c r="H904"/>
  <c r="I904"/>
  <c r="J904"/>
  <c r="K904"/>
  <c r="L904"/>
  <c r="M904"/>
  <c r="N904"/>
  <c r="P904"/>
  <c r="Q904"/>
  <c r="R904"/>
  <c r="S904"/>
  <c r="T904"/>
  <c r="U904"/>
  <c r="V904"/>
  <c r="W904"/>
  <c r="Y904"/>
  <c r="Z904"/>
  <c r="AA904"/>
  <c r="AB904"/>
  <c r="AC904"/>
  <c r="AD904"/>
  <c r="AE904"/>
  <c r="AF904"/>
  <c r="AH904"/>
  <c r="AI904"/>
  <c r="AJ904"/>
  <c r="AK904"/>
  <c r="AL904"/>
  <c r="AM904"/>
  <c r="AN904"/>
  <c r="AO904"/>
  <c r="AQ904"/>
  <c r="AR904"/>
  <c r="AS904"/>
  <c r="AT904"/>
  <c r="AU904"/>
  <c r="AV904"/>
  <c r="AW904"/>
  <c r="AX904"/>
  <c r="AZ904"/>
  <c r="BA904"/>
  <c r="BB904"/>
  <c r="BC904"/>
  <c r="BD904"/>
  <c r="BE904"/>
  <c r="BF904"/>
  <c r="BG904"/>
  <c r="BI904"/>
  <c r="BJ904"/>
  <c r="BK904"/>
  <c r="BL904"/>
  <c r="BM904"/>
  <c r="BN904"/>
  <c r="BO904"/>
  <c r="BP904"/>
  <c r="P906"/>
  <c r="Q906"/>
  <c r="R906"/>
  <c r="S906"/>
  <c r="T906"/>
  <c r="U906"/>
  <c r="V906"/>
  <c r="Y906"/>
  <c r="Z906"/>
  <c r="AA906"/>
  <c r="AB906"/>
  <c r="AC906"/>
  <c r="AD906"/>
  <c r="AE906"/>
  <c r="AH906"/>
  <c r="AI906"/>
  <c r="AJ906"/>
  <c r="AK906"/>
  <c r="AL906"/>
  <c r="AM906"/>
  <c r="AN906"/>
  <c r="AQ906"/>
  <c r="AR906"/>
  <c r="AS906"/>
  <c r="AT906"/>
  <c r="AU906"/>
  <c r="AV906"/>
  <c r="AW906"/>
  <c r="AZ906"/>
  <c r="BA906"/>
  <c r="BB906"/>
  <c r="BC906"/>
  <c r="BD906"/>
  <c r="BE906"/>
  <c r="BF906"/>
  <c r="BI906"/>
  <c r="BJ906"/>
  <c r="BK906"/>
  <c r="BL906"/>
  <c r="BM906"/>
  <c r="BN906"/>
  <c r="BO906"/>
  <c r="G908"/>
  <c r="H908"/>
  <c r="I908"/>
  <c r="J908"/>
  <c r="K908"/>
  <c r="L908"/>
  <c r="M908"/>
  <c r="N908"/>
  <c r="P908"/>
  <c r="Q908"/>
  <c r="R908"/>
  <c r="S908"/>
  <c r="T908"/>
  <c r="U908"/>
  <c r="V908"/>
  <c r="W908"/>
  <c r="Y908"/>
  <c r="Z908"/>
  <c r="AA908"/>
  <c r="AB908"/>
  <c r="AC908"/>
  <c r="AD908"/>
  <c r="AE908"/>
  <c r="AF908"/>
  <c r="AH908"/>
  <c r="AI908"/>
  <c r="AJ908"/>
  <c r="AK908"/>
  <c r="AL908"/>
  <c r="AM908"/>
  <c r="AN908"/>
  <c r="AO908"/>
  <c r="AQ908"/>
  <c r="AR908"/>
  <c r="AS908"/>
  <c r="AT908"/>
  <c r="AU908"/>
  <c r="AV908"/>
  <c r="AW908"/>
  <c r="AX908"/>
  <c r="AZ908"/>
  <c r="BA908"/>
  <c r="BB908"/>
  <c r="BC908"/>
  <c r="BD908"/>
  <c r="BE908"/>
  <c r="BF908"/>
  <c r="BG908"/>
  <c r="BI908"/>
  <c r="BJ908"/>
  <c r="BK908"/>
  <c r="BL908"/>
  <c r="BM908"/>
  <c r="BN908"/>
  <c r="BO908"/>
  <c r="BP908"/>
  <c r="G911"/>
  <c r="H911"/>
  <c r="I911"/>
  <c r="J911"/>
  <c r="K911"/>
  <c r="L911"/>
  <c r="M911"/>
  <c r="N911"/>
  <c r="P911"/>
  <c r="Q911"/>
  <c r="R911"/>
  <c r="S911"/>
  <c r="T911"/>
  <c r="U911"/>
  <c r="V911"/>
  <c r="W911"/>
  <c r="Y911"/>
  <c r="Z911"/>
  <c r="AA911"/>
  <c r="AB911"/>
  <c r="AC911"/>
  <c r="AD911"/>
  <c r="AE911"/>
  <c r="AF911"/>
  <c r="AH911"/>
  <c r="AI911"/>
  <c r="AJ911"/>
  <c r="AK911"/>
  <c r="AL911"/>
  <c r="AM911"/>
  <c r="AN911"/>
  <c r="AO911"/>
  <c r="AQ911"/>
  <c r="AR911"/>
  <c r="AS911"/>
  <c r="AT911"/>
  <c r="AU911"/>
  <c r="AV911"/>
  <c r="AW911"/>
  <c r="AX911"/>
  <c r="AZ911"/>
  <c r="BA911"/>
  <c r="BB911"/>
  <c r="BC911"/>
  <c r="BD911"/>
  <c r="BE911"/>
  <c r="BF911"/>
  <c r="BG911"/>
  <c r="BI911"/>
  <c r="BJ911"/>
  <c r="BK911"/>
  <c r="BL911"/>
  <c r="BM911"/>
  <c r="BN911"/>
  <c r="BO911"/>
  <c r="BP911"/>
  <c r="G913"/>
  <c r="H913"/>
  <c r="I913"/>
  <c r="J913"/>
  <c r="K913"/>
  <c r="L913"/>
  <c r="M913"/>
  <c r="G919"/>
  <c r="H919"/>
  <c r="I919"/>
  <c r="J919"/>
  <c r="K919"/>
  <c r="L919"/>
  <c r="M919"/>
  <c r="G920"/>
  <c r="H920"/>
  <c r="I920"/>
  <c r="J920"/>
  <c r="K920"/>
  <c r="L920"/>
  <c r="M920"/>
  <c r="G921"/>
  <c r="H921"/>
  <c r="I921"/>
  <c r="J921"/>
  <c r="K921"/>
  <c r="L921"/>
  <c r="M921"/>
  <c r="G922"/>
  <c r="H922"/>
  <c r="I922"/>
  <c r="J922"/>
  <c r="K922"/>
  <c r="L922"/>
  <c r="M922"/>
  <c r="G923"/>
  <c r="H923"/>
  <c r="I923"/>
  <c r="J923"/>
  <c r="K923"/>
  <c r="L923"/>
  <c r="M923"/>
  <c r="G924"/>
  <c r="H924"/>
  <c r="I924"/>
  <c r="J924"/>
  <c r="K924"/>
  <c r="L924"/>
  <c r="M924"/>
  <c r="G925"/>
  <c r="H925"/>
  <c r="I925"/>
  <c r="J925"/>
  <c r="K925"/>
  <c r="L925"/>
  <c r="M925"/>
  <c r="G926"/>
  <c r="H926"/>
  <c r="I926"/>
  <c r="J926"/>
  <c r="K926"/>
  <c r="L926"/>
  <c r="M926"/>
  <c r="G934"/>
  <c r="H934"/>
  <c r="K934"/>
  <c r="L934"/>
  <c r="M934"/>
  <c r="G935"/>
  <c r="H935"/>
  <c r="K935"/>
  <c r="L935"/>
  <c r="M935"/>
  <c r="G936"/>
  <c r="H936"/>
  <c r="K936"/>
  <c r="L936"/>
  <c r="M936"/>
  <c r="K937"/>
  <c r="L937"/>
  <c r="M937"/>
  <c r="K938"/>
  <c r="L938"/>
  <c r="M938"/>
  <c r="G939"/>
  <c r="H939"/>
  <c r="K939"/>
  <c r="L939"/>
  <c r="M939"/>
  <c r="G940"/>
  <c r="H940"/>
  <c r="K940"/>
  <c r="L940"/>
  <c r="M940"/>
  <c r="G941"/>
  <c r="H941"/>
  <c r="K941"/>
  <c r="L941"/>
  <c r="M941"/>
  <c r="K942"/>
  <c r="L942"/>
  <c r="M942"/>
  <c r="K943"/>
  <c r="L943"/>
  <c r="M943"/>
  <c r="G947"/>
  <c r="H947"/>
  <c r="G948"/>
  <c r="H948"/>
  <c r="G951"/>
  <c r="H951"/>
  <c r="G952"/>
  <c r="H952"/>
  <c r="G961"/>
  <c r="H961"/>
  <c r="I961"/>
  <c r="J961"/>
  <c r="K961"/>
  <c r="L961"/>
  <c r="M961"/>
  <c r="N961"/>
  <c r="G962"/>
  <c r="H962"/>
  <c r="I962"/>
  <c r="J962"/>
  <c r="K962"/>
  <c r="L962"/>
  <c r="M962"/>
  <c r="N962"/>
  <c r="G963"/>
  <c r="H963"/>
  <c r="I963"/>
  <c r="J963"/>
  <c r="K963"/>
  <c r="L963"/>
  <c r="M963"/>
  <c r="N963"/>
  <c r="G967"/>
  <c r="H967"/>
  <c r="I967"/>
  <c r="J967"/>
  <c r="K967"/>
  <c r="L967"/>
  <c r="M967"/>
  <c r="N967"/>
  <c r="G968"/>
  <c r="H968"/>
  <c r="I968"/>
  <c r="J968"/>
  <c r="K968"/>
  <c r="L968"/>
  <c r="M968"/>
  <c r="N968"/>
  <c r="G969"/>
  <c r="H969"/>
  <c r="I969"/>
  <c r="J969"/>
  <c r="K969"/>
  <c r="L969"/>
  <c r="M969"/>
  <c r="N969"/>
  <c r="G970"/>
  <c r="H970"/>
  <c r="I970"/>
  <c r="J970"/>
  <c r="K970"/>
  <c r="L970"/>
  <c r="M970"/>
  <c r="N970"/>
  <c r="G971"/>
  <c r="H971"/>
  <c r="I971"/>
  <c r="J971"/>
  <c r="K971"/>
  <c r="L971"/>
  <c r="M971"/>
  <c r="N971"/>
  <c r="G972"/>
  <c r="H972"/>
  <c r="I972"/>
  <c r="J972"/>
  <c r="K972"/>
  <c r="L972"/>
  <c r="M972"/>
  <c r="N972"/>
  <c r="G977"/>
  <c r="H977"/>
  <c r="I977"/>
  <c r="J977"/>
  <c r="K977"/>
  <c r="L977"/>
  <c r="M977"/>
  <c r="N977"/>
  <c r="P977"/>
  <c r="Q977"/>
  <c r="R977"/>
  <c r="S977"/>
  <c r="T977"/>
  <c r="U977"/>
  <c r="V977"/>
  <c r="W977"/>
  <c r="Y977"/>
  <c r="Z977"/>
  <c r="AA977"/>
  <c r="AB977"/>
  <c r="AC977"/>
  <c r="AD977"/>
  <c r="AE977"/>
  <c r="AF977"/>
  <c r="AH977"/>
  <c r="AI977"/>
  <c r="AJ977"/>
  <c r="AK977"/>
  <c r="AL977"/>
  <c r="AM977"/>
  <c r="AN977"/>
  <c r="AO977"/>
  <c r="AQ977"/>
  <c r="AR977"/>
  <c r="AS977"/>
  <c r="AT977"/>
  <c r="AU977"/>
  <c r="AV977"/>
  <c r="AW977"/>
  <c r="AX977"/>
  <c r="AZ977"/>
  <c r="BA977"/>
  <c r="BB977"/>
  <c r="BC977"/>
  <c r="BD977"/>
  <c r="BE977"/>
  <c r="BF977"/>
  <c r="BG977"/>
  <c r="BI977"/>
  <c r="BJ977"/>
  <c r="BK977"/>
  <c r="BL977"/>
  <c r="BM977"/>
  <c r="BN977"/>
  <c r="BO977"/>
  <c r="BP977"/>
  <c r="G981"/>
  <c r="H981"/>
  <c r="I981"/>
  <c r="J981"/>
  <c r="K981"/>
  <c r="L981"/>
  <c r="M981"/>
  <c r="N981"/>
  <c r="P981"/>
  <c r="Q981"/>
  <c r="R981"/>
  <c r="S981"/>
  <c r="T981"/>
  <c r="U981"/>
  <c r="V981"/>
  <c r="W981"/>
  <c r="Y981"/>
  <c r="Z981"/>
  <c r="AA981"/>
  <c r="AB981"/>
  <c r="AC981"/>
  <c r="AD981"/>
  <c r="AE981"/>
  <c r="AF981"/>
  <c r="AH981"/>
  <c r="AI981"/>
  <c r="AJ981"/>
  <c r="AK981"/>
  <c r="AL981"/>
  <c r="AM981"/>
  <c r="AN981"/>
  <c r="AO981"/>
  <c r="AZ981"/>
  <c r="BA981"/>
  <c r="BB981"/>
  <c r="BC981"/>
  <c r="BD981"/>
  <c r="BE981"/>
  <c r="BF981"/>
  <c r="BG981"/>
  <c r="BI981"/>
  <c r="BJ981"/>
  <c r="BK981"/>
  <c r="BL981"/>
  <c r="BM981"/>
  <c r="BN981"/>
  <c r="BO981"/>
  <c r="BP981"/>
  <c r="G983"/>
  <c r="H983"/>
  <c r="I983"/>
  <c r="J983"/>
  <c r="K983"/>
  <c r="L983"/>
  <c r="M983"/>
  <c r="N983"/>
  <c r="G987"/>
  <c r="H987"/>
  <c r="I987"/>
  <c r="J987"/>
  <c r="K987"/>
  <c r="L987"/>
  <c r="M987"/>
  <c r="N987"/>
  <c r="P987"/>
  <c r="Q987"/>
  <c r="R987"/>
  <c r="S987"/>
  <c r="T987"/>
  <c r="U987"/>
  <c r="V987"/>
  <c r="W987"/>
  <c r="Y987"/>
  <c r="Z987"/>
  <c r="AA987"/>
  <c r="AB987"/>
  <c r="AC987"/>
  <c r="AD987"/>
  <c r="AE987"/>
  <c r="AF987"/>
  <c r="AH987"/>
  <c r="AI987"/>
  <c r="AJ987"/>
  <c r="AK987"/>
  <c r="AL987"/>
  <c r="AM987"/>
  <c r="AN987"/>
  <c r="AO987"/>
  <c r="AQ987"/>
  <c r="AR987"/>
  <c r="AS987"/>
  <c r="AT987"/>
  <c r="AU987"/>
  <c r="AV987"/>
  <c r="AW987"/>
  <c r="AX987"/>
  <c r="AZ987"/>
  <c r="BA987"/>
  <c r="BB987"/>
  <c r="BC987"/>
  <c r="BD987"/>
  <c r="BE987"/>
  <c r="BF987"/>
  <c r="BG987"/>
  <c r="BI987"/>
  <c r="BJ987"/>
  <c r="BK987"/>
  <c r="BL987"/>
  <c r="BM987"/>
  <c r="BN987"/>
  <c r="BO987"/>
  <c r="BP987"/>
  <c r="G989"/>
  <c r="H989"/>
  <c r="I989"/>
  <c r="J989"/>
  <c r="K989"/>
  <c r="L989"/>
  <c r="M989"/>
  <c r="N989"/>
  <c r="L992"/>
  <c r="N992"/>
  <c r="BG992"/>
  <c r="N994"/>
  <c r="L1002"/>
  <c r="C1011"/>
  <c r="C1012"/>
  <c r="C1013"/>
  <c r="C1014"/>
  <c r="C1015"/>
  <c r="C1016"/>
  <c r="C1017"/>
  <c r="C1018"/>
  <c r="C1019"/>
  <c r="C1020"/>
  <c r="G1077"/>
  <c r="I1077"/>
  <c r="J1077"/>
  <c r="G1078"/>
  <c r="I1078"/>
  <c r="J1078"/>
  <c r="N302" i="9"/>
  <c r="M303"/>
  <c r="N303"/>
  <c r="N304"/>
  <c r="P304"/>
  <c r="Q304"/>
  <c r="R304"/>
  <c r="S304"/>
  <c r="T304"/>
  <c r="U304"/>
  <c r="W304"/>
  <c r="Y304"/>
  <c r="Z304"/>
  <c r="AA304"/>
  <c r="AB304"/>
  <c r="AC304"/>
  <c r="AD304"/>
  <c r="AF304"/>
  <c r="AZ304"/>
  <c r="BA304"/>
  <c r="BB304"/>
  <c r="BC304"/>
  <c r="BD304"/>
  <c r="BE304"/>
  <c r="BG304"/>
  <c r="BI304"/>
  <c r="BJ304"/>
  <c r="BK304"/>
  <c r="BL304"/>
  <c r="BM304"/>
  <c r="BN304"/>
  <c r="BP304"/>
  <c r="P307"/>
  <c r="Q307"/>
  <c r="R307"/>
  <c r="S307"/>
  <c r="T307"/>
  <c r="U307"/>
  <c r="W307"/>
  <c r="Y307"/>
  <c r="Z307"/>
  <c r="AA307"/>
  <c r="AB307"/>
  <c r="AC307"/>
  <c r="AD307"/>
  <c r="AF307"/>
  <c r="AZ307"/>
  <c r="BA307"/>
  <c r="BB307"/>
  <c r="BC307"/>
  <c r="BD307"/>
  <c r="BE307"/>
  <c r="BG307"/>
  <c r="BI307"/>
  <c r="BJ307"/>
  <c r="BK307"/>
  <c r="BL307"/>
  <c r="BM307"/>
  <c r="BN307"/>
  <c r="BP307"/>
  <c r="P308"/>
  <c r="Q308"/>
  <c r="R308"/>
  <c r="S308"/>
  <c r="T308"/>
  <c r="U308"/>
  <c r="W308"/>
  <c r="Y308"/>
  <c r="Z308"/>
  <c r="AA308"/>
  <c r="AB308"/>
  <c r="AC308"/>
  <c r="AD308"/>
  <c r="AF308"/>
  <c r="AZ308"/>
  <c r="BA308"/>
  <c r="BB308"/>
  <c r="BC308"/>
  <c r="BD308"/>
  <c r="BE308"/>
  <c r="BG308"/>
  <c r="BI308"/>
  <c r="BJ308"/>
  <c r="BK308"/>
  <c r="BL308"/>
  <c r="BM308"/>
  <c r="BN308"/>
  <c r="BP308"/>
  <c r="P310"/>
  <c r="Q310"/>
  <c r="R310"/>
  <c r="S310"/>
  <c r="T310"/>
  <c r="U310"/>
  <c r="W310"/>
  <c r="Y310"/>
  <c r="Z310"/>
  <c r="AA310"/>
  <c r="AB310"/>
  <c r="AC310"/>
  <c r="AD310"/>
  <c r="AF310"/>
  <c r="AZ310"/>
  <c r="BA310"/>
  <c r="BB310"/>
  <c r="BC310"/>
  <c r="BD310"/>
  <c r="BE310"/>
  <c r="BG310"/>
  <c r="BI310"/>
  <c r="BJ310"/>
  <c r="BK310"/>
  <c r="BL310"/>
  <c r="BM310"/>
  <c r="BN310"/>
  <c r="BP310"/>
  <c r="P312"/>
  <c r="Q312"/>
  <c r="R312"/>
  <c r="S312"/>
  <c r="T312"/>
  <c r="U312"/>
  <c r="Y312"/>
  <c r="Z312"/>
  <c r="AA312"/>
  <c r="AB312"/>
  <c r="AC312"/>
  <c r="AD312"/>
  <c r="AZ312"/>
  <c r="BA312"/>
  <c r="BB312"/>
  <c r="BC312"/>
  <c r="BD312"/>
  <c r="BE312"/>
  <c r="BI312"/>
  <c r="BJ312"/>
  <c r="BK312"/>
  <c r="BL312"/>
  <c r="BM312"/>
  <c r="BN312"/>
  <c r="P315"/>
  <c r="Q315"/>
  <c r="R315"/>
  <c r="S315"/>
  <c r="T315"/>
  <c r="U315"/>
  <c r="Y315"/>
  <c r="Z315"/>
  <c r="AA315"/>
  <c r="AB315"/>
  <c r="AC315"/>
  <c r="AD315"/>
  <c r="AZ315"/>
  <c r="BA315"/>
  <c r="BB315"/>
  <c r="BC315"/>
  <c r="BD315"/>
  <c r="BE315"/>
  <c r="BI315"/>
  <c r="BJ315"/>
  <c r="BK315"/>
  <c r="BL315"/>
  <c r="BM315"/>
  <c r="BN315"/>
  <c r="P317"/>
  <c r="Q317"/>
  <c r="R317"/>
  <c r="S317"/>
  <c r="T317"/>
  <c r="U317"/>
  <c r="Y317"/>
  <c r="Z317"/>
  <c r="AA317"/>
  <c r="AB317"/>
  <c r="AC317"/>
  <c r="AD317"/>
  <c r="AZ317"/>
  <c r="BA317"/>
  <c r="BB317"/>
  <c r="BC317"/>
  <c r="BD317"/>
  <c r="BE317"/>
  <c r="BI317"/>
  <c r="BJ317"/>
  <c r="BK317"/>
  <c r="BL317"/>
  <c r="BM317"/>
  <c r="BN317"/>
  <c r="P321"/>
  <c r="Q321"/>
  <c r="R321"/>
  <c r="S321"/>
  <c r="T321"/>
  <c r="U321"/>
  <c r="Y321"/>
  <c r="Z321"/>
  <c r="AA321"/>
  <c r="AB321"/>
  <c r="AC321"/>
  <c r="AD321"/>
  <c r="AZ321"/>
  <c r="BA321"/>
  <c r="BB321"/>
  <c r="BC321"/>
  <c r="BD321"/>
  <c r="BE321"/>
  <c r="BI321"/>
  <c r="BJ321"/>
  <c r="BK321"/>
  <c r="BL321"/>
  <c r="BM321"/>
  <c r="BN321"/>
  <c r="P323"/>
  <c r="Q323"/>
  <c r="R323"/>
  <c r="S323"/>
  <c r="T323"/>
  <c r="U323"/>
  <c r="Y323"/>
  <c r="Z323"/>
  <c r="AA323"/>
  <c r="AB323"/>
  <c r="AC323"/>
  <c r="AD323"/>
  <c r="AZ323"/>
  <c r="BA323"/>
  <c r="BB323"/>
  <c r="BC323"/>
  <c r="BD323"/>
  <c r="BE323"/>
  <c r="BI323"/>
  <c r="BJ323"/>
  <c r="BK323"/>
  <c r="BL323"/>
  <c r="BM323"/>
  <c r="BN323"/>
  <c r="AX325"/>
  <c r="AQ332"/>
  <c r="AR332"/>
  <c r="AS332"/>
  <c r="AT332"/>
  <c r="AU332"/>
  <c r="AV332"/>
  <c r="AX332"/>
  <c r="G348"/>
  <c r="H348"/>
  <c r="I348"/>
  <c r="J348"/>
  <c r="K348"/>
  <c r="L348"/>
  <c r="N348"/>
  <c r="P348"/>
  <c r="Q348"/>
  <c r="R348"/>
  <c r="S348"/>
  <c r="T348"/>
  <c r="U348"/>
  <c r="W348"/>
  <c r="Y348"/>
  <c r="Z348"/>
  <c r="AA348"/>
  <c r="AB348"/>
  <c r="AC348"/>
  <c r="AD348"/>
  <c r="AF348"/>
  <c r="AZ348"/>
  <c r="BA348"/>
  <c r="BB348"/>
  <c r="BC348"/>
  <c r="BD348"/>
  <c r="BE348"/>
  <c r="BG348"/>
  <c r="BI348"/>
  <c r="BJ348"/>
  <c r="BK348"/>
  <c r="BL348"/>
  <c r="BM348"/>
  <c r="BN348"/>
  <c r="BP348"/>
  <c r="G355"/>
  <c r="H355"/>
  <c r="I355"/>
  <c r="J355"/>
  <c r="K355"/>
  <c r="L355"/>
  <c r="N355"/>
  <c r="P355"/>
  <c r="Q355"/>
  <c r="R355"/>
  <c r="S355"/>
  <c r="T355"/>
  <c r="U355"/>
  <c r="W355"/>
  <c r="Y355"/>
  <c r="Z355"/>
  <c r="AA355"/>
  <c r="AB355"/>
  <c r="AC355"/>
  <c r="AD355"/>
  <c r="AF355"/>
  <c r="AQ355"/>
  <c r="AR355"/>
  <c r="AS355"/>
  <c r="AT355"/>
  <c r="AU355"/>
  <c r="AV355"/>
  <c r="AX355"/>
  <c r="AZ355"/>
  <c r="BA355"/>
  <c r="BB355"/>
  <c r="BC355"/>
  <c r="BD355"/>
  <c r="BE355"/>
  <c r="BG355"/>
  <c r="BI355"/>
  <c r="BJ355"/>
  <c r="BK355"/>
  <c r="BL355"/>
  <c r="BM355"/>
  <c r="BN355"/>
  <c r="BP355"/>
  <c r="G356"/>
  <c r="H356"/>
  <c r="I356"/>
  <c r="J356"/>
  <c r="K356"/>
  <c r="L356"/>
  <c r="N356"/>
  <c r="P356"/>
  <c r="Q356"/>
  <c r="R356"/>
  <c r="S356"/>
  <c r="T356"/>
  <c r="U356"/>
  <c r="W356"/>
  <c r="Y356"/>
  <c r="Z356"/>
  <c r="AA356"/>
  <c r="AB356"/>
  <c r="AC356"/>
  <c r="AD356"/>
  <c r="AF356"/>
  <c r="AQ356"/>
  <c r="AR356"/>
  <c r="AS356"/>
  <c r="AT356"/>
  <c r="AU356"/>
  <c r="AV356"/>
  <c r="AX356"/>
  <c r="AZ356"/>
  <c r="BA356"/>
  <c r="BB356"/>
  <c r="BC356"/>
  <c r="BD356"/>
  <c r="BE356"/>
  <c r="BG356"/>
  <c r="BI356"/>
  <c r="BJ356"/>
  <c r="BK356"/>
  <c r="BL356"/>
  <c r="BM356"/>
  <c r="BN356"/>
  <c r="BP356"/>
  <c r="G357"/>
  <c r="H357"/>
  <c r="I357"/>
  <c r="J357"/>
  <c r="K357"/>
  <c r="L357"/>
  <c r="P357"/>
  <c r="Q357"/>
  <c r="R357"/>
  <c r="S357"/>
  <c r="T357"/>
  <c r="U357"/>
  <c r="Y357"/>
  <c r="Z357"/>
  <c r="AA357"/>
  <c r="AB357"/>
  <c r="AC357"/>
  <c r="AD357"/>
  <c r="AQ357"/>
  <c r="AR357"/>
  <c r="AS357"/>
  <c r="AT357"/>
  <c r="AU357"/>
  <c r="AV357"/>
  <c r="AZ357"/>
  <c r="BA357"/>
  <c r="BB357"/>
  <c r="BC357"/>
  <c r="BD357"/>
  <c r="BE357"/>
  <c r="BI357"/>
  <c r="BJ357"/>
  <c r="BK357"/>
  <c r="BL357"/>
  <c r="BM357"/>
  <c r="BN357"/>
  <c r="P363"/>
  <c r="Q363"/>
  <c r="R363"/>
  <c r="S363"/>
  <c r="T363"/>
  <c r="U363"/>
  <c r="W363"/>
  <c r="Y363"/>
  <c r="Z363"/>
  <c r="AA363"/>
  <c r="AB363"/>
  <c r="AC363"/>
  <c r="AD363"/>
  <c r="AF363"/>
  <c r="AH363"/>
  <c r="AI363"/>
  <c r="AJ363"/>
  <c r="AK363"/>
  <c r="AL363"/>
  <c r="AM363"/>
  <c r="AO363"/>
  <c r="G364"/>
  <c r="G365"/>
  <c r="H365"/>
  <c r="I365"/>
  <c r="J365"/>
  <c r="K365"/>
  <c r="L365"/>
  <c r="N365"/>
  <c r="G366"/>
  <c r="H366"/>
  <c r="I366"/>
  <c r="J366"/>
  <c r="K366"/>
  <c r="L366"/>
  <c r="N366"/>
  <c r="P366"/>
  <c r="Q366"/>
  <c r="R366"/>
  <c r="S366"/>
  <c r="T366"/>
  <c r="U366"/>
  <c r="W366"/>
  <c r="Y366"/>
  <c r="Z366"/>
  <c r="AA366"/>
  <c r="AB366"/>
  <c r="AC366"/>
  <c r="AD366"/>
  <c r="AF366"/>
  <c r="AH366"/>
  <c r="AI366"/>
  <c r="AJ366"/>
  <c r="AK366"/>
  <c r="AL366"/>
  <c r="AM366"/>
  <c r="AO366"/>
  <c r="AQ366"/>
  <c r="AR366"/>
  <c r="AS366"/>
  <c r="AT366"/>
  <c r="AU366"/>
  <c r="AV366"/>
  <c r="AX366"/>
  <c r="AZ366"/>
  <c r="BA366"/>
  <c r="BB366"/>
  <c r="BC366"/>
  <c r="BD366"/>
  <c r="BE366"/>
  <c r="BG366"/>
  <c r="BI366"/>
  <c r="BJ366"/>
  <c r="BK366"/>
  <c r="BL366"/>
  <c r="BM366"/>
  <c r="BN366"/>
  <c r="BP366"/>
  <c r="G368"/>
  <c r="H368"/>
  <c r="I368"/>
  <c r="J368"/>
  <c r="K368"/>
  <c r="L368"/>
  <c r="N368"/>
  <c r="P368"/>
  <c r="Q368"/>
  <c r="R368"/>
  <c r="S368"/>
  <c r="T368"/>
  <c r="U368"/>
  <c r="W368"/>
  <c r="Y368"/>
  <c r="Z368"/>
  <c r="AA368"/>
  <c r="AB368"/>
  <c r="AC368"/>
  <c r="AD368"/>
  <c r="AF368"/>
  <c r="AH368"/>
  <c r="AI368"/>
  <c r="AJ368"/>
  <c r="AK368"/>
  <c r="AL368"/>
  <c r="AM368"/>
  <c r="AO368"/>
  <c r="AQ368"/>
  <c r="AR368"/>
  <c r="AS368"/>
  <c r="AT368"/>
  <c r="AU368"/>
  <c r="AV368"/>
  <c r="AX368"/>
  <c r="AZ368"/>
  <c r="BA368"/>
  <c r="BB368"/>
  <c r="BC368"/>
  <c r="BD368"/>
  <c r="BE368"/>
  <c r="BG368"/>
  <c r="BI368"/>
  <c r="BJ368"/>
  <c r="BK368"/>
  <c r="BL368"/>
  <c r="BM368"/>
  <c r="BN368"/>
  <c r="BP368"/>
  <c r="G370"/>
  <c r="H370"/>
  <c r="I370"/>
  <c r="J370"/>
  <c r="K370"/>
  <c r="L370"/>
  <c r="P370"/>
  <c r="Q370"/>
  <c r="R370"/>
  <c r="S370"/>
  <c r="T370"/>
  <c r="U370"/>
  <c r="Y370"/>
  <c r="Z370"/>
  <c r="AA370"/>
  <c r="AB370"/>
  <c r="AC370"/>
  <c r="AD370"/>
  <c r="AH370"/>
  <c r="AI370"/>
  <c r="AJ370"/>
  <c r="AK370"/>
  <c r="AL370"/>
  <c r="AM370"/>
  <c r="AQ370"/>
  <c r="AR370"/>
  <c r="AS370"/>
  <c r="AT370"/>
  <c r="AU370"/>
  <c r="AV370"/>
  <c r="AZ370"/>
  <c r="BA370"/>
  <c r="BB370"/>
  <c r="BC370"/>
  <c r="BD370"/>
  <c r="BE370"/>
  <c r="BI370"/>
  <c r="BJ370"/>
  <c r="BK370"/>
  <c r="BL370"/>
  <c r="BM370"/>
  <c r="BN370"/>
  <c r="G371"/>
  <c r="H371"/>
  <c r="I371"/>
  <c r="J371"/>
  <c r="K371"/>
  <c r="L371"/>
  <c r="N371"/>
  <c r="P371"/>
  <c r="Q371"/>
  <c r="R371"/>
  <c r="S371"/>
  <c r="T371"/>
  <c r="U371"/>
  <c r="W371"/>
  <c r="Y371"/>
  <c r="Z371"/>
  <c r="AA371"/>
  <c r="AB371"/>
  <c r="AC371"/>
  <c r="AD371"/>
  <c r="AF371"/>
  <c r="AH371"/>
  <c r="AI371"/>
  <c r="AJ371"/>
  <c r="AK371"/>
  <c r="AL371"/>
  <c r="AM371"/>
  <c r="AO371"/>
  <c r="AQ371"/>
  <c r="AR371"/>
  <c r="AS371"/>
  <c r="AT371"/>
  <c r="AU371"/>
  <c r="AV371"/>
  <c r="AX371"/>
  <c r="AZ371"/>
  <c r="BA371"/>
  <c r="BB371"/>
  <c r="BC371"/>
  <c r="BD371"/>
  <c r="BE371"/>
  <c r="BG371"/>
  <c r="BI371"/>
  <c r="BJ371"/>
  <c r="BK371"/>
  <c r="BL371"/>
  <c r="BM371"/>
  <c r="BN371"/>
  <c r="BP371"/>
  <c r="G374"/>
  <c r="H374"/>
  <c r="I374"/>
  <c r="J374"/>
  <c r="K374"/>
  <c r="L374"/>
  <c r="N374"/>
  <c r="P374"/>
  <c r="Q374"/>
  <c r="R374"/>
  <c r="S374"/>
  <c r="T374"/>
  <c r="U374"/>
  <c r="W374"/>
  <c r="Y374"/>
  <c r="Z374"/>
  <c r="AA374"/>
  <c r="AB374"/>
  <c r="AC374"/>
  <c r="AD374"/>
  <c r="AF374"/>
  <c r="AH374"/>
  <c r="AI374"/>
  <c r="AJ374"/>
  <c r="AK374"/>
  <c r="AL374"/>
  <c r="AM374"/>
  <c r="AO374"/>
  <c r="AQ374"/>
  <c r="AR374"/>
  <c r="AS374"/>
  <c r="AT374"/>
  <c r="AU374"/>
  <c r="AV374"/>
  <c r="AX374"/>
  <c r="AZ374"/>
  <c r="BA374"/>
  <c r="BB374"/>
  <c r="BC374"/>
  <c r="BD374"/>
  <c r="BE374"/>
  <c r="BG374"/>
  <c r="BI374"/>
  <c r="BJ374"/>
  <c r="BK374"/>
  <c r="BL374"/>
  <c r="BM374"/>
  <c r="BN374"/>
  <c r="BP374"/>
  <c r="G376"/>
  <c r="H376"/>
  <c r="I376"/>
  <c r="J376"/>
  <c r="K376"/>
  <c r="L376"/>
  <c r="N376"/>
  <c r="P376"/>
  <c r="Q376"/>
  <c r="R376"/>
  <c r="S376"/>
  <c r="T376"/>
  <c r="U376"/>
  <c r="W376"/>
  <c r="Y376"/>
  <c r="Z376"/>
  <c r="AA376"/>
  <c r="AB376"/>
  <c r="AC376"/>
  <c r="AD376"/>
  <c r="AF376"/>
  <c r="AH376"/>
  <c r="AI376"/>
  <c r="AJ376"/>
  <c r="AK376"/>
  <c r="AL376"/>
  <c r="AM376"/>
  <c r="AO376"/>
  <c r="AQ376"/>
  <c r="AR376"/>
  <c r="AS376"/>
  <c r="AT376"/>
  <c r="AU376"/>
  <c r="AV376"/>
  <c r="AX376"/>
  <c r="AZ376"/>
  <c r="BA376"/>
  <c r="BB376"/>
  <c r="BC376"/>
  <c r="BD376"/>
  <c r="BE376"/>
  <c r="BG376"/>
  <c r="BI376"/>
  <c r="BJ376"/>
  <c r="BK376"/>
  <c r="BL376"/>
  <c r="BM376"/>
  <c r="BN376"/>
  <c r="BP376"/>
  <c r="AQ380"/>
  <c r="AR380"/>
  <c r="AS380"/>
  <c r="AT380"/>
  <c r="AU380"/>
  <c r="AV380"/>
  <c r="AX380"/>
  <c r="G382"/>
  <c r="H382"/>
  <c r="I382"/>
  <c r="J382"/>
  <c r="K382"/>
  <c r="L382"/>
  <c r="N382"/>
  <c r="P382"/>
  <c r="Q382"/>
  <c r="R382"/>
  <c r="S382"/>
  <c r="T382"/>
  <c r="U382"/>
  <c r="W382"/>
  <c r="Y382"/>
  <c r="Z382"/>
  <c r="AA382"/>
  <c r="AB382"/>
  <c r="AC382"/>
  <c r="AD382"/>
  <c r="AF382"/>
  <c r="AH382"/>
  <c r="AI382"/>
  <c r="AJ382"/>
  <c r="AK382"/>
  <c r="AL382"/>
  <c r="AM382"/>
  <c r="AO382"/>
  <c r="AQ382"/>
  <c r="AR382"/>
  <c r="AS382"/>
  <c r="AT382"/>
  <c r="AU382"/>
  <c r="AV382"/>
  <c r="AX382"/>
  <c r="AZ382"/>
  <c r="BA382"/>
  <c r="BB382"/>
  <c r="BC382"/>
  <c r="BD382"/>
  <c r="BE382"/>
  <c r="BG382"/>
  <c r="BI382"/>
  <c r="BJ382"/>
  <c r="BK382"/>
  <c r="BL382"/>
  <c r="BM382"/>
  <c r="BN382"/>
  <c r="BP382"/>
  <c r="G383"/>
  <c r="H383"/>
  <c r="I383"/>
  <c r="J383"/>
  <c r="K383"/>
  <c r="L383"/>
  <c r="N383"/>
  <c r="P383"/>
  <c r="Q383"/>
  <c r="R383"/>
  <c r="S383"/>
  <c r="T383"/>
  <c r="U383"/>
  <c r="W383"/>
  <c r="Y383"/>
  <c r="Z383"/>
  <c r="AA383"/>
  <c r="AB383"/>
  <c r="AC383"/>
  <c r="AD383"/>
  <c r="AF383"/>
  <c r="AH383"/>
  <c r="AI383"/>
  <c r="AJ383"/>
  <c r="AK383"/>
  <c r="AL383"/>
  <c r="AM383"/>
  <c r="AO383"/>
  <c r="AQ383"/>
  <c r="AR383"/>
  <c r="AS383"/>
  <c r="AT383"/>
  <c r="AU383"/>
  <c r="AV383"/>
  <c r="AX383"/>
  <c r="AZ383"/>
  <c r="BA383"/>
  <c r="BB383"/>
  <c r="BC383"/>
  <c r="BD383"/>
  <c r="BE383"/>
  <c r="BG383"/>
  <c r="BI383"/>
  <c r="BJ383"/>
  <c r="BK383"/>
  <c r="BL383"/>
  <c r="BM383"/>
  <c r="BN383"/>
  <c r="BP383"/>
  <c r="N386"/>
  <c r="W386"/>
  <c r="AF386"/>
  <c r="P387"/>
  <c r="Q387"/>
  <c r="R387"/>
  <c r="S387"/>
  <c r="T387"/>
  <c r="U387"/>
  <c r="V387"/>
  <c r="W387"/>
  <c r="Y387"/>
  <c r="Z387"/>
  <c r="AA387"/>
  <c r="AB387"/>
  <c r="AC387"/>
  <c r="AD387"/>
  <c r="AE387"/>
  <c r="AF387"/>
  <c r="P388"/>
  <c r="Q388"/>
  <c r="R388"/>
  <c r="S388"/>
  <c r="T388"/>
  <c r="U388"/>
  <c r="V388"/>
  <c r="W388"/>
  <c r="Y388"/>
  <c r="Z388"/>
  <c r="AA388"/>
  <c r="AB388"/>
  <c r="AC388"/>
  <c r="AD388"/>
  <c r="AE388"/>
  <c r="AF388"/>
  <c r="P389"/>
  <c r="Q389"/>
  <c r="R389"/>
  <c r="S389"/>
  <c r="T389"/>
  <c r="U389"/>
  <c r="V389"/>
  <c r="W389"/>
  <c r="Y389"/>
  <c r="Z389"/>
  <c r="AA389"/>
  <c r="AB389"/>
  <c r="AC389"/>
  <c r="AD389"/>
  <c r="AE389"/>
  <c r="AF389"/>
  <c r="P390"/>
  <c r="Q390"/>
  <c r="R390"/>
  <c r="S390"/>
  <c r="T390"/>
  <c r="U390"/>
  <c r="V390"/>
  <c r="W390"/>
  <c r="Y390"/>
  <c r="Z390"/>
  <c r="AA390"/>
  <c r="AB390"/>
  <c r="AC390"/>
  <c r="AD390"/>
  <c r="AE390"/>
  <c r="AF390"/>
  <c r="P391"/>
  <c r="Q391"/>
  <c r="R391"/>
  <c r="S391"/>
  <c r="T391"/>
  <c r="U391"/>
  <c r="V391"/>
  <c r="W391"/>
  <c r="Y391"/>
  <c r="Z391"/>
  <c r="AA391"/>
  <c r="AB391"/>
  <c r="AC391"/>
  <c r="AD391"/>
  <c r="AE391"/>
  <c r="AF391"/>
  <c r="G392"/>
  <c r="H392"/>
  <c r="I392"/>
  <c r="J392"/>
  <c r="K392"/>
  <c r="L392"/>
  <c r="M392"/>
  <c r="N392"/>
  <c r="P392"/>
  <c r="Q392"/>
  <c r="R392"/>
  <c r="S392"/>
  <c r="T392"/>
  <c r="U392"/>
  <c r="V392"/>
  <c r="W392"/>
  <c r="Y392"/>
  <c r="Z392"/>
  <c r="AA392"/>
  <c r="AB392"/>
  <c r="AC392"/>
  <c r="AD392"/>
  <c r="AE392"/>
  <c r="AF392"/>
  <c r="AH392"/>
  <c r="AI392"/>
  <c r="AJ392"/>
  <c r="AK392"/>
  <c r="AL392"/>
  <c r="AM392"/>
  <c r="AO392"/>
  <c r="AQ392"/>
  <c r="AR392"/>
  <c r="AS392"/>
  <c r="AT392"/>
  <c r="AU392"/>
  <c r="AV392"/>
  <c r="AX392"/>
  <c r="AZ392"/>
  <c r="BA392"/>
  <c r="BB392"/>
  <c r="BC392"/>
  <c r="BD392"/>
  <c r="BE392"/>
  <c r="BG392"/>
  <c r="BI392"/>
  <c r="BJ392"/>
  <c r="BK392"/>
  <c r="BL392"/>
  <c r="BM392"/>
  <c r="BN392"/>
  <c r="BP392"/>
  <c r="G395"/>
  <c r="H395"/>
  <c r="I395"/>
  <c r="J395"/>
  <c r="K395"/>
  <c r="L395"/>
  <c r="G397"/>
  <c r="H397"/>
  <c r="I397"/>
  <c r="J397"/>
  <c r="K397"/>
  <c r="L397"/>
  <c r="N397"/>
  <c r="G403"/>
  <c r="H403"/>
  <c r="I403"/>
  <c r="J403"/>
  <c r="K403"/>
  <c r="L403"/>
  <c r="P403"/>
  <c r="Q403"/>
  <c r="R403"/>
  <c r="S403"/>
  <c r="T403"/>
  <c r="U403"/>
  <c r="Y403"/>
  <c r="Z403"/>
  <c r="AA403"/>
  <c r="AB403"/>
  <c r="AC403"/>
  <c r="AD403"/>
  <c r="AH403"/>
  <c r="AI403"/>
  <c r="AJ403"/>
  <c r="AK403"/>
  <c r="AL403"/>
  <c r="AM403"/>
  <c r="AQ403"/>
  <c r="AR403"/>
  <c r="AS403"/>
  <c r="AT403"/>
  <c r="AU403"/>
  <c r="AV403"/>
  <c r="AZ403"/>
  <c r="BA403"/>
  <c r="BB403"/>
  <c r="BC403"/>
  <c r="BD403"/>
  <c r="BE403"/>
  <c r="BI403"/>
  <c r="BJ403"/>
  <c r="BK403"/>
  <c r="BL403"/>
  <c r="BM403"/>
  <c r="BN403"/>
  <c r="G407"/>
  <c r="H407"/>
  <c r="I407"/>
  <c r="J407"/>
  <c r="K407"/>
  <c r="L407"/>
  <c r="N407"/>
  <c r="P407"/>
  <c r="Q407"/>
  <c r="R407"/>
  <c r="S407"/>
  <c r="T407"/>
  <c r="U407"/>
  <c r="W407"/>
  <c r="Y407"/>
  <c r="Z407"/>
  <c r="AA407"/>
  <c r="AB407"/>
  <c r="AC407"/>
  <c r="AD407"/>
  <c r="AF407"/>
  <c r="AH407"/>
  <c r="AI407"/>
  <c r="AJ407"/>
  <c r="AK407"/>
  <c r="AL407"/>
  <c r="AM407"/>
  <c r="AO407"/>
  <c r="AQ407"/>
  <c r="AR407"/>
  <c r="AS407"/>
  <c r="AT407"/>
  <c r="AU407"/>
  <c r="AV407"/>
  <c r="AX407"/>
  <c r="AZ407"/>
  <c r="BA407"/>
  <c r="BB407"/>
  <c r="BC407"/>
  <c r="BD407"/>
  <c r="BE407"/>
  <c r="BG407"/>
  <c r="BI407"/>
  <c r="BJ407"/>
  <c r="BK407"/>
  <c r="BL407"/>
  <c r="BM407"/>
  <c r="BN407"/>
  <c r="BP407"/>
  <c r="G409"/>
  <c r="H409"/>
  <c r="I409"/>
  <c r="J409"/>
  <c r="K409"/>
  <c r="L409"/>
  <c r="M409"/>
  <c r="N409"/>
  <c r="P409"/>
  <c r="Q409"/>
  <c r="R409"/>
  <c r="S409"/>
  <c r="T409"/>
  <c r="U409"/>
  <c r="W409"/>
  <c r="Y409"/>
  <c r="Z409"/>
  <c r="AA409"/>
  <c r="AB409"/>
  <c r="AC409"/>
  <c r="AD409"/>
  <c r="AF409"/>
  <c r="AH409"/>
  <c r="AI409"/>
  <c r="AJ409"/>
  <c r="AK409"/>
  <c r="AL409"/>
  <c r="AM409"/>
  <c r="AO409"/>
  <c r="AQ409"/>
  <c r="AR409"/>
  <c r="AS409"/>
  <c r="AT409"/>
  <c r="AU409"/>
  <c r="AV409"/>
  <c r="AX409"/>
  <c r="AZ409"/>
  <c r="BA409"/>
  <c r="BB409"/>
  <c r="BC409"/>
  <c r="BD409"/>
  <c r="BE409"/>
  <c r="BG409"/>
  <c r="BI409"/>
  <c r="BJ409"/>
  <c r="BK409"/>
  <c r="BL409"/>
  <c r="BM409"/>
  <c r="BN409"/>
  <c r="BO409"/>
  <c r="BP409"/>
  <c r="AQ411"/>
  <c r="AR411"/>
  <c r="AS411"/>
  <c r="AT411"/>
  <c r="AU411"/>
  <c r="AV411"/>
  <c r="AX411"/>
  <c r="G413"/>
  <c r="H413"/>
  <c r="I413"/>
  <c r="J413"/>
  <c r="K413"/>
  <c r="L413"/>
  <c r="M413"/>
  <c r="N413"/>
  <c r="P413"/>
  <c r="Q413"/>
  <c r="R413"/>
  <c r="S413"/>
  <c r="T413"/>
  <c r="U413"/>
  <c r="W413"/>
  <c r="Y413"/>
  <c r="Z413"/>
  <c r="AA413"/>
  <c r="AB413"/>
  <c r="AC413"/>
  <c r="AD413"/>
  <c r="AF413"/>
  <c r="AH413"/>
  <c r="AI413"/>
  <c r="AJ413"/>
  <c r="AK413"/>
  <c r="AL413"/>
  <c r="AM413"/>
  <c r="AO413"/>
  <c r="AQ413"/>
  <c r="AR413"/>
  <c r="AS413"/>
  <c r="AT413"/>
  <c r="AU413"/>
  <c r="AV413"/>
  <c r="AX413"/>
  <c r="AZ413"/>
  <c r="BA413"/>
  <c r="BB413"/>
  <c r="BC413"/>
  <c r="BD413"/>
  <c r="BE413"/>
  <c r="BG413"/>
  <c r="BI413"/>
  <c r="BJ413"/>
  <c r="BK413"/>
  <c r="BL413"/>
  <c r="BM413"/>
  <c r="BN413"/>
  <c r="BO413"/>
  <c r="BP413"/>
  <c r="G414"/>
  <c r="H414"/>
  <c r="I414"/>
  <c r="J414"/>
  <c r="K414"/>
  <c r="L414"/>
  <c r="M414"/>
  <c r="N414"/>
  <c r="P414"/>
  <c r="Q414"/>
  <c r="R414"/>
  <c r="S414"/>
  <c r="T414"/>
  <c r="U414"/>
  <c r="W414"/>
  <c r="Y414"/>
  <c r="Z414"/>
  <c r="AA414"/>
  <c r="AB414"/>
  <c r="AC414"/>
  <c r="AD414"/>
  <c r="AF414"/>
  <c r="AH414"/>
  <c r="AI414"/>
  <c r="AJ414"/>
  <c r="AK414"/>
  <c r="AL414"/>
  <c r="AM414"/>
  <c r="AO414"/>
  <c r="AQ414"/>
  <c r="AR414"/>
  <c r="AS414"/>
  <c r="AT414"/>
  <c r="AU414"/>
  <c r="AV414"/>
  <c r="AX414"/>
  <c r="AZ414"/>
  <c r="BA414"/>
  <c r="BB414"/>
  <c r="BC414"/>
  <c r="BD414"/>
  <c r="BE414"/>
  <c r="BG414"/>
  <c r="BI414"/>
  <c r="BJ414"/>
  <c r="BK414"/>
  <c r="BL414"/>
  <c r="BM414"/>
  <c r="BN414"/>
  <c r="BP414"/>
  <c r="P418"/>
  <c r="Q418"/>
  <c r="R418"/>
  <c r="S418"/>
  <c r="T418"/>
  <c r="U418"/>
  <c r="V418"/>
  <c r="W418"/>
  <c r="Y418"/>
  <c r="Z418"/>
  <c r="AA418"/>
  <c r="AB418"/>
  <c r="AC418"/>
  <c r="AD418"/>
  <c r="AE418"/>
  <c r="AF418"/>
  <c r="P419"/>
  <c r="Q419"/>
  <c r="R419"/>
  <c r="S419"/>
  <c r="T419"/>
  <c r="U419"/>
  <c r="V419"/>
  <c r="W419"/>
  <c r="Y419"/>
  <c r="Z419"/>
  <c r="AA419"/>
  <c r="AB419"/>
  <c r="AC419"/>
  <c r="AD419"/>
  <c r="AE419"/>
  <c r="AF419"/>
  <c r="AQ419"/>
  <c r="AR419"/>
  <c r="AS419"/>
  <c r="AT419"/>
  <c r="AU419"/>
  <c r="AV419"/>
  <c r="AX419"/>
  <c r="P420"/>
  <c r="Q420"/>
  <c r="R420"/>
  <c r="S420"/>
  <c r="T420"/>
  <c r="U420"/>
  <c r="V420"/>
  <c r="W420"/>
  <c r="Y420"/>
  <c r="Z420"/>
  <c r="AA420"/>
  <c r="AB420"/>
  <c r="AC420"/>
  <c r="AD420"/>
  <c r="AE420"/>
  <c r="AF420"/>
  <c r="P421"/>
  <c r="Q421"/>
  <c r="R421"/>
  <c r="S421"/>
  <c r="T421"/>
  <c r="U421"/>
  <c r="V421"/>
  <c r="W421"/>
  <c r="Y421"/>
  <c r="Z421"/>
  <c r="AA421"/>
  <c r="AB421"/>
  <c r="AC421"/>
  <c r="AD421"/>
  <c r="AE421"/>
  <c r="AF421"/>
  <c r="G422"/>
  <c r="H422"/>
  <c r="I422"/>
  <c r="J422"/>
  <c r="K422"/>
  <c r="L422"/>
  <c r="M422"/>
  <c r="N422"/>
  <c r="P422"/>
  <c r="Q422"/>
  <c r="R422"/>
  <c r="S422"/>
  <c r="T422"/>
  <c r="U422"/>
  <c r="V422"/>
  <c r="W422"/>
  <c r="Y422"/>
  <c r="Z422"/>
  <c r="AA422"/>
  <c r="AB422"/>
  <c r="AC422"/>
  <c r="AD422"/>
  <c r="AE422"/>
  <c r="AF422"/>
  <c r="AH422"/>
  <c r="AI422"/>
  <c r="AJ422"/>
  <c r="AK422"/>
  <c r="AL422"/>
  <c r="AM422"/>
  <c r="AO422"/>
  <c r="AQ422"/>
  <c r="AR422"/>
  <c r="AS422"/>
  <c r="AT422"/>
  <c r="AU422"/>
  <c r="AV422"/>
  <c r="AX422"/>
  <c r="AZ422"/>
  <c r="BA422"/>
  <c r="BB422"/>
  <c r="BC422"/>
  <c r="BD422"/>
  <c r="BE422"/>
  <c r="BG422"/>
  <c r="BI422"/>
  <c r="BJ422"/>
  <c r="BK422"/>
  <c r="BL422"/>
  <c r="BM422"/>
  <c r="BN422"/>
  <c r="BP422"/>
  <c r="G425"/>
  <c r="H425"/>
  <c r="I425"/>
  <c r="J425"/>
  <c r="K425"/>
  <c r="L425"/>
  <c r="N425"/>
  <c r="P425"/>
  <c r="Q425"/>
  <c r="R425"/>
  <c r="S425"/>
  <c r="T425"/>
  <c r="U425"/>
  <c r="W425"/>
  <c r="Y425"/>
  <c r="Z425"/>
  <c r="AA425"/>
  <c r="AB425"/>
  <c r="AC425"/>
  <c r="AD425"/>
  <c r="AF425"/>
  <c r="AH425"/>
  <c r="AI425"/>
  <c r="AJ425"/>
  <c r="AK425"/>
  <c r="AL425"/>
  <c r="AM425"/>
  <c r="AO425"/>
  <c r="AQ425"/>
  <c r="AR425"/>
  <c r="AS425"/>
  <c r="AT425"/>
  <c r="AU425"/>
  <c r="AV425"/>
  <c r="AX425"/>
  <c r="AZ425"/>
  <c r="BA425"/>
  <c r="BB425"/>
  <c r="BC425"/>
  <c r="BD425"/>
  <c r="BE425"/>
  <c r="BG425"/>
  <c r="BI425"/>
  <c r="BJ425"/>
  <c r="BK425"/>
  <c r="BL425"/>
  <c r="BM425"/>
  <c r="BN425"/>
  <c r="BP425"/>
  <c r="G427"/>
  <c r="H427"/>
  <c r="I427"/>
  <c r="J427"/>
  <c r="K427"/>
  <c r="L427"/>
  <c r="P427"/>
  <c r="Q427"/>
  <c r="R427"/>
  <c r="S427"/>
  <c r="T427"/>
  <c r="U427"/>
  <c r="Y427"/>
  <c r="Z427"/>
  <c r="AA427"/>
  <c r="AB427"/>
  <c r="AC427"/>
  <c r="AD427"/>
  <c r="AH427"/>
  <c r="AI427"/>
  <c r="AJ427"/>
  <c r="AK427"/>
  <c r="AL427"/>
  <c r="AM427"/>
  <c r="AQ427"/>
  <c r="AR427"/>
  <c r="AS427"/>
  <c r="AT427"/>
  <c r="AU427"/>
  <c r="AV427"/>
  <c r="AZ427"/>
  <c r="BA427"/>
  <c r="BB427"/>
  <c r="BC427"/>
  <c r="BD427"/>
  <c r="BE427"/>
  <c r="BI427"/>
  <c r="BJ427"/>
  <c r="BK427"/>
  <c r="BL427"/>
  <c r="BM427"/>
  <c r="BN427"/>
  <c r="P431"/>
  <c r="Q431"/>
  <c r="R431"/>
  <c r="S431"/>
  <c r="T431"/>
  <c r="U431"/>
  <c r="W431"/>
  <c r="Y431"/>
  <c r="Z431"/>
  <c r="AA431"/>
  <c r="AB431"/>
  <c r="AC431"/>
  <c r="AD431"/>
  <c r="AF431"/>
  <c r="AH431"/>
  <c r="AI431"/>
  <c r="AJ431"/>
  <c r="AK431"/>
  <c r="AL431"/>
  <c r="AM431"/>
  <c r="AO431"/>
  <c r="AQ431"/>
  <c r="AR431"/>
  <c r="AS431"/>
  <c r="AT431"/>
  <c r="AU431"/>
  <c r="AV431"/>
  <c r="AX431"/>
  <c r="AZ431"/>
  <c r="BA431"/>
  <c r="BB431"/>
  <c r="BC431"/>
  <c r="BD431"/>
  <c r="BE431"/>
  <c r="BG431"/>
  <c r="BI431"/>
  <c r="BJ431"/>
  <c r="BK431"/>
  <c r="BL431"/>
  <c r="BM431"/>
  <c r="BN431"/>
  <c r="BP431"/>
  <c r="P432"/>
  <c r="Q432"/>
  <c r="R432"/>
  <c r="S432"/>
  <c r="T432"/>
  <c r="U432"/>
  <c r="W432"/>
  <c r="Y432"/>
  <c r="Z432"/>
  <c r="AA432"/>
  <c r="AB432"/>
  <c r="AC432"/>
  <c r="AD432"/>
  <c r="AF432"/>
  <c r="AH432"/>
  <c r="AI432"/>
  <c r="AJ432"/>
  <c r="AK432"/>
  <c r="AL432"/>
  <c r="AM432"/>
  <c r="AO432"/>
  <c r="AZ432"/>
  <c r="BA432"/>
  <c r="BB432"/>
  <c r="BC432"/>
  <c r="BD432"/>
  <c r="BE432"/>
  <c r="BG432"/>
  <c r="BI432"/>
  <c r="BJ432"/>
  <c r="BK432"/>
  <c r="BL432"/>
  <c r="BM432"/>
  <c r="BN432"/>
  <c r="BP432"/>
  <c r="P433"/>
  <c r="Q433"/>
  <c r="R433"/>
  <c r="S433"/>
  <c r="T433"/>
  <c r="U433"/>
  <c r="W433"/>
  <c r="Y433"/>
  <c r="Z433"/>
  <c r="AA433"/>
  <c r="AB433"/>
  <c r="AC433"/>
  <c r="AD433"/>
  <c r="AF433"/>
  <c r="AH433"/>
  <c r="AI433"/>
  <c r="AJ433"/>
  <c r="AK433"/>
  <c r="AL433"/>
  <c r="AM433"/>
  <c r="AO433"/>
  <c r="AQ433"/>
  <c r="AR433"/>
  <c r="AS433"/>
  <c r="AT433"/>
  <c r="AU433"/>
  <c r="AV433"/>
  <c r="AX433"/>
  <c r="AZ433"/>
  <c r="BA433"/>
  <c r="BB433"/>
  <c r="BC433"/>
  <c r="BD433"/>
  <c r="BE433"/>
  <c r="BG433"/>
  <c r="BI433"/>
  <c r="BJ433"/>
  <c r="BK433"/>
  <c r="BL433"/>
  <c r="BM433"/>
  <c r="BN433"/>
  <c r="BP433"/>
  <c r="P434"/>
  <c r="Q434"/>
  <c r="R434"/>
  <c r="S434"/>
  <c r="T434"/>
  <c r="U434"/>
  <c r="W434"/>
  <c r="Y434"/>
  <c r="Z434"/>
  <c r="AA434"/>
  <c r="AB434"/>
  <c r="AC434"/>
  <c r="AD434"/>
  <c r="AF434"/>
  <c r="AH434"/>
  <c r="AI434"/>
  <c r="AJ434"/>
  <c r="AK434"/>
  <c r="AL434"/>
  <c r="AM434"/>
  <c r="AO434"/>
  <c r="AZ434"/>
  <c r="BA434"/>
  <c r="BB434"/>
  <c r="BC434"/>
  <c r="BD434"/>
  <c r="BE434"/>
  <c r="BG434"/>
  <c r="BI434"/>
  <c r="BJ434"/>
  <c r="BK434"/>
  <c r="BL434"/>
  <c r="BM434"/>
  <c r="BN434"/>
  <c r="BP434"/>
  <c r="P435"/>
  <c r="Q435"/>
  <c r="R435"/>
  <c r="S435"/>
  <c r="T435"/>
  <c r="U435"/>
  <c r="W435"/>
  <c r="Y435"/>
  <c r="Z435"/>
  <c r="AA435"/>
  <c r="AB435"/>
  <c r="AC435"/>
  <c r="AD435"/>
  <c r="AF435"/>
  <c r="AH435"/>
  <c r="AI435"/>
  <c r="AJ435"/>
  <c r="AK435"/>
  <c r="AL435"/>
  <c r="AM435"/>
  <c r="AO435"/>
  <c r="AQ435"/>
  <c r="AR435"/>
  <c r="AS435"/>
  <c r="AT435"/>
  <c r="AU435"/>
  <c r="AV435"/>
  <c r="AX435"/>
  <c r="AZ435"/>
  <c r="BA435"/>
  <c r="BB435"/>
  <c r="BC435"/>
  <c r="BD435"/>
  <c r="BE435"/>
  <c r="BG435"/>
  <c r="BI435"/>
  <c r="BJ435"/>
  <c r="BK435"/>
  <c r="BL435"/>
  <c r="BM435"/>
  <c r="BN435"/>
  <c r="BP435"/>
  <c r="P436"/>
  <c r="Q436"/>
  <c r="R436"/>
  <c r="S436"/>
  <c r="T436"/>
  <c r="U436"/>
  <c r="W436"/>
  <c r="Y436"/>
  <c r="Z436"/>
  <c r="AA436"/>
  <c r="AB436"/>
  <c r="AC436"/>
  <c r="AD436"/>
  <c r="AF436"/>
  <c r="AH436"/>
  <c r="AI436"/>
  <c r="AJ436"/>
  <c r="AK436"/>
  <c r="AL436"/>
  <c r="AM436"/>
  <c r="AO436"/>
  <c r="AQ436"/>
  <c r="AR436"/>
  <c r="AS436"/>
  <c r="AT436"/>
  <c r="AU436"/>
  <c r="AV436"/>
  <c r="AX436"/>
  <c r="AZ436"/>
  <c r="BA436"/>
  <c r="BB436"/>
  <c r="BC436"/>
  <c r="BD436"/>
  <c r="BE436"/>
  <c r="BG436"/>
  <c r="BI436"/>
  <c r="BJ436"/>
  <c r="BK436"/>
  <c r="BL436"/>
  <c r="BM436"/>
  <c r="BN436"/>
  <c r="BP436"/>
  <c r="P440"/>
  <c r="Q440"/>
  <c r="R440"/>
  <c r="S440"/>
  <c r="T440"/>
  <c r="U440"/>
  <c r="Y440"/>
  <c r="Z440"/>
  <c r="AA440"/>
  <c r="AB440"/>
  <c r="AC440"/>
  <c r="AD440"/>
  <c r="AH440"/>
  <c r="AI440"/>
  <c r="AJ440"/>
  <c r="AK440"/>
  <c r="AL440"/>
  <c r="AM440"/>
  <c r="AQ440"/>
  <c r="AR440"/>
  <c r="AS440"/>
  <c r="AT440"/>
  <c r="AU440"/>
  <c r="AV440"/>
  <c r="AZ440"/>
  <c r="BA440"/>
  <c r="BB440"/>
  <c r="BC440"/>
  <c r="BD440"/>
  <c r="BE440"/>
  <c r="BI440"/>
  <c r="BJ440"/>
  <c r="BK440"/>
  <c r="BL440"/>
  <c r="BM440"/>
  <c r="BN440"/>
  <c r="P442"/>
  <c r="Q442"/>
  <c r="R442"/>
  <c r="S442"/>
  <c r="T442"/>
  <c r="U442"/>
  <c r="Y442"/>
  <c r="Z442"/>
  <c r="AA442"/>
  <c r="AB442"/>
  <c r="AC442"/>
  <c r="AD442"/>
  <c r="AH442"/>
  <c r="AI442"/>
  <c r="AJ442"/>
  <c r="AK442"/>
  <c r="AL442"/>
  <c r="AM442"/>
  <c r="AQ442"/>
  <c r="AR442"/>
  <c r="AS442"/>
  <c r="AT442"/>
  <c r="AU442"/>
  <c r="AV442"/>
  <c r="AZ442"/>
  <c r="BA442"/>
  <c r="BB442"/>
  <c r="BC442"/>
  <c r="BD442"/>
  <c r="BE442"/>
  <c r="BI442"/>
  <c r="BJ442"/>
  <c r="BK442"/>
  <c r="BL442"/>
  <c r="BM442"/>
  <c r="BN442"/>
  <c r="G444"/>
  <c r="H444"/>
  <c r="I444"/>
  <c r="J444"/>
  <c r="K444"/>
  <c r="L444"/>
  <c r="P444"/>
  <c r="Q444"/>
  <c r="R444"/>
  <c r="S444"/>
  <c r="T444"/>
  <c r="U444"/>
  <c r="Y444"/>
  <c r="Z444"/>
  <c r="AA444"/>
  <c r="AB444"/>
  <c r="AC444"/>
  <c r="AD444"/>
  <c r="AH444"/>
  <c r="AI444"/>
  <c r="AJ444"/>
  <c r="AK444"/>
  <c r="AL444"/>
  <c r="AM444"/>
  <c r="AQ444"/>
  <c r="AR444"/>
  <c r="AS444"/>
  <c r="AT444"/>
  <c r="AU444"/>
  <c r="AV444"/>
  <c r="AZ444"/>
  <c r="BA444"/>
  <c r="BB444"/>
  <c r="BC444"/>
  <c r="BD444"/>
  <c r="BE444"/>
  <c r="BI444"/>
  <c r="BJ444"/>
  <c r="BK444"/>
  <c r="BL444"/>
  <c r="BM444"/>
  <c r="BN444"/>
  <c r="G456"/>
  <c r="H456"/>
  <c r="I456"/>
  <c r="J456"/>
  <c r="K456"/>
  <c r="L456"/>
  <c r="N456"/>
  <c r="P456"/>
  <c r="Q456"/>
  <c r="R456"/>
  <c r="S456"/>
  <c r="T456"/>
  <c r="U456"/>
  <c r="W456"/>
  <c r="Y456"/>
  <c r="Z456"/>
  <c r="AA456"/>
  <c r="AB456"/>
  <c r="AC456"/>
  <c r="AD456"/>
  <c r="AF456"/>
  <c r="AH456"/>
  <c r="AI456"/>
  <c r="AJ456"/>
  <c r="AK456"/>
  <c r="AL456"/>
  <c r="AM456"/>
  <c r="AO456"/>
  <c r="AQ456"/>
  <c r="AR456"/>
  <c r="AS456"/>
  <c r="AT456"/>
  <c r="AU456"/>
  <c r="AV456"/>
  <c r="AX456"/>
  <c r="AZ456"/>
  <c r="BA456"/>
  <c r="BB456"/>
  <c r="BC456"/>
  <c r="BD456"/>
  <c r="BE456"/>
  <c r="BG456"/>
  <c r="BI456"/>
  <c r="BJ456"/>
  <c r="BK456"/>
  <c r="BL456"/>
  <c r="BM456"/>
  <c r="BN456"/>
  <c r="BP456"/>
  <c r="G458"/>
  <c r="H458"/>
  <c r="I458"/>
  <c r="J458"/>
  <c r="K458"/>
  <c r="L458"/>
  <c r="N458"/>
  <c r="P458"/>
  <c r="Q458"/>
  <c r="R458"/>
  <c r="S458"/>
  <c r="T458"/>
  <c r="U458"/>
  <c r="W458"/>
  <c r="Y458"/>
  <c r="Z458"/>
  <c r="AA458"/>
  <c r="AB458"/>
  <c r="AC458"/>
  <c r="AD458"/>
  <c r="AF458"/>
  <c r="AH458"/>
  <c r="AI458"/>
  <c r="AJ458"/>
  <c r="AK458"/>
  <c r="AL458"/>
  <c r="AM458"/>
  <c r="AO458"/>
  <c r="AQ458"/>
  <c r="AR458"/>
  <c r="AS458"/>
  <c r="AT458"/>
  <c r="AU458"/>
  <c r="AV458"/>
  <c r="AX458"/>
  <c r="AZ458"/>
  <c r="BA458"/>
  <c r="BB458"/>
  <c r="BC458"/>
  <c r="BD458"/>
  <c r="BE458"/>
  <c r="BG458"/>
  <c r="BI458"/>
  <c r="BJ458"/>
  <c r="BK458"/>
  <c r="BL458"/>
  <c r="BM458"/>
  <c r="BN458"/>
  <c r="BP458"/>
  <c r="G460"/>
  <c r="H460"/>
  <c r="I460"/>
  <c r="J460"/>
  <c r="K460"/>
  <c r="L460"/>
  <c r="N460"/>
  <c r="P460"/>
  <c r="Q460"/>
  <c r="R460"/>
  <c r="S460"/>
  <c r="T460"/>
  <c r="U460"/>
  <c r="W460"/>
  <c r="Y460"/>
  <c r="Z460"/>
  <c r="AA460"/>
  <c r="AB460"/>
  <c r="AC460"/>
  <c r="AD460"/>
  <c r="AF460"/>
  <c r="AH460"/>
  <c r="AI460"/>
  <c r="AJ460"/>
  <c r="AK460"/>
  <c r="AL460"/>
  <c r="AM460"/>
  <c r="AO460"/>
  <c r="AQ460"/>
  <c r="AR460"/>
  <c r="AS460"/>
  <c r="AT460"/>
  <c r="AU460"/>
  <c r="AV460"/>
  <c r="AX460"/>
  <c r="AZ460"/>
  <c r="BA460"/>
  <c r="BB460"/>
  <c r="BC460"/>
  <c r="BD460"/>
  <c r="BE460"/>
  <c r="BG460"/>
  <c r="BI460"/>
  <c r="BJ460"/>
  <c r="BK460"/>
  <c r="BL460"/>
  <c r="BM460"/>
  <c r="BN460"/>
  <c r="BP460"/>
  <c r="G463"/>
  <c r="H463"/>
  <c r="I463"/>
  <c r="J463"/>
  <c r="K463"/>
  <c r="L463"/>
  <c r="N463"/>
  <c r="P463"/>
  <c r="Q463"/>
  <c r="R463"/>
  <c r="S463"/>
  <c r="T463"/>
  <c r="U463"/>
  <c r="W463"/>
  <c r="Y463"/>
  <c r="Z463"/>
  <c r="AA463"/>
  <c r="AB463"/>
  <c r="AC463"/>
  <c r="AD463"/>
  <c r="AF463"/>
  <c r="AH463"/>
  <c r="AI463"/>
  <c r="AJ463"/>
  <c r="AK463"/>
  <c r="AL463"/>
  <c r="AM463"/>
  <c r="AO463"/>
  <c r="AQ463"/>
  <c r="AR463"/>
  <c r="AS463"/>
  <c r="AT463"/>
  <c r="AU463"/>
  <c r="AV463"/>
  <c r="AX463"/>
  <c r="AZ463"/>
  <c r="BA463"/>
  <c r="BB463"/>
  <c r="BC463"/>
  <c r="BD463"/>
  <c r="BE463"/>
  <c r="BG463"/>
  <c r="BI463"/>
  <c r="BJ463"/>
  <c r="BK463"/>
  <c r="BL463"/>
  <c r="BM463"/>
  <c r="BN463"/>
  <c r="BP463"/>
  <c r="P465"/>
  <c r="Q465"/>
  <c r="R465"/>
  <c r="S465"/>
  <c r="T465"/>
  <c r="U465"/>
  <c r="W465"/>
  <c r="Y465"/>
  <c r="Z465"/>
  <c r="AA465"/>
  <c r="AB465"/>
  <c r="AC465"/>
  <c r="AD465"/>
  <c r="AF465"/>
  <c r="AH465"/>
  <c r="AI465"/>
  <c r="AJ465"/>
  <c r="AK465"/>
  <c r="AL465"/>
  <c r="AM465"/>
  <c r="AO465"/>
  <c r="AQ465"/>
  <c r="AR465"/>
  <c r="AS465"/>
  <c r="AT465"/>
  <c r="AU465"/>
  <c r="AV465"/>
  <c r="AX465"/>
  <c r="AZ465"/>
  <c r="BA465"/>
  <c r="BB465"/>
  <c r="BC465"/>
  <c r="BD465"/>
  <c r="BE465"/>
  <c r="BG465"/>
  <c r="BI465"/>
  <c r="BJ465"/>
  <c r="BK465"/>
  <c r="BL465"/>
  <c r="BM465"/>
  <c r="BN465"/>
  <c r="BP465"/>
  <c r="G467"/>
  <c r="H467"/>
  <c r="I467"/>
  <c r="J467"/>
  <c r="K467"/>
  <c r="L467"/>
  <c r="N467"/>
  <c r="P467"/>
  <c r="Q467"/>
  <c r="R467"/>
  <c r="S467"/>
  <c r="T467"/>
  <c r="U467"/>
  <c r="W467"/>
  <c r="Y467"/>
  <c r="Z467"/>
  <c r="AA467"/>
  <c r="AB467"/>
  <c r="AC467"/>
  <c r="AD467"/>
  <c r="AF467"/>
  <c r="AH467"/>
  <c r="AI467"/>
  <c r="AJ467"/>
  <c r="AK467"/>
  <c r="AL467"/>
  <c r="AM467"/>
  <c r="AO467"/>
  <c r="AQ467"/>
  <c r="AR467"/>
  <c r="AS467"/>
  <c r="AT467"/>
  <c r="AU467"/>
  <c r="AV467"/>
  <c r="AX467"/>
  <c r="AZ467"/>
  <c r="BA467"/>
  <c r="BB467"/>
  <c r="BC467"/>
  <c r="BD467"/>
  <c r="BE467"/>
  <c r="BG467"/>
  <c r="BI467"/>
  <c r="BJ467"/>
  <c r="BK467"/>
  <c r="BL467"/>
  <c r="BM467"/>
  <c r="BN467"/>
  <c r="BP467"/>
  <c r="G472"/>
  <c r="H472"/>
  <c r="I472"/>
  <c r="J472"/>
  <c r="K472"/>
  <c r="L472"/>
  <c r="N472"/>
  <c r="P472"/>
  <c r="Q472"/>
  <c r="R472"/>
  <c r="S472"/>
  <c r="T472"/>
  <c r="U472"/>
  <c r="W472"/>
  <c r="Y472"/>
  <c r="Z472"/>
  <c r="AA472"/>
  <c r="AB472"/>
  <c r="AC472"/>
  <c r="AD472"/>
  <c r="AF472"/>
  <c r="AH472"/>
  <c r="AI472"/>
  <c r="AJ472"/>
  <c r="AK472"/>
  <c r="AL472"/>
  <c r="AM472"/>
  <c r="AO472"/>
  <c r="AZ472"/>
  <c r="BA472"/>
  <c r="BB472"/>
  <c r="BC472"/>
  <c r="BD472"/>
  <c r="BE472"/>
  <c r="BG472"/>
  <c r="BI472"/>
  <c r="BJ472"/>
  <c r="BK472"/>
  <c r="BL472"/>
  <c r="BM472"/>
  <c r="BN472"/>
  <c r="BP472"/>
  <c r="G473"/>
  <c r="H473"/>
  <c r="I473"/>
  <c r="J473"/>
  <c r="K473"/>
  <c r="L473"/>
  <c r="N473"/>
  <c r="P473"/>
  <c r="Q473"/>
  <c r="R473"/>
  <c r="S473"/>
  <c r="T473"/>
  <c r="U473"/>
  <c r="W473"/>
  <c r="Y473"/>
  <c r="Z473"/>
  <c r="AA473"/>
  <c r="AB473"/>
  <c r="AC473"/>
  <c r="AD473"/>
  <c r="AF473"/>
  <c r="AH473"/>
  <c r="AI473"/>
  <c r="AJ473"/>
  <c r="AK473"/>
  <c r="AL473"/>
  <c r="AM473"/>
  <c r="AO473"/>
  <c r="AZ473"/>
  <c r="BA473"/>
  <c r="BB473"/>
  <c r="BC473"/>
  <c r="BD473"/>
  <c r="BE473"/>
  <c r="BG473"/>
  <c r="BI473"/>
  <c r="BJ473"/>
  <c r="BK473"/>
  <c r="BL473"/>
  <c r="BM473"/>
  <c r="BN473"/>
  <c r="BP473"/>
  <c r="G475"/>
  <c r="H475"/>
  <c r="I475"/>
  <c r="J475"/>
  <c r="K475"/>
  <c r="L475"/>
  <c r="N475"/>
  <c r="P475"/>
  <c r="Q475"/>
  <c r="R475"/>
  <c r="S475"/>
  <c r="T475"/>
  <c r="U475"/>
  <c r="W475"/>
  <c r="Y475"/>
  <c r="Z475"/>
  <c r="AA475"/>
  <c r="AB475"/>
  <c r="AC475"/>
  <c r="AD475"/>
  <c r="AF475"/>
  <c r="AH475"/>
  <c r="AI475"/>
  <c r="AJ475"/>
  <c r="AK475"/>
  <c r="AL475"/>
  <c r="AM475"/>
  <c r="AO475"/>
  <c r="AQ475"/>
  <c r="AR475"/>
  <c r="AS475"/>
  <c r="AT475"/>
  <c r="AU475"/>
  <c r="AV475"/>
  <c r="AX475"/>
  <c r="AZ475"/>
  <c r="BA475"/>
  <c r="BB475"/>
  <c r="BC475"/>
  <c r="BD475"/>
  <c r="BE475"/>
  <c r="BG475"/>
  <c r="BI475"/>
  <c r="BJ475"/>
  <c r="BK475"/>
  <c r="BL475"/>
  <c r="BM475"/>
  <c r="BN475"/>
  <c r="BP475"/>
  <c r="G476"/>
  <c r="H476"/>
  <c r="I476"/>
  <c r="J476"/>
  <c r="K476"/>
  <c r="L476"/>
  <c r="N476"/>
  <c r="P476"/>
  <c r="Q476"/>
  <c r="R476"/>
  <c r="S476"/>
  <c r="T476"/>
  <c r="U476"/>
  <c r="W476"/>
  <c r="Y476"/>
  <c r="Z476"/>
  <c r="AA476"/>
  <c r="AB476"/>
  <c r="AC476"/>
  <c r="AD476"/>
  <c r="AF476"/>
  <c r="AH476"/>
  <c r="AI476"/>
  <c r="AJ476"/>
  <c r="AK476"/>
  <c r="AL476"/>
  <c r="AM476"/>
  <c r="AO476"/>
  <c r="AQ476"/>
  <c r="AR476"/>
  <c r="AS476"/>
  <c r="AT476"/>
  <c r="AU476"/>
  <c r="AV476"/>
  <c r="AX476"/>
  <c r="AZ476"/>
  <c r="BA476"/>
  <c r="BB476"/>
  <c r="BC476"/>
  <c r="BD476"/>
  <c r="BE476"/>
  <c r="BG476"/>
  <c r="BI476"/>
  <c r="BJ476"/>
  <c r="BK476"/>
  <c r="BL476"/>
  <c r="BM476"/>
  <c r="BN476"/>
  <c r="BP476"/>
  <c r="G478"/>
  <c r="H478"/>
  <c r="I478"/>
  <c r="J478"/>
  <c r="K478"/>
  <c r="L478"/>
  <c r="G481"/>
  <c r="H481"/>
  <c r="I481"/>
  <c r="J481"/>
  <c r="K481"/>
  <c r="L481"/>
  <c r="P481"/>
  <c r="Q481"/>
  <c r="R481"/>
  <c r="S481"/>
  <c r="T481"/>
  <c r="U481"/>
  <c r="Y481"/>
  <c r="Z481"/>
  <c r="AA481"/>
  <c r="AB481"/>
  <c r="AC481"/>
  <c r="AD481"/>
  <c r="AH481"/>
  <c r="AI481"/>
  <c r="AJ481"/>
  <c r="AK481"/>
  <c r="AL481"/>
  <c r="AM481"/>
  <c r="AQ481"/>
  <c r="AR481"/>
  <c r="AS481"/>
  <c r="AT481"/>
  <c r="AU481"/>
  <c r="AV481"/>
  <c r="AZ481"/>
  <c r="BA481"/>
  <c r="BB481"/>
  <c r="BC481"/>
  <c r="BD481"/>
  <c r="BE481"/>
  <c r="BI481"/>
  <c r="BJ481"/>
  <c r="BK481"/>
  <c r="BL481"/>
  <c r="BM481"/>
  <c r="BN481"/>
  <c r="G482"/>
  <c r="H482"/>
  <c r="I482"/>
  <c r="J482"/>
  <c r="K482"/>
  <c r="L482"/>
  <c r="P482"/>
  <c r="Q482"/>
  <c r="R482"/>
  <c r="S482"/>
  <c r="T482"/>
  <c r="U482"/>
  <c r="Y482"/>
  <c r="Z482"/>
  <c r="AA482"/>
  <c r="AB482"/>
  <c r="AC482"/>
  <c r="AD482"/>
  <c r="AH482"/>
  <c r="AI482"/>
  <c r="AJ482"/>
  <c r="AK482"/>
  <c r="AL482"/>
  <c r="AM482"/>
  <c r="AQ482"/>
  <c r="AR482"/>
  <c r="AS482"/>
  <c r="AT482"/>
  <c r="AU482"/>
  <c r="AV482"/>
  <c r="AZ482"/>
  <c r="BA482"/>
  <c r="BB482"/>
  <c r="BC482"/>
  <c r="BD482"/>
  <c r="BE482"/>
  <c r="BI482"/>
  <c r="BJ482"/>
  <c r="BK482"/>
  <c r="BL482"/>
  <c r="BM482"/>
  <c r="BN482"/>
  <c r="P485"/>
  <c r="Q485"/>
  <c r="R485"/>
  <c r="S485"/>
  <c r="T485"/>
  <c r="U485"/>
  <c r="W485"/>
  <c r="Y485"/>
  <c r="Z485"/>
  <c r="AA485"/>
  <c r="AB485"/>
  <c r="AC485"/>
  <c r="AD485"/>
  <c r="AF485"/>
  <c r="AH485"/>
  <c r="AI485"/>
  <c r="AJ485"/>
  <c r="AK485"/>
  <c r="AL485"/>
  <c r="AM485"/>
  <c r="AO485"/>
  <c r="AQ485"/>
  <c r="AR485"/>
  <c r="AS485"/>
  <c r="AT485"/>
  <c r="AU485"/>
  <c r="AV485"/>
  <c r="AX485"/>
  <c r="AZ485"/>
  <c r="BA485"/>
  <c r="BB485"/>
  <c r="BC485"/>
  <c r="BD485"/>
  <c r="BE485"/>
  <c r="BG485"/>
  <c r="BI485"/>
  <c r="BJ485"/>
  <c r="BK485"/>
  <c r="BL485"/>
  <c r="BM485"/>
  <c r="BN485"/>
  <c r="BP485"/>
  <c r="P486"/>
  <c r="Q486"/>
  <c r="R486"/>
  <c r="S486"/>
  <c r="T486"/>
  <c r="U486"/>
  <c r="W486"/>
  <c r="Y486"/>
  <c r="Z486"/>
  <c r="AA486"/>
  <c r="AB486"/>
  <c r="AC486"/>
  <c r="AD486"/>
  <c r="AF486"/>
  <c r="AH486"/>
  <c r="AI486"/>
  <c r="AJ486"/>
  <c r="AK486"/>
  <c r="AL486"/>
  <c r="AM486"/>
  <c r="AO486"/>
  <c r="AZ486"/>
  <c r="BA486"/>
  <c r="BB486"/>
  <c r="BC486"/>
  <c r="BD486"/>
  <c r="BE486"/>
  <c r="BG486"/>
  <c r="BI486"/>
  <c r="BJ486"/>
  <c r="BK486"/>
  <c r="BL486"/>
  <c r="BM486"/>
  <c r="BN486"/>
  <c r="BP486"/>
  <c r="P487"/>
  <c r="Q487"/>
  <c r="R487"/>
  <c r="S487"/>
  <c r="T487"/>
  <c r="U487"/>
  <c r="W487"/>
  <c r="Y487"/>
  <c r="Z487"/>
  <c r="AA487"/>
  <c r="AB487"/>
  <c r="AC487"/>
  <c r="AD487"/>
  <c r="AF487"/>
  <c r="AH487"/>
  <c r="AI487"/>
  <c r="AJ487"/>
  <c r="AK487"/>
  <c r="AL487"/>
  <c r="AM487"/>
  <c r="AO487"/>
  <c r="AQ487"/>
  <c r="AR487"/>
  <c r="AS487"/>
  <c r="AT487"/>
  <c r="AU487"/>
  <c r="AV487"/>
  <c r="AX487"/>
  <c r="AZ487"/>
  <c r="BA487"/>
  <c r="BB487"/>
  <c r="BC487"/>
  <c r="BD487"/>
  <c r="BE487"/>
  <c r="BG487"/>
  <c r="BI487"/>
  <c r="BJ487"/>
  <c r="BK487"/>
  <c r="BL487"/>
  <c r="BM487"/>
  <c r="BN487"/>
  <c r="BP487"/>
  <c r="P488"/>
  <c r="Q488"/>
  <c r="R488"/>
  <c r="S488"/>
  <c r="T488"/>
  <c r="U488"/>
  <c r="W488"/>
  <c r="Y488"/>
  <c r="Z488"/>
  <c r="AA488"/>
  <c r="AB488"/>
  <c r="AC488"/>
  <c r="AD488"/>
  <c r="AF488"/>
  <c r="AH488"/>
  <c r="AI488"/>
  <c r="AJ488"/>
  <c r="AK488"/>
  <c r="AL488"/>
  <c r="AM488"/>
  <c r="AO488"/>
  <c r="AZ488"/>
  <c r="BA488"/>
  <c r="BB488"/>
  <c r="BC488"/>
  <c r="BD488"/>
  <c r="BE488"/>
  <c r="BG488"/>
  <c r="BI488"/>
  <c r="BJ488"/>
  <c r="BK488"/>
  <c r="BL488"/>
  <c r="BM488"/>
  <c r="BN488"/>
  <c r="BP488"/>
  <c r="P489"/>
  <c r="Q489"/>
  <c r="R489"/>
  <c r="S489"/>
  <c r="T489"/>
  <c r="U489"/>
  <c r="W489"/>
  <c r="Y489"/>
  <c r="Z489"/>
  <c r="AA489"/>
  <c r="AB489"/>
  <c r="AC489"/>
  <c r="AD489"/>
  <c r="AF489"/>
  <c r="AH489"/>
  <c r="AI489"/>
  <c r="AJ489"/>
  <c r="AK489"/>
  <c r="AL489"/>
  <c r="AM489"/>
  <c r="AO489"/>
  <c r="AQ489"/>
  <c r="AR489"/>
  <c r="AS489"/>
  <c r="AT489"/>
  <c r="AU489"/>
  <c r="AV489"/>
  <c r="AX489"/>
  <c r="AZ489"/>
  <c r="BA489"/>
  <c r="BB489"/>
  <c r="BC489"/>
  <c r="BD489"/>
  <c r="BE489"/>
  <c r="BG489"/>
  <c r="BI489"/>
  <c r="BJ489"/>
  <c r="BK489"/>
  <c r="BL489"/>
  <c r="BM489"/>
  <c r="BN489"/>
  <c r="BP489"/>
  <c r="P491"/>
  <c r="Q491"/>
  <c r="R491"/>
  <c r="S491"/>
  <c r="T491"/>
  <c r="U491"/>
  <c r="W491"/>
  <c r="Y491"/>
  <c r="Z491"/>
  <c r="AA491"/>
  <c r="AB491"/>
  <c r="AC491"/>
  <c r="AD491"/>
  <c r="AF491"/>
  <c r="AH491"/>
  <c r="AI491"/>
  <c r="AJ491"/>
  <c r="AK491"/>
  <c r="AL491"/>
  <c r="AM491"/>
  <c r="AO491"/>
  <c r="AQ491"/>
  <c r="AR491"/>
  <c r="AS491"/>
  <c r="AT491"/>
  <c r="AU491"/>
  <c r="AV491"/>
  <c r="AX491"/>
  <c r="AZ491"/>
  <c r="BA491"/>
  <c r="BB491"/>
  <c r="BC491"/>
  <c r="BD491"/>
  <c r="BE491"/>
  <c r="BG491"/>
  <c r="BI491"/>
  <c r="BJ491"/>
  <c r="BK491"/>
  <c r="BL491"/>
  <c r="BM491"/>
  <c r="BN491"/>
  <c r="BP491"/>
  <c r="P493"/>
  <c r="Q493"/>
  <c r="R493"/>
  <c r="S493"/>
  <c r="T493"/>
  <c r="U493"/>
  <c r="W493"/>
  <c r="Y493"/>
  <c r="Z493"/>
  <c r="AA493"/>
  <c r="AB493"/>
  <c r="AC493"/>
  <c r="AD493"/>
  <c r="AF493"/>
  <c r="AH493"/>
  <c r="AI493"/>
  <c r="AJ493"/>
  <c r="AK493"/>
  <c r="AL493"/>
  <c r="AM493"/>
  <c r="AO493"/>
  <c r="AQ493"/>
  <c r="AR493"/>
  <c r="AS493"/>
  <c r="AT493"/>
  <c r="AU493"/>
  <c r="AV493"/>
  <c r="AX493"/>
  <c r="AZ493"/>
  <c r="BA493"/>
  <c r="BB493"/>
  <c r="BC493"/>
  <c r="BD493"/>
  <c r="BE493"/>
  <c r="BG493"/>
  <c r="BI493"/>
  <c r="BJ493"/>
  <c r="BK493"/>
  <c r="BL493"/>
  <c r="BM493"/>
  <c r="BN493"/>
  <c r="BP493"/>
  <c r="G496"/>
  <c r="H496"/>
  <c r="I496"/>
  <c r="J496"/>
  <c r="K496"/>
  <c r="L496"/>
  <c r="P496"/>
  <c r="Q496"/>
  <c r="R496"/>
  <c r="S496"/>
  <c r="T496"/>
  <c r="U496"/>
  <c r="Y496"/>
  <c r="Z496"/>
  <c r="AA496"/>
  <c r="AB496"/>
  <c r="AC496"/>
  <c r="AD496"/>
  <c r="AH496"/>
  <c r="AI496"/>
  <c r="AJ496"/>
  <c r="AK496"/>
  <c r="AL496"/>
  <c r="AM496"/>
  <c r="AQ496"/>
  <c r="AR496"/>
  <c r="AS496"/>
  <c r="AT496"/>
  <c r="AU496"/>
  <c r="AV496"/>
  <c r="AZ496"/>
  <c r="BA496"/>
  <c r="BB496"/>
  <c r="BC496"/>
  <c r="BD496"/>
  <c r="BE496"/>
  <c r="BI496"/>
  <c r="BJ496"/>
  <c r="BK496"/>
  <c r="BL496"/>
  <c r="BM496"/>
  <c r="BN496"/>
  <c r="G497"/>
  <c r="H497"/>
  <c r="I497"/>
  <c r="J497"/>
  <c r="K497"/>
  <c r="L497"/>
  <c r="P497"/>
  <c r="Q497"/>
  <c r="R497"/>
  <c r="S497"/>
  <c r="T497"/>
  <c r="U497"/>
  <c r="Y497"/>
  <c r="Z497"/>
  <c r="AA497"/>
  <c r="AB497"/>
  <c r="AC497"/>
  <c r="AD497"/>
  <c r="AH497"/>
  <c r="AI497"/>
  <c r="AJ497"/>
  <c r="AK497"/>
  <c r="AL497"/>
  <c r="AM497"/>
  <c r="AQ497"/>
  <c r="AR497"/>
  <c r="AS497"/>
  <c r="AT497"/>
  <c r="AU497"/>
  <c r="AV497"/>
  <c r="AZ497"/>
  <c r="BA497"/>
  <c r="BB497"/>
  <c r="BC497"/>
  <c r="BD497"/>
  <c r="BE497"/>
  <c r="BI497"/>
  <c r="BJ497"/>
  <c r="BK497"/>
  <c r="BL497"/>
  <c r="BM497"/>
  <c r="BN497"/>
  <c r="P499"/>
  <c r="Q499"/>
  <c r="R499"/>
  <c r="S499"/>
  <c r="T499"/>
  <c r="U499"/>
  <c r="Y499"/>
  <c r="Z499"/>
  <c r="AA499"/>
  <c r="AB499"/>
  <c r="AC499"/>
  <c r="AD499"/>
  <c r="AH499"/>
  <c r="AI499"/>
  <c r="AJ499"/>
  <c r="AK499"/>
  <c r="AL499"/>
  <c r="AM499"/>
  <c r="AQ499"/>
  <c r="AR499"/>
  <c r="AS499"/>
  <c r="AT499"/>
  <c r="AU499"/>
  <c r="AV499"/>
  <c r="AZ499"/>
  <c r="BA499"/>
  <c r="BB499"/>
  <c r="BC499"/>
  <c r="BD499"/>
  <c r="BE499"/>
  <c r="BI499"/>
  <c r="BJ499"/>
  <c r="BK499"/>
  <c r="BL499"/>
  <c r="BM499"/>
  <c r="BN499"/>
  <c r="P501"/>
  <c r="Q501"/>
  <c r="R501"/>
  <c r="S501"/>
  <c r="T501"/>
  <c r="U501"/>
  <c r="Y501"/>
  <c r="Z501"/>
  <c r="AA501"/>
  <c r="AB501"/>
  <c r="AC501"/>
  <c r="AD501"/>
  <c r="AH501"/>
  <c r="AI501"/>
  <c r="AJ501"/>
  <c r="AK501"/>
  <c r="AL501"/>
  <c r="AM501"/>
  <c r="AQ501"/>
  <c r="AR501"/>
  <c r="AS501"/>
  <c r="AT501"/>
  <c r="AU501"/>
  <c r="AV501"/>
  <c r="AZ501"/>
  <c r="BA501"/>
  <c r="BB501"/>
  <c r="BC501"/>
  <c r="BD501"/>
  <c r="BE501"/>
  <c r="BI501"/>
  <c r="BJ501"/>
  <c r="BK501"/>
  <c r="BL501"/>
  <c r="BM501"/>
  <c r="BN501"/>
  <c r="G503"/>
  <c r="H503"/>
  <c r="I503"/>
  <c r="J503"/>
  <c r="K503"/>
  <c r="L503"/>
  <c r="P503"/>
  <c r="Q503"/>
  <c r="R503"/>
  <c r="S503"/>
  <c r="T503"/>
  <c r="U503"/>
  <c r="Y503"/>
  <c r="Z503"/>
  <c r="AA503"/>
  <c r="AB503"/>
  <c r="AC503"/>
  <c r="AD503"/>
  <c r="AH503"/>
  <c r="AI503"/>
  <c r="AJ503"/>
  <c r="AK503"/>
  <c r="AL503"/>
  <c r="AM503"/>
  <c r="AQ503"/>
  <c r="AR503"/>
  <c r="AS503"/>
  <c r="AT503"/>
  <c r="AU503"/>
  <c r="AV503"/>
  <c r="AZ503"/>
  <c r="BA503"/>
  <c r="BB503"/>
  <c r="BC503"/>
  <c r="BD503"/>
  <c r="BE503"/>
  <c r="BI503"/>
  <c r="BJ503"/>
  <c r="BK503"/>
  <c r="BL503"/>
  <c r="BM503"/>
  <c r="BN503"/>
  <c r="G509"/>
  <c r="H509"/>
  <c r="I509"/>
  <c r="J509"/>
  <c r="K509"/>
  <c r="L509"/>
  <c r="N509"/>
  <c r="P509"/>
  <c r="Q509"/>
  <c r="R509"/>
  <c r="S509"/>
  <c r="T509"/>
  <c r="U509"/>
  <c r="W509"/>
  <c r="Y509"/>
  <c r="Z509"/>
  <c r="AA509"/>
  <c r="AB509"/>
  <c r="AC509"/>
  <c r="AD509"/>
  <c r="AF509"/>
  <c r="AH509"/>
  <c r="AI509"/>
  <c r="AJ509"/>
  <c r="AK509"/>
  <c r="AL509"/>
  <c r="AM509"/>
  <c r="AO509"/>
  <c r="AQ509"/>
  <c r="AR509"/>
  <c r="AS509"/>
  <c r="AT509"/>
  <c r="AU509"/>
  <c r="AV509"/>
  <c r="AX509"/>
  <c r="AZ509"/>
  <c r="BA509"/>
  <c r="BB509"/>
  <c r="BC509"/>
  <c r="BD509"/>
  <c r="BE509"/>
  <c r="BG509"/>
  <c r="BI509"/>
  <c r="BJ509"/>
  <c r="BK509"/>
  <c r="BL509"/>
  <c r="BM509"/>
  <c r="BN509"/>
  <c r="BP509"/>
  <c r="G511"/>
  <c r="H511"/>
  <c r="I511"/>
  <c r="J511"/>
  <c r="K511"/>
  <c r="L511"/>
  <c r="N511"/>
  <c r="P511"/>
  <c r="Q511"/>
  <c r="R511"/>
  <c r="S511"/>
  <c r="T511"/>
  <c r="U511"/>
  <c r="W511"/>
  <c r="Y511"/>
  <c r="Z511"/>
  <c r="AA511"/>
  <c r="AB511"/>
  <c r="AC511"/>
  <c r="AD511"/>
  <c r="AF511"/>
  <c r="AH511"/>
  <c r="AI511"/>
  <c r="AJ511"/>
  <c r="AK511"/>
  <c r="AL511"/>
  <c r="AM511"/>
  <c r="AO511"/>
  <c r="AQ511"/>
  <c r="AR511"/>
  <c r="AS511"/>
  <c r="AT511"/>
  <c r="AU511"/>
  <c r="AV511"/>
  <c r="AX511"/>
  <c r="AZ511"/>
  <c r="BA511"/>
  <c r="BB511"/>
  <c r="BC511"/>
  <c r="BD511"/>
  <c r="BE511"/>
  <c r="BG511"/>
  <c r="BI511"/>
  <c r="BJ511"/>
  <c r="BK511"/>
  <c r="BL511"/>
  <c r="BM511"/>
  <c r="BN511"/>
  <c r="BP511"/>
  <c r="G512"/>
  <c r="H512"/>
  <c r="I512"/>
  <c r="J512"/>
  <c r="K512"/>
  <c r="L512"/>
  <c r="N512"/>
  <c r="P512"/>
  <c r="Q512"/>
  <c r="R512"/>
  <c r="S512"/>
  <c r="T512"/>
  <c r="U512"/>
  <c r="W512"/>
  <c r="Y512"/>
  <c r="Z512"/>
  <c r="AA512"/>
  <c r="AB512"/>
  <c r="AC512"/>
  <c r="AD512"/>
  <c r="AF512"/>
  <c r="AH512"/>
  <c r="AI512"/>
  <c r="AJ512"/>
  <c r="AK512"/>
  <c r="AL512"/>
  <c r="AM512"/>
  <c r="AO512"/>
  <c r="AQ512"/>
  <c r="AR512"/>
  <c r="AS512"/>
  <c r="AT512"/>
  <c r="AU512"/>
  <c r="AV512"/>
  <c r="AX512"/>
  <c r="AZ512"/>
  <c r="BA512"/>
  <c r="BB512"/>
  <c r="BC512"/>
  <c r="BD512"/>
  <c r="BE512"/>
  <c r="BG512"/>
  <c r="BI512"/>
  <c r="BJ512"/>
  <c r="BK512"/>
  <c r="BL512"/>
  <c r="BM512"/>
  <c r="BN512"/>
  <c r="BP512"/>
  <c r="G515"/>
  <c r="H515"/>
  <c r="I515"/>
  <c r="J515"/>
  <c r="K515"/>
  <c r="L515"/>
  <c r="N515"/>
  <c r="P515"/>
  <c r="Q515"/>
  <c r="R515"/>
  <c r="S515"/>
  <c r="T515"/>
  <c r="U515"/>
  <c r="W515"/>
  <c r="Y515"/>
  <c r="Z515"/>
  <c r="AA515"/>
  <c r="AB515"/>
  <c r="AC515"/>
  <c r="AD515"/>
  <c r="AF515"/>
  <c r="AH515"/>
  <c r="AI515"/>
  <c r="AJ515"/>
  <c r="AK515"/>
  <c r="AL515"/>
  <c r="AM515"/>
  <c r="AO515"/>
  <c r="AQ515"/>
  <c r="AR515"/>
  <c r="AS515"/>
  <c r="AT515"/>
  <c r="AU515"/>
  <c r="AV515"/>
  <c r="AX515"/>
  <c r="AZ515"/>
  <c r="BA515"/>
  <c r="BB515"/>
  <c r="BC515"/>
  <c r="BD515"/>
  <c r="BE515"/>
  <c r="BG515"/>
  <c r="BI515"/>
  <c r="BJ515"/>
  <c r="BK515"/>
  <c r="BL515"/>
  <c r="BM515"/>
  <c r="BN515"/>
  <c r="BP515"/>
  <c r="P517"/>
  <c r="Q517"/>
  <c r="R517"/>
  <c r="S517"/>
  <c r="T517"/>
  <c r="U517"/>
  <c r="W517"/>
  <c r="Y517"/>
  <c r="Z517"/>
  <c r="AA517"/>
  <c r="AB517"/>
  <c r="AC517"/>
  <c r="AD517"/>
  <c r="AF517"/>
  <c r="AH517"/>
  <c r="AI517"/>
  <c r="AJ517"/>
  <c r="AK517"/>
  <c r="AL517"/>
  <c r="AM517"/>
  <c r="AO517"/>
  <c r="AQ517"/>
  <c r="AR517"/>
  <c r="AS517"/>
  <c r="AT517"/>
  <c r="AU517"/>
  <c r="AV517"/>
  <c r="AX517"/>
  <c r="AZ517"/>
  <c r="BA517"/>
  <c r="BB517"/>
  <c r="BC517"/>
  <c r="BD517"/>
  <c r="BE517"/>
  <c r="BG517"/>
  <c r="BI517"/>
  <c r="BJ517"/>
  <c r="BK517"/>
  <c r="BL517"/>
  <c r="BM517"/>
  <c r="BN517"/>
  <c r="BP517"/>
  <c r="G519"/>
  <c r="H519"/>
  <c r="I519"/>
  <c r="J519"/>
  <c r="K519"/>
  <c r="L519"/>
  <c r="N519"/>
  <c r="P519"/>
  <c r="Q519"/>
  <c r="R519"/>
  <c r="S519"/>
  <c r="T519"/>
  <c r="U519"/>
  <c r="W519"/>
  <c r="Y519"/>
  <c r="Z519"/>
  <c r="AA519"/>
  <c r="AB519"/>
  <c r="AC519"/>
  <c r="AD519"/>
  <c r="AF519"/>
  <c r="AH519"/>
  <c r="AI519"/>
  <c r="AJ519"/>
  <c r="AK519"/>
  <c r="AL519"/>
  <c r="AM519"/>
  <c r="AO519"/>
  <c r="AQ519"/>
  <c r="AR519"/>
  <c r="AS519"/>
  <c r="AT519"/>
  <c r="AU519"/>
  <c r="AV519"/>
  <c r="AX519"/>
  <c r="AZ519"/>
  <c r="BA519"/>
  <c r="BB519"/>
  <c r="BC519"/>
  <c r="BD519"/>
  <c r="BE519"/>
  <c r="BG519"/>
  <c r="BI519"/>
  <c r="BJ519"/>
  <c r="BK519"/>
  <c r="BL519"/>
  <c r="BM519"/>
  <c r="BN519"/>
  <c r="BP519"/>
  <c r="G523"/>
  <c r="H523"/>
  <c r="I523"/>
  <c r="J523"/>
  <c r="K523"/>
  <c r="L523"/>
  <c r="N523"/>
  <c r="P523"/>
  <c r="Q523"/>
  <c r="R523"/>
  <c r="S523"/>
  <c r="T523"/>
  <c r="U523"/>
  <c r="W523"/>
  <c r="Y523"/>
  <c r="Z523"/>
  <c r="AA523"/>
  <c r="AB523"/>
  <c r="AC523"/>
  <c r="AD523"/>
  <c r="AF523"/>
  <c r="AH523"/>
  <c r="AI523"/>
  <c r="AJ523"/>
  <c r="AK523"/>
  <c r="AL523"/>
  <c r="AM523"/>
  <c r="AO523"/>
  <c r="AZ523"/>
  <c r="BA523"/>
  <c r="BB523"/>
  <c r="BC523"/>
  <c r="BD523"/>
  <c r="BE523"/>
  <c r="BG523"/>
  <c r="BI523"/>
  <c r="BJ523"/>
  <c r="BK523"/>
  <c r="BL523"/>
  <c r="BM523"/>
  <c r="BN523"/>
  <c r="BP523"/>
  <c r="G524"/>
  <c r="H524"/>
  <c r="I524"/>
  <c r="J524"/>
  <c r="K524"/>
  <c r="L524"/>
  <c r="N524"/>
  <c r="P524"/>
  <c r="Q524"/>
  <c r="R524"/>
  <c r="S524"/>
  <c r="T524"/>
  <c r="U524"/>
  <c r="W524"/>
  <c r="Y524"/>
  <c r="Z524"/>
  <c r="AA524"/>
  <c r="AB524"/>
  <c r="AC524"/>
  <c r="AD524"/>
  <c r="AF524"/>
  <c r="AH524"/>
  <c r="AI524"/>
  <c r="AJ524"/>
  <c r="AK524"/>
  <c r="AL524"/>
  <c r="AM524"/>
  <c r="AO524"/>
  <c r="AZ524"/>
  <c r="BA524"/>
  <c r="BB524"/>
  <c r="BC524"/>
  <c r="BD524"/>
  <c r="BE524"/>
  <c r="BG524"/>
  <c r="BI524"/>
  <c r="BJ524"/>
  <c r="BK524"/>
  <c r="BL524"/>
  <c r="BM524"/>
  <c r="BN524"/>
  <c r="BP524"/>
  <c r="G525"/>
  <c r="H525"/>
  <c r="I525"/>
  <c r="J525"/>
  <c r="K525"/>
  <c r="L525"/>
  <c r="N525"/>
  <c r="P525"/>
  <c r="Q525"/>
  <c r="R525"/>
  <c r="S525"/>
  <c r="T525"/>
  <c r="U525"/>
  <c r="W525"/>
  <c r="Y525"/>
  <c r="Z525"/>
  <c r="AA525"/>
  <c r="AB525"/>
  <c r="AC525"/>
  <c r="AD525"/>
  <c r="AF525"/>
  <c r="AH525"/>
  <c r="AI525"/>
  <c r="AJ525"/>
  <c r="AK525"/>
  <c r="AL525"/>
  <c r="AM525"/>
  <c r="AO525"/>
  <c r="AZ525"/>
  <c r="BA525"/>
  <c r="BB525"/>
  <c r="BC525"/>
  <c r="BD525"/>
  <c r="BE525"/>
  <c r="BG525"/>
  <c r="BI525"/>
  <c r="BJ525"/>
  <c r="BK525"/>
  <c r="BL525"/>
  <c r="BM525"/>
  <c r="BN525"/>
  <c r="BP525"/>
  <c r="G527"/>
  <c r="H527"/>
  <c r="I527"/>
  <c r="J527"/>
  <c r="K527"/>
  <c r="L527"/>
  <c r="N527"/>
  <c r="P527"/>
  <c r="Q527"/>
  <c r="R527"/>
  <c r="S527"/>
  <c r="T527"/>
  <c r="U527"/>
  <c r="W527"/>
  <c r="Y527"/>
  <c r="Z527"/>
  <c r="AA527"/>
  <c r="AB527"/>
  <c r="AC527"/>
  <c r="AD527"/>
  <c r="AF527"/>
  <c r="AH527"/>
  <c r="AI527"/>
  <c r="AJ527"/>
  <c r="AK527"/>
  <c r="AL527"/>
  <c r="AM527"/>
  <c r="AO527"/>
  <c r="AQ527"/>
  <c r="AR527"/>
  <c r="AS527"/>
  <c r="AT527"/>
  <c r="AU527"/>
  <c r="AV527"/>
  <c r="AX527"/>
  <c r="AZ527"/>
  <c r="BA527"/>
  <c r="BB527"/>
  <c r="BC527"/>
  <c r="BD527"/>
  <c r="BE527"/>
  <c r="BG527"/>
  <c r="BI527"/>
  <c r="BJ527"/>
  <c r="BK527"/>
  <c r="BL527"/>
  <c r="BM527"/>
  <c r="BN527"/>
  <c r="BP527"/>
  <c r="G528"/>
  <c r="H528"/>
  <c r="I528"/>
  <c r="J528"/>
  <c r="K528"/>
  <c r="L528"/>
  <c r="N528"/>
  <c r="P528"/>
  <c r="Q528"/>
  <c r="R528"/>
  <c r="S528"/>
  <c r="T528"/>
  <c r="U528"/>
  <c r="W528"/>
  <c r="Y528"/>
  <c r="Z528"/>
  <c r="AA528"/>
  <c r="AB528"/>
  <c r="AC528"/>
  <c r="AD528"/>
  <c r="AF528"/>
  <c r="AH528"/>
  <c r="AI528"/>
  <c r="AJ528"/>
  <c r="AK528"/>
  <c r="AL528"/>
  <c r="AM528"/>
  <c r="AO528"/>
  <c r="AQ528"/>
  <c r="AR528"/>
  <c r="AS528"/>
  <c r="AT528"/>
  <c r="AU528"/>
  <c r="AV528"/>
  <c r="AX528"/>
  <c r="AZ528"/>
  <c r="BA528"/>
  <c r="BB528"/>
  <c r="BC528"/>
  <c r="BD528"/>
  <c r="BE528"/>
  <c r="BG528"/>
  <c r="BI528"/>
  <c r="BJ528"/>
  <c r="BK528"/>
  <c r="BL528"/>
  <c r="BM528"/>
  <c r="BN528"/>
  <c r="BP528"/>
  <c r="G529"/>
  <c r="H529"/>
  <c r="I529"/>
  <c r="J529"/>
  <c r="K529"/>
  <c r="L529"/>
  <c r="G530"/>
  <c r="H530"/>
  <c r="I530"/>
  <c r="J530"/>
  <c r="K530"/>
  <c r="L530"/>
  <c r="G533"/>
  <c r="H533"/>
  <c r="I533"/>
  <c r="J533"/>
  <c r="K533"/>
  <c r="L533"/>
  <c r="P533"/>
  <c r="Q533"/>
  <c r="R533"/>
  <c r="S533"/>
  <c r="T533"/>
  <c r="U533"/>
  <c r="Y533"/>
  <c r="Z533"/>
  <c r="AA533"/>
  <c r="AB533"/>
  <c r="AC533"/>
  <c r="AD533"/>
  <c r="AH533"/>
  <c r="AI533"/>
  <c r="AJ533"/>
  <c r="AK533"/>
  <c r="AL533"/>
  <c r="AM533"/>
  <c r="AQ533"/>
  <c r="AR533"/>
  <c r="AS533"/>
  <c r="AT533"/>
  <c r="AU533"/>
  <c r="AV533"/>
  <c r="AZ533"/>
  <c r="BA533"/>
  <c r="BB533"/>
  <c r="BC533"/>
  <c r="BD533"/>
  <c r="BE533"/>
  <c r="BI533"/>
  <c r="BJ533"/>
  <c r="BK533"/>
  <c r="BL533"/>
  <c r="BM533"/>
  <c r="BN533"/>
  <c r="G534"/>
  <c r="H534"/>
  <c r="I534"/>
  <c r="J534"/>
  <c r="K534"/>
  <c r="L534"/>
  <c r="P534"/>
  <c r="Q534"/>
  <c r="R534"/>
  <c r="S534"/>
  <c r="T534"/>
  <c r="U534"/>
  <c r="Y534"/>
  <c r="Z534"/>
  <c r="AA534"/>
  <c r="AB534"/>
  <c r="AC534"/>
  <c r="AD534"/>
  <c r="AH534"/>
  <c r="AI534"/>
  <c r="AJ534"/>
  <c r="AK534"/>
  <c r="AL534"/>
  <c r="AM534"/>
  <c r="AQ534"/>
  <c r="AR534"/>
  <c r="AS534"/>
  <c r="AT534"/>
  <c r="AU534"/>
  <c r="AV534"/>
  <c r="AZ534"/>
  <c r="BA534"/>
  <c r="BB534"/>
  <c r="BC534"/>
  <c r="BD534"/>
  <c r="BE534"/>
  <c r="BI534"/>
  <c r="BJ534"/>
  <c r="BK534"/>
  <c r="BL534"/>
  <c r="BM534"/>
  <c r="BN534"/>
  <c r="P537"/>
  <c r="Q537"/>
  <c r="R537"/>
  <c r="S537"/>
  <c r="T537"/>
  <c r="U537"/>
  <c r="W537"/>
  <c r="Y537"/>
  <c r="Z537"/>
  <c r="AA537"/>
  <c r="AB537"/>
  <c r="AC537"/>
  <c r="AD537"/>
  <c r="AF537"/>
  <c r="AH537"/>
  <c r="AI537"/>
  <c r="AJ537"/>
  <c r="AK537"/>
  <c r="AL537"/>
  <c r="AM537"/>
  <c r="AO537"/>
  <c r="AQ537"/>
  <c r="AR537"/>
  <c r="AS537"/>
  <c r="AT537"/>
  <c r="AU537"/>
  <c r="AV537"/>
  <c r="AX537"/>
  <c r="AZ537"/>
  <c r="BA537"/>
  <c r="BB537"/>
  <c r="BC537"/>
  <c r="BD537"/>
  <c r="BE537"/>
  <c r="BG537"/>
  <c r="BI537"/>
  <c r="BJ537"/>
  <c r="BK537"/>
  <c r="BL537"/>
  <c r="BM537"/>
  <c r="BN537"/>
  <c r="BP537"/>
  <c r="P538"/>
  <c r="Q538"/>
  <c r="R538"/>
  <c r="S538"/>
  <c r="T538"/>
  <c r="U538"/>
  <c r="W538"/>
  <c r="Y538"/>
  <c r="Z538"/>
  <c r="AA538"/>
  <c r="AB538"/>
  <c r="AC538"/>
  <c r="AD538"/>
  <c r="AF538"/>
  <c r="AH538"/>
  <c r="AI538"/>
  <c r="AJ538"/>
  <c r="AK538"/>
  <c r="AL538"/>
  <c r="AM538"/>
  <c r="AO538"/>
  <c r="AZ538"/>
  <c r="BA538"/>
  <c r="BB538"/>
  <c r="BC538"/>
  <c r="BD538"/>
  <c r="BE538"/>
  <c r="BG538"/>
  <c r="BI538"/>
  <c r="BJ538"/>
  <c r="BK538"/>
  <c r="BL538"/>
  <c r="BM538"/>
  <c r="BN538"/>
  <c r="BP538"/>
  <c r="P539"/>
  <c r="Q539"/>
  <c r="R539"/>
  <c r="S539"/>
  <c r="T539"/>
  <c r="U539"/>
  <c r="W539"/>
  <c r="Y539"/>
  <c r="Z539"/>
  <c r="AA539"/>
  <c r="AB539"/>
  <c r="AC539"/>
  <c r="AD539"/>
  <c r="AF539"/>
  <c r="AH539"/>
  <c r="AI539"/>
  <c r="AJ539"/>
  <c r="AK539"/>
  <c r="AL539"/>
  <c r="AM539"/>
  <c r="AO539"/>
  <c r="AQ539"/>
  <c r="AR539"/>
  <c r="AS539"/>
  <c r="AT539"/>
  <c r="AU539"/>
  <c r="AV539"/>
  <c r="AX539"/>
  <c r="AZ539"/>
  <c r="BA539"/>
  <c r="BB539"/>
  <c r="BC539"/>
  <c r="BD539"/>
  <c r="BE539"/>
  <c r="BG539"/>
  <c r="BI539"/>
  <c r="BJ539"/>
  <c r="BK539"/>
  <c r="BL539"/>
  <c r="BM539"/>
  <c r="BN539"/>
  <c r="BP539"/>
  <c r="P540"/>
  <c r="Q540"/>
  <c r="R540"/>
  <c r="S540"/>
  <c r="T540"/>
  <c r="U540"/>
  <c r="W540"/>
  <c r="Y540"/>
  <c r="Z540"/>
  <c r="AA540"/>
  <c r="AB540"/>
  <c r="AC540"/>
  <c r="AD540"/>
  <c r="AF540"/>
  <c r="AH540"/>
  <c r="AI540"/>
  <c r="AJ540"/>
  <c r="AK540"/>
  <c r="AL540"/>
  <c r="AM540"/>
  <c r="AO540"/>
  <c r="AZ540"/>
  <c r="BA540"/>
  <c r="BB540"/>
  <c r="BC540"/>
  <c r="BD540"/>
  <c r="BE540"/>
  <c r="BG540"/>
  <c r="BI540"/>
  <c r="BJ540"/>
  <c r="BK540"/>
  <c r="BL540"/>
  <c r="BM540"/>
  <c r="BN540"/>
  <c r="BP540"/>
  <c r="P541"/>
  <c r="Q541"/>
  <c r="R541"/>
  <c r="S541"/>
  <c r="T541"/>
  <c r="U541"/>
  <c r="W541"/>
  <c r="Y541"/>
  <c r="Z541"/>
  <c r="AA541"/>
  <c r="AB541"/>
  <c r="AC541"/>
  <c r="AD541"/>
  <c r="AF541"/>
  <c r="AH541"/>
  <c r="AI541"/>
  <c r="AJ541"/>
  <c r="AK541"/>
  <c r="AL541"/>
  <c r="AM541"/>
  <c r="AO541"/>
  <c r="AQ541"/>
  <c r="AR541"/>
  <c r="AS541"/>
  <c r="AT541"/>
  <c r="AU541"/>
  <c r="AV541"/>
  <c r="AX541"/>
  <c r="AZ541"/>
  <c r="BA541"/>
  <c r="BB541"/>
  <c r="BC541"/>
  <c r="BD541"/>
  <c r="BE541"/>
  <c r="BG541"/>
  <c r="BI541"/>
  <c r="BJ541"/>
  <c r="BK541"/>
  <c r="BL541"/>
  <c r="BM541"/>
  <c r="BN541"/>
  <c r="BP541"/>
  <c r="P543"/>
  <c r="Q543"/>
  <c r="R543"/>
  <c r="S543"/>
  <c r="T543"/>
  <c r="U543"/>
  <c r="W543"/>
  <c r="Y543"/>
  <c r="Z543"/>
  <c r="AA543"/>
  <c r="AB543"/>
  <c r="AC543"/>
  <c r="AD543"/>
  <c r="AF543"/>
  <c r="AH543"/>
  <c r="AI543"/>
  <c r="AJ543"/>
  <c r="AK543"/>
  <c r="AL543"/>
  <c r="AM543"/>
  <c r="AO543"/>
  <c r="AQ543"/>
  <c r="AR543"/>
  <c r="AS543"/>
  <c r="AT543"/>
  <c r="AU543"/>
  <c r="AV543"/>
  <c r="AX543"/>
  <c r="AZ543"/>
  <c r="BA543"/>
  <c r="BB543"/>
  <c r="BC543"/>
  <c r="BD543"/>
  <c r="BE543"/>
  <c r="BG543"/>
  <c r="BI543"/>
  <c r="BJ543"/>
  <c r="BK543"/>
  <c r="BL543"/>
  <c r="BM543"/>
  <c r="BN543"/>
  <c r="BP543"/>
  <c r="G546"/>
  <c r="H546"/>
  <c r="I546"/>
  <c r="J546"/>
  <c r="K546"/>
  <c r="L546"/>
  <c r="P546"/>
  <c r="Q546"/>
  <c r="R546"/>
  <c r="S546"/>
  <c r="T546"/>
  <c r="U546"/>
  <c r="Y546"/>
  <c r="Z546"/>
  <c r="AA546"/>
  <c r="AB546"/>
  <c r="AC546"/>
  <c r="AD546"/>
  <c r="AH546"/>
  <c r="AI546"/>
  <c r="AJ546"/>
  <c r="AK546"/>
  <c r="AL546"/>
  <c r="AM546"/>
  <c r="AQ546"/>
  <c r="AR546"/>
  <c r="AS546"/>
  <c r="AT546"/>
  <c r="AU546"/>
  <c r="AV546"/>
  <c r="AZ546"/>
  <c r="BA546"/>
  <c r="BB546"/>
  <c r="BC546"/>
  <c r="BD546"/>
  <c r="BE546"/>
  <c r="BI546"/>
  <c r="BJ546"/>
  <c r="BK546"/>
  <c r="BL546"/>
  <c r="BM546"/>
  <c r="BN546"/>
  <c r="G547"/>
  <c r="H547"/>
  <c r="I547"/>
  <c r="J547"/>
  <c r="K547"/>
  <c r="L547"/>
  <c r="P547"/>
  <c r="Q547"/>
  <c r="R547"/>
  <c r="S547"/>
  <c r="T547"/>
  <c r="U547"/>
  <c r="Y547"/>
  <c r="Z547"/>
  <c r="AA547"/>
  <c r="AB547"/>
  <c r="AC547"/>
  <c r="AD547"/>
  <c r="AH547"/>
  <c r="AI547"/>
  <c r="AJ547"/>
  <c r="AK547"/>
  <c r="AL547"/>
  <c r="AM547"/>
  <c r="AQ547"/>
  <c r="AR547"/>
  <c r="AS547"/>
  <c r="AT547"/>
  <c r="AU547"/>
  <c r="AV547"/>
  <c r="AZ547"/>
  <c r="BA547"/>
  <c r="BB547"/>
  <c r="BC547"/>
  <c r="BD547"/>
  <c r="BE547"/>
  <c r="BI547"/>
  <c r="BJ547"/>
  <c r="BK547"/>
  <c r="BL547"/>
  <c r="BM547"/>
  <c r="BN547"/>
  <c r="P549"/>
  <c r="Q549"/>
  <c r="R549"/>
  <c r="S549"/>
  <c r="T549"/>
  <c r="U549"/>
  <c r="Y549"/>
  <c r="Z549"/>
  <c r="AA549"/>
  <c r="AB549"/>
  <c r="AC549"/>
  <c r="AD549"/>
  <c r="AH549"/>
  <c r="AI549"/>
  <c r="AJ549"/>
  <c r="AK549"/>
  <c r="AL549"/>
  <c r="AM549"/>
  <c r="AQ549"/>
  <c r="AR549"/>
  <c r="AS549"/>
  <c r="AT549"/>
  <c r="AU549"/>
  <c r="AV549"/>
  <c r="AZ549"/>
  <c r="BA549"/>
  <c r="BB549"/>
  <c r="BC549"/>
  <c r="BD549"/>
  <c r="BE549"/>
  <c r="BI549"/>
  <c r="BJ549"/>
  <c r="BK549"/>
  <c r="BL549"/>
  <c r="BM549"/>
  <c r="BN549"/>
  <c r="P551"/>
  <c r="Q551"/>
  <c r="R551"/>
  <c r="S551"/>
  <c r="T551"/>
  <c r="U551"/>
  <c r="Y551"/>
  <c r="Z551"/>
  <c r="AA551"/>
  <c r="AB551"/>
  <c r="AC551"/>
  <c r="AD551"/>
  <c r="AH551"/>
  <c r="AI551"/>
  <c r="AJ551"/>
  <c r="AK551"/>
  <c r="AL551"/>
  <c r="AM551"/>
  <c r="AQ551"/>
  <c r="AR551"/>
  <c r="AS551"/>
  <c r="AT551"/>
  <c r="AU551"/>
  <c r="AV551"/>
  <c r="AZ551"/>
  <c r="BA551"/>
  <c r="BB551"/>
  <c r="BC551"/>
  <c r="BD551"/>
  <c r="BE551"/>
  <c r="BI551"/>
  <c r="BJ551"/>
  <c r="BK551"/>
  <c r="BL551"/>
  <c r="BM551"/>
  <c r="BN551"/>
  <c r="G553"/>
  <c r="H553"/>
  <c r="I553"/>
  <c r="J553"/>
  <c r="K553"/>
  <c r="L553"/>
  <c r="P553"/>
  <c r="Q553"/>
  <c r="R553"/>
  <c r="S553"/>
  <c r="T553"/>
  <c r="U553"/>
  <c r="Y553"/>
  <c r="Z553"/>
  <c r="AA553"/>
  <c r="AB553"/>
  <c r="AC553"/>
  <c r="AD553"/>
  <c r="AH553"/>
  <c r="AI553"/>
  <c r="AJ553"/>
  <c r="AK553"/>
  <c r="AL553"/>
  <c r="AM553"/>
  <c r="AQ553"/>
  <c r="AR553"/>
  <c r="AS553"/>
  <c r="AT553"/>
  <c r="AU553"/>
  <c r="AV553"/>
  <c r="AZ553"/>
  <c r="BA553"/>
  <c r="BB553"/>
  <c r="BC553"/>
  <c r="BD553"/>
  <c r="BE553"/>
  <c r="BI553"/>
  <c r="BJ553"/>
  <c r="BK553"/>
  <c r="BL553"/>
  <c r="BM553"/>
  <c r="BN553"/>
  <c r="G558"/>
  <c r="H558"/>
  <c r="I558"/>
  <c r="J558"/>
  <c r="K558"/>
  <c r="L558"/>
  <c r="N558"/>
  <c r="P558"/>
  <c r="Q558"/>
  <c r="R558"/>
  <c r="S558"/>
  <c r="T558"/>
  <c r="U558"/>
  <c r="W558"/>
  <c r="Y558"/>
  <c r="Z558"/>
  <c r="AA558"/>
  <c r="AB558"/>
  <c r="AC558"/>
  <c r="AD558"/>
  <c r="AF558"/>
  <c r="AH558"/>
  <c r="AI558"/>
  <c r="AJ558"/>
  <c r="AK558"/>
  <c r="AL558"/>
  <c r="AM558"/>
  <c r="AO558"/>
  <c r="AQ558"/>
  <c r="AR558"/>
  <c r="AS558"/>
  <c r="AT558"/>
  <c r="AU558"/>
  <c r="AV558"/>
  <c r="AX558"/>
  <c r="AZ558"/>
  <c r="BA558"/>
  <c r="BB558"/>
  <c r="BC558"/>
  <c r="BD558"/>
  <c r="BE558"/>
  <c r="BG558"/>
  <c r="BI558"/>
  <c r="BJ558"/>
  <c r="BK558"/>
  <c r="BL558"/>
  <c r="BM558"/>
  <c r="BN558"/>
  <c r="BP558"/>
  <c r="G560"/>
  <c r="H560"/>
  <c r="I560"/>
  <c r="J560"/>
  <c r="K560"/>
  <c r="L560"/>
  <c r="N560"/>
  <c r="P560"/>
  <c r="Q560"/>
  <c r="R560"/>
  <c r="S560"/>
  <c r="T560"/>
  <c r="U560"/>
  <c r="W560"/>
  <c r="Y560"/>
  <c r="Z560"/>
  <c r="AA560"/>
  <c r="AB560"/>
  <c r="AC560"/>
  <c r="AD560"/>
  <c r="AF560"/>
  <c r="AH560"/>
  <c r="AI560"/>
  <c r="AJ560"/>
  <c r="AK560"/>
  <c r="AL560"/>
  <c r="AM560"/>
  <c r="AO560"/>
  <c r="AQ560"/>
  <c r="AR560"/>
  <c r="AS560"/>
  <c r="AT560"/>
  <c r="AU560"/>
  <c r="AV560"/>
  <c r="AX560"/>
  <c r="AZ560"/>
  <c r="BA560"/>
  <c r="BB560"/>
  <c r="BC560"/>
  <c r="BD560"/>
  <c r="BE560"/>
  <c r="BG560"/>
  <c r="BI560"/>
  <c r="BJ560"/>
  <c r="BK560"/>
  <c r="BL560"/>
  <c r="BM560"/>
  <c r="BN560"/>
  <c r="BP560"/>
  <c r="G561"/>
  <c r="H561"/>
  <c r="I561"/>
  <c r="J561"/>
  <c r="K561"/>
  <c r="L561"/>
  <c r="N561"/>
  <c r="P561"/>
  <c r="Q561"/>
  <c r="R561"/>
  <c r="S561"/>
  <c r="T561"/>
  <c r="U561"/>
  <c r="W561"/>
  <c r="Y561"/>
  <c r="Z561"/>
  <c r="AA561"/>
  <c r="AB561"/>
  <c r="AC561"/>
  <c r="AD561"/>
  <c r="AF561"/>
  <c r="AH561"/>
  <c r="AI561"/>
  <c r="AJ561"/>
  <c r="AK561"/>
  <c r="AL561"/>
  <c r="AM561"/>
  <c r="AO561"/>
  <c r="AQ561"/>
  <c r="AR561"/>
  <c r="AS561"/>
  <c r="AT561"/>
  <c r="AU561"/>
  <c r="AV561"/>
  <c r="AX561"/>
  <c r="AZ561"/>
  <c r="BA561"/>
  <c r="BB561"/>
  <c r="BC561"/>
  <c r="BD561"/>
  <c r="BE561"/>
  <c r="BG561"/>
  <c r="BI561"/>
  <c r="BJ561"/>
  <c r="BK561"/>
  <c r="BL561"/>
  <c r="BM561"/>
  <c r="BN561"/>
  <c r="BP561"/>
  <c r="G564"/>
  <c r="H564"/>
  <c r="I564"/>
  <c r="J564"/>
  <c r="K564"/>
  <c r="L564"/>
  <c r="N564"/>
  <c r="P564"/>
  <c r="Q564"/>
  <c r="R564"/>
  <c r="S564"/>
  <c r="T564"/>
  <c r="U564"/>
  <c r="W564"/>
  <c r="Y564"/>
  <c r="Z564"/>
  <c r="AA564"/>
  <c r="AB564"/>
  <c r="AC564"/>
  <c r="AD564"/>
  <c r="AF564"/>
  <c r="AH564"/>
  <c r="AI564"/>
  <c r="AJ564"/>
  <c r="AK564"/>
  <c r="AL564"/>
  <c r="AM564"/>
  <c r="AO564"/>
  <c r="AQ564"/>
  <c r="AR564"/>
  <c r="AS564"/>
  <c r="AT564"/>
  <c r="AU564"/>
  <c r="AV564"/>
  <c r="AX564"/>
  <c r="AZ564"/>
  <c r="BA564"/>
  <c r="BB564"/>
  <c r="BC564"/>
  <c r="BD564"/>
  <c r="BE564"/>
  <c r="BG564"/>
  <c r="BI564"/>
  <c r="BJ564"/>
  <c r="BK564"/>
  <c r="BL564"/>
  <c r="BM564"/>
  <c r="BN564"/>
  <c r="BO564"/>
  <c r="BP564"/>
  <c r="P566"/>
  <c r="Q566"/>
  <c r="R566"/>
  <c r="S566"/>
  <c r="T566"/>
  <c r="U566"/>
  <c r="W566"/>
  <c r="Y566"/>
  <c r="Z566"/>
  <c r="AA566"/>
  <c r="AB566"/>
  <c r="AC566"/>
  <c r="AD566"/>
  <c r="AF566"/>
  <c r="AH566"/>
  <c r="AI566"/>
  <c r="AJ566"/>
  <c r="AK566"/>
  <c r="AL566"/>
  <c r="AM566"/>
  <c r="AO566"/>
  <c r="AQ566"/>
  <c r="AR566"/>
  <c r="AS566"/>
  <c r="AT566"/>
  <c r="AU566"/>
  <c r="AV566"/>
  <c r="AX566"/>
  <c r="AZ566"/>
  <c r="BA566"/>
  <c r="BB566"/>
  <c r="BC566"/>
  <c r="BD566"/>
  <c r="BE566"/>
  <c r="BG566"/>
  <c r="BI566"/>
  <c r="BJ566"/>
  <c r="BK566"/>
  <c r="BL566"/>
  <c r="BM566"/>
  <c r="BN566"/>
  <c r="BO566"/>
  <c r="BP566"/>
  <c r="G568"/>
  <c r="H568"/>
  <c r="I568"/>
  <c r="J568"/>
  <c r="K568"/>
  <c r="L568"/>
  <c r="N568"/>
  <c r="P568"/>
  <c r="Q568"/>
  <c r="R568"/>
  <c r="S568"/>
  <c r="T568"/>
  <c r="U568"/>
  <c r="W568"/>
  <c r="Y568"/>
  <c r="Z568"/>
  <c r="AA568"/>
  <c r="AB568"/>
  <c r="AC568"/>
  <c r="AD568"/>
  <c r="AF568"/>
  <c r="AH568"/>
  <c r="AI568"/>
  <c r="AJ568"/>
  <c r="AK568"/>
  <c r="AL568"/>
  <c r="AM568"/>
  <c r="AO568"/>
  <c r="AQ568"/>
  <c r="AR568"/>
  <c r="AS568"/>
  <c r="AT568"/>
  <c r="AU568"/>
  <c r="AV568"/>
  <c r="AX568"/>
  <c r="AZ568"/>
  <c r="BA568"/>
  <c r="BB568"/>
  <c r="BC568"/>
  <c r="BD568"/>
  <c r="BE568"/>
  <c r="BG568"/>
  <c r="BI568"/>
  <c r="BJ568"/>
  <c r="BK568"/>
  <c r="BL568"/>
  <c r="BM568"/>
  <c r="BN568"/>
  <c r="BO568"/>
  <c r="BP568"/>
  <c r="G571"/>
  <c r="H571"/>
  <c r="I571"/>
  <c r="J571"/>
  <c r="K571"/>
  <c r="L571"/>
  <c r="N571"/>
  <c r="P571"/>
  <c r="Q571"/>
  <c r="R571"/>
  <c r="S571"/>
  <c r="T571"/>
  <c r="U571"/>
  <c r="W571"/>
  <c r="Y571"/>
  <c r="Z571"/>
  <c r="AA571"/>
  <c r="AB571"/>
  <c r="AC571"/>
  <c r="AD571"/>
  <c r="AF571"/>
  <c r="AH571"/>
  <c r="AI571"/>
  <c r="AJ571"/>
  <c r="AK571"/>
  <c r="AL571"/>
  <c r="AM571"/>
  <c r="AO571"/>
  <c r="AZ571"/>
  <c r="BA571"/>
  <c r="BB571"/>
  <c r="BC571"/>
  <c r="BD571"/>
  <c r="BE571"/>
  <c r="BG571"/>
  <c r="BI571"/>
  <c r="BJ571"/>
  <c r="BK571"/>
  <c r="BL571"/>
  <c r="BM571"/>
  <c r="BN571"/>
  <c r="BP571"/>
  <c r="G572"/>
  <c r="H572"/>
  <c r="I572"/>
  <c r="J572"/>
  <c r="K572"/>
  <c r="L572"/>
  <c r="N572"/>
  <c r="P572"/>
  <c r="Q572"/>
  <c r="R572"/>
  <c r="S572"/>
  <c r="T572"/>
  <c r="U572"/>
  <c r="W572"/>
  <c r="Y572"/>
  <c r="Z572"/>
  <c r="AA572"/>
  <c r="AB572"/>
  <c r="AC572"/>
  <c r="AD572"/>
  <c r="AF572"/>
  <c r="AH572"/>
  <c r="AI572"/>
  <c r="AJ572"/>
  <c r="AK572"/>
  <c r="AL572"/>
  <c r="AM572"/>
  <c r="AO572"/>
  <c r="AZ572"/>
  <c r="BA572"/>
  <c r="BB572"/>
  <c r="BC572"/>
  <c r="BD572"/>
  <c r="BE572"/>
  <c r="BG572"/>
  <c r="BI572"/>
  <c r="BJ572"/>
  <c r="BK572"/>
  <c r="BL572"/>
  <c r="BM572"/>
  <c r="BN572"/>
  <c r="BP572"/>
  <c r="G573"/>
  <c r="H573"/>
  <c r="I573"/>
  <c r="J573"/>
  <c r="K573"/>
  <c r="L573"/>
  <c r="N573"/>
  <c r="P573"/>
  <c r="Q573"/>
  <c r="R573"/>
  <c r="S573"/>
  <c r="T573"/>
  <c r="U573"/>
  <c r="W573"/>
  <c r="Y573"/>
  <c r="Z573"/>
  <c r="AA573"/>
  <c r="AB573"/>
  <c r="AC573"/>
  <c r="AD573"/>
  <c r="AF573"/>
  <c r="AH573"/>
  <c r="AI573"/>
  <c r="AJ573"/>
  <c r="AK573"/>
  <c r="AL573"/>
  <c r="AM573"/>
  <c r="AO573"/>
  <c r="AZ573"/>
  <c r="BA573"/>
  <c r="BB573"/>
  <c r="BC573"/>
  <c r="BD573"/>
  <c r="BE573"/>
  <c r="BG573"/>
  <c r="BI573"/>
  <c r="BJ573"/>
  <c r="BK573"/>
  <c r="BL573"/>
  <c r="BM573"/>
  <c r="BN573"/>
  <c r="BP573"/>
  <c r="G575"/>
  <c r="H575"/>
  <c r="I575"/>
  <c r="J575"/>
  <c r="K575"/>
  <c r="L575"/>
  <c r="N575"/>
  <c r="P575"/>
  <c r="Q575"/>
  <c r="R575"/>
  <c r="S575"/>
  <c r="T575"/>
  <c r="U575"/>
  <c r="W575"/>
  <c r="Y575"/>
  <c r="Z575"/>
  <c r="AA575"/>
  <c r="AB575"/>
  <c r="AC575"/>
  <c r="AD575"/>
  <c r="AF575"/>
  <c r="AH575"/>
  <c r="AI575"/>
  <c r="AJ575"/>
  <c r="AK575"/>
  <c r="AL575"/>
  <c r="AM575"/>
  <c r="AO575"/>
  <c r="AQ575"/>
  <c r="AR575"/>
  <c r="AS575"/>
  <c r="AT575"/>
  <c r="AU575"/>
  <c r="AV575"/>
  <c r="AX575"/>
  <c r="AZ575"/>
  <c r="BA575"/>
  <c r="BB575"/>
  <c r="BC575"/>
  <c r="BD575"/>
  <c r="BE575"/>
  <c r="BG575"/>
  <c r="BI575"/>
  <c r="BJ575"/>
  <c r="BK575"/>
  <c r="BL575"/>
  <c r="BM575"/>
  <c r="BN575"/>
  <c r="BP575"/>
  <c r="G576"/>
  <c r="H576"/>
  <c r="I576"/>
  <c r="J576"/>
  <c r="K576"/>
  <c r="L576"/>
  <c r="N576"/>
  <c r="P576"/>
  <c r="Q576"/>
  <c r="R576"/>
  <c r="S576"/>
  <c r="T576"/>
  <c r="U576"/>
  <c r="W576"/>
  <c r="Y576"/>
  <c r="Z576"/>
  <c r="AA576"/>
  <c r="AB576"/>
  <c r="AC576"/>
  <c r="AD576"/>
  <c r="AF576"/>
  <c r="AH576"/>
  <c r="AI576"/>
  <c r="AJ576"/>
  <c r="AK576"/>
  <c r="AL576"/>
  <c r="AM576"/>
  <c r="AO576"/>
  <c r="AQ576"/>
  <c r="AR576"/>
  <c r="AS576"/>
  <c r="AT576"/>
  <c r="AU576"/>
  <c r="AV576"/>
  <c r="AX576"/>
  <c r="AZ576"/>
  <c r="BA576"/>
  <c r="BB576"/>
  <c r="BC576"/>
  <c r="BD576"/>
  <c r="BE576"/>
  <c r="BG576"/>
  <c r="BI576"/>
  <c r="BJ576"/>
  <c r="BK576"/>
  <c r="BL576"/>
  <c r="BM576"/>
  <c r="BN576"/>
  <c r="BP576"/>
  <c r="G577"/>
  <c r="H577"/>
  <c r="I577"/>
  <c r="J577"/>
  <c r="K577"/>
  <c r="L577"/>
  <c r="G578"/>
  <c r="H578"/>
  <c r="I578"/>
  <c r="J578"/>
  <c r="K578"/>
  <c r="L578"/>
  <c r="G581"/>
  <c r="H581"/>
  <c r="I581"/>
  <c r="J581"/>
  <c r="K581"/>
  <c r="L581"/>
  <c r="P581"/>
  <c r="Q581"/>
  <c r="R581"/>
  <c r="S581"/>
  <c r="T581"/>
  <c r="U581"/>
  <c r="Y581"/>
  <c r="Z581"/>
  <c r="AA581"/>
  <c r="AB581"/>
  <c r="AC581"/>
  <c r="AD581"/>
  <c r="AH581"/>
  <c r="AI581"/>
  <c r="AJ581"/>
  <c r="AK581"/>
  <c r="AL581"/>
  <c r="AM581"/>
  <c r="AQ581"/>
  <c r="AR581"/>
  <c r="AS581"/>
  <c r="AT581"/>
  <c r="AU581"/>
  <c r="AV581"/>
  <c r="AZ581"/>
  <c r="BA581"/>
  <c r="BB581"/>
  <c r="BC581"/>
  <c r="BD581"/>
  <c r="BE581"/>
  <c r="BI581"/>
  <c r="BJ581"/>
  <c r="BK581"/>
  <c r="BL581"/>
  <c r="BM581"/>
  <c r="BN581"/>
  <c r="G582"/>
  <c r="H582"/>
  <c r="I582"/>
  <c r="J582"/>
  <c r="K582"/>
  <c r="L582"/>
  <c r="P582"/>
  <c r="Q582"/>
  <c r="R582"/>
  <c r="S582"/>
  <c r="T582"/>
  <c r="U582"/>
  <c r="Y582"/>
  <c r="Z582"/>
  <c r="AA582"/>
  <c r="AB582"/>
  <c r="AC582"/>
  <c r="AD582"/>
  <c r="AH582"/>
  <c r="AI582"/>
  <c r="AJ582"/>
  <c r="AK582"/>
  <c r="AL582"/>
  <c r="AM582"/>
  <c r="AQ582"/>
  <c r="AR582"/>
  <c r="AS582"/>
  <c r="AT582"/>
  <c r="AU582"/>
  <c r="AV582"/>
  <c r="AZ582"/>
  <c r="BA582"/>
  <c r="BB582"/>
  <c r="BC582"/>
  <c r="BD582"/>
  <c r="BE582"/>
  <c r="BI582"/>
  <c r="BJ582"/>
  <c r="BK582"/>
  <c r="BL582"/>
  <c r="BM582"/>
  <c r="BN582"/>
  <c r="P585"/>
  <c r="Q585"/>
  <c r="R585"/>
  <c r="S585"/>
  <c r="T585"/>
  <c r="U585"/>
  <c r="W585"/>
  <c r="Y585"/>
  <c r="Z585"/>
  <c r="AA585"/>
  <c r="AB585"/>
  <c r="AC585"/>
  <c r="AD585"/>
  <c r="AF585"/>
  <c r="AH585"/>
  <c r="AI585"/>
  <c r="AJ585"/>
  <c r="AK585"/>
  <c r="AL585"/>
  <c r="AM585"/>
  <c r="AO585"/>
  <c r="AQ585"/>
  <c r="AR585"/>
  <c r="AS585"/>
  <c r="AT585"/>
  <c r="AU585"/>
  <c r="AV585"/>
  <c r="AX585"/>
  <c r="AZ585"/>
  <c r="BA585"/>
  <c r="BB585"/>
  <c r="BC585"/>
  <c r="BD585"/>
  <c r="BE585"/>
  <c r="BG585"/>
  <c r="BI585"/>
  <c r="BJ585"/>
  <c r="BK585"/>
  <c r="BL585"/>
  <c r="BM585"/>
  <c r="BN585"/>
  <c r="BP585"/>
  <c r="P586"/>
  <c r="Q586"/>
  <c r="R586"/>
  <c r="S586"/>
  <c r="T586"/>
  <c r="U586"/>
  <c r="W586"/>
  <c r="Y586"/>
  <c r="Z586"/>
  <c r="AA586"/>
  <c r="AB586"/>
  <c r="AC586"/>
  <c r="AD586"/>
  <c r="AF586"/>
  <c r="AH586"/>
  <c r="AI586"/>
  <c r="AJ586"/>
  <c r="AK586"/>
  <c r="AL586"/>
  <c r="AM586"/>
  <c r="AO586"/>
  <c r="AZ586"/>
  <c r="BA586"/>
  <c r="BB586"/>
  <c r="BC586"/>
  <c r="BD586"/>
  <c r="BE586"/>
  <c r="BG586"/>
  <c r="BI586"/>
  <c r="BJ586"/>
  <c r="BK586"/>
  <c r="BL586"/>
  <c r="BM586"/>
  <c r="BN586"/>
  <c r="BP586"/>
  <c r="P587"/>
  <c r="Q587"/>
  <c r="R587"/>
  <c r="S587"/>
  <c r="T587"/>
  <c r="U587"/>
  <c r="W587"/>
  <c r="Y587"/>
  <c r="Z587"/>
  <c r="AA587"/>
  <c r="AB587"/>
  <c r="AC587"/>
  <c r="AD587"/>
  <c r="AF587"/>
  <c r="AH587"/>
  <c r="AI587"/>
  <c r="AJ587"/>
  <c r="AK587"/>
  <c r="AL587"/>
  <c r="AM587"/>
  <c r="AO587"/>
  <c r="AQ587"/>
  <c r="AR587"/>
  <c r="AS587"/>
  <c r="AT587"/>
  <c r="AU587"/>
  <c r="AV587"/>
  <c r="AX587"/>
  <c r="AZ587"/>
  <c r="BA587"/>
  <c r="BB587"/>
  <c r="BC587"/>
  <c r="BD587"/>
  <c r="BE587"/>
  <c r="BG587"/>
  <c r="BI587"/>
  <c r="BJ587"/>
  <c r="BK587"/>
  <c r="BL587"/>
  <c r="BM587"/>
  <c r="BN587"/>
  <c r="BP587"/>
  <c r="P588"/>
  <c r="Q588"/>
  <c r="R588"/>
  <c r="S588"/>
  <c r="T588"/>
  <c r="U588"/>
  <c r="W588"/>
  <c r="Y588"/>
  <c r="Z588"/>
  <c r="AA588"/>
  <c r="AB588"/>
  <c r="AC588"/>
  <c r="AD588"/>
  <c r="AF588"/>
  <c r="AH588"/>
  <c r="AI588"/>
  <c r="AJ588"/>
  <c r="AK588"/>
  <c r="AL588"/>
  <c r="AM588"/>
  <c r="AO588"/>
  <c r="AZ588"/>
  <c r="BA588"/>
  <c r="BB588"/>
  <c r="BC588"/>
  <c r="BD588"/>
  <c r="BE588"/>
  <c r="BG588"/>
  <c r="BI588"/>
  <c r="BJ588"/>
  <c r="BK588"/>
  <c r="BL588"/>
  <c r="BM588"/>
  <c r="BN588"/>
  <c r="BP588"/>
  <c r="P589"/>
  <c r="Q589"/>
  <c r="R589"/>
  <c r="S589"/>
  <c r="T589"/>
  <c r="U589"/>
  <c r="W589"/>
  <c r="Y589"/>
  <c r="Z589"/>
  <c r="AA589"/>
  <c r="AB589"/>
  <c r="AC589"/>
  <c r="AD589"/>
  <c r="AF589"/>
  <c r="AH589"/>
  <c r="AI589"/>
  <c r="AJ589"/>
  <c r="AK589"/>
  <c r="AL589"/>
  <c r="AM589"/>
  <c r="AO589"/>
  <c r="AQ589"/>
  <c r="AR589"/>
  <c r="AS589"/>
  <c r="AT589"/>
  <c r="AU589"/>
  <c r="AV589"/>
  <c r="AX589"/>
  <c r="AZ589"/>
  <c r="BA589"/>
  <c r="BB589"/>
  <c r="BC589"/>
  <c r="BD589"/>
  <c r="BE589"/>
  <c r="BG589"/>
  <c r="BI589"/>
  <c r="BJ589"/>
  <c r="BK589"/>
  <c r="BL589"/>
  <c r="BM589"/>
  <c r="BN589"/>
  <c r="BP589"/>
  <c r="P591"/>
  <c r="Q591"/>
  <c r="R591"/>
  <c r="S591"/>
  <c r="T591"/>
  <c r="U591"/>
  <c r="W591"/>
  <c r="Y591"/>
  <c r="Z591"/>
  <c r="AA591"/>
  <c r="AB591"/>
  <c r="AC591"/>
  <c r="AD591"/>
  <c r="AF591"/>
  <c r="AH591"/>
  <c r="AI591"/>
  <c r="AJ591"/>
  <c r="AK591"/>
  <c r="AL591"/>
  <c r="AM591"/>
  <c r="AO591"/>
  <c r="AQ591"/>
  <c r="AR591"/>
  <c r="AS591"/>
  <c r="AT591"/>
  <c r="AU591"/>
  <c r="AV591"/>
  <c r="AX591"/>
  <c r="AZ591"/>
  <c r="BA591"/>
  <c r="BB591"/>
  <c r="BC591"/>
  <c r="BD591"/>
  <c r="BE591"/>
  <c r="BG591"/>
  <c r="BI591"/>
  <c r="BJ591"/>
  <c r="BK591"/>
  <c r="BL591"/>
  <c r="BM591"/>
  <c r="BN591"/>
  <c r="BP591"/>
  <c r="G594"/>
  <c r="H594"/>
  <c r="I594"/>
  <c r="J594"/>
  <c r="K594"/>
  <c r="L594"/>
  <c r="P594"/>
  <c r="Q594"/>
  <c r="R594"/>
  <c r="S594"/>
  <c r="T594"/>
  <c r="U594"/>
  <c r="Y594"/>
  <c r="Z594"/>
  <c r="AA594"/>
  <c r="AB594"/>
  <c r="AC594"/>
  <c r="AD594"/>
  <c r="AH594"/>
  <c r="AI594"/>
  <c r="AJ594"/>
  <c r="AK594"/>
  <c r="AL594"/>
  <c r="AM594"/>
  <c r="AQ594"/>
  <c r="AR594"/>
  <c r="AS594"/>
  <c r="AT594"/>
  <c r="AU594"/>
  <c r="AV594"/>
  <c r="AZ594"/>
  <c r="BA594"/>
  <c r="BB594"/>
  <c r="BC594"/>
  <c r="BD594"/>
  <c r="BE594"/>
  <c r="BI594"/>
  <c r="BJ594"/>
  <c r="BK594"/>
  <c r="BL594"/>
  <c r="BM594"/>
  <c r="BN594"/>
  <c r="G595"/>
  <c r="H595"/>
  <c r="I595"/>
  <c r="J595"/>
  <c r="K595"/>
  <c r="L595"/>
  <c r="P595"/>
  <c r="Q595"/>
  <c r="R595"/>
  <c r="S595"/>
  <c r="T595"/>
  <c r="U595"/>
  <c r="Y595"/>
  <c r="Z595"/>
  <c r="AA595"/>
  <c r="AB595"/>
  <c r="AC595"/>
  <c r="AD595"/>
  <c r="AH595"/>
  <c r="AI595"/>
  <c r="AJ595"/>
  <c r="AK595"/>
  <c r="AL595"/>
  <c r="AM595"/>
  <c r="AQ595"/>
  <c r="AR595"/>
  <c r="AS595"/>
  <c r="AT595"/>
  <c r="AU595"/>
  <c r="AV595"/>
  <c r="AZ595"/>
  <c r="BA595"/>
  <c r="BB595"/>
  <c r="BC595"/>
  <c r="BD595"/>
  <c r="BE595"/>
  <c r="BI595"/>
  <c r="BJ595"/>
  <c r="BK595"/>
  <c r="BL595"/>
  <c r="BM595"/>
  <c r="BN595"/>
  <c r="P597"/>
  <c r="Q597"/>
  <c r="R597"/>
  <c r="S597"/>
  <c r="T597"/>
  <c r="U597"/>
  <c r="Y597"/>
  <c r="Z597"/>
  <c r="AA597"/>
  <c r="AB597"/>
  <c r="AC597"/>
  <c r="AD597"/>
  <c r="AH597"/>
  <c r="AI597"/>
  <c r="AJ597"/>
  <c r="AK597"/>
  <c r="AL597"/>
  <c r="AM597"/>
  <c r="AQ597"/>
  <c r="AR597"/>
  <c r="AS597"/>
  <c r="AT597"/>
  <c r="AU597"/>
  <c r="AV597"/>
  <c r="AZ597"/>
  <c r="BA597"/>
  <c r="BB597"/>
  <c r="BC597"/>
  <c r="BD597"/>
  <c r="BE597"/>
  <c r="BI597"/>
  <c r="BJ597"/>
  <c r="BK597"/>
  <c r="BL597"/>
  <c r="BM597"/>
  <c r="BN597"/>
  <c r="P599"/>
  <c r="Q599"/>
  <c r="R599"/>
  <c r="S599"/>
  <c r="T599"/>
  <c r="U599"/>
  <c r="Y599"/>
  <c r="Z599"/>
  <c r="AA599"/>
  <c r="AB599"/>
  <c r="AC599"/>
  <c r="AD599"/>
  <c r="AH599"/>
  <c r="AI599"/>
  <c r="AJ599"/>
  <c r="AK599"/>
  <c r="AL599"/>
  <c r="AM599"/>
  <c r="AQ599"/>
  <c r="AR599"/>
  <c r="AS599"/>
  <c r="AT599"/>
  <c r="AU599"/>
  <c r="AV599"/>
  <c r="AZ599"/>
  <c r="BA599"/>
  <c r="BB599"/>
  <c r="BC599"/>
  <c r="BD599"/>
  <c r="BE599"/>
  <c r="BI599"/>
  <c r="BJ599"/>
  <c r="BK599"/>
  <c r="BL599"/>
  <c r="BM599"/>
  <c r="BN599"/>
  <c r="G601"/>
  <c r="H601"/>
  <c r="I601"/>
  <c r="J601"/>
  <c r="K601"/>
  <c r="L601"/>
  <c r="P601"/>
  <c r="Q601"/>
  <c r="R601"/>
  <c r="S601"/>
  <c r="T601"/>
  <c r="U601"/>
  <c r="Y601"/>
  <c r="Z601"/>
  <c r="AA601"/>
  <c r="AB601"/>
  <c r="AC601"/>
  <c r="AD601"/>
  <c r="AH601"/>
  <c r="AI601"/>
  <c r="AJ601"/>
  <c r="AK601"/>
  <c r="AL601"/>
  <c r="AM601"/>
  <c r="AQ601"/>
  <c r="AR601"/>
  <c r="AS601"/>
  <c r="AT601"/>
  <c r="AU601"/>
  <c r="AV601"/>
  <c r="AZ601"/>
  <c r="BA601"/>
  <c r="BB601"/>
  <c r="BC601"/>
  <c r="BD601"/>
  <c r="BE601"/>
  <c r="BI601"/>
  <c r="BJ601"/>
  <c r="BK601"/>
  <c r="BL601"/>
  <c r="BM601"/>
  <c r="BN601"/>
  <c r="G606"/>
  <c r="H606"/>
  <c r="I606"/>
  <c r="J606"/>
  <c r="K606"/>
  <c r="L606"/>
  <c r="N606"/>
  <c r="P606"/>
  <c r="Q606"/>
  <c r="R606"/>
  <c r="S606"/>
  <c r="T606"/>
  <c r="U606"/>
  <c r="W606"/>
  <c r="Y606"/>
  <c r="Z606"/>
  <c r="AA606"/>
  <c r="AB606"/>
  <c r="AC606"/>
  <c r="AD606"/>
  <c r="AF606"/>
  <c r="AH606"/>
  <c r="AI606"/>
  <c r="AJ606"/>
  <c r="AK606"/>
  <c r="AL606"/>
  <c r="AM606"/>
  <c r="AO606"/>
  <c r="AQ606"/>
  <c r="AR606"/>
  <c r="AS606"/>
  <c r="AT606"/>
  <c r="AU606"/>
  <c r="AV606"/>
  <c r="AX606"/>
  <c r="AZ606"/>
  <c r="BA606"/>
  <c r="BB606"/>
  <c r="BC606"/>
  <c r="BD606"/>
  <c r="BE606"/>
  <c r="BG606"/>
  <c r="BI606"/>
  <c r="BJ606"/>
  <c r="BK606"/>
  <c r="BL606"/>
  <c r="BM606"/>
  <c r="BN606"/>
  <c r="BP606"/>
  <c r="G608"/>
  <c r="H608"/>
  <c r="I608"/>
  <c r="J608"/>
  <c r="K608"/>
  <c r="L608"/>
  <c r="N608"/>
  <c r="P608"/>
  <c r="Q608"/>
  <c r="R608"/>
  <c r="S608"/>
  <c r="T608"/>
  <c r="U608"/>
  <c r="W608"/>
  <c r="Y608"/>
  <c r="Z608"/>
  <c r="AA608"/>
  <c r="AB608"/>
  <c r="AC608"/>
  <c r="AD608"/>
  <c r="AF608"/>
  <c r="AH608"/>
  <c r="AI608"/>
  <c r="AJ608"/>
  <c r="AK608"/>
  <c r="AL608"/>
  <c r="AM608"/>
  <c r="AO608"/>
  <c r="AQ608"/>
  <c r="AR608"/>
  <c r="AS608"/>
  <c r="AT608"/>
  <c r="AU608"/>
  <c r="AV608"/>
  <c r="AX608"/>
  <c r="AZ608"/>
  <c r="BA608"/>
  <c r="BB608"/>
  <c r="BC608"/>
  <c r="BD608"/>
  <c r="BE608"/>
  <c r="BG608"/>
  <c r="BI608"/>
  <c r="BJ608"/>
  <c r="BK608"/>
  <c r="BL608"/>
  <c r="BM608"/>
  <c r="BN608"/>
  <c r="BP608"/>
  <c r="G609"/>
  <c r="H609"/>
  <c r="I609"/>
  <c r="J609"/>
  <c r="K609"/>
  <c r="L609"/>
  <c r="N609"/>
  <c r="P609"/>
  <c r="Q609"/>
  <c r="R609"/>
  <c r="S609"/>
  <c r="T609"/>
  <c r="U609"/>
  <c r="W609"/>
  <c r="Y609"/>
  <c r="Z609"/>
  <c r="AA609"/>
  <c r="AB609"/>
  <c r="AC609"/>
  <c r="AD609"/>
  <c r="AF609"/>
  <c r="AH609"/>
  <c r="AI609"/>
  <c r="AJ609"/>
  <c r="AK609"/>
  <c r="AL609"/>
  <c r="AM609"/>
  <c r="AO609"/>
  <c r="AQ609"/>
  <c r="AR609"/>
  <c r="AS609"/>
  <c r="AT609"/>
  <c r="AU609"/>
  <c r="AV609"/>
  <c r="AX609"/>
  <c r="AZ609"/>
  <c r="BA609"/>
  <c r="BB609"/>
  <c r="BC609"/>
  <c r="BD609"/>
  <c r="BE609"/>
  <c r="BG609"/>
  <c r="BI609"/>
  <c r="BJ609"/>
  <c r="BK609"/>
  <c r="BL609"/>
  <c r="BM609"/>
  <c r="BN609"/>
  <c r="BP609"/>
  <c r="G612"/>
  <c r="H612"/>
  <c r="I612"/>
  <c r="J612"/>
  <c r="K612"/>
  <c r="L612"/>
  <c r="N612"/>
  <c r="P612"/>
  <c r="Q612"/>
  <c r="R612"/>
  <c r="S612"/>
  <c r="T612"/>
  <c r="U612"/>
  <c r="W612"/>
  <c r="Y612"/>
  <c r="Z612"/>
  <c r="AA612"/>
  <c r="AB612"/>
  <c r="AC612"/>
  <c r="AD612"/>
  <c r="AF612"/>
  <c r="AH612"/>
  <c r="AI612"/>
  <c r="AJ612"/>
  <c r="AK612"/>
  <c r="AL612"/>
  <c r="AM612"/>
  <c r="AO612"/>
  <c r="AQ612"/>
  <c r="AR612"/>
  <c r="AS612"/>
  <c r="AT612"/>
  <c r="AU612"/>
  <c r="AV612"/>
  <c r="AX612"/>
  <c r="AZ612"/>
  <c r="BA612"/>
  <c r="BB612"/>
  <c r="BC612"/>
  <c r="BD612"/>
  <c r="BE612"/>
  <c r="BG612"/>
  <c r="BI612"/>
  <c r="BJ612"/>
  <c r="BK612"/>
  <c r="BL612"/>
  <c r="BM612"/>
  <c r="BN612"/>
  <c r="BP612"/>
  <c r="P614"/>
  <c r="Q614"/>
  <c r="R614"/>
  <c r="S614"/>
  <c r="T614"/>
  <c r="U614"/>
  <c r="W614"/>
  <c r="Y614"/>
  <c r="Z614"/>
  <c r="AA614"/>
  <c r="AB614"/>
  <c r="AC614"/>
  <c r="AD614"/>
  <c r="AF614"/>
  <c r="AH614"/>
  <c r="AI614"/>
  <c r="AJ614"/>
  <c r="AK614"/>
  <c r="AL614"/>
  <c r="AM614"/>
  <c r="AO614"/>
  <c r="AQ614"/>
  <c r="AR614"/>
  <c r="AS614"/>
  <c r="AT614"/>
  <c r="AU614"/>
  <c r="AV614"/>
  <c r="AX614"/>
  <c r="AZ614"/>
  <c r="BA614"/>
  <c r="BB614"/>
  <c r="BC614"/>
  <c r="BD614"/>
  <c r="BE614"/>
  <c r="BG614"/>
  <c r="BI614"/>
  <c r="BJ614"/>
  <c r="BK614"/>
  <c r="BL614"/>
  <c r="BM614"/>
  <c r="BN614"/>
  <c r="BP614"/>
  <c r="G616"/>
  <c r="H616"/>
  <c r="I616"/>
  <c r="J616"/>
  <c r="K616"/>
  <c r="L616"/>
  <c r="N616"/>
  <c r="P616"/>
  <c r="Q616"/>
  <c r="R616"/>
  <c r="S616"/>
  <c r="T616"/>
  <c r="U616"/>
  <c r="W616"/>
  <c r="Y616"/>
  <c r="Z616"/>
  <c r="AA616"/>
  <c r="AB616"/>
  <c r="AC616"/>
  <c r="AD616"/>
  <c r="AF616"/>
  <c r="AH616"/>
  <c r="AI616"/>
  <c r="AJ616"/>
  <c r="AK616"/>
  <c r="AL616"/>
  <c r="AM616"/>
  <c r="AO616"/>
  <c r="AQ616"/>
  <c r="AR616"/>
  <c r="AS616"/>
  <c r="AT616"/>
  <c r="AU616"/>
  <c r="AV616"/>
  <c r="AX616"/>
  <c r="AZ616"/>
  <c r="BA616"/>
  <c r="BB616"/>
  <c r="BC616"/>
  <c r="BD616"/>
  <c r="BE616"/>
  <c r="BG616"/>
  <c r="BI616"/>
  <c r="BJ616"/>
  <c r="BK616"/>
  <c r="BL616"/>
  <c r="BM616"/>
  <c r="BN616"/>
  <c r="BP616"/>
  <c r="G619"/>
  <c r="H619"/>
  <c r="I619"/>
  <c r="J619"/>
  <c r="K619"/>
  <c r="L619"/>
  <c r="N619"/>
  <c r="P619"/>
  <c r="Q619"/>
  <c r="R619"/>
  <c r="S619"/>
  <c r="T619"/>
  <c r="U619"/>
  <c r="W619"/>
  <c r="Y619"/>
  <c r="Z619"/>
  <c r="AA619"/>
  <c r="AB619"/>
  <c r="AC619"/>
  <c r="AD619"/>
  <c r="AF619"/>
  <c r="AH619"/>
  <c r="AI619"/>
  <c r="AJ619"/>
  <c r="AK619"/>
  <c r="AL619"/>
  <c r="AM619"/>
  <c r="AO619"/>
  <c r="AZ619"/>
  <c r="BA619"/>
  <c r="BB619"/>
  <c r="BC619"/>
  <c r="BD619"/>
  <c r="BE619"/>
  <c r="BG619"/>
  <c r="BI619"/>
  <c r="BJ619"/>
  <c r="BK619"/>
  <c r="BL619"/>
  <c r="BM619"/>
  <c r="BN619"/>
  <c r="BP619"/>
  <c r="G620"/>
  <c r="H620"/>
  <c r="I620"/>
  <c r="J620"/>
  <c r="K620"/>
  <c r="L620"/>
  <c r="N620"/>
  <c r="P620"/>
  <c r="Q620"/>
  <c r="R620"/>
  <c r="S620"/>
  <c r="T620"/>
  <c r="U620"/>
  <c r="W620"/>
  <c r="Y620"/>
  <c r="Z620"/>
  <c r="AA620"/>
  <c r="AB620"/>
  <c r="AC620"/>
  <c r="AD620"/>
  <c r="AF620"/>
  <c r="AH620"/>
  <c r="AI620"/>
  <c r="AJ620"/>
  <c r="AK620"/>
  <c r="AL620"/>
  <c r="AM620"/>
  <c r="AO620"/>
  <c r="AZ620"/>
  <c r="BA620"/>
  <c r="BB620"/>
  <c r="BC620"/>
  <c r="BD620"/>
  <c r="BE620"/>
  <c r="BG620"/>
  <c r="BI620"/>
  <c r="BJ620"/>
  <c r="BK620"/>
  <c r="BL620"/>
  <c r="BM620"/>
  <c r="BN620"/>
  <c r="BP620"/>
  <c r="G621"/>
  <c r="H621"/>
  <c r="I621"/>
  <c r="J621"/>
  <c r="K621"/>
  <c r="L621"/>
  <c r="N621"/>
  <c r="P621"/>
  <c r="Q621"/>
  <c r="R621"/>
  <c r="S621"/>
  <c r="T621"/>
  <c r="U621"/>
  <c r="W621"/>
  <c r="Y621"/>
  <c r="Z621"/>
  <c r="AA621"/>
  <c r="AB621"/>
  <c r="AC621"/>
  <c r="AD621"/>
  <c r="AF621"/>
  <c r="AH621"/>
  <c r="AI621"/>
  <c r="AJ621"/>
  <c r="AK621"/>
  <c r="AL621"/>
  <c r="AM621"/>
  <c r="AO621"/>
  <c r="AZ621"/>
  <c r="BA621"/>
  <c r="BB621"/>
  <c r="BC621"/>
  <c r="BD621"/>
  <c r="BE621"/>
  <c r="BG621"/>
  <c r="BI621"/>
  <c r="BJ621"/>
  <c r="BK621"/>
  <c r="BL621"/>
  <c r="BM621"/>
  <c r="BN621"/>
  <c r="BP621"/>
  <c r="G623"/>
  <c r="H623"/>
  <c r="I623"/>
  <c r="J623"/>
  <c r="K623"/>
  <c r="L623"/>
  <c r="N623"/>
  <c r="P623"/>
  <c r="Q623"/>
  <c r="R623"/>
  <c r="S623"/>
  <c r="T623"/>
  <c r="U623"/>
  <c r="W623"/>
  <c r="Y623"/>
  <c r="Z623"/>
  <c r="AA623"/>
  <c r="AB623"/>
  <c r="AC623"/>
  <c r="AD623"/>
  <c r="AF623"/>
  <c r="AH623"/>
  <c r="AI623"/>
  <c r="AJ623"/>
  <c r="AK623"/>
  <c r="AL623"/>
  <c r="AM623"/>
  <c r="AO623"/>
  <c r="AQ623"/>
  <c r="AR623"/>
  <c r="AS623"/>
  <c r="AT623"/>
  <c r="AU623"/>
  <c r="AV623"/>
  <c r="AX623"/>
  <c r="AZ623"/>
  <c r="BA623"/>
  <c r="BB623"/>
  <c r="BC623"/>
  <c r="BD623"/>
  <c r="BE623"/>
  <c r="BG623"/>
  <c r="BI623"/>
  <c r="BJ623"/>
  <c r="BK623"/>
  <c r="BL623"/>
  <c r="BM623"/>
  <c r="BN623"/>
  <c r="BP623"/>
  <c r="G624"/>
  <c r="H624"/>
  <c r="I624"/>
  <c r="J624"/>
  <c r="K624"/>
  <c r="L624"/>
  <c r="N624"/>
  <c r="P624"/>
  <c r="Q624"/>
  <c r="R624"/>
  <c r="S624"/>
  <c r="T624"/>
  <c r="U624"/>
  <c r="W624"/>
  <c r="Y624"/>
  <c r="Z624"/>
  <c r="AA624"/>
  <c r="AB624"/>
  <c r="AC624"/>
  <c r="AD624"/>
  <c r="AF624"/>
  <c r="AH624"/>
  <c r="AI624"/>
  <c r="AJ624"/>
  <c r="AK624"/>
  <c r="AL624"/>
  <c r="AM624"/>
  <c r="AO624"/>
  <c r="AQ624"/>
  <c r="AR624"/>
  <c r="AS624"/>
  <c r="AT624"/>
  <c r="AU624"/>
  <c r="AV624"/>
  <c r="AX624"/>
  <c r="AZ624"/>
  <c r="BA624"/>
  <c r="BB624"/>
  <c r="BC624"/>
  <c r="BD624"/>
  <c r="BE624"/>
  <c r="BG624"/>
  <c r="BI624"/>
  <c r="BJ624"/>
  <c r="BK624"/>
  <c r="BL624"/>
  <c r="BM624"/>
  <c r="BN624"/>
  <c r="BP624"/>
  <c r="G625"/>
  <c r="H625"/>
  <c r="I625"/>
  <c r="J625"/>
  <c r="K625"/>
  <c r="L625"/>
  <c r="G626"/>
  <c r="H626"/>
  <c r="I626"/>
  <c r="J626"/>
  <c r="K626"/>
  <c r="L626"/>
  <c r="G629"/>
  <c r="H629"/>
  <c r="I629"/>
  <c r="J629"/>
  <c r="K629"/>
  <c r="L629"/>
  <c r="P629"/>
  <c r="Q629"/>
  <c r="R629"/>
  <c r="S629"/>
  <c r="T629"/>
  <c r="U629"/>
  <c r="Y629"/>
  <c r="Z629"/>
  <c r="AA629"/>
  <c r="AB629"/>
  <c r="AC629"/>
  <c r="AD629"/>
  <c r="AH629"/>
  <c r="AI629"/>
  <c r="AJ629"/>
  <c r="AK629"/>
  <c r="AL629"/>
  <c r="AM629"/>
  <c r="AQ629"/>
  <c r="AR629"/>
  <c r="AS629"/>
  <c r="AT629"/>
  <c r="AU629"/>
  <c r="AV629"/>
  <c r="AZ629"/>
  <c r="BA629"/>
  <c r="BB629"/>
  <c r="BC629"/>
  <c r="BD629"/>
  <c r="BE629"/>
  <c r="BI629"/>
  <c r="BJ629"/>
  <c r="BK629"/>
  <c r="BL629"/>
  <c r="BM629"/>
  <c r="BN629"/>
  <c r="G630"/>
  <c r="H630"/>
  <c r="I630"/>
  <c r="J630"/>
  <c r="K630"/>
  <c r="L630"/>
  <c r="P630"/>
  <c r="Q630"/>
  <c r="R630"/>
  <c r="S630"/>
  <c r="T630"/>
  <c r="U630"/>
  <c r="Y630"/>
  <c r="Z630"/>
  <c r="AA630"/>
  <c r="AB630"/>
  <c r="AC630"/>
  <c r="AD630"/>
  <c r="AH630"/>
  <c r="AI630"/>
  <c r="AJ630"/>
  <c r="AK630"/>
  <c r="AL630"/>
  <c r="AM630"/>
  <c r="AQ630"/>
  <c r="AR630"/>
  <c r="AS630"/>
  <c r="AT630"/>
  <c r="AU630"/>
  <c r="AV630"/>
  <c r="AZ630"/>
  <c r="BA630"/>
  <c r="BB630"/>
  <c r="BC630"/>
  <c r="BD630"/>
  <c r="BE630"/>
  <c r="BI630"/>
  <c r="BJ630"/>
  <c r="BK630"/>
  <c r="BL630"/>
  <c r="BM630"/>
  <c r="BN630"/>
  <c r="P633"/>
  <c r="Q633"/>
  <c r="R633"/>
  <c r="S633"/>
  <c r="T633"/>
  <c r="U633"/>
  <c r="W633"/>
  <c r="Y633"/>
  <c r="Z633"/>
  <c r="AA633"/>
  <c r="AB633"/>
  <c r="AC633"/>
  <c r="AD633"/>
  <c r="AF633"/>
  <c r="AH633"/>
  <c r="AI633"/>
  <c r="AJ633"/>
  <c r="AK633"/>
  <c r="AL633"/>
  <c r="AM633"/>
  <c r="AO633"/>
  <c r="AQ633"/>
  <c r="AR633"/>
  <c r="AS633"/>
  <c r="AT633"/>
  <c r="AU633"/>
  <c r="AV633"/>
  <c r="AX633"/>
  <c r="AZ633"/>
  <c r="BA633"/>
  <c r="BB633"/>
  <c r="BC633"/>
  <c r="BD633"/>
  <c r="BE633"/>
  <c r="BG633"/>
  <c r="BI633"/>
  <c r="BJ633"/>
  <c r="BK633"/>
  <c r="BL633"/>
  <c r="BM633"/>
  <c r="BN633"/>
  <c r="BP633"/>
  <c r="P634"/>
  <c r="Q634"/>
  <c r="R634"/>
  <c r="S634"/>
  <c r="T634"/>
  <c r="U634"/>
  <c r="W634"/>
  <c r="Y634"/>
  <c r="Z634"/>
  <c r="AA634"/>
  <c r="AB634"/>
  <c r="AC634"/>
  <c r="AD634"/>
  <c r="AF634"/>
  <c r="AH634"/>
  <c r="AI634"/>
  <c r="AJ634"/>
  <c r="AK634"/>
  <c r="AL634"/>
  <c r="AM634"/>
  <c r="AO634"/>
  <c r="AZ634"/>
  <c r="BA634"/>
  <c r="BB634"/>
  <c r="BC634"/>
  <c r="BD634"/>
  <c r="BE634"/>
  <c r="BG634"/>
  <c r="BI634"/>
  <c r="BJ634"/>
  <c r="BK634"/>
  <c r="BL634"/>
  <c r="BM634"/>
  <c r="BN634"/>
  <c r="BP634"/>
  <c r="P635"/>
  <c r="Q635"/>
  <c r="R635"/>
  <c r="S635"/>
  <c r="T635"/>
  <c r="U635"/>
  <c r="W635"/>
  <c r="Y635"/>
  <c r="Z635"/>
  <c r="AA635"/>
  <c r="AB635"/>
  <c r="AC635"/>
  <c r="AD635"/>
  <c r="AF635"/>
  <c r="AH635"/>
  <c r="AI635"/>
  <c r="AJ635"/>
  <c r="AK635"/>
  <c r="AL635"/>
  <c r="AM635"/>
  <c r="AO635"/>
  <c r="AQ635"/>
  <c r="AR635"/>
  <c r="AS635"/>
  <c r="AT635"/>
  <c r="AU635"/>
  <c r="AV635"/>
  <c r="AX635"/>
  <c r="AZ635"/>
  <c r="BA635"/>
  <c r="BB635"/>
  <c r="BC635"/>
  <c r="BD635"/>
  <c r="BE635"/>
  <c r="BG635"/>
  <c r="BI635"/>
  <c r="BJ635"/>
  <c r="BK635"/>
  <c r="BL635"/>
  <c r="BM635"/>
  <c r="BN635"/>
  <c r="BP635"/>
  <c r="P636"/>
  <c r="Q636"/>
  <c r="R636"/>
  <c r="S636"/>
  <c r="T636"/>
  <c r="U636"/>
  <c r="W636"/>
  <c r="Y636"/>
  <c r="Z636"/>
  <c r="AA636"/>
  <c r="AB636"/>
  <c r="AC636"/>
  <c r="AD636"/>
  <c r="AF636"/>
  <c r="AH636"/>
  <c r="AI636"/>
  <c r="AJ636"/>
  <c r="AK636"/>
  <c r="AL636"/>
  <c r="AM636"/>
  <c r="AO636"/>
  <c r="AZ636"/>
  <c r="BA636"/>
  <c r="BB636"/>
  <c r="BC636"/>
  <c r="BD636"/>
  <c r="BE636"/>
  <c r="BG636"/>
  <c r="BI636"/>
  <c r="BJ636"/>
  <c r="BK636"/>
  <c r="BL636"/>
  <c r="BM636"/>
  <c r="BN636"/>
  <c r="BP636"/>
  <c r="P637"/>
  <c r="Q637"/>
  <c r="R637"/>
  <c r="S637"/>
  <c r="T637"/>
  <c r="U637"/>
  <c r="W637"/>
  <c r="Y637"/>
  <c r="Z637"/>
  <c r="AA637"/>
  <c r="AB637"/>
  <c r="AC637"/>
  <c r="AD637"/>
  <c r="AF637"/>
  <c r="AH637"/>
  <c r="AI637"/>
  <c r="AJ637"/>
  <c r="AK637"/>
  <c r="AL637"/>
  <c r="AM637"/>
  <c r="AO637"/>
  <c r="AQ637"/>
  <c r="AR637"/>
  <c r="AS637"/>
  <c r="AT637"/>
  <c r="AU637"/>
  <c r="AV637"/>
  <c r="AX637"/>
  <c r="AZ637"/>
  <c r="BA637"/>
  <c r="BB637"/>
  <c r="BC637"/>
  <c r="BD637"/>
  <c r="BE637"/>
  <c r="BG637"/>
  <c r="BI637"/>
  <c r="BJ637"/>
  <c r="BK637"/>
  <c r="BL637"/>
  <c r="BM637"/>
  <c r="BN637"/>
  <c r="BP637"/>
  <c r="P639"/>
  <c r="Q639"/>
  <c r="R639"/>
  <c r="S639"/>
  <c r="T639"/>
  <c r="U639"/>
  <c r="W639"/>
  <c r="Y639"/>
  <c r="Z639"/>
  <c r="AA639"/>
  <c r="AB639"/>
  <c r="AC639"/>
  <c r="AD639"/>
  <c r="AF639"/>
  <c r="AH639"/>
  <c r="AI639"/>
  <c r="AJ639"/>
  <c r="AK639"/>
  <c r="AL639"/>
  <c r="AM639"/>
  <c r="AO639"/>
  <c r="AQ639"/>
  <c r="AR639"/>
  <c r="AS639"/>
  <c r="AT639"/>
  <c r="AU639"/>
  <c r="AV639"/>
  <c r="AX639"/>
  <c r="AZ639"/>
  <c r="BA639"/>
  <c r="BB639"/>
  <c r="BC639"/>
  <c r="BD639"/>
  <c r="BE639"/>
  <c r="BG639"/>
  <c r="BI639"/>
  <c r="BJ639"/>
  <c r="BK639"/>
  <c r="BL639"/>
  <c r="BM639"/>
  <c r="BN639"/>
  <c r="BP639"/>
  <c r="G642"/>
  <c r="H642"/>
  <c r="I642"/>
  <c r="J642"/>
  <c r="K642"/>
  <c r="L642"/>
  <c r="P642"/>
  <c r="Q642"/>
  <c r="R642"/>
  <c r="S642"/>
  <c r="T642"/>
  <c r="U642"/>
  <c r="Y642"/>
  <c r="Z642"/>
  <c r="AA642"/>
  <c r="AB642"/>
  <c r="AC642"/>
  <c r="AD642"/>
  <c r="AH642"/>
  <c r="AI642"/>
  <c r="AJ642"/>
  <c r="AK642"/>
  <c r="AL642"/>
  <c r="AM642"/>
  <c r="AQ642"/>
  <c r="AR642"/>
  <c r="AS642"/>
  <c r="AT642"/>
  <c r="AU642"/>
  <c r="AV642"/>
  <c r="AZ642"/>
  <c r="BA642"/>
  <c r="BB642"/>
  <c r="BC642"/>
  <c r="BD642"/>
  <c r="BE642"/>
  <c r="BI642"/>
  <c r="BJ642"/>
  <c r="BK642"/>
  <c r="BL642"/>
  <c r="BM642"/>
  <c r="BN642"/>
  <c r="G643"/>
  <c r="H643"/>
  <c r="I643"/>
  <c r="J643"/>
  <c r="K643"/>
  <c r="L643"/>
  <c r="P643"/>
  <c r="Q643"/>
  <c r="R643"/>
  <c r="S643"/>
  <c r="T643"/>
  <c r="U643"/>
  <c r="Y643"/>
  <c r="Z643"/>
  <c r="AA643"/>
  <c r="AB643"/>
  <c r="AC643"/>
  <c r="AD643"/>
  <c r="AH643"/>
  <c r="AI643"/>
  <c r="AJ643"/>
  <c r="AK643"/>
  <c r="AL643"/>
  <c r="AM643"/>
  <c r="AQ643"/>
  <c r="AR643"/>
  <c r="AS643"/>
  <c r="AT643"/>
  <c r="AU643"/>
  <c r="AV643"/>
  <c r="AZ643"/>
  <c r="BA643"/>
  <c r="BB643"/>
  <c r="BC643"/>
  <c r="BD643"/>
  <c r="BE643"/>
  <c r="BI643"/>
  <c r="BJ643"/>
  <c r="BK643"/>
  <c r="BL643"/>
  <c r="BM643"/>
  <c r="BN643"/>
  <c r="P645"/>
  <c r="Q645"/>
  <c r="R645"/>
  <c r="S645"/>
  <c r="T645"/>
  <c r="U645"/>
  <c r="Y645"/>
  <c r="Z645"/>
  <c r="AA645"/>
  <c r="AB645"/>
  <c r="AC645"/>
  <c r="AD645"/>
  <c r="AH645"/>
  <c r="AI645"/>
  <c r="AJ645"/>
  <c r="AK645"/>
  <c r="AL645"/>
  <c r="AM645"/>
  <c r="AQ645"/>
  <c r="AR645"/>
  <c r="AS645"/>
  <c r="AT645"/>
  <c r="AU645"/>
  <c r="AV645"/>
  <c r="AZ645"/>
  <c r="BA645"/>
  <c r="BB645"/>
  <c r="BC645"/>
  <c r="BD645"/>
  <c r="BE645"/>
  <c r="BI645"/>
  <c r="BJ645"/>
  <c r="BK645"/>
  <c r="BL645"/>
  <c r="BM645"/>
  <c r="BN645"/>
  <c r="P647"/>
  <c r="Q647"/>
  <c r="R647"/>
  <c r="S647"/>
  <c r="T647"/>
  <c r="U647"/>
  <c r="Y647"/>
  <c r="Z647"/>
  <c r="AA647"/>
  <c r="AB647"/>
  <c r="AC647"/>
  <c r="AD647"/>
  <c r="AH647"/>
  <c r="AI647"/>
  <c r="AJ647"/>
  <c r="AK647"/>
  <c r="AL647"/>
  <c r="AM647"/>
  <c r="AQ647"/>
  <c r="AR647"/>
  <c r="AS647"/>
  <c r="AT647"/>
  <c r="AU647"/>
  <c r="AV647"/>
  <c r="AZ647"/>
  <c r="BA647"/>
  <c r="BB647"/>
  <c r="BC647"/>
  <c r="BD647"/>
  <c r="BE647"/>
  <c r="BI647"/>
  <c r="BJ647"/>
  <c r="BK647"/>
  <c r="BL647"/>
  <c r="BM647"/>
  <c r="BN647"/>
  <c r="G649"/>
  <c r="H649"/>
  <c r="I649"/>
  <c r="J649"/>
  <c r="K649"/>
  <c r="L649"/>
  <c r="P649"/>
  <c r="Q649"/>
  <c r="R649"/>
  <c r="S649"/>
  <c r="T649"/>
  <c r="U649"/>
  <c r="Y649"/>
  <c r="Z649"/>
  <c r="AA649"/>
  <c r="AB649"/>
  <c r="AC649"/>
  <c r="AD649"/>
  <c r="AH649"/>
  <c r="AI649"/>
  <c r="AJ649"/>
  <c r="AK649"/>
  <c r="AL649"/>
  <c r="AM649"/>
  <c r="AQ649"/>
  <c r="AR649"/>
  <c r="AS649"/>
  <c r="AT649"/>
  <c r="AU649"/>
  <c r="AV649"/>
  <c r="AZ649"/>
  <c r="BA649"/>
  <c r="BB649"/>
  <c r="BC649"/>
  <c r="BD649"/>
  <c r="BE649"/>
  <c r="BI649"/>
  <c r="BJ649"/>
  <c r="BK649"/>
  <c r="BL649"/>
  <c r="BM649"/>
  <c r="BN649"/>
  <c r="G654"/>
  <c r="H654"/>
  <c r="I654"/>
  <c r="J654"/>
  <c r="K654"/>
  <c r="L654"/>
  <c r="N654"/>
  <c r="P654"/>
  <c r="Q654"/>
  <c r="R654"/>
  <c r="S654"/>
  <c r="T654"/>
  <c r="U654"/>
  <c r="W654"/>
  <c r="Y654"/>
  <c r="Z654"/>
  <c r="AA654"/>
  <c r="AB654"/>
  <c r="AC654"/>
  <c r="AD654"/>
  <c r="AF654"/>
  <c r="AH654"/>
  <c r="AI654"/>
  <c r="AJ654"/>
  <c r="AK654"/>
  <c r="AL654"/>
  <c r="AM654"/>
  <c r="AO654"/>
  <c r="AQ654"/>
  <c r="AR654"/>
  <c r="AS654"/>
  <c r="AT654"/>
  <c r="AU654"/>
  <c r="AV654"/>
  <c r="AX654"/>
  <c r="AZ654"/>
  <c r="BA654"/>
  <c r="BB654"/>
  <c r="BC654"/>
  <c r="BD654"/>
  <c r="BE654"/>
  <c r="BG654"/>
  <c r="BI654"/>
  <c r="BJ654"/>
  <c r="BK654"/>
  <c r="BL654"/>
  <c r="BM654"/>
  <c r="BN654"/>
  <c r="BP654"/>
  <c r="G656"/>
  <c r="H656"/>
  <c r="I656"/>
  <c r="J656"/>
  <c r="K656"/>
  <c r="L656"/>
  <c r="N656"/>
  <c r="P656"/>
  <c r="Q656"/>
  <c r="R656"/>
  <c r="S656"/>
  <c r="T656"/>
  <c r="U656"/>
  <c r="W656"/>
  <c r="Y656"/>
  <c r="Z656"/>
  <c r="AA656"/>
  <c r="AB656"/>
  <c r="AC656"/>
  <c r="AD656"/>
  <c r="AF656"/>
  <c r="AH656"/>
  <c r="AI656"/>
  <c r="AJ656"/>
  <c r="AK656"/>
  <c r="AL656"/>
  <c r="AM656"/>
  <c r="AO656"/>
  <c r="AQ656"/>
  <c r="AR656"/>
  <c r="AS656"/>
  <c r="AT656"/>
  <c r="AU656"/>
  <c r="AV656"/>
  <c r="AX656"/>
  <c r="AZ656"/>
  <c r="BA656"/>
  <c r="BB656"/>
  <c r="BC656"/>
  <c r="BD656"/>
  <c r="BE656"/>
  <c r="BG656"/>
  <c r="BI656"/>
  <c r="BJ656"/>
  <c r="BK656"/>
  <c r="BL656"/>
  <c r="BM656"/>
  <c r="BN656"/>
  <c r="BP656"/>
  <c r="G657"/>
  <c r="H657"/>
  <c r="I657"/>
  <c r="J657"/>
  <c r="K657"/>
  <c r="L657"/>
  <c r="N657"/>
  <c r="P657"/>
  <c r="Q657"/>
  <c r="R657"/>
  <c r="S657"/>
  <c r="T657"/>
  <c r="U657"/>
  <c r="W657"/>
  <c r="Y657"/>
  <c r="Z657"/>
  <c r="AA657"/>
  <c r="AB657"/>
  <c r="AC657"/>
  <c r="AD657"/>
  <c r="AF657"/>
  <c r="AH657"/>
  <c r="AI657"/>
  <c r="AJ657"/>
  <c r="AK657"/>
  <c r="AL657"/>
  <c r="AM657"/>
  <c r="AO657"/>
  <c r="AQ657"/>
  <c r="AR657"/>
  <c r="AS657"/>
  <c r="AT657"/>
  <c r="AU657"/>
  <c r="AV657"/>
  <c r="AX657"/>
  <c r="AZ657"/>
  <c r="BA657"/>
  <c r="BB657"/>
  <c r="BC657"/>
  <c r="BD657"/>
  <c r="BE657"/>
  <c r="BG657"/>
  <c r="BI657"/>
  <c r="BJ657"/>
  <c r="BK657"/>
  <c r="BL657"/>
  <c r="BM657"/>
  <c r="BN657"/>
  <c r="BP657"/>
  <c r="G660"/>
  <c r="H660"/>
  <c r="I660"/>
  <c r="J660"/>
  <c r="K660"/>
  <c r="L660"/>
  <c r="N660"/>
  <c r="P660"/>
  <c r="Q660"/>
  <c r="R660"/>
  <c r="S660"/>
  <c r="T660"/>
  <c r="U660"/>
  <c r="W660"/>
  <c r="Y660"/>
  <c r="Z660"/>
  <c r="AA660"/>
  <c r="AB660"/>
  <c r="AC660"/>
  <c r="AD660"/>
  <c r="AF660"/>
  <c r="AH660"/>
  <c r="AI660"/>
  <c r="AJ660"/>
  <c r="AK660"/>
  <c r="AL660"/>
  <c r="AM660"/>
  <c r="AO660"/>
  <c r="AQ660"/>
  <c r="AR660"/>
  <c r="AS660"/>
  <c r="AT660"/>
  <c r="AU660"/>
  <c r="AV660"/>
  <c r="AX660"/>
  <c r="AZ660"/>
  <c r="BA660"/>
  <c r="BB660"/>
  <c r="BC660"/>
  <c r="BD660"/>
  <c r="BE660"/>
  <c r="BG660"/>
  <c r="BI660"/>
  <c r="BJ660"/>
  <c r="BK660"/>
  <c r="BL660"/>
  <c r="BM660"/>
  <c r="BN660"/>
  <c r="BP660"/>
  <c r="P662"/>
  <c r="Q662"/>
  <c r="R662"/>
  <c r="S662"/>
  <c r="T662"/>
  <c r="U662"/>
  <c r="W662"/>
  <c r="Y662"/>
  <c r="Z662"/>
  <c r="AA662"/>
  <c r="AB662"/>
  <c r="AC662"/>
  <c r="AD662"/>
  <c r="AF662"/>
  <c r="AH662"/>
  <c r="AI662"/>
  <c r="AJ662"/>
  <c r="AK662"/>
  <c r="AL662"/>
  <c r="AM662"/>
  <c r="AO662"/>
  <c r="AQ662"/>
  <c r="AR662"/>
  <c r="AS662"/>
  <c r="AT662"/>
  <c r="AU662"/>
  <c r="AV662"/>
  <c r="AX662"/>
  <c r="AZ662"/>
  <c r="BA662"/>
  <c r="BB662"/>
  <c r="BC662"/>
  <c r="BD662"/>
  <c r="BE662"/>
  <c r="BG662"/>
  <c r="BI662"/>
  <c r="BJ662"/>
  <c r="BK662"/>
  <c r="BL662"/>
  <c r="BM662"/>
  <c r="BN662"/>
  <c r="BP662"/>
  <c r="G664"/>
  <c r="H664"/>
  <c r="I664"/>
  <c r="J664"/>
  <c r="K664"/>
  <c r="L664"/>
  <c r="N664"/>
  <c r="P664"/>
  <c r="Q664"/>
  <c r="R664"/>
  <c r="S664"/>
  <c r="T664"/>
  <c r="U664"/>
  <c r="W664"/>
  <c r="Y664"/>
  <c r="Z664"/>
  <c r="AA664"/>
  <c r="AB664"/>
  <c r="AC664"/>
  <c r="AD664"/>
  <c r="AF664"/>
  <c r="AH664"/>
  <c r="AI664"/>
  <c r="AJ664"/>
  <c r="AK664"/>
  <c r="AL664"/>
  <c r="AM664"/>
  <c r="AO664"/>
  <c r="AQ664"/>
  <c r="AR664"/>
  <c r="AS664"/>
  <c r="AT664"/>
  <c r="AU664"/>
  <c r="AV664"/>
  <c r="AX664"/>
  <c r="AZ664"/>
  <c r="BA664"/>
  <c r="BB664"/>
  <c r="BC664"/>
  <c r="BD664"/>
  <c r="BE664"/>
  <c r="BG664"/>
  <c r="BI664"/>
  <c r="BJ664"/>
  <c r="BK664"/>
  <c r="BL664"/>
  <c r="BM664"/>
  <c r="BN664"/>
  <c r="BP664"/>
  <c r="G667"/>
  <c r="H667"/>
  <c r="I667"/>
  <c r="J667"/>
  <c r="K667"/>
  <c r="L667"/>
  <c r="N667"/>
  <c r="P667"/>
  <c r="Q667"/>
  <c r="R667"/>
  <c r="S667"/>
  <c r="T667"/>
  <c r="U667"/>
  <c r="W667"/>
  <c r="Y667"/>
  <c r="Z667"/>
  <c r="AA667"/>
  <c r="AB667"/>
  <c r="AC667"/>
  <c r="AD667"/>
  <c r="AF667"/>
  <c r="AH667"/>
  <c r="AI667"/>
  <c r="AJ667"/>
  <c r="AK667"/>
  <c r="AL667"/>
  <c r="AM667"/>
  <c r="AO667"/>
  <c r="AZ667"/>
  <c r="BA667"/>
  <c r="BB667"/>
  <c r="BC667"/>
  <c r="BD667"/>
  <c r="BE667"/>
  <c r="BG667"/>
  <c r="BI667"/>
  <c r="BJ667"/>
  <c r="BK667"/>
  <c r="BL667"/>
  <c r="BM667"/>
  <c r="BN667"/>
  <c r="BP667"/>
  <c r="G668"/>
  <c r="H668"/>
  <c r="I668"/>
  <c r="J668"/>
  <c r="K668"/>
  <c r="L668"/>
  <c r="N668"/>
  <c r="P668"/>
  <c r="Q668"/>
  <c r="R668"/>
  <c r="S668"/>
  <c r="T668"/>
  <c r="U668"/>
  <c r="W668"/>
  <c r="Y668"/>
  <c r="Z668"/>
  <c r="AA668"/>
  <c r="AB668"/>
  <c r="AC668"/>
  <c r="AD668"/>
  <c r="AF668"/>
  <c r="AH668"/>
  <c r="AI668"/>
  <c r="AJ668"/>
  <c r="AK668"/>
  <c r="AL668"/>
  <c r="AM668"/>
  <c r="AO668"/>
  <c r="AZ668"/>
  <c r="BA668"/>
  <c r="BB668"/>
  <c r="BC668"/>
  <c r="BD668"/>
  <c r="BE668"/>
  <c r="BG668"/>
  <c r="BI668"/>
  <c r="BJ668"/>
  <c r="BK668"/>
  <c r="BL668"/>
  <c r="BM668"/>
  <c r="BN668"/>
  <c r="BP668"/>
  <c r="G669"/>
  <c r="H669"/>
  <c r="I669"/>
  <c r="J669"/>
  <c r="K669"/>
  <c r="L669"/>
  <c r="N669"/>
  <c r="P669"/>
  <c r="Q669"/>
  <c r="R669"/>
  <c r="S669"/>
  <c r="T669"/>
  <c r="U669"/>
  <c r="W669"/>
  <c r="Y669"/>
  <c r="Z669"/>
  <c r="AA669"/>
  <c r="AB669"/>
  <c r="AC669"/>
  <c r="AD669"/>
  <c r="AF669"/>
  <c r="AH669"/>
  <c r="AI669"/>
  <c r="AJ669"/>
  <c r="AK669"/>
  <c r="AL669"/>
  <c r="AM669"/>
  <c r="AO669"/>
  <c r="AZ669"/>
  <c r="BA669"/>
  <c r="BB669"/>
  <c r="BC669"/>
  <c r="BD669"/>
  <c r="BE669"/>
  <c r="BG669"/>
  <c r="BI669"/>
  <c r="BJ669"/>
  <c r="BK669"/>
  <c r="BL669"/>
  <c r="BM669"/>
  <c r="BN669"/>
  <c r="BP669"/>
  <c r="G671"/>
  <c r="H671"/>
  <c r="I671"/>
  <c r="J671"/>
  <c r="K671"/>
  <c r="L671"/>
  <c r="N671"/>
  <c r="P671"/>
  <c r="Q671"/>
  <c r="R671"/>
  <c r="S671"/>
  <c r="T671"/>
  <c r="U671"/>
  <c r="W671"/>
  <c r="Y671"/>
  <c r="Z671"/>
  <c r="AA671"/>
  <c r="AB671"/>
  <c r="AC671"/>
  <c r="AD671"/>
  <c r="AF671"/>
  <c r="AH671"/>
  <c r="AI671"/>
  <c r="AJ671"/>
  <c r="AK671"/>
  <c r="AL671"/>
  <c r="AM671"/>
  <c r="AO671"/>
  <c r="AQ671"/>
  <c r="AR671"/>
  <c r="AS671"/>
  <c r="AT671"/>
  <c r="AU671"/>
  <c r="AV671"/>
  <c r="AX671"/>
  <c r="AZ671"/>
  <c r="BA671"/>
  <c r="BB671"/>
  <c r="BC671"/>
  <c r="BD671"/>
  <c r="BE671"/>
  <c r="BG671"/>
  <c r="BI671"/>
  <c r="BJ671"/>
  <c r="BK671"/>
  <c r="BL671"/>
  <c r="BM671"/>
  <c r="BN671"/>
  <c r="BP671"/>
  <c r="G672"/>
  <c r="H672"/>
  <c r="I672"/>
  <c r="J672"/>
  <c r="K672"/>
  <c r="L672"/>
  <c r="N672"/>
  <c r="P672"/>
  <c r="Q672"/>
  <c r="R672"/>
  <c r="S672"/>
  <c r="T672"/>
  <c r="U672"/>
  <c r="W672"/>
  <c r="Y672"/>
  <c r="Z672"/>
  <c r="AA672"/>
  <c r="AB672"/>
  <c r="AC672"/>
  <c r="AD672"/>
  <c r="AF672"/>
  <c r="AH672"/>
  <c r="AI672"/>
  <c r="AJ672"/>
  <c r="AK672"/>
  <c r="AL672"/>
  <c r="AM672"/>
  <c r="AO672"/>
  <c r="AQ672"/>
  <c r="AR672"/>
  <c r="AS672"/>
  <c r="AT672"/>
  <c r="AU672"/>
  <c r="AV672"/>
  <c r="AX672"/>
  <c r="AZ672"/>
  <c r="BA672"/>
  <c r="BB672"/>
  <c r="BC672"/>
  <c r="BD672"/>
  <c r="BE672"/>
  <c r="BG672"/>
  <c r="BI672"/>
  <c r="BJ672"/>
  <c r="BK672"/>
  <c r="BL672"/>
  <c r="BM672"/>
  <c r="BN672"/>
  <c r="BP672"/>
  <c r="G673"/>
  <c r="H673"/>
  <c r="I673"/>
  <c r="J673"/>
  <c r="K673"/>
  <c r="L673"/>
  <c r="G674"/>
  <c r="H674"/>
  <c r="I674"/>
  <c r="J674"/>
  <c r="K674"/>
  <c r="L674"/>
  <c r="G677"/>
  <c r="H677"/>
  <c r="I677"/>
  <c r="J677"/>
  <c r="K677"/>
  <c r="L677"/>
  <c r="P677"/>
  <c r="Q677"/>
  <c r="R677"/>
  <c r="S677"/>
  <c r="T677"/>
  <c r="U677"/>
  <c r="Y677"/>
  <c r="Z677"/>
  <c r="AA677"/>
  <c r="AB677"/>
  <c r="AC677"/>
  <c r="AD677"/>
  <c r="AH677"/>
  <c r="AI677"/>
  <c r="AJ677"/>
  <c r="AK677"/>
  <c r="AL677"/>
  <c r="AM677"/>
  <c r="AQ677"/>
  <c r="AR677"/>
  <c r="AS677"/>
  <c r="AT677"/>
  <c r="AU677"/>
  <c r="AV677"/>
  <c r="AZ677"/>
  <c r="BA677"/>
  <c r="BB677"/>
  <c r="BC677"/>
  <c r="BD677"/>
  <c r="BE677"/>
  <c r="BI677"/>
  <c r="BJ677"/>
  <c r="BK677"/>
  <c r="BL677"/>
  <c r="BM677"/>
  <c r="BN677"/>
  <c r="G678"/>
  <c r="H678"/>
  <c r="I678"/>
  <c r="J678"/>
  <c r="K678"/>
  <c r="L678"/>
  <c r="P678"/>
  <c r="Q678"/>
  <c r="R678"/>
  <c r="S678"/>
  <c r="T678"/>
  <c r="U678"/>
  <c r="Y678"/>
  <c r="Z678"/>
  <c r="AA678"/>
  <c r="AB678"/>
  <c r="AC678"/>
  <c r="AD678"/>
  <c r="AH678"/>
  <c r="AI678"/>
  <c r="AJ678"/>
  <c r="AK678"/>
  <c r="AL678"/>
  <c r="AM678"/>
  <c r="AQ678"/>
  <c r="AR678"/>
  <c r="AS678"/>
  <c r="AT678"/>
  <c r="AU678"/>
  <c r="AV678"/>
  <c r="AZ678"/>
  <c r="BA678"/>
  <c r="BB678"/>
  <c r="BC678"/>
  <c r="BD678"/>
  <c r="BE678"/>
  <c r="BI678"/>
  <c r="BJ678"/>
  <c r="BK678"/>
  <c r="BL678"/>
  <c r="BM678"/>
  <c r="BN678"/>
  <c r="P681"/>
  <c r="Q681"/>
  <c r="R681"/>
  <c r="S681"/>
  <c r="T681"/>
  <c r="U681"/>
  <c r="W681"/>
  <c r="Y681"/>
  <c r="Z681"/>
  <c r="AA681"/>
  <c r="AB681"/>
  <c r="AC681"/>
  <c r="AD681"/>
  <c r="AF681"/>
  <c r="AH681"/>
  <c r="AI681"/>
  <c r="AJ681"/>
  <c r="AK681"/>
  <c r="AL681"/>
  <c r="AM681"/>
  <c r="AO681"/>
  <c r="AQ681"/>
  <c r="AR681"/>
  <c r="AS681"/>
  <c r="AT681"/>
  <c r="AU681"/>
  <c r="AV681"/>
  <c r="AX681"/>
  <c r="AZ681"/>
  <c r="BA681"/>
  <c r="BB681"/>
  <c r="BC681"/>
  <c r="BD681"/>
  <c r="BE681"/>
  <c r="BG681"/>
  <c r="BI681"/>
  <c r="BJ681"/>
  <c r="BK681"/>
  <c r="BL681"/>
  <c r="BM681"/>
  <c r="BN681"/>
  <c r="BP681"/>
  <c r="P682"/>
  <c r="Q682"/>
  <c r="R682"/>
  <c r="S682"/>
  <c r="T682"/>
  <c r="U682"/>
  <c r="W682"/>
  <c r="Y682"/>
  <c r="Z682"/>
  <c r="AA682"/>
  <c r="AB682"/>
  <c r="AC682"/>
  <c r="AD682"/>
  <c r="AF682"/>
  <c r="AH682"/>
  <c r="AI682"/>
  <c r="AJ682"/>
  <c r="AK682"/>
  <c r="AL682"/>
  <c r="AM682"/>
  <c r="AO682"/>
  <c r="AZ682"/>
  <c r="BA682"/>
  <c r="BB682"/>
  <c r="BC682"/>
  <c r="BD682"/>
  <c r="BE682"/>
  <c r="BG682"/>
  <c r="BI682"/>
  <c r="BJ682"/>
  <c r="BK682"/>
  <c r="BL682"/>
  <c r="BM682"/>
  <c r="BN682"/>
  <c r="BP682"/>
  <c r="P683"/>
  <c r="Q683"/>
  <c r="R683"/>
  <c r="S683"/>
  <c r="T683"/>
  <c r="U683"/>
  <c r="W683"/>
  <c r="Y683"/>
  <c r="Z683"/>
  <c r="AA683"/>
  <c r="AB683"/>
  <c r="AC683"/>
  <c r="AD683"/>
  <c r="AF683"/>
  <c r="AH683"/>
  <c r="AI683"/>
  <c r="AJ683"/>
  <c r="AK683"/>
  <c r="AL683"/>
  <c r="AM683"/>
  <c r="AO683"/>
  <c r="AQ683"/>
  <c r="AR683"/>
  <c r="AS683"/>
  <c r="AT683"/>
  <c r="AU683"/>
  <c r="AV683"/>
  <c r="AX683"/>
  <c r="AZ683"/>
  <c r="BA683"/>
  <c r="BB683"/>
  <c r="BC683"/>
  <c r="BD683"/>
  <c r="BE683"/>
  <c r="BG683"/>
  <c r="BI683"/>
  <c r="BJ683"/>
  <c r="BK683"/>
  <c r="BL683"/>
  <c r="BM683"/>
  <c r="BN683"/>
  <c r="BP683"/>
  <c r="P684"/>
  <c r="Q684"/>
  <c r="R684"/>
  <c r="S684"/>
  <c r="T684"/>
  <c r="U684"/>
  <c r="W684"/>
  <c r="Y684"/>
  <c r="Z684"/>
  <c r="AA684"/>
  <c r="AB684"/>
  <c r="AC684"/>
  <c r="AD684"/>
  <c r="AF684"/>
  <c r="AH684"/>
  <c r="AI684"/>
  <c r="AJ684"/>
  <c r="AK684"/>
  <c r="AL684"/>
  <c r="AM684"/>
  <c r="AO684"/>
  <c r="AZ684"/>
  <c r="BA684"/>
  <c r="BB684"/>
  <c r="BC684"/>
  <c r="BD684"/>
  <c r="BE684"/>
  <c r="BG684"/>
  <c r="BI684"/>
  <c r="BJ684"/>
  <c r="BK684"/>
  <c r="BL684"/>
  <c r="BM684"/>
  <c r="BN684"/>
  <c r="BP684"/>
  <c r="P685"/>
  <c r="Q685"/>
  <c r="R685"/>
  <c r="S685"/>
  <c r="T685"/>
  <c r="U685"/>
  <c r="W685"/>
  <c r="Y685"/>
  <c r="Z685"/>
  <c r="AA685"/>
  <c r="AB685"/>
  <c r="AC685"/>
  <c r="AD685"/>
  <c r="AF685"/>
  <c r="AH685"/>
  <c r="AI685"/>
  <c r="AJ685"/>
  <c r="AK685"/>
  <c r="AL685"/>
  <c r="AM685"/>
  <c r="AO685"/>
  <c r="AQ685"/>
  <c r="AR685"/>
  <c r="AS685"/>
  <c r="AT685"/>
  <c r="AU685"/>
  <c r="AV685"/>
  <c r="AX685"/>
  <c r="AZ685"/>
  <c r="BA685"/>
  <c r="BB685"/>
  <c r="BC685"/>
  <c r="BD685"/>
  <c r="BE685"/>
  <c r="BG685"/>
  <c r="BI685"/>
  <c r="BJ685"/>
  <c r="BK685"/>
  <c r="BL685"/>
  <c r="BM685"/>
  <c r="BN685"/>
  <c r="BP685"/>
  <c r="P687"/>
  <c r="Q687"/>
  <c r="R687"/>
  <c r="S687"/>
  <c r="T687"/>
  <c r="U687"/>
  <c r="W687"/>
  <c r="Y687"/>
  <c r="Z687"/>
  <c r="AA687"/>
  <c r="AB687"/>
  <c r="AC687"/>
  <c r="AD687"/>
  <c r="AF687"/>
  <c r="AH687"/>
  <c r="AI687"/>
  <c r="AJ687"/>
  <c r="AK687"/>
  <c r="AL687"/>
  <c r="AM687"/>
  <c r="AO687"/>
  <c r="AQ687"/>
  <c r="AR687"/>
  <c r="AS687"/>
  <c r="AT687"/>
  <c r="AU687"/>
  <c r="AV687"/>
  <c r="AX687"/>
  <c r="AZ687"/>
  <c r="BA687"/>
  <c r="BB687"/>
  <c r="BC687"/>
  <c r="BD687"/>
  <c r="BE687"/>
  <c r="BG687"/>
  <c r="BI687"/>
  <c r="BJ687"/>
  <c r="BK687"/>
  <c r="BL687"/>
  <c r="BM687"/>
  <c r="BN687"/>
  <c r="BP687"/>
  <c r="G690"/>
  <c r="H690"/>
  <c r="I690"/>
  <c r="J690"/>
  <c r="K690"/>
  <c r="L690"/>
  <c r="P690"/>
  <c r="Q690"/>
  <c r="R690"/>
  <c r="S690"/>
  <c r="T690"/>
  <c r="U690"/>
  <c r="Y690"/>
  <c r="Z690"/>
  <c r="AA690"/>
  <c r="AB690"/>
  <c r="AC690"/>
  <c r="AD690"/>
  <c r="AH690"/>
  <c r="AI690"/>
  <c r="AJ690"/>
  <c r="AK690"/>
  <c r="AL690"/>
  <c r="AM690"/>
  <c r="AQ690"/>
  <c r="AR690"/>
  <c r="AS690"/>
  <c r="AT690"/>
  <c r="AU690"/>
  <c r="AV690"/>
  <c r="AZ690"/>
  <c r="BA690"/>
  <c r="BB690"/>
  <c r="BC690"/>
  <c r="BD690"/>
  <c r="BE690"/>
  <c r="BI690"/>
  <c r="BJ690"/>
  <c r="BK690"/>
  <c r="BL690"/>
  <c r="BM690"/>
  <c r="BN690"/>
  <c r="G691"/>
  <c r="H691"/>
  <c r="I691"/>
  <c r="J691"/>
  <c r="K691"/>
  <c r="L691"/>
  <c r="P691"/>
  <c r="Q691"/>
  <c r="R691"/>
  <c r="S691"/>
  <c r="T691"/>
  <c r="U691"/>
  <c r="Y691"/>
  <c r="Z691"/>
  <c r="AA691"/>
  <c r="AB691"/>
  <c r="AC691"/>
  <c r="AD691"/>
  <c r="AH691"/>
  <c r="AI691"/>
  <c r="AJ691"/>
  <c r="AK691"/>
  <c r="AL691"/>
  <c r="AM691"/>
  <c r="AQ691"/>
  <c r="AR691"/>
  <c r="AS691"/>
  <c r="AT691"/>
  <c r="AU691"/>
  <c r="AV691"/>
  <c r="AZ691"/>
  <c r="BA691"/>
  <c r="BB691"/>
  <c r="BC691"/>
  <c r="BD691"/>
  <c r="BE691"/>
  <c r="BI691"/>
  <c r="BJ691"/>
  <c r="BK691"/>
  <c r="BL691"/>
  <c r="BM691"/>
  <c r="BN691"/>
  <c r="P693"/>
  <c r="Q693"/>
  <c r="R693"/>
  <c r="S693"/>
  <c r="T693"/>
  <c r="U693"/>
  <c r="Y693"/>
  <c r="Z693"/>
  <c r="AA693"/>
  <c r="AB693"/>
  <c r="AC693"/>
  <c r="AD693"/>
  <c r="AH693"/>
  <c r="AI693"/>
  <c r="AJ693"/>
  <c r="AK693"/>
  <c r="AL693"/>
  <c r="AM693"/>
  <c r="AQ693"/>
  <c r="AR693"/>
  <c r="AS693"/>
  <c r="AT693"/>
  <c r="AU693"/>
  <c r="AV693"/>
  <c r="AZ693"/>
  <c r="BA693"/>
  <c r="BB693"/>
  <c r="BC693"/>
  <c r="BD693"/>
  <c r="BE693"/>
  <c r="BI693"/>
  <c r="BJ693"/>
  <c r="BK693"/>
  <c r="BL693"/>
  <c r="BM693"/>
  <c r="BN693"/>
  <c r="P695"/>
  <c r="Q695"/>
  <c r="R695"/>
  <c r="S695"/>
  <c r="T695"/>
  <c r="U695"/>
  <c r="Y695"/>
  <c r="Z695"/>
  <c r="AA695"/>
  <c r="AB695"/>
  <c r="AC695"/>
  <c r="AD695"/>
  <c r="AH695"/>
  <c r="AI695"/>
  <c r="AJ695"/>
  <c r="AK695"/>
  <c r="AL695"/>
  <c r="AM695"/>
  <c r="AQ695"/>
  <c r="AR695"/>
  <c r="AS695"/>
  <c r="AT695"/>
  <c r="AU695"/>
  <c r="AV695"/>
  <c r="AZ695"/>
  <c r="BA695"/>
  <c r="BB695"/>
  <c r="BC695"/>
  <c r="BD695"/>
  <c r="BE695"/>
  <c r="BI695"/>
  <c r="BJ695"/>
  <c r="BK695"/>
  <c r="BL695"/>
  <c r="BM695"/>
  <c r="BN695"/>
  <c r="G697"/>
  <c r="H697"/>
  <c r="I697"/>
  <c r="J697"/>
  <c r="K697"/>
  <c r="L697"/>
  <c r="P697"/>
  <c r="Q697"/>
  <c r="R697"/>
  <c r="S697"/>
  <c r="T697"/>
  <c r="U697"/>
  <c r="Y697"/>
  <c r="Z697"/>
  <c r="AA697"/>
  <c r="AB697"/>
  <c r="AC697"/>
  <c r="AD697"/>
  <c r="AH697"/>
  <c r="AI697"/>
  <c r="AJ697"/>
  <c r="AK697"/>
  <c r="AL697"/>
  <c r="AM697"/>
  <c r="AQ697"/>
  <c r="AR697"/>
  <c r="AS697"/>
  <c r="AT697"/>
  <c r="AU697"/>
  <c r="AV697"/>
  <c r="AZ697"/>
  <c r="BA697"/>
  <c r="BB697"/>
  <c r="BC697"/>
  <c r="BD697"/>
  <c r="BE697"/>
  <c r="BI697"/>
  <c r="BJ697"/>
  <c r="BK697"/>
  <c r="BL697"/>
  <c r="BM697"/>
  <c r="BN697"/>
  <c r="G702"/>
  <c r="H702"/>
  <c r="I702"/>
  <c r="J702"/>
  <c r="K702"/>
  <c r="L702"/>
  <c r="N702"/>
  <c r="P702"/>
  <c r="Q702"/>
  <c r="R702"/>
  <c r="S702"/>
  <c r="T702"/>
  <c r="U702"/>
  <c r="W702"/>
  <c r="Y702"/>
  <c r="Z702"/>
  <c r="AA702"/>
  <c r="AB702"/>
  <c r="AC702"/>
  <c r="AD702"/>
  <c r="AF702"/>
  <c r="AH702"/>
  <c r="AI702"/>
  <c r="AJ702"/>
  <c r="AK702"/>
  <c r="AL702"/>
  <c r="AM702"/>
  <c r="AO702"/>
  <c r="AQ702"/>
  <c r="AR702"/>
  <c r="AS702"/>
  <c r="AT702"/>
  <c r="AU702"/>
  <c r="AV702"/>
  <c r="AX702"/>
  <c r="AZ702"/>
  <c r="BA702"/>
  <c r="BB702"/>
  <c r="BC702"/>
  <c r="BD702"/>
  <c r="BE702"/>
  <c r="BG702"/>
  <c r="BI702"/>
  <c r="BJ702"/>
  <c r="BK702"/>
  <c r="BL702"/>
  <c r="BM702"/>
  <c r="BN702"/>
  <c r="BP702"/>
  <c r="G704"/>
  <c r="H704"/>
  <c r="I704"/>
  <c r="J704"/>
  <c r="K704"/>
  <c r="L704"/>
  <c r="N704"/>
  <c r="P704"/>
  <c r="Q704"/>
  <c r="R704"/>
  <c r="S704"/>
  <c r="T704"/>
  <c r="U704"/>
  <c r="W704"/>
  <c r="Y704"/>
  <c r="Z704"/>
  <c r="AA704"/>
  <c r="AB704"/>
  <c r="AC704"/>
  <c r="AD704"/>
  <c r="AF704"/>
  <c r="AH704"/>
  <c r="AI704"/>
  <c r="AJ704"/>
  <c r="AK704"/>
  <c r="AL704"/>
  <c r="AM704"/>
  <c r="AO704"/>
  <c r="AQ704"/>
  <c r="AR704"/>
  <c r="AS704"/>
  <c r="AT704"/>
  <c r="AU704"/>
  <c r="AV704"/>
  <c r="AX704"/>
  <c r="AZ704"/>
  <c r="BA704"/>
  <c r="BB704"/>
  <c r="BC704"/>
  <c r="BD704"/>
  <c r="BE704"/>
  <c r="BG704"/>
  <c r="BI704"/>
  <c r="BJ704"/>
  <c r="BK704"/>
  <c r="BL704"/>
  <c r="BM704"/>
  <c r="BN704"/>
  <c r="BP704"/>
  <c r="G705"/>
  <c r="H705"/>
  <c r="I705"/>
  <c r="J705"/>
  <c r="K705"/>
  <c r="L705"/>
  <c r="N705"/>
  <c r="P705"/>
  <c r="Q705"/>
  <c r="R705"/>
  <c r="S705"/>
  <c r="T705"/>
  <c r="U705"/>
  <c r="W705"/>
  <c r="Y705"/>
  <c r="Z705"/>
  <c r="AA705"/>
  <c r="AB705"/>
  <c r="AC705"/>
  <c r="AD705"/>
  <c r="AF705"/>
  <c r="AH705"/>
  <c r="AI705"/>
  <c r="AJ705"/>
  <c r="AK705"/>
  <c r="AL705"/>
  <c r="AM705"/>
  <c r="AO705"/>
  <c r="AQ705"/>
  <c r="AR705"/>
  <c r="AS705"/>
  <c r="AT705"/>
  <c r="AU705"/>
  <c r="AV705"/>
  <c r="AX705"/>
  <c r="AZ705"/>
  <c r="BA705"/>
  <c r="BB705"/>
  <c r="BC705"/>
  <c r="BD705"/>
  <c r="BE705"/>
  <c r="BG705"/>
  <c r="BI705"/>
  <c r="BJ705"/>
  <c r="BK705"/>
  <c r="BL705"/>
  <c r="BM705"/>
  <c r="BN705"/>
  <c r="BP705"/>
  <c r="N706"/>
  <c r="W706"/>
  <c r="AF706"/>
  <c r="AO706"/>
  <c r="BG706"/>
  <c r="BP706"/>
  <c r="G708"/>
  <c r="H708"/>
  <c r="I708"/>
  <c r="J708"/>
  <c r="K708"/>
  <c r="L708"/>
  <c r="N708"/>
  <c r="P708"/>
  <c r="Q708"/>
  <c r="R708"/>
  <c r="S708"/>
  <c r="T708"/>
  <c r="U708"/>
  <c r="W708"/>
  <c r="Y708"/>
  <c r="Z708"/>
  <c r="AA708"/>
  <c r="AB708"/>
  <c r="AC708"/>
  <c r="AD708"/>
  <c r="AF708"/>
  <c r="AH708"/>
  <c r="AI708"/>
  <c r="AJ708"/>
  <c r="AK708"/>
  <c r="AL708"/>
  <c r="AM708"/>
  <c r="AO708"/>
  <c r="AQ708"/>
  <c r="AR708"/>
  <c r="AS708"/>
  <c r="AT708"/>
  <c r="AU708"/>
  <c r="AV708"/>
  <c r="AX708"/>
  <c r="AZ708"/>
  <c r="BA708"/>
  <c r="BB708"/>
  <c r="BC708"/>
  <c r="BD708"/>
  <c r="BE708"/>
  <c r="BG708"/>
  <c r="BI708"/>
  <c r="BJ708"/>
  <c r="BK708"/>
  <c r="BL708"/>
  <c r="BM708"/>
  <c r="BN708"/>
  <c r="BP708"/>
  <c r="P710"/>
  <c r="Q710"/>
  <c r="R710"/>
  <c r="S710"/>
  <c r="T710"/>
  <c r="U710"/>
  <c r="W710"/>
  <c r="Y710"/>
  <c r="Z710"/>
  <c r="AA710"/>
  <c r="AB710"/>
  <c r="AC710"/>
  <c r="AD710"/>
  <c r="AF710"/>
  <c r="AH710"/>
  <c r="AI710"/>
  <c r="AJ710"/>
  <c r="AK710"/>
  <c r="AL710"/>
  <c r="AM710"/>
  <c r="AO710"/>
  <c r="AQ710"/>
  <c r="AR710"/>
  <c r="AS710"/>
  <c r="AT710"/>
  <c r="AU710"/>
  <c r="AV710"/>
  <c r="AX710"/>
  <c r="AZ710"/>
  <c r="BA710"/>
  <c r="BB710"/>
  <c r="BC710"/>
  <c r="BD710"/>
  <c r="BE710"/>
  <c r="BG710"/>
  <c r="BI710"/>
  <c r="BJ710"/>
  <c r="BK710"/>
  <c r="BL710"/>
  <c r="BM710"/>
  <c r="BN710"/>
  <c r="BP710"/>
  <c r="G712"/>
  <c r="H712"/>
  <c r="I712"/>
  <c r="J712"/>
  <c r="K712"/>
  <c r="L712"/>
  <c r="N712"/>
  <c r="P712"/>
  <c r="Q712"/>
  <c r="R712"/>
  <c r="S712"/>
  <c r="T712"/>
  <c r="U712"/>
  <c r="W712"/>
  <c r="Y712"/>
  <c r="Z712"/>
  <c r="AA712"/>
  <c r="AB712"/>
  <c r="AC712"/>
  <c r="AD712"/>
  <c r="AF712"/>
  <c r="AH712"/>
  <c r="AI712"/>
  <c r="AJ712"/>
  <c r="AK712"/>
  <c r="AL712"/>
  <c r="AM712"/>
  <c r="AO712"/>
  <c r="AQ712"/>
  <c r="AR712"/>
  <c r="AS712"/>
  <c r="AT712"/>
  <c r="AU712"/>
  <c r="AV712"/>
  <c r="AX712"/>
  <c r="AZ712"/>
  <c r="BA712"/>
  <c r="BB712"/>
  <c r="BC712"/>
  <c r="BD712"/>
  <c r="BE712"/>
  <c r="BG712"/>
  <c r="BI712"/>
  <c r="BJ712"/>
  <c r="BK712"/>
  <c r="BL712"/>
  <c r="BM712"/>
  <c r="BN712"/>
  <c r="BP712"/>
  <c r="G715"/>
  <c r="H715"/>
  <c r="I715"/>
  <c r="J715"/>
  <c r="K715"/>
  <c r="L715"/>
  <c r="N715"/>
  <c r="P715"/>
  <c r="Q715"/>
  <c r="R715"/>
  <c r="S715"/>
  <c r="T715"/>
  <c r="U715"/>
  <c r="W715"/>
  <c r="Y715"/>
  <c r="Z715"/>
  <c r="AA715"/>
  <c r="AB715"/>
  <c r="AC715"/>
  <c r="AD715"/>
  <c r="AF715"/>
  <c r="AH715"/>
  <c r="AI715"/>
  <c r="AJ715"/>
  <c r="AK715"/>
  <c r="AL715"/>
  <c r="AM715"/>
  <c r="AO715"/>
  <c r="AZ715"/>
  <c r="BA715"/>
  <c r="BB715"/>
  <c r="BC715"/>
  <c r="BD715"/>
  <c r="BE715"/>
  <c r="BG715"/>
  <c r="BI715"/>
  <c r="BJ715"/>
  <c r="BK715"/>
  <c r="BL715"/>
  <c r="BM715"/>
  <c r="BN715"/>
  <c r="BP715"/>
  <c r="G716"/>
  <c r="H716"/>
  <c r="I716"/>
  <c r="J716"/>
  <c r="K716"/>
  <c r="L716"/>
  <c r="N716"/>
  <c r="P716"/>
  <c r="Q716"/>
  <c r="R716"/>
  <c r="S716"/>
  <c r="T716"/>
  <c r="U716"/>
  <c r="W716"/>
  <c r="Y716"/>
  <c r="Z716"/>
  <c r="AA716"/>
  <c r="AB716"/>
  <c r="AC716"/>
  <c r="AD716"/>
  <c r="AF716"/>
  <c r="AH716"/>
  <c r="AI716"/>
  <c r="AJ716"/>
  <c r="AK716"/>
  <c r="AL716"/>
  <c r="AM716"/>
  <c r="AO716"/>
  <c r="AZ716"/>
  <c r="BA716"/>
  <c r="BB716"/>
  <c r="BC716"/>
  <c r="BD716"/>
  <c r="BE716"/>
  <c r="BG716"/>
  <c r="BI716"/>
  <c r="BJ716"/>
  <c r="BK716"/>
  <c r="BL716"/>
  <c r="BM716"/>
  <c r="BN716"/>
  <c r="BP716"/>
  <c r="G717"/>
  <c r="H717"/>
  <c r="I717"/>
  <c r="J717"/>
  <c r="K717"/>
  <c r="L717"/>
  <c r="N717"/>
  <c r="P717"/>
  <c r="Q717"/>
  <c r="R717"/>
  <c r="S717"/>
  <c r="T717"/>
  <c r="U717"/>
  <c r="W717"/>
  <c r="Y717"/>
  <c r="Z717"/>
  <c r="AA717"/>
  <c r="AB717"/>
  <c r="AC717"/>
  <c r="AD717"/>
  <c r="AF717"/>
  <c r="AH717"/>
  <c r="AI717"/>
  <c r="AJ717"/>
  <c r="AK717"/>
  <c r="AL717"/>
  <c r="AM717"/>
  <c r="AO717"/>
  <c r="AZ717"/>
  <c r="BA717"/>
  <c r="BB717"/>
  <c r="BC717"/>
  <c r="BD717"/>
  <c r="BE717"/>
  <c r="BG717"/>
  <c r="BI717"/>
  <c r="BJ717"/>
  <c r="BK717"/>
  <c r="BL717"/>
  <c r="BM717"/>
  <c r="BN717"/>
  <c r="BP717"/>
  <c r="G719"/>
  <c r="H719"/>
  <c r="I719"/>
  <c r="J719"/>
  <c r="K719"/>
  <c r="L719"/>
  <c r="N719"/>
  <c r="P719"/>
  <c r="Q719"/>
  <c r="R719"/>
  <c r="S719"/>
  <c r="T719"/>
  <c r="U719"/>
  <c r="W719"/>
  <c r="Y719"/>
  <c r="Z719"/>
  <c r="AA719"/>
  <c r="AB719"/>
  <c r="AC719"/>
  <c r="AD719"/>
  <c r="AF719"/>
  <c r="AH719"/>
  <c r="AI719"/>
  <c r="AJ719"/>
  <c r="AK719"/>
  <c r="AL719"/>
  <c r="AM719"/>
  <c r="AO719"/>
  <c r="AQ719"/>
  <c r="AR719"/>
  <c r="AS719"/>
  <c r="AT719"/>
  <c r="AU719"/>
  <c r="AV719"/>
  <c r="AX719"/>
  <c r="AZ719"/>
  <c r="BA719"/>
  <c r="BB719"/>
  <c r="BC719"/>
  <c r="BD719"/>
  <c r="BE719"/>
  <c r="BG719"/>
  <c r="BI719"/>
  <c r="BJ719"/>
  <c r="BK719"/>
  <c r="BL719"/>
  <c r="BM719"/>
  <c r="BN719"/>
  <c r="BP719"/>
  <c r="G720"/>
  <c r="H720"/>
  <c r="I720"/>
  <c r="J720"/>
  <c r="K720"/>
  <c r="L720"/>
  <c r="N720"/>
  <c r="P720"/>
  <c r="Q720"/>
  <c r="R720"/>
  <c r="S720"/>
  <c r="T720"/>
  <c r="U720"/>
  <c r="W720"/>
  <c r="Y720"/>
  <c r="Z720"/>
  <c r="AA720"/>
  <c r="AB720"/>
  <c r="AC720"/>
  <c r="AD720"/>
  <c r="AF720"/>
  <c r="AH720"/>
  <c r="AI720"/>
  <c r="AJ720"/>
  <c r="AK720"/>
  <c r="AL720"/>
  <c r="AM720"/>
  <c r="AO720"/>
  <c r="AQ720"/>
  <c r="AR720"/>
  <c r="AS720"/>
  <c r="AT720"/>
  <c r="AU720"/>
  <c r="AV720"/>
  <c r="AX720"/>
  <c r="AZ720"/>
  <c r="BA720"/>
  <c r="BB720"/>
  <c r="BC720"/>
  <c r="BD720"/>
  <c r="BE720"/>
  <c r="BG720"/>
  <c r="BI720"/>
  <c r="BJ720"/>
  <c r="BK720"/>
  <c r="BL720"/>
  <c r="BM720"/>
  <c r="BN720"/>
  <c r="BP720"/>
  <c r="G721"/>
  <c r="H721"/>
  <c r="I721"/>
  <c r="J721"/>
  <c r="K721"/>
  <c r="L721"/>
  <c r="G722"/>
  <c r="H722"/>
  <c r="I722"/>
  <c r="J722"/>
  <c r="K722"/>
  <c r="L722"/>
  <c r="G725"/>
  <c r="H725"/>
  <c r="I725"/>
  <c r="J725"/>
  <c r="K725"/>
  <c r="L725"/>
  <c r="P725"/>
  <c r="Q725"/>
  <c r="R725"/>
  <c r="S725"/>
  <c r="T725"/>
  <c r="U725"/>
  <c r="Y725"/>
  <c r="Z725"/>
  <c r="AA725"/>
  <c r="AB725"/>
  <c r="AC725"/>
  <c r="AD725"/>
  <c r="AH725"/>
  <c r="AI725"/>
  <c r="AJ725"/>
  <c r="AK725"/>
  <c r="AL725"/>
  <c r="AM725"/>
  <c r="AQ725"/>
  <c r="AR725"/>
  <c r="AS725"/>
  <c r="AT725"/>
  <c r="AU725"/>
  <c r="AV725"/>
  <c r="AZ725"/>
  <c r="BA725"/>
  <c r="BB725"/>
  <c r="BC725"/>
  <c r="BD725"/>
  <c r="BE725"/>
  <c r="BI725"/>
  <c r="BJ725"/>
  <c r="BK725"/>
  <c r="BL725"/>
  <c r="BM725"/>
  <c r="BN725"/>
  <c r="G726"/>
  <c r="H726"/>
  <c r="I726"/>
  <c r="J726"/>
  <c r="K726"/>
  <c r="L726"/>
  <c r="P726"/>
  <c r="Q726"/>
  <c r="R726"/>
  <c r="S726"/>
  <c r="T726"/>
  <c r="U726"/>
  <c r="Y726"/>
  <c r="Z726"/>
  <c r="AA726"/>
  <c r="AB726"/>
  <c r="AC726"/>
  <c r="AD726"/>
  <c r="AH726"/>
  <c r="AI726"/>
  <c r="AJ726"/>
  <c r="AK726"/>
  <c r="AL726"/>
  <c r="AM726"/>
  <c r="AQ726"/>
  <c r="AR726"/>
  <c r="AS726"/>
  <c r="AT726"/>
  <c r="AU726"/>
  <c r="AV726"/>
  <c r="AZ726"/>
  <c r="BA726"/>
  <c r="BB726"/>
  <c r="BC726"/>
  <c r="BD726"/>
  <c r="BE726"/>
  <c r="BI726"/>
  <c r="BJ726"/>
  <c r="BK726"/>
  <c r="BL726"/>
  <c r="BM726"/>
  <c r="BN726"/>
  <c r="P729"/>
  <c r="Q729"/>
  <c r="R729"/>
  <c r="S729"/>
  <c r="T729"/>
  <c r="U729"/>
  <c r="W729"/>
  <c r="Y729"/>
  <c r="Z729"/>
  <c r="AA729"/>
  <c r="AB729"/>
  <c r="AC729"/>
  <c r="AD729"/>
  <c r="AF729"/>
  <c r="AH729"/>
  <c r="AI729"/>
  <c r="AJ729"/>
  <c r="AK729"/>
  <c r="AL729"/>
  <c r="AM729"/>
  <c r="AO729"/>
  <c r="AQ729"/>
  <c r="AR729"/>
  <c r="AS729"/>
  <c r="AT729"/>
  <c r="AU729"/>
  <c r="AV729"/>
  <c r="AX729"/>
  <c r="AZ729"/>
  <c r="BA729"/>
  <c r="BB729"/>
  <c r="BC729"/>
  <c r="BD729"/>
  <c r="BE729"/>
  <c r="BG729"/>
  <c r="BI729"/>
  <c r="BJ729"/>
  <c r="BK729"/>
  <c r="BL729"/>
  <c r="BM729"/>
  <c r="BN729"/>
  <c r="BP729"/>
  <c r="P730"/>
  <c r="Q730"/>
  <c r="R730"/>
  <c r="S730"/>
  <c r="T730"/>
  <c r="U730"/>
  <c r="W730"/>
  <c r="Y730"/>
  <c r="Z730"/>
  <c r="AA730"/>
  <c r="AB730"/>
  <c r="AC730"/>
  <c r="AD730"/>
  <c r="AF730"/>
  <c r="AH730"/>
  <c r="AI730"/>
  <c r="AJ730"/>
  <c r="AK730"/>
  <c r="AL730"/>
  <c r="AM730"/>
  <c r="AO730"/>
  <c r="AZ730"/>
  <c r="BA730"/>
  <c r="BB730"/>
  <c r="BC730"/>
  <c r="BD730"/>
  <c r="BE730"/>
  <c r="BG730"/>
  <c r="BI730"/>
  <c r="BJ730"/>
  <c r="BK730"/>
  <c r="BL730"/>
  <c r="BM730"/>
  <c r="BN730"/>
  <c r="BP730"/>
  <c r="P731"/>
  <c r="Q731"/>
  <c r="R731"/>
  <c r="S731"/>
  <c r="T731"/>
  <c r="U731"/>
  <c r="W731"/>
  <c r="Y731"/>
  <c r="Z731"/>
  <c r="AA731"/>
  <c r="AB731"/>
  <c r="AC731"/>
  <c r="AD731"/>
  <c r="AF731"/>
  <c r="AH731"/>
  <c r="AI731"/>
  <c r="AJ731"/>
  <c r="AK731"/>
  <c r="AL731"/>
  <c r="AM731"/>
  <c r="AO731"/>
  <c r="AQ731"/>
  <c r="AR731"/>
  <c r="AS731"/>
  <c r="AT731"/>
  <c r="AU731"/>
  <c r="AV731"/>
  <c r="AX731"/>
  <c r="AZ731"/>
  <c r="BA731"/>
  <c r="BB731"/>
  <c r="BC731"/>
  <c r="BD731"/>
  <c r="BE731"/>
  <c r="BG731"/>
  <c r="BI731"/>
  <c r="BJ731"/>
  <c r="BK731"/>
  <c r="BL731"/>
  <c r="BM731"/>
  <c r="BN731"/>
  <c r="BP731"/>
  <c r="P732"/>
  <c r="Q732"/>
  <c r="R732"/>
  <c r="S732"/>
  <c r="T732"/>
  <c r="U732"/>
  <c r="W732"/>
  <c r="Y732"/>
  <c r="Z732"/>
  <c r="AA732"/>
  <c r="AB732"/>
  <c r="AC732"/>
  <c r="AD732"/>
  <c r="AF732"/>
  <c r="AH732"/>
  <c r="AI732"/>
  <c r="AJ732"/>
  <c r="AK732"/>
  <c r="AL732"/>
  <c r="AM732"/>
  <c r="AO732"/>
  <c r="AZ732"/>
  <c r="BA732"/>
  <c r="BB732"/>
  <c r="BC732"/>
  <c r="BD732"/>
  <c r="BE732"/>
  <c r="BG732"/>
  <c r="BI732"/>
  <c r="BJ732"/>
  <c r="BK732"/>
  <c r="BL732"/>
  <c r="BM732"/>
  <c r="BN732"/>
  <c r="BP732"/>
  <c r="P733"/>
  <c r="Q733"/>
  <c r="R733"/>
  <c r="S733"/>
  <c r="T733"/>
  <c r="U733"/>
  <c r="W733"/>
  <c r="Y733"/>
  <c r="Z733"/>
  <c r="AA733"/>
  <c r="AB733"/>
  <c r="AC733"/>
  <c r="AD733"/>
  <c r="AF733"/>
  <c r="AH733"/>
  <c r="AI733"/>
  <c r="AJ733"/>
  <c r="AK733"/>
  <c r="AL733"/>
  <c r="AM733"/>
  <c r="AO733"/>
  <c r="AQ733"/>
  <c r="AR733"/>
  <c r="AS733"/>
  <c r="AT733"/>
  <c r="AU733"/>
  <c r="AV733"/>
  <c r="AX733"/>
  <c r="AZ733"/>
  <c r="BA733"/>
  <c r="BB733"/>
  <c r="BC733"/>
  <c r="BD733"/>
  <c r="BE733"/>
  <c r="BG733"/>
  <c r="BI733"/>
  <c r="BJ733"/>
  <c r="BK733"/>
  <c r="BL733"/>
  <c r="BM733"/>
  <c r="BN733"/>
  <c r="BP733"/>
  <c r="P735"/>
  <c r="Q735"/>
  <c r="R735"/>
  <c r="S735"/>
  <c r="T735"/>
  <c r="U735"/>
  <c r="W735"/>
  <c r="Y735"/>
  <c r="Z735"/>
  <c r="AA735"/>
  <c r="AB735"/>
  <c r="AC735"/>
  <c r="AD735"/>
  <c r="AF735"/>
  <c r="AH735"/>
  <c r="AI735"/>
  <c r="AJ735"/>
  <c r="AK735"/>
  <c r="AL735"/>
  <c r="AM735"/>
  <c r="AO735"/>
  <c r="AQ735"/>
  <c r="AR735"/>
  <c r="AS735"/>
  <c r="AT735"/>
  <c r="AU735"/>
  <c r="AV735"/>
  <c r="AX735"/>
  <c r="AZ735"/>
  <c r="BA735"/>
  <c r="BB735"/>
  <c r="BC735"/>
  <c r="BD735"/>
  <c r="BE735"/>
  <c r="BG735"/>
  <c r="BI735"/>
  <c r="BJ735"/>
  <c r="BK735"/>
  <c r="BL735"/>
  <c r="BM735"/>
  <c r="BN735"/>
  <c r="BP735"/>
  <c r="G738"/>
  <c r="H738"/>
  <c r="I738"/>
  <c r="J738"/>
  <c r="K738"/>
  <c r="L738"/>
  <c r="P738"/>
  <c r="Q738"/>
  <c r="R738"/>
  <c r="S738"/>
  <c r="T738"/>
  <c r="U738"/>
  <c r="Y738"/>
  <c r="Z738"/>
  <c r="AA738"/>
  <c r="AB738"/>
  <c r="AC738"/>
  <c r="AD738"/>
  <c r="AH738"/>
  <c r="AI738"/>
  <c r="AJ738"/>
  <c r="AK738"/>
  <c r="AL738"/>
  <c r="AM738"/>
  <c r="AQ738"/>
  <c r="AR738"/>
  <c r="AS738"/>
  <c r="AT738"/>
  <c r="AU738"/>
  <c r="AV738"/>
  <c r="AZ738"/>
  <c r="BA738"/>
  <c r="BB738"/>
  <c r="BC738"/>
  <c r="BD738"/>
  <c r="BE738"/>
  <c r="BI738"/>
  <c r="BJ738"/>
  <c r="BK738"/>
  <c r="BL738"/>
  <c r="BM738"/>
  <c r="BN738"/>
  <c r="G739"/>
  <c r="H739"/>
  <c r="I739"/>
  <c r="J739"/>
  <c r="K739"/>
  <c r="L739"/>
  <c r="P739"/>
  <c r="Q739"/>
  <c r="R739"/>
  <c r="S739"/>
  <c r="T739"/>
  <c r="U739"/>
  <c r="Y739"/>
  <c r="Z739"/>
  <c r="AA739"/>
  <c r="AB739"/>
  <c r="AC739"/>
  <c r="AD739"/>
  <c r="AH739"/>
  <c r="AI739"/>
  <c r="AJ739"/>
  <c r="AK739"/>
  <c r="AL739"/>
  <c r="AM739"/>
  <c r="AQ739"/>
  <c r="AR739"/>
  <c r="AS739"/>
  <c r="AT739"/>
  <c r="AU739"/>
  <c r="AV739"/>
  <c r="AZ739"/>
  <c r="BA739"/>
  <c r="BB739"/>
  <c r="BC739"/>
  <c r="BD739"/>
  <c r="BE739"/>
  <c r="BI739"/>
  <c r="BJ739"/>
  <c r="BK739"/>
  <c r="BL739"/>
  <c r="BM739"/>
  <c r="BN739"/>
  <c r="P741"/>
  <c r="Q741"/>
  <c r="R741"/>
  <c r="S741"/>
  <c r="T741"/>
  <c r="U741"/>
  <c r="Y741"/>
  <c r="Z741"/>
  <c r="AA741"/>
  <c r="AB741"/>
  <c r="AC741"/>
  <c r="AD741"/>
  <c r="AH741"/>
  <c r="AI741"/>
  <c r="AJ741"/>
  <c r="AK741"/>
  <c r="AL741"/>
  <c r="AM741"/>
  <c r="AQ741"/>
  <c r="AR741"/>
  <c r="AS741"/>
  <c r="AT741"/>
  <c r="AU741"/>
  <c r="AV741"/>
  <c r="AZ741"/>
  <c r="BA741"/>
  <c r="BB741"/>
  <c r="BC741"/>
  <c r="BD741"/>
  <c r="BE741"/>
  <c r="BI741"/>
  <c r="BJ741"/>
  <c r="BK741"/>
  <c r="BL741"/>
  <c r="BM741"/>
  <c r="BN741"/>
  <c r="P743"/>
  <c r="Q743"/>
  <c r="R743"/>
  <c r="S743"/>
  <c r="T743"/>
  <c r="U743"/>
  <c r="Y743"/>
  <c r="Z743"/>
  <c r="AA743"/>
  <c r="AB743"/>
  <c r="AC743"/>
  <c r="AD743"/>
  <c r="AH743"/>
  <c r="AI743"/>
  <c r="AJ743"/>
  <c r="AK743"/>
  <c r="AL743"/>
  <c r="AM743"/>
  <c r="AQ743"/>
  <c r="AR743"/>
  <c r="AS743"/>
  <c r="AT743"/>
  <c r="AU743"/>
  <c r="AV743"/>
  <c r="AZ743"/>
  <c r="BA743"/>
  <c r="BB743"/>
  <c r="BC743"/>
  <c r="BD743"/>
  <c r="BE743"/>
  <c r="BI743"/>
  <c r="BJ743"/>
  <c r="BK743"/>
  <c r="BL743"/>
  <c r="BM743"/>
  <c r="BN743"/>
  <c r="G745"/>
  <c r="H745"/>
  <c r="I745"/>
  <c r="J745"/>
  <c r="K745"/>
  <c r="L745"/>
  <c r="P745"/>
  <c r="Q745"/>
  <c r="R745"/>
  <c r="S745"/>
  <c r="T745"/>
  <c r="U745"/>
  <c r="Y745"/>
  <c r="Z745"/>
  <c r="AA745"/>
  <c r="AB745"/>
  <c r="AC745"/>
  <c r="AD745"/>
  <c r="AH745"/>
  <c r="AI745"/>
  <c r="AJ745"/>
  <c r="AK745"/>
  <c r="AL745"/>
  <c r="AM745"/>
  <c r="AQ745"/>
  <c r="AR745"/>
  <c r="AS745"/>
  <c r="AT745"/>
  <c r="AU745"/>
  <c r="AV745"/>
  <c r="AZ745"/>
  <c r="BA745"/>
  <c r="BB745"/>
  <c r="BC745"/>
  <c r="BD745"/>
  <c r="BE745"/>
  <c r="BI745"/>
  <c r="BJ745"/>
  <c r="BK745"/>
  <c r="BL745"/>
  <c r="BM745"/>
  <c r="BN745"/>
  <c r="G750"/>
  <c r="H750"/>
  <c r="I750"/>
  <c r="J750"/>
  <c r="K750"/>
  <c r="L750"/>
  <c r="N750"/>
  <c r="P750"/>
  <c r="Q750"/>
  <c r="R750"/>
  <c r="S750"/>
  <c r="T750"/>
  <c r="U750"/>
  <c r="W750"/>
  <c r="Y750"/>
  <c r="Z750"/>
  <c r="AA750"/>
  <c r="AB750"/>
  <c r="AC750"/>
  <c r="AD750"/>
  <c r="AF750"/>
  <c r="AH750"/>
  <c r="AI750"/>
  <c r="AJ750"/>
  <c r="AK750"/>
  <c r="AL750"/>
  <c r="AM750"/>
  <c r="AO750"/>
  <c r="AQ750"/>
  <c r="AR750"/>
  <c r="AS750"/>
  <c r="AT750"/>
  <c r="AU750"/>
  <c r="AV750"/>
  <c r="AX750"/>
  <c r="AZ750"/>
  <c r="BA750"/>
  <c r="BB750"/>
  <c r="BC750"/>
  <c r="BD750"/>
  <c r="BE750"/>
  <c r="BG750"/>
  <c r="BI750"/>
  <c r="BJ750"/>
  <c r="BK750"/>
  <c r="BL750"/>
  <c r="BM750"/>
  <c r="BN750"/>
  <c r="BP750"/>
  <c r="G752"/>
  <c r="H752"/>
  <c r="I752"/>
  <c r="J752"/>
  <c r="K752"/>
  <c r="L752"/>
  <c r="N752"/>
  <c r="P752"/>
  <c r="Q752"/>
  <c r="R752"/>
  <c r="S752"/>
  <c r="T752"/>
  <c r="U752"/>
  <c r="W752"/>
  <c r="Y752"/>
  <c r="Z752"/>
  <c r="AA752"/>
  <c r="AB752"/>
  <c r="AC752"/>
  <c r="AD752"/>
  <c r="AF752"/>
  <c r="AH752"/>
  <c r="AI752"/>
  <c r="AJ752"/>
  <c r="AK752"/>
  <c r="AL752"/>
  <c r="AM752"/>
  <c r="AO752"/>
  <c r="AQ752"/>
  <c r="AR752"/>
  <c r="AS752"/>
  <c r="AT752"/>
  <c r="AU752"/>
  <c r="AV752"/>
  <c r="AX752"/>
  <c r="AZ752"/>
  <c r="BA752"/>
  <c r="BB752"/>
  <c r="BC752"/>
  <c r="BD752"/>
  <c r="BE752"/>
  <c r="BG752"/>
  <c r="BI752"/>
  <c r="BJ752"/>
  <c r="BK752"/>
  <c r="BL752"/>
  <c r="BM752"/>
  <c r="BN752"/>
  <c r="BP752"/>
  <c r="G753"/>
  <c r="H753"/>
  <c r="I753"/>
  <c r="J753"/>
  <c r="K753"/>
  <c r="L753"/>
  <c r="N753"/>
  <c r="P753"/>
  <c r="Q753"/>
  <c r="R753"/>
  <c r="S753"/>
  <c r="T753"/>
  <c r="U753"/>
  <c r="W753"/>
  <c r="Y753"/>
  <c r="Z753"/>
  <c r="AA753"/>
  <c r="AB753"/>
  <c r="AC753"/>
  <c r="AD753"/>
  <c r="AF753"/>
  <c r="AH753"/>
  <c r="AI753"/>
  <c r="AJ753"/>
  <c r="AK753"/>
  <c r="AL753"/>
  <c r="AM753"/>
  <c r="AO753"/>
  <c r="AQ753"/>
  <c r="AR753"/>
  <c r="AS753"/>
  <c r="AT753"/>
  <c r="AU753"/>
  <c r="AV753"/>
  <c r="AX753"/>
  <c r="AZ753"/>
  <c r="BA753"/>
  <c r="BB753"/>
  <c r="BC753"/>
  <c r="BD753"/>
  <c r="BE753"/>
  <c r="BG753"/>
  <c r="BI753"/>
  <c r="BJ753"/>
  <c r="BK753"/>
  <c r="BL753"/>
  <c r="BM753"/>
  <c r="BN753"/>
  <c r="BP753"/>
  <c r="N754"/>
  <c r="W754"/>
  <c r="AF754"/>
  <c r="AO754"/>
  <c r="BG754"/>
  <c r="BP754"/>
  <c r="G756"/>
  <c r="H756"/>
  <c r="I756"/>
  <c r="J756"/>
  <c r="K756"/>
  <c r="L756"/>
  <c r="N756"/>
  <c r="P756"/>
  <c r="Q756"/>
  <c r="R756"/>
  <c r="S756"/>
  <c r="T756"/>
  <c r="U756"/>
  <c r="W756"/>
  <c r="Y756"/>
  <c r="Z756"/>
  <c r="AA756"/>
  <c r="AB756"/>
  <c r="AC756"/>
  <c r="AD756"/>
  <c r="AF756"/>
  <c r="AH756"/>
  <c r="AI756"/>
  <c r="AJ756"/>
  <c r="AK756"/>
  <c r="AL756"/>
  <c r="AM756"/>
  <c r="AO756"/>
  <c r="AQ756"/>
  <c r="AR756"/>
  <c r="AS756"/>
  <c r="AT756"/>
  <c r="AU756"/>
  <c r="AV756"/>
  <c r="AX756"/>
  <c r="AZ756"/>
  <c r="BA756"/>
  <c r="BB756"/>
  <c r="BC756"/>
  <c r="BD756"/>
  <c r="BE756"/>
  <c r="BG756"/>
  <c r="BI756"/>
  <c r="BJ756"/>
  <c r="BK756"/>
  <c r="BL756"/>
  <c r="BM756"/>
  <c r="BN756"/>
  <c r="BP756"/>
  <c r="P758"/>
  <c r="Q758"/>
  <c r="R758"/>
  <c r="S758"/>
  <c r="T758"/>
  <c r="U758"/>
  <c r="W758"/>
  <c r="Y758"/>
  <c r="Z758"/>
  <c r="AA758"/>
  <c r="AB758"/>
  <c r="AC758"/>
  <c r="AD758"/>
  <c r="AF758"/>
  <c r="AH758"/>
  <c r="AI758"/>
  <c r="AJ758"/>
  <c r="AK758"/>
  <c r="AL758"/>
  <c r="AM758"/>
  <c r="AO758"/>
  <c r="AQ758"/>
  <c r="AR758"/>
  <c r="AS758"/>
  <c r="AT758"/>
  <c r="AU758"/>
  <c r="AV758"/>
  <c r="AX758"/>
  <c r="AZ758"/>
  <c r="BA758"/>
  <c r="BB758"/>
  <c r="BC758"/>
  <c r="BD758"/>
  <c r="BE758"/>
  <c r="BG758"/>
  <c r="BI758"/>
  <c r="BJ758"/>
  <c r="BK758"/>
  <c r="BL758"/>
  <c r="BM758"/>
  <c r="BN758"/>
  <c r="BP758"/>
  <c r="G760"/>
  <c r="H760"/>
  <c r="I760"/>
  <c r="J760"/>
  <c r="K760"/>
  <c r="L760"/>
  <c r="N760"/>
  <c r="P760"/>
  <c r="Q760"/>
  <c r="R760"/>
  <c r="S760"/>
  <c r="T760"/>
  <c r="U760"/>
  <c r="W760"/>
  <c r="Y760"/>
  <c r="Z760"/>
  <c r="AA760"/>
  <c r="AB760"/>
  <c r="AC760"/>
  <c r="AD760"/>
  <c r="AF760"/>
  <c r="AH760"/>
  <c r="AI760"/>
  <c r="AJ760"/>
  <c r="AK760"/>
  <c r="AL760"/>
  <c r="AM760"/>
  <c r="AO760"/>
  <c r="AQ760"/>
  <c r="AR760"/>
  <c r="AS760"/>
  <c r="AT760"/>
  <c r="AU760"/>
  <c r="AV760"/>
  <c r="AX760"/>
  <c r="AZ760"/>
  <c r="BA760"/>
  <c r="BB760"/>
  <c r="BC760"/>
  <c r="BD760"/>
  <c r="BE760"/>
  <c r="BG760"/>
  <c r="BI760"/>
  <c r="BJ760"/>
  <c r="BK760"/>
  <c r="BL760"/>
  <c r="BM760"/>
  <c r="BN760"/>
  <c r="BP760"/>
  <c r="G763"/>
  <c r="H763"/>
  <c r="I763"/>
  <c r="J763"/>
  <c r="K763"/>
  <c r="L763"/>
  <c r="N763"/>
  <c r="P763"/>
  <c r="Q763"/>
  <c r="R763"/>
  <c r="S763"/>
  <c r="T763"/>
  <c r="U763"/>
  <c r="W763"/>
  <c r="Y763"/>
  <c r="Z763"/>
  <c r="AA763"/>
  <c r="AB763"/>
  <c r="AC763"/>
  <c r="AD763"/>
  <c r="AF763"/>
  <c r="AH763"/>
  <c r="AI763"/>
  <c r="AJ763"/>
  <c r="AK763"/>
  <c r="AL763"/>
  <c r="AM763"/>
  <c r="AO763"/>
  <c r="AZ763"/>
  <c r="BA763"/>
  <c r="BB763"/>
  <c r="BC763"/>
  <c r="BD763"/>
  <c r="BE763"/>
  <c r="BG763"/>
  <c r="BI763"/>
  <c r="BJ763"/>
  <c r="BK763"/>
  <c r="BL763"/>
  <c r="BM763"/>
  <c r="BN763"/>
  <c r="BP763"/>
  <c r="G764"/>
  <c r="H764"/>
  <c r="I764"/>
  <c r="J764"/>
  <c r="K764"/>
  <c r="L764"/>
  <c r="N764"/>
  <c r="P764"/>
  <c r="Q764"/>
  <c r="R764"/>
  <c r="S764"/>
  <c r="T764"/>
  <c r="U764"/>
  <c r="W764"/>
  <c r="Y764"/>
  <c r="Z764"/>
  <c r="AA764"/>
  <c r="AB764"/>
  <c r="AC764"/>
  <c r="AD764"/>
  <c r="AF764"/>
  <c r="AH764"/>
  <c r="AI764"/>
  <c r="AJ764"/>
  <c r="AK764"/>
  <c r="AL764"/>
  <c r="AM764"/>
  <c r="AO764"/>
  <c r="AZ764"/>
  <c r="BA764"/>
  <c r="BB764"/>
  <c r="BC764"/>
  <c r="BD764"/>
  <c r="BE764"/>
  <c r="BG764"/>
  <c r="BI764"/>
  <c r="BJ764"/>
  <c r="BK764"/>
  <c r="BL764"/>
  <c r="BM764"/>
  <c r="BN764"/>
  <c r="BP764"/>
  <c r="G765"/>
  <c r="H765"/>
  <c r="I765"/>
  <c r="J765"/>
  <c r="K765"/>
  <c r="L765"/>
  <c r="N765"/>
  <c r="P765"/>
  <c r="Q765"/>
  <c r="R765"/>
  <c r="S765"/>
  <c r="T765"/>
  <c r="U765"/>
  <c r="W765"/>
  <c r="Y765"/>
  <c r="Z765"/>
  <c r="AA765"/>
  <c r="AB765"/>
  <c r="AC765"/>
  <c r="AD765"/>
  <c r="AF765"/>
  <c r="AH765"/>
  <c r="AI765"/>
  <c r="AJ765"/>
  <c r="AK765"/>
  <c r="AL765"/>
  <c r="AM765"/>
  <c r="AO765"/>
  <c r="AZ765"/>
  <c r="BA765"/>
  <c r="BB765"/>
  <c r="BC765"/>
  <c r="BD765"/>
  <c r="BE765"/>
  <c r="BG765"/>
  <c r="BI765"/>
  <c r="BJ765"/>
  <c r="BK765"/>
  <c r="BL765"/>
  <c r="BM765"/>
  <c r="BN765"/>
  <c r="BP765"/>
  <c r="G767"/>
  <c r="H767"/>
  <c r="I767"/>
  <c r="J767"/>
  <c r="K767"/>
  <c r="L767"/>
  <c r="N767"/>
  <c r="P767"/>
  <c r="Q767"/>
  <c r="R767"/>
  <c r="S767"/>
  <c r="T767"/>
  <c r="U767"/>
  <c r="W767"/>
  <c r="Y767"/>
  <c r="Z767"/>
  <c r="AA767"/>
  <c r="AB767"/>
  <c r="AC767"/>
  <c r="AD767"/>
  <c r="AF767"/>
  <c r="AH767"/>
  <c r="AI767"/>
  <c r="AJ767"/>
  <c r="AK767"/>
  <c r="AL767"/>
  <c r="AM767"/>
  <c r="AO767"/>
  <c r="AQ767"/>
  <c r="AR767"/>
  <c r="AS767"/>
  <c r="AT767"/>
  <c r="AU767"/>
  <c r="AV767"/>
  <c r="AX767"/>
  <c r="AZ767"/>
  <c r="BA767"/>
  <c r="BB767"/>
  <c r="BC767"/>
  <c r="BD767"/>
  <c r="BE767"/>
  <c r="BG767"/>
  <c r="BI767"/>
  <c r="BJ767"/>
  <c r="BK767"/>
  <c r="BL767"/>
  <c r="BM767"/>
  <c r="BN767"/>
  <c r="BP767"/>
  <c r="G768"/>
  <c r="H768"/>
  <c r="I768"/>
  <c r="J768"/>
  <c r="K768"/>
  <c r="L768"/>
  <c r="N768"/>
  <c r="P768"/>
  <c r="Q768"/>
  <c r="R768"/>
  <c r="S768"/>
  <c r="T768"/>
  <c r="U768"/>
  <c r="W768"/>
  <c r="Y768"/>
  <c r="Z768"/>
  <c r="AA768"/>
  <c r="AB768"/>
  <c r="AC768"/>
  <c r="AD768"/>
  <c r="AF768"/>
  <c r="AH768"/>
  <c r="AI768"/>
  <c r="AJ768"/>
  <c r="AK768"/>
  <c r="AL768"/>
  <c r="AM768"/>
  <c r="AO768"/>
  <c r="AQ768"/>
  <c r="AR768"/>
  <c r="AS768"/>
  <c r="AT768"/>
  <c r="AU768"/>
  <c r="AV768"/>
  <c r="AX768"/>
  <c r="AZ768"/>
  <c r="BA768"/>
  <c r="BB768"/>
  <c r="BC768"/>
  <c r="BD768"/>
  <c r="BE768"/>
  <c r="BG768"/>
  <c r="BI768"/>
  <c r="BJ768"/>
  <c r="BK768"/>
  <c r="BL768"/>
  <c r="BM768"/>
  <c r="BN768"/>
  <c r="BP768"/>
  <c r="G769"/>
  <c r="H769"/>
  <c r="I769"/>
  <c r="J769"/>
  <c r="K769"/>
  <c r="L769"/>
  <c r="G770"/>
  <c r="H770"/>
  <c r="I770"/>
  <c r="J770"/>
  <c r="K770"/>
  <c r="L770"/>
  <c r="G773"/>
  <c r="H773"/>
  <c r="I773"/>
  <c r="J773"/>
  <c r="K773"/>
  <c r="L773"/>
  <c r="P773"/>
  <c r="Q773"/>
  <c r="R773"/>
  <c r="S773"/>
  <c r="T773"/>
  <c r="U773"/>
  <c r="Y773"/>
  <c r="Z773"/>
  <c r="AA773"/>
  <c r="AB773"/>
  <c r="AC773"/>
  <c r="AD773"/>
  <c r="AH773"/>
  <c r="AI773"/>
  <c r="AJ773"/>
  <c r="AK773"/>
  <c r="AL773"/>
  <c r="AM773"/>
  <c r="AQ773"/>
  <c r="AR773"/>
  <c r="AS773"/>
  <c r="AT773"/>
  <c r="AU773"/>
  <c r="AV773"/>
  <c r="AZ773"/>
  <c r="BA773"/>
  <c r="BB773"/>
  <c r="BC773"/>
  <c r="BD773"/>
  <c r="BE773"/>
  <c r="BI773"/>
  <c r="BJ773"/>
  <c r="BK773"/>
  <c r="BL773"/>
  <c r="BM773"/>
  <c r="BN773"/>
  <c r="G774"/>
  <c r="H774"/>
  <c r="I774"/>
  <c r="J774"/>
  <c r="K774"/>
  <c r="L774"/>
  <c r="P774"/>
  <c r="Q774"/>
  <c r="R774"/>
  <c r="S774"/>
  <c r="T774"/>
  <c r="U774"/>
  <c r="Y774"/>
  <c r="Z774"/>
  <c r="AA774"/>
  <c r="AB774"/>
  <c r="AC774"/>
  <c r="AD774"/>
  <c r="AH774"/>
  <c r="AI774"/>
  <c r="AJ774"/>
  <c r="AK774"/>
  <c r="AL774"/>
  <c r="AM774"/>
  <c r="AQ774"/>
  <c r="AR774"/>
  <c r="AS774"/>
  <c r="AT774"/>
  <c r="AU774"/>
  <c r="AV774"/>
  <c r="AZ774"/>
  <c r="BA774"/>
  <c r="BB774"/>
  <c r="BC774"/>
  <c r="BD774"/>
  <c r="BE774"/>
  <c r="BI774"/>
  <c r="BJ774"/>
  <c r="BK774"/>
  <c r="BL774"/>
  <c r="BM774"/>
  <c r="BN774"/>
  <c r="P777"/>
  <c r="Q777"/>
  <c r="R777"/>
  <c r="S777"/>
  <c r="T777"/>
  <c r="U777"/>
  <c r="W777"/>
  <c r="Y777"/>
  <c r="Z777"/>
  <c r="AA777"/>
  <c r="AB777"/>
  <c r="AC777"/>
  <c r="AD777"/>
  <c r="AF777"/>
  <c r="AH777"/>
  <c r="AI777"/>
  <c r="AJ777"/>
  <c r="AK777"/>
  <c r="AL777"/>
  <c r="AM777"/>
  <c r="AO777"/>
  <c r="AQ777"/>
  <c r="AR777"/>
  <c r="AS777"/>
  <c r="AT777"/>
  <c r="AU777"/>
  <c r="AV777"/>
  <c r="AX777"/>
  <c r="AZ777"/>
  <c r="BA777"/>
  <c r="BB777"/>
  <c r="BC777"/>
  <c r="BD777"/>
  <c r="BE777"/>
  <c r="BG777"/>
  <c r="BI777"/>
  <c r="BJ777"/>
  <c r="BK777"/>
  <c r="BL777"/>
  <c r="BM777"/>
  <c r="BN777"/>
  <c r="BP777"/>
  <c r="P778"/>
  <c r="Q778"/>
  <c r="R778"/>
  <c r="S778"/>
  <c r="T778"/>
  <c r="U778"/>
  <c r="W778"/>
  <c r="Y778"/>
  <c r="Z778"/>
  <c r="AA778"/>
  <c r="AB778"/>
  <c r="AC778"/>
  <c r="AD778"/>
  <c r="AF778"/>
  <c r="AH778"/>
  <c r="AI778"/>
  <c r="AJ778"/>
  <c r="AK778"/>
  <c r="AL778"/>
  <c r="AM778"/>
  <c r="AO778"/>
  <c r="AZ778"/>
  <c r="BA778"/>
  <c r="BB778"/>
  <c r="BC778"/>
  <c r="BD778"/>
  <c r="BE778"/>
  <c r="BG778"/>
  <c r="BI778"/>
  <c r="BJ778"/>
  <c r="BK778"/>
  <c r="BL778"/>
  <c r="BM778"/>
  <c r="BN778"/>
  <c r="BP778"/>
  <c r="P779"/>
  <c r="Q779"/>
  <c r="R779"/>
  <c r="S779"/>
  <c r="T779"/>
  <c r="U779"/>
  <c r="W779"/>
  <c r="Y779"/>
  <c r="Z779"/>
  <c r="AA779"/>
  <c r="AB779"/>
  <c r="AC779"/>
  <c r="AD779"/>
  <c r="AF779"/>
  <c r="AH779"/>
  <c r="AI779"/>
  <c r="AJ779"/>
  <c r="AK779"/>
  <c r="AL779"/>
  <c r="AM779"/>
  <c r="AO779"/>
  <c r="AQ779"/>
  <c r="AR779"/>
  <c r="AS779"/>
  <c r="AT779"/>
  <c r="AU779"/>
  <c r="AV779"/>
  <c r="AX779"/>
  <c r="AZ779"/>
  <c r="BA779"/>
  <c r="BB779"/>
  <c r="BC779"/>
  <c r="BD779"/>
  <c r="BE779"/>
  <c r="BG779"/>
  <c r="BI779"/>
  <c r="BJ779"/>
  <c r="BK779"/>
  <c r="BL779"/>
  <c r="BM779"/>
  <c r="BN779"/>
  <c r="BP779"/>
  <c r="P780"/>
  <c r="Q780"/>
  <c r="R780"/>
  <c r="S780"/>
  <c r="T780"/>
  <c r="U780"/>
  <c r="W780"/>
  <c r="Y780"/>
  <c r="Z780"/>
  <c r="AA780"/>
  <c r="AB780"/>
  <c r="AC780"/>
  <c r="AD780"/>
  <c r="AF780"/>
  <c r="AH780"/>
  <c r="AI780"/>
  <c r="AJ780"/>
  <c r="AK780"/>
  <c r="AL780"/>
  <c r="AM780"/>
  <c r="AO780"/>
  <c r="AZ780"/>
  <c r="BA780"/>
  <c r="BB780"/>
  <c r="BC780"/>
  <c r="BD780"/>
  <c r="BE780"/>
  <c r="BG780"/>
  <c r="BI780"/>
  <c r="BJ780"/>
  <c r="BK780"/>
  <c r="BL780"/>
  <c r="BM780"/>
  <c r="BN780"/>
  <c r="BP780"/>
  <c r="P781"/>
  <c r="Q781"/>
  <c r="R781"/>
  <c r="S781"/>
  <c r="T781"/>
  <c r="U781"/>
  <c r="W781"/>
  <c r="Y781"/>
  <c r="Z781"/>
  <c r="AA781"/>
  <c r="AB781"/>
  <c r="AC781"/>
  <c r="AD781"/>
  <c r="AF781"/>
  <c r="AH781"/>
  <c r="AI781"/>
  <c r="AJ781"/>
  <c r="AK781"/>
  <c r="AL781"/>
  <c r="AM781"/>
  <c r="AO781"/>
  <c r="AQ781"/>
  <c r="AR781"/>
  <c r="AS781"/>
  <c r="AT781"/>
  <c r="AU781"/>
  <c r="AV781"/>
  <c r="AX781"/>
  <c r="AZ781"/>
  <c r="BA781"/>
  <c r="BB781"/>
  <c r="BC781"/>
  <c r="BD781"/>
  <c r="BE781"/>
  <c r="BG781"/>
  <c r="BI781"/>
  <c r="BJ781"/>
  <c r="BK781"/>
  <c r="BL781"/>
  <c r="BM781"/>
  <c r="BN781"/>
  <c r="BP781"/>
  <c r="P783"/>
  <c r="Q783"/>
  <c r="R783"/>
  <c r="S783"/>
  <c r="T783"/>
  <c r="U783"/>
  <c r="W783"/>
  <c r="Y783"/>
  <c r="Z783"/>
  <c r="AA783"/>
  <c r="AB783"/>
  <c r="AC783"/>
  <c r="AD783"/>
  <c r="AF783"/>
  <c r="AH783"/>
  <c r="AI783"/>
  <c r="AJ783"/>
  <c r="AK783"/>
  <c r="AL783"/>
  <c r="AM783"/>
  <c r="AO783"/>
  <c r="AQ783"/>
  <c r="AR783"/>
  <c r="AS783"/>
  <c r="AT783"/>
  <c r="AU783"/>
  <c r="AV783"/>
  <c r="AX783"/>
  <c r="AZ783"/>
  <c r="BA783"/>
  <c r="BB783"/>
  <c r="BC783"/>
  <c r="BD783"/>
  <c r="BE783"/>
  <c r="BG783"/>
  <c r="BI783"/>
  <c r="BJ783"/>
  <c r="BK783"/>
  <c r="BL783"/>
  <c r="BM783"/>
  <c r="BN783"/>
  <c r="BP783"/>
  <c r="G786"/>
  <c r="H786"/>
  <c r="I786"/>
  <c r="J786"/>
  <c r="K786"/>
  <c r="L786"/>
  <c r="P786"/>
  <c r="Q786"/>
  <c r="R786"/>
  <c r="S786"/>
  <c r="T786"/>
  <c r="U786"/>
  <c r="Y786"/>
  <c r="Z786"/>
  <c r="AA786"/>
  <c r="AB786"/>
  <c r="AC786"/>
  <c r="AD786"/>
  <c r="AH786"/>
  <c r="AI786"/>
  <c r="AJ786"/>
  <c r="AK786"/>
  <c r="AL786"/>
  <c r="AM786"/>
  <c r="AQ786"/>
  <c r="AR786"/>
  <c r="AS786"/>
  <c r="AT786"/>
  <c r="AU786"/>
  <c r="AV786"/>
  <c r="AZ786"/>
  <c r="BA786"/>
  <c r="BB786"/>
  <c r="BC786"/>
  <c r="BD786"/>
  <c r="BE786"/>
  <c r="BI786"/>
  <c r="BJ786"/>
  <c r="BK786"/>
  <c r="BL786"/>
  <c r="BM786"/>
  <c r="BN786"/>
  <c r="G787"/>
  <c r="H787"/>
  <c r="I787"/>
  <c r="J787"/>
  <c r="K787"/>
  <c r="L787"/>
  <c r="P787"/>
  <c r="Q787"/>
  <c r="R787"/>
  <c r="S787"/>
  <c r="T787"/>
  <c r="U787"/>
  <c r="Y787"/>
  <c r="Z787"/>
  <c r="AA787"/>
  <c r="AB787"/>
  <c r="AC787"/>
  <c r="AD787"/>
  <c r="AH787"/>
  <c r="AI787"/>
  <c r="AJ787"/>
  <c r="AK787"/>
  <c r="AL787"/>
  <c r="AM787"/>
  <c r="AQ787"/>
  <c r="AR787"/>
  <c r="AS787"/>
  <c r="AT787"/>
  <c r="AU787"/>
  <c r="AV787"/>
  <c r="AZ787"/>
  <c r="BA787"/>
  <c r="BB787"/>
  <c r="BC787"/>
  <c r="BD787"/>
  <c r="BE787"/>
  <c r="BI787"/>
  <c r="BJ787"/>
  <c r="BK787"/>
  <c r="BL787"/>
  <c r="BM787"/>
  <c r="BN787"/>
  <c r="P789"/>
  <c r="Q789"/>
  <c r="R789"/>
  <c r="S789"/>
  <c r="T789"/>
  <c r="U789"/>
  <c r="Y789"/>
  <c r="Z789"/>
  <c r="AA789"/>
  <c r="AB789"/>
  <c r="AC789"/>
  <c r="AD789"/>
  <c r="AH789"/>
  <c r="AI789"/>
  <c r="AJ789"/>
  <c r="AK789"/>
  <c r="AL789"/>
  <c r="AM789"/>
  <c r="AQ789"/>
  <c r="AR789"/>
  <c r="AS789"/>
  <c r="AT789"/>
  <c r="AU789"/>
  <c r="AV789"/>
  <c r="AZ789"/>
  <c r="BA789"/>
  <c r="BB789"/>
  <c r="BC789"/>
  <c r="BD789"/>
  <c r="BE789"/>
  <c r="BI789"/>
  <c r="BJ789"/>
  <c r="BK789"/>
  <c r="BL789"/>
  <c r="BM789"/>
  <c r="BN789"/>
  <c r="P791"/>
  <c r="Q791"/>
  <c r="R791"/>
  <c r="S791"/>
  <c r="T791"/>
  <c r="U791"/>
  <c r="Y791"/>
  <c r="Z791"/>
  <c r="AA791"/>
  <c r="AB791"/>
  <c r="AC791"/>
  <c r="AD791"/>
  <c r="AH791"/>
  <c r="AI791"/>
  <c r="AJ791"/>
  <c r="AK791"/>
  <c r="AL791"/>
  <c r="AM791"/>
  <c r="AQ791"/>
  <c r="AR791"/>
  <c r="AS791"/>
  <c r="AT791"/>
  <c r="AU791"/>
  <c r="AV791"/>
  <c r="AZ791"/>
  <c r="BA791"/>
  <c r="BB791"/>
  <c r="BC791"/>
  <c r="BD791"/>
  <c r="BE791"/>
  <c r="BI791"/>
  <c r="BJ791"/>
  <c r="BK791"/>
  <c r="BL791"/>
  <c r="BM791"/>
  <c r="BN791"/>
  <c r="G793"/>
  <c r="H793"/>
  <c r="I793"/>
  <c r="J793"/>
  <c r="K793"/>
  <c r="L793"/>
  <c r="P793"/>
  <c r="Q793"/>
  <c r="R793"/>
  <c r="S793"/>
  <c r="T793"/>
  <c r="U793"/>
  <c r="Y793"/>
  <c r="Z793"/>
  <c r="AA793"/>
  <c r="AB793"/>
  <c r="AC793"/>
  <c r="AD793"/>
  <c r="AH793"/>
  <c r="AI793"/>
  <c r="AJ793"/>
  <c r="AK793"/>
  <c r="AL793"/>
  <c r="AM793"/>
  <c r="AQ793"/>
  <c r="AR793"/>
  <c r="AS793"/>
  <c r="AT793"/>
  <c r="AU793"/>
  <c r="AV793"/>
  <c r="AZ793"/>
  <c r="BA793"/>
  <c r="BB793"/>
  <c r="BC793"/>
  <c r="BD793"/>
  <c r="BE793"/>
  <c r="BI793"/>
  <c r="BJ793"/>
  <c r="BK793"/>
  <c r="BL793"/>
  <c r="BM793"/>
  <c r="BN793"/>
  <c r="G798"/>
  <c r="H798"/>
  <c r="I798"/>
  <c r="J798"/>
  <c r="K798"/>
  <c r="L798"/>
  <c r="N798"/>
  <c r="P798"/>
  <c r="Q798"/>
  <c r="R798"/>
  <c r="S798"/>
  <c r="T798"/>
  <c r="U798"/>
  <c r="W798"/>
  <c r="Y798"/>
  <c r="Z798"/>
  <c r="AA798"/>
  <c r="AB798"/>
  <c r="AC798"/>
  <c r="AD798"/>
  <c r="AF798"/>
  <c r="AH798"/>
  <c r="AI798"/>
  <c r="AJ798"/>
  <c r="AK798"/>
  <c r="AL798"/>
  <c r="AM798"/>
  <c r="AO798"/>
  <c r="AQ798"/>
  <c r="AR798"/>
  <c r="AS798"/>
  <c r="AT798"/>
  <c r="AU798"/>
  <c r="AV798"/>
  <c r="AX798"/>
  <c r="AZ798"/>
  <c r="BA798"/>
  <c r="BB798"/>
  <c r="BC798"/>
  <c r="BD798"/>
  <c r="BE798"/>
  <c r="BG798"/>
  <c r="BI798"/>
  <c r="BJ798"/>
  <c r="BK798"/>
  <c r="BL798"/>
  <c r="BM798"/>
  <c r="BN798"/>
  <c r="BP798"/>
  <c r="G800"/>
  <c r="H800"/>
  <c r="I800"/>
  <c r="J800"/>
  <c r="K800"/>
  <c r="L800"/>
  <c r="N800"/>
  <c r="P800"/>
  <c r="Q800"/>
  <c r="R800"/>
  <c r="S800"/>
  <c r="T800"/>
  <c r="U800"/>
  <c r="W800"/>
  <c r="Y800"/>
  <c r="Z800"/>
  <c r="AA800"/>
  <c r="AB800"/>
  <c r="AC800"/>
  <c r="AD800"/>
  <c r="AF800"/>
  <c r="AH800"/>
  <c r="AI800"/>
  <c r="AJ800"/>
  <c r="AK800"/>
  <c r="AL800"/>
  <c r="AM800"/>
  <c r="AO800"/>
  <c r="AQ800"/>
  <c r="AR800"/>
  <c r="AS800"/>
  <c r="AT800"/>
  <c r="AU800"/>
  <c r="AV800"/>
  <c r="AX800"/>
  <c r="AZ800"/>
  <c r="BA800"/>
  <c r="BB800"/>
  <c r="BC800"/>
  <c r="BD800"/>
  <c r="BE800"/>
  <c r="BG800"/>
  <c r="BI800"/>
  <c r="BJ800"/>
  <c r="BK800"/>
  <c r="BL800"/>
  <c r="BM800"/>
  <c r="BN800"/>
  <c r="BP800"/>
  <c r="G801"/>
  <c r="H801"/>
  <c r="I801"/>
  <c r="J801"/>
  <c r="K801"/>
  <c r="L801"/>
  <c r="N801"/>
  <c r="P801"/>
  <c r="Q801"/>
  <c r="R801"/>
  <c r="S801"/>
  <c r="T801"/>
  <c r="U801"/>
  <c r="W801"/>
  <c r="Y801"/>
  <c r="Z801"/>
  <c r="AA801"/>
  <c r="AB801"/>
  <c r="AC801"/>
  <c r="AD801"/>
  <c r="AF801"/>
  <c r="AH801"/>
  <c r="AI801"/>
  <c r="AJ801"/>
  <c r="AK801"/>
  <c r="AL801"/>
  <c r="AM801"/>
  <c r="AO801"/>
  <c r="AQ801"/>
  <c r="AR801"/>
  <c r="AS801"/>
  <c r="AT801"/>
  <c r="AU801"/>
  <c r="AV801"/>
  <c r="AX801"/>
  <c r="AZ801"/>
  <c r="BA801"/>
  <c r="BB801"/>
  <c r="BC801"/>
  <c r="BD801"/>
  <c r="BE801"/>
  <c r="BG801"/>
  <c r="BI801"/>
  <c r="BJ801"/>
  <c r="BK801"/>
  <c r="BL801"/>
  <c r="BM801"/>
  <c r="BN801"/>
  <c r="BP801"/>
  <c r="N802"/>
  <c r="W802"/>
  <c r="AF802"/>
  <c r="AO802"/>
  <c r="BG802"/>
  <c r="BP802"/>
  <c r="G804"/>
  <c r="H804"/>
  <c r="I804"/>
  <c r="J804"/>
  <c r="K804"/>
  <c r="L804"/>
  <c r="N804"/>
  <c r="P804"/>
  <c r="Q804"/>
  <c r="R804"/>
  <c r="S804"/>
  <c r="T804"/>
  <c r="U804"/>
  <c r="W804"/>
  <c r="Y804"/>
  <c r="Z804"/>
  <c r="AA804"/>
  <c r="AB804"/>
  <c r="AC804"/>
  <c r="AD804"/>
  <c r="AF804"/>
  <c r="AH804"/>
  <c r="AI804"/>
  <c r="AJ804"/>
  <c r="AK804"/>
  <c r="AL804"/>
  <c r="AM804"/>
  <c r="AO804"/>
  <c r="AQ804"/>
  <c r="AR804"/>
  <c r="AS804"/>
  <c r="AT804"/>
  <c r="AU804"/>
  <c r="AV804"/>
  <c r="AX804"/>
  <c r="AZ804"/>
  <c r="BA804"/>
  <c r="BB804"/>
  <c r="BC804"/>
  <c r="BD804"/>
  <c r="BE804"/>
  <c r="BG804"/>
  <c r="BI804"/>
  <c r="BJ804"/>
  <c r="BK804"/>
  <c r="BL804"/>
  <c r="BM804"/>
  <c r="BN804"/>
  <c r="BP804"/>
  <c r="P806"/>
  <c r="Q806"/>
  <c r="R806"/>
  <c r="S806"/>
  <c r="T806"/>
  <c r="U806"/>
  <c r="W806"/>
  <c r="Y806"/>
  <c r="Z806"/>
  <c r="AA806"/>
  <c r="AB806"/>
  <c r="AC806"/>
  <c r="AD806"/>
  <c r="AF806"/>
  <c r="AH806"/>
  <c r="AI806"/>
  <c r="AJ806"/>
  <c r="AK806"/>
  <c r="AL806"/>
  <c r="AM806"/>
  <c r="AO806"/>
  <c r="AQ806"/>
  <c r="AR806"/>
  <c r="AS806"/>
  <c r="AT806"/>
  <c r="AU806"/>
  <c r="AV806"/>
  <c r="AX806"/>
  <c r="AZ806"/>
  <c r="BA806"/>
  <c r="BB806"/>
  <c r="BC806"/>
  <c r="BD806"/>
  <c r="BE806"/>
  <c r="BG806"/>
  <c r="BI806"/>
  <c r="BJ806"/>
  <c r="BK806"/>
  <c r="BL806"/>
  <c r="BM806"/>
  <c r="BN806"/>
  <c r="BP806"/>
  <c r="G808"/>
  <c r="H808"/>
  <c r="I808"/>
  <c r="J808"/>
  <c r="K808"/>
  <c r="L808"/>
  <c r="N808"/>
  <c r="P808"/>
  <c r="Q808"/>
  <c r="R808"/>
  <c r="S808"/>
  <c r="T808"/>
  <c r="U808"/>
  <c r="W808"/>
  <c r="Y808"/>
  <c r="Z808"/>
  <c r="AA808"/>
  <c r="AB808"/>
  <c r="AC808"/>
  <c r="AD808"/>
  <c r="AF808"/>
  <c r="AH808"/>
  <c r="AI808"/>
  <c r="AJ808"/>
  <c r="AK808"/>
  <c r="AL808"/>
  <c r="AM808"/>
  <c r="AO808"/>
  <c r="AQ808"/>
  <c r="AR808"/>
  <c r="AS808"/>
  <c r="AT808"/>
  <c r="AU808"/>
  <c r="AV808"/>
  <c r="AX808"/>
  <c r="AZ808"/>
  <c r="BA808"/>
  <c r="BB808"/>
  <c r="BC808"/>
  <c r="BD808"/>
  <c r="BE808"/>
  <c r="BG808"/>
  <c r="BI808"/>
  <c r="BJ808"/>
  <c r="BK808"/>
  <c r="BL808"/>
  <c r="BM808"/>
  <c r="BN808"/>
  <c r="BP808"/>
  <c r="G811"/>
  <c r="H811"/>
  <c r="I811"/>
  <c r="J811"/>
  <c r="K811"/>
  <c r="L811"/>
  <c r="N811"/>
  <c r="P811"/>
  <c r="Q811"/>
  <c r="R811"/>
  <c r="S811"/>
  <c r="T811"/>
  <c r="U811"/>
  <c r="W811"/>
  <c r="Y811"/>
  <c r="Z811"/>
  <c r="AA811"/>
  <c r="AB811"/>
  <c r="AC811"/>
  <c r="AD811"/>
  <c r="AF811"/>
  <c r="AH811"/>
  <c r="AI811"/>
  <c r="AJ811"/>
  <c r="AK811"/>
  <c r="AL811"/>
  <c r="AM811"/>
  <c r="AO811"/>
  <c r="AZ811"/>
  <c r="BA811"/>
  <c r="BB811"/>
  <c r="BC811"/>
  <c r="BD811"/>
  <c r="BE811"/>
  <c r="BG811"/>
  <c r="BI811"/>
  <c r="BJ811"/>
  <c r="BK811"/>
  <c r="BL811"/>
  <c r="BM811"/>
  <c r="BN811"/>
  <c r="BP811"/>
  <c r="G812"/>
  <c r="H812"/>
  <c r="I812"/>
  <c r="J812"/>
  <c r="K812"/>
  <c r="L812"/>
  <c r="N812"/>
  <c r="P812"/>
  <c r="Q812"/>
  <c r="R812"/>
  <c r="S812"/>
  <c r="T812"/>
  <c r="U812"/>
  <c r="W812"/>
  <c r="Y812"/>
  <c r="Z812"/>
  <c r="AA812"/>
  <c r="AB812"/>
  <c r="AC812"/>
  <c r="AD812"/>
  <c r="AF812"/>
  <c r="AH812"/>
  <c r="AI812"/>
  <c r="AJ812"/>
  <c r="AK812"/>
  <c r="AL812"/>
  <c r="AM812"/>
  <c r="AO812"/>
  <c r="AZ812"/>
  <c r="BA812"/>
  <c r="BB812"/>
  <c r="BC812"/>
  <c r="BD812"/>
  <c r="BE812"/>
  <c r="BG812"/>
  <c r="BI812"/>
  <c r="BJ812"/>
  <c r="BK812"/>
  <c r="BL812"/>
  <c r="BM812"/>
  <c r="BN812"/>
  <c r="BP812"/>
  <c r="G813"/>
  <c r="H813"/>
  <c r="I813"/>
  <c r="J813"/>
  <c r="K813"/>
  <c r="L813"/>
  <c r="N813"/>
  <c r="P813"/>
  <c r="Q813"/>
  <c r="R813"/>
  <c r="S813"/>
  <c r="T813"/>
  <c r="U813"/>
  <c r="W813"/>
  <c r="Y813"/>
  <c r="Z813"/>
  <c r="AA813"/>
  <c r="AB813"/>
  <c r="AC813"/>
  <c r="AD813"/>
  <c r="AF813"/>
  <c r="AH813"/>
  <c r="AI813"/>
  <c r="AJ813"/>
  <c r="AK813"/>
  <c r="AL813"/>
  <c r="AM813"/>
  <c r="AO813"/>
  <c r="AZ813"/>
  <c r="BA813"/>
  <c r="BB813"/>
  <c r="BC813"/>
  <c r="BD813"/>
  <c r="BE813"/>
  <c r="BG813"/>
  <c r="BI813"/>
  <c r="BJ813"/>
  <c r="BK813"/>
  <c r="BL813"/>
  <c r="BM813"/>
  <c r="BN813"/>
  <c r="BP813"/>
  <c r="G815"/>
  <c r="H815"/>
  <c r="I815"/>
  <c r="J815"/>
  <c r="K815"/>
  <c r="L815"/>
  <c r="N815"/>
  <c r="P815"/>
  <c r="Q815"/>
  <c r="R815"/>
  <c r="S815"/>
  <c r="T815"/>
  <c r="U815"/>
  <c r="W815"/>
  <c r="Y815"/>
  <c r="Z815"/>
  <c r="AA815"/>
  <c r="AB815"/>
  <c r="AC815"/>
  <c r="AD815"/>
  <c r="AF815"/>
  <c r="AH815"/>
  <c r="AI815"/>
  <c r="AJ815"/>
  <c r="AK815"/>
  <c r="AL815"/>
  <c r="AM815"/>
  <c r="AO815"/>
  <c r="AQ815"/>
  <c r="AR815"/>
  <c r="AS815"/>
  <c r="AT815"/>
  <c r="AU815"/>
  <c r="AV815"/>
  <c r="AX815"/>
  <c r="AZ815"/>
  <c r="BA815"/>
  <c r="BB815"/>
  <c r="BC815"/>
  <c r="BD815"/>
  <c r="BE815"/>
  <c r="BG815"/>
  <c r="BI815"/>
  <c r="BJ815"/>
  <c r="BK815"/>
  <c r="BL815"/>
  <c r="BM815"/>
  <c r="BN815"/>
  <c r="BP815"/>
  <c r="G816"/>
  <c r="H816"/>
  <c r="I816"/>
  <c r="J816"/>
  <c r="K816"/>
  <c r="L816"/>
  <c r="N816"/>
  <c r="P816"/>
  <c r="Q816"/>
  <c r="R816"/>
  <c r="S816"/>
  <c r="T816"/>
  <c r="U816"/>
  <c r="W816"/>
  <c r="Y816"/>
  <c r="Z816"/>
  <c r="AA816"/>
  <c r="AB816"/>
  <c r="AC816"/>
  <c r="AD816"/>
  <c r="AF816"/>
  <c r="AH816"/>
  <c r="AI816"/>
  <c r="AJ816"/>
  <c r="AK816"/>
  <c r="AL816"/>
  <c r="AM816"/>
  <c r="AO816"/>
  <c r="AQ816"/>
  <c r="AR816"/>
  <c r="AS816"/>
  <c r="AT816"/>
  <c r="AU816"/>
  <c r="AV816"/>
  <c r="AX816"/>
  <c r="AZ816"/>
  <c r="BA816"/>
  <c r="BB816"/>
  <c r="BC816"/>
  <c r="BD816"/>
  <c r="BE816"/>
  <c r="BG816"/>
  <c r="BI816"/>
  <c r="BJ816"/>
  <c r="BK816"/>
  <c r="BL816"/>
  <c r="BM816"/>
  <c r="BN816"/>
  <c r="BP816"/>
  <c r="G817"/>
  <c r="H817"/>
  <c r="I817"/>
  <c r="J817"/>
  <c r="K817"/>
  <c r="L817"/>
  <c r="G818"/>
  <c r="H818"/>
  <c r="I818"/>
  <c r="J818"/>
  <c r="K818"/>
  <c r="L818"/>
  <c r="G821"/>
  <c r="H821"/>
  <c r="I821"/>
  <c r="J821"/>
  <c r="K821"/>
  <c r="L821"/>
  <c r="P821"/>
  <c r="Q821"/>
  <c r="R821"/>
  <c r="S821"/>
  <c r="T821"/>
  <c r="U821"/>
  <c r="Y821"/>
  <c r="Z821"/>
  <c r="AA821"/>
  <c r="AB821"/>
  <c r="AC821"/>
  <c r="AD821"/>
  <c r="AH821"/>
  <c r="AI821"/>
  <c r="AJ821"/>
  <c r="AK821"/>
  <c r="AL821"/>
  <c r="AM821"/>
  <c r="AQ821"/>
  <c r="AR821"/>
  <c r="AS821"/>
  <c r="AT821"/>
  <c r="AU821"/>
  <c r="AV821"/>
  <c r="AZ821"/>
  <c r="BA821"/>
  <c r="BB821"/>
  <c r="BC821"/>
  <c r="BD821"/>
  <c r="BE821"/>
  <c r="BI821"/>
  <c r="BJ821"/>
  <c r="BK821"/>
  <c r="BL821"/>
  <c r="BM821"/>
  <c r="BN821"/>
  <c r="G822"/>
  <c r="H822"/>
  <c r="I822"/>
  <c r="J822"/>
  <c r="K822"/>
  <c r="L822"/>
  <c r="P822"/>
  <c r="Q822"/>
  <c r="R822"/>
  <c r="S822"/>
  <c r="T822"/>
  <c r="U822"/>
  <c r="Y822"/>
  <c r="Z822"/>
  <c r="AA822"/>
  <c r="AB822"/>
  <c r="AC822"/>
  <c r="AD822"/>
  <c r="AH822"/>
  <c r="AI822"/>
  <c r="AJ822"/>
  <c r="AK822"/>
  <c r="AL822"/>
  <c r="AM822"/>
  <c r="AQ822"/>
  <c r="AR822"/>
  <c r="AS822"/>
  <c r="AT822"/>
  <c r="AU822"/>
  <c r="AV822"/>
  <c r="AZ822"/>
  <c r="BA822"/>
  <c r="BB822"/>
  <c r="BC822"/>
  <c r="BD822"/>
  <c r="BE822"/>
  <c r="BI822"/>
  <c r="BJ822"/>
  <c r="BK822"/>
  <c r="BL822"/>
  <c r="BM822"/>
  <c r="BN822"/>
  <c r="P825"/>
  <c r="Q825"/>
  <c r="R825"/>
  <c r="S825"/>
  <c r="T825"/>
  <c r="U825"/>
  <c r="W825"/>
  <c r="Y825"/>
  <c r="Z825"/>
  <c r="AA825"/>
  <c r="AB825"/>
  <c r="AC825"/>
  <c r="AD825"/>
  <c r="AF825"/>
  <c r="AH825"/>
  <c r="AI825"/>
  <c r="AJ825"/>
  <c r="AK825"/>
  <c r="AL825"/>
  <c r="AM825"/>
  <c r="AO825"/>
  <c r="AQ825"/>
  <c r="AR825"/>
  <c r="AS825"/>
  <c r="AT825"/>
  <c r="AU825"/>
  <c r="AV825"/>
  <c r="AX825"/>
  <c r="AZ825"/>
  <c r="BA825"/>
  <c r="BB825"/>
  <c r="BC825"/>
  <c r="BD825"/>
  <c r="BE825"/>
  <c r="BG825"/>
  <c r="BI825"/>
  <c r="BJ825"/>
  <c r="BK825"/>
  <c r="BL825"/>
  <c r="BM825"/>
  <c r="BN825"/>
  <c r="BP825"/>
  <c r="P826"/>
  <c r="Q826"/>
  <c r="R826"/>
  <c r="S826"/>
  <c r="T826"/>
  <c r="U826"/>
  <c r="W826"/>
  <c r="Y826"/>
  <c r="Z826"/>
  <c r="AA826"/>
  <c r="AB826"/>
  <c r="AC826"/>
  <c r="AD826"/>
  <c r="AF826"/>
  <c r="AH826"/>
  <c r="AI826"/>
  <c r="AJ826"/>
  <c r="AK826"/>
  <c r="AL826"/>
  <c r="AM826"/>
  <c r="AO826"/>
  <c r="AZ826"/>
  <c r="BA826"/>
  <c r="BB826"/>
  <c r="BC826"/>
  <c r="BD826"/>
  <c r="BE826"/>
  <c r="BG826"/>
  <c r="BI826"/>
  <c r="BJ826"/>
  <c r="BK826"/>
  <c r="BL826"/>
  <c r="BM826"/>
  <c r="BN826"/>
  <c r="BP826"/>
  <c r="P827"/>
  <c r="Q827"/>
  <c r="R827"/>
  <c r="S827"/>
  <c r="T827"/>
  <c r="U827"/>
  <c r="W827"/>
  <c r="Y827"/>
  <c r="Z827"/>
  <c r="AA827"/>
  <c r="AB827"/>
  <c r="AC827"/>
  <c r="AD827"/>
  <c r="AF827"/>
  <c r="AH827"/>
  <c r="AI827"/>
  <c r="AJ827"/>
  <c r="AK827"/>
  <c r="AL827"/>
  <c r="AM827"/>
  <c r="AO827"/>
  <c r="AQ827"/>
  <c r="AR827"/>
  <c r="AS827"/>
  <c r="AT827"/>
  <c r="AU827"/>
  <c r="AV827"/>
  <c r="AX827"/>
  <c r="AZ827"/>
  <c r="BA827"/>
  <c r="BB827"/>
  <c r="BC827"/>
  <c r="BD827"/>
  <c r="BE827"/>
  <c r="BG827"/>
  <c r="BI827"/>
  <c r="BJ827"/>
  <c r="BK827"/>
  <c r="BL827"/>
  <c r="BM827"/>
  <c r="BN827"/>
  <c r="BP827"/>
  <c r="P828"/>
  <c r="Q828"/>
  <c r="R828"/>
  <c r="S828"/>
  <c r="T828"/>
  <c r="U828"/>
  <c r="W828"/>
  <c r="Y828"/>
  <c r="Z828"/>
  <c r="AA828"/>
  <c r="AB828"/>
  <c r="AC828"/>
  <c r="AD828"/>
  <c r="AF828"/>
  <c r="AH828"/>
  <c r="AI828"/>
  <c r="AJ828"/>
  <c r="AK828"/>
  <c r="AL828"/>
  <c r="AM828"/>
  <c r="AO828"/>
  <c r="AZ828"/>
  <c r="BA828"/>
  <c r="BB828"/>
  <c r="BC828"/>
  <c r="BD828"/>
  <c r="BE828"/>
  <c r="BG828"/>
  <c r="BI828"/>
  <c r="BJ828"/>
  <c r="BK828"/>
  <c r="BL828"/>
  <c r="BM828"/>
  <c r="BN828"/>
  <c r="BP828"/>
  <c r="P829"/>
  <c r="Q829"/>
  <c r="R829"/>
  <c r="S829"/>
  <c r="T829"/>
  <c r="U829"/>
  <c r="W829"/>
  <c r="Y829"/>
  <c r="Z829"/>
  <c r="AA829"/>
  <c r="AB829"/>
  <c r="AC829"/>
  <c r="AD829"/>
  <c r="AF829"/>
  <c r="AH829"/>
  <c r="AI829"/>
  <c r="AJ829"/>
  <c r="AK829"/>
  <c r="AL829"/>
  <c r="AM829"/>
  <c r="AO829"/>
  <c r="AQ829"/>
  <c r="AR829"/>
  <c r="AS829"/>
  <c r="AT829"/>
  <c r="AU829"/>
  <c r="AV829"/>
  <c r="AX829"/>
  <c r="AZ829"/>
  <c r="BA829"/>
  <c r="BB829"/>
  <c r="BC829"/>
  <c r="BD829"/>
  <c r="BE829"/>
  <c r="BG829"/>
  <c r="BI829"/>
  <c r="BJ829"/>
  <c r="BK829"/>
  <c r="BL829"/>
  <c r="BM829"/>
  <c r="BN829"/>
  <c r="BP829"/>
  <c r="P831"/>
  <c r="Q831"/>
  <c r="R831"/>
  <c r="S831"/>
  <c r="T831"/>
  <c r="U831"/>
  <c r="W831"/>
  <c r="Y831"/>
  <c r="Z831"/>
  <c r="AA831"/>
  <c r="AB831"/>
  <c r="AC831"/>
  <c r="AD831"/>
  <c r="AF831"/>
  <c r="AH831"/>
  <c r="AI831"/>
  <c r="AJ831"/>
  <c r="AK831"/>
  <c r="AL831"/>
  <c r="AM831"/>
  <c r="AO831"/>
  <c r="AQ831"/>
  <c r="AR831"/>
  <c r="AS831"/>
  <c r="AT831"/>
  <c r="AU831"/>
  <c r="AV831"/>
  <c r="AX831"/>
  <c r="AZ831"/>
  <c r="BA831"/>
  <c r="BB831"/>
  <c r="BC831"/>
  <c r="BD831"/>
  <c r="BE831"/>
  <c r="BG831"/>
  <c r="BI831"/>
  <c r="BJ831"/>
  <c r="BK831"/>
  <c r="BL831"/>
  <c r="BM831"/>
  <c r="BN831"/>
  <c r="BP831"/>
  <c r="G834"/>
  <c r="H834"/>
  <c r="I834"/>
  <c r="J834"/>
  <c r="K834"/>
  <c r="L834"/>
  <c r="P834"/>
  <c r="Q834"/>
  <c r="R834"/>
  <c r="S834"/>
  <c r="T834"/>
  <c r="U834"/>
  <c r="Y834"/>
  <c r="Z834"/>
  <c r="AA834"/>
  <c r="AB834"/>
  <c r="AC834"/>
  <c r="AD834"/>
  <c r="AH834"/>
  <c r="AI834"/>
  <c r="AJ834"/>
  <c r="AK834"/>
  <c r="AL834"/>
  <c r="AM834"/>
  <c r="AQ834"/>
  <c r="AR834"/>
  <c r="AS834"/>
  <c r="AT834"/>
  <c r="AU834"/>
  <c r="AV834"/>
  <c r="AZ834"/>
  <c r="BA834"/>
  <c r="BB834"/>
  <c r="BC834"/>
  <c r="BD834"/>
  <c r="BE834"/>
  <c r="BI834"/>
  <c r="BJ834"/>
  <c r="BK834"/>
  <c r="BL834"/>
  <c r="BM834"/>
  <c r="BN834"/>
  <c r="G835"/>
  <c r="H835"/>
  <c r="I835"/>
  <c r="J835"/>
  <c r="K835"/>
  <c r="L835"/>
  <c r="P835"/>
  <c r="Q835"/>
  <c r="R835"/>
  <c r="S835"/>
  <c r="T835"/>
  <c r="U835"/>
  <c r="Y835"/>
  <c r="Z835"/>
  <c r="AA835"/>
  <c r="AB835"/>
  <c r="AC835"/>
  <c r="AD835"/>
  <c r="AH835"/>
  <c r="AI835"/>
  <c r="AJ835"/>
  <c r="AK835"/>
  <c r="AL835"/>
  <c r="AM835"/>
  <c r="AQ835"/>
  <c r="AR835"/>
  <c r="AS835"/>
  <c r="AT835"/>
  <c r="AU835"/>
  <c r="AV835"/>
  <c r="AZ835"/>
  <c r="BA835"/>
  <c r="BB835"/>
  <c r="BC835"/>
  <c r="BD835"/>
  <c r="BE835"/>
  <c r="BI835"/>
  <c r="BJ835"/>
  <c r="BK835"/>
  <c r="BL835"/>
  <c r="BM835"/>
  <c r="BN835"/>
  <c r="P837"/>
  <c r="Q837"/>
  <c r="R837"/>
  <c r="S837"/>
  <c r="T837"/>
  <c r="U837"/>
  <c r="Y837"/>
  <c r="Z837"/>
  <c r="AA837"/>
  <c r="AB837"/>
  <c r="AC837"/>
  <c r="AD837"/>
  <c r="AH837"/>
  <c r="AI837"/>
  <c r="AJ837"/>
  <c r="AK837"/>
  <c r="AL837"/>
  <c r="AM837"/>
  <c r="AQ837"/>
  <c r="AR837"/>
  <c r="AS837"/>
  <c r="AT837"/>
  <c r="AU837"/>
  <c r="AV837"/>
  <c r="AZ837"/>
  <c r="BA837"/>
  <c r="BB837"/>
  <c r="BC837"/>
  <c r="BD837"/>
  <c r="BE837"/>
  <c r="BI837"/>
  <c r="BJ837"/>
  <c r="BK837"/>
  <c r="BL837"/>
  <c r="BM837"/>
  <c r="BN837"/>
  <c r="P839"/>
  <c r="Q839"/>
  <c r="R839"/>
  <c r="S839"/>
  <c r="T839"/>
  <c r="U839"/>
  <c r="Y839"/>
  <c r="Z839"/>
  <c r="AA839"/>
  <c r="AB839"/>
  <c r="AC839"/>
  <c r="AD839"/>
  <c r="AH839"/>
  <c r="AI839"/>
  <c r="AJ839"/>
  <c r="AK839"/>
  <c r="AL839"/>
  <c r="AM839"/>
  <c r="AQ839"/>
  <c r="AR839"/>
  <c r="AS839"/>
  <c r="AT839"/>
  <c r="AU839"/>
  <c r="AV839"/>
  <c r="AZ839"/>
  <c r="BA839"/>
  <c r="BB839"/>
  <c r="BC839"/>
  <c r="BD839"/>
  <c r="BE839"/>
  <c r="BI839"/>
  <c r="BJ839"/>
  <c r="BK839"/>
  <c r="BL839"/>
  <c r="BM839"/>
  <c r="BN839"/>
  <c r="G841"/>
  <c r="H841"/>
  <c r="I841"/>
  <c r="J841"/>
  <c r="K841"/>
  <c r="L841"/>
  <c r="P841"/>
  <c r="Q841"/>
  <c r="R841"/>
  <c r="S841"/>
  <c r="T841"/>
  <c r="U841"/>
  <c r="Y841"/>
  <c r="Z841"/>
  <c r="AA841"/>
  <c r="AB841"/>
  <c r="AC841"/>
  <c r="AD841"/>
  <c r="AH841"/>
  <c r="AI841"/>
  <c r="AJ841"/>
  <c r="AK841"/>
  <c r="AL841"/>
  <c r="AM841"/>
  <c r="AQ841"/>
  <c r="AR841"/>
  <c r="AS841"/>
  <c r="AT841"/>
  <c r="AU841"/>
  <c r="AV841"/>
  <c r="AZ841"/>
  <c r="BA841"/>
  <c r="BB841"/>
  <c r="BC841"/>
  <c r="BD841"/>
  <c r="BE841"/>
  <c r="BI841"/>
  <c r="BJ841"/>
  <c r="BK841"/>
  <c r="BL841"/>
  <c r="BM841"/>
  <c r="BN841"/>
  <c r="G846"/>
  <c r="H846"/>
  <c r="I846"/>
  <c r="J846"/>
  <c r="K846"/>
  <c r="L846"/>
  <c r="N846"/>
  <c r="P846"/>
  <c r="Q846"/>
  <c r="R846"/>
  <c r="S846"/>
  <c r="T846"/>
  <c r="U846"/>
  <c r="W846"/>
  <c r="Y846"/>
  <c r="Z846"/>
  <c r="AA846"/>
  <c r="AB846"/>
  <c r="AC846"/>
  <c r="AD846"/>
  <c r="AF846"/>
  <c r="AH846"/>
  <c r="AI846"/>
  <c r="AJ846"/>
  <c r="AK846"/>
  <c r="AL846"/>
  <c r="AM846"/>
  <c r="AO846"/>
  <c r="AQ846"/>
  <c r="AR846"/>
  <c r="AS846"/>
  <c r="AT846"/>
  <c r="AU846"/>
  <c r="AV846"/>
  <c r="AX846"/>
  <c r="AZ846"/>
  <c r="BA846"/>
  <c r="BB846"/>
  <c r="BC846"/>
  <c r="BD846"/>
  <c r="BE846"/>
  <c r="BG846"/>
  <c r="BI846"/>
  <c r="BJ846"/>
  <c r="BK846"/>
  <c r="BL846"/>
  <c r="BM846"/>
  <c r="BN846"/>
  <c r="BP846"/>
  <c r="G848"/>
  <c r="H848"/>
  <c r="I848"/>
  <c r="J848"/>
  <c r="K848"/>
  <c r="L848"/>
  <c r="N848"/>
  <c r="P848"/>
  <c r="Q848"/>
  <c r="R848"/>
  <c r="S848"/>
  <c r="T848"/>
  <c r="U848"/>
  <c r="W848"/>
  <c r="Y848"/>
  <c r="Z848"/>
  <c r="AA848"/>
  <c r="AB848"/>
  <c r="AC848"/>
  <c r="AD848"/>
  <c r="AF848"/>
  <c r="AH848"/>
  <c r="AI848"/>
  <c r="AJ848"/>
  <c r="AK848"/>
  <c r="AL848"/>
  <c r="AM848"/>
  <c r="AO848"/>
  <c r="AQ848"/>
  <c r="AR848"/>
  <c r="AS848"/>
  <c r="AT848"/>
  <c r="AU848"/>
  <c r="AV848"/>
  <c r="AX848"/>
  <c r="AZ848"/>
  <c r="BA848"/>
  <c r="BB848"/>
  <c r="BC848"/>
  <c r="BD848"/>
  <c r="BE848"/>
  <c r="BG848"/>
  <c r="BI848"/>
  <c r="BJ848"/>
  <c r="BK848"/>
  <c r="BL848"/>
  <c r="BM848"/>
  <c r="BN848"/>
  <c r="BP848"/>
  <c r="G849"/>
  <c r="H849"/>
  <c r="I849"/>
  <c r="J849"/>
  <c r="K849"/>
  <c r="L849"/>
  <c r="N849"/>
  <c r="P849"/>
  <c r="Q849"/>
  <c r="R849"/>
  <c r="S849"/>
  <c r="T849"/>
  <c r="U849"/>
  <c r="W849"/>
  <c r="Y849"/>
  <c r="Z849"/>
  <c r="AA849"/>
  <c r="AB849"/>
  <c r="AC849"/>
  <c r="AD849"/>
  <c r="AF849"/>
  <c r="AH849"/>
  <c r="AI849"/>
  <c r="AJ849"/>
  <c r="AK849"/>
  <c r="AL849"/>
  <c r="AM849"/>
  <c r="AO849"/>
  <c r="AQ849"/>
  <c r="AR849"/>
  <c r="AS849"/>
  <c r="AT849"/>
  <c r="AU849"/>
  <c r="AV849"/>
  <c r="AX849"/>
  <c r="AZ849"/>
  <c r="BA849"/>
  <c r="BB849"/>
  <c r="BC849"/>
  <c r="BD849"/>
  <c r="BE849"/>
  <c r="BG849"/>
  <c r="BI849"/>
  <c r="BJ849"/>
  <c r="BK849"/>
  <c r="BL849"/>
  <c r="BM849"/>
  <c r="BN849"/>
  <c r="BP849"/>
  <c r="N850"/>
  <c r="W850"/>
  <c r="AF850"/>
  <c r="AO850"/>
  <c r="BG850"/>
  <c r="BP850"/>
  <c r="G852"/>
  <c r="H852"/>
  <c r="I852"/>
  <c r="J852"/>
  <c r="K852"/>
  <c r="L852"/>
  <c r="N852"/>
  <c r="P852"/>
  <c r="Q852"/>
  <c r="R852"/>
  <c r="S852"/>
  <c r="T852"/>
  <c r="U852"/>
  <c r="W852"/>
  <c r="Y852"/>
  <c r="Z852"/>
  <c r="AA852"/>
  <c r="AB852"/>
  <c r="AC852"/>
  <c r="AD852"/>
  <c r="AF852"/>
  <c r="AH852"/>
  <c r="AI852"/>
  <c r="AJ852"/>
  <c r="AK852"/>
  <c r="AL852"/>
  <c r="AM852"/>
  <c r="AO852"/>
  <c r="AQ852"/>
  <c r="AR852"/>
  <c r="AS852"/>
  <c r="AT852"/>
  <c r="AU852"/>
  <c r="AV852"/>
  <c r="AX852"/>
  <c r="AZ852"/>
  <c r="BA852"/>
  <c r="BB852"/>
  <c r="BC852"/>
  <c r="BD852"/>
  <c r="BE852"/>
  <c r="BG852"/>
  <c r="BI852"/>
  <c r="BJ852"/>
  <c r="BK852"/>
  <c r="BL852"/>
  <c r="BM852"/>
  <c r="BN852"/>
  <c r="BP852"/>
  <c r="G854"/>
  <c r="H854"/>
  <c r="I854"/>
  <c r="J854"/>
  <c r="K854"/>
  <c r="L854"/>
  <c r="N854"/>
  <c r="P854"/>
  <c r="Q854"/>
  <c r="R854"/>
  <c r="S854"/>
  <c r="T854"/>
  <c r="U854"/>
  <c r="W854"/>
  <c r="Y854"/>
  <c r="Z854"/>
  <c r="AA854"/>
  <c r="AB854"/>
  <c r="AC854"/>
  <c r="AD854"/>
  <c r="AF854"/>
  <c r="AH854"/>
  <c r="AI854"/>
  <c r="AJ854"/>
  <c r="AK854"/>
  <c r="AL854"/>
  <c r="AM854"/>
  <c r="AO854"/>
  <c r="AQ854"/>
  <c r="AR854"/>
  <c r="AS854"/>
  <c r="AT854"/>
  <c r="AU854"/>
  <c r="AV854"/>
  <c r="AX854"/>
  <c r="AZ854"/>
  <c r="BA854"/>
  <c r="BB854"/>
  <c r="BC854"/>
  <c r="BD854"/>
  <c r="BE854"/>
  <c r="BG854"/>
  <c r="BI854"/>
  <c r="BJ854"/>
  <c r="BK854"/>
  <c r="BL854"/>
  <c r="BM854"/>
  <c r="BN854"/>
  <c r="BP854"/>
  <c r="G856"/>
  <c r="H856"/>
  <c r="I856"/>
  <c r="J856"/>
  <c r="K856"/>
  <c r="L856"/>
  <c r="N856"/>
  <c r="P856"/>
  <c r="Q856"/>
  <c r="R856"/>
  <c r="S856"/>
  <c r="T856"/>
  <c r="U856"/>
  <c r="W856"/>
  <c r="Y856"/>
  <c r="Z856"/>
  <c r="AA856"/>
  <c r="AB856"/>
  <c r="AC856"/>
  <c r="AD856"/>
  <c r="AF856"/>
  <c r="AH856"/>
  <c r="AI856"/>
  <c r="AJ856"/>
  <c r="AK856"/>
  <c r="AL856"/>
  <c r="AM856"/>
  <c r="AO856"/>
  <c r="AQ856"/>
  <c r="AR856"/>
  <c r="AS856"/>
  <c r="AT856"/>
  <c r="AU856"/>
  <c r="AV856"/>
  <c r="AX856"/>
  <c r="AZ856"/>
  <c r="BA856"/>
  <c r="BB856"/>
  <c r="BC856"/>
  <c r="BD856"/>
  <c r="BE856"/>
  <c r="BG856"/>
  <c r="BI856"/>
  <c r="BJ856"/>
  <c r="BK856"/>
  <c r="BL856"/>
  <c r="BM856"/>
  <c r="BN856"/>
  <c r="BP856"/>
  <c r="G859"/>
  <c r="H859"/>
  <c r="I859"/>
  <c r="J859"/>
  <c r="K859"/>
  <c r="L859"/>
  <c r="N859"/>
  <c r="P859"/>
  <c r="Q859"/>
  <c r="R859"/>
  <c r="S859"/>
  <c r="T859"/>
  <c r="U859"/>
  <c r="W859"/>
  <c r="Y859"/>
  <c r="Z859"/>
  <c r="AA859"/>
  <c r="AB859"/>
  <c r="AC859"/>
  <c r="AD859"/>
  <c r="AF859"/>
  <c r="AH859"/>
  <c r="AI859"/>
  <c r="AJ859"/>
  <c r="AK859"/>
  <c r="AL859"/>
  <c r="AM859"/>
  <c r="AO859"/>
  <c r="AZ859"/>
  <c r="BA859"/>
  <c r="BB859"/>
  <c r="BC859"/>
  <c r="BD859"/>
  <c r="BE859"/>
  <c r="BG859"/>
  <c r="BI859"/>
  <c r="BJ859"/>
  <c r="BK859"/>
  <c r="BL859"/>
  <c r="BM859"/>
  <c r="BN859"/>
  <c r="BP859"/>
  <c r="G860"/>
  <c r="H860"/>
  <c r="I860"/>
  <c r="J860"/>
  <c r="K860"/>
  <c r="L860"/>
  <c r="N860"/>
  <c r="P860"/>
  <c r="Q860"/>
  <c r="R860"/>
  <c r="S860"/>
  <c r="T860"/>
  <c r="U860"/>
  <c r="W860"/>
  <c r="Y860"/>
  <c r="Z860"/>
  <c r="AA860"/>
  <c r="AB860"/>
  <c r="AC860"/>
  <c r="AD860"/>
  <c r="AF860"/>
  <c r="AH860"/>
  <c r="AI860"/>
  <c r="AJ860"/>
  <c r="AK860"/>
  <c r="AL860"/>
  <c r="AM860"/>
  <c r="AO860"/>
  <c r="AZ860"/>
  <c r="BA860"/>
  <c r="BB860"/>
  <c r="BC860"/>
  <c r="BD860"/>
  <c r="BE860"/>
  <c r="BG860"/>
  <c r="BI860"/>
  <c r="BJ860"/>
  <c r="BK860"/>
  <c r="BL860"/>
  <c r="BM860"/>
  <c r="BN860"/>
  <c r="BP860"/>
  <c r="G861"/>
  <c r="H861"/>
  <c r="I861"/>
  <c r="J861"/>
  <c r="K861"/>
  <c r="L861"/>
  <c r="N861"/>
  <c r="P861"/>
  <c r="Q861"/>
  <c r="R861"/>
  <c r="S861"/>
  <c r="T861"/>
  <c r="U861"/>
  <c r="W861"/>
  <c r="Y861"/>
  <c r="Z861"/>
  <c r="AA861"/>
  <c r="AB861"/>
  <c r="AC861"/>
  <c r="AD861"/>
  <c r="AF861"/>
  <c r="AH861"/>
  <c r="AI861"/>
  <c r="AJ861"/>
  <c r="AK861"/>
  <c r="AL861"/>
  <c r="AM861"/>
  <c r="AO861"/>
  <c r="AZ861"/>
  <c r="BA861"/>
  <c r="BB861"/>
  <c r="BC861"/>
  <c r="BD861"/>
  <c r="BE861"/>
  <c r="BG861"/>
  <c r="BI861"/>
  <c r="BJ861"/>
  <c r="BK861"/>
  <c r="BL861"/>
  <c r="BM861"/>
  <c r="BN861"/>
  <c r="BP861"/>
  <c r="G863"/>
  <c r="H863"/>
  <c r="I863"/>
  <c r="J863"/>
  <c r="K863"/>
  <c r="L863"/>
  <c r="N863"/>
  <c r="P863"/>
  <c r="Q863"/>
  <c r="R863"/>
  <c r="S863"/>
  <c r="T863"/>
  <c r="U863"/>
  <c r="W863"/>
  <c r="Y863"/>
  <c r="Z863"/>
  <c r="AA863"/>
  <c r="AB863"/>
  <c r="AC863"/>
  <c r="AD863"/>
  <c r="AF863"/>
  <c r="AH863"/>
  <c r="AI863"/>
  <c r="AJ863"/>
  <c r="AK863"/>
  <c r="AL863"/>
  <c r="AM863"/>
  <c r="AO863"/>
  <c r="AQ863"/>
  <c r="AR863"/>
  <c r="AS863"/>
  <c r="AT863"/>
  <c r="AU863"/>
  <c r="AV863"/>
  <c r="AX863"/>
  <c r="AZ863"/>
  <c r="BA863"/>
  <c r="BB863"/>
  <c r="BC863"/>
  <c r="BD863"/>
  <c r="BE863"/>
  <c r="BG863"/>
  <c r="BI863"/>
  <c r="BJ863"/>
  <c r="BK863"/>
  <c r="BL863"/>
  <c r="BM863"/>
  <c r="BN863"/>
  <c r="BP863"/>
  <c r="G864"/>
  <c r="H864"/>
  <c r="I864"/>
  <c r="J864"/>
  <c r="K864"/>
  <c r="L864"/>
  <c r="N864"/>
  <c r="P864"/>
  <c r="Q864"/>
  <c r="R864"/>
  <c r="S864"/>
  <c r="T864"/>
  <c r="U864"/>
  <c r="W864"/>
  <c r="Y864"/>
  <c r="Z864"/>
  <c r="AA864"/>
  <c r="AB864"/>
  <c r="AC864"/>
  <c r="AD864"/>
  <c r="AF864"/>
  <c r="AH864"/>
  <c r="AI864"/>
  <c r="AJ864"/>
  <c r="AK864"/>
  <c r="AL864"/>
  <c r="AM864"/>
  <c r="AO864"/>
  <c r="AQ864"/>
  <c r="AR864"/>
  <c r="AS864"/>
  <c r="AT864"/>
  <c r="AU864"/>
  <c r="AV864"/>
  <c r="AX864"/>
  <c r="AZ864"/>
  <c r="BA864"/>
  <c r="BB864"/>
  <c r="BC864"/>
  <c r="BD864"/>
  <c r="BE864"/>
  <c r="BG864"/>
  <c r="BI864"/>
  <c r="BJ864"/>
  <c r="BK864"/>
  <c r="BL864"/>
  <c r="BM864"/>
  <c r="BN864"/>
  <c r="BP864"/>
  <c r="G865"/>
  <c r="H865"/>
  <c r="I865"/>
  <c r="J865"/>
  <c r="K865"/>
  <c r="L865"/>
  <c r="G866"/>
  <c r="H866"/>
  <c r="I866"/>
  <c r="J866"/>
  <c r="K866"/>
  <c r="L866"/>
  <c r="G869"/>
  <c r="H869"/>
  <c r="I869"/>
  <c r="J869"/>
  <c r="K869"/>
  <c r="L869"/>
  <c r="P869"/>
  <c r="Q869"/>
  <c r="R869"/>
  <c r="S869"/>
  <c r="T869"/>
  <c r="U869"/>
  <c r="Y869"/>
  <c r="Z869"/>
  <c r="AA869"/>
  <c r="AB869"/>
  <c r="AC869"/>
  <c r="AD869"/>
  <c r="AH869"/>
  <c r="AI869"/>
  <c r="AJ869"/>
  <c r="AK869"/>
  <c r="AL869"/>
  <c r="AM869"/>
  <c r="AQ869"/>
  <c r="AR869"/>
  <c r="AS869"/>
  <c r="AT869"/>
  <c r="AU869"/>
  <c r="AV869"/>
  <c r="AZ869"/>
  <c r="BA869"/>
  <c r="BB869"/>
  <c r="BC869"/>
  <c r="BD869"/>
  <c r="BE869"/>
  <c r="BI869"/>
  <c r="BJ869"/>
  <c r="BK869"/>
  <c r="BL869"/>
  <c r="BM869"/>
  <c r="BN869"/>
  <c r="G870"/>
  <c r="H870"/>
  <c r="I870"/>
  <c r="J870"/>
  <c r="K870"/>
  <c r="L870"/>
  <c r="P870"/>
  <c r="Q870"/>
  <c r="R870"/>
  <c r="S870"/>
  <c r="T870"/>
  <c r="U870"/>
  <c r="Y870"/>
  <c r="Z870"/>
  <c r="AA870"/>
  <c r="AB870"/>
  <c r="AC870"/>
  <c r="AD870"/>
  <c r="AH870"/>
  <c r="AI870"/>
  <c r="AJ870"/>
  <c r="AK870"/>
  <c r="AL870"/>
  <c r="AM870"/>
  <c r="AQ870"/>
  <c r="AR870"/>
  <c r="AS870"/>
  <c r="AT870"/>
  <c r="AU870"/>
  <c r="AV870"/>
  <c r="AZ870"/>
  <c r="BA870"/>
  <c r="BB870"/>
  <c r="BC870"/>
  <c r="BD870"/>
  <c r="BE870"/>
  <c r="BI870"/>
  <c r="BJ870"/>
  <c r="BK870"/>
  <c r="BL870"/>
  <c r="BM870"/>
  <c r="BN870"/>
  <c r="P873"/>
  <c r="Q873"/>
  <c r="R873"/>
  <c r="S873"/>
  <c r="T873"/>
  <c r="U873"/>
  <c r="W873"/>
  <c r="Y873"/>
  <c r="Z873"/>
  <c r="AA873"/>
  <c r="AB873"/>
  <c r="AC873"/>
  <c r="AD873"/>
  <c r="AF873"/>
  <c r="AH873"/>
  <c r="AI873"/>
  <c r="AJ873"/>
  <c r="AK873"/>
  <c r="AL873"/>
  <c r="AM873"/>
  <c r="AO873"/>
  <c r="AQ873"/>
  <c r="AR873"/>
  <c r="AS873"/>
  <c r="AT873"/>
  <c r="AU873"/>
  <c r="AV873"/>
  <c r="AX873"/>
  <c r="AZ873"/>
  <c r="BA873"/>
  <c r="BB873"/>
  <c r="BC873"/>
  <c r="BD873"/>
  <c r="BE873"/>
  <c r="BG873"/>
  <c r="BI873"/>
  <c r="BJ873"/>
  <c r="BK873"/>
  <c r="BL873"/>
  <c r="BM873"/>
  <c r="BN873"/>
  <c r="BP873"/>
  <c r="P874"/>
  <c r="Q874"/>
  <c r="R874"/>
  <c r="S874"/>
  <c r="T874"/>
  <c r="U874"/>
  <c r="W874"/>
  <c r="Y874"/>
  <c r="Z874"/>
  <c r="AA874"/>
  <c r="AB874"/>
  <c r="AC874"/>
  <c r="AD874"/>
  <c r="AF874"/>
  <c r="AH874"/>
  <c r="AI874"/>
  <c r="AJ874"/>
  <c r="AK874"/>
  <c r="AL874"/>
  <c r="AM874"/>
  <c r="AO874"/>
  <c r="AZ874"/>
  <c r="BA874"/>
  <c r="BB874"/>
  <c r="BC874"/>
  <c r="BD874"/>
  <c r="BE874"/>
  <c r="BG874"/>
  <c r="BI874"/>
  <c r="BJ874"/>
  <c r="BK874"/>
  <c r="BL874"/>
  <c r="BM874"/>
  <c r="BN874"/>
  <c r="BP874"/>
  <c r="P875"/>
  <c r="Q875"/>
  <c r="R875"/>
  <c r="S875"/>
  <c r="T875"/>
  <c r="U875"/>
  <c r="W875"/>
  <c r="Y875"/>
  <c r="Z875"/>
  <c r="AA875"/>
  <c r="AB875"/>
  <c r="AC875"/>
  <c r="AD875"/>
  <c r="AF875"/>
  <c r="AH875"/>
  <c r="AI875"/>
  <c r="AJ875"/>
  <c r="AK875"/>
  <c r="AL875"/>
  <c r="AM875"/>
  <c r="AO875"/>
  <c r="AQ875"/>
  <c r="AR875"/>
  <c r="AS875"/>
  <c r="AT875"/>
  <c r="AU875"/>
  <c r="AV875"/>
  <c r="AX875"/>
  <c r="AZ875"/>
  <c r="BA875"/>
  <c r="BB875"/>
  <c r="BC875"/>
  <c r="BD875"/>
  <c r="BE875"/>
  <c r="BG875"/>
  <c r="BI875"/>
  <c r="BJ875"/>
  <c r="BK875"/>
  <c r="BL875"/>
  <c r="BM875"/>
  <c r="BN875"/>
  <c r="BP875"/>
  <c r="P876"/>
  <c r="Q876"/>
  <c r="R876"/>
  <c r="S876"/>
  <c r="T876"/>
  <c r="U876"/>
  <c r="W876"/>
  <c r="Y876"/>
  <c r="Z876"/>
  <c r="AA876"/>
  <c r="AB876"/>
  <c r="AC876"/>
  <c r="AD876"/>
  <c r="AF876"/>
  <c r="AH876"/>
  <c r="AI876"/>
  <c r="AJ876"/>
  <c r="AK876"/>
  <c r="AL876"/>
  <c r="AM876"/>
  <c r="AO876"/>
  <c r="AZ876"/>
  <c r="BA876"/>
  <c r="BB876"/>
  <c r="BC876"/>
  <c r="BD876"/>
  <c r="BE876"/>
  <c r="BG876"/>
  <c r="BI876"/>
  <c r="BJ876"/>
  <c r="BK876"/>
  <c r="BL876"/>
  <c r="BM876"/>
  <c r="BN876"/>
  <c r="BP876"/>
  <c r="P877"/>
  <c r="Q877"/>
  <c r="R877"/>
  <c r="S877"/>
  <c r="T877"/>
  <c r="U877"/>
  <c r="W877"/>
  <c r="Y877"/>
  <c r="Z877"/>
  <c r="AA877"/>
  <c r="AB877"/>
  <c r="AC877"/>
  <c r="AD877"/>
  <c r="AF877"/>
  <c r="AH877"/>
  <c r="AI877"/>
  <c r="AJ877"/>
  <c r="AK877"/>
  <c r="AL877"/>
  <c r="AM877"/>
  <c r="AO877"/>
  <c r="AQ877"/>
  <c r="AR877"/>
  <c r="AS877"/>
  <c r="AT877"/>
  <c r="AU877"/>
  <c r="AV877"/>
  <c r="AX877"/>
  <c r="AZ877"/>
  <c r="BA877"/>
  <c r="BB877"/>
  <c r="BC877"/>
  <c r="BD877"/>
  <c r="BE877"/>
  <c r="BG877"/>
  <c r="BI877"/>
  <c r="BJ877"/>
  <c r="BK877"/>
  <c r="BL877"/>
  <c r="BM877"/>
  <c r="BN877"/>
  <c r="BP877"/>
  <c r="P878"/>
  <c r="Q878"/>
  <c r="R878"/>
  <c r="S878"/>
  <c r="T878"/>
  <c r="U878"/>
  <c r="W878"/>
  <c r="Y878"/>
  <c r="Z878"/>
  <c r="AA878"/>
  <c r="AB878"/>
  <c r="AC878"/>
  <c r="AD878"/>
  <c r="AF878"/>
  <c r="AH878"/>
  <c r="AI878"/>
  <c r="AJ878"/>
  <c r="AK878"/>
  <c r="AL878"/>
  <c r="AM878"/>
  <c r="AO878"/>
  <c r="AQ878"/>
  <c r="AR878"/>
  <c r="AS878"/>
  <c r="AT878"/>
  <c r="AU878"/>
  <c r="AV878"/>
  <c r="AX878"/>
  <c r="AZ878"/>
  <c r="BA878"/>
  <c r="BB878"/>
  <c r="BC878"/>
  <c r="BD878"/>
  <c r="BE878"/>
  <c r="BG878"/>
  <c r="BI878"/>
  <c r="BJ878"/>
  <c r="BK878"/>
  <c r="BL878"/>
  <c r="BM878"/>
  <c r="BN878"/>
  <c r="BP878"/>
  <c r="G883"/>
  <c r="H883"/>
  <c r="I883"/>
  <c r="J883"/>
  <c r="K883"/>
  <c r="L883"/>
  <c r="N883"/>
  <c r="P883"/>
  <c r="Q883"/>
  <c r="R883"/>
  <c r="S883"/>
  <c r="T883"/>
  <c r="U883"/>
  <c r="W883"/>
  <c r="Y883"/>
  <c r="Z883"/>
  <c r="AA883"/>
  <c r="AB883"/>
  <c r="AC883"/>
  <c r="AD883"/>
  <c r="AF883"/>
  <c r="AH883"/>
  <c r="AI883"/>
  <c r="AJ883"/>
  <c r="AK883"/>
  <c r="AL883"/>
  <c r="AM883"/>
  <c r="AO883"/>
  <c r="AQ883"/>
  <c r="AR883"/>
  <c r="AS883"/>
  <c r="AT883"/>
  <c r="AU883"/>
  <c r="AV883"/>
  <c r="AX883"/>
  <c r="AZ883"/>
  <c r="BA883"/>
  <c r="BB883"/>
  <c r="BC883"/>
  <c r="BD883"/>
  <c r="BE883"/>
  <c r="BG883"/>
  <c r="BI883"/>
  <c r="BJ883"/>
  <c r="BK883"/>
  <c r="BL883"/>
  <c r="BM883"/>
  <c r="BN883"/>
  <c r="BP883"/>
  <c r="G884"/>
  <c r="H884"/>
  <c r="I884"/>
  <c r="J884"/>
  <c r="K884"/>
  <c r="L884"/>
  <c r="N884"/>
  <c r="P884"/>
  <c r="Q884"/>
  <c r="R884"/>
  <c r="S884"/>
  <c r="T884"/>
  <c r="U884"/>
  <c r="W884"/>
  <c r="Y884"/>
  <c r="Z884"/>
  <c r="AA884"/>
  <c r="AB884"/>
  <c r="AC884"/>
  <c r="AD884"/>
  <c r="AF884"/>
  <c r="AH884"/>
  <c r="AI884"/>
  <c r="AJ884"/>
  <c r="AK884"/>
  <c r="AL884"/>
  <c r="AM884"/>
  <c r="AO884"/>
  <c r="AQ884"/>
  <c r="AR884"/>
  <c r="AS884"/>
  <c r="AT884"/>
  <c r="AU884"/>
  <c r="AV884"/>
  <c r="AX884"/>
  <c r="AZ884"/>
  <c r="BA884"/>
  <c r="BB884"/>
  <c r="BC884"/>
  <c r="BD884"/>
  <c r="BE884"/>
  <c r="BG884"/>
  <c r="BI884"/>
  <c r="BJ884"/>
  <c r="BK884"/>
  <c r="BL884"/>
  <c r="BM884"/>
  <c r="BN884"/>
  <c r="BP884"/>
  <c r="G885"/>
  <c r="H885"/>
  <c r="I885"/>
  <c r="J885"/>
  <c r="K885"/>
  <c r="L885"/>
  <c r="G888"/>
  <c r="H888"/>
  <c r="I888"/>
  <c r="J888"/>
  <c r="K888"/>
  <c r="L888"/>
  <c r="N888"/>
  <c r="P888"/>
  <c r="Q888"/>
  <c r="R888"/>
  <c r="S888"/>
  <c r="T888"/>
  <c r="U888"/>
  <c r="W888"/>
  <c r="Y888"/>
  <c r="Z888"/>
  <c r="AA888"/>
  <c r="AB888"/>
  <c r="AC888"/>
  <c r="AD888"/>
  <c r="AF888"/>
  <c r="AH888"/>
  <c r="AI888"/>
  <c r="AJ888"/>
  <c r="AK888"/>
  <c r="AL888"/>
  <c r="AM888"/>
  <c r="AO888"/>
  <c r="AZ888"/>
  <c r="BA888"/>
  <c r="BB888"/>
  <c r="BC888"/>
  <c r="BD888"/>
  <c r="BE888"/>
  <c r="BG888"/>
  <c r="BI888"/>
  <c r="BJ888"/>
  <c r="BK888"/>
  <c r="BL888"/>
  <c r="BM888"/>
  <c r="BN888"/>
  <c r="BP888"/>
  <c r="G889"/>
  <c r="H889"/>
  <c r="I889"/>
  <c r="J889"/>
  <c r="K889"/>
  <c r="L889"/>
  <c r="N889"/>
  <c r="P889"/>
  <c r="Q889"/>
  <c r="R889"/>
  <c r="S889"/>
  <c r="T889"/>
  <c r="U889"/>
  <c r="W889"/>
  <c r="Y889"/>
  <c r="Z889"/>
  <c r="AA889"/>
  <c r="AB889"/>
  <c r="AC889"/>
  <c r="AD889"/>
  <c r="AF889"/>
  <c r="AZ889"/>
  <c r="BA889"/>
  <c r="BB889"/>
  <c r="BC889"/>
  <c r="BD889"/>
  <c r="BE889"/>
  <c r="BG889"/>
  <c r="BI889"/>
  <c r="BJ889"/>
  <c r="BK889"/>
  <c r="BL889"/>
  <c r="BM889"/>
  <c r="BN889"/>
  <c r="BP889"/>
  <c r="G891"/>
  <c r="H891"/>
  <c r="I891"/>
  <c r="J891"/>
  <c r="K891"/>
  <c r="L891"/>
  <c r="N891"/>
  <c r="P891"/>
  <c r="Q891"/>
  <c r="R891"/>
  <c r="S891"/>
  <c r="T891"/>
  <c r="U891"/>
  <c r="W891"/>
  <c r="Y891"/>
  <c r="Z891"/>
  <c r="AA891"/>
  <c r="AB891"/>
  <c r="AC891"/>
  <c r="AD891"/>
  <c r="AF891"/>
  <c r="AH891"/>
  <c r="AI891"/>
  <c r="AJ891"/>
  <c r="AK891"/>
  <c r="AL891"/>
  <c r="AM891"/>
  <c r="AO891"/>
  <c r="AQ891"/>
  <c r="AR891"/>
  <c r="AS891"/>
  <c r="AT891"/>
  <c r="AU891"/>
  <c r="AV891"/>
  <c r="AX891"/>
  <c r="AZ891"/>
  <c r="BA891"/>
  <c r="BB891"/>
  <c r="BC891"/>
  <c r="BD891"/>
  <c r="BE891"/>
  <c r="BG891"/>
  <c r="BI891"/>
  <c r="BJ891"/>
  <c r="BK891"/>
  <c r="BL891"/>
  <c r="BM891"/>
  <c r="BN891"/>
  <c r="BP891"/>
  <c r="G893"/>
  <c r="H893"/>
  <c r="I893"/>
  <c r="J893"/>
  <c r="K893"/>
  <c r="L893"/>
  <c r="N893"/>
  <c r="P893"/>
  <c r="Q893"/>
  <c r="R893"/>
  <c r="S893"/>
  <c r="T893"/>
  <c r="U893"/>
  <c r="W893"/>
  <c r="Y893"/>
  <c r="Z893"/>
  <c r="AA893"/>
  <c r="AB893"/>
  <c r="AC893"/>
  <c r="AD893"/>
  <c r="AF893"/>
  <c r="AH893"/>
  <c r="AI893"/>
  <c r="AJ893"/>
  <c r="AK893"/>
  <c r="AL893"/>
  <c r="AM893"/>
  <c r="AO893"/>
  <c r="AQ893"/>
  <c r="AR893"/>
  <c r="AS893"/>
  <c r="AT893"/>
  <c r="AU893"/>
  <c r="AV893"/>
  <c r="AX893"/>
  <c r="AZ893"/>
  <c r="BA893"/>
  <c r="BB893"/>
  <c r="BC893"/>
  <c r="BD893"/>
  <c r="BE893"/>
  <c r="BG893"/>
  <c r="BI893"/>
  <c r="BJ893"/>
  <c r="BK893"/>
  <c r="BL893"/>
  <c r="BM893"/>
  <c r="BN893"/>
  <c r="BP893"/>
  <c r="N894"/>
  <c r="P898"/>
  <c r="Q898"/>
  <c r="R898"/>
  <c r="S898"/>
  <c r="T898"/>
  <c r="U898"/>
  <c r="Y898"/>
  <c r="Z898"/>
  <c r="AA898"/>
  <c r="AB898"/>
  <c r="AC898"/>
  <c r="AD898"/>
  <c r="AH898"/>
  <c r="AI898"/>
  <c r="AJ898"/>
  <c r="AK898"/>
  <c r="AL898"/>
  <c r="AM898"/>
  <c r="AQ898"/>
  <c r="AR898"/>
  <c r="AS898"/>
  <c r="AT898"/>
  <c r="AU898"/>
  <c r="AV898"/>
  <c r="AZ898"/>
  <c r="BA898"/>
  <c r="BB898"/>
  <c r="BC898"/>
  <c r="BD898"/>
  <c r="BE898"/>
  <c r="BI898"/>
  <c r="BJ898"/>
  <c r="BK898"/>
  <c r="BL898"/>
  <c r="BM898"/>
  <c r="BN898"/>
  <c r="G899"/>
  <c r="H899"/>
  <c r="I899"/>
  <c r="J899"/>
  <c r="K899"/>
  <c r="L899"/>
  <c r="N899"/>
  <c r="P899"/>
  <c r="Q899"/>
  <c r="R899"/>
  <c r="S899"/>
  <c r="T899"/>
  <c r="U899"/>
  <c r="W899"/>
  <c r="Y899"/>
  <c r="Z899"/>
  <c r="AA899"/>
  <c r="AB899"/>
  <c r="AC899"/>
  <c r="AD899"/>
  <c r="AF899"/>
  <c r="AH899"/>
  <c r="AI899"/>
  <c r="AJ899"/>
  <c r="AK899"/>
  <c r="AL899"/>
  <c r="AM899"/>
  <c r="AO899"/>
  <c r="AQ899"/>
  <c r="AR899"/>
  <c r="AS899"/>
  <c r="AT899"/>
  <c r="AU899"/>
  <c r="AV899"/>
  <c r="AX899"/>
  <c r="AZ899"/>
  <c r="BA899"/>
  <c r="BB899"/>
  <c r="BC899"/>
  <c r="BD899"/>
  <c r="BE899"/>
  <c r="BG899"/>
  <c r="BI899"/>
  <c r="BJ899"/>
  <c r="BK899"/>
  <c r="BL899"/>
  <c r="BM899"/>
  <c r="BN899"/>
  <c r="BP899"/>
  <c r="P901"/>
  <c r="Q901"/>
  <c r="R901"/>
  <c r="S901"/>
  <c r="T901"/>
  <c r="U901"/>
  <c r="Y901"/>
  <c r="Z901"/>
  <c r="AA901"/>
  <c r="AB901"/>
  <c r="AC901"/>
  <c r="AD901"/>
  <c r="AH901"/>
  <c r="AI901"/>
  <c r="AJ901"/>
  <c r="AK901"/>
  <c r="AL901"/>
  <c r="AM901"/>
  <c r="AQ901"/>
  <c r="AR901"/>
  <c r="AS901"/>
  <c r="AT901"/>
  <c r="AU901"/>
  <c r="AV901"/>
  <c r="AZ901"/>
  <c r="BA901"/>
  <c r="BB901"/>
  <c r="BC901"/>
  <c r="BD901"/>
  <c r="BE901"/>
  <c r="BI901"/>
  <c r="BJ901"/>
  <c r="BK901"/>
  <c r="BL901"/>
  <c r="BM901"/>
  <c r="BN901"/>
  <c r="G902"/>
  <c r="H902"/>
  <c r="I902"/>
  <c r="J902"/>
  <c r="K902"/>
  <c r="L902"/>
  <c r="N902"/>
  <c r="P902"/>
  <c r="Q902"/>
  <c r="R902"/>
  <c r="S902"/>
  <c r="T902"/>
  <c r="U902"/>
  <c r="W902"/>
  <c r="Y902"/>
  <c r="Z902"/>
  <c r="AA902"/>
  <c r="AB902"/>
  <c r="AC902"/>
  <c r="AD902"/>
  <c r="AF902"/>
  <c r="AH902"/>
  <c r="AI902"/>
  <c r="AJ902"/>
  <c r="AK902"/>
  <c r="AL902"/>
  <c r="AM902"/>
  <c r="AO902"/>
  <c r="AQ902"/>
  <c r="AR902"/>
  <c r="AS902"/>
  <c r="AT902"/>
  <c r="AU902"/>
  <c r="AV902"/>
  <c r="AX902"/>
  <c r="AZ902"/>
  <c r="BA902"/>
  <c r="BB902"/>
  <c r="BC902"/>
  <c r="BD902"/>
  <c r="BE902"/>
  <c r="BG902"/>
  <c r="BI902"/>
  <c r="BJ902"/>
  <c r="BK902"/>
  <c r="BL902"/>
  <c r="BM902"/>
  <c r="BN902"/>
  <c r="BP902"/>
  <c r="G904"/>
  <c r="H904"/>
  <c r="I904"/>
  <c r="J904"/>
  <c r="K904"/>
  <c r="L904"/>
  <c r="N904"/>
  <c r="P904"/>
  <c r="Q904"/>
  <c r="R904"/>
  <c r="S904"/>
  <c r="T904"/>
  <c r="U904"/>
  <c r="W904"/>
  <c r="Y904"/>
  <c r="Z904"/>
  <c r="AA904"/>
  <c r="AB904"/>
  <c r="AC904"/>
  <c r="AD904"/>
  <c r="AF904"/>
  <c r="AH904"/>
  <c r="AI904"/>
  <c r="AJ904"/>
  <c r="AK904"/>
  <c r="AL904"/>
  <c r="AM904"/>
  <c r="AO904"/>
  <c r="AQ904"/>
  <c r="AR904"/>
  <c r="AS904"/>
  <c r="AT904"/>
  <c r="AU904"/>
  <c r="AV904"/>
  <c r="AX904"/>
  <c r="AZ904"/>
  <c r="BA904"/>
  <c r="BB904"/>
  <c r="BC904"/>
  <c r="BD904"/>
  <c r="BE904"/>
  <c r="BG904"/>
  <c r="BI904"/>
  <c r="BJ904"/>
  <c r="BK904"/>
  <c r="BL904"/>
  <c r="BM904"/>
  <c r="BN904"/>
  <c r="BP904"/>
  <c r="P906"/>
  <c r="Q906"/>
  <c r="R906"/>
  <c r="S906"/>
  <c r="T906"/>
  <c r="U906"/>
  <c r="Y906"/>
  <c r="Z906"/>
  <c r="AA906"/>
  <c r="AB906"/>
  <c r="AC906"/>
  <c r="AD906"/>
  <c r="AH906"/>
  <c r="AI906"/>
  <c r="AJ906"/>
  <c r="AK906"/>
  <c r="AL906"/>
  <c r="AM906"/>
  <c r="AQ906"/>
  <c r="AR906"/>
  <c r="AS906"/>
  <c r="AT906"/>
  <c r="AU906"/>
  <c r="AV906"/>
  <c r="AZ906"/>
  <c r="BA906"/>
  <c r="BB906"/>
  <c r="BC906"/>
  <c r="BD906"/>
  <c r="BE906"/>
  <c r="BI906"/>
  <c r="BJ906"/>
  <c r="BK906"/>
  <c r="BL906"/>
  <c r="BM906"/>
  <c r="BN906"/>
  <c r="G908"/>
  <c r="H908"/>
  <c r="I908"/>
  <c r="J908"/>
  <c r="K908"/>
  <c r="L908"/>
  <c r="N908"/>
  <c r="P908"/>
  <c r="Q908"/>
  <c r="R908"/>
  <c r="S908"/>
  <c r="T908"/>
  <c r="U908"/>
  <c r="W908"/>
  <c r="Y908"/>
  <c r="Z908"/>
  <c r="AA908"/>
  <c r="AB908"/>
  <c r="AC908"/>
  <c r="AD908"/>
  <c r="AF908"/>
  <c r="AH908"/>
  <c r="AI908"/>
  <c r="AJ908"/>
  <c r="AK908"/>
  <c r="AL908"/>
  <c r="AM908"/>
  <c r="AO908"/>
  <c r="AQ908"/>
  <c r="AR908"/>
  <c r="AS908"/>
  <c r="AT908"/>
  <c r="AU908"/>
  <c r="AV908"/>
  <c r="AX908"/>
  <c r="AZ908"/>
  <c r="BA908"/>
  <c r="BB908"/>
  <c r="BC908"/>
  <c r="BD908"/>
  <c r="BE908"/>
  <c r="BG908"/>
  <c r="BI908"/>
  <c r="BJ908"/>
  <c r="BK908"/>
  <c r="BL908"/>
  <c r="BM908"/>
  <c r="BN908"/>
  <c r="BP908"/>
  <c r="G911"/>
  <c r="H911"/>
  <c r="I911"/>
  <c r="J911"/>
  <c r="K911"/>
  <c r="L911"/>
  <c r="N911"/>
  <c r="P911"/>
  <c r="Q911"/>
  <c r="R911"/>
  <c r="S911"/>
  <c r="T911"/>
  <c r="U911"/>
  <c r="W911"/>
  <c r="Y911"/>
  <c r="Z911"/>
  <c r="AA911"/>
  <c r="AB911"/>
  <c r="AC911"/>
  <c r="AD911"/>
  <c r="AF911"/>
  <c r="AH911"/>
  <c r="AI911"/>
  <c r="AJ911"/>
  <c r="AK911"/>
  <c r="AL911"/>
  <c r="AM911"/>
  <c r="AO911"/>
  <c r="AQ911"/>
  <c r="AR911"/>
  <c r="AS911"/>
  <c r="AT911"/>
  <c r="AU911"/>
  <c r="AV911"/>
  <c r="AX911"/>
  <c r="AZ911"/>
  <c r="BA911"/>
  <c r="BB911"/>
  <c r="BC911"/>
  <c r="BD911"/>
  <c r="BE911"/>
  <c r="BG911"/>
  <c r="BI911"/>
  <c r="BJ911"/>
  <c r="BK911"/>
  <c r="BL911"/>
  <c r="BM911"/>
  <c r="BN911"/>
  <c r="BP911"/>
  <c r="G913"/>
  <c r="H913"/>
  <c r="I913"/>
  <c r="J913"/>
  <c r="K913"/>
  <c r="L913"/>
  <c r="G919"/>
  <c r="H919"/>
  <c r="I919"/>
  <c r="J919"/>
  <c r="K919"/>
  <c r="L919"/>
  <c r="G920"/>
  <c r="H920"/>
  <c r="I920"/>
  <c r="J920"/>
  <c r="K920"/>
  <c r="L920"/>
  <c r="G921"/>
  <c r="H921"/>
  <c r="I921"/>
  <c r="J921"/>
  <c r="K921"/>
  <c r="L921"/>
  <c r="G922"/>
  <c r="H922"/>
  <c r="I922"/>
  <c r="J922"/>
  <c r="K922"/>
  <c r="L922"/>
  <c r="G923"/>
  <c r="H923"/>
  <c r="I923"/>
  <c r="J923"/>
  <c r="K923"/>
  <c r="L923"/>
  <c r="G924"/>
  <c r="H924"/>
  <c r="I924"/>
  <c r="J924"/>
  <c r="K924"/>
  <c r="L924"/>
  <c r="G925"/>
  <c r="H925"/>
  <c r="I925"/>
  <c r="J925"/>
  <c r="K925"/>
  <c r="L925"/>
  <c r="G926"/>
  <c r="H926"/>
  <c r="I926"/>
  <c r="J926"/>
  <c r="K926"/>
  <c r="L926"/>
  <c r="H934"/>
  <c r="K934"/>
  <c r="L934"/>
  <c r="M934"/>
  <c r="H935"/>
  <c r="K935"/>
  <c r="L935"/>
  <c r="M935"/>
  <c r="H936"/>
  <c r="K936"/>
  <c r="L936"/>
  <c r="M936"/>
  <c r="K937"/>
  <c r="L937"/>
  <c r="M937"/>
  <c r="K938"/>
  <c r="L938"/>
  <c r="M938"/>
  <c r="H939"/>
  <c r="K939"/>
  <c r="L939"/>
  <c r="M939"/>
  <c r="H940"/>
  <c r="K940"/>
  <c r="L940"/>
  <c r="M940"/>
  <c r="H941"/>
  <c r="K941"/>
  <c r="L941"/>
  <c r="M941"/>
  <c r="K942"/>
  <c r="L942"/>
  <c r="M942"/>
  <c r="K943"/>
  <c r="L943"/>
  <c r="M943"/>
  <c r="H947"/>
  <c r="H948"/>
  <c r="H951"/>
  <c r="H952"/>
  <c r="G961"/>
  <c r="H961"/>
  <c r="I961"/>
  <c r="J961"/>
  <c r="K961"/>
  <c r="L961"/>
  <c r="N961"/>
  <c r="G962"/>
  <c r="H962"/>
  <c r="I962"/>
  <c r="J962"/>
  <c r="K962"/>
  <c r="L962"/>
  <c r="N962"/>
  <c r="G963"/>
  <c r="H963"/>
  <c r="I963"/>
  <c r="J963"/>
  <c r="K963"/>
  <c r="L963"/>
  <c r="N963"/>
  <c r="G967"/>
  <c r="H967"/>
  <c r="I967"/>
  <c r="J967"/>
  <c r="K967"/>
  <c r="L967"/>
  <c r="N967"/>
  <c r="G968"/>
  <c r="H968"/>
  <c r="I968"/>
  <c r="J968"/>
  <c r="K968"/>
  <c r="L968"/>
  <c r="N968"/>
  <c r="G969"/>
  <c r="H969"/>
  <c r="I969"/>
  <c r="J969"/>
  <c r="K969"/>
  <c r="L969"/>
  <c r="N969"/>
  <c r="G970"/>
  <c r="H970"/>
  <c r="I970"/>
  <c r="J970"/>
  <c r="K970"/>
  <c r="L970"/>
  <c r="N970"/>
  <c r="G971"/>
  <c r="H971"/>
  <c r="I971"/>
  <c r="J971"/>
  <c r="K971"/>
  <c r="L971"/>
  <c r="N971"/>
  <c r="G972"/>
  <c r="H972"/>
  <c r="I972"/>
  <c r="J972"/>
  <c r="K972"/>
  <c r="L972"/>
  <c r="N972"/>
  <c r="G977"/>
  <c r="H977"/>
  <c r="I977"/>
  <c r="J977"/>
  <c r="K977"/>
  <c r="L977"/>
  <c r="N977"/>
  <c r="P977"/>
  <c r="Q977"/>
  <c r="R977"/>
  <c r="S977"/>
  <c r="T977"/>
  <c r="U977"/>
  <c r="W977"/>
  <c r="Y977"/>
  <c r="Z977"/>
  <c r="AA977"/>
  <c r="AB977"/>
  <c r="AC977"/>
  <c r="AD977"/>
  <c r="AF977"/>
  <c r="AH977"/>
  <c r="AI977"/>
  <c r="AJ977"/>
  <c r="AK977"/>
  <c r="AL977"/>
  <c r="AM977"/>
  <c r="AO977"/>
  <c r="AQ977"/>
  <c r="AR977"/>
  <c r="AS977"/>
  <c r="AT977"/>
  <c r="AU977"/>
  <c r="AV977"/>
  <c r="AX977"/>
  <c r="AZ977"/>
  <c r="BA977"/>
  <c r="BB977"/>
  <c r="BC977"/>
  <c r="BD977"/>
  <c r="BE977"/>
  <c r="BG977"/>
  <c r="BI977"/>
  <c r="BJ977"/>
  <c r="BK977"/>
  <c r="BL977"/>
  <c r="BM977"/>
  <c r="BN977"/>
  <c r="BP977"/>
  <c r="G979"/>
  <c r="H979"/>
  <c r="I979"/>
  <c r="J979"/>
  <c r="K979"/>
  <c r="L979"/>
  <c r="N979"/>
  <c r="AQ979"/>
  <c r="AR979"/>
  <c r="AS979"/>
  <c r="AT979"/>
  <c r="AU979"/>
  <c r="AV979"/>
  <c r="AX979"/>
  <c r="G981"/>
  <c r="H981"/>
  <c r="I981"/>
  <c r="J981"/>
  <c r="K981"/>
  <c r="L981"/>
  <c r="N981"/>
  <c r="P981"/>
  <c r="Q981"/>
  <c r="R981"/>
  <c r="S981"/>
  <c r="T981"/>
  <c r="U981"/>
  <c r="W981"/>
  <c r="Y981"/>
  <c r="Z981"/>
  <c r="AA981"/>
  <c r="AB981"/>
  <c r="AC981"/>
  <c r="AD981"/>
  <c r="AF981"/>
  <c r="AH981"/>
  <c r="AI981"/>
  <c r="AJ981"/>
  <c r="AK981"/>
  <c r="AL981"/>
  <c r="AM981"/>
  <c r="AO981"/>
  <c r="AZ981"/>
  <c r="BA981"/>
  <c r="BB981"/>
  <c r="BC981"/>
  <c r="BD981"/>
  <c r="BE981"/>
  <c r="BG981"/>
  <c r="BI981"/>
  <c r="BJ981"/>
  <c r="BK981"/>
  <c r="BL981"/>
  <c r="BM981"/>
  <c r="BN981"/>
  <c r="BP981"/>
  <c r="G983"/>
  <c r="H983"/>
  <c r="I983"/>
  <c r="J983"/>
  <c r="K983"/>
  <c r="L983"/>
  <c r="N983"/>
  <c r="G987"/>
  <c r="H987"/>
  <c r="I987"/>
  <c r="J987"/>
  <c r="K987"/>
  <c r="L987"/>
  <c r="N987"/>
  <c r="P987"/>
  <c r="Q987"/>
  <c r="R987"/>
  <c r="S987"/>
  <c r="T987"/>
  <c r="U987"/>
  <c r="W987"/>
  <c r="Y987"/>
  <c r="Z987"/>
  <c r="AA987"/>
  <c r="AB987"/>
  <c r="AC987"/>
  <c r="AD987"/>
  <c r="AF987"/>
  <c r="AH987"/>
  <c r="AI987"/>
  <c r="AJ987"/>
  <c r="AK987"/>
  <c r="AL987"/>
  <c r="AM987"/>
  <c r="AO987"/>
  <c r="AZ987"/>
  <c r="BA987"/>
  <c r="BB987"/>
  <c r="BC987"/>
  <c r="BD987"/>
  <c r="BE987"/>
  <c r="BG987"/>
  <c r="BI987"/>
  <c r="BJ987"/>
  <c r="BK987"/>
  <c r="BL987"/>
  <c r="BM987"/>
  <c r="BN987"/>
  <c r="BP987"/>
  <c r="G989"/>
  <c r="H989"/>
  <c r="I989"/>
  <c r="J989"/>
  <c r="K989"/>
  <c r="L989"/>
  <c r="N989"/>
  <c r="N992"/>
  <c r="N994"/>
  <c r="J61" i="67"/>
  <c r="J65"/>
  <c r="N96"/>
  <c r="N100"/>
  <c r="N105"/>
  <c r="N108"/>
  <c r="N114"/>
  <c r="N127"/>
  <c r="N128"/>
  <c r="N131"/>
  <c r="N132"/>
  <c r="N137"/>
  <c r="N140"/>
  <c r="N144"/>
  <c r="N182"/>
  <c r="N184"/>
  <c r="N188"/>
  <c r="L189"/>
  <c r="N190"/>
  <c r="L191"/>
  <c r="L192"/>
  <c r="N197"/>
  <c r="L198"/>
  <c r="N199"/>
  <c r="L200"/>
  <c r="L201"/>
  <c r="J217"/>
  <c r="J221"/>
  <c r="L241"/>
  <c r="M241"/>
  <c r="L245"/>
  <c r="M245"/>
  <c r="L261"/>
  <c r="M261"/>
  <c r="L274"/>
  <c r="M274"/>
  <c r="L276"/>
  <c r="M276"/>
  <c r="L277"/>
  <c r="M277"/>
  <c r="L280"/>
  <c r="M280"/>
  <c r="L284"/>
  <c r="M284"/>
  <c r="L310"/>
  <c r="M310"/>
  <c r="L312"/>
  <c r="M312"/>
  <c r="L316"/>
  <c r="L317"/>
  <c r="L318"/>
  <c r="L319"/>
  <c r="L320"/>
  <c r="L325"/>
  <c r="L326"/>
  <c r="L327"/>
  <c r="L328"/>
  <c r="L329"/>
  <c r="F383" i="34"/>
  <c r="G385"/>
  <c r="H385"/>
  <c r="I385"/>
  <c r="J385"/>
  <c r="K385"/>
  <c r="L385"/>
  <c r="M385"/>
  <c r="G387"/>
  <c r="H387"/>
  <c r="I387"/>
  <c r="J387"/>
  <c r="K387"/>
  <c r="L387"/>
  <c r="M387"/>
  <c r="D13" i="4"/>
  <c r="G14"/>
  <c r="I33"/>
  <c r="J34"/>
  <c r="I35"/>
  <c r="J36"/>
  <c r="I38"/>
  <c r="J39"/>
  <c r="I41"/>
  <c r="I42"/>
  <c r="J46"/>
  <c r="J47"/>
  <c r="J52"/>
  <c r="J53"/>
  <c r="J54"/>
  <c r="I55"/>
  <c r="J56"/>
  <c r="I57"/>
  <c r="Q81"/>
  <c r="R81"/>
  <c r="S81"/>
  <c r="T81"/>
  <c r="Q82"/>
  <c r="R82"/>
  <c r="S82"/>
  <c r="T82"/>
  <c r="S83"/>
  <c r="T83"/>
  <c r="Q84"/>
  <c r="S84"/>
  <c r="T84"/>
  <c r="R85"/>
  <c r="R86"/>
  <c r="F87"/>
  <c r="G87"/>
  <c r="F88"/>
  <c r="G88"/>
  <c r="F89"/>
  <c r="G89"/>
  <c r="F90"/>
  <c r="G90"/>
  <c r="R90"/>
  <c r="F91"/>
  <c r="R91"/>
  <c r="F92"/>
  <c r="F95"/>
  <c r="G95"/>
  <c r="F96"/>
  <c r="F97"/>
  <c r="E99"/>
  <c r="F99"/>
  <c r="G99"/>
  <c r="G104"/>
  <c r="G107"/>
  <c r="G108"/>
  <c r="G109"/>
  <c r="G110"/>
  <c r="G111"/>
  <c r="G112"/>
  <c r="G114"/>
  <c r="D119"/>
  <c r="E119"/>
  <c r="F119"/>
  <c r="G119"/>
  <c r="D120"/>
  <c r="E120"/>
  <c r="F120"/>
  <c r="G120"/>
  <c r="G122"/>
  <c r="F126"/>
  <c r="F127"/>
  <c r="F128"/>
  <c r="F129"/>
  <c r="B130"/>
  <c r="F130"/>
  <c r="F131"/>
  <c r="F132"/>
  <c r="F135"/>
  <c r="F136"/>
  <c r="F137"/>
  <c r="F138"/>
  <c r="F139"/>
  <c r="E21" i="6"/>
  <c r="G21"/>
  <c r="H21"/>
  <c r="I21"/>
  <c r="J21"/>
  <c r="K21"/>
  <c r="L21"/>
  <c r="M21"/>
  <c r="E23"/>
  <c r="G23"/>
  <c r="H23"/>
  <c r="I23"/>
  <c r="J23"/>
  <c r="K23"/>
  <c r="L23"/>
  <c r="M23"/>
  <c r="G27"/>
  <c r="J27"/>
  <c r="G31"/>
  <c r="J31"/>
  <c r="M31"/>
  <c r="K45"/>
  <c r="L45"/>
  <c r="M45"/>
  <c r="E47"/>
  <c r="F47"/>
  <c r="G47"/>
  <c r="K47"/>
  <c r="L47"/>
  <c r="E49"/>
  <c r="F49"/>
  <c r="G49"/>
  <c r="K49"/>
  <c r="L49"/>
  <c r="M49"/>
  <c r="I90"/>
  <c r="J90"/>
  <c r="K90"/>
  <c r="J94"/>
  <c r="H189"/>
  <c r="I189"/>
  <c r="J189"/>
  <c r="K189"/>
  <c r="L189"/>
  <c r="M189"/>
  <c r="N189"/>
  <c r="O189"/>
  <c r="H191"/>
  <c r="I191"/>
  <c r="J191"/>
  <c r="H193"/>
  <c r="I193"/>
  <c r="J193"/>
  <c r="K193"/>
  <c r="I198"/>
  <c r="J198"/>
  <c r="K198"/>
  <c r="J201"/>
  <c r="K21" i="20"/>
  <c r="K26"/>
  <c r="K31"/>
  <c r="K33"/>
  <c r="H39"/>
  <c r="L39"/>
  <c r="G40"/>
  <c r="F42"/>
  <c r="G42"/>
  <c r="J42"/>
  <c r="K42"/>
  <c r="F44"/>
  <c r="G44"/>
  <c r="J44"/>
  <c r="K44"/>
  <c r="F46"/>
  <c r="G46"/>
  <c r="H48"/>
  <c r="H49"/>
  <c r="G52"/>
  <c r="J61"/>
  <c r="K61"/>
  <c r="L61"/>
  <c r="M61"/>
  <c r="N61"/>
  <c r="O61"/>
  <c r="P61"/>
  <c r="Q61"/>
  <c r="R61"/>
  <c r="S61"/>
  <c r="T61"/>
  <c r="U61"/>
  <c r="V61"/>
  <c r="W61"/>
  <c r="X61"/>
  <c r="Y61"/>
  <c r="Z61"/>
  <c r="AA61"/>
  <c r="AB61"/>
  <c r="AC61"/>
  <c r="AD61"/>
  <c r="AE61"/>
  <c r="AF61"/>
  <c r="AG61"/>
  <c r="J62"/>
  <c r="K62"/>
  <c r="L62"/>
  <c r="M62"/>
  <c r="N62"/>
  <c r="O62"/>
  <c r="P62"/>
  <c r="Q62"/>
  <c r="R62"/>
  <c r="S62"/>
  <c r="T62"/>
  <c r="U62"/>
  <c r="V62"/>
  <c r="W62"/>
  <c r="X62"/>
  <c r="Y62"/>
  <c r="Z62"/>
  <c r="AA62"/>
  <c r="AB62"/>
  <c r="AC62"/>
  <c r="AD62"/>
  <c r="AE62"/>
  <c r="AF62"/>
  <c r="AG62"/>
  <c r="J64"/>
  <c r="K64"/>
  <c r="L64"/>
  <c r="M64"/>
  <c r="N64"/>
  <c r="O64"/>
  <c r="P64"/>
  <c r="Q64"/>
  <c r="R64"/>
  <c r="S64"/>
  <c r="T64"/>
  <c r="U64"/>
  <c r="V64"/>
  <c r="W64"/>
  <c r="X64"/>
  <c r="Y64"/>
  <c r="Z64"/>
  <c r="AA64"/>
  <c r="AB64"/>
  <c r="AC64"/>
  <c r="AD64"/>
  <c r="AE64"/>
  <c r="AF64"/>
  <c r="AG64"/>
  <c r="J65"/>
  <c r="K65"/>
  <c r="L65"/>
  <c r="M65"/>
  <c r="N65"/>
  <c r="O65"/>
  <c r="P65"/>
  <c r="Q65"/>
  <c r="R65"/>
  <c r="S65"/>
  <c r="T65"/>
  <c r="U65"/>
  <c r="V65"/>
  <c r="W65"/>
  <c r="X65"/>
  <c r="Y65"/>
  <c r="Z65"/>
  <c r="AA65"/>
  <c r="AB65"/>
  <c r="AC65"/>
  <c r="AD65"/>
  <c r="AE65"/>
  <c r="AF65"/>
  <c r="AG65"/>
  <c r="J67"/>
  <c r="K67"/>
  <c r="L67"/>
  <c r="M67"/>
  <c r="N67"/>
  <c r="O67"/>
  <c r="P67"/>
  <c r="Q67"/>
  <c r="R67"/>
  <c r="S67"/>
  <c r="T67"/>
  <c r="U67"/>
  <c r="V67"/>
  <c r="W67"/>
  <c r="X67"/>
  <c r="Y67"/>
  <c r="Z67"/>
  <c r="AA67"/>
  <c r="AB67"/>
  <c r="AC67"/>
  <c r="AD67"/>
  <c r="AE67"/>
  <c r="AF67"/>
  <c r="AG67"/>
  <c r="J70"/>
  <c r="K70"/>
  <c r="L70"/>
  <c r="M70"/>
  <c r="N70"/>
  <c r="O70"/>
  <c r="P70"/>
  <c r="Q70"/>
  <c r="R70"/>
  <c r="S70"/>
  <c r="T70"/>
  <c r="U70"/>
  <c r="V70"/>
  <c r="W70"/>
  <c r="X70"/>
  <c r="Y70"/>
  <c r="Z70"/>
  <c r="AA70"/>
  <c r="AB70"/>
  <c r="AC70"/>
  <c r="AD70"/>
  <c r="AE70"/>
  <c r="AF70"/>
  <c r="AG70"/>
  <c r="P348" i="19"/>
  <c r="U348"/>
  <c r="V348"/>
  <c r="Y348"/>
  <c r="Z348"/>
  <c r="AD348"/>
  <c r="AJ348"/>
  <c r="AM348"/>
  <c r="AN348"/>
  <c r="P350"/>
  <c r="R350"/>
  <c r="U350"/>
  <c r="V350"/>
  <c r="Y350"/>
  <c r="Z350"/>
  <c r="AD350"/>
  <c r="AJ350"/>
  <c r="AM350"/>
  <c r="AN350"/>
  <c r="P352"/>
  <c r="U352"/>
  <c r="V352"/>
  <c r="Y352"/>
  <c r="Z352"/>
  <c r="AD352"/>
  <c r="AJ352"/>
  <c r="AM352"/>
  <c r="AN352"/>
  <c r="P354"/>
  <c r="R354"/>
  <c r="U354"/>
  <c r="V354"/>
  <c r="Y354"/>
  <c r="Z354"/>
  <c r="AD354"/>
  <c r="AJ354"/>
  <c r="AM354"/>
  <c r="AN354"/>
  <c r="P358"/>
  <c r="Q358"/>
  <c r="R358"/>
  <c r="S358"/>
  <c r="T358"/>
  <c r="U358"/>
  <c r="V358"/>
  <c r="W358"/>
  <c r="X358"/>
  <c r="Y358"/>
  <c r="Z358"/>
  <c r="AA358"/>
  <c r="AB358"/>
  <c r="AC358"/>
  <c r="AD358"/>
  <c r="AE358"/>
  <c r="AF358"/>
  <c r="AG358"/>
  <c r="AH358"/>
  <c r="AI358"/>
  <c r="AJ358"/>
  <c r="AK358"/>
  <c r="AL358"/>
  <c r="AM358"/>
  <c r="AN358"/>
  <c r="P360"/>
  <c r="Q360"/>
  <c r="R360"/>
  <c r="S360"/>
  <c r="T360"/>
  <c r="U360"/>
  <c r="V360"/>
  <c r="W360"/>
  <c r="X360"/>
  <c r="Y360"/>
  <c r="Z360"/>
  <c r="AA360"/>
  <c r="AB360"/>
  <c r="AC360"/>
  <c r="AD360"/>
  <c r="AE360"/>
  <c r="AF360"/>
  <c r="AG360"/>
  <c r="AH360"/>
  <c r="AI360"/>
  <c r="AJ360"/>
  <c r="AK360"/>
  <c r="AL360"/>
  <c r="AM360"/>
  <c r="AN360"/>
  <c r="P364"/>
  <c r="Q364"/>
  <c r="R364"/>
  <c r="S364"/>
  <c r="T364"/>
  <c r="U364"/>
  <c r="V364"/>
  <c r="W364"/>
  <c r="X364"/>
  <c r="Y364"/>
  <c r="Z364"/>
  <c r="AA364"/>
  <c r="AB364"/>
  <c r="AC364"/>
  <c r="AD364"/>
  <c r="AE364"/>
  <c r="AF364"/>
  <c r="AG364"/>
  <c r="AH364"/>
  <c r="AI364"/>
  <c r="AJ364"/>
  <c r="AK364"/>
  <c r="AL364"/>
  <c r="AM364"/>
  <c r="AN364"/>
  <c r="P365"/>
  <c r="Q365"/>
  <c r="R365"/>
  <c r="S365"/>
  <c r="T365"/>
  <c r="U365"/>
  <c r="V365"/>
  <c r="W365"/>
  <c r="X365"/>
  <c r="Y365"/>
  <c r="Z365"/>
  <c r="AA365"/>
  <c r="AB365"/>
  <c r="AC365"/>
  <c r="AD365"/>
  <c r="AE365"/>
  <c r="AF365"/>
  <c r="AG365"/>
  <c r="AH365"/>
  <c r="AI365"/>
  <c r="AJ365"/>
  <c r="AK365"/>
  <c r="AL365"/>
  <c r="AM365"/>
  <c r="AN365"/>
  <c r="P369"/>
  <c r="Q369"/>
  <c r="R369"/>
  <c r="S369"/>
  <c r="T369"/>
  <c r="U369"/>
  <c r="V369"/>
  <c r="W369"/>
  <c r="X369"/>
  <c r="Y369"/>
  <c r="Z369"/>
  <c r="AA369"/>
  <c r="AB369"/>
  <c r="AC369"/>
  <c r="AD369"/>
  <c r="AE369"/>
  <c r="AF369"/>
  <c r="AG369"/>
  <c r="AH369"/>
  <c r="AI369"/>
  <c r="AJ369"/>
  <c r="AK369"/>
  <c r="AL369"/>
  <c r="AM369"/>
  <c r="AN369"/>
  <c r="P371"/>
  <c r="Q371"/>
  <c r="R371"/>
  <c r="S371"/>
  <c r="T371"/>
  <c r="U371"/>
  <c r="V371"/>
  <c r="W371"/>
  <c r="X371"/>
  <c r="Y371"/>
  <c r="Z371"/>
  <c r="AA371"/>
  <c r="AB371"/>
  <c r="AC371"/>
  <c r="AD371"/>
  <c r="AE371"/>
  <c r="AF371"/>
  <c r="AG371"/>
  <c r="AH371"/>
  <c r="AI371"/>
  <c r="AJ371"/>
  <c r="AK371"/>
  <c r="AL371"/>
  <c r="AM371"/>
  <c r="AN371"/>
  <c r="P373"/>
  <c r="Q373"/>
  <c r="R373"/>
  <c r="S373"/>
  <c r="T373"/>
  <c r="U373"/>
  <c r="V373"/>
  <c r="W373"/>
  <c r="X373"/>
  <c r="Y373"/>
  <c r="Z373"/>
  <c r="AA373"/>
  <c r="AB373"/>
  <c r="AC373"/>
  <c r="AD373"/>
  <c r="AE373"/>
  <c r="AF373"/>
  <c r="AG373"/>
  <c r="AH373"/>
  <c r="AI373"/>
  <c r="AJ373"/>
  <c r="AK373"/>
  <c r="AL373"/>
  <c r="AM373"/>
  <c r="AN373"/>
  <c r="P374"/>
  <c r="Q374"/>
  <c r="R374"/>
  <c r="S374"/>
  <c r="T374"/>
  <c r="U374"/>
  <c r="V374"/>
  <c r="W374"/>
  <c r="X374"/>
  <c r="Y374"/>
  <c r="Z374"/>
  <c r="AA374"/>
  <c r="AB374"/>
  <c r="AC374"/>
  <c r="AD374"/>
  <c r="AE374"/>
  <c r="AF374"/>
  <c r="AG374"/>
  <c r="AH374"/>
  <c r="AI374"/>
  <c r="AJ374"/>
  <c r="AK374"/>
  <c r="AL374"/>
  <c r="AM374"/>
  <c r="AN374"/>
  <c r="P377"/>
  <c r="Q377"/>
  <c r="R377"/>
  <c r="S377"/>
  <c r="T377"/>
  <c r="U377"/>
  <c r="V377"/>
  <c r="W377"/>
  <c r="X377"/>
  <c r="Y377"/>
  <c r="Z377"/>
  <c r="AA377"/>
  <c r="AB377"/>
  <c r="AC377"/>
  <c r="AD377"/>
  <c r="AE377"/>
  <c r="AF377"/>
  <c r="AG377"/>
  <c r="AH377"/>
  <c r="AI377"/>
  <c r="AJ377"/>
  <c r="AK377"/>
  <c r="AL377"/>
  <c r="AM377"/>
  <c r="AN377"/>
  <c r="P378"/>
  <c r="Q378"/>
  <c r="R378"/>
  <c r="S378"/>
  <c r="T378"/>
  <c r="U378"/>
  <c r="V378"/>
  <c r="W378"/>
  <c r="X378"/>
  <c r="Y378"/>
  <c r="Z378"/>
  <c r="AA378"/>
  <c r="AB378"/>
  <c r="AC378"/>
  <c r="AD378"/>
  <c r="AE378"/>
  <c r="AF378"/>
  <c r="AG378"/>
  <c r="AH378"/>
  <c r="AI378"/>
  <c r="AJ378"/>
  <c r="AK378"/>
  <c r="AL378"/>
  <c r="AM378"/>
  <c r="AN378"/>
  <c r="P379"/>
  <c r="Q379"/>
  <c r="R379"/>
  <c r="S379"/>
  <c r="T379"/>
  <c r="U379"/>
  <c r="V379"/>
  <c r="W379"/>
  <c r="X379"/>
  <c r="Y379"/>
  <c r="Z379"/>
  <c r="AA379"/>
  <c r="AB379"/>
  <c r="AC379"/>
  <c r="AD379"/>
  <c r="AE379"/>
  <c r="AF379"/>
  <c r="AG379"/>
  <c r="AH379"/>
  <c r="AI379"/>
  <c r="AJ379"/>
  <c r="AK379"/>
  <c r="AL379"/>
  <c r="AM379"/>
  <c r="AN379"/>
  <c r="P389"/>
  <c r="Q389"/>
  <c r="R389"/>
  <c r="S389"/>
  <c r="T389"/>
  <c r="U389"/>
  <c r="V389"/>
  <c r="W389"/>
  <c r="X389"/>
  <c r="Y389"/>
  <c r="Z389"/>
  <c r="AA389"/>
  <c r="AB389"/>
  <c r="AC389"/>
  <c r="AD389"/>
  <c r="AE389"/>
  <c r="AF389"/>
  <c r="AG389"/>
  <c r="AH389"/>
  <c r="AI389"/>
  <c r="AJ389"/>
  <c r="AK389"/>
  <c r="AL389"/>
  <c r="AM389"/>
  <c r="P391"/>
  <c r="Q391"/>
  <c r="R391"/>
  <c r="S391"/>
  <c r="T391"/>
  <c r="U391"/>
  <c r="V391"/>
  <c r="W391"/>
  <c r="X391"/>
  <c r="Y391"/>
  <c r="Z391"/>
  <c r="AA391"/>
  <c r="AB391"/>
  <c r="AC391"/>
  <c r="AD391"/>
  <c r="AE391"/>
  <c r="AF391"/>
  <c r="AG391"/>
  <c r="AH391"/>
  <c r="AI391"/>
  <c r="AJ391"/>
  <c r="AK391"/>
  <c r="AL391"/>
  <c r="AM391"/>
  <c r="AN391"/>
  <c r="P393"/>
  <c r="Q393"/>
  <c r="R393"/>
  <c r="S393"/>
  <c r="T393"/>
  <c r="U393"/>
  <c r="V393"/>
  <c r="W393"/>
  <c r="X393"/>
  <c r="Y393"/>
  <c r="Z393"/>
  <c r="AA393"/>
  <c r="AB393"/>
  <c r="AC393"/>
  <c r="AD393"/>
  <c r="AE393"/>
  <c r="AF393"/>
  <c r="AG393"/>
  <c r="AH393"/>
  <c r="AI393"/>
  <c r="AJ393"/>
  <c r="AK393"/>
  <c r="AL393"/>
  <c r="AM393"/>
  <c r="AN393"/>
  <c r="P395"/>
  <c r="Q395"/>
  <c r="R395"/>
  <c r="S395"/>
  <c r="T395"/>
  <c r="U395"/>
  <c r="V395"/>
  <c r="W395"/>
  <c r="X395"/>
  <c r="Y395"/>
  <c r="Z395"/>
  <c r="AA395"/>
  <c r="AB395"/>
  <c r="AC395"/>
  <c r="AD395"/>
  <c r="AE395"/>
  <c r="AF395"/>
  <c r="AG395"/>
  <c r="AH395"/>
  <c r="AI395"/>
  <c r="AJ395"/>
  <c r="AK395"/>
  <c r="AL395"/>
  <c r="AM395"/>
  <c r="AN395"/>
  <c r="P397"/>
  <c r="Q397"/>
  <c r="R397"/>
  <c r="S397"/>
  <c r="T397"/>
  <c r="U397"/>
  <c r="V397"/>
  <c r="W397"/>
  <c r="X397"/>
  <c r="Y397"/>
  <c r="Z397"/>
  <c r="AA397"/>
  <c r="AB397"/>
  <c r="AC397"/>
  <c r="AD397"/>
  <c r="AE397"/>
  <c r="AF397"/>
  <c r="AG397"/>
  <c r="AH397"/>
  <c r="AI397"/>
  <c r="AJ397"/>
  <c r="AK397"/>
  <c r="AL397"/>
  <c r="AM397"/>
  <c r="AN397"/>
  <c r="P398"/>
  <c r="Q398"/>
  <c r="R398"/>
  <c r="S398"/>
  <c r="T398"/>
  <c r="U398"/>
  <c r="V398"/>
  <c r="W398"/>
  <c r="X398"/>
  <c r="Y398"/>
  <c r="Z398"/>
  <c r="AA398"/>
  <c r="AB398"/>
  <c r="AC398"/>
  <c r="AD398"/>
  <c r="AE398"/>
  <c r="AF398"/>
  <c r="AG398"/>
  <c r="AH398"/>
  <c r="AI398"/>
  <c r="AJ398"/>
  <c r="AK398"/>
  <c r="AL398"/>
  <c r="AM398"/>
  <c r="AN398"/>
  <c r="P399"/>
  <c r="Q399"/>
  <c r="R399"/>
  <c r="S399"/>
  <c r="T399"/>
  <c r="U399"/>
  <c r="V399"/>
  <c r="W399"/>
  <c r="X399"/>
  <c r="Y399"/>
  <c r="Z399"/>
  <c r="AA399"/>
  <c r="AB399"/>
  <c r="AC399"/>
  <c r="AD399"/>
  <c r="AE399"/>
  <c r="AF399"/>
  <c r="AG399"/>
  <c r="AH399"/>
  <c r="AI399"/>
  <c r="AJ399"/>
  <c r="AK399"/>
  <c r="AL399"/>
  <c r="AM399"/>
  <c r="AN399"/>
  <c r="P401"/>
  <c r="Q401"/>
  <c r="R401"/>
  <c r="S401"/>
  <c r="T401"/>
  <c r="U401"/>
  <c r="V401"/>
  <c r="W401"/>
  <c r="X401"/>
  <c r="Y401"/>
  <c r="Z401"/>
  <c r="AA401"/>
  <c r="AB401"/>
  <c r="AC401"/>
  <c r="AD401"/>
  <c r="AE401"/>
  <c r="AF401"/>
  <c r="AG401"/>
  <c r="AH401"/>
  <c r="AI401"/>
  <c r="AJ401"/>
  <c r="AK401"/>
  <c r="AL401"/>
  <c r="AM401"/>
  <c r="AN401"/>
  <c r="P402"/>
  <c r="Q402"/>
  <c r="R402"/>
  <c r="S402"/>
  <c r="T402"/>
  <c r="U402"/>
  <c r="V402"/>
  <c r="W402"/>
  <c r="X402"/>
  <c r="Y402"/>
  <c r="Z402"/>
  <c r="AA402"/>
  <c r="AB402"/>
  <c r="AC402"/>
  <c r="AD402"/>
  <c r="AE402"/>
  <c r="AF402"/>
  <c r="AG402"/>
  <c r="AH402"/>
  <c r="AI402"/>
  <c r="AJ402"/>
  <c r="AK402"/>
  <c r="AL402"/>
  <c r="AM402"/>
  <c r="AN402"/>
  <c r="N406"/>
  <c r="P408"/>
  <c r="Q408"/>
  <c r="R408"/>
  <c r="S408"/>
  <c r="T408"/>
  <c r="U408"/>
  <c r="V408"/>
  <c r="W408"/>
  <c r="X408"/>
  <c r="Y408"/>
  <c r="Z408"/>
  <c r="AA408"/>
  <c r="AB408"/>
  <c r="AC408"/>
  <c r="AD408"/>
  <c r="AE408"/>
  <c r="AF408"/>
  <c r="AG408"/>
  <c r="AH408"/>
  <c r="AI408"/>
  <c r="AJ408"/>
  <c r="AK408"/>
  <c r="AL408"/>
  <c r="AM408"/>
  <c r="AN408"/>
  <c r="P410"/>
  <c r="Q410"/>
  <c r="R410"/>
  <c r="S410"/>
  <c r="T410"/>
  <c r="U410"/>
  <c r="V410"/>
  <c r="W410"/>
  <c r="X410"/>
  <c r="Y410"/>
  <c r="Z410"/>
  <c r="AA410"/>
  <c r="AB410"/>
  <c r="AC410"/>
  <c r="AD410"/>
  <c r="AE410"/>
  <c r="AF410"/>
  <c r="AG410"/>
  <c r="AH410"/>
  <c r="AI410"/>
  <c r="AJ410"/>
  <c r="AK410"/>
  <c r="AL410"/>
  <c r="AM410"/>
  <c r="AN410"/>
  <c r="P411"/>
  <c r="Q411"/>
  <c r="R411"/>
  <c r="S411"/>
  <c r="T411"/>
  <c r="U411"/>
  <c r="V411"/>
  <c r="W411"/>
  <c r="X411"/>
  <c r="Y411"/>
  <c r="Z411"/>
  <c r="AA411"/>
  <c r="AB411"/>
  <c r="AC411"/>
  <c r="AD411"/>
  <c r="AE411"/>
  <c r="AF411"/>
  <c r="AG411"/>
  <c r="AH411"/>
  <c r="AI411"/>
  <c r="AJ411"/>
  <c r="AK411"/>
  <c r="AL411"/>
  <c r="AM411"/>
  <c r="AN411"/>
  <c r="P412"/>
  <c r="Q412"/>
  <c r="R412"/>
  <c r="S412"/>
  <c r="T412"/>
  <c r="U412"/>
  <c r="V412"/>
  <c r="W412"/>
  <c r="X412"/>
  <c r="Y412"/>
  <c r="Z412"/>
  <c r="AA412"/>
  <c r="AB412"/>
  <c r="AC412"/>
  <c r="AD412"/>
  <c r="AE412"/>
  <c r="AF412"/>
  <c r="AG412"/>
  <c r="AH412"/>
  <c r="AI412"/>
  <c r="AJ412"/>
  <c r="AK412"/>
  <c r="AL412"/>
  <c r="AM412"/>
  <c r="AN412"/>
  <c r="P413"/>
  <c r="Q413"/>
  <c r="R413"/>
  <c r="S413"/>
  <c r="T413"/>
  <c r="U413"/>
  <c r="V413"/>
  <c r="W413"/>
  <c r="X413"/>
  <c r="Y413"/>
  <c r="Z413"/>
  <c r="AA413"/>
  <c r="AB413"/>
  <c r="AC413"/>
  <c r="AD413"/>
  <c r="AE413"/>
  <c r="AF413"/>
  <c r="AG413"/>
  <c r="AH413"/>
  <c r="AI413"/>
  <c r="AJ413"/>
  <c r="AK413"/>
  <c r="AL413"/>
  <c r="AM413"/>
  <c r="AN413"/>
  <c r="AO413"/>
  <c r="P414"/>
  <c r="Q414"/>
  <c r="R414"/>
  <c r="S414"/>
  <c r="T414"/>
  <c r="U414"/>
  <c r="V414"/>
  <c r="W414"/>
  <c r="X414"/>
  <c r="Y414"/>
  <c r="Z414"/>
  <c r="AA414"/>
  <c r="AB414"/>
  <c r="AC414"/>
  <c r="AD414"/>
  <c r="AE414"/>
  <c r="AF414"/>
  <c r="AG414"/>
  <c r="AH414"/>
  <c r="AI414"/>
  <c r="AJ414"/>
  <c r="AK414"/>
  <c r="AL414"/>
  <c r="AM414"/>
  <c r="AN414"/>
  <c r="AO414"/>
  <c r="P416"/>
  <c r="Q416"/>
  <c r="R416"/>
  <c r="S416"/>
  <c r="T416"/>
  <c r="U416"/>
  <c r="V416"/>
  <c r="W416"/>
  <c r="X416"/>
  <c r="Y416"/>
  <c r="Z416"/>
  <c r="AA416"/>
  <c r="AB416"/>
  <c r="AC416"/>
  <c r="AD416"/>
  <c r="AE416"/>
  <c r="AF416"/>
  <c r="AG416"/>
  <c r="AH416"/>
  <c r="AI416"/>
  <c r="AJ416"/>
  <c r="AK416"/>
  <c r="AL416"/>
  <c r="AM416"/>
  <c r="AN416"/>
  <c r="P418"/>
  <c r="Q418"/>
  <c r="R418"/>
  <c r="S418"/>
  <c r="T418"/>
  <c r="U418"/>
  <c r="V418"/>
  <c r="W418"/>
  <c r="X418"/>
  <c r="Y418"/>
  <c r="Z418"/>
  <c r="AA418"/>
  <c r="AB418"/>
  <c r="AC418"/>
  <c r="AD418"/>
  <c r="AE418"/>
  <c r="AF418"/>
  <c r="AG418"/>
  <c r="AH418"/>
  <c r="AI418"/>
  <c r="AJ418"/>
  <c r="AK418"/>
  <c r="AL418"/>
  <c r="AM418"/>
  <c r="AN418"/>
  <c r="P419"/>
  <c r="Q419"/>
  <c r="R419"/>
  <c r="S419"/>
  <c r="T419"/>
  <c r="U419"/>
  <c r="V419"/>
  <c r="W419"/>
  <c r="X419"/>
  <c r="Y419"/>
  <c r="Z419"/>
  <c r="AA419"/>
  <c r="AB419"/>
  <c r="AC419"/>
  <c r="AD419"/>
  <c r="AE419"/>
  <c r="AF419"/>
  <c r="AG419"/>
  <c r="AH419"/>
  <c r="AI419"/>
  <c r="AJ419"/>
  <c r="AK419"/>
  <c r="AL419"/>
  <c r="AM419"/>
  <c r="AN419"/>
  <c r="AN421"/>
  <c r="P436"/>
  <c r="Q436"/>
  <c r="R436"/>
  <c r="S436"/>
  <c r="T436"/>
  <c r="U436"/>
  <c r="V436"/>
  <c r="W436"/>
  <c r="X436"/>
  <c r="Y436"/>
  <c r="Z436"/>
  <c r="AA436"/>
  <c r="AB436"/>
  <c r="AC436"/>
  <c r="AD436"/>
  <c r="AE436"/>
  <c r="AF436"/>
  <c r="AG436"/>
  <c r="AH436"/>
  <c r="AI436"/>
  <c r="AJ436"/>
  <c r="AK436"/>
  <c r="AL436"/>
  <c r="AM436"/>
  <c r="AN436"/>
  <c r="P438"/>
  <c r="Q438"/>
  <c r="R438"/>
  <c r="S438"/>
  <c r="T438"/>
  <c r="U438"/>
  <c r="V438"/>
  <c r="W438"/>
  <c r="X438"/>
  <c r="Y438"/>
  <c r="Z438"/>
  <c r="AA438"/>
  <c r="AB438"/>
  <c r="AC438"/>
  <c r="AD438"/>
  <c r="AE438"/>
  <c r="AF438"/>
  <c r="AG438"/>
  <c r="AH438"/>
  <c r="AI438"/>
  <c r="AJ438"/>
  <c r="AK438"/>
  <c r="AL438"/>
  <c r="AM438"/>
  <c r="AN438"/>
  <c r="N440"/>
  <c r="P440"/>
  <c r="Q440"/>
  <c r="R440"/>
  <c r="S440"/>
  <c r="T440"/>
  <c r="U440"/>
  <c r="V440"/>
  <c r="W440"/>
  <c r="X440"/>
  <c r="Y440"/>
  <c r="Z440"/>
  <c r="AA440"/>
  <c r="AB440"/>
  <c r="AC440"/>
  <c r="AD440"/>
  <c r="AE440"/>
  <c r="AF440"/>
  <c r="AG440"/>
  <c r="AH440"/>
  <c r="AI440"/>
  <c r="AJ440"/>
  <c r="AK440"/>
  <c r="AL440"/>
  <c r="AM440"/>
  <c r="AN440"/>
  <c r="N442"/>
  <c r="N444"/>
  <c r="N446"/>
  <c r="L448"/>
  <c r="P448"/>
  <c r="Q448"/>
  <c r="R448"/>
  <c r="S448"/>
  <c r="T448"/>
  <c r="U448"/>
  <c r="V448"/>
  <c r="W448"/>
  <c r="X448"/>
  <c r="Y448"/>
  <c r="Z448"/>
  <c r="AA448"/>
  <c r="AB448"/>
  <c r="AC448"/>
  <c r="AD448"/>
  <c r="AE448"/>
  <c r="AF448"/>
  <c r="AG448"/>
  <c r="AH448"/>
  <c r="AI448"/>
  <c r="AJ448"/>
  <c r="AK448"/>
  <c r="AL448"/>
  <c r="AM448"/>
  <c r="AN448"/>
  <c r="N449"/>
  <c r="M530"/>
  <c r="N530"/>
  <c r="M534"/>
  <c r="N534"/>
  <c r="R536"/>
  <c r="S536"/>
  <c r="M540"/>
  <c r="N540"/>
  <c r="R540"/>
  <c r="S540"/>
  <c r="N553"/>
  <c r="N556"/>
  <c r="N557"/>
  <c r="N563"/>
  <c r="N564"/>
  <c r="L196" i="25"/>
  <c r="N196"/>
  <c r="K200"/>
  <c r="L200"/>
  <c r="N200"/>
  <c r="L202"/>
  <c r="N202"/>
  <c r="K206"/>
  <c r="L206"/>
  <c r="N206"/>
  <c r="K208"/>
  <c r="L208"/>
  <c r="N208"/>
  <c r="L210"/>
  <c r="N210"/>
  <c r="L217"/>
  <c r="N217"/>
  <c r="L219"/>
  <c r="N219"/>
  <c r="L221"/>
  <c r="N221"/>
  <c r="L223"/>
  <c r="N223"/>
  <c r="L225"/>
  <c r="N225"/>
  <c r="K227"/>
  <c r="L227"/>
  <c r="M227"/>
  <c r="N227"/>
  <c r="L229"/>
  <c r="N229"/>
  <c r="L231"/>
  <c r="N231"/>
  <c r="M233"/>
  <c r="M235"/>
  <c r="L253"/>
  <c r="N253"/>
  <c r="L255"/>
  <c r="N255"/>
  <c r="L257"/>
  <c r="N257"/>
  <c r="L259"/>
  <c r="N259"/>
  <c r="L261"/>
  <c r="N261"/>
  <c r="L263"/>
  <c r="N263"/>
  <c r="L265"/>
  <c r="N265"/>
  <c r="L267"/>
  <c r="N267"/>
  <c r="L269"/>
  <c r="N269"/>
  <c r="L271"/>
  <c r="N271"/>
  <c r="L273"/>
  <c r="N273"/>
  <c r="L275"/>
  <c r="N275"/>
  <c r="L300"/>
  <c r="N300"/>
  <c r="L304"/>
  <c r="N304"/>
  <c r="L306"/>
  <c r="N306"/>
  <c r="L308"/>
  <c r="N308"/>
  <c r="L312"/>
  <c r="N312"/>
  <c r="L314"/>
  <c r="N314"/>
  <c r="L316"/>
  <c r="N316"/>
  <c r="H324"/>
  <c r="I324"/>
  <c r="L324"/>
  <c r="M324"/>
  <c r="H327"/>
  <c r="L327"/>
  <c r="H328"/>
  <c r="I328"/>
  <c r="L328"/>
  <c r="M328"/>
  <c r="H329"/>
  <c r="L329"/>
  <c r="H331"/>
  <c r="L331"/>
  <c r="H336"/>
  <c r="I336"/>
  <c r="L336"/>
  <c r="M336"/>
  <c r="H339"/>
  <c r="L339"/>
  <c r="H340"/>
  <c r="I340"/>
  <c r="L340"/>
  <c r="M340"/>
  <c r="H341"/>
  <c r="L341"/>
  <c r="H346"/>
  <c r="I346"/>
  <c r="L346"/>
  <c r="M346"/>
  <c r="H349"/>
  <c r="L349"/>
  <c r="H350"/>
  <c r="I350"/>
  <c r="L350"/>
  <c r="M350"/>
  <c r="H351"/>
  <c r="L351"/>
  <c r="G375"/>
  <c r="H375"/>
  <c r="L375"/>
  <c r="M375"/>
  <c r="G378"/>
  <c r="H378"/>
  <c r="L378"/>
  <c r="M378"/>
  <c r="G379"/>
  <c r="H379"/>
  <c r="L379"/>
  <c r="M379"/>
  <c r="G380"/>
  <c r="L380"/>
  <c r="G381"/>
  <c r="H381"/>
  <c r="L381"/>
  <c r="M381"/>
  <c r="G383"/>
  <c r="H383"/>
  <c r="L383"/>
  <c r="M383"/>
  <c r="G384"/>
  <c r="H384"/>
  <c r="I384"/>
  <c r="L384"/>
  <c r="M384"/>
  <c r="N384"/>
  <c r="G389"/>
  <c r="L389"/>
  <c r="G390"/>
  <c r="H390"/>
  <c r="L390"/>
  <c r="M390"/>
  <c r="G398"/>
  <c r="L398"/>
  <c r="G399"/>
  <c r="L399"/>
  <c r="G403"/>
  <c r="L403"/>
  <c r="F413"/>
  <c r="G413"/>
  <c r="H413"/>
  <c r="L413"/>
  <c r="M413"/>
  <c r="N413"/>
  <c r="F414"/>
  <c r="G414"/>
  <c r="H414"/>
  <c r="L414"/>
  <c r="M414"/>
  <c r="N414"/>
  <c r="F420"/>
  <c r="G420"/>
  <c r="H420"/>
  <c r="K420"/>
  <c r="L420"/>
  <c r="M420"/>
  <c r="N420"/>
  <c r="F421"/>
  <c r="G421"/>
  <c r="H421"/>
  <c r="K421"/>
  <c r="L421"/>
  <c r="M421"/>
  <c r="N421"/>
  <c r="G427"/>
  <c r="M427"/>
  <c r="G429"/>
  <c r="M429"/>
  <c r="J435"/>
  <c r="M435"/>
  <c r="J437"/>
  <c r="M437"/>
  <c r="J440"/>
  <c r="M440"/>
  <c r="J441"/>
  <c r="M441"/>
  <c r="J442"/>
  <c r="M442"/>
  <c r="J443"/>
  <c r="M443"/>
  <c r="J444"/>
  <c r="M444"/>
  <c r="I448"/>
  <c r="J448"/>
  <c r="K448"/>
  <c r="L448"/>
  <c r="M448"/>
  <c r="N448"/>
  <c r="I449"/>
  <c r="J449"/>
  <c r="K449"/>
  <c r="L449"/>
  <c r="M449"/>
  <c r="N449"/>
  <c r="G485"/>
  <c r="G486"/>
  <c r="G487"/>
  <c r="G488"/>
  <c r="G489"/>
  <c r="G490"/>
  <c r="G491"/>
  <c r="G492"/>
  <c r="G493"/>
  <c r="G494"/>
  <c r="G496"/>
  <c r="H53" i="64"/>
  <c r="I53"/>
  <c r="J53"/>
  <c r="H54"/>
  <c r="I54"/>
  <c r="J54"/>
  <c r="H55"/>
  <c r="I55"/>
  <c r="J55"/>
  <c r="H56"/>
  <c r="I56"/>
  <c r="J56"/>
  <c r="H57"/>
  <c r="I57"/>
  <c r="J57"/>
  <c r="H62"/>
  <c r="I62"/>
  <c r="J62"/>
  <c r="H63"/>
  <c r="I63"/>
  <c r="J63"/>
  <c r="H65"/>
  <c r="I65"/>
  <c r="J65"/>
  <c r="H66"/>
  <c r="I66"/>
  <c r="J66"/>
  <c r="H67"/>
  <c r="I67"/>
  <c r="J67"/>
  <c r="H68"/>
  <c r="I68"/>
  <c r="J68"/>
  <c r="H69"/>
  <c r="I69"/>
  <c r="J69"/>
  <c r="O69"/>
  <c r="H73"/>
  <c r="I73"/>
  <c r="J73"/>
  <c r="H77"/>
  <c r="I77"/>
  <c r="J77"/>
  <c r="O77"/>
  <c r="H80"/>
  <c r="I80"/>
  <c r="J80"/>
  <c r="H82"/>
  <c r="I82"/>
  <c r="J82"/>
  <c r="O82"/>
  <c r="H84"/>
  <c r="I84"/>
  <c r="J84"/>
  <c r="O84"/>
  <c r="H91"/>
  <c r="I91"/>
  <c r="J91"/>
  <c r="H96"/>
  <c r="I96"/>
  <c r="J96"/>
  <c r="O96"/>
  <c r="H101"/>
  <c r="I101"/>
  <c r="J101"/>
  <c r="O101"/>
  <c r="O106"/>
  <c r="O109"/>
  <c r="O112"/>
  <c r="H115"/>
  <c r="I115"/>
  <c r="J115"/>
  <c r="O115"/>
  <c r="H118"/>
  <c r="I118"/>
  <c r="J118"/>
  <c r="O118"/>
  <c r="O121"/>
  <c r="J127"/>
  <c r="K127"/>
  <c r="J128"/>
  <c r="K128"/>
  <c r="J129"/>
  <c r="K129"/>
  <c r="J130"/>
  <c r="K130"/>
  <c r="K131"/>
  <c r="J132"/>
  <c r="K132"/>
  <c r="K133"/>
  <c r="K134"/>
  <c r="J135"/>
  <c r="K135"/>
  <c r="J167"/>
  <c r="K167"/>
  <c r="J168"/>
  <c r="K168"/>
  <c r="J169"/>
  <c r="K169"/>
  <c r="F11" i="5"/>
  <c r="F13"/>
  <c r="C82" i="41"/>
  <c r="H82"/>
  <c r="I82"/>
  <c r="L82"/>
  <c r="C83"/>
  <c r="H83"/>
  <c r="I83"/>
  <c r="L83"/>
  <c r="C84"/>
  <c r="H84"/>
  <c r="I84"/>
  <c r="L84"/>
  <c r="C85"/>
  <c r="H85"/>
  <c r="I85"/>
  <c r="L85"/>
  <c r="C86"/>
  <c r="H86"/>
  <c r="I86"/>
  <c r="L86"/>
  <c r="C87"/>
  <c r="H87"/>
  <c r="I87"/>
  <c r="L87"/>
  <c r="C88"/>
  <c r="H88"/>
  <c r="I88"/>
  <c r="L88"/>
  <c r="L89"/>
  <c r="L90"/>
  <c r="L91"/>
  <c r="M91"/>
  <c r="N91"/>
  <c r="I17" i="26"/>
  <c r="K17"/>
  <c r="L17"/>
  <c r="M17"/>
  <c r="I18"/>
  <c r="K18"/>
  <c r="L18"/>
  <c r="M18"/>
  <c r="I19"/>
  <c r="K19"/>
  <c r="L19"/>
  <c r="M19"/>
  <c r="I20"/>
  <c r="K20"/>
  <c r="L20"/>
  <c r="M20"/>
  <c r="I22"/>
  <c r="K22"/>
  <c r="L22"/>
  <c r="M22"/>
  <c r="H32"/>
  <c r="I32"/>
  <c r="K32"/>
  <c r="L32"/>
  <c r="H33"/>
  <c r="I33"/>
  <c r="K33"/>
  <c r="L33"/>
  <c r="K35"/>
  <c r="L35"/>
  <c r="H36"/>
  <c r="I36"/>
  <c r="K36"/>
  <c r="L36"/>
  <c r="K105"/>
  <c r="J112"/>
  <c r="K112"/>
  <c r="H115"/>
  <c r="I115"/>
  <c r="H119"/>
  <c r="I119"/>
  <c r="J119"/>
  <c r="K119"/>
  <c r="H120"/>
  <c r="I120"/>
  <c r="J120"/>
  <c r="K120"/>
  <c r="J128"/>
  <c r="K128"/>
  <c r="J135"/>
  <c r="K135"/>
  <c r="H138"/>
  <c r="I138"/>
  <c r="H140"/>
  <c r="I140"/>
  <c r="J140"/>
  <c r="K140"/>
  <c r="H141"/>
  <c r="I141"/>
  <c r="J141"/>
  <c r="K141"/>
  <c r="J145"/>
  <c r="K145"/>
  <c r="K148"/>
  <c r="K150"/>
  <c r="K152"/>
  <c r="J170"/>
  <c r="H178"/>
  <c r="I178"/>
  <c r="H181"/>
  <c r="I181"/>
  <c r="H183"/>
  <c r="I183"/>
  <c r="J183"/>
  <c r="H186"/>
  <c r="I186"/>
  <c r="J186"/>
  <c r="K186"/>
  <c r="H187"/>
  <c r="I187"/>
  <c r="J187"/>
  <c r="K187"/>
  <c r="J193"/>
  <c r="K193"/>
  <c r="K232"/>
  <c r="K234"/>
  <c r="K236"/>
  <c r="E246"/>
  <c r="F246"/>
  <c r="G246"/>
  <c r="H246"/>
  <c r="J246"/>
  <c r="E248"/>
  <c r="F248"/>
  <c r="G248"/>
  <c r="H248"/>
  <c r="J248"/>
  <c r="E255"/>
  <c r="F255"/>
  <c r="G255"/>
  <c r="H255"/>
  <c r="J255"/>
  <c r="E257"/>
  <c r="F257"/>
  <c r="G257"/>
  <c r="H257"/>
  <c r="J257"/>
</calcChain>
</file>

<file path=xl/sharedStrings.xml><?xml version="1.0" encoding="utf-8"?>
<sst xmlns="http://schemas.openxmlformats.org/spreadsheetml/2006/main" count="13870" uniqueCount="6455">
  <si>
    <t>Annual amount by which U.S. military expenditures would be reduced if no oil were used for U.S. highway transport, expressed in billions of 2004 dollars</t>
  </si>
  <si>
    <t>"Expenditures on the military are only a portion of the entire relevant military or security cost of using oil [which] is equal to the military control cost plus the dollar cost of whatever military or security problems remain in spite of, or even due to, the military expenditures. These residual costs include reduced flexibility in the conduct of US foreign policy, strains on international relations due to the activities of the US military and even due to competition for oil, anti-American sentiments due to the presence of the US military in the Middle East, political destabilization of the Middle East, and the nonfinancial human-suffering costs of war and political instability related to US demand for oil. Although to our knowledge nobody has ever quantified these costs, they are important. Indeed, one could argue that a primary motivation of many programs and policies aimed at reducing US dependence on foreign oil is not to reduce military expenditures related to defending the Persian Gulf, but rather to mitigate some of the political and human costs associated with US demand for Persian Gulf oil. If this is right, then the costs that we have not estimated may be large relative to the military costs we have estimated."</t>
  </si>
  <si>
    <t>Inflation adjustment, 2004 to 2008</t>
  </si>
  <si>
    <t>Calculated as ratio of 2008 to 2004 Consumer Price Index, All Urban Consumers</t>
  </si>
  <si>
    <t>Reduction in U.S. military expenditures (per above), expressed in billions of 2008 dollars</t>
  </si>
  <si>
    <t>U.S. gasoline consumption, gallons per year, 2007-2009, billions, average</t>
  </si>
  <si>
    <t>Calculated as mean of those three years (from USEIA, Monthly Energy Review), x gallons/bbl x 365.25 days/year.</t>
  </si>
  <si>
    <t>U.S. diesel fuel consumption, gallons per year, 2007-2009, billions, average</t>
  </si>
  <si>
    <t>U.S. "highway" (motor fuel) consumption, gallons per year, 2007-2009, billions, average</t>
  </si>
  <si>
    <t>Cannot be gleaned from MER since diesel and distillate are combined. Instead, we apply 2000 ratio of U.S. truck fuel to passenger vehicle fuel from Komanoff, Ending The Oil Age (2002), Table 1.</t>
  </si>
  <si>
    <t xml:space="preserve">Ratio = </t>
  </si>
  <si>
    <t>Source: Mark A. Delucchi, James J. Murphy, "US military expenditures to protect the use of Persian Gulf oil for motor vehicles," Energy Policy 36 (2008) 2253-2264. From the Abstract: Analyses of the full social cost of motor vehicle use in the US often estimate an ‘‘oil import premium’’ that includes the military cost of defending oil supplies from the Persian Gulf... In this paper, we [address] the question: ‘‘If the US highway transportation sector did not use oil, how much would the US federal government reduce its military commitment in the Persian Gulf?’’ We work towards our answer in five steps, accounting for interests not related to oil, the interests of other oil-consuming countries, the interests of producers apart from the interests of consumers, and the interests of non-highway users of oil. We estimate that were there no oil in the Persian Gulf, then US combined peacetime and wartime defense expenditures might be reduced in the long run by roughly $27-$73 billion per year (in 2004 dollars), of which roughly $6-$25 billion annually ... is attributable to motor-vehicle use.</t>
  </si>
  <si>
    <t xml:space="preserve">Note: We have selected the upper end of Delucchi-Murphy's range, based on this passage later in their paper (p. 2262): </t>
  </si>
  <si>
    <t>inflation adjst</t>
  </si>
  <si>
    <t>Health and environmental effects of leaking motor-fuel storage tanks</t>
  </si>
  <si>
    <t>Urban runoff polluted by oil from motor vehicles</t>
  </si>
  <si>
    <t>Environmental and economic impacts of large oil spills</t>
  </si>
  <si>
    <t>Source: Mark A. Delucchi, Environmental Externalities of Motor-Vehicle Use in the US, J Transport Economics and Policy, ISSN 0022 5258, Volume 34, Part 2, May 2000, pp 135-168, Table 6. Except that the third category has been multiplied by 10 in rough attempt to account for occasional but recurring spill disasters such as Exxon Valdez in Prince Edward Sound (1989) and Deepwater Horizon in the Gulf of Mexico (2010).</t>
  </si>
  <si>
    <t>Part 4: Multiply per-gallon damage costs and change in gallons consumed due to selected plan</t>
  </si>
  <si>
    <t>Part 1: Estimate per-gallon reduction in military and national-security costs attributable to the selected plan</t>
  </si>
  <si>
    <t>Part 2: Estimate per-gallon reduction in water pollution damages attributable to the selected plan</t>
  </si>
  <si>
    <t>Part 3: Calculate change in annual petroleum consumption due to the selected plan</t>
  </si>
  <si>
    <t>Consider a road system and region with non-variable tolls, with 3 times as many trips in the morning peak as in the pre-peak period. Now posit a time-differentiated toll regime that increases the ratio of tolls between the respective periods by 50%. The new ratio of peak trips to pre-peak trips would be the product of 3 (the prior ratio) times 1.5 (the factor denoting the increase in the toll ratio) raised to the -0.60 power (the applicable elasticity, as shown in the table). Since the product of (i) 3 and (ii) 1.5 raised to the -0.6 power, is 2.35, enough trips in the peak would resettle to the pre-peak to reduce the ratio of the number of trips between the two periods from 3 previously, to 2.35.</t>
  </si>
  <si>
    <r>
      <t>Current Tolls</t>
    </r>
    <r>
      <rPr>
        <sz val="10"/>
        <rFont val="Arial"/>
        <family val="2"/>
      </rPr>
      <t xml:space="preserve"> — As of 2008, the only portals into the cordon with time-varied tolls are the Port Authority crossings, which charge $6 off-peak (with E-ZPass) and $8 peak (6-9 a.m. and 4-7 p.m. on weekdays). By weighting the percentages of vehicles using those crossings with and w/o E-ZPass, as well as trips into the CBD via P.A. crossings vis-à-vis trips on other CBD portals, we estimate that the current (baseline) ratio of peak to off-peak tolls for all trips into the CBD is approximately 1.08 (see </t>
    </r>
    <r>
      <rPr>
        <b/>
        <sz val="10"/>
        <rFont val="Arial"/>
        <family val="2"/>
      </rPr>
      <t>By Hour</t>
    </r>
    <r>
      <rPr>
        <sz val="10"/>
        <rFont val="Arial"/>
        <family val="2"/>
      </rPr>
      <t xml:space="preserve"> worksheet for details). That is, the average toll on all peak-period vehicle trips into the CBD is 8% greater than the average toll on such trips occurring before or after the peak.</t>
    </r>
  </si>
  <si>
    <r>
      <t>Future Tolls</t>
    </r>
    <r>
      <rPr>
        <sz val="10"/>
        <rFont val="Arial"/>
        <family val="2"/>
      </rPr>
      <t xml:space="preserve"> — The ratio of tolls with new tolling between peak periods and adjacent off-peak may be calculated from the toll levels shown in the </t>
    </r>
    <r>
      <rPr>
        <b/>
        <sz val="10"/>
        <rFont val="Arial"/>
        <family val="2"/>
      </rPr>
      <t>By Hour</t>
    </r>
    <r>
      <rPr>
        <sz val="10"/>
        <rFont val="Arial"/>
        <family val="2"/>
      </rPr>
      <t xml:space="preserve"> worksheet. For example, with tolls of $10 during 5-6 a.m. and $25 during 6-9 a.m., the ratio of new tolls between the two periods is 2.5. If the new tolls are additive to existing tolls (i.e., if they increment rather than replace them), then the ratio of the new toll to the old would be the product of (i) the ratio of new tolls just noted (2.5 in this case) times (ii) the ratio of the prior tolls.</t>
    </r>
  </si>
  <si>
    <r>
      <t>Ratio of Toll Ratios</t>
    </r>
    <r>
      <rPr>
        <sz val="10"/>
        <rFont val="Arial"/>
        <family val="2"/>
      </rPr>
      <t xml:space="preserve"> — Continuing with this example, which concerns drivers’ propensity to time-switch from the 6-9 a.m. peak to the 5-6 a.m. pre-peak: if the new tolls </t>
    </r>
    <r>
      <rPr>
        <i/>
        <sz val="10"/>
        <rFont val="Arial"/>
        <family val="2"/>
      </rPr>
      <t xml:space="preserve">increment </t>
    </r>
    <r>
      <rPr>
        <sz val="10"/>
        <rFont val="Arial"/>
        <family val="2"/>
      </rPr>
      <t xml:space="preserve">the prior tolls, then the ratio of the new toll ratio to the old toll ratio (yes, we're calculating a ratio of ratios) is the quotient of (i) 2.5 x 1.08, and (ii) 1.08, which of course if 2.5. However, if the new tolls </t>
    </r>
    <r>
      <rPr>
        <i/>
        <sz val="10"/>
        <rFont val="Arial"/>
        <family val="2"/>
      </rPr>
      <t>replace</t>
    </r>
    <r>
      <rPr>
        <sz val="10"/>
        <rFont val="Arial"/>
        <family val="2"/>
      </rPr>
      <t xml:space="preserve"> the prior tolls, the ratio is the quotient of 2.5 and 1.08, or 2.31.</t>
    </r>
  </si>
  <si>
    <r>
      <t xml:space="preserve">Propensity to Time-Switch, Adjusted for Duration of Period — </t>
    </r>
    <r>
      <rPr>
        <sz val="10"/>
        <rFont val="Arial"/>
        <family val="2"/>
      </rPr>
      <t>Both peak toll periods in the Port Authority analysis last three hours — 6-9 a.m. for morning, 4-7 a.m. for evening. But only two of the seven toll periods as modeled by the BTA are exactly three hours long (6-9 a.m. peak, and 8-11 p.m. “post peak”). It stands to reason that the probability of a trip’s shifting out of a period is inversely related to the period’s length, since trips are less likely to shift over a longer time interval. We therefore need to adjust the P.A. elasticities for periods whose duration differs from three hours.</t>
    </r>
  </si>
  <si>
    <t>Cost-Benefit</t>
  </si>
  <si>
    <t>Hourly cordon entries as % of maximum hourly cordon entries</t>
  </si>
  <si>
    <t>Calculated as ratio of "new" to "prior" durations of trips into cordon, raised to "time elasticity of vehicle travel" for truck trips</t>
  </si>
  <si>
    <t>Averaging is applied to smooth fluctuations and help the calculated cordon entries converge toward equilibrium.</t>
  </si>
  <si>
    <t>Calculated as ratio of "new" to "prior" durations of trips into cordon, raised to "time elasticity of vehicle travel" for auto work trips</t>
  </si>
  <si>
    <t>Calculated as ratio of "new" to "prior" durations of trips into cordon, raised to "time elasticity of vehicle travel" for auto non-work trips</t>
  </si>
  <si>
    <t>2. Normalizing factor #2: different overall driver price-elasticity between NYC and Puget Sound region</t>
  </si>
  <si>
    <t>Not used. Auto time impacts are subsumed in rebound effect and captured via parameters in next row.</t>
  </si>
  <si>
    <r>
      <t xml:space="preserve">These ratios will be called on in </t>
    </r>
    <r>
      <rPr>
        <b/>
        <sz val="8"/>
        <rFont val="Arial"/>
        <family val="2"/>
      </rPr>
      <t>Subways</t>
    </r>
    <r>
      <rPr>
        <sz val="8"/>
        <rFont val="Arial"/>
        <family val="2"/>
      </rPr>
      <t xml:space="preserve"> worksheet to adjust buses' hourly shares of baseline transit trips, to account for the fact that these shares vary by hour (i.e., they are not all equal to the 5.0% average).</t>
    </r>
  </si>
  <si>
    <t>INBOUND</t>
  </si>
  <si>
    <t>This worksheet calculates changes in subway use in response to changes in (1) the level and structure of subway fares and (2) implementation of CBD cordon fees.</t>
  </si>
  <si>
    <t>Imported directly from SC Fwy AM data</t>
  </si>
  <si>
    <t>Density</t>
  </si>
  <si>
    <t>Both</t>
  </si>
  <si>
    <t>Same, but both types of lanes combined</t>
  </si>
  <si>
    <t>Note: All data is for Weekends. Weekday data appear in separate worksheet, "Weekday Hours."</t>
  </si>
  <si>
    <t>where f(x) = (log (1+exp(b0+b1*x))/b1</t>
  </si>
  <si>
    <t>f(x)</t>
  </si>
  <si>
    <t>Non-work-trip % Daily Total</t>
  </si>
  <si>
    <r>
      <t>Time Switching Elasticities</t>
    </r>
    <r>
      <rPr>
        <i/>
        <sz val="9"/>
        <rFont val="Arial"/>
        <family val="2"/>
      </rPr>
      <t xml:space="preserve"> -- See note in Section A, above.</t>
    </r>
  </si>
  <si>
    <t>Manhattan South of 86th Street</t>
  </si>
  <si>
    <r>
      <t xml:space="preserve">Source for formula: </t>
    </r>
    <r>
      <rPr>
        <b/>
        <sz val="8"/>
        <rFont val="Arial"/>
        <family val="2"/>
      </rPr>
      <t xml:space="preserve">Testing for the Distributional Effects of National Road User Charging. </t>
    </r>
    <r>
      <rPr>
        <sz val="8"/>
        <rFont val="Arial"/>
        <family val="2"/>
      </rPr>
      <t>Daniel J. Graham, Stephen Glaister, Mohammed Quddus, and Zia Wadud (Int'l J. of Sustainable Transportation, Vol. 3, No. 1, 2009, p. 21). Graham is at the Centre for Transport Studies, Department of Civil &amp; Environmental Engineering, Imperial College London, London, UK.</t>
    </r>
  </si>
  <si>
    <t>An integrated spreadsheet model to assess revenue gains, traffic improvements and other benefits of time-variable congestion pricing and transit pricing in New York City</t>
  </si>
  <si>
    <t>Standard literature value; to be sourced via other CK spreadsheets.</t>
  </si>
  <si>
    <t>Grams per pound</t>
  </si>
  <si>
    <t>Schaller (early 2007)</t>
  </si>
  <si>
    <t>Komanoff (late 2008)</t>
  </si>
  <si>
    <r>
      <t xml:space="preserve">Calculated as means of respective cross-elasticities due to changes in transit time and price, in </t>
    </r>
    <r>
      <rPr>
        <b/>
        <sz val="8"/>
        <rFont val="Arial"/>
        <family val="2"/>
      </rPr>
      <t>Elasticities</t>
    </r>
    <r>
      <rPr>
        <sz val="8"/>
        <rFont val="Arial"/>
        <family val="2"/>
      </rPr>
      <t xml:space="preserve"> worksheet (rounded to 5%). We use the unmodified TSRPC cross-elasticities, since split of auto into private vs. taxi is not of concern for calculating VMT.</t>
    </r>
  </si>
  <si>
    <r>
      <t xml:space="preserve">Labor Cost breakout </t>
    </r>
    <r>
      <rPr>
        <sz val="8"/>
        <rFont val="Arial"/>
        <family val="2"/>
      </rPr>
      <t>(all costs are from MTA 2007 Budget table sourced above, under total personnel cost, 2007)</t>
    </r>
  </si>
  <si>
    <r>
      <t xml:space="preserve">Truck mpg's use additional adjustment factor shown in </t>
    </r>
    <r>
      <rPr>
        <b/>
        <sz val="9"/>
        <rFont val="Arial"/>
        <family val="2"/>
      </rPr>
      <t>Speed-CO2</t>
    </r>
    <r>
      <rPr>
        <sz val="9"/>
        <rFont val="Arial"/>
        <family val="2"/>
      </rPr>
      <t xml:space="preserve"> worksheet.</t>
    </r>
  </si>
  <si>
    <t xml:space="preserve">Day-to-Year Multiplier </t>
  </si>
  <si>
    <t>Miles per auto trip that switch to subway</t>
  </si>
  <si>
    <t>Taxicab adjustment factor</t>
  </si>
  <si>
    <t>Work-trip % of Daily Work Tot.</t>
  </si>
  <si>
    <t>Max. Dwell Time for all doors (Front, Middle, Rear) [seconds]        A new data column by Komanoff</t>
  </si>
  <si>
    <t>TOTALS converted to seconds</t>
  </si>
  <si>
    <t xml:space="preserve">Changed Delay (Wghtd Avg) </t>
  </si>
  <si>
    <t>MTA 2007 Budget, section entitled NYC Transit (see full cite above), p. V-245, table, "Non-Reimbusable and Reimbursable," column, "2007 November Forecast."</t>
  </si>
  <si>
    <t>Avg Car</t>
  </si>
  <si>
    <t>Avg Lt Trk</t>
  </si>
  <si>
    <t>Lt Trk %</t>
  </si>
  <si>
    <t>NYC VMT</t>
  </si>
  <si>
    <t>Miles per gallon (US) columns are from Monthly Energy Review, Table 1.9.</t>
  </si>
  <si>
    <t>Avg Veh</t>
  </si>
  <si>
    <t>MPG, EPA</t>
  </si>
  <si>
    <t>Trips switching to subsequent period</t>
  </si>
  <si>
    <t xml:space="preserve">Source: 2006 Manhattan River Crossings, NYC DOT, April 2008, http://www.nyc.gov/html/dot/downloads/pdf/manrivercross06.pdf, p. 24. </t>
  </si>
  <si>
    <t xml:space="preserve">    Total Salary and Wages, ratio to Payroll (i.e., Overtime adder)</t>
  </si>
  <si>
    <t xml:space="preserve">  Total Fringe Benefits (Health &amp; Welfare, Pensions, Other)</t>
  </si>
  <si>
    <t>Current (2007) subway fare collection costs if 1982 relationship pertains</t>
  </si>
  <si>
    <t>NYC Transit total personnel cost, 2007</t>
  </si>
  <si>
    <t>Average savings in bus trip duration from eliminating fare collection</t>
  </si>
  <si>
    <t>A. NYC Transit Bus Boarding Spreadsheet: A 3-Door Scenario</t>
  </si>
  <si>
    <t>Definition of Times Square, from Wikipedia: Times Square is a major intersection in Manhattan, New York City at the junction of Broadway and Seventh Avenue and stretching from West 42nd to West 47th Streets.</t>
  </si>
  <si>
    <t>Source: http://en.wikipedia.org/wiki/Times_Square (accessed 12-14-2008)</t>
  </si>
  <si>
    <t>Base 1</t>
  </si>
  <si>
    <t>Base 2</t>
  </si>
  <si>
    <t>Height</t>
  </si>
  <si>
    <t>Keep Fare?</t>
  </si>
  <si>
    <t>Amount (and %) by which "constructed" VMT exceeds alt ("official") VMT</t>
  </si>
  <si>
    <t>Columbus Avenue</t>
  </si>
  <si>
    <t>Broadway between 60th &amp; W 61st Street</t>
  </si>
  <si>
    <t>Gini (Coefficient)</t>
  </si>
  <si>
    <t>Estimated average net benefit of eliminated trips to trip-takers</t>
  </si>
  <si>
    <t>Calculated as ratio of "prior" to "new" non-cordon traffic speeds, raised to "time elasticity of vehicle travel" for transit bus trips</t>
  </si>
  <si>
    <t>Ratio, new duration to prior duration</t>
  </si>
  <si>
    <t>tons per tonne</t>
  </si>
  <si>
    <t>Choose</t>
  </si>
  <si>
    <t>3. Baseline Auto Travel in Cordon that Didn't Cross Cordon -- VMT</t>
  </si>
  <si>
    <t>4. Baseline Total VMT in Cordon</t>
  </si>
  <si>
    <r>
      <t>A. Cordon speeds</t>
    </r>
    <r>
      <rPr>
        <sz val="8"/>
        <rFont val="Arial"/>
        <family val="2"/>
      </rPr>
      <t/>
    </r>
  </si>
  <si>
    <t>Cordon Speeds</t>
  </si>
  <si>
    <r>
      <t xml:space="preserve">Table II-A-50 of this extensive report (p. 337 of 347) reports an "upper bound" cost, for PM-10 emissions from motor vehicles, of </t>
    </r>
    <r>
      <rPr>
        <u/>
        <sz val="9"/>
        <rFont val="Arial"/>
        <family val="2"/>
      </rPr>
      <t>$75.27</t>
    </r>
    <r>
      <rPr>
        <sz val="9"/>
        <rFont val="Arial"/>
        <family val="2"/>
      </rPr>
      <t xml:space="preserve"> per thousand miles driven in the New York MSA (Metropolitan Statistical Area). Were this 1990-1991 value to be brought to current (2008) conditions, it would need to be increased for general inflation, but that increase would almost certainly be more than offset by the significant reductions in per-mile emissions since 1990-91. The same is true for the "lower bound" cost of </t>
    </r>
    <r>
      <rPr>
        <u/>
        <sz val="9"/>
        <rFont val="Arial"/>
        <family val="2"/>
      </rPr>
      <t>$3.76</t>
    </r>
    <r>
      <rPr>
        <sz val="9"/>
        <rFont val="Arial"/>
        <family val="2"/>
      </rPr>
      <t xml:space="preserve"> per thousand miles, shown in the companion Table II-A-49 (p. 336 of 347).</t>
    </r>
  </si>
  <si>
    <r>
      <t xml:space="preserve">Product of total auto work trips above, times percentages of total daily inbound work trips in respective periods in </t>
    </r>
    <r>
      <rPr>
        <b/>
        <sz val="8"/>
        <rFont val="Arial"/>
        <family val="2"/>
      </rPr>
      <t>By Hours</t>
    </r>
    <r>
      <rPr>
        <sz val="8"/>
        <rFont val="Arial"/>
        <family val="2"/>
      </rPr>
      <t xml:space="preserve"> worksheet.</t>
    </r>
  </si>
  <si>
    <r>
      <t xml:space="preserve">Product of total auto non-work trips above, times %'s of total daily inbound non-work trips in respective periods in </t>
    </r>
    <r>
      <rPr>
        <b/>
        <sz val="8"/>
        <rFont val="Arial"/>
        <family val="2"/>
      </rPr>
      <t>By Hours</t>
    </r>
    <r>
      <rPr>
        <sz val="8"/>
        <rFont val="Arial"/>
        <family val="2"/>
      </rPr>
      <t xml:space="preserve"> worksheet.</t>
    </r>
  </si>
  <si>
    <t>TBM (Triborough Bridge, to Manhattan)</t>
  </si>
  <si>
    <t>QMT + TBM (Summed, not averaged)</t>
  </si>
  <si>
    <r>
      <t xml:space="preserve">From </t>
    </r>
    <r>
      <rPr>
        <b/>
        <sz val="8"/>
        <rFont val="Arial"/>
        <family val="2"/>
      </rPr>
      <t>Motor Vs</t>
    </r>
    <r>
      <rPr>
        <sz val="8"/>
        <rFont val="Arial"/>
        <family val="2"/>
      </rPr>
      <t xml:space="preserve"> and </t>
    </r>
    <r>
      <rPr>
        <b/>
        <sz val="8"/>
        <rFont val="Arial"/>
        <family val="2"/>
      </rPr>
      <t>Motor Vs Weekends</t>
    </r>
    <r>
      <rPr>
        <sz val="8"/>
        <rFont val="Arial"/>
        <family val="2"/>
      </rPr>
      <t xml:space="preserve"> worksheets.</t>
    </r>
  </si>
  <si>
    <t>Estimated % of taxi revenues by county of passenger residence</t>
  </si>
  <si>
    <r>
      <t xml:space="preserve">It operates by duplicating the initial stage of the </t>
    </r>
    <r>
      <rPr>
        <b/>
        <sz val="9"/>
        <rFont val="Arial"/>
        <family val="2"/>
      </rPr>
      <t xml:space="preserve">Motor Vs Weekends </t>
    </r>
    <r>
      <rPr>
        <sz val="9"/>
        <rFont val="Arial"/>
        <family val="2"/>
      </rPr>
      <t xml:space="preserve">worksheet, which calculates average vehicle speeds for the different weekend periods; but with one difference: it increments the number of vehicle trips into the CBD (or 'cordon') by a small number, such as 100. The speeds for this (slightly) greater number of entries will be less than the baseline speeds calculated in </t>
    </r>
    <r>
      <rPr>
        <b/>
        <sz val="9"/>
        <rFont val="Arial"/>
        <family val="2"/>
      </rPr>
      <t>Motor Vs Weekends</t>
    </r>
    <r>
      <rPr>
        <sz val="9"/>
        <rFont val="Arial"/>
        <family val="2"/>
      </rPr>
      <t>. Comparing the two sets of speeds reveals the additional hours in traffic caused by the additional entries.</t>
    </r>
  </si>
  <si>
    <t>sq miles per acre</t>
  </si>
  <si>
    <t>acres per lane miles</t>
  </si>
  <si>
    <t>Taxi % of all cordon VMT:</t>
  </si>
  <si>
    <t xml:space="preserve">Fare </t>
  </si>
  <si>
    <r>
      <t xml:space="preserve">Split change in weekend bus trips above </t>
    </r>
    <r>
      <rPr>
        <sz val="8"/>
        <rFont val="Arial"/>
        <family val="2"/>
      </rPr>
      <t>(per above proportions)</t>
    </r>
  </si>
  <si>
    <t>Cordon VMT from inbound cordon-crossing trips</t>
  </si>
  <si>
    <t xml:space="preserve">B. Non-cordon speeds </t>
  </si>
  <si>
    <t>After rebound effect</t>
  </si>
  <si>
    <t>Method 3: More Realistic Estimates of Number of Station Agents and Their Salaries</t>
  </si>
  <si>
    <t>% excess</t>
  </si>
  <si>
    <t>Estimated change in total auto insurance costs for NYC-registered vehicles</t>
  </si>
  <si>
    <r>
      <t xml:space="preserve">Taxicab outbound cordon VMT is calculated as trips times cordon VMT per trip </t>
    </r>
    <r>
      <rPr>
        <u/>
        <sz val="8"/>
        <rFont val="Arial"/>
        <family val="2"/>
      </rPr>
      <t>times one-half</t>
    </r>
    <r>
      <rPr>
        <sz val="8"/>
        <rFont val="Arial"/>
        <family val="2"/>
      </rPr>
      <t>, to reflect lesser circulation on final trips.</t>
    </r>
  </si>
  <si>
    <r>
      <t xml:space="preserve">VMT </t>
    </r>
    <r>
      <rPr>
        <b/>
        <sz val="10"/>
        <rFont val="Arial"/>
        <family val="2"/>
      </rPr>
      <t>(Vehicle Miles Traveled)</t>
    </r>
  </si>
  <si>
    <r>
      <t>Auto VMT, NYC</t>
    </r>
    <r>
      <rPr>
        <sz val="9"/>
        <rFont val="Arial"/>
        <family val="2"/>
      </rPr>
      <t xml:space="preserve"> (millions, annual)</t>
    </r>
  </si>
  <si>
    <t>(Pertains to national-security and ecological costs of oil extraction, transport and refining. Note, combustion is covered elsewhere.)</t>
  </si>
  <si>
    <t>Implied change in gallons of petroleum fuel consumed per year, due to pricing (rounded)</t>
  </si>
  <si>
    <t>B. Non-cordon VMT for trips that do not enter the cordon</t>
  </si>
  <si>
    <r>
      <t xml:space="preserve">VMT in period for cordon trips </t>
    </r>
    <r>
      <rPr>
        <sz val="8"/>
        <rFont val="Arial"/>
        <family val="2"/>
      </rPr>
      <t>(sum of figures in two previous rows)</t>
    </r>
  </si>
  <si>
    <t>Regression Statistics</t>
  </si>
  <si>
    <t>Multiple R</t>
  </si>
  <si>
    <t>ANOVA</t>
  </si>
  <si>
    <t>Regression</t>
  </si>
  <si>
    <t>Average bus speed</t>
  </si>
  <si>
    <t>mph</t>
  </si>
  <si>
    <t>minutes</t>
  </si>
  <si>
    <t>Assumed waiting time (current), minutes</t>
  </si>
  <si>
    <t>Komanoff estimate.</t>
  </si>
  <si>
    <t>annual adj., 000</t>
  </si>
  <si>
    <t>A. Weekdays</t>
  </si>
  <si>
    <t>Other per-mile costs are calculated as linear interpolation of 1975 and 2005 values.</t>
  </si>
  <si>
    <t>East River</t>
  </si>
  <si>
    <t>% Changes from Prior Period</t>
  </si>
  <si>
    <t>Std Error</t>
  </si>
  <si>
    <t>X Var 1 (% change jobs)</t>
  </si>
  <si>
    <t>X Var 2 (% change price)</t>
  </si>
  <si>
    <t>Adj R Square</t>
  </si>
  <si>
    <t>Obsrvtns</t>
  </si>
  <si>
    <t>BBT</t>
  </si>
  <si>
    <t>QMT</t>
  </si>
  <si>
    <t>Trib Manh</t>
  </si>
  <si>
    <t>MTA total</t>
  </si>
  <si>
    <t>BB</t>
  </si>
  <si>
    <t>TABLE X-3: TRIPS TO AND FROM NEW YORK CITY</t>
  </si>
  <si>
    <t>WORK</t>
  </si>
  <si>
    <t>NON-WORK</t>
  </si>
  <si>
    <t>Rail/Ferry</t>
  </si>
  <si>
    <t>Mass Transit Total</t>
  </si>
  <si>
    <r>
      <t xml:space="preserve">Relative weekend attraction to weekday attraction </t>
    </r>
    <r>
      <rPr>
        <sz val="8"/>
        <rFont val="Arial"/>
        <family val="2"/>
      </rPr>
      <t>(ratio of two previous values)</t>
    </r>
  </si>
  <si>
    <r>
      <t xml:space="preserve">Note to reader: Column to left has a slight apples-to-oranges quality insofar as it compares proposed cordon entry fees for </t>
    </r>
    <r>
      <rPr>
        <b/>
        <sz val="9"/>
        <rFont val="Arial"/>
        <family val="2"/>
      </rPr>
      <t>autos</t>
    </r>
    <r>
      <rPr>
        <sz val="9"/>
        <rFont val="Arial"/>
        <family val="2"/>
      </rPr>
      <t xml:space="preserve"> with delay costs for an average </t>
    </r>
    <r>
      <rPr>
        <b/>
        <sz val="9"/>
        <rFont val="Arial"/>
        <family val="2"/>
      </rPr>
      <t>vehicle</t>
    </r>
    <r>
      <rPr>
        <sz val="9"/>
        <rFont val="Arial"/>
        <family val="2"/>
      </rPr>
      <t xml:space="preserve"> rather than an average auto. This slight discrepancy is corrected in Part B, further below. </t>
    </r>
    <r>
      <rPr>
        <b/>
        <sz val="9"/>
        <rFont val="Arial"/>
        <family val="2"/>
      </rPr>
      <t>We thus suggest that you use the comparison of fees to delay costs in Part B</t>
    </r>
    <r>
      <rPr>
        <sz val="9"/>
        <rFont val="Arial"/>
        <family val="2"/>
      </rPr>
      <t xml:space="preserve"> rather than those shown here.</t>
    </r>
  </si>
  <si>
    <r>
      <t xml:space="preserve">1. We derive an equation that recalculates the delay hours caused by one additional </t>
    </r>
    <r>
      <rPr>
        <b/>
        <i/>
        <sz val="9"/>
        <rFont val="Arial"/>
        <family val="2"/>
      </rPr>
      <t>car</t>
    </r>
    <r>
      <rPr>
        <b/>
        <sz val="9"/>
        <rFont val="Arial"/>
        <family val="2"/>
      </rPr>
      <t xml:space="preserve"> trip into the CBD, based on an assumed ratio of truck-to-car congestion causation.</t>
    </r>
  </si>
  <si>
    <t>(This is a Komanoff assumption, which the reader is free to vary.)</t>
  </si>
  <si>
    <t>% Reduction in Total Dwell Time for Scenario E2</t>
  </si>
  <si>
    <t># of Riders Boarding thru Front Door [assumed to be 60% of Total]</t>
  </si>
  <si>
    <t># of Riders Alighting thru Front Door [assumed to be 20% of Total]</t>
  </si>
  <si>
    <t xml:space="preserve"> # of Riders Boarding thru Middle Door [assumed to be zero]</t>
  </si>
  <si>
    <t xml:space="preserve"> # of Riders Alighting thru Middle Door [assumed to be zero]</t>
  </si>
  <si>
    <t>Scenario CK:  Low Floor Vehicle, Two Doors, Boarding All Doors, Alighting All Doors, Pre-Pay Fare Payment</t>
  </si>
  <si>
    <t>Boarding distribution, est'd by Komanoff, assumes 60% of passengers board through front door and 40% through rear door. Alighting distribution assumes 20% of passengers exit from front door and 80% from rear door.</t>
  </si>
  <si>
    <t>Boarding distribution assumes 40% of passengers board through front door, 30% through middle door, and 30% through rear door. Alighting distribution assumes 10% of passengers exit from front door, 50% from middle door, and 40% from rear door.</t>
  </si>
  <si>
    <t>Big rigs:</t>
  </si>
  <si>
    <t>Large:</t>
  </si>
  <si>
    <t>Van/small trucks:</t>
  </si>
  <si>
    <t>for a March 13 Newsday article: &lt;http://www.newsday.com/news/opinion/oped/ny-opkhe136067115mar13,0,4278279.story&gt;</t>
  </si>
  <si>
    <t>Total NYC</t>
  </si>
  <si>
    <t>Total LI</t>
  </si>
  <si>
    <t>Total N. of NYC</t>
  </si>
  <si>
    <r>
      <t xml:space="preserve">An excellent adjustment “metric” is available from the Puget Sound Regional Council study. From analyzing travel changes by the toll-paying households in their pricing experiment, the PSRC researchers derived an equation relating the probability of shifting a trip to a lower-toll period to the time interval over which the trip would have to be shifted. For example, the probability that a trip would be shifted for up to three hours turned out to be a little more than half as great as the probability of shifting a trip for up to an hour. The PSRC modelers generously shared the coefficients of their empirically derived equation with us (see </t>
    </r>
    <r>
      <rPr>
        <b/>
        <sz val="10"/>
        <rFont val="Arial"/>
        <family val="2"/>
      </rPr>
      <t xml:space="preserve">By Hour </t>
    </r>
    <r>
      <rPr>
        <sz val="10"/>
        <rFont val="Arial"/>
        <family val="2"/>
      </rPr>
      <t xml:space="preserve">worksheet), and we apply it in the </t>
    </r>
    <r>
      <rPr>
        <b/>
        <sz val="10"/>
        <rFont val="Arial"/>
        <family val="2"/>
      </rPr>
      <t>Motor V’s</t>
    </r>
    <r>
      <rPr>
        <sz val="10"/>
        <rFont val="Arial"/>
        <family val="2"/>
      </rPr>
      <t xml:space="preserve"> worksheet to adjust the Port Authority’s elasticity results upward (when the period being shifted out of is under three hours) or downward (when the period is longer).</t>
    </r>
  </si>
  <si>
    <r>
      <t>Elasticities</t>
    </r>
    <r>
      <rPr>
        <sz val="10"/>
        <rFont val="Arial"/>
        <family val="2"/>
      </rPr>
      <t xml:space="preserve"> — The Port Authority elasticities in the table cover time-shifting from only the morning and evening peaks. For other periods, e.g., time-shifting from (rather than to) the 5-6 a.m. pre-peak to the 11 p.m. – 5 a.m. graveyard shift, we specified the elasticities to be the mean of the corresponding peak elasticities. That is, for “pre-shiftng” (time-shifting earlier), we took the mean of (i) the -0.60 elasticity for pre-shifting out of the morning peak and (ii) the -0.22 elasticity for pre-shifting from the evening peak, or -0.41. Similarly, post-shifting from non-peak periods is assigned an elasticity of -0.11, since that is the mean of the -0.13 and -0.09 post-shifting elasticities.</t>
    </r>
  </si>
  <si>
    <r>
      <t xml:space="preserve">Under the Kheel-Komanoff Plan, the largest predicted switch is 4,669 cordon trips from the 5-6 a.m. pre-peak to the preceding 11 p.m. - 5 a.m. “graveyard” period. This shift constitutes 15% of the 30,533 auto trips now entering the cordon during the morning pre-peak. Of course, it is offset by the 4,757 trips predicted to switch </t>
    </r>
    <r>
      <rPr>
        <i/>
        <sz val="10"/>
        <rFont val="Arial"/>
        <family val="2"/>
      </rPr>
      <t xml:space="preserve">into </t>
    </r>
    <r>
      <rPr>
        <sz val="10"/>
        <rFont val="Arial"/>
        <family val="2"/>
      </rPr>
      <t>the one-hour pre-peak from the 6-9 a.m. peak period.</t>
    </r>
  </si>
  <si>
    <t>With these adjustments, the $0.50 price premiums in the Kheel-Komanoff Plan for using the subway system during peak hours (8-9 a.m. and 5-6 p.m.) vis-a-vis prior or subsequent hours are predicted to engender a roughly 2% shift of trips to the next earlier hour and a 0.5% shift to the next later hour. These differences are modest in percentage terms but significant in absolute terms. Compared to the 8-9 a.m. baseline figure of 470,000, the 7,500 subway trips into the CBD that are projected to shift to the preceding 7-8 a.m. period amount to roughly 50 “B” cars or 70 “A” cars -- a considerable amount of freed capacity.</t>
  </si>
  <si>
    <t>Time-switching of subway trips into the CBD is handled similarly to that for auto trips, with two adjustments to account for differences between the price-sensitivities of the respective populations:</t>
  </si>
  <si>
    <t>Time saved, with cordon pricing (minutes)</t>
  </si>
  <si>
    <t>Time saved, with cordon pricing (hours)</t>
  </si>
  <si>
    <t>Value of time saved</t>
  </si>
  <si>
    <t>Average speed, before, mph (24h, weighted by # trips in each period)</t>
  </si>
  <si>
    <t>Average speed, after, mph (24h, weighted by # trips in each period)</t>
  </si>
  <si>
    <t>and Toll Rates worksheets), the coefficients are virtually unchanged. Here are results:</t>
  </si>
  <si>
    <t>Adjusted R Square</t>
  </si>
  <si>
    <t>Standard Error</t>
  </si>
  <si>
    <t>Observations</t>
  </si>
  <si>
    <t>Significance F</t>
  </si>
  <si>
    <t>This worksheet presents data from the NYMTC 1997-98 Household Interview Survey that informs some of the parameter estimates used in this spreadsheet. The data were compiled under the supervision of George Haikalis.</t>
  </si>
  <si>
    <t>B. Baselines -- Traffic Estimates and Trip Costs disaggregated into different weekday time periods</t>
  </si>
  <si>
    <r>
      <t xml:space="preserve">Cordon VMT from cordon return trips </t>
    </r>
    <r>
      <rPr>
        <sz val="8"/>
        <rFont val="Arial"/>
        <family val="2"/>
      </rPr>
      <t>(period return trips x cordon VMT per entry)</t>
    </r>
  </si>
  <si>
    <t>Hourly traffic as % of maximum-period's hourly traffic</t>
  </si>
  <si>
    <t>Taxis, Motor Vs</t>
  </si>
  <si>
    <t>Change in Taxi Volume per Change in Transit  Volume caused by change in Transit Time or Cost</t>
  </si>
  <si>
    <t>Weekend Toll Levels</t>
  </si>
  <si>
    <t>Baseline subway trips into CBD as % of period's total baseline subway trips into + out of CBD</t>
  </si>
  <si>
    <r>
      <t>Q</t>
    </r>
    <r>
      <rPr>
        <vertAlign val="subscript"/>
        <sz val="9"/>
        <rFont val="Arial"/>
        <family val="2"/>
      </rPr>
      <t xml:space="preserve">i </t>
    </r>
    <r>
      <rPr>
        <sz val="9"/>
        <rFont val="Arial"/>
        <family val="2"/>
      </rPr>
      <t>= average occupancy for road vehicles after tolling</t>
    </r>
  </si>
  <si>
    <r>
      <t>Q</t>
    </r>
    <r>
      <rPr>
        <vertAlign val="superscript"/>
        <sz val="9"/>
        <rFont val="Arial"/>
        <family val="2"/>
      </rPr>
      <t>0</t>
    </r>
    <r>
      <rPr>
        <vertAlign val="subscript"/>
        <sz val="9"/>
        <rFont val="Arial"/>
        <family val="2"/>
      </rPr>
      <t xml:space="preserve">i </t>
    </r>
    <r>
      <rPr>
        <sz val="9"/>
        <rFont val="Arial"/>
        <family val="2"/>
      </rPr>
      <t>= avg occupancy for road vehicles in the base, i.e., before tolling</t>
    </r>
  </si>
  <si>
    <t>Through trips</t>
  </si>
  <si>
    <t>Is set to 1, since base subway fare has no time variation.</t>
  </si>
  <si>
    <r>
      <t xml:space="preserve">Or, you can override fare "box" at left (puns intended) by stipulating a uniform fare as </t>
    </r>
    <r>
      <rPr>
        <b/>
        <u/>
        <sz val="8"/>
        <rFont val="Arial"/>
        <family val="2"/>
      </rPr>
      <t>a multiple of current fare</t>
    </r>
    <r>
      <rPr>
        <b/>
        <sz val="8"/>
        <rFont val="Arial"/>
        <family val="2"/>
      </rPr>
      <t>. Enter your change in the 'User Inputs' worksheet, and it will be shown automatically at right. Zero cancels override function.</t>
    </r>
  </si>
  <si>
    <t>Here the Gini Coefficient is calculated as half the relative mean difference.</t>
  </si>
  <si>
    <r>
      <t xml:space="preserve">time period </t>
    </r>
    <r>
      <rPr>
        <b/>
        <sz val="8"/>
        <rFont val="Arial"/>
        <family val="2"/>
      </rPr>
      <t>(start)</t>
    </r>
  </si>
  <si>
    <t>Signif F</t>
  </si>
  <si>
    <r>
      <t xml:space="preserve">Weekday subway ridership change factor </t>
    </r>
    <r>
      <rPr>
        <sz val="8"/>
        <rFont val="Arial"/>
        <family val="2"/>
      </rPr>
      <t>(uses standard elasticity formula)</t>
    </r>
  </si>
  <si>
    <t>Schaller, p. 9: "38% had parking provided to them or were reimbursed the cost. This group includes 24% who were reimbursed for parking expense by an employer or others, 10% for whom employers or others provided a parking space; and 4% who can deduct parking cost as a business expense." A cost ratio of 25% appears to be a rough but reasonable distillation of these percentages.</t>
  </si>
  <si>
    <t>% purchasing off-street parking (paid lot or garage)</t>
  </si>
  <si>
    <t>% purchasing on-street metered parking</t>
  </si>
  <si>
    <t>CBD miles for average trip (one way)</t>
  </si>
  <si>
    <t>Estimated vehicle volumes (expressed as hourly VMT) in Manhattan CBD, weekdays</t>
  </si>
  <si>
    <t>6-9 a.m.</t>
  </si>
  <si>
    <t>9-10 a.m.</t>
  </si>
  <si>
    <t>10am-2pm</t>
  </si>
  <si>
    <t>Hourly VMT</t>
  </si>
  <si>
    <t>U.S. population residing in urbanized areas, 2006</t>
  </si>
  <si>
    <t>NYC population as percent of U.S. urbanized population</t>
  </si>
  <si>
    <t xml:space="preserve">Elasticities for calc'ing "time-switching earlier" factor </t>
  </si>
  <si>
    <t>Year</t>
  </si>
  <si>
    <t>R Square</t>
  </si>
  <si>
    <t>t Stat</t>
  </si>
  <si>
    <t>Manhattan</t>
  </si>
  <si>
    <t>Jobs, 000</t>
  </si>
  <si>
    <t>Price to</t>
  </si>
  <si>
    <t>Cross E Riv</t>
  </si>
  <si>
    <t>D. Traffic Impacts of Congestion Charge (Traffic Round 2 • Rebound Effect 1)</t>
  </si>
  <si>
    <t>E. Traffic Impacts of Congestion Charge (Traffic Round 3 • Rebound Effect 2)</t>
  </si>
  <si>
    <t>F. Traffic Impacts of Congestion Charge (Traffic Round 4 • Rebound Effect 3)</t>
  </si>
  <si>
    <t>Residual</t>
  </si>
  <si>
    <t>Total</t>
  </si>
  <si>
    <t>Intercept</t>
  </si>
  <si>
    <t>Change inTraffic Volume</t>
  </si>
  <si>
    <t>New Weighted Average</t>
  </si>
  <si>
    <t>Komanoff est., predicated on more direct end-of-shift exit.</t>
  </si>
  <si>
    <t>Previous data row, as %</t>
  </si>
  <si>
    <r>
      <t xml:space="preserve">These percentages will be used in </t>
    </r>
    <r>
      <rPr>
        <b/>
        <sz val="8"/>
        <rFont val="Arial"/>
        <family val="2"/>
      </rPr>
      <t>Assignment</t>
    </r>
    <r>
      <rPr>
        <sz val="8"/>
        <rFont val="Arial"/>
        <family val="2"/>
      </rPr>
      <t xml:space="preserve"> worksheet.</t>
    </r>
  </si>
  <si>
    <t xml:space="preserve">Cordon </t>
  </si>
  <si>
    <t>Row totals are from source and differ by 1 or 2 from some sums. Column totals are sums.</t>
  </si>
  <si>
    <r>
      <t xml:space="preserve">Baseline Subway Trips </t>
    </r>
    <r>
      <rPr>
        <b/>
        <u/>
        <sz val="9"/>
        <rFont val="Arial"/>
        <family val="2"/>
      </rPr>
      <t>into CBD</t>
    </r>
    <r>
      <rPr>
        <b/>
        <sz val="9"/>
        <rFont val="Arial"/>
        <family val="2"/>
      </rPr>
      <t xml:space="preserve"> </t>
    </r>
  </si>
  <si>
    <t>Daily News reported figure of 70% in "Mayor says congestion plan will raise $390M for mass transit," Oct. 22, 2007, http://www.nydailynews.com/news/2007/10/22/2007-10-22_mayor_says_congestion_plan_will_raise_39-4.html.</t>
  </si>
  <si>
    <t xml:space="preserve">Number of toll transactions using E-ZPass, per weekday </t>
  </si>
  <si>
    <t xml:space="preserve">Number of toll transactions using other payment mechanisms, per weekday </t>
  </si>
  <si>
    <t>Charging costs per day using other mechanisms, per weekday</t>
  </si>
  <si>
    <t>Percent using other payment mechanisms</t>
  </si>
  <si>
    <r>
      <t xml:space="preserve">Adder for administration/enforcement </t>
    </r>
    <r>
      <rPr>
        <sz val="8"/>
        <rFont val="Arial"/>
        <family val="2"/>
      </rPr>
      <t>(Komanoff assumption)</t>
    </r>
  </si>
  <si>
    <r>
      <t xml:space="preserve">Total Charging Costs, Weekdays </t>
    </r>
    <r>
      <rPr>
        <sz val="9"/>
        <rFont val="Arial"/>
        <family val="2"/>
      </rPr>
      <t>(rounded)</t>
    </r>
  </si>
  <si>
    <t>Charging costs per year using other mechanisms</t>
  </si>
  <si>
    <t>Number of toll transactions using E-ZPass, per weekend day</t>
  </si>
  <si>
    <t>Number of toll transactions using other payment mechanisms, per weekend day</t>
  </si>
  <si>
    <t>Charging costs per day using other mechanisms, per weekend day</t>
  </si>
  <si>
    <t>Total Charging Costs, Weekends</t>
  </si>
  <si>
    <t>Baseline vehicle hours in traffic outside cordon</t>
  </si>
  <si>
    <t xml:space="preserve">  Labor Total, ratio to Payroll + Overtime (i.e., Fringe adder)</t>
  </si>
  <si>
    <t>CT</t>
  </si>
  <si>
    <t xml:space="preserve">Daily VMT within CBD, all trips </t>
  </si>
  <si>
    <r>
      <t xml:space="preserve">Wghtd avg of miles for applicable trips, in </t>
    </r>
    <r>
      <rPr>
        <b/>
        <sz val="8"/>
        <rFont val="Arial"/>
        <family val="2"/>
      </rPr>
      <t>Motor Vs</t>
    </r>
    <r>
      <rPr>
        <sz val="8"/>
        <rFont val="Arial"/>
        <family val="2"/>
      </rPr>
      <t xml:space="preserve"> worksheet.</t>
    </r>
  </si>
  <si>
    <t>Re-apportioned to squeeze into:</t>
  </si>
  <si>
    <t>Population &amp; Employment</t>
  </si>
  <si>
    <t>Annualized</t>
  </si>
  <si>
    <t>Population</t>
  </si>
  <si>
    <t>Employment</t>
  </si>
  <si>
    <t>Traffic-wghtd avg mph, 6 a.m. - 6 p.m.</t>
  </si>
  <si>
    <t>Revenue Results</t>
  </si>
  <si>
    <t>"Who Makes How Much," http://nymag.com/guides/salary/14497/index5.html.</t>
  </si>
  <si>
    <t>Loss to other time periods</t>
  </si>
  <si>
    <t>D. Elasticity Formulae</t>
  </si>
  <si>
    <t>Q2 = Q1 * (P2/P1)^e</t>
  </si>
  <si>
    <t>Q denotes auto use or transit ridership</t>
  </si>
  <si>
    <t>P denotes fare or toll (i.e., "price")</t>
  </si>
  <si>
    <t>Traffic-weighted average delay</t>
  </si>
  <si>
    <t>3. Auto Travel in Cordon that Doesn't Cross Cordon -- VMT</t>
  </si>
  <si>
    <t>C. Final Calculations</t>
  </si>
  <si>
    <t>Personnel to staff NYC Transit token booths currently, incorporating above reduxn</t>
  </si>
  <si>
    <t>Hours saved by bus riders from eliminating fare collection</t>
  </si>
  <si>
    <t>Derived in Speed-CO2 worksheet, using an exponential polynomial equation drawn from work by Barth and Boriboonsomsin at U-C Riverside.</t>
  </si>
  <si>
    <t>percent</t>
  </si>
  <si>
    <t>New transit trips that will be accommodated on subways</t>
  </si>
  <si>
    <t>Total VMT factor increase - total all non-cordon trips</t>
  </si>
  <si>
    <t>Total non-cordon VMT</t>
  </si>
  <si>
    <r>
      <t xml:space="preserve">Annual gross revenue from surcharge on medallion taxicabs, millions </t>
    </r>
    <r>
      <rPr>
        <sz val="8"/>
        <rFont val="Arial"/>
        <family val="2"/>
      </rPr>
      <t>(is shown at far right, in last column).</t>
    </r>
  </si>
  <si>
    <t>Annual taxi surcharge expenditures by county, millions</t>
  </si>
  <si>
    <r>
      <t xml:space="preserve">Difference between 'before" and 'after' average tolls, from </t>
    </r>
    <r>
      <rPr>
        <b/>
        <sz val="8"/>
        <rFont val="Arial"/>
        <family val="2"/>
      </rPr>
      <t>Motor Vs</t>
    </r>
    <r>
      <rPr>
        <sz val="8"/>
        <rFont val="Arial"/>
        <family val="2"/>
      </rPr>
      <t xml:space="preserve"> and </t>
    </r>
    <r>
      <rPr>
        <b/>
        <sz val="8"/>
        <rFont val="Arial"/>
        <family val="2"/>
      </rPr>
      <t>Motor Vs Weekends</t>
    </r>
    <r>
      <rPr>
        <sz val="8"/>
        <rFont val="Arial"/>
        <family val="2"/>
      </rPr>
      <t xml:space="preserve"> worksheets.</t>
    </r>
  </si>
  <si>
    <t>A. Auto Trips Into the CBD</t>
  </si>
  <si>
    <t>B. Non-CBD Auto Trips (abandoned due to less-expensive buses)</t>
  </si>
  <si>
    <t>U</t>
  </si>
  <si>
    <t>T</t>
  </si>
  <si>
    <t>O</t>
  </si>
  <si>
    <t>Diagnostic tool to chart "convergence" in cordon entries through our series of traffic iterations</t>
  </si>
  <si>
    <t>MD</t>
  </si>
  <si>
    <t>PM</t>
  </si>
  <si>
    <t>NT</t>
  </si>
  <si>
    <r>
      <t>Metholodogy</t>
    </r>
    <r>
      <rPr>
        <sz val="9"/>
        <rFont val="Arial"/>
        <family val="2"/>
      </rPr>
      <t xml:space="preserve">: Consider, as an example, a trip from Brooklyn's Canarsie neighborhood to lower Manhattan. Leaving aside the CBD portion of the trip, the "approach" can be segmented into the roughly 7-mile portion from Canarsie to the start of the Manhattan Bridge, and the 1.4-mile journey on the bridge itself. </t>
    </r>
  </si>
  <si>
    <t>Worksheet(s) in which elasticity is applied</t>
  </si>
  <si>
    <t>Subways, Buses</t>
  </si>
  <si>
    <r>
      <t xml:space="preserve">East River bridges share of inbound crossings, more precise figure derived in </t>
    </r>
    <r>
      <rPr>
        <b/>
        <sz val="9"/>
        <rFont val="Arial"/>
        <family val="2"/>
      </rPr>
      <t>Hub-Bound</t>
    </r>
    <r>
      <rPr>
        <sz val="9"/>
        <rFont val="Arial"/>
        <family val="2"/>
      </rPr>
      <t xml:space="preserve"> worksheet </t>
    </r>
    <r>
      <rPr>
        <sz val="8"/>
        <rFont val="Arial"/>
        <family val="2"/>
      </rPr>
      <t>(at bottom).</t>
    </r>
  </si>
  <si>
    <t>EAST</t>
  </si>
  <si>
    <t>Weekday Vehicle Entries to CBD to be tolled</t>
  </si>
  <si>
    <t>Street lane width, ft</t>
  </si>
  <si>
    <t>Avenue lane width, ft</t>
  </si>
  <si>
    <t>CBD lane, avg ft</t>
  </si>
  <si>
    <t>lane width, miles</t>
  </si>
  <si>
    <t>lane-mile area, mi sq</t>
  </si>
  <si>
    <t>lane-mile area, acres</t>
  </si>
  <si>
    <r>
      <t xml:space="preserve">Bridges </t>
    </r>
    <r>
      <rPr>
        <b/>
        <sz val="8"/>
        <rFont val="Arial"/>
        <family val="2"/>
      </rPr>
      <t>(E &amp; H Riv)</t>
    </r>
  </si>
  <si>
    <t>E Riv only</t>
  </si>
  <si>
    <t>Mac Dam</t>
  </si>
  <si>
    <t>Percent of non-walking urban trips that are made by bicycle in:</t>
  </si>
  <si>
    <t>Arithmetic mean of these three values</t>
  </si>
  <si>
    <t>(figures are shown for different trip types and time periods, at right)</t>
  </si>
  <si>
    <t>Non-wk trips</t>
  </si>
  <si>
    <t>Number of private auto users</t>
  </si>
  <si>
    <r>
      <t xml:space="preserve">Number of private autos (incorporates auto occupany rates from </t>
    </r>
    <r>
      <rPr>
        <b/>
        <sz val="9"/>
        <rFont val="Arial"/>
        <family val="2"/>
      </rPr>
      <t xml:space="preserve">H.I.S. </t>
    </r>
    <r>
      <rPr>
        <sz val="9"/>
        <rFont val="Arial"/>
        <family val="2"/>
      </rPr>
      <t>worksheet)</t>
    </r>
  </si>
  <si>
    <t>(sum of work and non-work trips in next two column blocks; figure here is for display only, calc's are done further to right)</t>
  </si>
  <si>
    <t>Through-trips are assumed unaffected by changes in taxi ridership.</t>
  </si>
  <si>
    <t>Truck trips are assumed unaffected by changes in taxi ridership.</t>
  </si>
  <si>
    <t>Commercial bus trips are assumed unaffected by changes in taxi ridership.</t>
  </si>
  <si>
    <t>Hourly cordon traffic after tolls as % of same before tolls</t>
  </si>
  <si>
    <t>9. Changes in non-cordon VMT from changes in vehicle entries due to tolls</t>
  </si>
  <si>
    <t>Total Cordon VMT with ninth rebound effect</t>
  </si>
  <si>
    <t>Passengers per trip</t>
  </si>
  <si>
    <r>
      <t xml:space="preserve">D. Reduce for Conservatism </t>
    </r>
    <r>
      <rPr>
        <sz val="8"/>
        <rFont val="Arial"/>
        <family val="2"/>
      </rPr>
      <t>(Bx12 used as basis has greater-than-average dwell time (is system's 5th busiest); and also on general principles)</t>
    </r>
  </si>
  <si>
    <t>Weekdays 1</t>
  </si>
  <si>
    <t>Weekdays 2</t>
  </si>
  <si>
    <t>K. Traffic Impacts of Congestion Charge (Traffic Round 9 • Rebound Effect 8)</t>
  </si>
  <si>
    <t>L. Traffic Impacts of Congestion Charge (Traffic Round 10 • Rebound Effect 9)</t>
  </si>
  <si>
    <t>SUMMARY OUTPUT</t>
  </si>
  <si>
    <t xml:space="preserve">  Payroll</t>
  </si>
  <si>
    <t xml:space="preserve">  Overtime</t>
  </si>
  <si>
    <r>
      <t xml:space="preserve">Periods were drawn to group similar hourly volumes of vehicles entering CBD. See </t>
    </r>
    <r>
      <rPr>
        <b/>
        <sz val="8"/>
        <rFont val="Arial"/>
        <family val="2"/>
      </rPr>
      <t>Weekend Hours</t>
    </r>
    <r>
      <rPr>
        <sz val="8"/>
        <rFont val="Arial"/>
        <family val="2"/>
      </rPr>
      <t xml:space="preserve"> worksheet. User may change by reprogramming that worksheet.</t>
    </r>
  </si>
  <si>
    <t>Toll levels at left are generated from levels specified in box above. DO NOT CHANGE FROM HERE.</t>
  </si>
  <si>
    <t>B. Starting emissions in grams/trip</t>
  </si>
  <si>
    <t>Total Organic Gases</t>
  </si>
  <si>
    <t>Carbon Monoxide</t>
  </si>
  <si>
    <t>Oxides of Nitrogen</t>
  </si>
  <si>
    <t>Carbon Dioxide</t>
  </si>
  <si>
    <r>
      <t xml:space="preserve">Taxicab Fact Book (op. cit., p. 48) says typical shift lasts 10 hrs which includes a 50-min. break; and averages </t>
    </r>
    <r>
      <rPr>
        <b/>
        <sz val="8"/>
        <rFont val="Arial"/>
        <family val="2"/>
      </rPr>
      <t>30</t>
    </r>
    <r>
      <rPr>
        <sz val="8"/>
        <rFont val="Arial"/>
        <family val="2"/>
      </rPr>
      <t xml:space="preserve"> fares.</t>
    </r>
  </si>
  <si>
    <t>By Hour</t>
  </si>
  <si>
    <t>The takeaway from these numbers is that the MTA evidently is willing to lengthen subway trip durations by 3.3%-4.8% to save $100 million a year in operating costs. (These percentages are extrapolated or prorated from the much smaller savings -- less than $6 million -- for the actual measures shown.)</t>
  </si>
  <si>
    <t>Komanoff figure. Figure greater than one indicates conservative approach was used.</t>
  </si>
  <si>
    <r>
      <t xml:space="preserve">Reflects scenario selected in </t>
    </r>
    <r>
      <rPr>
        <b/>
        <sz val="8"/>
        <rFont val="Arial"/>
        <family val="2"/>
      </rPr>
      <t>Results</t>
    </r>
    <r>
      <rPr>
        <sz val="8"/>
        <rFont val="Arial"/>
        <family val="2"/>
      </rPr>
      <t xml:space="preserve"> worksheet. Automatically imported f</t>
    </r>
    <r>
      <rPr>
        <sz val="8"/>
        <rFont val="Arial"/>
        <family val="2"/>
      </rPr>
      <t xml:space="preserve">rom </t>
    </r>
    <r>
      <rPr>
        <b/>
        <sz val="8"/>
        <rFont val="Arial"/>
        <family val="2"/>
      </rPr>
      <t>User Inputs</t>
    </r>
    <r>
      <rPr>
        <sz val="8"/>
        <rFont val="Arial"/>
        <family val="2"/>
      </rPr>
      <t xml:space="preserve"> worksheet.</t>
    </r>
  </si>
  <si>
    <t>That year</t>
  </si>
  <si>
    <t>Cumulative</t>
  </si>
  <si>
    <t>Trips eliminated, per year</t>
  </si>
  <si>
    <t>Ratio of bus trip share to baseline share, if each hour's share equaled 24-h average</t>
  </si>
  <si>
    <t>Bus share of weekday transit trips into CBD, baseline</t>
  </si>
  <si>
    <t>Bus share of weekday transit trips into CBD, from the pricing policies assumed in this spreadsheet.</t>
  </si>
  <si>
    <t>HARLEM RIVER BRIDGES</t>
  </si>
  <si>
    <t>Product of two previous rows</t>
  </si>
  <si>
    <t>% Lengthening Durations per $100 Million dis-invested</t>
  </si>
  <si>
    <t>This worksheet develops an algorithm for assigning new CBD-bound transit trips between subway and bus modes. The premise is that transit trips' fare costs and time costs can be combined into total costs, and that distributions of these costs conform to the Gaussian "normal" distribution. The mode selected for that trip is the one with the lower total cost (subway vs. bus).</t>
  </si>
  <si>
    <r>
      <t xml:space="preserve">From </t>
    </r>
    <r>
      <rPr>
        <b/>
        <sz val="8"/>
        <rFont val="Arial"/>
        <family val="2"/>
      </rPr>
      <t>Subways</t>
    </r>
    <r>
      <rPr>
        <sz val="8"/>
        <rFont val="Arial"/>
        <family val="2"/>
      </rPr>
      <t xml:space="preserve"> worksheet. Approximate 2008 NYC Transit averages for subways and buses combined, reflecting free transfers, discounts, etc.</t>
    </r>
  </si>
  <si>
    <t>Trips switching into period from preceding period</t>
  </si>
  <si>
    <t>QMT (Queens Midtown Tunnel)</t>
  </si>
  <si>
    <t xml:space="preserve">As a final note, the table below, which was developed and generously provided by the Tri-State Transportation Campaign, includes only New York State and thus excludes NJ and CT. </t>
  </si>
  <si>
    <t>Drove Alone to CBD</t>
  </si>
  <si>
    <t>Carpool to CBD</t>
  </si>
  <si>
    <t>Vehicles to CBD</t>
  </si>
  <si>
    <t>Drove Alone Outside of CBD</t>
  </si>
  <si>
    <t>Carpool Outside of CBD</t>
  </si>
  <si>
    <t>Vehicles Outside of CBD</t>
  </si>
  <si>
    <t>This table establishes the weighted average of trip distances outside the CBD that is via portals all of whose traffic is bound for the CBD.</t>
  </si>
  <si>
    <r>
      <t xml:space="preserve">C. Distances of CBD Portals </t>
    </r>
    <r>
      <rPr>
        <sz val="9"/>
        <rFont val="Arial"/>
        <family val="2"/>
      </rPr>
      <t>(miles)</t>
    </r>
  </si>
  <si>
    <t xml:space="preserve">% of vehicles on road that are going to CBD </t>
  </si>
  <si>
    <t>Regressions</t>
  </si>
  <si>
    <t>Change, %</t>
  </si>
  <si>
    <t>(via subway, bus and auto combined; excludes commuter rail, medallion taxi, bike, walk, ferry)</t>
  </si>
  <si>
    <r>
      <t xml:space="preserve">(x) </t>
    </r>
    <r>
      <rPr>
        <i/>
        <sz val="9"/>
        <rFont val="Arial"/>
        <family val="2"/>
      </rPr>
      <t xml:space="preserve">estimation of changes in the number of people </t>
    </r>
    <r>
      <rPr>
        <sz val="9"/>
        <rFont val="Arial"/>
        <family val="2"/>
      </rPr>
      <t>(as opposed to vehicles) entering the CBD on a typical weekday</t>
    </r>
  </si>
  <si>
    <t>Of which CBD portion, in miles, is:</t>
  </si>
  <si>
    <t>Auto Work</t>
  </si>
  <si>
    <t>Auto Non-Wk</t>
  </si>
  <si>
    <r>
      <t xml:space="preserve">This worksheet is text-only and so is not computationally linked to the rest of the spreadsheet. Its purpose is to </t>
    </r>
    <r>
      <rPr>
        <i/>
        <u/>
        <sz val="10"/>
        <rFont val="Arial"/>
        <family val="2"/>
      </rPr>
      <t>explain</t>
    </r>
    <r>
      <rPr>
        <i/>
        <sz val="10"/>
        <rFont val="Arial"/>
        <family val="2"/>
      </rPr>
      <t xml:space="preserve"> and </t>
    </r>
    <r>
      <rPr>
        <i/>
        <u/>
        <sz val="10"/>
        <rFont val="Arial"/>
        <family val="2"/>
      </rPr>
      <t>source</t>
    </r>
    <r>
      <rPr>
        <i/>
        <sz val="10"/>
        <rFont val="Arial"/>
        <family val="2"/>
      </rPr>
      <t xml:space="preserve"> the modeling by which the BTA calculates the number of auto trips into the CBD, and the number of subway trips, that are expected to switch to different hours of the day in response to differential pricing (time-of-day-varied cordon tolls and subway fares). It is intended to help travel modelers and other interested users follow the logic flow and algorithms for time-switching that are invoked in the </t>
    </r>
    <r>
      <rPr>
        <b/>
        <i/>
        <sz val="10"/>
        <rFont val="Arial"/>
        <family val="2"/>
      </rPr>
      <t>Motor Vs</t>
    </r>
    <r>
      <rPr>
        <i/>
        <sz val="10"/>
        <rFont val="Arial"/>
        <family val="2"/>
      </rPr>
      <t xml:space="preserve"> and </t>
    </r>
    <r>
      <rPr>
        <b/>
        <i/>
        <sz val="10"/>
        <rFont val="Arial"/>
        <family val="2"/>
      </rPr>
      <t>Subways</t>
    </r>
    <r>
      <rPr>
        <i/>
        <sz val="10"/>
        <rFont val="Arial"/>
        <family val="2"/>
      </rPr>
      <t xml:space="preserve"> worksheets.</t>
    </r>
  </si>
  <si>
    <t xml:space="preserve">One study, commissioned by the Port Authority, analyzed drivers’ responses to the differential tolling regime that the P.A. instituted on its six Hudson River vehicular crossings in 2001. “Congestion Pricing as a Traffic Management Tool: Evaluating The Impacts At New York City’s Interstate Crossings,” was written by Carolyn Wolff and Pierre Vilain of Louis Berger Associates and was submitted for presentation at the TRB 2007 annual meeting of the Transportation Research Board. </t>
  </si>
  <si>
    <t>MTA 2007 Budget, section entitled NYC Transit (see full cite above), p. V-231; also p. V-321, column, "2007 November Forecast."</t>
  </si>
  <si>
    <t>Inbounds follow shape for all inbound trips; outbounds follow shape for all outbound trips.</t>
  </si>
  <si>
    <t xml:space="preserve">13. Traffic-Rebound Factors from tolls (Round 1) </t>
  </si>
  <si>
    <t>7. Changes in cordon VMT due to changes in taxi usage resulting from changes in taxi fare</t>
  </si>
  <si>
    <t>8. Cordon speeds after the tolls</t>
  </si>
  <si>
    <r>
      <t xml:space="preserve">$ values below are from </t>
    </r>
    <r>
      <rPr>
        <b/>
        <sz val="9"/>
        <rFont val="Arial"/>
        <family val="2"/>
      </rPr>
      <t>User Inputs</t>
    </r>
    <r>
      <rPr>
        <sz val="9"/>
        <rFont val="Arial"/>
        <family val="2"/>
      </rPr>
      <t xml:space="preserve"> worksheet.</t>
    </r>
  </si>
  <si>
    <t>Non-Cordon Speeds, uncapped (miles per hour)</t>
  </si>
  <si>
    <t>Non-Cordon Speeds, capped (miles per hour)</t>
  </si>
  <si>
    <t>Non-Cordon Speeds, uncapped, mph</t>
  </si>
  <si>
    <t>Non-Cordon Speeds, capped, mph</t>
  </si>
  <si>
    <t>Speeds in Miles Per Hour</t>
  </si>
  <si>
    <r>
      <t xml:space="preserve">This worksheet calculates </t>
    </r>
    <r>
      <rPr>
        <sz val="9"/>
        <rFont val="Arial"/>
        <family val="2"/>
      </rPr>
      <t>changes in emissions of CO2, Total Organic Gases, Carbon Monoxide, Nitrogen Oxides, and PM10 that will result from the pricing measures. Emissions will change due to changes in both VMT (vehicle miles traveled) and traffic speeds. The worksheet captures both phenomena. The calculations are performed separately (in parallel) for weekdays and weekends-holidays.</t>
    </r>
  </si>
  <si>
    <t>A. Baseline emissions</t>
  </si>
  <si>
    <t>B. Final emissions</t>
  </si>
  <si>
    <t>Key Plan Policies</t>
  </si>
  <si>
    <t>W</t>
  </si>
  <si>
    <t>Y</t>
  </si>
  <si>
    <t>N</t>
  </si>
  <si>
    <t>Same as for all traffic (first column block)</t>
  </si>
  <si>
    <t>Annual per-vehicle insurance cost</t>
  </si>
  <si>
    <t>Reflects any savings from eliminating or reducing fare collection machinery.</t>
  </si>
  <si>
    <t>Time Savings to Drivers (vehicle users), millions per year</t>
  </si>
  <si>
    <t>H. Traffic Impacts of Congestion Charge (Traffic Round 6 • Rebound Effect 5)</t>
  </si>
  <si>
    <t>1991-92</t>
  </si>
  <si>
    <t>1993-94</t>
  </si>
  <si>
    <t>1995-96</t>
  </si>
  <si>
    <t>Richmond</t>
  </si>
  <si>
    <t>Auto tolls shown above are literally "looked up" from toll schedule in By Hour Wknd worksheet.</t>
  </si>
  <si>
    <r>
      <t xml:space="preserve">Traffic-Rebound Factors for cordon entries for next round </t>
    </r>
    <r>
      <rPr>
        <sz val="8"/>
        <rFont val="Arial"/>
        <family val="2"/>
      </rPr>
      <t>(see notes interspersed between rows, in column blocks at right)</t>
    </r>
  </si>
  <si>
    <r>
      <t xml:space="preserve">Traffic-Rebound Factors for intra-cordon travel for next round </t>
    </r>
    <r>
      <rPr>
        <sz val="8"/>
        <rFont val="Arial"/>
        <family val="2"/>
      </rPr>
      <t>(see notes interspersed between rows, in column blocks at right)</t>
    </r>
  </si>
  <si>
    <r>
      <t xml:space="preserve">D. Changes in </t>
    </r>
    <r>
      <rPr>
        <b/>
        <u/>
        <sz val="9"/>
        <rFont val="Arial"/>
        <family val="2"/>
      </rPr>
      <t>Outbound</t>
    </r>
    <r>
      <rPr>
        <b/>
        <sz val="9"/>
        <rFont val="Arial"/>
        <family val="2"/>
      </rPr>
      <t xml:space="preserve"> Trips, Grouped by Hourly Bins </t>
    </r>
    <r>
      <rPr>
        <b/>
        <sz val="8"/>
        <rFont val="Arial"/>
        <family val="2"/>
      </rPr>
      <t>(Part D telescopes Parts A-C above into one)</t>
    </r>
  </si>
  <si>
    <t>1997-98</t>
  </si>
  <si>
    <t>1999-2000</t>
  </si>
  <si>
    <t>2001-2005</t>
  </si>
  <si>
    <t>Toll Rates</t>
  </si>
  <si>
    <t>Personnel to staff NYC Transit token booths in 1985</t>
  </si>
  <si>
    <t>Number of stations in 1985</t>
  </si>
  <si>
    <t>Number of stations in 2007</t>
  </si>
  <si>
    <t>Westchester + Connecticut</t>
  </si>
  <si>
    <t>For a copy of BTA 1.0, released 24-Jan-2008, go to www.kheelplan.org, where you'll find a link for downloading the original spreadsheet.</t>
  </si>
  <si>
    <t>http://quickfacts.census.gov/qfd/states/36000.html (using pull-down menu for individual counties).</t>
  </si>
  <si>
    <t>MTA Reg Tot</t>
  </si>
  <si>
    <t>Miles per gallon, NYC, denotes estimated actual on-road average for passenger vehicles in NYC.</t>
  </si>
  <si>
    <t>Day-to-Year Multiplier (ratio of annual travel volumes to weekday)</t>
  </si>
  <si>
    <t>MPG factor for driving outside cordon:</t>
  </si>
  <si>
    <t>Same, sorted by ascending Density</t>
  </si>
  <si>
    <t>Same, excluding Density 0-30</t>
  </si>
  <si>
    <t>x^5</t>
  </si>
  <si>
    <t>Entries to Hub on the four East River bridges:</t>
  </si>
  <si>
    <t>Share of entries to Hub that are on the four East River bridges:</t>
  </si>
  <si>
    <r>
      <t xml:space="preserve">Equals 1 (100%) if Cordon Toll, but smaller percentages derived in </t>
    </r>
    <r>
      <rPr>
        <b/>
        <sz val="8"/>
        <rFont val="Arial"/>
        <family val="2"/>
      </rPr>
      <t xml:space="preserve">Hub-Bound </t>
    </r>
    <r>
      <rPr>
        <sz val="8"/>
        <rFont val="Arial"/>
        <family val="2"/>
      </rPr>
      <t>and</t>
    </r>
    <r>
      <rPr>
        <b/>
        <sz val="8"/>
        <rFont val="Arial"/>
        <family val="2"/>
      </rPr>
      <t xml:space="preserve"> East River Tolls</t>
    </r>
    <r>
      <rPr>
        <sz val="8"/>
        <rFont val="Arial"/>
        <family val="2"/>
      </rPr>
      <t xml:space="preserve"> worksheets if some or all bridge tolls only.</t>
    </r>
  </si>
  <si>
    <t>Harlem River total divided by all m.v. crossings. Note: This figure is a construct, since Harlem Riv crossings are not a subset of all CBD crossings.</t>
  </si>
  <si>
    <t>Effective ratio of Harlem River inbound crossings to all CBD inbound crossings (adjusted for toll level)</t>
  </si>
  <si>
    <r>
      <t xml:space="preserve">A. East River bridge crossings vs. all crossings into Manhattan CBD </t>
    </r>
    <r>
      <rPr>
        <sz val="9"/>
        <rFont val="Arial"/>
        <family val="2"/>
      </rPr>
      <t>(to estimate impacts of tolling only East River bridges)</t>
    </r>
  </si>
  <si>
    <r>
      <t xml:space="preserve">KEA estimates. </t>
    </r>
    <r>
      <rPr>
        <b/>
        <sz val="8"/>
        <rFont val="Arial"/>
        <family val="2"/>
      </rPr>
      <t>Forward</t>
    </r>
    <r>
      <rPr>
        <sz val="8"/>
        <rFont val="Arial"/>
        <family val="2"/>
      </rPr>
      <t xml:space="preserve"> figure is intended to reflect NYC efforts to reduce free parking via placards.</t>
    </r>
  </si>
  <si>
    <t>Same as for all vehicles, in first column block at far left.</t>
  </si>
  <si>
    <t>C. CBD VMT broken down between trips entering CBD and other trips</t>
  </si>
  <si>
    <r>
      <t xml:space="preserve">D. Speed Data for weekdays 6 a.m. - 6 p.m., mph </t>
    </r>
    <r>
      <rPr>
        <sz val="9"/>
        <rFont val="Arial"/>
        <family val="2"/>
      </rPr>
      <t>(from PlaNYC)</t>
    </r>
  </si>
  <si>
    <t>Wait Time</t>
  </si>
  <si>
    <t>Bus Ridership, Ratio of Annual Amount to Average Weekday (One-Day) Amount</t>
  </si>
  <si>
    <t>2. Direct Impact of Our Tolls on Cordon Entries</t>
  </si>
  <si>
    <t xml:space="preserve">Traffic-Retention Factor from Our Tolls </t>
  </si>
  <si>
    <t>Toll "Bin"</t>
  </si>
  <si>
    <t xml:space="preserve">2 p.m. - 8 p.m. </t>
  </si>
  <si>
    <t>8 p.m. - 11 p.m.</t>
  </si>
  <si>
    <t>Autos' share of above VMT</t>
  </si>
  <si>
    <t>Source: Schaller, "City in Flux," 2007, p. 5: "Autos account for an estimated 75% of vehicle miles traveled in the five boroughs" (referenced to "NYMTC Best Practices Model data").</t>
  </si>
  <si>
    <t>Estimated average reduction in bus travel time from eliminating fare collection</t>
  </si>
  <si>
    <t>Average duration of a bus trip, currently</t>
  </si>
  <si>
    <t>df</t>
  </si>
  <si>
    <t>SS</t>
  </si>
  <si>
    <t>MS</t>
  </si>
  <si>
    <t>F</t>
  </si>
  <si>
    <t>Coefficients</t>
  </si>
  <si>
    <t>P-value</t>
  </si>
  <si>
    <t>Lower 95%</t>
  </si>
  <si>
    <t>Upper 95%</t>
  </si>
  <si>
    <t>RESIDUAL OUTPUT</t>
  </si>
  <si>
    <t>Overall</t>
  </si>
  <si>
    <r>
      <t xml:space="preserve">Difference </t>
    </r>
    <r>
      <rPr>
        <sz val="8"/>
        <rFont val="Arial"/>
        <family val="2"/>
      </rPr>
      <t>(shows reb. eff. for intra-cordon trips, which are unaff'd by toll)</t>
    </r>
  </si>
  <si>
    <t>Komanoff assumption</t>
  </si>
  <si>
    <t>δ = vehicle occupany elasticity (VOE)</t>
  </si>
  <si>
    <t>Subway passenger trips to CBD as % of trips to and from CBD.</t>
  </si>
  <si>
    <t>Riders entering CBD via subways</t>
  </si>
  <si>
    <t>Origin or destination in CBD but not both</t>
  </si>
  <si>
    <r>
      <t xml:space="preserve">Factor Change in VMT </t>
    </r>
    <r>
      <rPr>
        <sz val="8"/>
        <rFont val="Arial"/>
        <family val="2"/>
      </rPr>
      <t>(ratio of previous row to preceding one)</t>
    </r>
  </si>
  <si>
    <t>x is in miles per hour</t>
  </si>
  <si>
    <t>VMT diff.</t>
  </si>
  <si>
    <t>ALL MOTOR VEHICLE TRIPS</t>
  </si>
  <si>
    <t>TRUCKS</t>
  </si>
  <si>
    <t>Discrepancy from official figure in Section 3A, above</t>
  </si>
  <si>
    <t>Delay minutes caused outside CBD per trip into CBD</t>
  </si>
  <si>
    <t>Annual Totals</t>
  </si>
  <si>
    <t>Weekend days and holidays per year (rounded)</t>
  </si>
  <si>
    <t>Emissions (kg)</t>
  </si>
  <si>
    <t>2. Outside Cordon</t>
  </si>
  <si>
    <t>Weekdays (per day)</t>
  </si>
  <si>
    <t>Weekends (per day)</t>
  </si>
  <si>
    <t>(per year)</t>
  </si>
  <si>
    <t>tonnes</t>
  </si>
  <si>
    <t>Approximating the driving cycle in the non-cordon by the combined city/highway EPA driving cycle and in the cordon by the EPA city cycle. This is rough, but gives us a ratio of CO2 (or gasoline emissions) of vehicles driving in the cordon vs non-cordon.</t>
  </si>
  <si>
    <t>LDV fuel economy - adjusted combined cycle, MY 2008</t>
  </si>
  <si>
    <t>LDV fuel economy - adjusted city cycle, MY 2008</t>
  </si>
  <si>
    <t>New Jersey + Long Island</t>
  </si>
  <si>
    <t>Sums of figures in columns match                    actual 24-h totals almost perfectly.</t>
  </si>
  <si>
    <t>These columns convert %'s at left to %'s of 24-h work, non-work and thru trips occurring in each hour shown.</t>
  </si>
  <si>
    <t>Komanoff assumptions. Bklyn &amp; Queens figures are intended to reflect both overnight parking of taxicabs and trips from airports into CBD. 60th St is net after deducting Brooklyn &amp; Queens from Total. Jersey figure might be in the hundreds but can be ignored for this level of analysis.</t>
  </si>
  <si>
    <t>Gini coefficient</t>
  </si>
  <si>
    <t>MB</t>
  </si>
  <si>
    <t>WB</t>
  </si>
  <si>
    <t>QB</t>
  </si>
  <si>
    <t>ER br tot</t>
  </si>
  <si>
    <t>MTA %</t>
  </si>
  <si>
    <t>Gasoline</t>
  </si>
  <si>
    <t>MTABT FACILITIES</t>
  </si>
  <si>
    <t>PANYNJ FACILITIES</t>
  </si>
  <si>
    <t>EAST RIVER BRIDGES</t>
  </si>
  <si>
    <t>NONE</t>
  </si>
  <si>
    <t>avg riders/hr</t>
  </si>
  <si>
    <t>post-Kheel subway travel</t>
  </si>
  <si>
    <t>rides/hr</t>
  </si>
  <si>
    <t>periods</t>
  </si>
  <si>
    <t>Duration change from any other exogenously est'd cause (e.g., cuts, efficiencies)</t>
  </si>
  <si>
    <r>
      <t xml:space="preserve">Taken directly from </t>
    </r>
    <r>
      <rPr>
        <b/>
        <sz val="8"/>
        <rFont val="Arial"/>
        <family val="2"/>
      </rPr>
      <t>Buses</t>
    </r>
    <r>
      <rPr>
        <sz val="8"/>
        <rFont val="Arial"/>
        <family val="2"/>
      </rPr>
      <t xml:space="preserve"> worksheet, Section 3D, where it was derived using a work/non-work split rather than weekday/weekend.</t>
    </r>
  </si>
  <si>
    <t xml:space="preserve">Komanoff assumption. </t>
  </si>
  <si>
    <t>(That's the 24-hr wghtd avg weekday delay costs, in hours, of one vehicle trip into the CBD)</t>
  </si>
  <si>
    <t>prod. of 2 prev cols.</t>
  </si>
  <si>
    <r>
      <t xml:space="preserve">from </t>
    </r>
    <r>
      <rPr>
        <b/>
        <sz val="8"/>
        <rFont val="Arial"/>
        <family val="2"/>
      </rPr>
      <t>Weekday Hrs</t>
    </r>
  </si>
  <si>
    <t>quot. of 2 prev cols.</t>
  </si>
  <si>
    <t>to yield delay costs for autos alone</t>
  </si>
  <si>
    <t>Mid-point Elasticity (not used here)</t>
  </si>
  <si>
    <t>Light duty vehicles</t>
  </si>
  <si>
    <t>Trucks and Buses</t>
  </si>
  <si>
    <t>1. Cordon v Non-cordon</t>
  </si>
  <si>
    <t>2. Light Duty Vehicles v Trucks and Buses</t>
  </si>
  <si>
    <t xml:space="preserve">  Interstates</t>
  </si>
  <si>
    <t xml:space="preserve">  Expwys</t>
  </si>
  <si>
    <t xml:space="preserve">  Minor Arterials</t>
  </si>
  <si>
    <t xml:space="preserve">  Major Collectors</t>
  </si>
  <si>
    <t xml:space="preserve">  Local</t>
  </si>
  <si>
    <t xml:space="preserve">  Principal Arterials</t>
  </si>
  <si>
    <t>Assumed % of VMT reduction attributable to vehicles registered in NYC</t>
  </si>
  <si>
    <t>2. Work vs. Non-work Trips -- for all trips (whereas we need Work vs. Non-work for auto trips only)</t>
  </si>
  <si>
    <t>4. Work vs. Non-Work Trips to the CBD</t>
  </si>
  <si>
    <t>Bklyn-Qns</t>
  </si>
  <si>
    <t>NYC no CBD</t>
  </si>
  <si>
    <r>
      <t xml:space="preserve">The purpose of this worksheet is primarily to estimate weekend traffic volumes into the CBD relative to weekday volumes, to assist in adapting the weekday traffic analysis in </t>
    </r>
    <r>
      <rPr>
        <b/>
        <sz val="9"/>
        <rFont val="Arial"/>
        <family val="2"/>
      </rPr>
      <t>Motor Vs</t>
    </r>
    <r>
      <rPr>
        <sz val="9"/>
        <rFont val="Arial"/>
        <family val="2"/>
      </rPr>
      <t xml:space="preserve"> into the stand-alone weekend analysis shown in </t>
    </r>
    <r>
      <rPr>
        <b/>
        <sz val="9"/>
        <rFont val="Arial"/>
        <family val="2"/>
      </rPr>
      <t>Motor Vs Weekends</t>
    </r>
    <r>
      <rPr>
        <sz val="9"/>
        <rFont val="Arial"/>
        <family val="2"/>
      </rPr>
      <t>. This is done in Part 2, below, by comparing weekend to weekday volumes provided by MTA Bridges &amp; Tunnels for the Triborough Bridge and Queens Midtown Tunnel. Part 1 recapitulates that data but is not otherwise used in the spreadsheet.</t>
    </r>
  </si>
  <si>
    <t xml:space="preserve">Additional intra-cordon VMT, as a percentage of crossing-cordon VMT </t>
  </si>
  <si>
    <r>
      <t>g</t>
    </r>
    <r>
      <rPr>
        <vertAlign val="subscript"/>
        <sz val="9"/>
        <rFont val="Arial"/>
        <family val="2"/>
      </rPr>
      <t>i</t>
    </r>
    <r>
      <rPr>
        <sz val="9"/>
        <rFont val="Arial"/>
        <family val="2"/>
      </rPr>
      <t xml:space="preserve"> = generalized travel cost after tolling</t>
    </r>
  </si>
  <si>
    <r>
      <t>g</t>
    </r>
    <r>
      <rPr>
        <vertAlign val="subscript"/>
        <sz val="9"/>
        <rFont val="Arial"/>
        <family val="2"/>
      </rPr>
      <t>o</t>
    </r>
    <r>
      <rPr>
        <sz val="9"/>
        <rFont val="Arial"/>
        <family val="2"/>
      </rPr>
      <t xml:space="preserve"> = generalized travel cost before tolling</t>
    </r>
  </si>
  <si>
    <t>Table 14-7C, "Results of the High-Cost Analysis," which we believe applies to NYC, notwithstanding the authors' inclusion of a low-cost case that totals only $83 million (1991$), and their asserted belief that "the cost is not likely to exceed $5 billion." (pp. 1-2) In informal polls taken by Komanoff in the early-mid 1990s, New Yorkers consistently ranked motor vehicle noise as more damaging to them than motor vehicle air pollution.</t>
  </si>
  <si>
    <r>
      <t xml:space="preserve">Cordon VMT from inbound cordon-crossing trips </t>
    </r>
    <r>
      <rPr>
        <sz val="8"/>
        <rFont val="Arial"/>
        <family val="2"/>
      </rPr>
      <t>(see notes to right)</t>
    </r>
  </si>
  <si>
    <t>Change in Transit Volume per Change in Auto Volume caused by change in Auto Cost</t>
  </si>
  <si>
    <t>Note that within-CBD trips also include some free riders -- trips that only circulate within the CBD and thus don't pay a cordon fee, but still reap the benefit of cordon pricing, via higher traffic speeds. There are proportionately far fewer free riders within than outside the CBD, however.</t>
  </si>
  <si>
    <t>1. MTA Toll Revenues, broken down by tolls charged to access Midtown Cordon (CBD), and other tolls</t>
  </si>
  <si>
    <t>All figures are annual. Percentages denote share of toll revenues to be included in calculating existing conditions for cordon entry</t>
  </si>
  <si>
    <t>Conservatism, intended to offset non-conservatism of taking Delucchi's high-cost est. for national damage cost, above.</t>
  </si>
  <si>
    <t>% of NYC m.v. noise costs assoc'd w/ autos (as opposed to trucks + buses)</t>
  </si>
  <si>
    <t>Calculated as ratio of "prior" to "new" cordon traffic speeds, raised to "time elasticity of vehicle travel" for auto work trips</t>
  </si>
  <si>
    <t>Calculated as ratio of "prior" to "new" cordon traffic speeds, raised to "time elasticity of vehicle travel" for non-auto work trips</t>
  </si>
  <si>
    <t>% Gain from baseline</t>
  </si>
  <si>
    <r>
      <t xml:space="preserve">Power factor applied to ratio of NYC toll savings to same for Puget Sound </t>
    </r>
    <r>
      <rPr>
        <sz val="8"/>
        <rFont val="Arial"/>
        <family val="2"/>
      </rPr>
      <t>(KEA assumption):</t>
    </r>
  </si>
  <si>
    <t xml:space="preserve"> </t>
  </si>
  <si>
    <t xml:space="preserve">Komanoff estimate, predicated on assumption that eliminating NYC auto VMT would usher in "Euro" cycling levels. </t>
  </si>
  <si>
    <t>% of above differential that wd disappear for each 1% drop in NYC auto VMT.</t>
  </si>
  <si>
    <t>Sources</t>
  </si>
  <si>
    <r>
      <t xml:space="preserve">Weighted average of work and non-work trip elasticities from </t>
    </r>
    <r>
      <rPr>
        <b/>
        <sz val="8"/>
        <rFont val="Arial"/>
        <family val="2"/>
      </rPr>
      <t>Elasticities</t>
    </r>
    <r>
      <rPr>
        <sz val="8"/>
        <rFont val="Arial"/>
        <family val="2"/>
      </rPr>
      <t xml:space="preserve"> worksheet. </t>
    </r>
  </si>
  <si>
    <t>Can a subway passenger save money by moving to the preceding hour period?</t>
  </si>
  <si>
    <t>Can a subway passenger save money by moving to the subsequent hour period?</t>
  </si>
  <si>
    <t>Total Cordon VMT with our tolls, after rebound effect</t>
  </si>
  <si>
    <t>LDV</t>
  </si>
  <si>
    <t>% net change in trips in period</t>
  </si>
  <si>
    <t>Estimated average traffic speed in Manhattan CBD, weekdays, 6 a.m. - 6 p.m. (mph)</t>
  </si>
  <si>
    <t>This worksheet is in two parts.</t>
  </si>
  <si>
    <t>Roads to and from CBD</t>
  </si>
  <si>
    <t>Number of cordon entries, change, 6am - 6pm</t>
  </si>
  <si>
    <t>Number of cordon entries, change, 24 hours</t>
  </si>
  <si>
    <t>Avg Toll</t>
  </si>
  <si>
    <r>
      <t xml:space="preserve">Average weekend vehicle occupancy </t>
    </r>
    <r>
      <rPr>
        <sz val="8"/>
        <rFont val="Arial"/>
        <family val="2"/>
      </rPr>
      <t>(Komanoff estimate)</t>
    </r>
  </si>
  <si>
    <t>Note: "VMT" (Vehicle Miles Traveled) is the prime measure of the amount of driving.</t>
  </si>
  <si>
    <t>Part Four: Our Assumptions re FreshDirect Operations</t>
  </si>
  <si>
    <t>Percent of deliveries made w/i CBD</t>
  </si>
  <si>
    <t>To come.</t>
  </si>
  <si>
    <t>Number of hours in period</t>
  </si>
  <si>
    <t>Hourly Cordon VMT with second rebound effect</t>
  </si>
  <si>
    <t>Vehicle entries in period eliminated due to our tolls (Round #1)</t>
  </si>
  <si>
    <t>A. Probability of moving to a lower toll period in the PSRC (Puget Sound Regional Council) study</t>
  </si>
  <si>
    <t>New York (Manhattan) CBD Below 60th St</t>
  </si>
  <si>
    <t>2005 "Build VMTs" From NYBPM Run</t>
  </si>
  <si>
    <r>
      <t xml:space="preserve">Mpg for respective trip types and time period </t>
    </r>
    <r>
      <rPr>
        <sz val="8"/>
        <rFont val="Arial"/>
        <family val="2"/>
      </rPr>
      <t>(values for respective trip types in different periods are shown further to right; see discussion directly above, for explanation)</t>
    </r>
  </si>
  <si>
    <t>VMT factor multiple, after pricing</t>
  </si>
  <si>
    <t>Non-Cordon Speeds, uncapped</t>
  </si>
  <si>
    <t>Non-Cordon Speeds, capped</t>
  </si>
  <si>
    <t>formula 1: power law</t>
  </si>
  <si>
    <t>We are excited by the quality of data, interactivity and creativity embodied in the BTA, and we look forward to your using it to assess different options for cordon-based traffic pricing in New York City. We welcome your suggestions, comments and questions. Please address them to C. Komanoff &lt;kea@igc.org&gt;.</t>
  </si>
  <si>
    <t>Note that Delucchi and Hsu employ the U.S. Census Bureau definition of "the term 'urbanized area' to represent a geographic area consisting of one or more central cities and a penumbra of suburbs and satellite cities."</t>
  </si>
  <si>
    <t>Entering Hub</t>
  </si>
  <si>
    <t>Riders</t>
  </si>
  <si>
    <t>% Max</t>
  </si>
  <si>
    <t>Leaving Hub</t>
  </si>
  <si>
    <t>Entering + Leaving</t>
  </si>
  <si>
    <t>% All</t>
  </si>
  <si>
    <t>Fare Bin</t>
  </si>
  <si>
    <r>
      <t xml:space="preserve">from </t>
    </r>
    <r>
      <rPr>
        <b/>
        <sz val="8"/>
        <rFont val="Arial"/>
        <family val="2"/>
      </rPr>
      <t>Buses</t>
    </r>
    <r>
      <rPr>
        <sz val="8"/>
        <rFont val="Arial"/>
        <family val="2"/>
      </rPr>
      <t xml:space="preserve"> worksheet. NYC only (excludes NJ).</t>
    </r>
  </si>
  <si>
    <r>
      <t xml:space="preserve">Other Material </t>
    </r>
    <r>
      <rPr>
        <b/>
        <sz val="9"/>
        <rFont val="Arial"/>
        <family val="2"/>
      </rPr>
      <t>(not directly relevant but kept for possible eventual use)</t>
    </r>
  </si>
  <si>
    <r>
      <t xml:space="preserve">% of incrsd fare retained by drivers/industry (selected in </t>
    </r>
    <r>
      <rPr>
        <b/>
        <sz val="9"/>
        <rFont val="Arial"/>
        <family val="2"/>
      </rPr>
      <t xml:space="preserve">User Inputs </t>
    </r>
    <r>
      <rPr>
        <sz val="9"/>
        <rFont val="Arial"/>
        <family val="2"/>
      </rPr>
      <t xml:space="preserve">wksheet, shown in </t>
    </r>
    <r>
      <rPr>
        <b/>
        <sz val="9"/>
        <rFont val="Arial"/>
        <family val="2"/>
      </rPr>
      <t>Summary</t>
    </r>
    <r>
      <rPr>
        <sz val="9"/>
        <rFont val="Arial"/>
        <family val="2"/>
      </rPr>
      <t>):</t>
    </r>
  </si>
  <si>
    <t>Cost of delays from one in-bound mile in period shown</t>
  </si>
  <si>
    <t>Scaling Constant Derivations</t>
  </si>
  <si>
    <t>Capped non-cordon speeds</t>
  </si>
  <si>
    <t>Traffic-weighted avg mph, 6 a.m. - 6 p.m.</t>
  </si>
  <si>
    <t>Reciprocals</t>
  </si>
  <si>
    <r>
      <t xml:space="preserve">Autos' share of citywide VMT </t>
    </r>
    <r>
      <rPr>
        <sz val="8"/>
        <rFont val="Arial"/>
        <family val="2"/>
      </rPr>
      <t>(Schaller, "City in Flux," 2007, p. 5: "Autos account for est' 75% of VMT in the 5 boroughs")</t>
    </r>
  </si>
  <si>
    <t>Above, as % of baseline bus travel time</t>
  </si>
  <si>
    <t>Except this ratio used for medallion taxis:</t>
  </si>
  <si>
    <t>This is a nationwide figure. In Part 2, we adjust for NYC-area air passengers.</t>
  </si>
  <si>
    <t xml:space="preserve">Part 2: Adjust U.S. airline passengers' value of saved time to NYC region </t>
  </si>
  <si>
    <r>
      <t xml:space="preserve">Speeds </t>
    </r>
    <r>
      <rPr>
        <sz val="8"/>
        <rFont val="Arial"/>
        <family val="2"/>
      </rPr>
      <t>(employ same speed-volume relationships as before)</t>
    </r>
  </si>
  <si>
    <t>Number of applicable days in the year</t>
  </si>
  <si>
    <t>for a Jan. Grist article: &lt;http://gristmill.grist.org/story/2009/1/6/134612/6720&gt;</t>
  </si>
  <si>
    <t>Not relevant</t>
  </si>
  <si>
    <t>Change in Transit Volume per Change in Auto Volume caused by change in Auto Time</t>
  </si>
  <si>
    <t>Change in Auto Volume per Change in Transit  Volume caused by change in Transit Time</t>
  </si>
  <si>
    <t>Section F</t>
  </si>
  <si>
    <t>Section G</t>
  </si>
  <si>
    <t>Applies to all Metro-North and Long Island Rail Road trips that take place entirely within NYC</t>
  </si>
  <si>
    <t>Change in Subway Trips in All Hours Except 8-9 a.m. and 5-6 p.m.</t>
  </si>
  <si>
    <t>Formula uses logic statement that sets result to zero unless fare is eliminated.</t>
  </si>
  <si>
    <t>1. Subway Machinery Annual Maintenance</t>
  </si>
  <si>
    <t>Hundreds of millions of dollars</t>
  </si>
  <si>
    <t>Delay minutes caused inside CBD per trip into CBD</t>
  </si>
  <si>
    <t>Ratio of per-trip delay minutes, outside to inside CBD</t>
  </si>
  <si>
    <t>Helpful Gotham Gazette summary of bills: &lt;http://www.gothamgazette.com/article/Searchlight%20on%20City%20Hall/20091117/203/3106&gt;.</t>
  </si>
  <si>
    <t>Col. G div. by Col. F</t>
  </si>
  <si>
    <t>Because the rules have not been fully specified, and because the consequences depend on behavioral responses by drivers and traffic agents, the likely change in the number of tickets issued cannot be precisely predicted. The analysis here relies on a number of assumptions, some of them rough, and should be considered suggestive, not definitive.</t>
  </si>
  <si>
    <t>Assumed daily cost for "parking provided or reimbursed," % of cost for "paid lot or garage":</t>
  </si>
  <si>
    <t>A. Background</t>
  </si>
  <si>
    <t>B. How the analysis is performed</t>
  </si>
  <si>
    <t>Total Cordon VMT with fifth rebound effect</t>
  </si>
  <si>
    <t>Gas price (cents/gal.): 1978-1997 are from Monthly Energy Review, May 1998 (hard copy available to KEA). 1998-2000 are from on-line MER. Both sets use Table 9.4, Motor Gasoline Retail Prices, U.S. City Average.</t>
  </si>
  <si>
    <t>Constants</t>
  </si>
  <si>
    <r>
      <t>Ratio, toll in period to toll in earlier period, before our tolls</t>
    </r>
    <r>
      <rPr>
        <sz val="8"/>
        <rFont val="Arial"/>
        <family val="2"/>
      </rPr>
      <t xml:space="preserve"> (defaults to unity unless difference in tolls is $1.00 or greater)</t>
    </r>
  </si>
  <si>
    <r>
      <t xml:space="preserve">All time values relative to air passenger are Komanoff assumptions. See </t>
    </r>
    <r>
      <rPr>
        <b/>
        <sz val="8"/>
        <rFont val="Arial"/>
        <family val="2"/>
      </rPr>
      <t>Taxis</t>
    </r>
    <r>
      <rPr>
        <sz val="8"/>
        <rFont val="Arial"/>
        <family val="2"/>
      </rPr>
      <t xml:space="preserve"> worksheet for data on taxi passenger income levels.</t>
    </r>
  </si>
  <si>
    <t>Crain's "Book of Lists, 2010" special issue, published Dec. 2009, ranked FreshDirect at #102 among the NY area's privately held companies, with the same 2008 and 2009 sales figures shown directly above, and 1,800 employees.</t>
  </si>
  <si>
    <r>
      <t xml:space="preserve">Source: NYMTC 1997/98 Household Interview Survey. Manhattan Crossings figures are from NYCDOT data in </t>
    </r>
    <r>
      <rPr>
        <b/>
        <sz val="8"/>
        <rFont val="Arial"/>
        <family val="2"/>
      </rPr>
      <t>By Hour</t>
    </r>
    <r>
      <rPr>
        <sz val="8"/>
        <rFont val="Arial"/>
        <family val="2"/>
      </rPr>
      <t>.</t>
    </r>
  </si>
  <si>
    <t>A.M. Pre-peak</t>
  </si>
  <si>
    <t>A.M. Post-peak</t>
  </si>
  <si>
    <t>P.M. Post-peak</t>
  </si>
  <si>
    <t>Formula 1: power law</t>
  </si>
  <si>
    <r>
      <t xml:space="preserve">Point Elasticity </t>
    </r>
    <r>
      <rPr>
        <sz val="8"/>
        <rFont val="Arial"/>
        <family val="2"/>
      </rPr>
      <t>(used when either the starting or final price is zero)</t>
    </r>
  </si>
  <si>
    <t>1 denotes starting ridership and price</t>
  </si>
  <si>
    <t>Q2 = e*Q1*(P2-P1)/P1 + Q1</t>
  </si>
  <si>
    <t>e = ((Q2-Q1)/(Q1+Q2)/2)/((P2-P1)/(P1+P2)/2) or Q2 = Q1*(e*((P2-P1)+(P1+P2))/((P1+P2)-e*(P2-P1))</t>
  </si>
  <si>
    <t>Truck price-elasticity as a % of that for auto work trips</t>
  </si>
  <si>
    <t>Bus price-elasticity as a % of that for auto work trips</t>
  </si>
  <si>
    <t>Truck time-elasticity as a % of that for auto work trips</t>
  </si>
  <si>
    <t>Bus time-elasticity as a % of that for auto work trips</t>
  </si>
  <si>
    <t>Population (2007)</t>
  </si>
  <si>
    <t>6. Acreage of Street Space for the Entire CBD Cordon</t>
  </si>
  <si>
    <r>
      <t xml:space="preserve">The Council bills would reduce the actual and perceived cost to drive into the Manhattan Central Business District (CBD), and in NYC generally, by reducing the likelihood of receiving a parking ticket. We specify the estimated reduction in annual terms and convert this to a per-trip basis, making it equivalent to a small negative congestion (cordon) toll. We then input this "toll" into the </t>
    </r>
    <r>
      <rPr>
        <b/>
        <sz val="9"/>
        <rFont val="Arial"/>
        <family val="2"/>
      </rPr>
      <t>Motor Vs</t>
    </r>
    <r>
      <rPr>
        <sz val="9"/>
        <rFont val="Arial"/>
        <family val="2"/>
      </rPr>
      <t xml:space="preserve"> worksheet to calculate the expected increase in the number of auto and truck trips into the CBD, and the corresponding decreases in traffic speeds. With this, we can calculate the anticipated increased hours that drivers will spend in traffic.</t>
    </r>
  </si>
  <si>
    <t>Komanoff estimate. Is intended to reflect the effective shrinkage of time deemed illegal, the increased complexity of ticketing rules, and the general discouragement of diligent enforcement. Is also intended to reflect reduced muni-meter revenues due to the extension in the permitted time.</t>
  </si>
  <si>
    <t>Percentage of annual parking ticket revenues collected on weekdays</t>
  </si>
  <si>
    <t>Schaller. Page number TK.</t>
  </si>
  <si>
    <t>Note that above % is calculated by drawing on two separate sources, whose definitions may or may not be fully consistent.</t>
  </si>
  <si>
    <t>Baseline total Vehicle Hours in Traffic within CBD (per weekday)</t>
  </si>
  <si>
    <t>Auto thru-trip</t>
  </si>
  <si>
    <t>Estimated percentage of U.S. population residing in urbanized areas</t>
  </si>
  <si>
    <t>Tolls</t>
  </si>
  <si>
    <t>Weekday Hours</t>
  </si>
  <si>
    <t>Note: All data is for Weekdays. Weekend data appear in separate worksheet, "Weekend Hours."</t>
  </si>
  <si>
    <t>Weekend Hours</t>
  </si>
  <si>
    <t>60th St</t>
  </si>
  <si>
    <t>1. Breakdown of CBD m.v. entrances by portal</t>
  </si>
  <si>
    <t>for a Feb. 2008 article in Grist about the plan: &lt;http://gristmill.grist.org/story/2008/2/11/64835/1733&gt;</t>
  </si>
  <si>
    <t>Factor to multiply weekday figs. in next sections to extrapolate from CBD to all subway trips</t>
  </si>
  <si>
    <t>daily, adj.</t>
  </si>
  <si>
    <t xml:space="preserve">Any paid parking for through-trips is paid outside the CBD, where parking is often free (at homes, stores, office parks, factories, etc.). Our simple approach is to assume an average parking cost equal to a constant percent of the mean costs for work and </t>
  </si>
  <si>
    <t>NO</t>
  </si>
  <si>
    <t>Daily vehicle-hours saved within the CBD</t>
  </si>
  <si>
    <t>Average trip length, miles</t>
  </si>
  <si>
    <t>Barth formula for CO2 emissions (grams per mile)</t>
  </si>
  <si>
    <t>Emission Rates (grams per mile)</t>
  </si>
  <si>
    <t>Baseline VMT in Cordon (miles per day)</t>
  </si>
  <si>
    <t>All Vehicles</t>
  </si>
  <si>
    <t># of Riders Boarding thru Front Door [assumed to be 40% of Total]</t>
  </si>
  <si>
    <t>for the NNYN Web page summarizing the plan: &lt;http://www.nnyn.org/kheelplan/kheel_komanoff_plan.html&gt;</t>
  </si>
  <si>
    <t>Delays</t>
  </si>
  <si>
    <t>Administrative Savings from Eliminating Transit Fare</t>
  </si>
  <si>
    <t>tan Jobs</t>
  </si>
  <si>
    <t>Manhat-</t>
  </si>
  <si>
    <t>000</t>
  </si>
  <si>
    <t>tan Wages</t>
  </si>
  <si>
    <t>000,000</t>
  </si>
  <si>
    <t>Wages / CPI</t>
  </si>
  <si>
    <r>
      <t xml:space="preserve">Daily cordon auto entries </t>
    </r>
    <r>
      <rPr>
        <sz val="8"/>
        <rFont val="Arial"/>
        <family val="2"/>
      </rPr>
      <t>(figures are vehicles, not persons)</t>
    </r>
  </si>
  <si>
    <t>5 a.m. - 6 a.m.</t>
  </si>
  <si>
    <t>6 a.m. - 9 a.m.</t>
  </si>
  <si>
    <t>9 a.m. - 10 a.m.</t>
  </si>
  <si>
    <t>10 a.m. - 2 p.m.</t>
  </si>
  <si>
    <t>This section derives a set of 24 hourly ratios of weekend to weekday travel that we use to estimate hourly inbound cordon trips on weekends, and, in turn to choose toll rates for weekends.</t>
  </si>
  <si>
    <t>Same as March except files were AvgWkndTraf_QMT_Sep07.xls, and the anomalously named Peak_QMT_Sep07.xls</t>
  </si>
  <si>
    <t>Annual VMT (000,000)</t>
  </si>
  <si>
    <t>Change from baseline:</t>
  </si>
  <si>
    <t>Baseline figure:</t>
  </si>
  <si>
    <t>Change:</t>
  </si>
  <si>
    <t>E Riv X'ings</t>
  </si>
  <si>
    <t>MTA % of</t>
  </si>
  <si>
    <t>Other</t>
  </si>
  <si>
    <t>costs</t>
  </si>
  <si>
    <t>calculated</t>
  </si>
  <si>
    <t>as sum of</t>
  </si>
  <si>
    <t>green cols.</t>
  </si>
  <si>
    <t>Method: Prorate national estimates of noise costs of motor vehicle use, and apply to the expected changes in VMT in NYC, with suitable scaling for different population exposures. National noise costs are from Delucchi analysis referenced in Part C, as detailed in hardcopy document, "The External Damage Cost of Direct Noise from Motor Vehicles," Report #14 in the Series: the "Annualized Social Cost of Motor Vehicle Use in the United States, based on 1990-1991 Data," by Mark A. Delucchi and Shi-Ling Hsu, Dec. 1996, UCD-ITS-RR-96-3 (14).</t>
  </si>
  <si>
    <r>
      <t xml:space="preserve">Below we have selected baseline values for subway and bus trip parameters that cause the respective distributions to be such that the bus cost is less than subway cost in only 5% of cases, which matches the bus share of transit trips into the CBD for trips originating in NYC (which may be calc'd by comparing weekday bus trips into the CBD in </t>
    </r>
    <r>
      <rPr>
        <b/>
        <sz val="9"/>
        <rFont val="Arial"/>
        <family val="2"/>
      </rPr>
      <t>Buses</t>
    </r>
    <r>
      <rPr>
        <sz val="9"/>
        <rFont val="Arial"/>
        <family val="2"/>
      </rPr>
      <t xml:space="preserve"> worksheet w/ the parallel figure for subways in </t>
    </r>
    <r>
      <rPr>
        <b/>
        <sz val="9"/>
        <rFont val="Arial"/>
        <family val="2"/>
      </rPr>
      <t>Subways</t>
    </r>
    <r>
      <rPr>
        <sz val="9"/>
        <rFont val="Arial"/>
        <family val="2"/>
      </rPr>
      <t xml:space="preserve"> worksheet).</t>
    </r>
  </si>
  <si>
    <t>****************************************************************************************************************************************************************************</t>
  </si>
  <si>
    <t>Part 1: Value of an hour of saved time for airline passengers</t>
  </si>
  <si>
    <t>Caused by FD trucks parked w/i CBD</t>
  </si>
  <si>
    <r>
      <t xml:space="preserve">Part Two: Delay Estimates due to </t>
    </r>
    <r>
      <rPr>
        <b/>
        <u/>
        <sz val="10"/>
        <rFont val="Arial"/>
        <family val="2"/>
      </rPr>
      <t>Parking</t>
    </r>
    <r>
      <rPr>
        <b/>
        <sz val="10"/>
        <rFont val="Arial"/>
        <family val="2"/>
      </rPr>
      <t xml:space="preserve"> FreshDirect Trucks within Manhattan CBD </t>
    </r>
    <r>
      <rPr>
        <b/>
        <sz val="9"/>
        <rFont val="Arial"/>
        <family val="2"/>
      </rPr>
      <t>(weekdays)</t>
    </r>
  </si>
  <si>
    <t>Part Three: Weekday Summary and Extrapolation to Weekends</t>
  </si>
  <si>
    <r>
      <t xml:space="preserve">Delay hours are copied from results derived in Parts One &amp; Two, above. Cost per delay hour are shown in </t>
    </r>
    <r>
      <rPr>
        <b/>
        <sz val="8"/>
        <rFont val="Arial"/>
        <family val="2"/>
      </rPr>
      <t>Cost-Benefit</t>
    </r>
    <r>
      <rPr>
        <sz val="8"/>
        <rFont val="Arial"/>
        <family val="2"/>
      </rPr>
      <t xml:space="preserve"> worksheet, Part A.</t>
    </r>
  </si>
  <si>
    <t>Total daily delay due to FD deliveries to CBD, hrs</t>
  </si>
  <si>
    <t>Daily delay per FD truck delivering to CBD, hrs</t>
  </si>
  <si>
    <t xml:space="preserve">Weekday Summary </t>
  </si>
  <si>
    <t>Extrapolation to Weekends</t>
  </si>
  <si>
    <t>We prorate weekend impacts from weekday impacts above. This obviates the need for a similarly complex calculation and fits both the approximate nature of the exercise and the smaller impacts on weekends (due to lesser weekend traffic and fewer weekend days).</t>
  </si>
  <si>
    <t>Ratio of weekend to weekday CBD delay impacts from additional trip into CBD</t>
  </si>
  <si>
    <t>Ratio of weekend to weekday non-CBD delay impacts from additional trip into CBD</t>
  </si>
  <si>
    <t xml:space="preserve">Weekend Summary </t>
  </si>
  <si>
    <t xml:space="preserve">Annual Summary </t>
  </si>
  <si>
    <r>
      <t xml:space="preserve">Total delay from one FD delivery in CBD, </t>
    </r>
    <r>
      <rPr>
        <u/>
        <sz val="9"/>
        <rFont val="Arial"/>
        <family val="2"/>
      </rPr>
      <t>minutes</t>
    </r>
  </si>
  <si>
    <t>Number of applicable days per year</t>
  </si>
  <si>
    <t>Delay cost from one FD delivery in CBD</t>
  </si>
  <si>
    <t>Per delivery</t>
  </si>
  <si>
    <t>Adjustment to correct vehicle percentage shown so as to reflect CBD/non-CBD split on roads on which CBD-bound vehicles travel:</t>
  </si>
  <si>
    <t>WORK by Mode of Travel</t>
  </si>
  <si>
    <t>NON-WORK by Mode of Travel</t>
  </si>
  <si>
    <t>Bronx-Whitestone Bridge</t>
  </si>
  <si>
    <t>Throgs Neck Bridge</t>
  </si>
  <si>
    <t>Rob't F. Kennedy Br. (Triboro)</t>
  </si>
  <si>
    <t>Source:</t>
  </si>
  <si>
    <t>(downloaded 2-Jan-2010)</t>
  </si>
  <si>
    <t>Truck Toll, Ratio to Auto Toll</t>
  </si>
  <si>
    <r>
      <t xml:space="preserve">5 Axle </t>
    </r>
    <r>
      <rPr>
        <sz val="8"/>
        <rFont val="Arial"/>
        <family val="2"/>
      </rPr>
      <t>(18-whlr)</t>
    </r>
  </si>
  <si>
    <t>TAXICABS (MEDALLION TAXIS ONLY)</t>
  </si>
  <si>
    <t>Hourly Cordon VMT with our tolls, after rebound effect</t>
  </si>
  <si>
    <t>Total cordon round-trip minutes -- average of this and previous rounds with our tolls</t>
  </si>
  <si>
    <t>4. All changes to trip entries due to our tolls (details)</t>
  </si>
  <si>
    <r>
      <t xml:space="preserve">Note: Tolls shown are one-way, but all crossings charge tolls in both directions. This is reflected in </t>
    </r>
    <r>
      <rPr>
        <b/>
        <sz val="9"/>
        <rFont val="Arial"/>
        <family val="2"/>
      </rPr>
      <t>Price to Drive</t>
    </r>
    <r>
      <rPr>
        <sz val="9"/>
        <rFont val="Arial"/>
        <family val="2"/>
      </rPr>
      <t xml:space="preserve"> worksheet.</t>
    </r>
  </si>
  <si>
    <t>Percentage pt incrs in NYC cycling share from drop in NYC VMT</t>
  </si>
  <si>
    <t>Savings from Eliminating Subway Fare</t>
  </si>
  <si>
    <r>
      <t xml:space="preserve">[Space has been added here to maintain consistency with </t>
    </r>
    <r>
      <rPr>
        <b/>
        <sz val="10"/>
        <rFont val="Arial"/>
        <family val="2"/>
      </rPr>
      <t>Delays</t>
    </r>
    <r>
      <rPr>
        <sz val="10"/>
        <rFont val="Arial"/>
        <family val="2"/>
      </rPr>
      <t xml:space="preserve"> worksheet.]</t>
    </r>
  </si>
  <si>
    <t>Effective</t>
  </si>
  <si>
    <t>Toll</t>
  </si>
  <si>
    <t>Price</t>
  </si>
  <si>
    <t>US Gas</t>
  </si>
  <si>
    <t>Miles per</t>
  </si>
  <si>
    <t>Boarding Front Door  Factor, Seconds / Rider</t>
  </si>
  <si>
    <t xml:space="preserve">Alighting Front Door Factor,  Seconds / Rider </t>
  </si>
  <si>
    <t>AM</t>
  </si>
  <si>
    <r>
      <t xml:space="preserve">(v) improved modeling of </t>
    </r>
    <r>
      <rPr>
        <i/>
        <sz val="9"/>
        <rFont val="Arial"/>
        <family val="2"/>
      </rPr>
      <t xml:space="preserve">speed-volume relationships </t>
    </r>
    <r>
      <rPr>
        <sz val="9"/>
        <rFont val="Arial"/>
        <family val="2"/>
      </rPr>
      <t>(which translates reduced vehicle volumes to improvements in motor vehicle speeds);</t>
    </r>
  </si>
  <si>
    <t>According to journey-to-work data from the 2000 U.S. Census—one of the most comprehensive recent statistical surveys of taxi usage in the city—taxi commuters are overwhelmingly concentrated in Manhattan below 96th Street, with the greatest concentration on the Upper East Side (U.S. Census Bureau, 2004). This corresponds with TLC surveying from the late 1980s and early 1990s, which found that 71 percent of total taxi trips were taken by Manhattan residents, 10 percent by outer-borough residents, 5 percent by NYC suburban residents, and 14 percent by people who live outside the New York City metropolitan area.</t>
  </si>
  <si>
    <t>Women</t>
  </si>
  <si>
    <r>
      <t xml:space="preserve">Further adder for foregone "scale economies" from reduced size </t>
    </r>
    <r>
      <rPr>
        <sz val="8"/>
        <rFont val="Arial"/>
        <family val="2"/>
      </rPr>
      <t>(Komanoff)</t>
    </r>
  </si>
  <si>
    <t>Charging Costs per transaction</t>
  </si>
  <si>
    <t>Chosen according to which toll plan has been selected in User Inputs worksheet.</t>
  </si>
  <si>
    <t>Additional in-cordon VMT resulting from these trips</t>
  </si>
  <si>
    <t>Additional non-cordon VMT resulting from these trips</t>
  </si>
  <si>
    <t>Assumed average trip length for taxi trips beginning and/or ending in CBD, miles</t>
  </si>
  <si>
    <t>Assumed average trip length for taxi trips that don't relate to CBD, miles</t>
  </si>
  <si>
    <t xml:space="preserve">Williamsburg Bridge </t>
  </si>
  <si>
    <t>Percentage of mode-shifted trips assumed to go to medallion taxis:</t>
  </si>
  <si>
    <t>Change in Taxicab Volume per Change in Auto  Volume caused by change in Auto Time or Cost</t>
  </si>
  <si>
    <t>Average Weekday</t>
  </si>
  <si>
    <t>Average Saturday</t>
  </si>
  <si>
    <t>Average Sunday</t>
  </si>
  <si>
    <r>
      <t xml:space="preserve">2008 subway ridership at a glance </t>
    </r>
    <r>
      <rPr>
        <sz val="8"/>
        <rFont val="Arial"/>
        <family val="2"/>
      </rPr>
      <t>(source: http://mta.info/nyct/facts/ridership/index.htm, accessed 25-Aug-2009)</t>
    </r>
  </si>
  <si>
    <t>Constant</t>
  </si>
  <si>
    <t>Komanoff estimate. Rep. Larson's 2009 bill, America's Energy Security Trust Fund Act, envisions a $15/ton initial level with annual ramp-ups of $10-$15 per ton, so would reach or exceed $100/metric ton by 2020. Other bills envision lower levels, however.</t>
  </si>
  <si>
    <t>Discount, to reflect sub-sample "tolled" into transit (CK assmpn)</t>
  </si>
  <si>
    <t>Non-CBD miles included in that distance</t>
  </si>
  <si>
    <t>Brooklyn-Battery Tunnel</t>
  </si>
  <si>
    <r>
      <t xml:space="preserve">Daily VMT from m.v. trips to cordon, </t>
    </r>
    <r>
      <rPr>
        <u/>
        <sz val="9"/>
        <rFont val="Arial"/>
        <family val="2"/>
      </rPr>
      <t>after</t>
    </r>
  </si>
  <si>
    <t>% Change for all trips on these roads</t>
  </si>
  <si>
    <t>% Change for CBD-bound trips</t>
  </si>
  <si>
    <r>
      <t xml:space="preserve">This section recapitulates the </t>
    </r>
    <r>
      <rPr>
        <b/>
        <sz val="8"/>
        <rFont val="Arial"/>
        <family val="2"/>
      </rPr>
      <t xml:space="preserve">Motor Vs </t>
    </r>
    <r>
      <rPr>
        <sz val="8"/>
        <rFont val="Arial"/>
        <family val="2"/>
      </rPr>
      <t xml:space="preserve">and </t>
    </r>
    <r>
      <rPr>
        <b/>
        <sz val="8"/>
        <rFont val="Arial"/>
        <family val="2"/>
      </rPr>
      <t>Delays</t>
    </r>
    <r>
      <rPr>
        <sz val="8"/>
        <rFont val="Arial"/>
        <family val="2"/>
      </rPr>
      <t xml:space="preserve"> worksheets. It maintains that structure, rather than simply importing the data from those worksheets, in order to preserve the ability to invoke the 'Baseline Traffic Reduction' parameter in </t>
    </r>
    <r>
      <rPr>
        <b/>
        <sz val="8"/>
        <rFont val="Arial"/>
        <family val="2"/>
      </rPr>
      <t>User Inputs</t>
    </r>
    <r>
      <rPr>
        <sz val="8"/>
        <rFont val="Arial"/>
        <family val="2"/>
      </rPr>
      <t>, to reflect lower (or higher) traffic levels.</t>
    </r>
  </si>
  <si>
    <t>Mean</t>
  </si>
  <si>
    <r>
      <t xml:space="preserve">Route Miles </t>
    </r>
    <r>
      <rPr>
        <b/>
        <sz val="8"/>
        <rFont val="Arial"/>
        <family val="2"/>
      </rPr>
      <t>(Komanoff estimates)</t>
    </r>
  </si>
  <si>
    <t>Williansburg</t>
  </si>
  <si>
    <t>Google Maps, using major highways from FD depot, through bridge or tunnel to Manhattan portal.</t>
  </si>
  <si>
    <t>Adjustment factor for NYC conditions vs. typical U.S. urbanized conditions</t>
  </si>
  <si>
    <t>Verrazano-Narrows</t>
  </si>
  <si>
    <t>Dec. 11. 1985 draft report by Ned Towle, Director, NYCTA Dept. of Planning and Budget. According to that report, in 1985 the transit system operated 463 stations with 516 24-hour change booths and an additional 237 part-time booths (p. 19), staffed by 3,834 hourly-rated employees (p.37).</t>
  </si>
  <si>
    <t>Speed Comparisons</t>
  </si>
  <si>
    <r>
      <t xml:space="preserve">Uses same outbound %'s as autos; </t>
    </r>
    <r>
      <rPr>
        <sz val="8"/>
        <color indexed="10"/>
        <rFont val="Arial"/>
        <family val="2"/>
      </rPr>
      <t>may want to modify to reflect possible tilt toward morning, esp'ly early morning, and away from evening</t>
    </r>
  </si>
  <si>
    <t>Average prior toll for autos + trucks + buses (but excluding medallion taxicabs)</t>
  </si>
  <si>
    <t>Change in auto non-work trips from congestion pricing (persons)</t>
  </si>
  <si>
    <t>Truncated sums, to avoid double-counting 11 p.m. with 12-4 a.m.</t>
  </si>
  <si>
    <t>Note correspondence between proposed weekday toll rate in chart on left, and delays caused per trip in chart on right.</t>
  </si>
  <si>
    <t>Komanoff assumption.</t>
  </si>
  <si>
    <t>Method 1: Prorating/Updating from a 1982 Estimate</t>
  </si>
  <si>
    <t>Method 2: "Bottoms-Up" Calculation, based on 1985 token booth staffing levels and costs</t>
  </si>
  <si>
    <t>Product of total auto work trips above, times percentages of total daily inbound work trips in respective periods in By Hour Wknd worksheet.</t>
  </si>
  <si>
    <t>Product of total auto non-work trips above, times %'s of total daily inbound non-work trips in respective periods in By Hour Wknd worksheet.</t>
  </si>
  <si>
    <t>Evening After Peak</t>
  </si>
  <si>
    <t># hrs</t>
  </si>
  <si>
    <t>Note: Peaks are 6-9 a.m. and 4-7 p.m.</t>
  </si>
  <si>
    <t>I. Traffic Impacts of Congestion Charge (Traffic Round 7 • Rebound Effect 6)</t>
  </si>
  <si>
    <t>% of CBD VMT accounted for by auto trips crossing into CBD</t>
  </si>
  <si>
    <t>Product of two previous figures x 2 (to count inbound + outbound).</t>
  </si>
  <si>
    <r>
      <t xml:space="preserve">Product of total auto non-work trips above, times percentages of total daily outbound trips in respective periods in </t>
    </r>
    <r>
      <rPr>
        <b/>
        <sz val="8"/>
        <rFont val="Arial"/>
        <family val="2"/>
      </rPr>
      <t>By Hours</t>
    </r>
    <r>
      <rPr>
        <sz val="8"/>
        <rFont val="Arial"/>
        <family val="2"/>
      </rPr>
      <t xml:space="preserve"> worksheet.</t>
    </r>
  </si>
  <si>
    <t>Wghtd avg toll (before trip resettlements to lower-toll periods)</t>
  </si>
  <si>
    <t>Weekdays</t>
  </si>
  <si>
    <t>1. Vehicle Hours in Traffic Within Cordon</t>
  </si>
  <si>
    <t>Baseline vehicle hours in traffic within cordon</t>
  </si>
  <si>
    <t>Total Manhattan Crossings, 2006 Average Hourly Traffic Volumes, To and From Manhattan, (All Facilities)</t>
  </si>
  <si>
    <t>% of Daily Total</t>
  </si>
  <si>
    <t>Rank</t>
  </si>
  <si>
    <t>Trips switching into period from subsequent period</t>
  </si>
  <si>
    <t>Improved and/or cheaper transit service</t>
  </si>
  <si>
    <t>Note: "Transit" denotes subway and bus service.</t>
  </si>
  <si>
    <t>Bus trips</t>
  </si>
  <si>
    <t>Travel time savings from eliminating fare collection</t>
  </si>
  <si>
    <t>Higher toll for one time period vis-à-vis prior or next period</t>
  </si>
  <si>
    <t>Higher fare for one time period vis-à-vis prior or next period</t>
  </si>
  <si>
    <t>Travel time savings from bus service improvements</t>
  </si>
  <si>
    <t>Travel time savings from subway service improvements</t>
  </si>
  <si>
    <r>
      <t>Agent</t>
    </r>
    <r>
      <rPr>
        <sz val="9"/>
        <rFont val="Arial"/>
        <family val="2"/>
      </rPr>
      <t xml:space="preserve"> (operates on and affects the dependent variable)</t>
    </r>
  </si>
  <si>
    <r>
      <t>Timing</t>
    </r>
    <r>
      <rPr>
        <b/>
        <sz val="9"/>
        <rFont val="Arial"/>
        <family val="2"/>
      </rPr>
      <t xml:space="preserve"> of car/truck trips to CBD</t>
    </r>
  </si>
  <si>
    <r>
      <t>Timing</t>
    </r>
    <r>
      <rPr>
        <b/>
        <sz val="9"/>
        <rFont val="Arial"/>
        <family val="2"/>
      </rPr>
      <t xml:space="preserve"> of subway trips to CBD</t>
    </r>
  </si>
  <si>
    <t>Daily cordon auto entries in period after tolls, 1st round (vehs.)</t>
  </si>
  <si>
    <t>Per-hour cordon auto entries in period after tolls, 1st round (vehs.)</t>
  </si>
  <si>
    <t>Per-hr cordon auto entries in period after tolls + subway attraction</t>
  </si>
  <si>
    <t>Decrs in cordon entries due to work trips attracted by subways</t>
  </si>
  <si>
    <t>See text for meaning of elasticity figures in table.</t>
  </si>
  <si>
    <t>2 denotes new ridership and price</t>
  </si>
  <si>
    <t>Fare bins are set by user (you). They determine fare amounts, based on figures in blue box directly above.</t>
  </si>
  <si>
    <t>Number of NYC Transit buses</t>
  </si>
  <si>
    <t>Total number of buses whose fare-collection machinery must be maintained by MTA</t>
  </si>
  <si>
    <t xml:space="preserve">Possible changes to average subway trip duration </t>
  </si>
  <si>
    <t>Combined percentage change to average subway trip duration</t>
  </si>
  <si>
    <t>Buses</t>
  </si>
  <si>
    <t>Total NYC Transit Subway Trips per year</t>
  </si>
  <si>
    <t>Total Hours, NYC Transit Subway Trips per year</t>
  </si>
  <si>
    <t>Calculated hours per year</t>
  </si>
  <si>
    <t>Grand total hours</t>
  </si>
  <si>
    <t>Mean of the two % values above the box:</t>
  </si>
  <si>
    <t>Income ratio, car commuters into CBD to subway riders into CBD</t>
  </si>
  <si>
    <t>1-hr period, starting:</t>
  </si>
  <si>
    <t>24 hrs</t>
  </si>
  <si>
    <t>% of Dwell Time saved by eliminating fare payment</t>
  </si>
  <si>
    <r>
      <t xml:space="preserve">Saved Dwell Time from eliminating fare payment (in seconds) </t>
    </r>
    <r>
      <rPr>
        <sz val="8"/>
        <rFont val="Arial"/>
        <family val="2"/>
      </rPr>
      <t>(difference betw Cols A &amp; B dwell times)</t>
    </r>
  </si>
  <si>
    <t xml:space="preserve"> # of Riders Boarding thru Rear Door [remaining 40% of Total]</t>
  </si>
  <si>
    <t># of Riders Alighting thru Rear Door [remaining 80% of Total]</t>
  </si>
  <si>
    <t>Enter min or max in cell at right to choose MTA's "minimum" or "maximum" boarding times.</t>
  </si>
  <si>
    <t>(one minus ratio of total dwell time in column AE to dwell time in column F)</t>
  </si>
  <si>
    <t>% Reduction in non-auto travel (cabs, trucks, buses), relative to auto VMT reduction (Komanoff est.)</t>
  </si>
  <si>
    <t>Here we assume 1-to-1 relation betw % changes in VMT and travel times</t>
  </si>
  <si>
    <t>Total time savings as % of baseline bus travel time</t>
  </si>
  <si>
    <r>
      <t xml:space="preserve">Same as above, from dwell time only </t>
    </r>
    <r>
      <rPr>
        <sz val="8"/>
        <rFont val="Arial"/>
        <family val="2"/>
      </rPr>
      <t>(excludes effect of lighter traffic)</t>
    </r>
  </si>
  <si>
    <t>Source: AvgWkndTraf_QMT_Mar07.xls, and AvgWkdyTraf_QMT_Mar07.xls, files provided by MTA to Brian Ketcham, Sept 1, 2008. Data above are from "InBound" and "OutBound" worksheet tabs, columns headed "Direction Total." Ratios are by Komanoff.</t>
  </si>
  <si>
    <t>"Note that we have weighted the results of the different vehicle types based on a typical light-duty fleet found in Southern California (based on the fleet mix of 2005)." (p. 8)</t>
  </si>
  <si>
    <r>
      <t xml:space="preserve">Non-cordon VMT in period, </t>
    </r>
    <r>
      <rPr>
        <i/>
        <sz val="9"/>
        <rFont val="Arial"/>
        <family val="2"/>
      </rPr>
      <t>inbound</t>
    </r>
    <r>
      <rPr>
        <sz val="9"/>
        <rFont val="Arial"/>
        <family val="2"/>
      </rPr>
      <t xml:space="preserve"> leg of trips</t>
    </r>
  </si>
  <si>
    <r>
      <t xml:space="preserve">Adjustment for Fringe Benefits </t>
    </r>
    <r>
      <rPr>
        <sz val="8"/>
        <rFont val="Arial"/>
        <family val="2"/>
      </rPr>
      <t>(ratio of Labor Total to Total Salary and Wages, above)</t>
    </r>
  </si>
  <si>
    <t>Estimated</t>
  </si>
  <si>
    <t>Toll (2005)</t>
  </si>
  <si>
    <t xml:space="preserve">Cross </t>
  </si>
  <si>
    <t>Products</t>
  </si>
  <si>
    <t>T O T A L</t>
  </si>
  <si>
    <t>Average:</t>
  </si>
  <si>
    <t>1. Average Toll Cost</t>
  </si>
  <si>
    <t>1-way toll</t>
  </si>
  <si>
    <t>Auto</t>
  </si>
  <si>
    <t>Final VMT Non Cordon (miles per day)</t>
  </si>
  <si>
    <t>kg</t>
  </si>
  <si>
    <t>Assumed parking cost for through-trips, % of mean for auto work and non-work:</t>
  </si>
  <si>
    <t>Location within that worksheet</t>
  </si>
  <si>
    <t>Box, "Weekday Toll Levels," near top of Cols. G &amp; H</t>
  </si>
  <si>
    <t>New ratio of trips in period to trips in earlier period</t>
  </si>
  <si>
    <t>New ratio of trips in period to trips in later period</t>
  </si>
  <si>
    <t>BUSES</t>
  </si>
  <si>
    <t>That is, the revealed price-elasticity of vehicle trips across the East River is (negative) 70%, indicating that East River vehicle trips are price-elastic.</t>
  </si>
  <si>
    <t>Actual</t>
  </si>
  <si>
    <t>for a Feb. Gotham Gazette article: &lt;http://www.gothamgazette.com/article/fea/20090209/202/2821&gt;</t>
  </si>
  <si>
    <t>Grams/mi</t>
  </si>
  <si>
    <r>
      <t xml:space="preserve">Product of taxicabs' % and total in "A" above (in effect, prorates medallion taxi entries reported in </t>
    </r>
    <r>
      <rPr>
        <b/>
        <sz val="8"/>
        <rFont val="Arial"/>
        <family val="2"/>
      </rPr>
      <t>Motor Vs</t>
    </r>
    <r>
      <rPr>
        <sz val="8"/>
        <rFont val="Arial"/>
        <family val="2"/>
      </rPr>
      <t xml:space="preserve"> by slight difference between total entries in "A" and those in </t>
    </r>
    <r>
      <rPr>
        <b/>
        <sz val="8"/>
        <rFont val="Arial"/>
        <family val="2"/>
      </rPr>
      <t>Motor Vs</t>
    </r>
    <r>
      <rPr>
        <sz val="8"/>
        <rFont val="Arial"/>
        <family val="2"/>
      </rPr>
      <t>).</t>
    </r>
  </si>
  <si>
    <r>
      <t xml:space="preserve">E. Daily vehicles eligible for tolling </t>
    </r>
    <r>
      <rPr>
        <sz val="8"/>
        <rFont val="Arial"/>
        <family val="2"/>
      </rPr>
      <t>(nets taxis in "D" from figures in "A").</t>
    </r>
  </si>
  <si>
    <t>S.I.</t>
  </si>
  <si>
    <t>Rows above and below are sums of respective figures in column blocks to right. See notes there.</t>
  </si>
  <si>
    <r>
      <t xml:space="preserve">% Subway trips occurring in period </t>
    </r>
    <r>
      <rPr>
        <sz val="9"/>
        <rFont val="Arial"/>
        <family val="2"/>
      </rPr>
      <t>(with toll and fare pricing)</t>
    </r>
  </si>
  <si>
    <t>(delay hrs caused by one extra trip in row shown)</t>
  </si>
  <si>
    <t>Price-elasticities play a major role in the BTA. They underlie the algorithms and formulae that predict (or calculate) changes in auto use and transit ridership in response to initiation of congestion pricing and possible changes in transit fares.</t>
  </si>
  <si>
    <t>Product of these two figures</t>
  </si>
  <si>
    <r>
      <t xml:space="preserve">Discussion: We approximate automobile fuel economy (mpg) as function of avg speed, from equation empirically derived by two U-C Riverside researchers based on observations of vehicle speeds and mpg's on Southern California freeways. (See </t>
    </r>
    <r>
      <rPr>
        <b/>
        <sz val="9"/>
        <rFont val="Arial"/>
        <family val="2"/>
      </rPr>
      <t>Speed-CO2</t>
    </r>
    <r>
      <rPr>
        <sz val="9"/>
        <rFont val="Arial"/>
        <family val="2"/>
      </rPr>
      <t xml:space="preserve"> worksheet, which cites their paper and shows CO2 emission rates and its reciprocal, miles per gallon, for wide range of speeds.) We apply the equation throughout this worksheet, but w/ </t>
    </r>
    <r>
      <rPr>
        <i/>
        <sz val="9"/>
        <rFont val="Arial"/>
        <family val="2"/>
      </rPr>
      <t>adjustment factors</t>
    </r>
    <r>
      <rPr>
        <sz val="9"/>
        <rFont val="Arial"/>
        <family val="2"/>
      </rPr>
      <t xml:space="preserve"> to reflect traffic signals and other factors that make stop-and-go driving far more frequent in NYC than in So. California; for example, fuel economy at 10 mpg on NYC streets is poorer than fuel economy at 10 mpg on California freeways.</t>
    </r>
  </si>
  <si>
    <r>
      <t>Gallons of gasoline</t>
    </r>
    <r>
      <rPr>
        <sz val="9"/>
        <rFont val="Arial"/>
        <family val="2"/>
      </rPr>
      <t xml:space="preserve"> (values for each trip mode's different periods are shown further to right; all trip distances are doubled to capture round-trips, except for taxicabs)</t>
    </r>
  </si>
  <si>
    <r>
      <t xml:space="preserve">Other </t>
    </r>
    <r>
      <rPr>
        <sz val="8"/>
        <rFont val="Arial"/>
        <family val="2"/>
      </rPr>
      <t>(perceived cost of tickets, incremental maint. crash costs, etc.)</t>
    </r>
  </si>
  <si>
    <t>For all deliveries, per day</t>
  </si>
  <si>
    <r>
      <t xml:space="preserve">Total delays from all FD deliveries in CBD, </t>
    </r>
    <r>
      <rPr>
        <u/>
        <sz val="9"/>
        <rFont val="Arial"/>
        <family val="2"/>
      </rPr>
      <t>hours</t>
    </r>
  </si>
  <si>
    <t>Delay cost from all FD deliveries in CBD</t>
  </si>
  <si>
    <t>For all deliveries, per year, millions of dollars</t>
  </si>
  <si>
    <t>Avg or Total</t>
  </si>
  <si>
    <t>Cost of delays due to FD</t>
  </si>
  <si>
    <r>
      <t xml:space="preserve">Delay from one FD delivery in CBD, </t>
    </r>
    <r>
      <rPr>
        <b/>
        <u/>
        <sz val="9"/>
        <rFont val="Arial"/>
        <family val="2"/>
      </rPr>
      <t>minutes</t>
    </r>
    <r>
      <rPr>
        <b/>
        <sz val="9"/>
        <rFont val="Arial"/>
        <family val="2"/>
      </rPr>
      <t xml:space="preserve"> / $</t>
    </r>
  </si>
  <si>
    <t>Source: AvgWkndTraf_TBM_Mar07.xls, and AvgWkdyTraf_TBM_Mar07.xls, files provided by MTA to Brian Ketcham, Sept 1, 2008. Data above are from "InBound" and "OutBound" worksheet tabs, columns headed "Direction Total." Ratios are by Komanoff.</t>
  </si>
  <si>
    <r>
      <t xml:space="preserve">Price-elasticity of subway ridership </t>
    </r>
    <r>
      <rPr>
        <sz val="8"/>
        <rFont val="Arial"/>
        <family val="2"/>
      </rPr>
      <t xml:space="preserve">(weighted average of work and non-work transit figures in </t>
    </r>
    <r>
      <rPr>
        <b/>
        <sz val="8"/>
        <rFont val="Arial"/>
        <family val="2"/>
      </rPr>
      <t>Elasticities</t>
    </r>
    <r>
      <rPr>
        <sz val="8"/>
        <rFont val="Arial"/>
        <family val="2"/>
      </rPr>
      <t xml:space="preserve"> worksheet)</t>
    </r>
  </si>
  <si>
    <t>Above, 6 a.m. - 6 p.m. only</t>
  </si>
  <si>
    <t>D. Changes in VMT on Approach Roads, due to Pricing</t>
  </si>
  <si>
    <r>
      <t xml:space="preserve">From </t>
    </r>
    <r>
      <rPr>
        <b/>
        <sz val="8"/>
        <rFont val="Arial"/>
        <family val="2"/>
      </rPr>
      <t>Motor Vs</t>
    </r>
    <r>
      <rPr>
        <sz val="8"/>
        <rFont val="Arial"/>
        <family val="2"/>
      </rPr>
      <t xml:space="preserve"> worksheet (repeated here in Part A)</t>
    </r>
  </si>
  <si>
    <t>Non-CBD miles in these trips</t>
  </si>
  <si>
    <t>2004 counts</t>
  </si>
  <si>
    <t>1997/98 NYMTC HIS</t>
  </si>
  <si>
    <t>work</t>
  </si>
  <si>
    <t xml:space="preserve">non-work </t>
  </si>
  <si>
    <t>total</t>
  </si>
  <si>
    <t>Intra-CBD</t>
  </si>
  <si>
    <t>To and from CBD</t>
  </si>
  <si>
    <t>Non-CBD</t>
  </si>
  <si>
    <t>Presumably is transit plus motor v. trips combined.</t>
  </si>
  <si>
    <t>Used in historical analysis</t>
  </si>
  <si>
    <t>Calculated as half of the cost increase that led trip-takers to eliminate the trips, i.e., that tipped each trip-taker's private cost-benefit calculus from the black into the red. The one-half factor is midpoint of the actual range of values, which is as little as .01 cents to as much as the entire cost increment.</t>
  </si>
  <si>
    <t>Higher traffic volumes generally result in lower traffic speeds, and vice-versa. Speed-Volume relationships are the mathematical expressions of that phenomenon. They are central to the BTA, since they are used to translate the predicted changes in traffic volumes from congestion pricing (and new transit fares) into estimated time savings. They also are used to establish baseline estimates of traffic speeds in the CBD.</t>
  </si>
  <si>
    <t>E</t>
  </si>
  <si>
    <t>D</t>
  </si>
  <si>
    <t>Annual Toll Revenues from All Crossings into the CBD, millions</t>
  </si>
  <si>
    <t>Sum of two prior rows.</t>
  </si>
  <si>
    <t xml:space="preserve">KEA estimates. </t>
  </si>
  <si>
    <r>
      <t xml:space="preserve">Discussion: Our tolls will alter traffic volumes in each time period, reducing them in most cases. Resulting gains in traffic speeds "re-attract" some trips that tolls discouraged. They will also induce some new trips made by time-sensitive drivers for whom shorter duration more than offsets tolls. We estimate this "rebound effect" by applying est'd driver "time elasticities" (sensitivity to trip durations) to the calculated shortening of trip durations for each trip trip type during each period. (Elasticities are shown in </t>
    </r>
    <r>
      <rPr>
        <b/>
        <sz val="9"/>
        <rFont val="Arial"/>
        <family val="2"/>
      </rPr>
      <t xml:space="preserve">Elasticities </t>
    </r>
    <r>
      <rPr>
        <sz val="9"/>
        <rFont val="Arial"/>
        <family val="2"/>
      </rPr>
      <t>worksheet.) However, just as reduced traffic in Round 1 ushers in new trips attracted by time savings, the subsequent changes (largely, increases) in traffic due to new trips will evoke their own rebound effects. These impacts are estimated in this next section. Subsequent sections repeat process until changes ("perturbations") from each round to next shrink to minimal levels, signaling that equilibrium has been reached. The traffic levels, speeds, durations, etc. in that round are, effectively, the final results.</t>
    </r>
  </si>
  <si>
    <t>(indicates rebound effect for intra-cordon trips, which are unaffected by toll)</t>
  </si>
  <si>
    <t>Same as above. Note that 25-June-2009 email from PR firm representing FreshDirect reported 140 trucks, 6,000-7,000 deliveries/day.</t>
  </si>
  <si>
    <t>Enter These Parking Costs by Toll Bin into the Proposed Toll Rates (in 'User Inputs' worksheet)</t>
  </si>
  <si>
    <t>Time ▪ Bus Boarding</t>
  </si>
  <si>
    <r>
      <t xml:space="preserve">Enviro </t>
    </r>
    <r>
      <rPr>
        <sz val="9"/>
        <rFont val="Arial"/>
        <family val="2"/>
      </rPr>
      <t>▪</t>
    </r>
    <r>
      <rPr>
        <sz val="9"/>
        <rFont val="Arial"/>
        <family val="2"/>
      </rPr>
      <t xml:space="preserve"> Crashes</t>
    </r>
  </si>
  <si>
    <t>Enviro ▪ Climate</t>
  </si>
  <si>
    <t>Enviro ▪ Noise</t>
  </si>
  <si>
    <t>Attached array feeds into bar chart below. Quantities are pulled from cells above.</t>
  </si>
  <si>
    <t>Enviro ▪ Air Quality</t>
  </si>
  <si>
    <t>Adjustment factor to normalize ridership to full fare</t>
  </si>
  <si>
    <r>
      <t xml:space="preserve">Note: </t>
    </r>
    <r>
      <rPr>
        <i/>
        <sz val="9"/>
        <color indexed="8"/>
        <rFont val="Arial"/>
        <family val="2"/>
      </rPr>
      <t xml:space="preserve">Tolls </t>
    </r>
    <r>
      <rPr>
        <sz val="9"/>
        <color indexed="8"/>
        <rFont val="Arial"/>
        <family val="2"/>
      </rPr>
      <t xml:space="preserve">in charging periods are easily varied (in </t>
    </r>
    <r>
      <rPr>
        <b/>
        <sz val="9"/>
        <color indexed="8"/>
        <rFont val="Arial"/>
        <family val="2"/>
      </rPr>
      <t>User Inputs</t>
    </r>
    <r>
      <rPr>
        <sz val="9"/>
        <color indexed="8"/>
        <rFont val="Arial"/>
        <family val="2"/>
      </rPr>
      <t xml:space="preserve"> worksheet), but </t>
    </r>
    <r>
      <rPr>
        <i/>
        <sz val="9"/>
        <color indexed="8"/>
        <rFont val="Arial"/>
        <family val="2"/>
      </rPr>
      <t>make-up of the periods</t>
    </r>
    <r>
      <rPr>
        <sz val="9"/>
        <color indexed="8"/>
        <rFont val="Arial"/>
        <family val="2"/>
      </rPr>
      <t>, i.e., hours in each, is fixed.</t>
    </r>
  </si>
  <si>
    <t>2. Auto Cordon Crossings, outbound -- Trips and VMT</t>
  </si>
  <si>
    <t>4. Total VMT in Cordon</t>
  </si>
  <si>
    <t>Ratio, average to L.I. figure</t>
  </si>
  <si>
    <t>Subway vs. Bus</t>
  </si>
  <si>
    <t>Fare, baseline</t>
  </si>
  <si>
    <t>Total time cost</t>
  </si>
  <si>
    <t>One Way</t>
  </si>
  <si>
    <t>Total trip cost, mean</t>
  </si>
  <si>
    <t>Trips into CBD eliminated, per day</t>
  </si>
  <si>
    <t>Each figure is daily trips x non-CBD miles, doubled (to capture outbound as well as inbound legs).</t>
  </si>
  <si>
    <t>(Calculation)</t>
  </si>
  <si>
    <t>Komanoff assumption, in lieu of input from NYC Transit, intended to balance ability to eliminate many positions with real-world challenges of retraining and redeploying current station agents.</t>
  </si>
  <si>
    <t>% of current fare collection cost that could be retained as savings, if fare eliminated</t>
  </si>
  <si>
    <t>Extracted from the Above table, for non-CBD trips into the CBD</t>
  </si>
  <si>
    <t>These numbers are from above table.</t>
  </si>
  <si>
    <t>These numbers are Komanoff assumptions</t>
  </si>
  <si>
    <t>Number of trips</t>
  </si>
  <si>
    <t>Car Occupancy Rates</t>
  </si>
  <si>
    <t>Number of Cars</t>
  </si>
  <si>
    <t>% of Combined</t>
  </si>
  <si>
    <t>formula 2: exponential</t>
  </si>
  <si>
    <t>USA</t>
  </si>
  <si>
    <t>NYS</t>
  </si>
  <si>
    <t>NYS prem.</t>
  </si>
  <si>
    <t>NYC prem.</t>
  </si>
  <si>
    <t>http://www.eia.doe.gov/oil_gas/petroleum/data_publications/wrgp/mogas_home_page.html</t>
  </si>
  <si>
    <t>Final breakout of trips, including baseline reduction</t>
  </si>
  <si>
    <t>Estimated total miles of different taxi fare trips (excludes cruising)</t>
  </si>
  <si>
    <r>
      <t xml:space="preserve">A. General Traffic Estimates (on 24-h weekend basis -- weekdays are calculated in </t>
    </r>
    <r>
      <rPr>
        <b/>
        <u/>
        <sz val="10"/>
        <rFont val="Arial"/>
        <family val="2"/>
      </rPr>
      <t>Motor Vs</t>
    </r>
    <r>
      <rPr>
        <b/>
        <sz val="10"/>
        <rFont val="Arial"/>
        <family val="2"/>
      </rPr>
      <t xml:space="preserve"> worksheet)</t>
    </r>
  </si>
  <si>
    <t>Daily weekend cordon VMT of m.v. trips into and out of cordon</t>
  </si>
  <si>
    <t>Change in Wghtd Avg over Original</t>
  </si>
  <si>
    <t>Calculated as ratio of "new" to "prior" durations of trips into cordon, raised to "time elasticity of vehicle travel" for bus trips</t>
  </si>
  <si>
    <t>Anticipated change in NYC VMT from proposed pricing measures.</t>
  </si>
  <si>
    <r>
      <t xml:space="preserve">From </t>
    </r>
    <r>
      <rPr>
        <b/>
        <sz val="8"/>
        <rFont val="Arial"/>
        <family val="2"/>
      </rPr>
      <t>VMT</t>
    </r>
    <r>
      <rPr>
        <sz val="8"/>
        <rFont val="Arial"/>
        <family val="2"/>
      </rPr>
      <t xml:space="preserve"> worksheet (see summary box in top section of worksheet).</t>
    </r>
  </si>
  <si>
    <t>Anticipated change in NYC motor vehicle crash costs</t>
  </si>
  <si>
    <t>NY State average 2006 premium, from table, Top Ten Most Expensive and Least Expensive States for Average Expenditures for Automobile Insurance, 2005, in http://www.iii.org/media/facts/statsbyissue/auto/.</t>
  </si>
  <si>
    <t>Adjustments to above cost to reflect NYC (instead of NYS) and 2008 (vs. 2006)</t>
  </si>
  <si>
    <r>
      <t xml:space="preserve">Sum of five borough shares in </t>
    </r>
    <r>
      <rPr>
        <b/>
        <sz val="8"/>
        <rFont val="Arial"/>
        <family val="2"/>
      </rPr>
      <t>Incidence</t>
    </r>
    <r>
      <rPr>
        <sz val="8"/>
        <rFont val="Arial"/>
        <family val="2"/>
      </rPr>
      <t xml:space="preserve"> worksheet (Part C).</t>
    </r>
  </si>
  <si>
    <t>Assumed % of NYC VMT accounted for by NYC-registered vehicles</t>
  </si>
  <si>
    <t>Anticipated per-vehicle change in VMT, for NYC-registered vehicles</t>
  </si>
  <si>
    <t>Share of per-vehicle VMT change assumed to be reflected in insurance rates</t>
  </si>
  <si>
    <t>Anticipated per-vehicle change in insurance premiums, %</t>
  </si>
  <si>
    <t>Anticipated per-vehicle change in insurance premiums</t>
  </si>
  <si>
    <r>
      <t xml:space="preserve">Average parking charges </t>
    </r>
    <r>
      <rPr>
        <sz val="8"/>
        <rFont val="Arial"/>
        <family val="2"/>
      </rPr>
      <t>(rates paid times percentage of trips that pay for parking)</t>
    </r>
  </si>
  <si>
    <t>Holland Tunnel</t>
  </si>
  <si>
    <r>
      <t xml:space="preserve">Toll Cost is derived in </t>
    </r>
    <r>
      <rPr>
        <b/>
        <sz val="8"/>
        <rFont val="Arial"/>
        <family val="2"/>
      </rPr>
      <t>Toll Rates</t>
    </r>
    <r>
      <rPr>
        <sz val="8"/>
        <rFont val="Arial"/>
        <family val="2"/>
      </rPr>
      <t xml:space="preserve"> worksheet.</t>
    </r>
  </si>
  <si>
    <t>Percentage of drivers who pay to park (at market rate)</t>
  </si>
  <si>
    <t>Park (avg)</t>
  </si>
  <si>
    <t>Per-mile Cost (perceived by drivers) of insurance, wear, maint. (1975)</t>
  </si>
  <si>
    <t>All crossings</t>
  </si>
  <si>
    <t>Speed-CO2</t>
  </si>
  <si>
    <t>Weekly U.S. Retail Gasoline Prices, Regular Grade (incl. all taxes), 2008</t>
  </si>
  <si>
    <t>3. Unique Features of the BTA</t>
  </si>
  <si>
    <t>5. A prior version of the Balanced Transportation Analyzer (BTA 1.0) …</t>
  </si>
  <si>
    <r>
      <t xml:space="preserve">This worksheet combines delay durations (measured in hours) per additional vehicle trip into the CBD, as estimated in the </t>
    </r>
    <r>
      <rPr>
        <b/>
        <sz val="9"/>
        <rFont val="Arial"/>
        <family val="2"/>
      </rPr>
      <t>Delays</t>
    </r>
    <r>
      <rPr>
        <sz val="9"/>
        <rFont val="Arial"/>
        <family val="2"/>
      </rPr>
      <t xml:space="preserve"> and </t>
    </r>
    <r>
      <rPr>
        <b/>
        <sz val="9"/>
        <rFont val="Arial"/>
        <family val="2"/>
      </rPr>
      <t>Delays Weekends</t>
    </r>
    <r>
      <rPr>
        <sz val="9"/>
        <rFont val="Arial"/>
        <family val="2"/>
      </rPr>
      <t xml:space="preserve"> worksheets, with estimates of the per-hour values of drivers' time derived in the </t>
    </r>
    <r>
      <rPr>
        <b/>
        <sz val="9"/>
        <rFont val="Arial"/>
        <family val="2"/>
      </rPr>
      <t>Value of Time</t>
    </r>
    <r>
      <rPr>
        <sz val="9"/>
        <rFont val="Arial"/>
        <family val="2"/>
      </rPr>
      <t xml:space="preserve"> and </t>
    </r>
    <r>
      <rPr>
        <b/>
        <sz val="9"/>
        <rFont val="Arial"/>
        <family val="2"/>
      </rPr>
      <t>Cost-Benefit</t>
    </r>
    <r>
      <rPr>
        <sz val="9"/>
        <rFont val="Arial"/>
        <family val="2"/>
      </rPr>
      <t xml:space="preserve"> worksheets, to calculate the dollar cost of aggregate delays imposed on other vehicle users due to one vehicle trip.</t>
    </r>
  </si>
  <si>
    <t>Delay costs per trip (rounded)</t>
  </si>
  <si>
    <t>Percentage of subway system weekday rides accounted for by trips entering/leaving/using CBD</t>
  </si>
  <si>
    <t>Revenue Change (all trips)</t>
  </si>
  <si>
    <t>Source: PCAC (Permanent Citizens Advisory Committee to the MTA) report, “Four Methods of Increasing Productivity in the MTA: Pass-Reader Fare Collection System, One-Person Train Operation, Signal Modernization, Articulated Bus,” prepared by Victor M. Lopez-Balboa, Oct. 1982, p. 3.</t>
  </si>
  <si>
    <t>Subway</t>
  </si>
  <si>
    <t>Bus</t>
  </si>
  <si>
    <t>C. Mode-shifting between autos and transit, as changes in the price of one lead to changes in use of the other.</t>
  </si>
  <si>
    <t>D. Time-of-day shifting for both modes, via algorithms that capture the propensity of drivers and transit users to shift travel times to take advantage of lower tolls or fares.</t>
  </si>
  <si>
    <t>Eastbound - Inbound</t>
  </si>
  <si>
    <t>Caused by FD trucks driving w/i CBD</t>
  </si>
  <si>
    <t>Caused by FD trucks driving outside CBD</t>
  </si>
  <si>
    <t>We prorate weekend impacts from weekday impacts in Part 2. This obviates the need for a similarly complex calculation and is commensurate with both the approximate nature of the exercise and the relatively small impacts on weekends (due to lesser weekend traffic, lesser weekend ticketing, and fewer weekend days).</t>
  </si>
  <si>
    <t>Ratio, proposed laws' additional annual congestion hours on weekends/holidays vs. weekdays</t>
  </si>
  <si>
    <t xml:space="preserve">% of CBD VMT </t>
  </si>
  <si>
    <t>coefficient for speed-density formula</t>
  </si>
  <si>
    <t>%'s of daily auto crossings into cordon in respective periods</t>
  </si>
  <si>
    <t>Hourly cordon entries (vehicles)</t>
  </si>
  <si>
    <r>
      <t>Cordon VMT from cordon entries</t>
    </r>
    <r>
      <rPr>
        <sz val="8"/>
        <rFont val="Arial"/>
        <family val="2"/>
      </rPr>
      <t xml:space="preserve"> </t>
    </r>
  </si>
  <si>
    <t>%'s of daily auto return trips from cordon in respective periods</t>
  </si>
  <si>
    <r>
      <t xml:space="preserve">Bus mpg's use additional adjustment factor shown in </t>
    </r>
    <r>
      <rPr>
        <b/>
        <sz val="9"/>
        <rFont val="Arial"/>
        <family val="2"/>
      </rPr>
      <t>Speed-CO2</t>
    </r>
    <r>
      <rPr>
        <sz val="9"/>
        <rFont val="Arial"/>
        <family val="2"/>
      </rPr>
      <t xml:space="preserve"> worksheet.</t>
    </r>
  </si>
  <si>
    <r>
      <t xml:space="preserve">Note: Cost figures shown for buses will probably </t>
    </r>
    <r>
      <rPr>
        <i/>
        <sz val="9"/>
        <color indexed="10"/>
        <rFont val="Arial"/>
        <family val="2"/>
      </rPr>
      <t xml:space="preserve">not </t>
    </r>
    <r>
      <rPr>
        <sz val="9"/>
        <color indexed="10"/>
        <rFont val="Arial"/>
        <family val="2"/>
      </rPr>
      <t>be used in estimating toll effect on bus travel.</t>
    </r>
  </si>
  <si>
    <t>Traffic-wghtd avg mph, 24h</t>
  </si>
  <si>
    <r>
      <t xml:space="preserve">Baseline </t>
    </r>
    <r>
      <rPr>
        <u/>
        <sz val="9"/>
        <rFont val="Arial"/>
        <family val="2"/>
      </rPr>
      <t>non-cordon speeds</t>
    </r>
    <r>
      <rPr>
        <sz val="9"/>
        <rFont val="Arial"/>
        <family val="2"/>
      </rPr>
      <t xml:space="preserve">, i.e., on approaches to (and from) CBD in NJ, Bklyn, Queens, Bronx and Upper Manhattan, are derived differently than cordon speeds. Whereas our cordon equation is derived from observations made on urban streets, our non-cordon equation is based on data for freeways and expressways. See </t>
    </r>
    <r>
      <rPr>
        <b/>
        <sz val="9"/>
        <rFont val="Arial"/>
        <family val="2"/>
      </rPr>
      <t>Speed-Volume, non-Cordon</t>
    </r>
    <r>
      <rPr>
        <sz val="9"/>
        <rFont val="Arial"/>
        <family val="2"/>
      </rPr>
      <t>, for details.</t>
    </r>
  </si>
  <si>
    <t>Early Shoulder</t>
  </si>
  <si>
    <t>Late Shoulder</t>
  </si>
  <si>
    <t>Shoulder 1</t>
  </si>
  <si>
    <t>Shoulder 2</t>
  </si>
  <si>
    <t>Midnight - 10 a.m.</t>
  </si>
  <si>
    <t>10 a.m. - Noon</t>
  </si>
  <si>
    <t>Noon - 5 p.m.</t>
  </si>
  <si>
    <t>5 p.m. - 8 p.m.</t>
  </si>
  <si>
    <t>8 p.m. - 10 p.m.</t>
  </si>
  <si>
    <t>10 p.m.-Midnight</t>
  </si>
  <si>
    <r>
      <t xml:space="preserve">A technical note, </t>
    </r>
    <r>
      <rPr>
        <sz val="9"/>
        <rFont val="Arial"/>
        <family val="2"/>
      </rPr>
      <t>regarding an apparent (slight) underestimation of baseline vehicle speeds on weekends:</t>
    </r>
  </si>
  <si>
    <t>Average size of truck's region (acres)</t>
  </si>
  <si>
    <t>2008 sales</t>
  </si>
  <si>
    <t>$215 million</t>
  </si>
  <si>
    <t>2009 sales</t>
  </si>
  <si>
    <t>$240 million</t>
  </si>
  <si>
    <t># of frequent users</t>
  </si>
  <si>
    <t>Average purchase</t>
  </si>
  <si>
    <t>Deliveries per day</t>
  </si>
  <si>
    <t>Number of vehicles (trucks)</t>
  </si>
  <si>
    <t>G</t>
  </si>
  <si>
    <t>H</t>
  </si>
  <si>
    <t>I</t>
  </si>
  <si>
    <t>K</t>
  </si>
  <si>
    <t>Row below is sum of respective figures in column blocks to riight.</t>
  </si>
  <si>
    <t>Cordon VMT from outbound cordon-crossing trips</t>
  </si>
  <si>
    <t>Important Note</t>
  </si>
  <si>
    <t>B. Central Business District VMT (weekdays)</t>
  </si>
  <si>
    <t>Ratio of previous VMT to VMT at top of this stack</t>
  </si>
  <si>
    <t>% Other CBD VMT (trucks, buses, taxi circulation, non-cordon-crossing autos)</t>
  </si>
  <si>
    <t>Weighted average of all medallion taxi fare trips</t>
  </si>
  <si>
    <r>
      <t xml:space="preserve">Intra-CBD fare trips </t>
    </r>
    <r>
      <rPr>
        <sz val="8"/>
        <rFont val="Arial"/>
        <family val="2"/>
      </rPr>
      <t>(careful: prorated from block at left)</t>
    </r>
  </si>
  <si>
    <t xml:space="preserve">Or, conversely, must be multiplied by </t>
  </si>
  <si>
    <t>Toll levels below are generated from levels specified in box above. DO NOT CHANGE FROM HERE.</t>
  </si>
  <si>
    <r>
      <t xml:space="preserve">Komanoff assumption. Intended to reflect expectation that walking will increase more than cycling in absolute amounts, while each mile walked adds somewhat less to health than a mile cycled. It would be highly desirable to derive an independent estimate of increased walking and the associated longevity benefits, but that was not possible within the scope of this study, thus necessitating the gross approximation employed here. Note that the exercise value of both cycling and walking transcends improved longevity and includes greater all-around wellness. As the editor of </t>
    </r>
    <r>
      <rPr>
        <i/>
        <sz val="8"/>
        <rFont val="Arial"/>
        <family val="2"/>
      </rPr>
      <t xml:space="preserve">Nature Neuroscience, </t>
    </r>
    <r>
      <rPr>
        <sz val="8"/>
        <rFont val="Arial"/>
        <family val="2"/>
      </rPr>
      <t>Sandra Aamodt</t>
    </r>
    <r>
      <rPr>
        <i/>
        <sz val="8"/>
        <rFont val="Arial"/>
        <family val="2"/>
      </rPr>
      <t>,</t>
    </r>
    <r>
      <rPr>
        <sz val="8"/>
        <rFont val="Arial"/>
        <family val="2"/>
      </rPr>
      <t xml:space="preserve"> wrote in The New York Times on Nov. 8, 2007, “exercise improves what scientists call ‘executive function,’ the set of abilities that allows you to select behavior that's appropriate to the situation.” (Exercise on the Brain, http://www.nytimes.com/2007/11/08/opinion/08aamodt.html)</t>
    </r>
  </si>
  <si>
    <r>
      <t xml:space="preserve">Agency Costs and Benefits </t>
    </r>
    <r>
      <rPr>
        <sz val="9"/>
        <rFont val="Arial"/>
        <family val="2"/>
      </rPr>
      <t xml:space="preserve">are derived primarily in </t>
    </r>
    <r>
      <rPr>
        <b/>
        <sz val="9"/>
        <rFont val="Arial"/>
        <family val="2"/>
      </rPr>
      <t xml:space="preserve">Revenue </t>
    </r>
    <r>
      <rPr>
        <sz val="9"/>
        <rFont val="Arial"/>
        <family val="2"/>
      </rPr>
      <t>worksheet. The remainder of this worksheet derives eight classes of economic, social and environmental costs and benefits.</t>
    </r>
  </si>
  <si>
    <t>NYC population, 2006</t>
  </si>
  <si>
    <t>U.S. population, 2006</t>
  </si>
  <si>
    <t>Accessed 22-Oct-07 from http://factfinder.census.gov/home/saff/main.html?_lang=en (Search: "New York City" or "United States," respectively)</t>
  </si>
  <si>
    <t>Deliveries</t>
  </si>
  <si>
    <t>http://www.nytimes.com/2009/04/25/nyregion/25fresh.html</t>
  </si>
  <si>
    <t>Deliveries per vehicle (calculated)</t>
  </si>
  <si>
    <t>Google Maps</t>
  </si>
  <si>
    <t>CBD Crossing Times</t>
  </si>
  <si>
    <t>Enter</t>
  </si>
  <si>
    <t>Leave</t>
  </si>
  <si>
    <t>1:30pm</t>
  </si>
  <si>
    <t>12pm</t>
  </si>
  <si>
    <t>7am</t>
  </si>
  <si>
    <t>9pm</t>
  </si>
  <si>
    <t>Acres in cordon</t>
  </si>
  <si>
    <t>Manhattan delivery trucks</t>
  </si>
  <si>
    <t>We perform two sets of calculations:</t>
  </si>
  <si>
    <t>Part A treats all motor vehicles entering the CBD as having equal congestion "causation."</t>
  </si>
  <si>
    <t>Revenue Calculations (weekends and holidays only)</t>
  </si>
  <si>
    <t>Delay hrs, rnd-trip but non-cordon only, in period shown</t>
  </si>
  <si>
    <t>Now attempt to derive annual fully-loaded cost for token booth clerks</t>
  </si>
  <si>
    <t xml:space="preserve">  Starting</t>
  </si>
  <si>
    <t xml:space="preserve">  After 3 years</t>
  </si>
  <si>
    <t>NOx</t>
  </si>
  <si>
    <t>Fit to 2nd order polynomial: coefficients</t>
  </si>
  <si>
    <t>Script Area - Don't Touch</t>
  </si>
  <si>
    <t>Period exits after our tolls, reflecting rebound effect</t>
  </si>
  <si>
    <t xml:space="preserve">Before our tolls </t>
  </si>
  <si>
    <t xml:space="preserve">After our tolls </t>
  </si>
  <si>
    <t>Total Cordon VMT with our tolls, before rebound effect</t>
  </si>
  <si>
    <t>As reported by CARB, "The EMission FACtors (EMFAC) model is used to calculate emission rates from all motor vehicles, such as passenger cars to heavy-duty trucks, operating on highways, freeways and local roads in California. EMFAC2007 is the most recent version of this model." (See http://www.arb.ca.gov/msei/onroad/latest_version.htm.)</t>
  </si>
  <si>
    <t>x^1</t>
  </si>
  <si>
    <t>x^0</t>
  </si>
  <si>
    <t>PM10</t>
  </si>
  <si>
    <t>EMFAC2007 V2.3</t>
  </si>
  <si>
    <t>Speed (MPH)</t>
  </si>
  <si>
    <t>TOG</t>
  </si>
  <si>
    <t>CO</t>
  </si>
  <si>
    <t>Vehicle resting time before trip (mins)</t>
  </si>
  <si>
    <t>EMFAC results</t>
  </si>
  <si>
    <t>Scenario Year: 2009 - All Model Years 1965-2009</t>
  </si>
  <si>
    <r>
      <t xml:space="preserve">Product of total auto work trips above, times percentages of total daily outbound trips in respective periods in </t>
    </r>
    <r>
      <rPr>
        <b/>
        <sz val="8"/>
        <rFont val="Arial"/>
        <family val="2"/>
      </rPr>
      <t>By Hours</t>
    </r>
    <r>
      <rPr>
        <sz val="8"/>
        <rFont val="Arial"/>
        <family val="2"/>
      </rPr>
      <t xml:space="preserve"> worksheet.</t>
    </r>
  </si>
  <si>
    <t>Part 4: Apportion VMT within the Manhattan CBD by Vehicle Type and Calculate Weighted Average Value of CBD Travel Time</t>
  </si>
  <si>
    <t>Car thru-trip</t>
  </si>
  <si>
    <t>Part 6: Apportion VMT outside the Manhattan CBD by Vehicle Type and Calculate Weighted Average Value of non-CBD Travel Time</t>
  </si>
  <si>
    <t>Each hour's breakdown into work, non-work and thru trips, if those %'s were invariant w/r/t hour:</t>
  </si>
  <si>
    <t>Thru</t>
  </si>
  <si>
    <t>Thru trip% of Thru Tot.</t>
  </si>
  <si>
    <t>Non-wk % auto</t>
  </si>
  <si>
    <t>Work % auto</t>
  </si>
  <si>
    <t>Thru % auto</t>
  </si>
  <si>
    <t>We measure the acreage of Times Square as the sum of the square footage of five trapezoids, each bounded by Broadway and 7th Avenue, and by successive streets (e.g., 47th to 46th Street), using the "outer" dimensions. "Base 1" and "Base 2" denote the bases of the respective trapezoids.</t>
  </si>
  <si>
    <t>Decrease (increase) in autos driven to CBD due to subway non-work-trip price and duration changes</t>
  </si>
  <si>
    <r>
      <t xml:space="preserve">Invokes average non-work-trip vehicle occupancy from </t>
    </r>
    <r>
      <rPr>
        <b/>
        <sz val="8"/>
        <rFont val="Arial"/>
        <family val="2"/>
      </rPr>
      <t xml:space="preserve">H.I.S. </t>
    </r>
    <r>
      <rPr>
        <sz val="8"/>
        <rFont val="Arial"/>
        <family val="2"/>
      </rPr>
      <t>worksheet.</t>
    </r>
  </si>
  <si>
    <t>Total decrease (increase) in autos driven to CBD due to subway price and duration changes</t>
  </si>
  <si>
    <t>Non-cordon</t>
  </si>
  <si>
    <t>Number of motor vehicles registered in NYC</t>
  </si>
  <si>
    <t>Komanoff placeholder estimate.</t>
  </si>
  <si>
    <t>Override Factor</t>
  </si>
  <si>
    <r>
      <t xml:space="preserve">Traffic-Rbnd Factors for non-cordon travel for next round </t>
    </r>
    <r>
      <rPr>
        <sz val="8"/>
        <rFont val="Arial"/>
        <family val="2"/>
      </rPr>
      <t>(ditto)</t>
    </r>
  </si>
  <si>
    <t xml:space="preserve">Traffic-Rebound Factors for cordon entries for next round </t>
  </si>
  <si>
    <t>LONG ISLAND</t>
  </si>
  <si>
    <t>MID HUDSON</t>
  </si>
  <si>
    <t>Sullivan</t>
  </si>
  <si>
    <t>Vehicle entries switched from period into earlier period due to tolls</t>
  </si>
  <si>
    <t>Vehicle entries switched from period into later period due to tolls</t>
  </si>
  <si>
    <t>A.M. Pre-pk</t>
  </si>
  <si>
    <t>A.M. Post-pk</t>
  </si>
  <si>
    <t>Midday Pk</t>
  </si>
  <si>
    <t>P.M. Post-pk</t>
  </si>
  <si>
    <t>11 pm - 5 am</t>
  </si>
  <si>
    <t>5 am - 6 am</t>
  </si>
  <si>
    <t>6 am - 9 am</t>
  </si>
  <si>
    <t>9 am - 10 am</t>
  </si>
  <si>
    <t>10 am - 2 pm</t>
  </si>
  <si>
    <t xml:space="preserve">2 pm - 8 pm </t>
  </si>
  <si>
    <t>8 pm - 11 pm</t>
  </si>
  <si>
    <r>
      <t xml:space="preserve">Non-cordon VMT in period, </t>
    </r>
    <r>
      <rPr>
        <i/>
        <sz val="9"/>
        <rFont val="Arial"/>
        <family val="2"/>
      </rPr>
      <t>outbound</t>
    </r>
    <r>
      <rPr>
        <sz val="9"/>
        <rFont val="Arial"/>
        <family val="2"/>
      </rPr>
      <t xml:space="preserve"> leg of trips</t>
    </r>
  </si>
  <si>
    <t>Total Charging Costs, Weekdays</t>
  </si>
  <si>
    <t>This worksheet applies statistical linear regression to historical data to infer the price-elasticity of motor vehicle trips across the East River.</t>
  </si>
  <si>
    <t>Assumed ratio of longevity value from increased walking to increased cycling</t>
  </si>
  <si>
    <t>% of revenue from frequent users</t>
  </si>
  <si>
    <t>Hours spent in traffic with new speeds</t>
  </si>
  <si>
    <t>The TSCRP report did not provide values for these.</t>
  </si>
  <si>
    <t>2006 figure, from http://www.mta.info/nyct/facts/ffbus.htm.</t>
  </si>
  <si>
    <r>
      <t xml:space="preserve">Speeds </t>
    </r>
    <r>
      <rPr>
        <sz val="8"/>
        <rFont val="Arial"/>
        <family val="2"/>
      </rPr>
      <t>(employ respective speed-volume relationships noted in earlier sections)</t>
    </r>
  </si>
  <si>
    <t>Each array element is respective share of inbound auto trip types (work, non-work, thru) occurring in the respective pricing bins.</t>
  </si>
  <si>
    <t>Miles per auto trip that switch to bus</t>
  </si>
  <si>
    <t>Same as above, arterials</t>
  </si>
  <si>
    <t>Arterials were priced at one-half freeways (per mile) in PSRC experiment.</t>
  </si>
  <si>
    <t>Work-trip % of Daily Total</t>
  </si>
  <si>
    <r>
      <t xml:space="preserve">Before rebound effect </t>
    </r>
    <r>
      <rPr>
        <sz val="8"/>
        <rFont val="Arial"/>
        <family val="2"/>
      </rPr>
      <t>(repeated from above)</t>
    </r>
  </si>
  <si>
    <t>Total Cordon VMT before third rebound effect</t>
  </si>
  <si>
    <t>Difference in number of hours in traffic within cordon, as a result of hypothesized additional vehicles</t>
  </si>
  <si>
    <t>Difference in number of hours in traffic outside cordon, as a result of hypothesized additional vehicles</t>
  </si>
  <si>
    <t>3. Within and Outside Cordon, combined</t>
  </si>
  <si>
    <t>Share of delay experienced in area:</t>
  </si>
  <si>
    <r>
      <t xml:space="preserve">Final breakout </t>
    </r>
    <r>
      <rPr>
        <i/>
        <sz val="9"/>
        <rFont val="Arial"/>
        <family val="2"/>
      </rPr>
      <t>with</t>
    </r>
    <r>
      <rPr>
        <sz val="9"/>
        <rFont val="Arial"/>
        <family val="2"/>
      </rPr>
      <t xml:space="preserve"> added cars</t>
    </r>
  </si>
  <si>
    <r>
      <t xml:space="preserve">VMT in period </t>
    </r>
    <r>
      <rPr>
        <sz val="9"/>
        <rFont val="Arial"/>
        <family val="2"/>
      </rPr>
      <t>(sum of figures in two previous rows)</t>
    </r>
  </si>
  <si>
    <r>
      <t xml:space="preserve">2. Outside Cordon </t>
    </r>
    <r>
      <rPr>
        <sz val="8"/>
        <rFont val="Arial"/>
        <family val="2"/>
      </rPr>
      <t/>
    </r>
  </si>
  <si>
    <t>Non-Work Totals</t>
  </si>
  <si>
    <t>Grand Total by Mode of Travel</t>
  </si>
  <si>
    <t>Long Island</t>
  </si>
  <si>
    <t>North of NYC</t>
  </si>
  <si>
    <t>West of Hudson R.</t>
  </si>
  <si>
    <t xml:space="preserve">Total </t>
  </si>
  <si>
    <t>Source: NYMTC 1997/98 Household Interview Survey</t>
  </si>
  <si>
    <t>%       Mass Transit</t>
  </si>
  <si>
    <t>Same data reformatted to estimate tolls now paid by drivers</t>
  </si>
  <si>
    <t>Combined</t>
  </si>
  <si>
    <t>(taxis excluded)</t>
  </si>
  <si>
    <t>Weekday subway riders to CBD</t>
  </si>
  <si>
    <t>Percent change in Annual Revenue (weekdays)</t>
  </si>
  <si>
    <t>Annual increase (weekdays + weekends)</t>
  </si>
  <si>
    <t>To convert to average truck, multiply by:</t>
  </si>
  <si>
    <t>To convert to avg passenger car, mult. by:</t>
  </si>
  <si>
    <t>3. Breakdown of Subway trips according to their relationship to the CBD cordon.</t>
  </si>
  <si>
    <t>Outside-cordon part of trip exit, minutes (one-way)</t>
  </si>
  <si>
    <t>Change in Auto Volume per Change in Transit  Volume caused by change in Transit Cost</t>
  </si>
  <si>
    <t>[f(x) - f(0)]/x</t>
  </si>
  <si>
    <t xml:space="preserve">x </t>
  </si>
  <si>
    <t>A. Daily vehicle volume entering CBD, 2007</t>
  </si>
  <si>
    <t>Toll collection operating costs + annualized capital cost.</t>
  </si>
  <si>
    <t>Provided or reimbursed parking</t>
  </si>
  <si>
    <r>
      <t xml:space="preserve">Note: Truck toll is set in </t>
    </r>
    <r>
      <rPr>
        <b/>
        <sz val="9"/>
        <rFont val="Arial"/>
        <family val="2"/>
      </rPr>
      <t>User Inputs</t>
    </r>
    <r>
      <rPr>
        <sz val="9"/>
        <rFont val="Arial"/>
        <family val="2"/>
      </rPr>
      <t xml:space="preserve"> worksheet to be a constant multiple of auto toll. That figure is a "proxy" for the ratio of the average truck toll to the car toll, since truck tolls will be graduated with the number of axles. Below, we show the toll schedule for autos and the various truck sizes for the major crossings of the MTA Bridges &amp; Tunnels. As the table makes clear, MTA truck tolls as a multiple of auto tolls range from just under two to almost seven.</t>
    </r>
  </si>
  <si>
    <t>Each-Way Toll Schedule for:</t>
  </si>
  <si>
    <t>Percent of wghtd average non-CBD trip distance</t>
  </si>
  <si>
    <t>The Bronx</t>
  </si>
  <si>
    <t>Source: TSTC Analysis of 2000 Census Transportation Planning Package</t>
  </si>
  <si>
    <t>Value of NYers' increased longevity from greater cycling due to less VMT</t>
  </si>
  <si>
    <t>P.M. Peak</t>
  </si>
  <si>
    <t>Midday Peak</t>
  </si>
  <si>
    <t>Average weekday bus ridership (local buses)</t>
  </si>
  <si>
    <t>and:</t>
  </si>
  <si>
    <t xml:space="preserve">T = </t>
  </si>
  <si>
    <r>
      <t xml:space="preserve"> that was derived in </t>
    </r>
    <r>
      <rPr>
        <b/>
        <sz val="9"/>
        <rFont val="Arial"/>
        <family val="2"/>
      </rPr>
      <t>Delays</t>
    </r>
    <r>
      <rPr>
        <sz val="9"/>
        <rFont val="Arial"/>
        <family val="2"/>
      </rPr>
      <t xml:space="preserve"> and is shown above.</t>
    </r>
  </si>
  <si>
    <t xml:space="preserve">The value just derived for C, </t>
  </si>
  <si>
    <t xml:space="preserve">Thus, the delay costs in Part A must be multiplied by </t>
  </si>
  <si>
    <t>We do this directly below.</t>
  </si>
  <si>
    <r>
      <t xml:space="preserve">Note: We hope in future to estimate separately the prospective increases in cycling </t>
    </r>
    <r>
      <rPr>
        <i/>
        <sz val="9"/>
        <rFont val="Arial"/>
        <family val="2"/>
      </rPr>
      <t>within</t>
    </r>
    <r>
      <rPr>
        <sz val="9"/>
        <rFont val="Arial"/>
        <family val="2"/>
      </rPr>
      <t xml:space="preserve"> and </t>
    </r>
    <r>
      <rPr>
        <i/>
        <sz val="9"/>
        <rFont val="Arial"/>
        <family val="2"/>
      </rPr>
      <t>outside</t>
    </r>
    <r>
      <rPr>
        <sz val="9"/>
        <rFont val="Arial"/>
        <family val="2"/>
      </rPr>
      <t xml:space="preserve"> the CBD, to better capture the considerable differences in VMT impacts and cycling potential between the two areas.</t>
    </r>
  </si>
  <si>
    <t>Passenger Value, vis-à-vis driver of the vehicle</t>
  </si>
  <si>
    <t>Driver's Time Value, vis-à-vis air passenger</t>
  </si>
  <si>
    <t xml:space="preserve">Further division of trucks into three subgroups: </t>
  </si>
  <si>
    <t>Car work</t>
  </si>
  <si>
    <t>Car non-wk</t>
  </si>
  <si>
    <t>Car thru</t>
  </si>
  <si>
    <t>Van / small truck</t>
  </si>
  <si>
    <t>Source: 2006 Manhattan River Crossings, NYC DOT, April 2008, http://www.nyc.gov/html/dot/downloads/pdf/manrivercross06.pdf, p. 24, re-normalized using weekend/weekday ratios on Queens Midtown Tunnel and Tri-borough Bridge crossings into Manhattan.</t>
  </si>
  <si>
    <t>This worksheet estimates the savings in administrative and personnel costs from eliminating fares on NYC Transit buses and, perhaps, subways, as part of the plan to reduce/eliminate transit fares.</t>
  </si>
  <si>
    <t>TOTALS</t>
  </si>
  <si>
    <t>Revised Rail/Ferry</t>
  </si>
  <si>
    <r>
      <t xml:space="preserve">Both rows are taken from </t>
    </r>
    <r>
      <rPr>
        <b/>
        <sz val="8"/>
        <rFont val="Arial"/>
        <family val="2"/>
      </rPr>
      <t>Motor Vs.</t>
    </r>
  </si>
  <si>
    <r>
      <t xml:space="preserve">Calculated as 2x cordon entries times cordon miles per entry (all figures are doubled to account for return journeys, except that taxicabs use an outgoing-trip factor less than one (see </t>
    </r>
    <r>
      <rPr>
        <b/>
        <sz val="8"/>
        <rFont val="Arial"/>
        <family val="2"/>
      </rPr>
      <t>Taxis</t>
    </r>
    <r>
      <rPr>
        <sz val="8"/>
        <rFont val="Arial"/>
        <family val="2"/>
      </rPr>
      <t>).</t>
    </r>
  </si>
  <si>
    <t>Select period via pull-down menu on cell below.</t>
  </si>
  <si>
    <t>(Komanoff assumption)</t>
  </si>
  <si>
    <r>
      <t xml:space="preserve">Worksheet </t>
    </r>
    <r>
      <rPr>
        <b/>
        <sz val="8"/>
        <rFont val="Helvetica"/>
      </rPr>
      <t>(in which $$ calc'd)</t>
    </r>
  </si>
  <si>
    <t>3. "Ripple" effects such as safety in numbers (increased cycling reduces its dangers, thus attracting more cycling).</t>
  </si>
  <si>
    <t>After considering various approaches, we chose to (1) calculate the probability that a trip will shift in one fashion or another, i.e., whether by time-shifting or "disappearing"; and (2) assign these changed trips among trip disappearance, shifting earlier, and shifting later, in proportion to the relative magnitudes of the three independent probabilities.</t>
  </si>
  <si>
    <t>X Variable 1</t>
  </si>
  <si>
    <t>X Variable 2</t>
  </si>
  <si>
    <t>1. Auto Cordon Crossings, inbound -- Trips and VMT</t>
  </si>
  <si>
    <t>Reciprocal of cordon speeds</t>
  </si>
  <si>
    <t>Represents aggregate delays to all drivers due to one driver's additional trip into CBD.</t>
  </si>
  <si>
    <r>
      <t>Non-CBD miles for average trip (one way)</t>
    </r>
    <r>
      <rPr>
        <sz val="8"/>
        <rFont val="Arial"/>
        <family val="2"/>
      </rPr>
      <t xml:space="preserve"> (total miles minus CBD miles)</t>
    </r>
  </si>
  <si>
    <t>Estimated daily weekday VMT of all m.v. trips occuring entirely within cordon (i.e., trips that don't cross cordon)</t>
  </si>
  <si>
    <r>
      <t xml:space="preserve">B. Vehicle Hours in Traffic within Cordon </t>
    </r>
    <r>
      <rPr>
        <sz val="9"/>
        <rFont val="Arial"/>
        <family val="2"/>
      </rPr>
      <t>(per weekday)</t>
    </r>
  </si>
  <si>
    <t>Auto+Taxi Total</t>
  </si>
  <si>
    <t>Work Totals</t>
  </si>
  <si>
    <t>Part 1 -- Relative Impacts of Weekdays vs. Weekends (and Holidays)</t>
  </si>
  <si>
    <t xml:space="preserve">VMT of leaving-cordon taxi trips as % of VMT of entering-cordon trips </t>
  </si>
  <si>
    <r>
      <t xml:space="preserve">Each of the seven values in the next row is the sum of entries for corresponding hours in </t>
    </r>
    <r>
      <rPr>
        <b/>
        <sz val="8"/>
        <rFont val="Arial"/>
        <family val="2"/>
      </rPr>
      <t>Subways</t>
    </r>
    <r>
      <rPr>
        <sz val="8"/>
        <rFont val="Arial"/>
        <family val="2"/>
      </rPr>
      <t xml:space="preserve"> worksheet, Section 4. The sum, in Col. N, is then allocated to the corresponding sum columns for Work, Non-Work and Through Trips, based on their shares of total m.v. trips into the CBD. Those sums are then allocated to each of the seven time periods according to the periods' shares of 24-h trips. This procedure is performed on both work and non-work trips.</t>
    </r>
  </si>
  <si>
    <t>Decrs in cordon entries due to non-wk trips attracted by subways</t>
  </si>
  <si>
    <t>Westchester</t>
  </si>
  <si>
    <t>Putnam</t>
  </si>
  <si>
    <t>New Haven</t>
  </si>
  <si>
    <t>Dutchess</t>
  </si>
  <si>
    <t>Fairfield</t>
  </si>
  <si>
    <t>Bergen</t>
  </si>
  <si>
    <t>Rockland</t>
  </si>
  <si>
    <t>Orange</t>
  </si>
  <si>
    <t>Passaic</t>
  </si>
  <si>
    <t>% of 24-h volume that occurs in respective period</t>
  </si>
  <si>
    <t>Our price-elasticity model predicts that X% of auto trips in a given period will disappear in the face of the higher cost to drive with the toll; our time-switching algorithm (detailed above) predicts that Y% of auto trips in the same period will shift to another period. How shall the two tendencies be modeled together in a way that reflects their simultaneous impacts?</t>
  </si>
  <si>
    <r>
      <t xml:space="preserve">This worksheet compiles societal costs and benefits of pricing scenario selected by user in </t>
    </r>
    <r>
      <rPr>
        <b/>
        <sz val="9"/>
        <rFont val="Arial"/>
        <family val="2"/>
      </rPr>
      <t>Summary</t>
    </r>
    <r>
      <rPr>
        <sz val="9"/>
        <rFont val="Arial"/>
        <family val="2"/>
      </rPr>
      <t xml:space="preserve"> and </t>
    </r>
    <r>
      <rPr>
        <b/>
        <sz val="9"/>
        <rFont val="Arial"/>
        <family val="2"/>
      </rPr>
      <t>User Inputs</t>
    </r>
    <r>
      <rPr>
        <sz val="9"/>
        <rFont val="Arial"/>
        <family val="2"/>
      </rPr>
      <t>.</t>
    </r>
  </si>
  <si>
    <r>
      <t xml:space="preserve">Input assumptions underlying results in graph are shown in </t>
    </r>
    <r>
      <rPr>
        <b/>
        <sz val="9"/>
        <rFont val="Arial"/>
        <family val="2"/>
      </rPr>
      <t xml:space="preserve">User Inputs </t>
    </r>
    <r>
      <rPr>
        <sz val="9"/>
        <rFont val="Arial"/>
        <family val="2"/>
      </rPr>
      <t>worksheet. Explanatory notes are omitted in most cases where values are derived from other worksheets.</t>
    </r>
  </si>
  <si>
    <r>
      <t xml:space="preserve">Toll levels at left feed directly into tolls for each hour, shown in "Toll" column below. They strongly affect the traffic changes calculated in </t>
    </r>
    <r>
      <rPr>
        <b/>
        <sz val="8"/>
        <color indexed="12"/>
        <rFont val="Arial"/>
        <family val="2"/>
      </rPr>
      <t>Motor Vs</t>
    </r>
    <r>
      <rPr>
        <sz val="8"/>
        <color indexed="12"/>
        <rFont val="Arial"/>
        <family val="2"/>
      </rPr>
      <t xml:space="preserve"> worksheet. </t>
    </r>
    <r>
      <rPr>
        <b/>
        <sz val="8"/>
        <color indexed="12"/>
        <rFont val="Arial"/>
        <family val="2"/>
      </rPr>
      <t xml:space="preserve">User may change </t>
    </r>
    <r>
      <rPr>
        <sz val="8"/>
        <color indexed="12"/>
        <rFont val="Arial"/>
        <family val="2"/>
      </rPr>
      <t xml:space="preserve">by replacing toll levels shown with his/her own. Do so in </t>
    </r>
    <r>
      <rPr>
        <b/>
        <sz val="8"/>
        <color indexed="12"/>
        <rFont val="Arial"/>
        <family val="2"/>
      </rPr>
      <t>User Inputs</t>
    </r>
    <r>
      <rPr>
        <sz val="8"/>
        <color indexed="12"/>
        <rFont val="Arial"/>
        <family val="2"/>
      </rPr>
      <t xml:space="preserve"> worksheet, rather than here.</t>
    </r>
  </si>
  <si>
    <r>
      <t xml:space="preserve">Toll levels at left feed directly into tolls for each hour, shown in "Toll" column below. They affect the traffic changes calculated in </t>
    </r>
    <r>
      <rPr>
        <b/>
        <sz val="8"/>
        <color indexed="12"/>
        <rFont val="Arial"/>
        <family val="2"/>
      </rPr>
      <t>Motor Vs</t>
    </r>
    <r>
      <rPr>
        <sz val="8"/>
        <color indexed="12"/>
        <rFont val="Arial"/>
        <family val="2"/>
      </rPr>
      <t xml:space="preserve"> </t>
    </r>
    <r>
      <rPr>
        <b/>
        <sz val="8"/>
        <color indexed="12"/>
        <rFont val="Arial"/>
        <family val="2"/>
      </rPr>
      <t xml:space="preserve">Weekends </t>
    </r>
    <r>
      <rPr>
        <sz val="8"/>
        <color indexed="12"/>
        <rFont val="Arial"/>
        <family val="2"/>
      </rPr>
      <t xml:space="preserve">worksheet. </t>
    </r>
    <r>
      <rPr>
        <u/>
        <sz val="8"/>
        <color indexed="12"/>
        <rFont val="Arial"/>
        <family val="2"/>
      </rPr>
      <t>User may change</t>
    </r>
    <r>
      <rPr>
        <b/>
        <sz val="8"/>
        <color indexed="12"/>
        <rFont val="Arial"/>
        <family val="2"/>
      </rPr>
      <t xml:space="preserve"> </t>
    </r>
    <r>
      <rPr>
        <sz val="8"/>
        <color indexed="12"/>
        <rFont val="Arial"/>
        <family val="2"/>
      </rPr>
      <t xml:space="preserve">by replacing toll levels shown with his/her own. Do so in </t>
    </r>
    <r>
      <rPr>
        <b/>
        <sz val="8"/>
        <color indexed="12"/>
        <rFont val="Arial"/>
        <family val="2"/>
      </rPr>
      <t>User Inputs</t>
    </r>
    <r>
      <rPr>
        <sz val="8"/>
        <color indexed="12"/>
        <rFont val="Arial"/>
        <family val="2"/>
      </rPr>
      <t xml:space="preserve"> worksheet, rather than here.</t>
    </r>
  </si>
  <si>
    <t>5 Boroughs</t>
  </si>
  <si>
    <t>5 Counties</t>
  </si>
  <si>
    <t xml:space="preserve">5 + 5 </t>
  </si>
  <si>
    <t>5 + 5 if include NJ, CT, upstate NY at same % as the 5 Counties and 1/2 their weight</t>
  </si>
  <si>
    <t>Carpool factor (persons per carpool vehicle) assumed abve:</t>
  </si>
  <si>
    <t>Vehicle entries switched from period, total</t>
  </si>
  <si>
    <t>Vehicle entries switched into period, total</t>
  </si>
  <si>
    <r>
      <t xml:space="preserve">According to the 2000 Census, </t>
    </r>
    <r>
      <rPr>
        <b/>
        <sz val="9"/>
        <rFont val="TradeGothic-Light"/>
      </rPr>
      <t>taxi commuters have an average salary of more than $85,000, more than twice the average salary for all NYC workers</t>
    </r>
    <r>
      <rPr>
        <sz val="9"/>
        <rFont val="TradeGothic-Light"/>
      </rPr>
      <t xml:space="preserve"> (U.S. Census Bureau, 2004). More nuanced data from NYMTC’s Regional Travel-Household Interview Survey shows that roughly a quarter of taxi riders, both commuters and non-commuters, earn less than $25,000 per year and another quarter earn more than $150,000 per year. Of all modes represented in this travel survey, only yellow medallion taxis have ridership shares of more than 20 percent at both ends of the income spectrum (Parsons Brinckerhoff, 2000).</t>
    </r>
  </si>
  <si>
    <r>
      <t xml:space="preserve">The following material is from </t>
    </r>
    <r>
      <rPr>
        <b/>
        <sz val="9"/>
        <rFont val="Arial"/>
        <family val="2"/>
      </rPr>
      <t>Taxi 07: Roads Forward</t>
    </r>
    <r>
      <rPr>
        <sz val="9"/>
        <rFont val="Arial"/>
        <family val="2"/>
      </rPr>
      <t>, a project of the Design Trust for Public Space and the New York City Taxi &amp; Limousine Commission, published in 2007 (pp 78-79). All bold-faced parts within the quoted passages are our emphasis (added).</t>
    </r>
  </si>
  <si>
    <t>Important new features of BTA 1.1 include:</t>
  </si>
  <si>
    <t>Cars percentage share of traffic volume = Cshare</t>
  </si>
  <si>
    <r>
      <t xml:space="preserve">Estimated average net benefit of new transit trips to trip-takers </t>
    </r>
    <r>
      <rPr>
        <sz val="8"/>
        <rFont val="Arial"/>
        <family val="2"/>
      </rPr>
      <t>(est'd. above)</t>
    </r>
  </si>
  <si>
    <t>Light-Duty Automotive Technology and Fuel Economy Trends: 1975 Through 2008 &lt;http://www.epa.gov/oms/fetrends.htm&gt;</t>
  </si>
  <si>
    <t>Medium Truck fuel economy (10,000 - 26,000 lbs)</t>
  </si>
  <si>
    <t>Transportation Energy Data Book, Edition 27, Table 5.4 (http://www-cta.ornl.gov/data/chapter5.shtml)</t>
  </si>
  <si>
    <t>FHWA Highway Statistics 2007, table VM-1 (http://www.fhwa.dot.gov/policyinformation/statistics/2007/vm1.cfm)</t>
  </si>
  <si>
    <t>Avg MPG</t>
  </si>
  <si>
    <t>CO2 Ratios</t>
  </si>
  <si>
    <r>
      <t xml:space="preserve">Truck and bus fuel-use factors relative to light duty vehicles </t>
    </r>
    <r>
      <rPr>
        <sz val="8"/>
        <rFont val="Arial"/>
        <family val="2"/>
      </rPr>
      <t>(used to determine relative CO2 emissions factors)</t>
    </r>
  </si>
  <si>
    <t>Each trip has four parts; calculating durations for "entry" parts is straightforward since time period, hence speed, is known; "exit" parts are assumed to fall randomly but to conform to percentages of outbound trips occurring within each respective period; associated speeds are calculated as percentage-weighted harmonic means, since duration is inversely related to speed.</t>
  </si>
  <si>
    <t>Number of Locations for our plan</t>
  </si>
  <si>
    <t>Breakdown of bus trips between work and non-work trips.</t>
  </si>
  <si>
    <t>Average weekend bus ridership (local buses)</t>
  </si>
  <si>
    <t>Average weekend bus ridership (express buses)</t>
  </si>
  <si>
    <t>for the NNYN Web page with these and other links: &lt;http://www.nnyn.org/kheelplan/kheel_plan1.html&gt;</t>
  </si>
  <si>
    <t>previous #</t>
  </si>
  <si>
    <t>1. Breakout of m.v. trips into cordon (will also apply to trips leaving zone)</t>
  </si>
  <si>
    <t>2. Cordon-crossing VMT</t>
  </si>
  <si>
    <t>3. Intra-Cordon VMT</t>
  </si>
  <si>
    <t xml:space="preserve">4. Total weekday VMT inside cordon </t>
  </si>
  <si>
    <t>1. Normalizing factor # 1 -- reflecting different toll differentials for Puget Sound study vs. NYC cordon pricing</t>
  </si>
  <si>
    <t>C. Traffic Impacts of Congestion Charge (Traffic Round 1)</t>
  </si>
  <si>
    <t>Rows above and below are sums of respective figures in column blocks to riight. See notes there.</t>
  </si>
  <si>
    <t>Taxicab</t>
  </si>
  <si>
    <t>Percent of hours lost within CBD</t>
  </si>
  <si>
    <r>
      <t xml:space="preserve">1A. General Traffic Estimates </t>
    </r>
    <r>
      <rPr>
        <b/>
        <sz val="9"/>
        <rFont val="Arial"/>
        <family val="2"/>
      </rPr>
      <t>(24-hour weekday basis)</t>
    </r>
  </si>
  <si>
    <t>1B. Traffic Estimates From Part "1A" Disaggregated Into Different Weekday Time Periods</t>
  </si>
  <si>
    <r>
      <t xml:space="preserve">Delay time attributable to </t>
    </r>
    <r>
      <rPr>
        <b/>
        <u/>
        <sz val="9"/>
        <rFont val="Arial"/>
        <family val="2"/>
      </rPr>
      <t>driving</t>
    </r>
    <r>
      <rPr>
        <b/>
        <sz val="9"/>
        <rFont val="Arial"/>
        <family val="2"/>
      </rPr>
      <t xml:space="preserve"> FreshDirect trucks into, within and back from CBD (multiplied by truck factor)</t>
    </r>
  </si>
  <si>
    <r>
      <t xml:space="preserve">Part One: Delay Estimates due to </t>
    </r>
    <r>
      <rPr>
        <b/>
        <u/>
        <sz val="10"/>
        <rFont val="Arial"/>
        <family val="2"/>
      </rPr>
      <t>Driving</t>
    </r>
    <r>
      <rPr>
        <b/>
        <sz val="10"/>
        <rFont val="Arial"/>
        <family val="2"/>
      </rPr>
      <t xml:space="preserve"> FreshDirect Trucks to, within and back from the Manhattan Central Business District</t>
    </r>
  </si>
  <si>
    <t>Delay hrs from one xtra round-trip in row shown</t>
  </si>
  <si>
    <r>
      <t xml:space="preserve">Delay minutes </t>
    </r>
    <r>
      <rPr>
        <b/>
        <u/>
        <sz val="8"/>
        <rFont val="Arial"/>
        <family val="2"/>
      </rPr>
      <t>per mile</t>
    </r>
    <r>
      <rPr>
        <b/>
        <sz val="8"/>
        <rFont val="Arial"/>
        <family val="2"/>
      </rPr>
      <t xml:space="preserve"> from round-trip</t>
    </r>
  </si>
  <si>
    <t>All figures in these arrays are for average motor vehicle</t>
  </si>
  <si>
    <r>
      <t xml:space="preserve">The TSRPC report compiled and distilled the available literature into estimates of elasticities for transit and auto modes in NYC. It is thoughtful, professional and credible. It is also three decades removed from the present. However, elasticities are relative measures (percentage changes in parameter Y relative to percentage changes in parameter X), and there is no </t>
    </r>
    <r>
      <rPr>
        <i/>
        <sz val="9"/>
        <rFont val="Arial"/>
        <family val="2"/>
      </rPr>
      <t>a priori</t>
    </r>
    <r>
      <rPr>
        <sz val="9"/>
        <rFont val="Arial"/>
        <family val="2"/>
      </rPr>
      <t xml:space="preserve"> reason to expect that these relationships should have changed over time. Moreover, the most important elasticities in our model -- pertaining to the price-elasticity of driving -- are "backstopped" by more recent studies, as discussed further below. A further backstopping arises from the rebound effect noted above, which effectively treats the impact of tolls on traffic as a pendulum rather than a push in one direction; </t>
    </r>
    <r>
      <rPr>
        <i/>
        <sz val="9"/>
        <rFont val="Arial"/>
        <family val="2"/>
      </rPr>
      <t>the greater the first swing of the pendulum, the greater the rebound.</t>
    </r>
  </si>
  <si>
    <t xml:space="preserve">Direct Elasticities </t>
  </si>
  <si>
    <t>Type of Elasticity</t>
  </si>
  <si>
    <t>For Work Trips</t>
  </si>
  <si>
    <t>For Non-work Trips</t>
  </si>
  <si>
    <t>Following are the "direct" elasticity figures used in the BTA, along with their sources.</t>
  </si>
  <si>
    <t>from TSRPC</t>
  </si>
  <si>
    <t>based on Schaller</t>
  </si>
  <si>
    <t>These are the percent of lost trips in one mode (due to changes in time or cost) that is "captured" by the other mode (figures given are absolute values)</t>
  </si>
  <si>
    <t>Assumptions used to modify the "TSRPC" elasticities shown above to the values "applied" here</t>
  </si>
  <si>
    <t>MPH data in second speed row above 'cap' first-row speeds at a max value of 55 mph.</t>
  </si>
  <si>
    <t>Delays Weekends</t>
  </si>
  <si>
    <r>
      <t xml:space="preserve">Change in Auto VMT due to Changes in Bus Trips, </t>
    </r>
    <r>
      <rPr>
        <b/>
        <u/>
        <sz val="9"/>
        <rFont val="Arial"/>
        <family val="2"/>
      </rPr>
      <t>Weekdays and Weekends Combined</t>
    </r>
  </si>
  <si>
    <t>(000,000)</t>
  </si>
  <si>
    <t>annual, 000</t>
  </si>
  <si>
    <t>Mean per-mile savings from time switching, freeways</t>
  </si>
  <si>
    <r>
      <t xml:space="preserve">Assumed work share of weekend/holiday subway trips </t>
    </r>
    <r>
      <rPr>
        <sz val="8"/>
        <rFont val="Arial"/>
        <family val="2"/>
      </rPr>
      <t>(Komanoff assumption)</t>
    </r>
  </si>
  <si>
    <t>Percentage breakdown</t>
  </si>
  <si>
    <t>1. Baseline Auto Cordon Crossings, inbound -- Trips and VMT</t>
  </si>
  <si>
    <t>2. Baseline Auto Cordon Crossings, outbound -- Trips and VMT</t>
  </si>
  <si>
    <t>Evening Peak (4-7 p.m.)</t>
  </si>
  <si>
    <t>Morning Before Peak</t>
  </si>
  <si>
    <t>From period</t>
  </si>
  <si>
    <t>To period</t>
  </si>
  <si>
    <t>Elasticity</t>
  </si>
  <si>
    <t>Note: Taxi trips are handled somewhat differently. See note at top of that column-block.</t>
  </si>
  <si>
    <t>Time Value, relative to an auto-work driver</t>
  </si>
  <si>
    <t>Number of passengers other than driver</t>
  </si>
  <si>
    <t>Van or small truck</t>
  </si>
  <si>
    <t>Large truck</t>
  </si>
  <si>
    <t>Big Rig (18-wheeler)</t>
  </si>
  <si>
    <t>Auto work-trip</t>
  </si>
  <si>
    <t>Auto non-work-trip</t>
  </si>
  <si>
    <t>major bridges/tunnels, from http://www.mta.info/bandt/traffic/btmain.htm :</t>
  </si>
  <si>
    <t>Autos</t>
  </si>
  <si>
    <t>2 Axle</t>
  </si>
  <si>
    <t>3 Axle</t>
  </si>
  <si>
    <t>4 Axle</t>
  </si>
  <si>
    <t>6 Axle</t>
  </si>
  <si>
    <t>7 Axle</t>
  </si>
  <si>
    <t>Per Addit'l Axle</t>
  </si>
  <si>
    <t xml:space="preserve">Toll (charged </t>
  </si>
  <si>
    <t>Lost value of the taxi trips no longer taken, per year</t>
  </si>
  <si>
    <t>Schaller, p. 19, "39% of total cab mileage, a total of 314 million miles, was spent cruising for passengers in 2005." We have reduced this by ~ 1/10.</t>
  </si>
  <si>
    <t>Climate damage costs eliminated by proposed policy</t>
  </si>
  <si>
    <t>3. Now estimate duration of trips that don't relate to CBD (minutes)</t>
  </si>
  <si>
    <t>Total trips</t>
  </si>
  <si>
    <t>2. Develop an algorithm to estimate auto user's propensity to switch to a lower adjacent toll period</t>
  </si>
  <si>
    <t>Ratio, duration with our tolls to duration w/o tolls</t>
  </si>
  <si>
    <t>Period entries after our tolls but before reflecting rebound effect</t>
  </si>
  <si>
    <t>Period entries after our tolls, reflecting rebound effect</t>
  </si>
  <si>
    <t>Period exits after our tolls but before reflecting rebound effect</t>
  </si>
  <si>
    <r>
      <t xml:space="preserve">Amount paid for parking </t>
    </r>
    <r>
      <rPr>
        <sz val="8"/>
        <rFont val="Arial"/>
        <family val="2"/>
      </rPr>
      <t>(sum of three prior rows)</t>
    </r>
  </si>
  <si>
    <t>Light duty vehicles - includes cars and trucks up to 8500 lbs</t>
  </si>
  <si>
    <t>A. Running exhaust emissions in grams/mile</t>
  </si>
  <si>
    <t>Done using the LINEST function. Least Squares fit.</t>
  </si>
  <si>
    <t>Hourly Cordon VMT with third rebound effect</t>
  </si>
  <si>
    <t>Hourly Cordon VMT with fourth rebound effect</t>
  </si>
  <si>
    <t>Hourly Cordon VMT with fifth rebound effect</t>
  </si>
  <si>
    <t>This section calculates the number of rides that will increase, disappear and time-switch due to changes in fare (including possible time-variation) along with time-varying cordon fee.</t>
  </si>
  <si>
    <t>Hour beginning</t>
  </si>
  <si>
    <t>Midnight</t>
  </si>
  <si>
    <t>1 a.m.</t>
  </si>
  <si>
    <t>2 a.m.</t>
  </si>
  <si>
    <t>3 a.m.</t>
  </si>
  <si>
    <t>4 a.m.</t>
  </si>
  <si>
    <t>5 a.m.</t>
  </si>
  <si>
    <t>6 a.m.</t>
  </si>
  <si>
    <t>7 a.m.</t>
  </si>
  <si>
    <t>8 a.m.</t>
  </si>
  <si>
    <t>9 a.m.</t>
  </si>
  <si>
    <t>10 a.m.</t>
  </si>
  <si>
    <r>
      <t xml:space="preserve">KEA estimates. Reduced 2005 </t>
    </r>
    <r>
      <rPr>
        <b/>
        <sz val="8"/>
        <rFont val="Arial"/>
        <family val="2"/>
      </rPr>
      <t xml:space="preserve">Forward </t>
    </r>
    <r>
      <rPr>
        <sz val="8"/>
        <rFont val="Arial"/>
        <family val="2"/>
      </rPr>
      <t>figure reflects Komanoff 2008 reappraisal of drivers' perceptions of insurance, wear-and-tear and "adverse events" (crash, summons) probabilities. In mid-2008 work on Calif. road pricing, Komanoff assumed approximately $0.04. Higher figure here reflects NYC conditions.</t>
    </r>
  </si>
  <si>
    <t>Trip total</t>
  </si>
  <si>
    <t>Fuel</t>
  </si>
  <si>
    <t>Parking</t>
  </si>
  <si>
    <t>Figures in cols. at right are inches on a map</t>
  </si>
  <si>
    <t>Total Cordon VMT with third rebound effect</t>
  </si>
  <si>
    <t xml:space="preserve">Queens Sector </t>
  </si>
  <si>
    <t>Queens Midtown Tunnel</t>
  </si>
  <si>
    <t>Average daily volumes</t>
  </si>
  <si>
    <t>Based on the 2000 Census, 52 percent of taxi commuters are female, which means female workers are 7 percent more likely than their male counterparts to commute by taxi. The Regional Travel-Household Interview Survey, prepared for the New York Metropolitan Transportation Council (NYMTC), shows that women account for almost 60 percent of all taxi rides (Parsons Brinckerhoff, 2000).</t>
  </si>
  <si>
    <t>The Rich…But Not Exclusively</t>
  </si>
  <si>
    <t>Super Users</t>
  </si>
  <si>
    <r>
      <t xml:space="preserve">Estimated average net benefit of new transit trips to trip-takers </t>
    </r>
    <r>
      <rPr>
        <sz val="8"/>
        <rFont val="Arial"/>
        <family val="2"/>
      </rPr>
      <t>(see above)</t>
    </r>
  </si>
  <si>
    <t>MTA 2007 Budget, section entitled NYC Transit (see full cite above for Farebox Revenues), p. V-231.</t>
  </si>
  <si>
    <t>% whose parking is provided or reimbursed</t>
  </si>
  <si>
    <t>% parking w/o paying</t>
  </si>
  <si>
    <t>REPLACE</t>
  </si>
  <si>
    <t>Values:</t>
  </si>
  <si>
    <r>
      <t>Change in wkend bus trips</t>
    </r>
    <r>
      <rPr>
        <sz val="8"/>
        <rFont val="Arial"/>
        <family val="2"/>
      </rPr>
      <t xml:space="preserve"> </t>
    </r>
  </si>
  <si>
    <r>
      <t xml:space="preserve">Price-elasticity of </t>
    </r>
    <r>
      <rPr>
        <u/>
        <sz val="9"/>
        <rFont val="Arial"/>
        <family val="2"/>
      </rPr>
      <t>driving</t>
    </r>
    <r>
      <rPr>
        <sz val="9"/>
        <rFont val="Arial"/>
        <family val="2"/>
      </rPr>
      <t xml:space="preserve"> in same hour (using subway ridership's mix of work and non-work trips)</t>
    </r>
  </si>
  <si>
    <t>Daily entries in period after tolls, "1st Round," % of pre-tolls entries</t>
  </si>
  <si>
    <t>6. Changes in cordon VMT from changes in vehicle entries due to tolls</t>
  </si>
  <si>
    <t>Hourly traffic after tolls as % of hourly traffic before tolls</t>
  </si>
  <si>
    <t>Ratio, average cordon-trip duration w/ tolls, to prior duration</t>
  </si>
  <si>
    <t>Ratio, trips in period to trips in earlier period, before our tolls</t>
  </si>
  <si>
    <t>Cordon VMT in period after our tolls</t>
  </si>
  <si>
    <t>Private Auto</t>
  </si>
  <si>
    <t>Bike or Walk</t>
  </si>
  <si>
    <t>No Travel</t>
  </si>
  <si>
    <t>% to transit or auto:</t>
  </si>
  <si>
    <t>Annual impacts within and outside CBD (all 365 days) from reduced CBD ticketing</t>
  </si>
  <si>
    <t>1. Presumed shorter trips outside the CBD (so lesser VMT impact per trip eliminated)</t>
  </si>
  <si>
    <t>2. Lesser congestion causation per mile driven outside the CBD</t>
  </si>
  <si>
    <t>3. Greater volume of ticketing outside the CBD</t>
  </si>
  <si>
    <r>
      <t xml:space="preserve">A. General Traffic Estimates (on 24-h weekday basis -- weekends are calculated in </t>
    </r>
    <r>
      <rPr>
        <b/>
        <u/>
        <sz val="10"/>
        <rFont val="Arial"/>
        <family val="2"/>
      </rPr>
      <t>Motor Vs Weekends</t>
    </r>
    <r>
      <rPr>
        <b/>
        <sz val="10"/>
        <rFont val="Arial"/>
        <family val="2"/>
      </rPr>
      <t xml:space="preserve"> worksheet)</t>
    </r>
  </si>
  <si>
    <t>B. Trip Segments from Origins to Beginning of CBD Portals</t>
  </si>
  <si>
    <r>
      <t xml:space="preserve">Annual Ridership </t>
    </r>
    <r>
      <rPr>
        <sz val="8"/>
        <rFont val="Arial"/>
        <family val="2"/>
      </rPr>
      <t>(thousands)</t>
    </r>
  </si>
  <si>
    <r>
      <t xml:space="preserve">2008 bus ridership at a glance </t>
    </r>
    <r>
      <rPr>
        <sz val="8"/>
        <rFont val="Arial"/>
        <family val="2"/>
      </rPr>
      <t>(source: http://mta.info/nyct/facts/ridership/index.htm, accessed 25-Aug-2009)</t>
    </r>
  </si>
  <si>
    <t>4. Savings from Eliminating Subway Fare</t>
  </si>
  <si>
    <r>
      <t xml:space="preserve">This suggests that the valuation method used here to estimate air pollution benefits from congestion pricing does </t>
    </r>
    <r>
      <rPr>
        <i/>
        <sz val="9"/>
        <rFont val="Arial"/>
        <family val="2"/>
      </rPr>
      <t>not</t>
    </r>
    <r>
      <rPr>
        <sz val="9"/>
        <rFont val="Arial"/>
        <family val="2"/>
      </rPr>
      <t xml:space="preserve"> err on the low side.</t>
    </r>
  </si>
  <si>
    <t>To ensure that our approach does not understate pollution benefits from congestion pricing, we consulted another authoritative source: "The Social Cost of the Health Effects of Motor-Vehicle Air Pollution, Report #11 in the Series, "Annualized Social Cost of Motor Vehicle Use in the United States, based on 1990-1991 Data," UCD-ITS-RR-96-3 (11) (August 1996), by Donald R. McCubbin and U-C Davis researcher Mark A. Delucchi, Ph.D. (Delucchi is referenced in Sections C and G of this worksheet tab.)</t>
  </si>
  <si>
    <r>
      <t xml:space="preserve">2. More cycling and walking. Though we estimate the increase in bicycling (in the </t>
    </r>
    <r>
      <rPr>
        <b/>
        <sz val="9"/>
        <rFont val="Arial"/>
        <family val="2"/>
      </rPr>
      <t>Bicycles</t>
    </r>
    <r>
      <rPr>
        <sz val="9"/>
        <rFont val="Arial"/>
        <family val="2"/>
      </rPr>
      <t xml:space="preserve"> worksheet), we don't translate that into decreased driving.</t>
    </r>
  </si>
  <si>
    <t>Trips into the CBD eliminated, per year</t>
  </si>
  <si>
    <t>avg hour</t>
  </si>
  <si>
    <t>Hourly Volume</t>
  </si>
  <si>
    <t>Peak</t>
  </si>
  <si>
    <r>
      <t xml:space="preserve">Method: We first estimate vehicle-hours saved, as the difference in aggregate annual m.v. hours between the current regime and the new. We then multiply those vehicle-hours by estimates of the average value (or cost) per vehicle-hour. The latter are derived in the </t>
    </r>
    <r>
      <rPr>
        <b/>
        <i/>
        <sz val="9"/>
        <rFont val="Arial"/>
        <family val="2"/>
      </rPr>
      <t>Value of Time</t>
    </r>
    <r>
      <rPr>
        <i/>
        <sz val="9"/>
        <rFont val="Arial"/>
        <family val="2"/>
      </rPr>
      <t xml:space="preserve"> worksheet.</t>
    </r>
  </si>
  <si>
    <t>MPG</t>
  </si>
  <si>
    <t>"Real-World"</t>
  </si>
  <si>
    <t>"Steady-State"</t>
  </si>
  <si>
    <t>MPH</t>
  </si>
  <si>
    <t>Barth: (951) 781-5782, barth@cert.ucr.edu</t>
  </si>
  <si>
    <r>
      <t>Change in auto trips (vehicles)</t>
    </r>
    <r>
      <rPr>
        <sz val="9"/>
        <rFont val="Arial"/>
        <family val="2"/>
      </rPr>
      <t xml:space="preserve"> </t>
    </r>
    <r>
      <rPr>
        <sz val="8"/>
        <rFont val="Arial"/>
        <family val="2"/>
      </rPr>
      <t>(preceding figures div. by auto occupancies)</t>
    </r>
  </si>
  <si>
    <t>Current (2007) subway farebox revenues</t>
  </si>
  <si>
    <t>Flowchart</t>
  </si>
  <si>
    <t>Negative</t>
  </si>
  <si>
    <t>Positive</t>
  </si>
  <si>
    <t>Medium</t>
  </si>
  <si>
    <t>Car and truck trips to CBD</t>
  </si>
  <si>
    <t>Taxi fare surcharge</t>
  </si>
  <si>
    <t>Small</t>
  </si>
  <si>
    <t>Large</t>
  </si>
  <si>
    <t>Subway trips</t>
  </si>
  <si>
    <t>Fare reductions (financed by cordon toll and taxi surcharge)</t>
  </si>
  <si>
    <t>Cordon toll on cars and trucks</t>
  </si>
  <si>
    <r>
      <t xml:space="preserve">Derived in </t>
    </r>
    <r>
      <rPr>
        <b/>
        <sz val="8"/>
        <rFont val="Arial"/>
        <family val="2"/>
      </rPr>
      <t>Speed-CO2</t>
    </r>
    <r>
      <rPr>
        <sz val="8"/>
        <rFont val="Arial"/>
        <family val="2"/>
      </rPr>
      <t xml:space="preserve"> worksheet, using an exponential polynomial equation drawn from work by Barth and Boriboonsomsin at U-C Riverside.</t>
    </r>
  </si>
  <si>
    <t>Light duty vehicles - (autos and taxicabs)</t>
  </si>
  <si>
    <t>Bus share of trips, with bus speed gain and new fares factored into trip costs</t>
  </si>
  <si>
    <r>
      <t xml:space="preserve">Direction of effect </t>
    </r>
    <r>
      <rPr>
        <sz val="9"/>
        <rFont val="Arial"/>
        <family val="2"/>
      </rPr>
      <t>(negative or positive)</t>
    </r>
  </si>
  <si>
    <r>
      <t>Dependent Variable</t>
    </r>
    <r>
      <rPr>
        <sz val="9"/>
        <rFont val="Arial"/>
        <family val="2"/>
      </rPr>
      <t xml:space="preserve"> (the quantity affected by the agent)</t>
    </r>
  </si>
  <si>
    <t>Travel time savings because cordon toll has cut traffic</t>
  </si>
  <si>
    <t>Yellow cab (taxi) trips</t>
  </si>
  <si>
    <t>This worksheet displays the outputs of EMFAC runs for a range of vehicle speeds and vehicle types that apply to California highway and road conditions.</t>
  </si>
  <si>
    <t>Heavy Duty Trucks - up to 33,000 lbs</t>
  </si>
  <si>
    <t>Temperature 50F, Humidity 50%</t>
  </si>
  <si>
    <t>PM10 - Tire wear</t>
  </si>
  <si>
    <t>PM10 - Brake wear</t>
  </si>
  <si>
    <t>Total PM10</t>
  </si>
  <si>
    <t>Following are the assumptions and methods we used to operationalize the elasticities in the table for our time-varying cordon tolls.</t>
  </si>
  <si>
    <t>Subway Passengers</t>
  </si>
  <si>
    <t>Anticipated change in NYC automobile VMT, %</t>
  </si>
  <si>
    <t>Anticipated change in NYC motor vehicle noise costs, %</t>
  </si>
  <si>
    <t>Anticipated change in NYC motor vehicle noise costs, 2008$</t>
  </si>
  <si>
    <t>% change in mortality among adults with moderately high physical activity vis-à-vis those with little or no physical activity</t>
  </si>
  <si>
    <t>Anticipated change in mortality rate among adult New Yorkers of cycling age</t>
  </si>
  <si>
    <t>Anticipated change in deaths of New Yorkers due to increased bicycling</t>
  </si>
  <si>
    <t>Inbounds follow shape for inbound through trips; outbounds follow shape for all outbound trips.</t>
  </si>
  <si>
    <t>CPI ratio, July 2007 vs. Jan. 2004.</t>
  </si>
  <si>
    <t>2007-adjusted, all-in per-hour salary (After 3 Years only)</t>
  </si>
  <si>
    <t>Annual Salary, station agent Annette Sutton-Epps</t>
  </si>
  <si>
    <t>New ratio of trips in period to trips in subsequent period</t>
  </si>
  <si>
    <r>
      <t xml:space="preserve">Number of trips </t>
    </r>
    <r>
      <rPr>
        <sz val="8"/>
        <rFont val="Arial"/>
        <family val="2"/>
      </rPr>
      <t>(careful, incl. express buses)</t>
    </r>
  </si>
  <si>
    <t>Southbound - Inbound</t>
  </si>
  <si>
    <t>FDR Drive</t>
  </si>
  <si>
    <t>York Avenue</t>
  </si>
  <si>
    <t>Second Avenue</t>
  </si>
  <si>
    <t>Lexington Avenue</t>
  </si>
  <si>
    <t>Park Avenue</t>
  </si>
  <si>
    <t>Fifth Avenue</t>
  </si>
  <si>
    <t>Park (mkt)</t>
  </si>
  <si>
    <t>One-way distance (miles) for trips across East River bridges</t>
  </si>
  <si>
    <t>Non-wk trip% of Non-wk Tot.</t>
  </si>
  <si>
    <r>
      <t xml:space="preserve">Note: </t>
    </r>
    <r>
      <rPr>
        <sz val="9"/>
        <rFont val="Arial"/>
        <family val="2"/>
      </rPr>
      <t>This section duplicates architecture from preceding Section "E," so we have largely dispensed with explanatory notes.</t>
    </r>
  </si>
  <si>
    <t>Elasticities</t>
  </si>
  <si>
    <t>Increment in trips' cost that led trip-takers to eliminate them</t>
  </si>
  <si>
    <t>Average value of a bus rider's hour saved</t>
  </si>
  <si>
    <t>Non-cordon speeds, with rebound effect</t>
  </si>
  <si>
    <t>Published 2004 per-hour salaries for station agents</t>
  </si>
  <si>
    <r>
      <t xml:space="preserve">VMT from Intra-cordon Trips </t>
    </r>
    <r>
      <rPr>
        <sz val="9"/>
        <rFont val="Arial"/>
        <family val="2"/>
      </rPr>
      <t>(a subset of Total Cordon VMT)</t>
    </r>
  </si>
  <si>
    <t>VMT from Intra-cordon Trips</t>
  </si>
  <si>
    <t>Final</t>
  </si>
  <si>
    <t>Uses mathematical formula for standard deviation of difference between two normal distributions.</t>
  </si>
  <si>
    <t>Total Cordon VMT before fifth rebound effect</t>
  </si>
  <si>
    <t>2006 data -- not used, shown for comparison only.</t>
  </si>
  <si>
    <t>Cash</t>
  </si>
  <si>
    <t>Ratio (peak to pre or post peak), wghtd average for all PA trips</t>
  </si>
  <si>
    <t>Non-cordon miles per fare trip:</t>
  </si>
  <si>
    <t>Assumed Boarding and Alighting Distribution (text reproduced from NYCT spreadsheet)</t>
  </si>
  <si>
    <t>Scenario E2 (text reproduced from NYCT spreadsheet)</t>
  </si>
  <si>
    <t>B. NYC Transit Bus Boarding Spreadsheet: A 2-Door Scenario Constructed by Komanoff</t>
  </si>
  <si>
    <t>Change in Wghtd Avg vs. Original</t>
  </si>
  <si>
    <t xml:space="preserve">1. Baseline Subway Ridership, Fare and Revenue Data </t>
  </si>
  <si>
    <t>Bklyn</t>
  </si>
  <si>
    <t>Hour beg.</t>
  </si>
  <si>
    <t xml:space="preserve">Results </t>
  </si>
  <si>
    <t xml:space="preserve">Total Non-Cordon VMT </t>
  </si>
  <si>
    <t xml:space="preserve">Analysis and Interpretations </t>
  </si>
  <si>
    <t>All Northern approaches (i.e., 60th Street)</t>
  </si>
  <si>
    <r>
      <t>Volumes</t>
    </r>
    <r>
      <rPr>
        <sz val="8"/>
        <rFont val="Arial"/>
        <family val="2"/>
      </rPr>
      <t xml:space="preserve">: All data are taken directly from </t>
    </r>
    <r>
      <rPr>
        <b/>
        <sz val="8"/>
        <rFont val="Arial"/>
        <family val="2"/>
      </rPr>
      <t>Hub-Bound</t>
    </r>
    <r>
      <rPr>
        <sz val="8"/>
        <rFont val="Arial"/>
        <family val="2"/>
      </rPr>
      <t xml:space="preserve"> worksheet.</t>
    </r>
  </si>
  <si>
    <t xml:space="preserve">Total Vehicles </t>
  </si>
  <si>
    <t>% of non-CBD trip distance</t>
  </si>
  <si>
    <t>Daily weekday VMT of all m.v. trips occuring entirely within cordon</t>
  </si>
  <si>
    <t>CBD-related %</t>
  </si>
  <si>
    <t>Now assign to different 24-hour time bins, prorated by respective work and non-work trip distributions</t>
  </si>
  <si>
    <t xml:space="preserve">Increase in auto trips from changed taxi fare </t>
  </si>
  <si>
    <t>TOG (Total Organics -- previously termed "hydrocarbons")</t>
  </si>
  <si>
    <t>Density coefficient (beta)</t>
  </si>
  <si>
    <t>Constant (alpha)</t>
  </si>
  <si>
    <t xml:space="preserve"> Average Non-Cordon Speeds (mph)</t>
  </si>
  <si>
    <t>Baseline total VMT</t>
  </si>
  <si>
    <t>Hours in period for below calculation purposes</t>
  </si>
  <si>
    <t>Baseline</t>
  </si>
  <si>
    <t>Ravitch</t>
  </si>
  <si>
    <t>Weekday Toll Levels</t>
  </si>
  <si>
    <t>Derivations</t>
  </si>
  <si>
    <t>where</t>
  </si>
  <si>
    <t>The data source is a set of several hundred such data pairs of freeway speeds (mph) and densities (vehicles per lane-mile) observed by SCVTA and published in its May 2006 "2006 Monitoring and Conformance Report" (Table 4.5). We copied those data here (using the "2007 AM" tab in the data spreadsheet provided to use by SCVTA) and sorted them to simplify constructing scatterplots, using Excel's chart function. Following the lead of Ed Pike of the International Council on Clean Transportation, who suggested this approach for KEA-ICCT's 2008 study of road pricing for California, I used data for HOV lanes as well as regular mixed lanes.</t>
  </si>
  <si>
    <t>Rounded to nearest 1/4</t>
  </si>
  <si>
    <t>Conservative value for cordon -- could easily have been &gt;=2 (see alt power law graph below)</t>
  </si>
  <si>
    <t>Hourly Vol., % of Mean Hour</t>
  </si>
  <si>
    <t>Graveyard</t>
  </si>
  <si>
    <t>Hudson</t>
  </si>
  <si>
    <t>Essex</t>
  </si>
  <si>
    <t>Union</t>
  </si>
  <si>
    <t>Morris</t>
  </si>
  <si>
    <t>Somerset</t>
  </si>
  <si>
    <t>Middlesex</t>
  </si>
  <si>
    <t>Monmouth</t>
  </si>
  <si>
    <t>Ocean</t>
  </si>
  <si>
    <t>Area of Origin</t>
  </si>
  <si>
    <t>Manhattan CBD</t>
  </si>
  <si>
    <t>Upper Manhattan</t>
  </si>
  <si>
    <t>Queens</t>
  </si>
  <si>
    <t>Bronx</t>
  </si>
  <si>
    <t>Brooklyn</t>
  </si>
  <si>
    <t>Staten Island</t>
  </si>
  <si>
    <t>Upper Man.-Bronx</t>
  </si>
  <si>
    <t>We have the identity: Tshare + Cshare = 1</t>
  </si>
  <si>
    <t xml:space="preserve">We also have (weekdays) Tshare x T + Cshare x C = </t>
  </si>
  <si>
    <t>Substituting:</t>
  </si>
  <si>
    <t>Tshare x T  +  (1 - Tshare) x C =</t>
  </si>
  <si>
    <t>(Tshare x T  +  C  -  C x Tshare) / C =</t>
  </si>
  <si>
    <t>Divide both by C:</t>
  </si>
  <si>
    <t xml:space="preserve">Tshare x T/C + 1 - Tshare = </t>
  </si>
  <si>
    <t>Simplify:</t>
  </si>
  <si>
    <t xml:space="preserve">Tshare x F + 1 - Tshare = </t>
  </si>
  <si>
    <t>Simplify more:</t>
  </si>
  <si>
    <t>Invert and reverse:</t>
  </si>
  <si>
    <t>1 / (Tshare x F + 1 - Tshare)</t>
  </si>
  <si>
    <t>Multiply:</t>
  </si>
  <si>
    <t xml:space="preserve">C = </t>
  </si>
  <si>
    <t>For weekdays, we have these values:</t>
  </si>
  <si>
    <t>Tshare</t>
  </si>
  <si>
    <t>Cshare</t>
  </si>
  <si>
    <t xml:space="preserve">If F (i.e., T/C) = </t>
  </si>
  <si>
    <t>then the equation above for C yields:</t>
  </si>
  <si>
    <t>Results from Methods 1 &amp; 2 above agree to within 1%. However, both methods implicitly assume same level of staffing (per station) in 2007 as in 1980s. Method 2 also assumes that token-booth clerk salaries are average for entire NYCT. Here, we reconsider both assumptions.</t>
  </si>
  <si>
    <t>Trucks</t>
  </si>
  <si>
    <t>This section assigns weekend VMT's for each trip category to different time periods, and establishes basic cost and time parameters for each combination of trip type and period.</t>
  </si>
  <si>
    <r>
      <t xml:space="preserve">Calculated as mean of inbound and outbound percentages for respective periods, in </t>
    </r>
    <r>
      <rPr>
        <b/>
        <sz val="8"/>
        <rFont val="Arial"/>
        <family val="2"/>
      </rPr>
      <t>Weekend Hours</t>
    </r>
    <r>
      <rPr>
        <sz val="8"/>
        <rFont val="Arial"/>
        <family val="2"/>
      </rPr>
      <t xml:space="preserve"> worksheet.</t>
    </r>
  </si>
  <si>
    <r>
      <t xml:space="preserve">Daily m.v. trips into cordon, </t>
    </r>
    <r>
      <rPr>
        <u/>
        <sz val="9"/>
        <rFont val="Arial"/>
        <family val="2"/>
      </rPr>
      <t>before</t>
    </r>
  </si>
  <si>
    <r>
      <t xml:space="preserve">Daily m.v. trips into cordon, </t>
    </r>
    <r>
      <rPr>
        <u/>
        <sz val="9"/>
        <rFont val="Arial"/>
        <family val="2"/>
      </rPr>
      <t>after</t>
    </r>
  </si>
  <si>
    <r>
      <t xml:space="preserve">Because the price-elasticity of subway ridership differs between work and non-work trips (see </t>
    </r>
    <r>
      <rPr>
        <b/>
        <sz val="9"/>
        <rFont val="Arial"/>
        <family val="2"/>
      </rPr>
      <t>Elasticities</t>
    </r>
    <r>
      <rPr>
        <sz val="9"/>
        <rFont val="Arial"/>
        <family val="2"/>
      </rPr>
      <t xml:space="preserve"> worksheet), it is necessary to dichotomize subway trips into work and non-work trips, below.</t>
    </r>
  </si>
  <si>
    <t>New York</t>
  </si>
  <si>
    <t>Breakout of m.v. trips into cordon (will also apply to trips leaving zone)</t>
  </si>
  <si>
    <t>Daily motor vehicle trips into cordon, rounded</t>
  </si>
  <si>
    <t xml:space="preserve">Trip Distances for trips into cordon </t>
  </si>
  <si>
    <t>Ratio, Weekday to Weekend Auto Reductions</t>
  </si>
  <si>
    <r>
      <t xml:space="preserve">Weekend </t>
    </r>
    <r>
      <rPr>
        <sz val="8"/>
        <rFont val="Arial"/>
        <family val="2"/>
      </rPr>
      <t>(product of weekend factors in Parts A and B, divided by weekend factor in Part C)</t>
    </r>
  </si>
  <si>
    <t>Drop</t>
  </si>
  <si>
    <r>
      <t xml:space="preserve">Once the new ratio of trips between the respective periods is calculated, the number of trips that are shifted is calculated easily using algebra. As is clear from the </t>
    </r>
    <r>
      <rPr>
        <b/>
        <sz val="10"/>
        <rFont val="Arial"/>
        <family val="2"/>
      </rPr>
      <t xml:space="preserve">Motor V’s </t>
    </r>
    <r>
      <rPr>
        <sz val="10"/>
        <rFont val="Arial"/>
        <family val="2"/>
      </rPr>
      <t xml:space="preserve">worksheet, the numbers are not huge, notwithstanding the impressive savings available from switching to lower-toll periods. </t>
    </r>
    <r>
      <rPr>
        <b/>
        <sz val="10"/>
        <rFont val="Arial"/>
        <family val="2"/>
      </rPr>
      <t>This comports with the intuitive sense that through some combination of preference and necessity, people are strongly attached to their time of travel.</t>
    </r>
  </si>
  <si>
    <t>Ratio, trips in period to trips in later period, before our tolls</t>
  </si>
  <si>
    <t>Through-trips are subdivided to allocate truck and bus through-trips. Percents in first box are multiplied by through-trips VMT, and the products are applied to each category in second box.</t>
  </si>
  <si>
    <t>Nominal ratio, non-CBD to CBD values</t>
  </si>
  <si>
    <t>(Komanoff)</t>
  </si>
  <si>
    <t>Value of veh-hour</t>
  </si>
  <si>
    <r>
      <t xml:space="preserve">Ratio at left applies to all travelers except bus </t>
    </r>
    <r>
      <rPr>
        <u/>
        <sz val="8"/>
        <rFont val="Arial"/>
        <family val="2"/>
      </rPr>
      <t>drivers</t>
    </r>
    <r>
      <rPr>
        <sz val="8"/>
        <rFont val="Arial"/>
        <family val="2"/>
      </rPr>
      <t xml:space="preserve"> and medallion taxi </t>
    </r>
    <r>
      <rPr>
        <u/>
        <sz val="8"/>
        <rFont val="Arial"/>
        <family val="2"/>
      </rPr>
      <t>passengers</t>
    </r>
    <r>
      <rPr>
        <sz val="8"/>
        <rFont val="Arial"/>
        <family val="2"/>
      </rPr>
      <t>.</t>
    </r>
  </si>
  <si>
    <t>Notes from Part 2 apply here.</t>
  </si>
  <si>
    <r>
      <t xml:space="preserve">Calculated as product of cordon entries times cordon miles per entry. All figures are doubled to account for return journeys, except that taxicabs use an outgoing-trip factor less than one (see </t>
    </r>
    <r>
      <rPr>
        <b/>
        <sz val="8"/>
        <rFont val="Arial"/>
        <family val="2"/>
      </rPr>
      <t>Taxis</t>
    </r>
    <r>
      <rPr>
        <sz val="8"/>
        <rFont val="Arial"/>
        <family val="2"/>
      </rPr>
      <t>).</t>
    </r>
  </si>
  <si>
    <t xml:space="preserve">  Total</t>
  </si>
  <si>
    <t xml:space="preserve">GRAND TOTAL </t>
  </si>
  <si>
    <t>Traffic-weighted avg speeds, 6am - 6pm</t>
  </si>
  <si>
    <t>Traffic-weighted avg speeds, 24 hour</t>
  </si>
  <si>
    <t>Queensboro Bridge</t>
  </si>
  <si>
    <t>Total MTABT</t>
  </si>
  <si>
    <t>All quantities are inbound traffic counts on weekdays.</t>
  </si>
  <si>
    <t>Lost value of the m.v. trips no longer taken, per year</t>
  </si>
  <si>
    <t>Premise is that inbounds follow shape for non-wk trips while outbounds follow shape for all trips.</t>
  </si>
  <si>
    <t>(subsumed in transit time-elasticity)</t>
  </si>
  <si>
    <r>
      <t xml:space="preserve">This worksheet is drawn from two NYMTC spreadsheets: New York Urban Region Employment by County, 1970-2030; and New York Urban Region Population by County, 1970-2030. Those spreadsheets contain actual data for 1970, 1980, 1990, 2000 and 2002, and projections for 5-year periods from 2005 to 2030. I have eliminated most columns, in order to focus on the 2002 data and 2010 projections that we use in </t>
    </r>
    <r>
      <rPr>
        <b/>
        <sz val="9"/>
        <rFont val="Arial"/>
        <family val="2"/>
      </rPr>
      <t>Reassignments</t>
    </r>
    <r>
      <rPr>
        <sz val="9"/>
        <rFont val="Arial"/>
        <family val="2"/>
      </rPr>
      <t xml:space="preserve"> to bring NYMTC 2004 hub-bound travel data to the present (2007). All rows past those for New York City could be eliminated as well.</t>
    </r>
  </si>
  <si>
    <t>Annual value of bus riders' time saved in traffic from eliminating fare collection</t>
  </si>
  <si>
    <t>Annual value of bus riders' time saved in traffic from policies assumed in model</t>
  </si>
  <si>
    <t>Is elimination of fare collection among the policies assumed in the model?</t>
  </si>
  <si>
    <r>
      <t xml:space="preserve">Median Value (2005 $/hour) </t>
    </r>
    <r>
      <rPr>
        <sz val="8"/>
        <rFont val="Arial"/>
        <family val="2"/>
      </rPr>
      <t>(from Brookings study, see below)</t>
    </r>
  </si>
  <si>
    <t>PSRC, Traffic Choices Study, Appendix 19, Toll Impact Models, Table 1 (Vehicle Mean Values, home-to-work trips; note that graph of probabilities for time-shifting, above, is for home-to-work trips).</t>
  </si>
  <si>
    <t>Mean per-trip savings from time switching</t>
  </si>
  <si>
    <r>
      <t xml:space="preserve">Auto tolls shown above are literally "looked up" from toll schedule in </t>
    </r>
    <r>
      <rPr>
        <b/>
        <sz val="8"/>
        <rFont val="Arial"/>
        <family val="2"/>
      </rPr>
      <t>by Hour</t>
    </r>
    <r>
      <rPr>
        <sz val="8"/>
        <rFont val="Arial"/>
        <family val="2"/>
      </rPr>
      <t xml:space="preserve"> worksheet.</t>
    </r>
  </si>
  <si>
    <t xml:space="preserve">New auto trips from tolled-off taxi trips that originated outside CBD </t>
  </si>
  <si>
    <r>
      <t xml:space="preserve">Split change in weekday bus trips above </t>
    </r>
    <r>
      <rPr>
        <sz val="8"/>
        <rFont val="Arial"/>
        <family val="2"/>
      </rPr>
      <t>(per above proportions)</t>
    </r>
  </si>
  <si>
    <t>VMT, 2005 (million miles)</t>
  </si>
  <si>
    <t>NYC</t>
  </si>
  <si>
    <t>To illustrate, consider a time period and various price conditions and elasticities such that the independent probability of trip disappearance is D, and the probabilities of trip shifting earlier or later are E and L. The probability of a trip "surviving" (remaining in place) is given by (1-D) x (1-E) x (1-L). And the probability of a trip not surviving, i.e., changing in some fashion, is one minus that. Let's call that result "C", the probability of changing in response to the various price incentives.</t>
  </si>
  <si>
    <r>
      <t>60</t>
    </r>
    <r>
      <rPr>
        <b/>
        <vertAlign val="superscript"/>
        <sz val="9"/>
        <color indexed="20"/>
        <rFont val="Arial"/>
        <family val="2"/>
      </rPr>
      <t>th</t>
    </r>
    <r>
      <rPr>
        <b/>
        <sz val="9"/>
        <color indexed="20"/>
        <rFont val="Arial"/>
        <family val="2"/>
      </rPr>
      <t xml:space="preserve"> Street Sector</t>
    </r>
  </si>
  <si>
    <t>(6)</t>
  </si>
  <si>
    <t>(7)</t>
  </si>
  <si>
    <t>Each figure in first column block is sum of respective figures in subsequent column blocks for the six trip types. Sources for those figures are shown further to right.</t>
  </si>
  <si>
    <t>C. Non-cordon VMT for trips that do not enter the cordon (difference between Total in "B" and cordon-trips' VMT in "A")</t>
  </si>
  <si>
    <t>A. General Traffic Estimates (on 24-hour weekday basis)</t>
  </si>
  <si>
    <t>Hourly cordon return trips (figures are vehicles, not persons)</t>
  </si>
  <si>
    <t>This calculation suggests that a single and relatively short medallion taxi trip within the CBD imposes enormous time costs on other road users.</t>
  </si>
  <si>
    <t>Weighted Averages</t>
  </si>
  <si>
    <t>Rounded Delay Cost</t>
  </si>
  <si>
    <t>Bus Ridership, Ratio of Annual Amount to Average Weekend One-Day Amount</t>
  </si>
  <si>
    <t>PEAK HOURS: Weekdays 6-9 a.m., 4-7 p.m., Sat. &amp; Sun. 12 Noon- 8 p.m.</t>
  </si>
  <si>
    <t>Active period for time-dependent delay calculations</t>
  </si>
  <si>
    <r>
      <t xml:space="preserve">See </t>
    </r>
    <r>
      <rPr>
        <b/>
        <sz val="8"/>
        <rFont val="Arial"/>
        <family val="2"/>
      </rPr>
      <t>By Hours</t>
    </r>
    <r>
      <rPr>
        <sz val="8"/>
        <rFont val="Arial"/>
        <family val="2"/>
      </rPr>
      <t xml:space="preserve"> worksheet.</t>
    </r>
  </si>
  <si>
    <t>Total Cordon VMT with seventh rebound effect</t>
  </si>
  <si>
    <t>Total Cordon VMT before eighth rebound effect</t>
  </si>
  <si>
    <t>Total Cordon VMT with eighth rebound effect</t>
  </si>
  <si>
    <t>Speeds (with averaging)</t>
  </si>
  <si>
    <t>Feet per mile</t>
  </si>
  <si>
    <t>Square feet per acre</t>
  </si>
  <si>
    <t>Thru-trip % Daily Total</t>
  </si>
  <si>
    <t>Note: For NYCDOT's video documentation of boarding-time savings from prepaying bus fares, see: http://www.nyc.gov/html/dot/html/ferrybus/selectbusservice.shtml (last accessed 24-April-2009).</t>
  </si>
  <si>
    <t>Value of NYers' increased longevity from greater cycling and walking</t>
  </si>
  <si>
    <r>
      <t xml:space="preserve">2. Bus Machinery Annual Maintenance </t>
    </r>
    <r>
      <rPr>
        <sz val="8"/>
        <rFont val="Arial"/>
        <family val="2"/>
      </rPr>
      <t>(derived directly below)</t>
    </r>
  </si>
  <si>
    <t>C. MTA Administrative Costs Associated with Fare Collection</t>
  </si>
  <si>
    <t>AREANAME</t>
  </si>
  <si>
    <t>2002-2010</t>
  </si>
  <si>
    <t>NEW YORK CITY</t>
  </si>
  <si>
    <t>Elasticities for calculating "time-switching earlier" factor</t>
  </si>
  <si>
    <t>Change in avg citywide weekday auto miles due to change in weekday subway trips unrelated to CBD</t>
  </si>
  <si>
    <t>Change in Vehicle Entries from Baseline</t>
  </si>
  <si>
    <t>Brooklyn Battery Tunnel</t>
  </si>
  <si>
    <t>Brooklyn Bridge</t>
  </si>
  <si>
    <t>to yield delays for trucks alone</t>
  </si>
  <si>
    <t>1C. Final Calculations</t>
  </si>
  <si>
    <t>Divide first figure by second.</t>
  </si>
  <si>
    <t>2. Distance to delivery region (1-way)</t>
  </si>
  <si>
    <t>Mapped by KEA, from Manhattan side of portal to each respective delivery zone.</t>
  </si>
  <si>
    <t>1. Outside cordon (1-way)</t>
  </si>
  <si>
    <t>Total (#3 plus twice #1 and #2)</t>
  </si>
  <si>
    <t>Same as Col. M, but in-bound only, in pd. shown</t>
  </si>
  <si>
    <t>Delay hrs, rnd-trip but cordon only, in period shown</t>
  </si>
  <si>
    <t>Baseline data for subway/bus allocation</t>
  </si>
  <si>
    <t>Weekday bus riders to CBD</t>
  </si>
  <si>
    <t>Komanoff assumption, intended to reflect NYCT's concerted cost-cutting efforts. Note Gothamist's recent (12-26-07) mention of the "2005 … closing [of] 164 token booths." http://gothamist.com/2007/12/26/mta_spends_25_m.php.</t>
  </si>
  <si>
    <t>Inbounds follow shape for inbound work trips; outbounds follow shape for all outbound trips.</t>
  </si>
  <si>
    <t>Inbounds follow shape for inbound non-work trips; outbounds follow shape for all outbound trips.</t>
  </si>
  <si>
    <r>
      <t xml:space="preserve">Product of total thru-trips above, times %'s of daily thru-trips in respective periods in </t>
    </r>
    <r>
      <rPr>
        <b/>
        <sz val="8"/>
        <rFont val="Arial"/>
        <family val="2"/>
      </rPr>
      <t>By Hours</t>
    </r>
    <r>
      <rPr>
        <sz val="8"/>
        <rFont val="Arial"/>
        <family val="2"/>
      </rPr>
      <t xml:space="preserve"> worksheet.</t>
    </r>
  </si>
  <si>
    <t>C. Support for the TSRPC elasticity values from other sources</t>
  </si>
  <si>
    <t>Percentage of into-CBD trips that use PA crossings</t>
  </si>
  <si>
    <t>Total Delay based on time of entry</t>
  </si>
  <si>
    <t>Inbound values</t>
  </si>
  <si>
    <t>Outbound values</t>
  </si>
  <si>
    <t>Share of trips for which bus cost is less than subway cost</t>
  </si>
  <si>
    <r>
      <t xml:space="preserve">Further support for the TSRPC price-elasticity values for auto use is provided in work we carried out prior to development of the BTA, which is documented in the worksheet tab, </t>
    </r>
    <r>
      <rPr>
        <b/>
        <sz val="9"/>
        <rFont val="Arial"/>
        <family val="2"/>
      </rPr>
      <t>Regressions</t>
    </r>
    <r>
      <rPr>
        <sz val="9"/>
        <rFont val="Arial"/>
        <family val="2"/>
      </rPr>
      <t xml:space="preserve">. In this work, we applied standard statistical “linear regression” techniques to 1978-2005 travel data to infer the price-elasticity of motor vehicle trips across the East River. We “regressed” (correlated) the annual volume of trips on all East River crossings (both tolled and untolled) against that year’s average round-trip cost, which in turn was estimated as the weighted average of gasoline, parking and tolls. To avoid confounding the analysis with variations in economic activity, we controlled for the number of Manhattan jobs in each year. (We also “smoothed” the data by using two-year running averages, along with a single five-year average for 2001-2005 to level out 9/11 impacts.) The result was </t>
    </r>
    <r>
      <rPr>
        <b/>
        <sz val="9"/>
        <rFont val="Arial"/>
        <family val="2"/>
      </rPr>
      <t>an estimated price-elasticity of 0.7, which happens to equal the mean of the TSRPC’s estimated elasticities for work and non-work trips to the CBD.</t>
    </r>
  </si>
  <si>
    <t>Part B attempts to adjust for the lesser per-vehicle congestion "causation" of autos vis-à-vis larger vehicles (trucks and buses).</t>
  </si>
  <si>
    <r>
      <t xml:space="preserve">B. Calculations for passenger cars </t>
    </r>
    <r>
      <rPr>
        <b/>
        <sz val="9"/>
        <rFont val="Arial"/>
        <family val="2"/>
      </rPr>
      <t>(i.e., reflecting the difference in congestion causation between cars and trucks)</t>
    </r>
  </si>
  <si>
    <r>
      <t xml:space="preserve">Hours worked </t>
    </r>
    <r>
      <rPr>
        <sz val="8"/>
        <rFont val="Arial"/>
        <family val="2"/>
      </rPr>
      <t>(Komanoff assumptions: 50 weeks, 40 hrs/wk)</t>
    </r>
  </si>
  <si>
    <r>
      <t xml:space="preserve">Est'd annual all-in personnel cost </t>
    </r>
    <r>
      <rPr>
        <sz val="8"/>
        <rFont val="Arial"/>
        <family val="2"/>
      </rPr>
      <t>(average of two methods above)</t>
    </r>
  </si>
  <si>
    <t>Per-mile Cost (perceived by drivers) of insurance, wear, maint. (2005)</t>
  </si>
  <si>
    <t>1979-80</t>
  </si>
  <si>
    <t>1981-82</t>
  </si>
  <si>
    <t>Total Cordon VMT before fourth rebound effect</t>
  </si>
  <si>
    <t>Total Cordon VMT with fourth rebound effect</t>
  </si>
  <si>
    <t>Personnel to staff NYC Transit token booths currently, if 1985 relationships pertain</t>
  </si>
  <si>
    <t>NYC Transit, number of personnel (positions), 2007</t>
  </si>
  <si>
    <t>Total labor cost per position, 2007</t>
  </si>
  <si>
    <t>Implied cost of personnel to staff NYC Transit token booths in 2007</t>
  </si>
  <si>
    <t>Assumed reduction in token booth positions from 1985 basis</t>
  </si>
  <si>
    <r>
      <t xml:space="preserve">Reciprocal of Non-Cordon Speed </t>
    </r>
    <r>
      <rPr>
        <sz val="8"/>
        <rFont val="Arial"/>
        <family val="2"/>
      </rPr>
      <t>(necessary to calculate avg)</t>
    </r>
  </si>
  <si>
    <t>We recognize that it is unusual to apply an empirical relationship observed for drivers, to straphangers. Given the absence of empirical data to measure subway users' responses to institution of time-of-day fares, and absent any a priori reason not to do so, we regard this step as reasonable.</t>
  </si>
  <si>
    <r>
      <t xml:space="preserve">A. Subway Trip Gains/Losses due to Changes in Subway Trip Price + Duration </t>
    </r>
    <r>
      <rPr>
        <sz val="9"/>
        <rFont val="Arial"/>
        <family val="2"/>
      </rPr>
      <t>(w/o time-shifting)</t>
    </r>
  </si>
  <si>
    <t>B. Subway Trip Gains/Losses between periods, due to time-shifting to lower fare periods</t>
  </si>
  <si>
    <r>
      <t xml:space="preserve">Note that, conservatively, we limit attractions" of tolled-off auto trips to transit, to work and non-work trips only, i.e., </t>
    </r>
    <r>
      <rPr>
        <b/>
        <u/>
        <sz val="8"/>
        <rFont val="Arial"/>
        <family val="2"/>
      </rPr>
      <t>we exclude through-trips</t>
    </r>
    <r>
      <rPr>
        <b/>
        <sz val="8"/>
        <rFont val="Arial"/>
        <family val="2"/>
      </rPr>
      <t>; even though, in reality, some through trips would switch to transit as well.</t>
    </r>
  </si>
  <si>
    <t>5. Effect of Subway Trip Changes on Medallion Taxi Trips into and in CBD</t>
  </si>
  <si>
    <t>Crain's New York Business, June 1, 2009, "Defying Odds, FreshDirect Delivers Gains"</t>
  </si>
  <si>
    <t>Based on FreshDirect Website guidelines for delivery times (weekdays, 2-11 pm; weekends, 7:30 am - 9 pm)</t>
  </si>
  <si>
    <t>KEA estimate, on premise that one-half of deliveries are within Manhattan CBD.</t>
  </si>
  <si>
    <t>(same)</t>
  </si>
  <si>
    <t>Parked Truck Parameters</t>
  </si>
  <si>
    <t>Street space appropriated by one truck (acres)</t>
  </si>
  <si>
    <t>Hub-Bound Travel</t>
  </si>
  <si>
    <t xml:space="preserve">The equation is as follows: </t>
  </si>
  <si>
    <t>Calculated as ratio of "new" to "prior" durations of trips into cordon, raised to "time elasticity of vehicle travel" for auto through-trips</t>
  </si>
  <si>
    <t>(none)</t>
  </si>
  <si>
    <t>for a March fact sheet on the plan: &lt;http://nnyn.org/kheelplan/Free%20Transit%20Plan%20Fact%20Sheet%20_%20March%202009.pdf&gt;</t>
  </si>
  <si>
    <t>Motor V's</t>
  </si>
  <si>
    <t>Equivalent magnification of cordon traffic volume</t>
  </si>
  <si>
    <t>Motor Vs</t>
  </si>
  <si>
    <t>Traffic-Rebound Factors for cordon entries for next round</t>
  </si>
  <si>
    <t>Mean tolled miles in home-to-work trips in PSRC study</t>
  </si>
  <si>
    <r>
      <t xml:space="preserve">The percentages are then averaged, weighted by the number of vehicles in the respective borough or county. The weighted average must then be adjusted. A downward adjustment is warranted because the percentage of </t>
    </r>
    <r>
      <rPr>
        <i/>
        <sz val="9"/>
        <rFont val="Arial"/>
        <family val="2"/>
      </rPr>
      <t>all</t>
    </r>
    <r>
      <rPr>
        <sz val="9"/>
        <rFont val="Arial"/>
        <family val="2"/>
      </rPr>
      <t xml:space="preserve"> trips going to the CBD is almost certainly less than the </t>
    </r>
    <r>
      <rPr>
        <i/>
        <sz val="9"/>
        <rFont val="Arial"/>
        <family val="2"/>
      </rPr>
      <t>commute</t>
    </r>
    <r>
      <rPr>
        <sz val="9"/>
        <rFont val="Arial"/>
        <family val="2"/>
      </rPr>
      <t xml:space="preserve"> percentages shown here. At the same time, however, most CBD bound trips presumably are on roads on which disproportionately more vehicles are going to the CBD. We suspect that the resulting upward adjustment would swamp the downward one.</t>
    </r>
  </si>
  <si>
    <r>
      <t xml:space="preserve">Subtract holidays </t>
    </r>
    <r>
      <rPr>
        <sz val="8"/>
        <rFont val="Arial"/>
        <family val="2"/>
      </rPr>
      <t>(Komanoff counted 10)</t>
    </r>
  </si>
  <si>
    <t>Round to</t>
  </si>
  <si>
    <t>Travel Time Switching</t>
  </si>
  <si>
    <t>Max value for non-cordon speeds in NYC</t>
  </si>
  <si>
    <t>In cordon</t>
  </si>
  <si>
    <t>Outside cordon</t>
  </si>
  <si>
    <t>Within cordon</t>
  </si>
  <si>
    <t>B. Traffic Estimates From Part "A" Disaggregated Into Different Weekday Time Periods</t>
  </si>
  <si>
    <r>
      <t xml:space="preserve">This finding jibes extraordinarily well with the auto price-elasticity estimates in the 1977 Tri-State Regional Planning Commission study (see </t>
    </r>
    <r>
      <rPr>
        <b/>
        <sz val="9"/>
        <rFont val="Arial"/>
        <family val="2"/>
      </rPr>
      <t>Tri-State Elasticities</t>
    </r>
    <r>
      <rPr>
        <sz val="9"/>
        <rFont val="Arial"/>
        <family val="2"/>
      </rPr>
      <t xml:space="preserve"> worksheet): negative 50% for work trips and negative 90% for non-work trips.</t>
    </r>
  </si>
  <si>
    <t>Ratio of non-cordon VMT to same figure for weekdays:</t>
  </si>
  <si>
    <t>It is presented in three sets of rows. The first set, directly below, displays and calculates ratios on Manhattan-bound trips using the Queens Midtown Tunnel in two sample months (March and Sept 2007). The second set does the same on trips crossing into Manhattan via the Triborough Bridge. The third set of rows sums the first two. The QMT and TB(M) were chosen because they are the main crossings into Manhattan for which accurate daily data were available (courtesy of the MTA, through the efforts of Brian T. Ketcham). The two months were chosen more or less at random; other months probably would yield similar results.</t>
  </si>
  <si>
    <t>Normalized</t>
  </si>
  <si>
    <t>1. Weekdays in year</t>
  </si>
  <si>
    <t>Speed-density "elasticity" (power-law exponent) for speeds of 35 mph or less:</t>
  </si>
  <si>
    <t>Figures in two preceding rows are sums of respective VMT's from inbound and outbound cordon-crossing trips and from intra-cordon trips.</t>
  </si>
  <si>
    <r>
      <t xml:space="preserve">Value of travel/access time, per hour </t>
    </r>
    <r>
      <rPr>
        <sz val="8"/>
        <rFont val="Arial"/>
        <family val="2"/>
      </rPr>
      <t>(derived in box immediately below)</t>
    </r>
  </si>
  <si>
    <t>Max value for cordon speeds in NYC (reflecting traffic signals)</t>
  </si>
  <si>
    <t>Gain from other time periods</t>
  </si>
  <si>
    <t>I N B O U N D   T R I P S   I N T O   C O R D O N</t>
  </si>
  <si>
    <t>Note: Daily News May 26, 2009 has article re new buses w/ easier exit-door operation which should reduce boarding gridlock and, hence, time savings from fare elimination. See link:</t>
  </si>
  <si>
    <t>Uses probabilistic formula referenced, but with new transit costs (both mean and std dev) due to change in bus speeds, bus fare and subway fare.</t>
  </si>
  <si>
    <t>2. Weekends/Holidays in year</t>
  </si>
  <si>
    <t>3. Total</t>
  </si>
  <si>
    <t>8. Total</t>
  </si>
  <si>
    <t>4. Weekday trips into the CBD, "normalized" per weekday</t>
  </si>
  <si>
    <t>6. Weekday trips into the CBD, share of annual total</t>
  </si>
  <si>
    <t>7. Weekend trips into the CBD, share of annual total</t>
  </si>
  <si>
    <t xml:space="preserve">Schaller, p. 34: "Taxicabs generated $1.82 billion in fare revenue in 2005." </t>
  </si>
  <si>
    <t>Economic, Social and Environmental Costs and Benefits</t>
  </si>
  <si>
    <t>Inbound</t>
  </si>
  <si>
    <t>Outbound</t>
  </si>
  <si>
    <t>March 07</t>
  </si>
  <si>
    <t>Weekend</t>
  </si>
  <si>
    <t>Daily Avg.</t>
  </si>
  <si>
    <t>Hour Ending</t>
  </si>
  <si>
    <t>Sept 07</t>
  </si>
  <si>
    <t>Kilograms of Carbon Dioxide (CO2) per gallon of gasoline combusted</t>
  </si>
  <si>
    <t>Gallons per barrel</t>
  </si>
  <si>
    <t>(Page Down for values)</t>
  </si>
  <si>
    <t>1. Motor Vehicle Trips no longer taken</t>
  </si>
  <si>
    <r>
      <t xml:space="preserve">A. General Traffic Estimates </t>
    </r>
    <r>
      <rPr>
        <b/>
        <sz val="9"/>
        <rFont val="Arial"/>
        <family val="2"/>
      </rPr>
      <t>(on 24-hour weekday basis, calculated with the trips added via cell directly above)</t>
    </r>
  </si>
  <si>
    <t>Out Cordon</t>
  </si>
  <si>
    <r>
      <t>Note: The analysis in this worksheet forms the analytical backbone of "</t>
    </r>
    <r>
      <rPr>
        <b/>
        <sz val="9"/>
        <rFont val="Arial"/>
        <family val="2"/>
      </rPr>
      <t>Time Thieves</t>
    </r>
    <r>
      <rPr>
        <sz val="9"/>
        <rFont val="Arial"/>
        <family val="2"/>
      </rPr>
      <t>," an article by Charles Komanoff and Will Fisher in the Winter 2010 edition of the New York Transportation Journal, published by the NYU-Wagner Rudin Center for Transportation Policy &amp; Management. The article may be accessed via this link: &lt;http://wagner.nyu.edu/rudincenter/journal/2010/02/time-thieves-a-new-computer-driven-traffic-model-reveals-the-%E2%80%9Ctime-costs%E2%80%9D-of-traffic/&gt;. The same text, with a slightly clearer format, is available at this link: &lt;http://www.nnyn.org/kheelplan/Time_Thieves.pdf&gt;.</t>
    </r>
  </si>
  <si>
    <r>
      <t xml:space="preserve">VMT </t>
    </r>
    <r>
      <rPr>
        <sz val="9"/>
        <rFont val="Arial"/>
        <family val="2"/>
      </rPr>
      <t>change, 6am - 6pm</t>
    </r>
  </si>
  <si>
    <r>
      <t xml:space="preserve">VMT </t>
    </r>
    <r>
      <rPr>
        <sz val="9"/>
        <rFont val="Arial"/>
        <family val="2"/>
      </rPr>
      <t>change, 24-hour</t>
    </r>
  </si>
  <si>
    <t>Total Cordon VMT before seventh rebound effect</t>
  </si>
  <si>
    <r>
      <t xml:space="preserve">Weekend subway ridership change factor </t>
    </r>
    <r>
      <rPr>
        <sz val="8"/>
        <rFont val="Arial"/>
        <family val="2"/>
      </rPr>
      <t>(uses standard elasticity formula)</t>
    </r>
  </si>
  <si>
    <t>Rough estimate, calc'd from 2007 employment of approx'ly 136 million (http://data.bls.gov/cgi-bin/surveymost) and pop. of 301.6 million (http://quickfacts.census.gov/qfd/states/00000.html), adj'd for indiv counties by Komanoff.</t>
  </si>
  <si>
    <t>No. of workers</t>
  </si>
  <si>
    <r>
      <t xml:space="preserve">Ratio, toll in period to toll in later period, before our tolls </t>
    </r>
    <r>
      <rPr>
        <sz val="8"/>
        <rFont val="Arial"/>
        <family val="2"/>
      </rPr>
      <t>(defaults to unity unless difference in tolls is $1.00 or greater)</t>
    </r>
  </si>
  <si>
    <r>
      <t xml:space="preserve">Ratio, toll in period to toll in earlier period, with our tolls </t>
    </r>
    <r>
      <rPr>
        <sz val="8"/>
        <rFont val="Arial"/>
        <family val="2"/>
      </rPr>
      <t>(defaults to unity unless difference in tolls is $1.00 or greater)</t>
    </r>
  </si>
  <si>
    <r>
      <t xml:space="preserve">Ratio, toll in period to toll in later period, with our tolls </t>
    </r>
    <r>
      <rPr>
        <sz val="8"/>
        <rFont val="Arial"/>
        <family val="2"/>
      </rPr>
      <t>(defaults to unity unless difference in tolls is $1.00 or greater)</t>
    </r>
  </si>
  <si>
    <r>
      <t xml:space="preserve">Effective Elasticities for calculating "time-switching earlier" factor </t>
    </r>
    <r>
      <rPr>
        <sz val="8"/>
        <rFont val="Arial"/>
        <family val="2"/>
      </rPr>
      <t xml:space="preserve">(modifies elasticity above to reflect possible difference in period </t>
    </r>
    <r>
      <rPr>
        <u/>
        <sz val="8"/>
        <rFont val="Arial"/>
        <family val="2"/>
      </rPr>
      <t>duration</t>
    </r>
    <r>
      <rPr>
        <sz val="8"/>
        <rFont val="Arial"/>
        <family val="2"/>
      </rPr>
      <t xml:space="preserve"> from 3-hour period in underlying PANYNJ analysis)</t>
    </r>
  </si>
  <si>
    <r>
      <t xml:space="preserve">Effective Elasticities for calculating "time-switching later" factor </t>
    </r>
    <r>
      <rPr>
        <sz val="8"/>
        <rFont val="Arial"/>
        <family val="2"/>
      </rPr>
      <t xml:space="preserve">(modifies elasticity above to reflect possible difference in period </t>
    </r>
    <r>
      <rPr>
        <u/>
        <sz val="8"/>
        <rFont val="Arial"/>
        <family val="2"/>
      </rPr>
      <t>duration</t>
    </r>
    <r>
      <rPr>
        <sz val="8"/>
        <rFont val="Arial"/>
        <family val="2"/>
      </rPr>
      <t xml:space="preserve"> from 3-hour period in underlying PANYNJ analysis)</t>
    </r>
  </si>
  <si>
    <r>
      <t xml:space="preserve">See explanation in </t>
    </r>
    <r>
      <rPr>
        <b/>
        <sz val="9"/>
        <rFont val="Arial"/>
        <family val="2"/>
      </rPr>
      <t>Time Switching</t>
    </r>
    <r>
      <rPr>
        <sz val="9"/>
        <rFont val="Arial"/>
        <family val="2"/>
      </rPr>
      <t xml:space="preserve"> worksheet</t>
    </r>
  </si>
  <si>
    <t>1. First, we estimate duration of a typical trip that begins or ends in CBD (minutes)</t>
  </si>
  <si>
    <t>4. Now apply weights to three types of trips (based on "before")</t>
  </si>
  <si>
    <t>Percentage of taxi VMT in CBD spent with fares (passengers)</t>
  </si>
  <si>
    <r>
      <t>S = 24.2 / [1 + 0.1*(V/V</t>
    </r>
    <r>
      <rPr>
        <vertAlign val="subscript"/>
        <sz val="10"/>
        <rFont val="Arial"/>
        <family val="2"/>
      </rPr>
      <t>K</t>
    </r>
    <r>
      <rPr>
        <sz val="10"/>
        <rFont val="Arial"/>
        <family val="2"/>
      </rPr>
      <t>)</t>
    </r>
    <r>
      <rPr>
        <vertAlign val="superscript"/>
        <sz val="10"/>
        <rFont val="Arial"/>
        <family val="2"/>
      </rPr>
      <t>4.08</t>
    </r>
    <r>
      <rPr>
        <sz val="10"/>
        <rFont val="Arial"/>
        <family val="2"/>
      </rPr>
      <t>]          (Equation 3)</t>
    </r>
  </si>
  <si>
    <r>
      <t>60/S = 2.48 + 0.254(V/V</t>
    </r>
    <r>
      <rPr>
        <vertAlign val="subscript"/>
        <sz val="10"/>
        <rFont val="Arial"/>
        <family val="2"/>
      </rPr>
      <t>K</t>
    </r>
    <r>
      <rPr>
        <sz val="10"/>
        <rFont val="Arial"/>
        <family val="2"/>
      </rPr>
      <t>)</t>
    </r>
    <r>
      <rPr>
        <vertAlign val="superscript"/>
        <sz val="10"/>
        <rFont val="Arial"/>
        <family val="2"/>
      </rPr>
      <t xml:space="preserve">4.08              </t>
    </r>
    <r>
      <rPr>
        <sz val="10"/>
        <rFont val="Arial"/>
        <family val="2"/>
      </rPr>
      <t>(Equation 1)</t>
    </r>
  </si>
  <si>
    <t>The other study was undertaken by the Puget Sound Regional Council in 2005-07 and published by the Council in 2008. In this “Traffic Choices Study,” 270 demographically representative households in the Seattle metropolitan area were charged time-varied tolls for all trips taken on area highways over a six-month period. (The households were first given equal cash awards intended to defray the toll costs.) The households’ travel choices — essentially, the number, length and timing of their trips — were then compared against baseline values, and the results distilled into estimates of price elasticities and time-switching propensities.</t>
  </si>
  <si>
    <t>Average Speed (mph)</t>
  </si>
  <si>
    <t xml:space="preserve">Average Speed (mph) </t>
  </si>
  <si>
    <t>Total time, minutes, including cruising time</t>
  </si>
  <si>
    <t>(adjusted</t>
  </si>
  <si>
    <t>for</t>
  </si>
  <si>
    <t>pre-Kheel subway travel</t>
  </si>
  <si>
    <t>sum</t>
  </si>
  <si>
    <t>Deaths among NYC adult residents "of bicycling age" (20-74), 2005</t>
  </si>
  <si>
    <t>Transit Volume w/r/t Transit Cost</t>
  </si>
  <si>
    <t>Transit Volume w/r/t Transit Time</t>
  </si>
  <si>
    <t>Auto Volume w/r/t Auto Cost</t>
  </si>
  <si>
    <t>Auto Volume w/r/t Auto Time</t>
  </si>
  <si>
    <t>Cross Elasticities</t>
  </si>
  <si>
    <t>Trucks (and buses) percentage share of traffic volume = Tshare</t>
  </si>
  <si>
    <t>E. Total Savings from Kheel Plan</t>
  </si>
  <si>
    <t>Total bus ridership</t>
  </si>
  <si>
    <t>The $2.76 average toll rate was calculated from East River entries to the CBD rather than from all portals. Correcting this figure, to a value around $2.10, will slightly increase the impact of the cordon fee, and, consequently, increase the traffic reduction while slightly reducing the revenue gain. This correction has been made in BTA 1.1.</t>
  </si>
  <si>
    <t>first change</t>
  </si>
  <si>
    <r>
      <t xml:space="preserve">Methodology: </t>
    </r>
    <r>
      <rPr>
        <sz val="9"/>
        <rFont val="Arial"/>
        <family val="2"/>
      </rPr>
      <t xml:space="preserve">We estimate emissions of each of the five pollutants under (i) baseline conditions and (ii) with the pricing regime selected in the </t>
    </r>
    <r>
      <rPr>
        <b/>
        <sz val="9"/>
        <rFont val="Arial"/>
        <family val="2"/>
      </rPr>
      <t>Results</t>
    </r>
    <r>
      <rPr>
        <sz val="9"/>
        <rFont val="Arial"/>
        <family val="2"/>
      </rPr>
      <t xml:space="preserve"> worksheet. Emissions are calculated by multiplying VMT for each time period by the emission factors applicable to the average speed for the period. Emission factors are calculated using the most recent (2007) edition of the California Air Resources Board's (CARB) EMission FACtors model, EMFAC2007. (See http://www.arb.ca.gov/msei/onroad/latest_version.htm.)</t>
    </r>
  </si>
  <si>
    <t>Before</t>
  </si>
  <si>
    <t>After</t>
  </si>
  <si>
    <t>Pickup time, minutes</t>
  </si>
  <si>
    <t>Inflation adjustment, 2005 to 2007 (using CPI)</t>
  </si>
  <si>
    <t>Salary, adjusted to 2007</t>
  </si>
  <si>
    <r>
      <t xml:space="preserve">Invokes average work-trip vehicle occupancy from </t>
    </r>
    <r>
      <rPr>
        <b/>
        <sz val="8"/>
        <rFont val="Arial"/>
        <family val="2"/>
      </rPr>
      <t xml:space="preserve">H.I.S. </t>
    </r>
    <r>
      <rPr>
        <sz val="8"/>
        <rFont val="Arial"/>
        <family val="2"/>
      </rPr>
      <t>worksheet.</t>
    </r>
  </si>
  <si>
    <t>Values in parentheses denote loss</t>
  </si>
  <si>
    <t xml:space="preserve"> Estimated Alighting Time Front Door [seconds]</t>
  </si>
  <si>
    <t>Estimated Boarding Middle Door Time [seconds]</t>
  </si>
  <si>
    <t>Non-work trips % of all cordon VMT:</t>
  </si>
  <si>
    <t>Thru-trips % of all cordon VMT:</t>
  </si>
  <si>
    <t>Trucks % of all cordon VMT:</t>
  </si>
  <si>
    <t>Buses % of all cordon VMT:</t>
  </si>
  <si>
    <t>Mean of the difference in cost between subway and bus</t>
  </si>
  <si>
    <t>Standard deviation of the difference in cost between subway and bus</t>
  </si>
  <si>
    <r>
      <t xml:space="preserve">The elasticities in the table are not conventional elasticities that operate on price changes to yield demand changes. Rather, each elasticity operates on the </t>
    </r>
    <r>
      <rPr>
        <i/>
        <sz val="10"/>
        <rFont val="Arial"/>
        <family val="2"/>
      </rPr>
      <t>ratio</t>
    </r>
    <r>
      <rPr>
        <sz val="10"/>
        <rFont val="Arial"/>
        <family val="2"/>
      </rPr>
      <t xml:space="preserve"> of the toll in the period being switched “from,” to the toll in the period switched “into,” as shown in this example.</t>
    </r>
  </si>
  <si>
    <t>Cost of Motor-Vehicle Noise, U.S. urbanized areas (1991$)</t>
  </si>
  <si>
    <t>Fatalities</t>
  </si>
  <si>
    <t>http://mta.info/mta/budget/nov2007/part7.pdf.</t>
  </si>
  <si>
    <t>Number of MTA Bus Co. buses</t>
  </si>
  <si>
    <t>Note: while these hourly splits are suitable for subway rate design (since hub-bound trips are the most congested), they are not ideal for estimating revenue impacts for system as a whole. Those require systemwide hourly splits. Pending those, we employ these.</t>
  </si>
  <si>
    <t>West End Avenue</t>
  </si>
  <si>
    <t>West Side Highway</t>
  </si>
  <si>
    <t>Equation: y= exp-(b0 + b1 x + b2 x^2 + b3 x^3 + b4 x^4)</t>
  </si>
  <si>
    <t>calculated as ratio of Times Square acres just above, to total CBD acres est'd in Part 5.</t>
  </si>
  <si>
    <t>Totals, denoting all of "Times Square"</t>
  </si>
  <si>
    <t>Hours per day</t>
  </si>
  <si>
    <t>New ratio of trips in period to trips in preceding period</t>
  </si>
  <si>
    <t>Trips switching to preceding period</t>
  </si>
  <si>
    <t>3. Cordon + Non-cordon final emissions</t>
  </si>
  <si>
    <t>Assumed annual maintenance cost per bus</t>
  </si>
  <si>
    <t>Because the Wolff-Vilain paper concerns New York City and environs, we made it our primary source for price-elasticity. We also employ its findings in a parallel algorithm that estimates time-switching by subway riders in response to possible differential transit fares. In several instances we supplemented these results with relationships derived in the Puget Sound study.</t>
  </si>
  <si>
    <t>Cost of Motor-Vehicle Noise, U.S. urbanized areas (2008$)</t>
  </si>
  <si>
    <t>Est. noise costs from m.v.'s to number of U.S. residents as live in NYC (2008$)</t>
  </si>
  <si>
    <t>Estimated noise costs from motor vehicles in NYC (2008$)</t>
  </si>
  <si>
    <t>Estimated noise costs from automobiles in NYC (2008$)</t>
  </si>
  <si>
    <r>
      <t xml:space="preserve">Uses same inbound %'s as auto work-trips; </t>
    </r>
    <r>
      <rPr>
        <sz val="8"/>
        <color indexed="10"/>
        <rFont val="Arial"/>
        <family val="2"/>
      </rPr>
      <t>may want to modify to put more entries in a.m. periods, fewer in p.m.</t>
    </r>
  </si>
  <si>
    <t>Uses same inbound %'s as auto work-trips.</t>
  </si>
  <si>
    <r>
      <t xml:space="preserve">Derived through detailed analysis spelled out in </t>
    </r>
    <r>
      <rPr>
        <b/>
        <sz val="8"/>
        <rFont val="Arial"/>
        <family val="2"/>
      </rPr>
      <t>Approaches</t>
    </r>
    <r>
      <rPr>
        <sz val="8"/>
        <rFont val="Arial"/>
        <family val="2"/>
      </rPr>
      <t xml:space="preserve"> worksheet.</t>
    </r>
  </si>
  <si>
    <r>
      <t xml:space="preserve">(ix) </t>
    </r>
    <r>
      <rPr>
        <i/>
        <sz val="9"/>
        <rFont val="Arial"/>
        <family val="2"/>
      </rPr>
      <t xml:space="preserve">explicit treatment of improvements in on-time subway peformance </t>
    </r>
    <r>
      <rPr>
        <sz val="9"/>
        <rFont val="Arial"/>
        <family val="2"/>
      </rPr>
      <t>from investing toll revenues in transit.</t>
    </r>
  </si>
  <si>
    <t>Travel</t>
  </si>
  <si>
    <t>Through</t>
  </si>
  <si>
    <t>Auto Trips: Number</t>
  </si>
  <si>
    <t>Auto Trips: Occupancy</t>
  </si>
  <si>
    <t>Cols. B&amp;C depend on Col. P. See Col. Q for method.</t>
  </si>
  <si>
    <t>Delays caused by inbound leg</t>
  </si>
  <si>
    <t>Delays caused by outbound leg</t>
  </si>
  <si>
    <t>Estimated Alighting Middle Rear Door [seconds]</t>
  </si>
  <si>
    <t>Estimated Boarding Rear Door Time [seconds]</t>
  </si>
  <si>
    <t xml:space="preserve"> Estimated Alighting Time Rear Door [seconds]</t>
  </si>
  <si>
    <t>Door Closure Time [seconds]</t>
  </si>
  <si>
    <t>Middle Door Dwell Time (Boarding Alighting + Door Closure) [seconds]</t>
  </si>
  <si>
    <t xml:space="preserve">Broadway and W 207th St </t>
  </si>
  <si>
    <t xml:space="preserve">W 207th St and Sherman Av </t>
  </si>
  <si>
    <t xml:space="preserve">W 207th St and 10th Av </t>
  </si>
  <si>
    <t xml:space="preserve">W Fordham Rd and Cedar Av </t>
  </si>
  <si>
    <t xml:space="preserve">W Fordham Rd and Sedgwick Av </t>
  </si>
  <si>
    <t xml:space="preserve">W Fordham Rd and University Av </t>
  </si>
  <si>
    <t xml:space="preserve">E Fordham Rd and Jerome Av </t>
  </si>
  <si>
    <t xml:space="preserve">E Fordham Rd and Valentine Av </t>
  </si>
  <si>
    <t xml:space="preserve">E Fordham Rd and Fordham Plz </t>
  </si>
  <si>
    <t xml:space="preserve">E Fordham Rd and Southern Bl </t>
  </si>
  <si>
    <t xml:space="preserve">Pelham Pky and White Plains Rd </t>
  </si>
  <si>
    <t xml:space="preserve">Pelham Pky and Williamsbridge Rd </t>
  </si>
  <si>
    <t xml:space="preserve">Pelham Pky and Jacobi Hosp </t>
  </si>
  <si>
    <t xml:space="preserve">Pelham Pky and Eastchester Rd </t>
  </si>
  <si>
    <t xml:space="preserve">Pelham Pky and Stillwell Av </t>
  </si>
  <si>
    <t xml:space="preserve">Pelham Pky and St. Paul Av </t>
  </si>
  <si>
    <t xml:space="preserve">Charels  Crimi Rd and Subway Overpass </t>
  </si>
  <si>
    <t xml:space="preserve">Baychester Av and N.E. Thruway Exit Ra </t>
  </si>
  <si>
    <t xml:space="preserve">Bay Plaza Bl and Opp Barnes &amp; Nobles </t>
  </si>
  <si>
    <t xml:space="preserve">Bay Plaza Bl and IFO JC Penney </t>
  </si>
  <si>
    <t>T O T A L S</t>
  </si>
  <si>
    <t>ASSUMPTIONS</t>
  </si>
  <si>
    <t>max</t>
  </si>
  <si>
    <t>Boarding (all doors)</t>
  </si>
  <si>
    <t>Alighting (front door)</t>
  </si>
  <si>
    <t>Alighting (rear&amp;middle door)</t>
  </si>
  <si>
    <t>Door Closure</t>
  </si>
  <si>
    <t>C. Non-CBD Auto Trips (abandoned due to less-expensive subways; note that CBD-related auto trips transferred to subways are counted in Part A)</t>
  </si>
  <si>
    <r>
      <t xml:space="preserve">Lars B. Andersen et al., "All-Cause Mortality Associated With Physical Activity During Leisure Time, Work, Sports, and Cycling to Work," Arch. Intern. Med., Vol. 160, June 12, 2000, pp. 1621-1628. Participants in the study at Copenhagen Univ. Hosp. were 13,375 women and 17,265 men, ages 20-93. </t>
    </r>
    <r>
      <rPr>
        <u/>
        <sz val="8"/>
        <rFont val="Arial"/>
        <family val="2"/>
      </rPr>
      <t>Results</t>
    </r>
    <r>
      <rPr>
        <sz val="8"/>
        <rFont val="Arial"/>
        <family val="2"/>
      </rPr>
      <t xml:space="preserve"> section states: "Bicycling to work decreased risk of mortality approximately 40% after multivariate adjustment, including leisure time physical activity." However, the paper's "Bicycling to Work" section states: "After adjustment for age, sex, and educational level [and] leisure time physical activity, BMI, blood lipid levels, smoking, and blood pressure, </t>
    </r>
    <r>
      <rPr>
        <b/>
        <sz val="8"/>
        <rFont val="Arial"/>
        <family val="2"/>
      </rPr>
      <t>the relative risk [in those who cycled to work] was 0.72</t>
    </r>
    <r>
      <rPr>
        <sz val="8"/>
        <rFont val="Arial"/>
        <family val="2"/>
      </rPr>
      <t xml:space="preserve">." (95% conf. interval, range 0.57 - 0.91) The authors also cite a paper in </t>
    </r>
    <r>
      <rPr>
        <i/>
        <sz val="8"/>
        <rFont val="Arial"/>
        <family val="2"/>
      </rPr>
      <t xml:space="preserve">Med. Sci. Sports Exerc. (1994;26:967-972) </t>
    </r>
    <r>
      <rPr>
        <sz val="8"/>
        <rFont val="Arial"/>
        <family val="2"/>
      </rPr>
      <t>that found a 39% higher mortality rate in those who didn't cycle to work vs. those who did; a 1.39 risk ratio for not cycling equates to 0.72 for cycling. See http://archinte.ama-assn.org/cgi/content/abstract/160/11/1621.</t>
    </r>
  </si>
  <si>
    <t>VMT for non-cordon trips (on roads used by cordon-bound trips)</t>
  </si>
  <si>
    <r>
      <t xml:space="preserve">Speeds </t>
    </r>
    <r>
      <rPr>
        <sz val="9"/>
        <rFont val="Arial"/>
        <family val="2"/>
      </rPr>
      <t>(w/o non-cordon VMT correction in Part M, below)</t>
    </r>
  </si>
  <si>
    <t>Cordon Entries</t>
  </si>
  <si>
    <t>Delta, from</t>
  </si>
  <si>
    <t>Calculations are done separately for light-duty vehicles (cars, including SUV's and taxicabs), trucks and buses, and per weekday or weekend day. The emission factors for each vehicle class are means of a fairly wide range encompassing the different vehicle characteristics within each class. The resulting daily figures are converted to annual values at far right. Changes (differences between baseline and final values) are shown at bottom.</t>
  </si>
  <si>
    <t>Weekdays, annualized</t>
  </si>
  <si>
    <t>Weekends, annualized</t>
  </si>
  <si>
    <r>
      <t xml:space="preserve"> I developed three equations: (1) a 5th order polynomial equation, shown first, using observations for which density is less than 31 and greater than 125; (2) a power-law equation, using observations for which speed is 35 mph or less; and (3) an alternative power-law equation, using observations for which speed is 20 mph or less (intended to reflect cordon conditions). For conservatism, </t>
    </r>
    <r>
      <rPr>
        <b/>
        <sz val="9"/>
        <rFont val="Arial"/>
        <family val="2"/>
      </rPr>
      <t>I apply the results of #2 in this spreadsheet.</t>
    </r>
  </si>
  <si>
    <t>Total Cordon VMT before ninth rebound effect</t>
  </si>
  <si>
    <t>Hourly Cordon VMT with sixth rebound effect</t>
  </si>
  <si>
    <t>Hourly Cordon VMT with seventh rebound effect</t>
  </si>
  <si>
    <t>Hourly Cordon VMT with eighth rebound effect</t>
  </si>
  <si>
    <t>Trips switching to earlier period</t>
  </si>
  <si>
    <t>Trips switching to later period</t>
  </si>
  <si>
    <t>Revenue with New Pricing</t>
  </si>
  <si>
    <t>Revenue Increase (decrease)</t>
  </si>
  <si>
    <t>Calculated as ratio of "new" to "prior" traffic volume, raised to "time elasticity of veh. travel" for auto non-work trips (see Elasticity)</t>
  </si>
  <si>
    <t>Calculated as ratio of "new" to "prior" traffic volume, raised to "time elasticity of veh. travel" for thru trips (see Elasticity)</t>
  </si>
  <si>
    <t>Subtract weekends</t>
  </si>
  <si>
    <r>
      <t xml:space="preserve">B. Vehicle Hours in Traffic within Cordon </t>
    </r>
    <r>
      <rPr>
        <sz val="9"/>
        <rFont val="Arial"/>
        <family val="2"/>
      </rPr>
      <t>(per weekend day)</t>
    </r>
  </si>
  <si>
    <r>
      <t xml:space="preserve">Hourly traffic as % of </t>
    </r>
    <r>
      <rPr>
        <u/>
        <sz val="9"/>
        <rFont val="Arial"/>
        <family val="2"/>
      </rPr>
      <t>weekday</t>
    </r>
    <r>
      <rPr>
        <sz val="9"/>
        <rFont val="Arial"/>
        <family val="2"/>
      </rPr>
      <t xml:space="preserve"> </t>
    </r>
    <r>
      <rPr>
        <sz val="9"/>
        <rFont val="Arial"/>
        <family val="2"/>
      </rPr>
      <t>maximum-period's hourly traffic</t>
    </r>
  </si>
  <si>
    <r>
      <t xml:space="preserve">Cordon speed </t>
    </r>
    <r>
      <rPr>
        <sz val="8"/>
        <rFont val="Arial"/>
        <family val="2"/>
      </rPr>
      <t>(reflects our tolls + capacity removal two rows above)</t>
    </r>
  </si>
  <si>
    <r>
      <t xml:space="preserve">Cordon VMT per hour </t>
    </r>
    <r>
      <rPr>
        <sz val="8"/>
        <rFont val="Arial"/>
        <family val="2"/>
      </rPr>
      <t>(needed to calculate 24-h avg below)</t>
    </r>
  </si>
  <si>
    <t>Time Savings</t>
  </si>
  <si>
    <t>Note that we have used the arithmetic mean of the three routes, absent more detailed information from FreshDirect. Interestingly, one driver whom we interviewed at Lexington Ave. and East 29th Street said that he never uses the Queens Midtown Tunnel, despite its being a more direct route than the toll-free Queensboro bridge that he is instructed to use. Substituting the QBB for some or all QMT traffic would increase our delay estimates, since the FreshDirect depot is much closer to the QMT.</t>
  </si>
  <si>
    <t>Redistribution of trips after allocating through-trips to own column</t>
  </si>
  <si>
    <t xml:space="preserve">Complete breakout of trips </t>
  </si>
  <si>
    <t>Cordon VMT from motor vehicle trips that didn't cross cordon</t>
  </si>
  <si>
    <t>Product of total thru-trips above, times %'s of daily thru-trips in respective periods in By Hour Wknd worksheet.</t>
  </si>
  <si>
    <t xml:space="preserve">PM10 </t>
  </si>
  <si>
    <t>Adjustments to above cost to reflect 2008 instead of 1991 conditions</t>
  </si>
  <si>
    <t>10 am-Noon</t>
  </si>
  <si>
    <t>Noon-5 pm</t>
  </si>
  <si>
    <t>5 pm-8 pm</t>
  </si>
  <si>
    <t>8 pm-10 pm</t>
  </si>
  <si>
    <r>
      <t xml:space="preserve">For cordon entries </t>
    </r>
    <r>
      <rPr>
        <sz val="8"/>
        <rFont val="Arial"/>
        <family val="2"/>
      </rPr>
      <t>(are shown and sourced at right for each trip type and time bin; also see "Discussion" text several rows below; factors will apply to future traffic iterations)</t>
    </r>
  </si>
  <si>
    <t>Numbers at length are fractions of an inch read from a non-replicable Google Maps image of the Times Square area in which 3/4 inch on a ruler equals approximately 200 feet. The numbers are converted to feet and square feet below.</t>
  </si>
  <si>
    <t>% of Combined, re-apportioned to squeeze into:</t>
  </si>
  <si>
    <t>Period entries with seventh rebound effect but before eighth</t>
  </si>
  <si>
    <t>Period entries with eighth rebound effect but before ninth</t>
  </si>
  <si>
    <t>Average weekday bus ridership (express buses)</t>
  </si>
  <si>
    <t>Annual (000,000)</t>
  </si>
  <si>
    <t>Average weekday bus ridership (local + express)</t>
  </si>
  <si>
    <t>The median values above apply to the 74 airports in the Morrison-Winston study (see Table 1). Here, we adjust that average to the NYC metro region.</t>
  </si>
  <si>
    <t>This figure matches a "data point" in New York magazine, Sept. 18, 2005:</t>
  </si>
  <si>
    <t>Input Parameters</t>
  </si>
  <si>
    <t>Delay figures in array are in hours and are totals for each period.</t>
  </si>
  <si>
    <r>
      <t xml:space="preserve">The findings of this worksheet -- that weekend/holiday trips into the CBD are now approximately 85% as great as weekday volumes, and that weekend and holiday trips account for approximately 28% of CBD-bound trips on an annual basis -- led us to undertake the separate treatment of weekend cordon traffic that now appears in </t>
    </r>
    <r>
      <rPr>
        <b/>
        <sz val="9"/>
        <rFont val="Arial"/>
        <family val="2"/>
      </rPr>
      <t>Motor Vs Weekends.</t>
    </r>
  </si>
  <si>
    <t>Part 2 -- Relative Daily Volumes into the CBD, Weekdays vs. Weekends (and Holidays)</t>
  </si>
  <si>
    <t>Change in Vehicle Entries from Baseline, as %</t>
  </si>
  <si>
    <t>Change in auto work trips from congestion pricing (vehicles)</t>
  </si>
  <si>
    <t>Change in auto work trips from congestion pricing (persons)</t>
  </si>
  <si>
    <t xml:space="preserve">  Labor Total, ratio to Payroll (i.e., Overtime + Fringe adder)</t>
  </si>
  <si>
    <t>Broadway</t>
  </si>
  <si>
    <t>Now calculate token booth staffing points @ reduced salary &amp; reduced number of personnel</t>
  </si>
  <si>
    <t>2007-adjusted, all-in per-hour salary</t>
  </si>
  <si>
    <r>
      <t xml:space="preserve">This section presents hourly subway ridership (# of passengers) </t>
    </r>
    <r>
      <rPr>
        <b/>
        <sz val="9"/>
        <rFont val="Arial"/>
        <family val="2"/>
      </rPr>
      <t>entering and leaving the CBD on weekdays</t>
    </r>
    <r>
      <rPr>
        <sz val="9"/>
        <rFont val="Arial"/>
        <family val="2"/>
      </rPr>
      <t>.</t>
    </r>
  </si>
  <si>
    <t>Daily</t>
  </si>
  <si>
    <t>Days/Yr</t>
  </si>
  <si>
    <t>Hours in which FD trucks are driven in period</t>
  </si>
  <si>
    <t>Actual hours FD trucks are parked in period</t>
  </si>
  <si>
    <t>Percentage of period in which FD trucks are parked</t>
  </si>
  <si>
    <t xml:space="preserve">Effective % of CBD street area removed from service in period due to parked FD trucks </t>
  </si>
  <si>
    <t>For the running exhaust emissions, a second-degree polynomial fits to the array of emissions as a function of vehicle speeds for four pollutants: Total Organic Gases, Carbon Monoxide, Oxides of Nitrogen, and PM-10.</t>
  </si>
  <si>
    <r>
      <t>S = 24.2 / [1 + 0.1*(X</t>
    </r>
    <r>
      <rPr>
        <vertAlign val="superscript"/>
        <sz val="10"/>
        <rFont val="Arial"/>
        <family val="2"/>
      </rPr>
      <t>4.08</t>
    </r>
    <r>
      <rPr>
        <sz val="10"/>
        <rFont val="Arial"/>
        <family val="2"/>
      </rPr>
      <t xml:space="preserve">]          </t>
    </r>
  </si>
  <si>
    <t>X</t>
  </si>
  <si>
    <t>S</t>
  </si>
  <si>
    <t>Graph of Equation 3</t>
  </si>
  <si>
    <t>Mean Hourly Earnings, All workers, U.S., Dec. 2007 - Jan. 2009 (mean ref. date: July 2008)</t>
  </si>
  <si>
    <t>http://www.bls.gov/ncs/ocs/sp/nctb0715.txt (Bureau of Labor Statistics, National Compensation Survey)</t>
  </si>
  <si>
    <t>Mean Hourly Earnings, New York-Newark-Bridgeport, NY-NJ-CT-PA CSA, same time period</t>
  </si>
  <si>
    <t>Avgs are wghtd by periods' cordon VMT.</t>
  </si>
  <si>
    <t>Daily weekday cordon VMT of m.v. trips into and out of cordon</t>
  </si>
  <si>
    <t>Difference</t>
  </si>
  <si>
    <t>Results</t>
  </si>
  <si>
    <t xml:space="preserve">Change in transit work trips from change in auto work person-trips </t>
  </si>
  <si>
    <t xml:space="preserve">Change in transit non-work trips from change in auto non-work person-trips </t>
  </si>
  <si>
    <r>
      <t xml:space="preserve">Derived in </t>
    </r>
    <r>
      <rPr>
        <b/>
        <sz val="8"/>
        <rFont val="Arial"/>
        <family val="2"/>
      </rPr>
      <t>Emissions</t>
    </r>
    <r>
      <rPr>
        <sz val="8"/>
        <rFont val="Arial"/>
        <family val="2"/>
      </rPr>
      <t xml:space="preserve"> worksheet.</t>
    </r>
  </si>
  <si>
    <t xml:space="preserve"> Mid-range price imputed to a metric ton of CO2 in carbon tax bills</t>
  </si>
  <si>
    <t>C. Applying Results of PANYNJ's time-varied tolls, implemented in March 2001</t>
  </si>
  <si>
    <t>where p is the probability of shifting to a lower toll period when the lower toll period is between x and x+deltax away</t>
  </si>
  <si>
    <r>
      <t xml:space="preserve">Number of weekend days in year </t>
    </r>
    <r>
      <rPr>
        <sz val="8"/>
        <rFont val="Arial"/>
        <family val="2"/>
      </rPr>
      <t xml:space="preserve">(from </t>
    </r>
    <r>
      <rPr>
        <b/>
        <sz val="8"/>
        <rFont val="Arial"/>
        <family val="2"/>
      </rPr>
      <t>Constants</t>
    </r>
    <r>
      <rPr>
        <sz val="8"/>
        <rFont val="Arial"/>
        <family val="2"/>
      </rPr>
      <t xml:space="preserve"> worksheet)</t>
    </r>
  </si>
  <si>
    <t>Annual toll revenue, $000,000</t>
  </si>
  <si>
    <t>This section estimates the average tolls paid by drivers entering the CBD. It establishes that the average agrees with the L.I. figure to within 10%, indicating that the East River bridges toll average is a reasonable proxy for tolls paid from all directions.</t>
  </si>
  <si>
    <t>1983-84</t>
  </si>
  <si>
    <t>1985-86</t>
  </si>
  <si>
    <t>1987-88</t>
  </si>
  <si>
    <t>1989-90</t>
  </si>
  <si>
    <t>2007-adjusted per-hour salary (75% senior rate, 25% starting rate)</t>
  </si>
  <si>
    <t>Streets</t>
  </si>
  <si>
    <t>Avenues</t>
  </si>
  <si>
    <t xml:space="preserve">  Implied lanes per avenue @ 60th St.</t>
  </si>
  <si>
    <t>Source</t>
  </si>
  <si>
    <t xml:space="preserve">  North-South miles south of 60th St.</t>
  </si>
  <si>
    <t>CK</t>
  </si>
  <si>
    <t>[BTK implies 6, but Mapquest shows 5]</t>
  </si>
  <si>
    <t>BTK</t>
  </si>
  <si>
    <r>
      <t xml:space="preserve">Fares per hour </t>
    </r>
    <r>
      <rPr>
        <sz val="8"/>
        <rFont val="Arial"/>
        <family val="2"/>
      </rPr>
      <t>(including time lost cruising)</t>
    </r>
  </si>
  <si>
    <r>
      <t xml:space="preserve">Weekday </t>
    </r>
    <r>
      <rPr>
        <sz val="8"/>
        <rFont val="Arial"/>
        <family val="2"/>
      </rPr>
      <t>(weekday factor in Part B divided by weekday factor in Part C)</t>
    </r>
  </si>
  <si>
    <t>Adjustment factor, weekdays to weekends:</t>
  </si>
  <si>
    <r>
      <t xml:space="preserve">Decrs in </t>
    </r>
    <r>
      <rPr>
        <u/>
        <sz val="9"/>
        <rFont val="Arial"/>
        <family val="2"/>
      </rPr>
      <t>weekday</t>
    </r>
    <r>
      <rPr>
        <sz val="9"/>
        <rFont val="Arial"/>
        <family val="2"/>
      </rPr>
      <t xml:space="preserve"> cordon entries due to trips attr'd by subways</t>
    </r>
  </si>
  <si>
    <r>
      <t xml:space="preserve">Decrs in </t>
    </r>
    <r>
      <rPr>
        <u/>
        <sz val="9"/>
        <rFont val="Arial"/>
        <family val="2"/>
      </rPr>
      <t>weekend</t>
    </r>
    <r>
      <rPr>
        <sz val="9"/>
        <rFont val="Arial"/>
        <family val="2"/>
      </rPr>
      <t xml:space="preserve"> cordon entries due to trips attr'd by subways</t>
    </r>
  </si>
  <si>
    <t>B. “Rebound effect” by which reduced auto use is tempered by trip growth from the reduced “time cost” of travel.</t>
  </si>
  <si>
    <r>
      <t xml:space="preserve">Lead developer of the BTA is </t>
    </r>
    <r>
      <rPr>
        <b/>
        <sz val="9"/>
        <rFont val="Arial"/>
        <family val="2"/>
      </rPr>
      <t>Charles Komanoff</t>
    </r>
    <r>
      <rPr>
        <sz val="9"/>
        <rFont val="Arial"/>
        <family val="2"/>
      </rPr>
      <t>. For information about Komanoff, visit &lt;www.komanoff.net&gt;.</t>
    </r>
  </si>
  <si>
    <t>Motor Vs, via Subways</t>
  </si>
  <si>
    <t>Not yet incorporated</t>
  </si>
  <si>
    <t>Nassau/Suffolk</t>
  </si>
  <si>
    <t>Connecticut</t>
  </si>
  <si>
    <t>New Jersey</t>
  </si>
  <si>
    <t>Product of total auto non-work trips above, times percentages of total daily outbound trips in respective periods in By Hour Wknd worksheet.</t>
  </si>
  <si>
    <t>10 pm-Midnight</t>
  </si>
  <si>
    <t>Midnight-10 am</t>
  </si>
  <si>
    <r>
      <t xml:space="preserve">Estimated average net benefit of eliminated trips to trip-takers </t>
    </r>
    <r>
      <rPr>
        <sz val="8"/>
        <rFont val="Arial"/>
        <family val="2"/>
      </rPr>
      <t>(= 1/2 of old fare)</t>
    </r>
  </si>
  <si>
    <r>
      <t xml:space="preserve">6. BTA 1.1 </t>
    </r>
    <r>
      <rPr>
        <b/>
        <sz val="10"/>
        <rFont val="Arial"/>
        <family val="2"/>
      </rPr>
      <t>–</t>
    </r>
    <r>
      <rPr>
        <b/>
        <sz val="10"/>
        <rFont val="Arial"/>
        <family val="2"/>
      </rPr>
      <t xml:space="preserve"> Major advances vis-à-vis Version 1.0</t>
    </r>
  </si>
  <si>
    <t>Traffic-Rebound Factors for intra-cordon travel for next round</t>
  </si>
  <si>
    <t>All-in Salary, adjusted to 2007</t>
  </si>
  <si>
    <t>Saturdays</t>
  </si>
  <si>
    <t>Sundays</t>
  </si>
  <si>
    <t>Duration of a typical subway trip, hours</t>
  </si>
  <si>
    <t>Komanoff assumption. Primarily for vending machines, gates, etc. Turnstiles are assumed to be kept, for data purposes.</t>
  </si>
  <si>
    <t>Baseline VMT Non Cordon (miles per day)</t>
  </si>
  <si>
    <t>3. Cordon + Non-cordon baseline emissions</t>
  </si>
  <si>
    <t>Average Baseline Cordon Speeds (mph)</t>
  </si>
  <si>
    <t>Average Baseline Non-Cordon Speeds (mph)</t>
  </si>
  <si>
    <t>Average Cordon Speeds (mph)</t>
  </si>
  <si>
    <t>Transit</t>
  </si>
  <si>
    <r>
      <t xml:space="preserve">Lane-Miles in the CBD (Manhattan south of 60th Street) </t>
    </r>
    <r>
      <rPr>
        <sz val="8"/>
        <rFont val="Arial"/>
        <family val="2"/>
      </rPr>
      <t>(Note: "BTK" cite denotes transportation engineer Brian T. Ketcham.)</t>
    </r>
  </si>
  <si>
    <t>6. Speeds</t>
  </si>
  <si>
    <t>A. Cordon Speeds</t>
  </si>
  <si>
    <t>Corrected calculations of m.v. hrs outside cordon, after</t>
  </si>
  <si>
    <t>y is CO2 emissions in grams, per mile</t>
  </si>
  <si>
    <t>Coefficients and graphs are taken from:</t>
  </si>
  <si>
    <t>Decrease (increase) in autos driven to CBD due to subway work-trip price and duration changes</t>
  </si>
  <si>
    <t>% excess over weekday value:</t>
  </si>
  <si>
    <t>mph reciprocal</t>
  </si>
  <si>
    <t>cross-products</t>
  </si>
  <si>
    <t>http://www.nydailynews.com/ny_local/2009/05/26/2009-05-26_new_buses_feature_exit_sensors.html</t>
  </si>
  <si>
    <t>Schaller, p. 16.</t>
  </si>
  <si>
    <r>
      <t>Fresh-Direct trucks rarely if ever park at curbside. Rather they are invariably double-parked, which means they take a lane out of service for some distance.</t>
    </r>
    <r>
      <rPr>
        <b/>
        <sz val="8"/>
        <rFont val="Arial"/>
        <family val="2"/>
      </rPr>
      <t xml:space="preserve"> We assume that one (double-)parked truck effectively removes from service one lane for one-half of a short block.</t>
    </r>
    <r>
      <rPr>
        <sz val="8"/>
        <rFont val="Arial"/>
        <family val="2"/>
      </rPr>
      <t xml:space="preserve"> We thus take the number of acres in a lane-mile (from </t>
    </r>
    <r>
      <rPr>
        <b/>
        <sz val="8"/>
        <rFont val="Arial"/>
        <family val="2"/>
      </rPr>
      <t xml:space="preserve">Cordon </t>
    </r>
    <r>
      <rPr>
        <sz val="8"/>
        <rFont val="Arial"/>
        <family val="2"/>
      </rPr>
      <t xml:space="preserve">worksheet), divide by </t>
    </r>
    <r>
      <rPr>
        <sz val="8"/>
        <rFont val="Arial"/>
        <family val="2"/>
      </rPr>
      <t>20 (to reflect 20 short blocks to a mile) and then halve that.</t>
    </r>
  </si>
  <si>
    <t>Speeds w/ FD truck space unavailable for other veh's</t>
  </si>
  <si>
    <r>
      <t xml:space="preserve">From </t>
    </r>
    <r>
      <rPr>
        <b/>
        <sz val="8"/>
        <rFont val="Arial"/>
        <family val="2"/>
      </rPr>
      <t>Cordon</t>
    </r>
    <r>
      <rPr>
        <sz val="8"/>
        <rFont val="Arial"/>
        <family val="2"/>
      </rPr>
      <t xml:space="preserve"> worksheet</t>
    </r>
  </si>
  <si>
    <t>% of street area removed from service if FD trucks parked 24-7</t>
  </si>
  <si>
    <t xml:space="preserve">Effective factor increase in traffic vol. from FD trucks parked </t>
  </si>
  <si>
    <t>Coincidence of period with FD delivery schedule</t>
  </si>
  <si>
    <t>Komanoff assumptions, predicated on 2-10 p.m. delivery schedule</t>
  </si>
  <si>
    <t>Hours in which FD trucks are parked, upper limit</t>
  </si>
  <si>
    <t>Miles driven by FD trucks in CBD in period</t>
  </si>
  <si>
    <t>C. Total (Sum of "A" + "B")</t>
  </si>
  <si>
    <t>5. Baseline Total VMT Outside Cordon</t>
  </si>
  <si>
    <t>VMT in period for non-cordon trips (on roads used by cordon-bound trips)</t>
  </si>
  <si>
    <t>New inbound + outbound non-cordon VMT in period (with toll)</t>
  </si>
  <si>
    <t>Cordon trips' share of traffic on cordon-bound roads:</t>
  </si>
  <si>
    <t>Ratio, non-cordon-bound trips' non-cordon VMT, to cordon-bound trips' non-cordon VMT (on cordon-bound roads):</t>
  </si>
  <si>
    <t>For Script Do Not Touch</t>
  </si>
  <si>
    <r>
      <t xml:space="preserve">Col. M per-mile figures are for </t>
    </r>
    <r>
      <rPr>
        <i/>
        <sz val="8"/>
        <rFont val="Arial"/>
        <family val="2"/>
      </rPr>
      <t>round-trips</t>
    </r>
    <r>
      <rPr>
        <sz val="8"/>
        <rFont val="Arial"/>
        <family val="2"/>
      </rPr>
      <t xml:space="preserve"> begun in period corresponding to each row, the return legs of which are randomly distributed among the seven periods. Col. C figures are for </t>
    </r>
    <r>
      <rPr>
        <i/>
        <sz val="8"/>
        <rFont val="Arial"/>
        <family val="2"/>
      </rPr>
      <t>entry legs</t>
    </r>
    <r>
      <rPr>
        <sz val="8"/>
        <rFont val="Arial"/>
        <family val="2"/>
      </rPr>
      <t xml:space="preserve"> only and do not reflect return legs.</t>
    </r>
  </si>
  <si>
    <t>T O T A L S (out cordon)</t>
  </si>
  <si>
    <t xml:space="preserve">Toll Incidence </t>
  </si>
  <si>
    <t>Assumed car occupancy of carpools into CBD</t>
  </si>
  <si>
    <t>V/1000</t>
  </si>
  <si>
    <t>y</t>
  </si>
  <si>
    <t>Directly below, we "recreate" the exponential graph above, using the equation derived via curve-fitting. The graph below will be used in BTA visual presentations.</t>
  </si>
  <si>
    <t>G. Example of Price-Elasticity Impact on Demand</t>
  </si>
  <si>
    <t>e</t>
  </si>
  <si>
    <t>Calculated as ratio of 2008 to 1991 Consumer Price Index, All Urban Consumers</t>
  </si>
  <si>
    <r>
      <t xml:space="preserve">Miles per auto trip that switch to bus </t>
    </r>
    <r>
      <rPr>
        <sz val="8"/>
        <rFont val="Arial"/>
        <family val="2"/>
      </rPr>
      <t>(as noted directly above)</t>
    </r>
  </si>
  <si>
    <t>Numerical</t>
  </si>
  <si>
    <t>Change</t>
  </si>
  <si>
    <t>March &amp; Sept 07, averaged</t>
  </si>
  <si>
    <t>Weekends</t>
  </si>
  <si>
    <t>Revenues</t>
  </si>
  <si>
    <t>NYC Transit Revenues</t>
  </si>
  <si>
    <t>NYC Traffic-Pricing Revenues</t>
  </si>
  <si>
    <t>Surcharge on Medallion Taxi Fares</t>
  </si>
  <si>
    <t>All revenue figures are annual and in thousands of $$.</t>
  </si>
  <si>
    <t>Non-work inbound</t>
  </si>
  <si>
    <t>Thru-trip</t>
  </si>
  <si>
    <r>
      <t xml:space="preserve">Acres per lane-mile (from </t>
    </r>
    <r>
      <rPr>
        <b/>
        <sz val="8"/>
        <rFont val="Arial"/>
        <family val="2"/>
      </rPr>
      <t>Cordon</t>
    </r>
    <r>
      <rPr>
        <sz val="8"/>
        <rFont val="Arial"/>
        <family val="2"/>
      </rPr>
      <t>), halved (1/2 block impact) and div'd by 20 (blocks/mile).</t>
    </r>
  </si>
  <si>
    <t>Hours of delays due to FD</t>
  </si>
  <si>
    <t>Cost per each delay-hour</t>
  </si>
  <si>
    <t>Baseline Speeds in CBD</t>
  </si>
  <si>
    <t>Changes in "conventional" air emissions, tons (per year)</t>
  </si>
  <si>
    <t>Part 1: Estimate effective "reduced cordon toll" (to drive into the CBD) from free-parking bills</t>
  </si>
  <si>
    <t>Ratio of weekend to weekday delay impacts from one additional trip into CBD</t>
  </si>
  <si>
    <t>Annual increase in hours in CBD traffic on weekdays (adjusted to remove hrs in the new trips)</t>
  </si>
  <si>
    <t>D. Analysis of reduced parking ticketing within Manhattan Central Business District (CBD)</t>
  </si>
  <si>
    <t>E. Analysis of reduced parking ticketing outside Manhattan Central Business District (CBD)</t>
  </si>
  <si>
    <t>C. General conditions</t>
  </si>
  <si>
    <t>Annual impacts within CBD (all 365 days) from reduced CBD ticketing</t>
  </si>
  <si>
    <t>Part 3: Calculate weekend/holiday congestion impacts within CBD</t>
  </si>
  <si>
    <t>Part 4: Calculate congestion impacts outside CBD (from reduced CBD ticketing)</t>
  </si>
  <si>
    <t xml:space="preserve">We prorate these impacts from the combined weekday/weekend impacts directly above. </t>
  </si>
  <si>
    <t>Ratio of out-CBD to in-CBD delay hours from one additional trip into CBD</t>
  </si>
  <si>
    <t>Estimated annual increase in hours in non-CBD traffic due to reduced CBD ticketing</t>
  </si>
  <si>
    <t>Taxi, cruis.</t>
  </si>
  <si>
    <t xml:space="preserve">Further division of taxis into two subgroups: </t>
  </si>
  <si>
    <t>Triborough</t>
  </si>
  <si>
    <t>Bronx-Whitestone</t>
  </si>
  <si>
    <t>Throgs Neck</t>
  </si>
  <si>
    <t>Brooklyn-Battery</t>
  </si>
  <si>
    <r>
      <t xml:space="preserve">Riders entering </t>
    </r>
    <r>
      <rPr>
        <u/>
        <sz val="9"/>
        <rFont val="Arial"/>
        <family val="2"/>
      </rPr>
      <t>and</t>
    </r>
    <r>
      <rPr>
        <sz val="9"/>
        <rFont val="Arial"/>
        <family val="2"/>
      </rPr>
      <t xml:space="preserve"> leaving CBD via subways</t>
    </r>
  </si>
  <si>
    <r>
      <t xml:space="preserve">Riders entering CBD via buses </t>
    </r>
    <r>
      <rPr>
        <u/>
        <sz val="9"/>
        <rFont val="Arial"/>
        <family val="2"/>
      </rPr>
      <t>from elsewhere in NYC</t>
    </r>
  </si>
  <si>
    <t>The paper notes, on p. 22: "If the current cost is equal to the base costs, then the occupancy is equal to the base occupancy. As the current cost rises above the base cost, so the average occupancy rises. Note that the value of Q [occupancy] is bounded, it can never fall below one, and it never rises above twice the base occupancy."</t>
  </si>
  <si>
    <r>
      <t xml:space="preserve">The NYCT spreadsheet draws on the authority's stopwatch measurements of time consumed by passenger boardings and departures ("alightings") at all 19 stops on the Bx12, from Broadway and W 207th St in Manhattan, to Bay Plaza Blvd in front of the JC Penney store in the Bronx. Travel times between stops were calculated as well (including traffic-signal stops), and the dwell times (curb stops) and travel times were summed. The MTA then applied "standard" transit-industry boarding and alighting times for a range of different scenarios, of which we present one in this part and a modification in Part B, below. Please note that these times are </t>
    </r>
    <r>
      <rPr>
        <i/>
        <sz val="9"/>
        <rFont val="Arial"/>
        <family val="2"/>
      </rPr>
      <t>posited</t>
    </r>
    <r>
      <rPr>
        <sz val="9"/>
        <rFont val="Arial"/>
        <family val="2"/>
      </rPr>
      <t xml:space="preserve"> (based on standard factors -- see below), rather than </t>
    </r>
    <r>
      <rPr>
        <i/>
        <sz val="9"/>
        <rFont val="Arial"/>
        <family val="2"/>
      </rPr>
      <t>measured</t>
    </r>
    <r>
      <rPr>
        <sz val="9"/>
        <rFont val="Arial"/>
        <family val="2"/>
      </rPr>
      <t xml:space="preserve"> for the Bx12.</t>
    </r>
  </si>
  <si>
    <t>These six columns are reproduced verbatim from MTA's spreadsheet</t>
  </si>
  <si>
    <r>
      <t xml:space="preserve">C. Estimated Impact of Fare-Free Boarding </t>
    </r>
    <r>
      <rPr>
        <sz val="9"/>
        <rFont val="Arial"/>
        <family val="2"/>
      </rPr>
      <t>(based on our distillation of NYCT Spreadsheet)</t>
    </r>
  </si>
  <si>
    <r>
      <t xml:space="preserve">NYCT's "Scenario E2: Low Floor Vehicle, Three Doors, Boarding All Doors, Alighting All Doors, Pre-Pay Fare Payment" modified to two doors in Part B, above, with </t>
    </r>
    <r>
      <rPr>
        <sz val="8"/>
        <color indexed="10"/>
        <rFont val="Arial"/>
        <family val="2"/>
      </rPr>
      <t>boarding/alighting factors set to min or max</t>
    </r>
  </si>
  <si>
    <t>Current situation, measured by MTA, shown in "Actual Travel Time" columns in Parts A and B, above.</t>
  </si>
  <si>
    <t>Manhattan jobs are Annual average employment in New York County, provided to KEA by Solidelle Wasser, Bureau of Labor Statistics, on July 5, 2005: "I am attaching data for New York County from the QCEW(Quarterly Census of Employment and Wages) program. Data from 1975 to 1977 are not comparable because there was a change in the coverage of unemployment insurance in 1978. Annual average data for 2006 are not yet available from this program. Should you have questions on this or any other program with which we can be of assistance, please let us know. Solidelle Wasser, economist, 212-337-2418." Updated July 26, 2007 with 2006 data for jobs and earnings.</t>
  </si>
  <si>
    <t>Weekday</t>
  </si>
  <si>
    <t>Annual</t>
  </si>
  <si>
    <r>
      <t xml:space="preserve">Derived in </t>
    </r>
    <r>
      <rPr>
        <b/>
        <sz val="8"/>
        <rFont val="Arial"/>
        <family val="2"/>
      </rPr>
      <t>Sub. vs. Bus</t>
    </r>
    <r>
      <rPr>
        <sz val="8"/>
        <rFont val="Arial"/>
        <family val="2"/>
      </rPr>
      <t xml:space="preserve"> worksheet.</t>
    </r>
  </si>
  <si>
    <t>Hunterdon</t>
  </si>
  <si>
    <t>Warren</t>
  </si>
  <si>
    <t>Sussex</t>
  </si>
  <si>
    <t>Mercer</t>
  </si>
  <si>
    <t>A. Subway Fare Collection Costs -- 3 Ways to Estimate</t>
  </si>
  <si>
    <r>
      <t xml:space="preserve">Allied with price-elasticities in the BTA are </t>
    </r>
    <r>
      <rPr>
        <i/>
        <sz val="9"/>
        <rFont val="Arial"/>
        <family val="2"/>
      </rPr>
      <t>time-elasticities</t>
    </r>
    <r>
      <rPr>
        <sz val="9"/>
        <rFont val="Arial"/>
        <family val="2"/>
      </rPr>
      <t xml:space="preserve"> — the percentage change in demand or usage associated with a one percent change in the </t>
    </r>
    <r>
      <rPr>
        <i/>
        <sz val="9"/>
        <rFont val="Arial"/>
        <family val="2"/>
      </rPr>
      <t>travel time</t>
    </r>
    <r>
      <rPr>
        <sz val="9"/>
        <rFont val="Arial"/>
        <family val="2"/>
      </rPr>
      <t xml:space="preserve"> required for a trip. Time-elasticities determine the "rebound effect" by which new trips materialize (or current trips initially "tolled off" the roads re-materialize) to take advantage of improved travel times. They also </t>
    </r>
    <r>
      <rPr>
        <sz val="9"/>
        <rFont val="Arial"/>
        <family val="2"/>
      </rPr>
      <t>underlie the method by which the BTA predicts changes in bus ridership in response to elimination of time-consuming fare payment, as well as changes in subway usage in response to possible service cuts or enhancements.</t>
    </r>
  </si>
  <si>
    <r>
      <t xml:space="preserve">There are also </t>
    </r>
    <r>
      <rPr>
        <i/>
        <sz val="9"/>
        <rFont val="Arial"/>
        <family val="2"/>
      </rPr>
      <t>time-switching elasticities</t>
    </r>
    <r>
      <rPr>
        <sz val="9"/>
        <rFont val="Arial"/>
        <family val="2"/>
      </rPr>
      <t xml:space="preserve">. These relate drivers' propensity to switch their time of travel to monetary savings that result from the switch. These are described and sourced in considerable detail in the </t>
    </r>
    <r>
      <rPr>
        <b/>
        <sz val="9"/>
        <rFont val="Arial"/>
        <family val="2"/>
      </rPr>
      <t xml:space="preserve">Time Switching </t>
    </r>
    <r>
      <rPr>
        <sz val="9"/>
        <rFont val="Arial"/>
        <family val="2"/>
      </rPr>
      <t>worksheet.</t>
    </r>
  </si>
  <si>
    <t>D. Total Savings from Eliminating Bus and/or Subway Fares</t>
  </si>
  <si>
    <t>Maintenance Savings from Eliminating Subway Fare</t>
  </si>
  <si>
    <t>capped at:</t>
  </si>
  <si>
    <r>
      <t xml:space="preserve">New baseline </t>
    </r>
    <r>
      <rPr>
        <sz val="9"/>
        <rFont val="Arial"/>
        <family val="2"/>
      </rPr>
      <t>(with price and duration impacts but before time-shifting to lower fare periods)</t>
    </r>
  </si>
  <si>
    <t>CK needs to annotate / explain these two rows.</t>
  </si>
  <si>
    <t xml:space="preserve">Median value of airline passengers' time (first row in block of rows above) was estimated in "Grounded: The Impact of Mounting Flight Delays on New York City's Economy and Environment," Office of the New York City Comptroller, Dec. 2007. Page 18 of that report states: "In a soon-to-be published study of the economic impact of airport congestion, economists Steven A. Morrison and Clifford Winston have estimated that for pleasure and business travelers, “passengers’ values of time in 2005 dollars ranged from $27.13 to $79.16 per hour with a median of $47.97.” </t>
  </si>
  <si>
    <t>Placeholder value by Komanoff, 9-Oct-2008. Will be firmed up by comparing average (not median) income of NYC-area drivers to CBD with same for Puget Sound region. Must also consider whether to attempt to include a pure "value of time" differential between the two regions.</t>
  </si>
  <si>
    <t>A. Relationships between the price (fare) to drive, use transit and take taxis, and usage of those modes.</t>
  </si>
  <si>
    <t>Hourly Cordon VMT with ninth rebound effect</t>
  </si>
  <si>
    <t>Cordon speeds, with rebound effect</t>
  </si>
  <si>
    <t xml:space="preserve">Ocean </t>
  </si>
  <si>
    <t xml:space="preserve">Passaic </t>
  </si>
  <si>
    <t xml:space="preserve">Somerset </t>
  </si>
  <si>
    <t xml:space="preserve">Sussex </t>
  </si>
  <si>
    <t xml:space="preserve">Union </t>
  </si>
  <si>
    <r>
      <t>Trip Durations</t>
    </r>
    <r>
      <rPr>
        <sz val="9"/>
        <rFont val="Arial"/>
        <family val="2"/>
      </rPr>
      <t xml:space="preserve"> (in minutes, segmented by trip portions)</t>
    </r>
  </si>
  <si>
    <t>CORDON</t>
  </si>
  <si>
    <t>BRIDGES</t>
  </si>
  <si>
    <t>Final "Effective" Toll (averaged over all vehicles entering CBD)</t>
  </si>
  <si>
    <t>Do not type in cell below</t>
  </si>
  <si>
    <t>Share of incoming vehicles (to CBD) to which our toll applies</t>
  </si>
  <si>
    <t>Cell entries in skinny column to right are reference "markers" used to identify row numbers and aid in explaining formulae. Feel free to ignore them.</t>
  </si>
  <si>
    <r>
      <t xml:space="preserve">Figure above exceeds ratio for </t>
    </r>
    <r>
      <rPr>
        <i/>
        <sz val="8"/>
        <rFont val="Arial"/>
        <family val="2"/>
      </rPr>
      <t>entries</t>
    </r>
    <r>
      <rPr>
        <sz val="8"/>
        <rFont val="Arial"/>
        <family val="2"/>
      </rPr>
      <t xml:space="preserve"> because trip shares differ (note weekends' higher share of through trips w/ high per-trip VMT).</t>
    </r>
  </si>
  <si>
    <t>Hourly traffic as % of weekend maximum-period's hourly traffic</t>
  </si>
  <si>
    <r>
      <t xml:space="preserve">It operates by duplicating the initial stage of the </t>
    </r>
    <r>
      <rPr>
        <b/>
        <sz val="9"/>
        <rFont val="Arial"/>
        <family val="2"/>
      </rPr>
      <t>Motor Vs</t>
    </r>
    <r>
      <rPr>
        <sz val="9"/>
        <rFont val="Arial"/>
        <family val="2"/>
      </rPr>
      <t xml:space="preserve"> worksheet, which calculates average vehicle speeds for the different weekday periods; but with one difference: it increments the number of vehicle trips into the CBD (or 'cordon') by a small number, such as 100. The speeds for this (slightly) greater number of entries will be less than the baseline speeds calculated in </t>
    </r>
    <r>
      <rPr>
        <b/>
        <sz val="9"/>
        <rFont val="Arial"/>
        <family val="2"/>
      </rPr>
      <t>Motor Vs</t>
    </r>
    <r>
      <rPr>
        <sz val="9"/>
        <rFont val="Arial"/>
        <family val="2"/>
      </rPr>
      <t>. Comparing the two sets of speeds reveals the additional hours in traffic caused by the additional entries.</t>
    </r>
  </si>
  <si>
    <r>
      <t xml:space="preserve">(iv) </t>
    </r>
    <r>
      <rPr>
        <i/>
        <sz val="9"/>
        <rFont val="Arial"/>
        <family val="2"/>
      </rPr>
      <t>explicit modeling of intra-CBD travel;</t>
    </r>
  </si>
  <si>
    <t>BTA 1.0</t>
  </si>
  <si>
    <t>Rounded down</t>
  </si>
  <si>
    <t>(82-84=100)</t>
  </si>
  <si>
    <t>Product of total auto work trips above, times percentages of total daily outbound trips in respective periods in By Hour Wknd worksheet.</t>
  </si>
  <si>
    <t>Each figure denotes the percent change in the first variable per 100 percent change in the second. Trips are classified as either work (commute) trips, non-work trips, or trips that travel through the CBD en route to an outside destination.</t>
  </si>
  <si>
    <t>Description</t>
  </si>
  <si>
    <t>Subway Usage</t>
  </si>
  <si>
    <t>Speed gain, 6am - 6pm</t>
  </si>
  <si>
    <t>Speed gain, 24-hour</t>
  </si>
  <si>
    <t>Vehicle Hours in Traffic in CBD (wkday), w/ reduced parking cost inputted as negative toll</t>
  </si>
  <si>
    <t>Estimated increase in weekday trips due to effective reduction in cost to drive into CBD</t>
  </si>
  <si>
    <t>Vehicle Hours w/ reduced parking cost, above, normalized to reflect increase in trips</t>
  </si>
  <si>
    <r>
      <t>Explanation</t>
    </r>
    <r>
      <rPr>
        <sz val="8"/>
        <rFont val="Arial"/>
        <family val="2"/>
      </rPr>
      <t>: The Tri-State report did not specify parameters for replacement of transit or auto trips by medallion taxicabs. Nevertheless, it is reasonable to assume that at least a small share of the mode shifts in either direction would be captured by medallion taxis. We have applied a rough estimate here, with the proviso that the total number of mode-shifted trips remains unchanged.</t>
    </r>
  </si>
  <si>
    <r>
      <t>Explanation</t>
    </r>
    <r>
      <rPr>
        <sz val="8"/>
        <rFont val="Arial"/>
        <family val="2"/>
      </rPr>
      <t>: Schaller states, "Cabs transport 11% of fare-paying passengers traveling by taxi, bus, subway, car service or black car in New York City, and 25% of those traveling within Manhattan." (NY Taxicab Fact Book, p. 1.) At the margin, these shares would be smaller. A 5% shift to taxis seems reasonable, though 10% would also be plausible.</t>
    </r>
  </si>
  <si>
    <t>Work</t>
  </si>
  <si>
    <t>Non-work</t>
  </si>
  <si>
    <t>Taxi</t>
  </si>
  <si>
    <t>Approaches</t>
  </si>
  <si>
    <t>This worksheet examines traffic data for the "approaches" to the CBD -- the highways and bridges that lead from trip origins to the portals of the CBD (and vice-versa, for the return trips).</t>
  </si>
  <si>
    <t>Speed-Volume (non-Cordon)</t>
  </si>
  <si>
    <t>Speed-Volume (Cordon)</t>
  </si>
  <si>
    <t>Total time, minutes, counting time lost cruising</t>
  </si>
  <si>
    <t>Total Time Savings</t>
  </si>
  <si>
    <r>
      <t xml:space="preserve">See </t>
    </r>
    <r>
      <rPr>
        <b/>
        <sz val="9"/>
        <rFont val="Arial"/>
        <family val="2"/>
      </rPr>
      <t>Subways</t>
    </r>
    <r>
      <rPr>
        <sz val="9"/>
        <rFont val="Arial"/>
        <family val="2"/>
      </rPr>
      <t xml:space="preserve"> </t>
    </r>
    <r>
      <rPr>
        <sz val="9"/>
        <rFont val="Arial"/>
        <family val="2"/>
      </rPr>
      <t>worksheet for hours making up each fare bin.</t>
    </r>
  </si>
  <si>
    <t>Derived at end of Part C.</t>
  </si>
  <si>
    <t>Estimated mode shares of passengers' "second choices" if cabs are deemed too costly</t>
  </si>
  <si>
    <t>8. Assignment of Subway's Share of Changes in Medallion Taxi Usage</t>
  </si>
  <si>
    <t>Net change in weekday subway trips due to changes in taxi usage:</t>
  </si>
  <si>
    <t xml:space="preserve">Grand total change in subway trips in period </t>
  </si>
  <si>
    <r>
      <t xml:space="preserve">Subway trips in hr </t>
    </r>
    <r>
      <rPr>
        <b/>
        <sz val="8"/>
        <rFont val="Arial"/>
        <family val="2"/>
      </rPr>
      <t>(reflecting tolled-off autos + direct subway price effect; but not tolled-off cab rides)</t>
    </r>
  </si>
  <si>
    <r>
      <t xml:space="preserve">% net change in trips in period </t>
    </r>
    <r>
      <rPr>
        <sz val="9"/>
        <rFont val="Arial"/>
        <family val="2"/>
      </rPr>
      <t>(with toll + subway fare + taxi fare, vs. baseline)</t>
    </r>
  </si>
  <si>
    <t>Assign above 24-hr change to 24 hourly bins</t>
  </si>
  <si>
    <r>
      <t xml:space="preserve">Subway trips in hr </t>
    </r>
    <r>
      <rPr>
        <b/>
        <sz val="8"/>
        <rFont val="Arial"/>
        <family val="2"/>
      </rPr>
      <t>(adds tolled-off cab rides to prior total in previous block)</t>
    </r>
  </si>
  <si>
    <t xml:space="preserve">9. Subway Farebox Revenue </t>
  </si>
  <si>
    <t>10. Adjustment Factors to Adapt Weekday Subway Attraction (from Autos) to Weekends</t>
  </si>
  <si>
    <r>
      <t xml:space="preserve">Toll Design: </t>
    </r>
    <r>
      <rPr>
        <sz val="9"/>
        <rFont val="Arial"/>
        <family val="2"/>
      </rPr>
      <t>Let toll proportions correspond to congestion causation for trips taken at different times</t>
    </r>
  </si>
  <si>
    <t>MPG factor for buses relative to autos (non-taxicabs)</t>
  </si>
  <si>
    <t>Note that the indirect, "second-best" estimating methods used here were necessitated by New York City Transit's failure to respond to repeated data requests.</t>
  </si>
  <si>
    <r>
      <t>Annual bus ridership</t>
    </r>
    <r>
      <rPr>
        <sz val="8"/>
        <rFont val="Arial"/>
        <family val="2"/>
      </rPr>
      <t xml:space="preserve"> (from </t>
    </r>
    <r>
      <rPr>
        <b/>
        <sz val="8"/>
        <rFont val="Arial"/>
        <family val="2"/>
      </rPr>
      <t>Buses</t>
    </r>
    <r>
      <rPr>
        <sz val="8"/>
        <rFont val="Arial"/>
        <family val="2"/>
      </rPr>
      <t xml:space="preserve"> worksheet)</t>
    </r>
  </si>
  <si>
    <r>
      <t xml:space="preserve">Average bus trip distance for commute trips </t>
    </r>
    <r>
      <rPr>
        <sz val="8"/>
        <rFont val="Arial"/>
        <family val="2"/>
      </rPr>
      <t xml:space="preserve">(from </t>
    </r>
    <r>
      <rPr>
        <b/>
        <sz val="8"/>
        <rFont val="Arial"/>
        <family val="2"/>
      </rPr>
      <t>VMT</t>
    </r>
    <r>
      <rPr>
        <sz val="8"/>
        <rFont val="Arial"/>
        <family val="2"/>
      </rPr>
      <t xml:space="preserve"> worksheet)</t>
    </r>
  </si>
  <si>
    <t>Calculated by multiplying value of time by total trip time (access + travel).</t>
  </si>
  <si>
    <t>Sum of fare cost + time cost.</t>
  </si>
  <si>
    <t>E-ZPass</t>
  </si>
  <si>
    <t>Drivers</t>
  </si>
  <si>
    <t>2-6 p.m.</t>
  </si>
  <si>
    <t>Komanoff ests. Note that 7 in 8 auto trips in Cordon are either inbound or outbound, while 1 in 8 are intra-Cordon trips (Schaller, "Necessity or Choice," p. 25).</t>
  </si>
  <si>
    <t>Cordon miles for average trip (one way)</t>
  </si>
  <si>
    <t>Non-Cordon miles for average trip (one way) (total miles minus cordon miles)</t>
  </si>
  <si>
    <t>Switch in next cell to right must be set = 0</t>
  </si>
  <si>
    <t>for the "Bolder Plan" report: &lt;http://www.nnyn.org/kheelplan/Full%20Kheel%20Report%20for%20web%20_%2023%20Jan%202008.pdf&gt;</t>
  </si>
  <si>
    <t>for the BTA 1.0 spreadsheet: &lt;http://www.nnyn.org/BTA%20_%2024%20Jan%202008.xls&gt;</t>
  </si>
  <si>
    <t>This worksheet estimates the costs to build, operate and administer the cordon charging system. It also estimates the effective new lane-miles and car-free public space "created" by reducing VMT within the CBD.</t>
  </si>
  <si>
    <t>1. Capital Costs for Cordon-Tolling System</t>
  </si>
  <si>
    <t>Total VMT</t>
  </si>
  <si>
    <t>Intra-cordon VMT</t>
  </si>
  <si>
    <t>% of B</t>
  </si>
  <si>
    <t>Note: All 1970-2005 figures below are sum of inbound + outbound trips.</t>
  </si>
  <si>
    <t>Brooklyn Battery Tunnel 2001 volume was surveyed on 1-Oct-2001 and reported as only 13,762, owing to post-9/11 restrictions. I have estimated that datum here as average of that figure from 11-Sept-01 through 31-Dec-31, and of year-2000 volume for 1-Jan-01 through 10-Sept-01. Other crossings have not been recalculated since they were only modestly less than 2000 volumes.</t>
  </si>
  <si>
    <t>2006 Inbound Only</t>
  </si>
  <si>
    <t>Madison Ave</t>
  </si>
  <si>
    <t>3rd Avenue</t>
  </si>
  <si>
    <t>145th Street</t>
  </si>
  <si>
    <t>Washington</t>
  </si>
  <si>
    <t>Univ Hghts</t>
  </si>
  <si>
    <r>
      <t xml:space="preserve">Reciprocal of Cordon Speed </t>
    </r>
    <r>
      <rPr>
        <sz val="8"/>
        <rFont val="Arial"/>
        <family val="2"/>
      </rPr>
      <t>(necessary to calculate avg, below)</t>
    </r>
  </si>
  <si>
    <t>Change in average citywide weekday auto miles due to change in bus trips</t>
  </si>
  <si>
    <r>
      <t xml:space="preserve">Ratio of Annual Bus Ridership to Average Weekend Ridership </t>
    </r>
    <r>
      <rPr>
        <sz val="8"/>
        <rFont val="Arial"/>
        <family val="2"/>
      </rPr>
      <t xml:space="preserve">(from </t>
    </r>
    <r>
      <rPr>
        <b/>
        <sz val="8"/>
        <rFont val="Arial"/>
        <family val="2"/>
      </rPr>
      <t>Buses</t>
    </r>
    <r>
      <rPr>
        <sz val="8"/>
        <rFont val="Arial"/>
        <family val="2"/>
      </rPr>
      <t>, Section 5)</t>
    </r>
  </si>
  <si>
    <t>[take 15% off BTK figure)</t>
  </si>
  <si>
    <t>Driver price-elasticity in Puget Sound region</t>
  </si>
  <si>
    <t xml:space="preserve">  Total Salary and Wages</t>
  </si>
  <si>
    <r>
      <t xml:space="preserve">Calculated by apportioning 24-h total entries into charging zone for each trip type shown in </t>
    </r>
    <r>
      <rPr>
        <b/>
        <sz val="8"/>
        <rFont val="Arial"/>
        <family val="2"/>
      </rPr>
      <t>Motor V's</t>
    </r>
    <r>
      <rPr>
        <sz val="8"/>
        <rFont val="Arial"/>
        <family val="2"/>
      </rPr>
      <t>, among the three respective components.</t>
    </r>
  </si>
  <si>
    <t>% Mass Transit</t>
  </si>
  <si>
    <t>Categorized by type of vehicle and/or trip</t>
  </si>
  <si>
    <t>Total weekend VMT inside cordon as a % of weekday figure:</t>
  </si>
  <si>
    <r>
      <t xml:space="preserve">Adjustment factor used here </t>
    </r>
    <r>
      <rPr>
        <sz val="8"/>
        <rFont val="Arial"/>
        <family val="2"/>
      </rPr>
      <t>(above ratio, rounded down for conservatism)</t>
    </r>
  </si>
  <si>
    <r>
      <t xml:space="preserve">2. Now estimate duration of trips that begin </t>
    </r>
    <r>
      <rPr>
        <b/>
        <u/>
        <sz val="9"/>
        <rFont val="Arial"/>
        <family val="2"/>
      </rPr>
      <t>and</t>
    </r>
    <r>
      <rPr>
        <b/>
        <sz val="9"/>
        <rFont val="Arial"/>
        <family val="2"/>
      </rPr>
      <t xml:space="preserve"> end in CBD (minutes)</t>
    </r>
  </si>
  <si>
    <t>miles</t>
  </si>
  <si>
    <t>INCREMENT</t>
  </si>
  <si>
    <t>YES</t>
  </si>
  <si>
    <t>User Inputs</t>
  </si>
  <si>
    <t>(million)</t>
  </si>
  <si>
    <t>CBD</t>
  </si>
  <si>
    <t>Weekday increase, 24h</t>
  </si>
  <si>
    <t>Gini</t>
  </si>
  <si>
    <t>Trip</t>
  </si>
  <si>
    <t>Trip Cost</t>
  </si>
  <si>
    <t>CPI (82-</t>
  </si>
  <si>
    <t>84=100)</t>
  </si>
  <si>
    <t>2000 $</t>
  </si>
  <si>
    <t>CPI data are from Bureau of Labor Statistics, http://www.bls.gov/cpi/home.htm#data. "All Urban Consumers," 1982-84=100.</t>
  </si>
  <si>
    <t>Crossings</t>
  </si>
  <si>
    <t>Jobs</t>
  </si>
  <si>
    <t>J. Traffic Impacts of Congestion Charge (Traffic Round 8 • Rebound Effect 7)</t>
  </si>
  <si>
    <t>Nassau</t>
  </si>
  <si>
    <t>Suffolk</t>
  </si>
  <si>
    <t>1. Non-portal, non-CBD trip segment</t>
  </si>
  <si>
    <t>2. Portals to CBD</t>
  </si>
  <si>
    <r>
      <t xml:space="preserve">Medallion Taxi, occupied </t>
    </r>
    <r>
      <rPr>
        <sz val="8"/>
        <rFont val="Arial"/>
        <family val="2"/>
      </rPr>
      <t xml:space="preserve">(entry to right refers to first </t>
    </r>
    <r>
      <rPr>
        <u/>
        <sz val="8"/>
        <rFont val="Arial"/>
        <family val="2"/>
      </rPr>
      <t>passenger</t>
    </r>
    <r>
      <rPr>
        <sz val="8"/>
        <rFont val="Arial"/>
        <family val="2"/>
      </rPr>
      <t>, not driver)</t>
    </r>
  </si>
  <si>
    <t>Medallion Taxi, cruising</t>
  </si>
  <si>
    <t>Implied per-hour value of bus passengers' time:</t>
  </si>
  <si>
    <r>
      <t xml:space="preserve">Avg auto time value/hr (excl. trucks, buses; from </t>
    </r>
    <r>
      <rPr>
        <b/>
        <sz val="8"/>
        <rFont val="Arial"/>
        <family val="2"/>
      </rPr>
      <t>Value of Time</t>
    </r>
    <r>
      <rPr>
        <sz val="8"/>
        <rFont val="Arial"/>
        <family val="2"/>
      </rPr>
      <t>)</t>
    </r>
  </si>
  <si>
    <t>Double-wghtd avgs (wghtd by hrs saved/day and days/year) are illustrative only and do not figure in any calculations.</t>
  </si>
  <si>
    <t>Part 3: Basic Parameters for Time Value, Vehicle Occupancy, etc. for vehicle travel within the Manhattan Central Business District</t>
  </si>
  <si>
    <t>Part 5: Basic Parameters for Time Value, Vehicle Occupancy, etc. for vehicle travel outside the Manhattan Central Business District</t>
  </si>
  <si>
    <t>Annual $, NYC only, millions</t>
  </si>
  <si>
    <t>Williamsburg Bridge</t>
  </si>
  <si>
    <t>Manhattan Bridge</t>
  </si>
  <si>
    <t>In-cordon part of trip entry, minutes (one-way)</t>
  </si>
  <si>
    <t>In-cordon part of trip exit, minutes (one-way)</t>
  </si>
  <si>
    <t>Outside-cordon part of trip entry, minutes (one-way)</t>
  </si>
  <si>
    <t>Number that are not work-related</t>
  </si>
  <si>
    <t>Dwell Time (above values, in seconds)</t>
  </si>
  <si>
    <t>Komanoff ests. Note that 7 in 8 auto trips in CBD are either inbound or outbound, while 1 in 8 are intra-CBD trips (Schaller, "Necessity or Choice," p. 25).</t>
  </si>
  <si>
    <t>Traffic-Rebound Factors for non-cordon travel for next round</t>
  </si>
  <si>
    <t>Observation</t>
  </si>
  <si>
    <t>Predicted Y</t>
  </si>
  <si>
    <t>Residuals</t>
  </si>
  <si>
    <r>
      <t xml:space="preserve">This worksheet estimates the delays imposed on other vehicle users as a result of operations of FreshDirect Co. trucks delivering groceries to customers in the Manhattan Central Business District (CBD). The first part, </t>
    </r>
    <r>
      <rPr>
        <u/>
        <sz val="9"/>
        <rFont val="Arial"/>
        <family val="2"/>
      </rPr>
      <t>Delay Estimates due to Driving</t>
    </r>
    <r>
      <rPr>
        <sz val="9"/>
        <rFont val="Arial"/>
        <family val="2"/>
      </rPr>
      <t xml:space="preserve">, uses the form of the BTA's </t>
    </r>
    <r>
      <rPr>
        <b/>
        <sz val="9"/>
        <rFont val="Arial"/>
        <family val="2"/>
      </rPr>
      <t>Delays</t>
    </r>
    <r>
      <rPr>
        <sz val="9"/>
        <rFont val="Arial"/>
        <family val="2"/>
      </rPr>
      <t xml:space="preserve"> worksheet to calculate delays due to the movement of the trucks between the company's depot in Long Island City and customers in the CBD. The second part, </t>
    </r>
    <r>
      <rPr>
        <u/>
        <sz val="9"/>
        <rFont val="Arial"/>
        <family val="2"/>
      </rPr>
      <t>Delay Estimates due to Parking</t>
    </r>
    <r>
      <rPr>
        <sz val="9"/>
        <rFont val="Arial"/>
        <family val="2"/>
      </rPr>
      <t xml:space="preserve">, estimates the loss of street space due to the trucks' double-parking, and applies speed-volume relationships shown in the </t>
    </r>
    <r>
      <rPr>
        <b/>
        <sz val="9"/>
        <rFont val="Arial"/>
        <family val="2"/>
      </rPr>
      <t>Motor Vs</t>
    </r>
    <r>
      <rPr>
        <sz val="9"/>
        <rFont val="Arial"/>
        <family val="2"/>
      </rPr>
      <t xml:space="preserve"> worksheet to estimate the resulting slowing of traffic and drivers' lost time. The third part summarizes the results. The fourth part presents input assumptions.</t>
    </r>
  </si>
  <si>
    <r>
      <t xml:space="preserve">These figures are from </t>
    </r>
    <r>
      <rPr>
        <b/>
        <sz val="8"/>
        <rFont val="Arial"/>
        <family val="2"/>
      </rPr>
      <t>Delays</t>
    </r>
    <r>
      <rPr>
        <sz val="8"/>
        <rFont val="Arial"/>
        <family val="2"/>
      </rPr>
      <t xml:space="preserve"> worksheet.</t>
    </r>
  </si>
  <si>
    <r>
      <t xml:space="preserve">These figures are from </t>
    </r>
    <r>
      <rPr>
        <b/>
        <sz val="8"/>
        <rFont val="Arial"/>
        <family val="2"/>
      </rPr>
      <t>Delays Weekends</t>
    </r>
    <r>
      <rPr>
        <sz val="8"/>
        <rFont val="Arial"/>
        <family val="2"/>
      </rPr>
      <t xml:space="preserve"> sheet.</t>
    </r>
  </si>
  <si>
    <t>Method 1 for Displaying Results: Delays (due to one additional cordon trip) broken down by time periods in which delays are caused and experienced</t>
  </si>
  <si>
    <t>Change in Traffic Volume</t>
  </si>
  <si>
    <t>(delay hrs experienced in period in column, due to one extra random trip)</t>
  </si>
  <si>
    <t>Part 2: Estimate ratio of congestion causation per mile driven (outside vs. inside CBD)</t>
  </si>
  <si>
    <t>Ratio of miles driven, outside to inside CBD, for typical work or non-work trip into CBD</t>
  </si>
  <si>
    <t>Ratio of per-mile delay causation, outside to inside CBD</t>
  </si>
  <si>
    <t>Ratio of congestion impacts from reduced ticketing outside CBD to reduced ticketing inside</t>
  </si>
  <si>
    <t>Part 3: Calculate ratio of parking ticket elimination outside vs. inside CBD</t>
  </si>
  <si>
    <t>Annual impacts within and outside CBD from reduced non-CBD ticketing</t>
  </si>
  <si>
    <t>Total annual impacts from reduced non-CBD ticketing</t>
  </si>
  <si>
    <r>
      <t xml:space="preserve">Number of weekdays in year </t>
    </r>
    <r>
      <rPr>
        <sz val="8"/>
        <rFont val="Arial"/>
        <family val="2"/>
      </rPr>
      <t xml:space="preserve">(from </t>
    </r>
    <r>
      <rPr>
        <b/>
        <sz val="8"/>
        <rFont val="Arial"/>
        <family val="2"/>
      </rPr>
      <t>Constants</t>
    </r>
    <r>
      <rPr>
        <sz val="8"/>
        <rFont val="Arial"/>
        <family val="2"/>
      </rPr>
      <t xml:space="preserve"> worksheet)</t>
    </r>
  </si>
  <si>
    <t>This entry is intended to capture the savings in insurance premiums for vehicles registered in NYC, owing to the anticipated reduced per-vehicle crash frequency from reduced VMT.</t>
  </si>
  <si>
    <t>Vehicle entries gained from later period due to our tolls</t>
  </si>
  <si>
    <t>Vehicle entries gained from earlier period due to our tolls</t>
  </si>
  <si>
    <t>Net change in auto entries in period due to our tolls</t>
  </si>
  <si>
    <t>Net change in auto entries in period from our tolls + sub. attract.</t>
  </si>
  <si>
    <t>The table indicates that drivers are considerably more likely to time-switch earlier than later, particularly in the morning. This finding is consistent with anecdotal evidence as well as basic observations about time sensitivity and worker obligations, and we employ it in both our driver and subway analyses.</t>
  </si>
  <si>
    <t>Plan</t>
  </si>
  <si>
    <t>2 p.m.</t>
  </si>
  <si>
    <t>3 p.m.</t>
  </si>
  <si>
    <t>4 p.m.</t>
  </si>
  <si>
    <t>5 p.m.</t>
  </si>
  <si>
    <t>6 p.m.</t>
  </si>
  <si>
    <t>7 p.m.</t>
  </si>
  <si>
    <t>8 p.m.</t>
  </si>
  <si>
    <t>9 p.m.</t>
  </si>
  <si>
    <t>10 p.m.</t>
  </si>
  <si>
    <t>11 p.m.</t>
  </si>
  <si>
    <t>Hr Ending</t>
  </si>
  <si>
    <t>Noon</t>
  </si>
  <si>
    <t>Boarding Middle Door Factor, Seconds / Rider</t>
  </si>
  <si>
    <t>Alighting Middle Door Factor, Seconds / Rider</t>
  </si>
  <si>
    <t>Boarding Rear Door  Factor, Seconds / Rider</t>
  </si>
  <si>
    <t xml:space="preserve">Alighting Rear Door Factor, Seconds / Rider </t>
  </si>
  <si>
    <t xml:space="preserve"> # of Riders Boarding thru Middle Door [assumed to be 30% of Total]</t>
  </si>
  <si>
    <t xml:space="preserve"> # of Riders Boarding thru Rear Door [assumed to be 30% of Total]</t>
  </si>
  <si>
    <t># of Riders Alighting thru Front Door [assumed to be 10% of Total]</t>
  </si>
  <si>
    <t># of Riders Alighting thru Middle Door [assumed to be 50% of Total]</t>
  </si>
  <si>
    <t>inflation)</t>
  </si>
  <si>
    <t>Off-peak</t>
  </si>
  <si>
    <t>Big Rig</t>
  </si>
  <si>
    <t>Truck</t>
  </si>
  <si>
    <t>N.A.</t>
  </si>
  <si>
    <r>
      <t xml:space="preserve">b0 and b1 are coefficients </t>
    </r>
    <r>
      <rPr>
        <sz val="8"/>
        <rFont val="Arial"/>
        <family val="2"/>
      </rPr>
      <t>(with values given in email from Matthew Kitchen, PSRC to Deena Patel, 8 Oct. 2008).</t>
    </r>
  </si>
  <si>
    <t>"Passengers’ time costs depend on their value of travel time, which varies by trip purpose, and the number of passengers on each flight. For each of the airports in our sample, we used the U.S. Department of Transportation’s National Household Travel Survey to calculate the percentage of trips whose purpose was business and the percentage whose purpose was pleasure and the average household income for business and pleasure travelers. Consistent with the U.S. Department of Transportation’s (1997) guidelines, we value business travelers’ travel time at 100 percent of the wage and pleasure travelers’ travel time at 70 percent of the wage. Passengers’ values of time in 2005 dollars ranged from $27.13 to $79.16 per hour with a median of $47.97."</t>
  </si>
  <si>
    <t>Value of Time</t>
  </si>
  <si>
    <t>A. Price-elasticity (and other elasticities): definitions and roles in this spreadsheet model</t>
  </si>
  <si>
    <t>B. Elasticity values used in the BTA</t>
  </si>
  <si>
    <t>5. Changes to trip entries due to subway "attraction"</t>
  </si>
  <si>
    <t>Schaller, p. 3</t>
  </si>
  <si>
    <t>Elasticities for calculating "time-switching later" factor</t>
  </si>
  <si>
    <t>(from Motor Vs Weekends)</t>
  </si>
  <si>
    <t>seconds   per    passenger</t>
  </si>
  <si>
    <r>
      <t xml:space="preserve">Invokes average medallion taxi vehicle occupancy from </t>
    </r>
    <r>
      <rPr>
        <b/>
        <sz val="8"/>
        <rFont val="Arial"/>
        <family val="2"/>
      </rPr>
      <t xml:space="preserve">Taxi </t>
    </r>
    <r>
      <rPr>
        <sz val="8"/>
        <rFont val="Arial"/>
        <family val="2"/>
      </rPr>
      <t>worksheet.</t>
    </r>
  </si>
  <si>
    <t>Decrease (increase) in taxicabs driven into and in CBD due to subway work-trip price and duration changes</t>
  </si>
  <si>
    <t>Decrease (increase) in taxicabs driven into and in CBD due to subway non-work-trip price and duration changes</t>
  </si>
  <si>
    <t>Total decrease (increase) in taxicabs driven into and in CBD due to subway price and duration changes</t>
  </si>
  <si>
    <t>Estimated daily weekend VMT of all m.v. trips occuring entirely within cordon (i.e., trips that don't cross cordon)</t>
  </si>
  <si>
    <t>B. Baselines -- Traffic Estimates and Trip Costs disaggregated into different weekend time periods</t>
  </si>
  <si>
    <r>
      <t xml:space="preserve">6. Change in Transit Trips </t>
    </r>
    <r>
      <rPr>
        <b/>
        <u/>
        <sz val="10"/>
        <rFont val="Arial"/>
        <family val="2"/>
      </rPr>
      <t>in/out of CBD</t>
    </r>
    <r>
      <rPr>
        <b/>
        <sz val="10"/>
        <rFont val="Arial"/>
        <family val="2"/>
      </rPr>
      <t xml:space="preserve"> due to Changes in Auto Trips from Pricing</t>
    </r>
  </si>
  <si>
    <t>New fare (with pricing), weekdays</t>
  </si>
  <si>
    <t>Delay Costs</t>
  </si>
  <si>
    <t>Period</t>
  </si>
  <si>
    <t>Share of delay hours experienced outside CBD</t>
  </si>
  <si>
    <t>Share of delay hours experienced within CBD</t>
  </si>
  <si>
    <r>
      <t xml:space="preserve">Cell in box in above row is based on input specified in </t>
    </r>
    <r>
      <rPr>
        <b/>
        <sz val="8"/>
        <rFont val="Arial"/>
        <family val="2"/>
      </rPr>
      <t>Summary</t>
    </r>
    <r>
      <rPr>
        <sz val="8"/>
        <rFont val="Arial"/>
        <family val="2"/>
      </rPr>
      <t xml:space="preserve"> worksheet and draws on acreages est'd in </t>
    </r>
    <r>
      <rPr>
        <b/>
        <sz val="8"/>
        <rFont val="Arial"/>
        <family val="2"/>
      </rPr>
      <t>Cordon</t>
    </r>
    <r>
      <rPr>
        <sz val="8"/>
        <rFont val="Arial"/>
        <family val="2"/>
      </rPr>
      <t xml:space="preserve"> worksheet.</t>
    </r>
  </si>
  <si>
    <t>B. Medallion taxicabs' percentage of above total</t>
  </si>
  <si>
    <t>C. Medallion taxicabs included in above total</t>
  </si>
  <si>
    <t>D. Distribution of those medallion taxicabs in above total</t>
  </si>
  <si>
    <t>Basic Data</t>
  </si>
  <si>
    <t>Same as for March except files were AvgWkndTraf_QMT_Sep07.xls, and AvgWkdayTraf_TBM_Mar07.xls.</t>
  </si>
  <si>
    <t xml:space="preserve"> Wkend / Wkday</t>
  </si>
  <si>
    <t>Total, minutes (round-trip)</t>
  </si>
  <si>
    <t>Dropoff time, minutes</t>
  </si>
  <si>
    <t>3. Normalizing factor #3: different value attached to traveling at optimal time between NYC and Puget Sound region</t>
  </si>
  <si>
    <t>4. Attenuation factor to reflect presumed diminution in value of larger amounts of money saved by time-shifting</t>
  </si>
  <si>
    <t>This entry is intended to capture the avoided climate damage associated with the reduced use of motor vehicle fuels (gasoline and diesel) due to the changes in vehicle miles traveled and traffic speeds from our pricing proposals.We use a mid-range figure for carbon (emissions) taxes in bills considered in Congress.</t>
  </si>
  <si>
    <t>Work Trips</t>
  </si>
  <si>
    <t>FreshDirect</t>
  </si>
  <si>
    <t>F. Sensitivity Analysis</t>
  </si>
  <si>
    <t>The graph below shows the effect of raising or lowering the assumed elasticities on a key BTA indicator: the number of weekday motor vehicle trips into the cordon (CBD). It indicates that changes in both time-elasticities have only a small impact, and that even the most sensitive parameter -- auto price-elasticity -- exerts only around a 1-for-2 effect.</t>
  </si>
  <si>
    <r>
      <t xml:space="preserve">Through-trip % of all entries </t>
    </r>
    <r>
      <rPr>
        <sz val="8"/>
        <rFont val="Arial"/>
        <family val="2"/>
      </rPr>
      <t>(%'s show share of each mode's trips that are est'd to be through-trips)</t>
    </r>
    <r>
      <rPr>
        <sz val="9"/>
        <rFont val="Arial"/>
        <family val="2"/>
      </rPr>
      <t>:</t>
    </r>
  </si>
  <si>
    <t>D. Aggregate Impact of Factors A through C</t>
  </si>
  <si>
    <t>In November 2009, the New York City Council passed, with overwhelming majorities, several bills intended to increase provision of free parking in the city. The most prominent bill would require traffic agents to adhere to a five-minute "grace period" before ticketing a vehicle whose time-controlled parking at a muni meter or sign-regulated curb space has expired. Another bill would expand free parking privileges for clergy.</t>
  </si>
  <si>
    <t>Premise is that inbounds follow shape for work trips while outbounds follow shape for all trips.</t>
  </si>
  <si>
    <t>1. Within Cordon</t>
  </si>
  <si>
    <t>Relative weekend volume to weekday volume</t>
  </si>
  <si>
    <r>
      <t xml:space="preserve">Weighted average price-elasticity for weekday subway trips </t>
    </r>
    <r>
      <rPr>
        <sz val="8"/>
        <rFont val="Arial"/>
        <family val="2"/>
      </rPr>
      <t>(same, but uses weights from Section 1)</t>
    </r>
  </si>
  <si>
    <t>Breakeven</t>
  </si>
  <si>
    <t>in CBD</t>
  </si>
  <si>
    <r>
      <t xml:space="preserve">In his 1992 book, </t>
    </r>
    <r>
      <rPr>
        <i/>
        <sz val="9"/>
        <rFont val="Arial"/>
        <family val="2"/>
      </rPr>
      <t xml:space="preserve">Urban Transportation Economics </t>
    </r>
    <r>
      <rPr>
        <sz val="9"/>
        <rFont val="Arial"/>
        <family val="2"/>
      </rPr>
      <t>(</t>
    </r>
    <r>
      <rPr>
        <sz val="9"/>
        <rFont val="Arial"/>
        <family val="2"/>
      </rPr>
      <t xml:space="preserve">Harwood Academic Publishers, 1992, now distributed by Routledge), Prof. Small fitted the following curve to speed data observed by University of Toronto economics professor Donald DeWees in a corridor in Toronto that he describes as somewhat urban and somewhat suburban. (The Dewees article, which is not Internet-available, is Dewees, Donald N. (1978) "Simulations Of Traffic Congestion In Toronto," </t>
    </r>
    <r>
      <rPr>
        <i/>
        <sz val="9"/>
        <rFont val="Arial"/>
        <family val="2"/>
      </rPr>
      <t>Transportation Research</t>
    </r>
    <r>
      <rPr>
        <sz val="9"/>
        <rFont val="Arial"/>
        <family val="2"/>
      </rPr>
      <t>, Vol. 12, pp. 153-161</t>
    </r>
    <r>
      <rPr>
        <sz val="9"/>
        <rFont val="Arial"/>
        <family val="2"/>
      </rPr>
      <t>. See Table 7.)</t>
    </r>
  </si>
  <si>
    <t>W e l c o m e    t o  . . .</t>
  </si>
  <si>
    <t>KEA estimate from 2003 analysis for "The Hours: Time Savings from Tolling the East River Bridges"</t>
  </si>
  <si>
    <t>Cost</t>
  </si>
  <si>
    <t>Taxi ridership, millions, 2005 (number of fare trips, not number of passengers)</t>
  </si>
  <si>
    <t>Used going forward (traffic analysis)</t>
  </si>
  <si>
    <t xml:space="preserve">Cruising: </t>
  </si>
  <si>
    <t>Occupied:</t>
  </si>
  <si>
    <r>
      <t xml:space="preserve">Cruising % is from </t>
    </r>
    <r>
      <rPr>
        <b/>
        <sz val="8"/>
        <rFont val="Arial"/>
        <family val="2"/>
      </rPr>
      <t>Taxis</t>
    </r>
    <r>
      <rPr>
        <sz val="8"/>
        <rFont val="Arial"/>
        <family val="2"/>
      </rPr>
      <t xml:space="preserve"> worksheet.</t>
    </r>
  </si>
  <si>
    <r>
      <t xml:space="preserve">Time to access mode, minutes </t>
    </r>
    <r>
      <rPr>
        <sz val="8"/>
        <rFont val="Arial"/>
        <family val="2"/>
      </rPr>
      <t>(at start + finish)</t>
    </r>
  </si>
  <si>
    <t xml:space="preserve">Total weekday VMT inside cordon </t>
  </si>
  <si>
    <t>S U B T O T A L, Economic, Social and Environmental Costs and Benefits</t>
  </si>
  <si>
    <t>http://www.bls.gov/ncs/ocs/sp/ncbl1197.txt (Bureau of Labor Statistics, National Compensation Survey)</t>
  </si>
  <si>
    <t>Ratio, NYC-area wage rates to US average</t>
  </si>
  <si>
    <t>C. Change in Motor Vehicle Emissions (Final Emissions, in Part B, less Baseline Emissions, in Part A)</t>
  </si>
  <si>
    <t>Annual Total</t>
  </si>
  <si>
    <t>LDV fuel economy</t>
  </si>
  <si>
    <t>Bus fuel economy</t>
  </si>
  <si>
    <t>Emissions</t>
  </si>
  <si>
    <r>
      <t xml:space="preserve">  Avenue miles south of 60th St. </t>
    </r>
    <r>
      <rPr>
        <sz val="8"/>
        <rFont val="Arial"/>
        <family val="2"/>
      </rPr>
      <t>(may be useful for redesign)</t>
    </r>
  </si>
  <si>
    <r>
      <t xml:space="preserve">  Street miles south of 60th St. </t>
    </r>
    <r>
      <rPr>
        <sz val="8"/>
        <rFont val="Arial"/>
        <family val="2"/>
      </rPr>
      <t>(may be useful for redesign)</t>
    </r>
  </si>
  <si>
    <t>Morning Peak (6-9 a.m.)</t>
  </si>
  <si>
    <t>60th St.</t>
  </si>
  <si>
    <t>NJ</t>
  </si>
  <si>
    <t>C</t>
  </si>
  <si>
    <t>J</t>
  </si>
  <si>
    <t>This worksheet presents the exponential polynomial equation (and graphic visualization) of the empirically derived relationship between vehicle speeds and vehicle mpg's observed on California freeways, to convert calculated different average speeds into mpg estimates and CO2 emissions.</t>
  </si>
  <si>
    <t>NYC fuel-economy penalty (vs. US average)</t>
  </si>
  <si>
    <t>Gal., NYC</t>
  </si>
  <si>
    <t>NYC gasoline price premium</t>
  </si>
  <si>
    <t>NYC Gas</t>
  </si>
  <si>
    <t>Share</t>
  </si>
  <si>
    <t>Wolff and Vilain compared “before” (uniform tolls) trip volumes and “after” (with time-varied tolls) volumes, and derived these results:</t>
  </si>
  <si>
    <t>Total chng in cordon VMT after tolls</t>
  </si>
  <si>
    <t>Changes in cordon inbound VMT in period</t>
  </si>
  <si>
    <t>Changes in cordon outbound VMT in period</t>
  </si>
  <si>
    <t>Changes in non-cordon inbound VMT in period</t>
  </si>
  <si>
    <t>Changes in non-cordon outbound VMT in period</t>
  </si>
  <si>
    <t>Taxicab outbound trips are assumed to follow same distribution as inbound.</t>
  </si>
  <si>
    <t>Morning After Peak</t>
  </si>
  <si>
    <t>Evening Peak</t>
  </si>
  <si>
    <t>Evening Before Peak</t>
  </si>
  <si>
    <t>Factor (ratio)</t>
  </si>
  <si>
    <t>Baseline mph</t>
  </si>
  <si>
    <t>Equilibrium mph</t>
  </si>
  <si>
    <t>6 a.m. - 6 p.m.</t>
  </si>
  <si>
    <t>24h</t>
  </si>
  <si>
    <t>Cordon</t>
  </si>
  <si>
    <t>Non-Cordon</t>
  </si>
  <si>
    <t>The hourly wages to which they are applied are derived from several sources. For personal travel by surface modes, the standard adopted is median annual household income, as reported by the Bureau of the Census, divided by 2,000 hours. This figure amounted to $17.00 in 1995. For business travel, the source employed was employee compensation figures supplied by the Bureau of Labor Statistics. For all surface travelers on business except truck drivers, the hourly wage figure, including the hourly value of fringe benefits, was $18.80. Truck drivers received combined wages and benefits of $16.50. Because air travel is a higher-cost service used by higher-income passengers, incomes were based on a survey by the Air Transport Association yielding figures of $27.80 for personal travel and $34.50 for business travel. In special cases where general aviation travelers represent a large share of the affected traffic, a weighted average income may be used, incorporating the wage of $37.50 for these travelers. This figure is derived from a survey of its members by the Aircraft Owners and Pilots Association (AOPA).</t>
  </si>
  <si>
    <t>Revenue Calculations (weekdays only)</t>
  </si>
  <si>
    <t>Weekend entries</t>
  </si>
  <si>
    <t>The US DOT 1997 guidelines document on which the Morrison-Winston figures are based are contained in the document, The Value of Saving Travel Time: Departmental Guidance for Conducting Economic Evaluations, &lt;http://ostpxweb.dot.gov/policy/Data/VOT97guid.pdf&gt;. The following excerpts are from p. 3 of doc (4 of 33):</t>
  </si>
  <si>
    <r>
      <t xml:space="preserve">Weighted average price-elasticity for weekend/holiday subway trips </t>
    </r>
    <r>
      <rPr>
        <sz val="8"/>
        <rFont val="Arial"/>
        <family val="2"/>
      </rPr>
      <t>(from Section 7, above)</t>
    </r>
  </si>
  <si>
    <t>A. Volumes</t>
  </si>
  <si>
    <t>B. Attractions to Subway</t>
  </si>
  <si>
    <t>Ratio, average weekday subway price "after" to same "before"</t>
  </si>
  <si>
    <t>Ratio, average weekend subway price "after" to same "before"</t>
  </si>
  <si>
    <t>C. Vehicle Occupancies</t>
  </si>
  <si>
    <t>Fare Collection</t>
  </si>
  <si>
    <t>All figures are annual.</t>
  </si>
  <si>
    <t>Mean per-mile savings from time switching</t>
  </si>
  <si>
    <r>
      <t xml:space="preserve">Estimated ratio of freeway to arterial miles in PSRC study </t>
    </r>
    <r>
      <rPr>
        <sz val="8"/>
        <rFont val="Arial"/>
        <family val="2"/>
      </rPr>
      <t>(Komanoff est.)</t>
    </r>
  </si>
  <si>
    <t>Total subway cost (fare + time)</t>
  </si>
  <si>
    <t>Total bus cost (fare + time)</t>
  </si>
  <si>
    <r>
      <t xml:space="preserve">Daily VMT from m.v. trips to cordon, </t>
    </r>
    <r>
      <rPr>
        <u/>
        <sz val="9"/>
        <rFont val="Arial"/>
        <family val="2"/>
      </rPr>
      <t>before</t>
    </r>
  </si>
  <si>
    <t xml:space="preserve">Warren </t>
  </si>
  <si>
    <t>CONNECTICUT</t>
  </si>
  <si>
    <t>Litchfield</t>
  </si>
  <si>
    <t>REGION</t>
  </si>
  <si>
    <t>Price to Park (market) is KEA estimate, interpolating linearly between 1975 and 2005 rates estimated by KEA.</t>
  </si>
  <si>
    <t>Bus Usage</t>
  </si>
  <si>
    <t>Factors in box to left adjust inbound work and thru-trip shares of auto trips from their 24-h averages. Value of 1.00 indicates no adjustment, i.e., that percent of work or thru trips in period matches 24-h avg for that trip type. Thus, factor of 2.00 for graveyard-shift thru-trips indicates that thru-trips in that shift had twice their overall (24-h) share of trips. Non-work trip factors aren't shown because they "fall out of" the work and thru-trip shares. Factors were selected by Komanoff, based on judgment.</t>
  </si>
  <si>
    <t>% of miles w/i CBD</t>
  </si>
  <si>
    <t>w/i CBD</t>
  </si>
  <si>
    <t>Taxis shown separately</t>
  </si>
  <si>
    <t>Kings</t>
  </si>
  <si>
    <t>Brooklyn Sector</t>
  </si>
  <si>
    <t>Westbound - Inbound</t>
  </si>
  <si>
    <t>Add Impact of Reduced Traffic</t>
  </si>
  <si>
    <t>Pounds of Carbon Dioxide (CO2) per gallon of gasoline combusted</t>
  </si>
  <si>
    <t>Taxi Surcharge</t>
  </si>
  <si>
    <t>Taxis</t>
  </si>
  <si>
    <t>Annual Revenue, millions, 2005</t>
  </si>
  <si>
    <t>These percentages will help estimate traffic speeds within respective periods, since speeds are essentially a function of traffic volumes (densities).</t>
  </si>
  <si>
    <t>Half of above</t>
  </si>
  <si>
    <t>% of E. River crossings that paid toll in 2005</t>
  </si>
  <si>
    <t>Sum of hourly volumes was 6.6% greater than inbound sum at left, due to preponderance of high weighting factors in high-volume hours. Solution was to normalize each entry by reciprocal of ratio of sums.</t>
  </si>
  <si>
    <r>
      <t xml:space="preserve">Calculated by apportioning 24-h total entries into charging zone for each trip type shown in </t>
    </r>
    <r>
      <rPr>
        <b/>
        <sz val="8"/>
        <rFont val="Arial"/>
        <family val="2"/>
      </rPr>
      <t>Motor Vs Weekends</t>
    </r>
    <r>
      <rPr>
        <sz val="8"/>
        <rFont val="Arial"/>
        <family val="2"/>
      </rPr>
      <t>, among the three respective components.</t>
    </r>
  </si>
  <si>
    <t>Change in auto work person-trips from congestion pricing (persons)</t>
  </si>
  <si>
    <t>These figures are shown at right for the different trip types and time periods.</t>
  </si>
  <si>
    <t>(from CK's ICCT work in Calif.)</t>
  </si>
  <si>
    <t>Weekday entries</t>
  </si>
  <si>
    <t>Toll per trip</t>
  </si>
  <si>
    <t>Daily toll revenue, $000</t>
  </si>
  <si>
    <t>Differential (in percentage points) between 3-country average and NYC, bike %</t>
  </si>
  <si>
    <t>Day-to-Year Multiplier for typical cycling VMT per day</t>
  </si>
  <si>
    <t>Anticipated change in NYC VMT from pricing policies</t>
  </si>
  <si>
    <t>Share of NYC-3-country cycling differential that these policies would eliminate</t>
  </si>
  <si>
    <t>Number of hours of delay due to parked trucks</t>
  </si>
  <si>
    <t>To find the average probability of shifting in a period we need to integrate</t>
  </si>
  <si>
    <t>Calculated as ratio of total annual bus ridership directly above, to daily weekday local + express ridership earlier in this section.</t>
  </si>
  <si>
    <r>
      <t xml:space="preserve">Final breakout </t>
    </r>
    <r>
      <rPr>
        <i/>
        <sz val="9"/>
        <rFont val="Arial"/>
        <family val="2"/>
      </rPr>
      <t>without</t>
    </r>
    <r>
      <rPr>
        <sz val="9"/>
        <rFont val="Arial"/>
        <family val="2"/>
      </rPr>
      <t xml:space="preserve"> added cars </t>
    </r>
    <r>
      <rPr>
        <sz val="8"/>
        <rFont val="Arial"/>
        <family val="2"/>
      </rPr>
      <t xml:space="preserve">(taken from </t>
    </r>
    <r>
      <rPr>
        <b/>
        <sz val="8"/>
        <rFont val="Arial"/>
        <family val="2"/>
      </rPr>
      <t>Motor Vs</t>
    </r>
    <r>
      <rPr>
        <sz val="8"/>
        <rFont val="Arial"/>
        <family val="2"/>
      </rPr>
      <t>)</t>
    </r>
  </si>
  <si>
    <t>Figures in cols. are in feet</t>
  </si>
  <si>
    <t>Baseline trips</t>
  </si>
  <si>
    <t>(from Motor Vs)</t>
  </si>
  <si>
    <t>Subways</t>
  </si>
  <si>
    <t>Motor Vs (Weekends)</t>
  </si>
  <si>
    <t>5. Spatial Implications of Reduced VMT w/i CBD -- using Times Square as a metric</t>
  </si>
  <si>
    <t>Total acres, CBD Streets and Avenues (rounded)</t>
  </si>
  <si>
    <t xml:space="preserve">Total Lane-Miles, Streets + Avenues Combined </t>
  </si>
  <si>
    <t>Same as above, but expressed in acres</t>
  </si>
  <si>
    <t>Note: Non-work trips tend to have (slightly) higher parking costs because of fewer free-parking perks.</t>
  </si>
  <si>
    <t>Wghtd Avg</t>
  </si>
  <si>
    <t>Subway fare collection costs as % of collected revenue (1982)</t>
  </si>
  <si>
    <t>MTA 2007 Budget, section entitled NYC Transit, 2008 Final Proposed Budget, November Financial Plan 2008-2011. Available at http://mta.info/mta/budget/nov2007/part6.pdf.</t>
  </si>
  <si>
    <r>
      <t xml:space="preserve">Speeds </t>
    </r>
    <r>
      <rPr>
        <sz val="8"/>
        <rFont val="Arial"/>
        <family val="2"/>
      </rPr>
      <t>(calculated as average of the speeds calculated in this and the prior traffic rounds (#2 and #1), to help the calculated cordon entries converge toward equilibrium)</t>
    </r>
  </si>
  <si>
    <t>With Pricing</t>
  </si>
  <si>
    <t>Annual, 000</t>
  </si>
  <si>
    <t xml:space="preserve">Baseline reduxn (or incrs) of trips by user-specified amount </t>
  </si>
  <si>
    <t>I N B O U N D   T R I P S   I N T O   C O R D O N - breakdown into work, nonwork, and thru trips</t>
  </si>
  <si>
    <t>Final breakout of trips, including baseline reduxn</t>
  </si>
  <si>
    <t>Time lost cruising between fares, minutes</t>
  </si>
  <si>
    <t>hours</t>
  </si>
  <si>
    <t>Total Cordon VMT with second rebound effect</t>
  </si>
  <si>
    <t>Baseline Traffic Reduction</t>
  </si>
  <si>
    <t>Peak toll</t>
  </si>
  <si>
    <t>Toll Ratio (peak to pre or post peak), all into-CBD trips</t>
  </si>
  <si>
    <t>Period entries with fifth rebound effect but before sixth</t>
  </si>
  <si>
    <r>
      <t xml:space="preserve">Toll rates are for round trips. L.I. figure is from </t>
    </r>
    <r>
      <rPr>
        <b/>
        <sz val="8"/>
        <rFont val="Arial"/>
        <family val="2"/>
      </rPr>
      <t xml:space="preserve">Price to Drive </t>
    </r>
    <r>
      <rPr>
        <sz val="8"/>
        <rFont val="Arial"/>
        <family val="2"/>
      </rPr>
      <t>worksheet. North of NYC assumes token amount for NYS Thruway, CT Pike and Harlem Riv crossings. West of Hudson reflects Port Authority crossings discounts for off-peak and E-ZPass (see http://www.panynj.gov/CommutingTravel/bridges/pdfs/01_08_05_TollRatesFile.pdf).</t>
    </r>
  </si>
  <si>
    <r>
      <t xml:space="preserve">(same, although several drivers interviewed indicated that the average for </t>
    </r>
    <r>
      <rPr>
        <i/>
        <sz val="8"/>
        <rFont val="Arial"/>
        <family val="2"/>
      </rPr>
      <t>all</t>
    </r>
    <r>
      <rPr>
        <sz val="8"/>
        <rFont val="Arial"/>
        <family val="2"/>
      </rPr>
      <t xml:space="preserve"> users is appreciably less, perhaps in the $120 range)</t>
    </r>
  </si>
  <si>
    <t>Delay Calculations due to parked trucks</t>
  </si>
  <si>
    <t>Delays (hours), per day</t>
  </si>
  <si>
    <t>C. Taxis</t>
  </si>
  <si>
    <t>Daily cordon auto entries in period after tolls and subway attraction</t>
  </si>
  <si>
    <t>Estimated percent of NYC non-walking trips that are made by bicycle</t>
  </si>
  <si>
    <t>Other Manhattan + Queens</t>
  </si>
  <si>
    <t>Calculated as ratio of "prior" to "new" cordon traffic speeds, raised to "time elasticity of vehicle travel" for truck trips</t>
  </si>
  <si>
    <t>Formula 2: exponential</t>
  </si>
  <si>
    <t>City of New York, Dept. of Citywide Admin Services, Notice of Examination, No. 3025, Station Agent, Jan. 2004, available at http://www.nyc.gov/html/dcas/downloads/pdf/noes/stationagent.pdf.</t>
  </si>
  <si>
    <t>Inflation factor to 2007</t>
  </si>
  <si>
    <t>10. Changes in non-cordon VMT due to changes in taxi usage resulting from changes in taxi fare</t>
  </si>
  <si>
    <t>11. Non-cordon speeds after the tolls</t>
  </si>
  <si>
    <r>
      <t xml:space="preserve">Split of private auto users ("tolled out" of taxi trips) </t>
    </r>
    <r>
      <rPr>
        <sz val="8"/>
        <rFont val="Arial"/>
        <family val="2"/>
      </rPr>
      <t>(Komanoff assumption)</t>
    </r>
  </si>
  <si>
    <t>Hourly traffic after tolls (includes pre-existing intra-CBD traffic)</t>
  </si>
  <si>
    <t>12. Cordon Trip Durations, after tolls</t>
  </si>
  <si>
    <t>11. Non-cordon speeds after tolls</t>
  </si>
  <si>
    <t>D. Taxi Trips (abandoned due to higher taxi fare; excludes taxi trips switching to transit/auto/bike/walk due to higher fare)</t>
  </si>
  <si>
    <t>Trips eliminated, per day</t>
  </si>
  <si>
    <t>Increase in taxi fare that led to those trips being eliminated</t>
  </si>
  <si>
    <r>
      <t xml:space="preserve">Estimated average net benefit of eliminated trips to trip-takers </t>
    </r>
    <r>
      <rPr>
        <sz val="8"/>
        <rFont val="Arial"/>
        <family val="2"/>
      </rPr>
      <t>(= 1/2 of fare incrs)</t>
    </r>
  </si>
  <si>
    <t xml:space="preserve">C. Non-cordon speeds </t>
  </si>
  <si>
    <t>Wghtd by number of strt. and ave. lane-mi</t>
  </si>
  <si>
    <r>
      <t xml:space="preserve">The model is based on factors for low-floor vehicles cited in TCRP's Transit Capacity and Quality of Service Manual. These factors assume pre-pay boarding through all three doors of a low floor vehicle. </t>
    </r>
    <r>
      <rPr>
        <b/>
        <sz val="8"/>
        <rFont val="Arial"/>
        <family val="2"/>
      </rPr>
      <t>Boarding</t>
    </r>
    <r>
      <rPr>
        <sz val="8"/>
        <rFont val="Arial"/>
        <family val="2"/>
      </rPr>
      <t xml:space="preserve">, through all doors, is based on a factor of .88 seconds per passenger, increased by 20% to 1.06 when significant alighting occurs through the same door. </t>
    </r>
    <r>
      <rPr>
        <b/>
        <sz val="8"/>
        <rFont val="Arial"/>
        <family val="2"/>
      </rPr>
      <t>Alighting Front Door</t>
    </r>
    <r>
      <rPr>
        <sz val="8"/>
        <rFont val="Arial"/>
        <family val="2"/>
      </rPr>
      <t xml:space="preserve"> is based on a factor of 1.28 seconds per passenger, increased by 20% to 1.54 when significant boarding occurs through the same door. </t>
    </r>
    <r>
      <rPr>
        <b/>
        <sz val="8"/>
        <rFont val="Arial"/>
        <family val="2"/>
      </rPr>
      <t>Alighting Middle and Rear Door</t>
    </r>
    <r>
      <rPr>
        <sz val="8"/>
        <rFont val="Arial"/>
        <family val="2"/>
      </rPr>
      <t xml:space="preserve"> is based on a factor of .68 seconds per passenger, increased by 20% to .82 when significant boarding occurs through the same door. </t>
    </r>
    <r>
      <rPr>
        <b/>
        <sz val="8"/>
        <rFont val="Arial"/>
        <family val="2"/>
      </rPr>
      <t>Door Closure</t>
    </r>
    <r>
      <rPr>
        <sz val="8"/>
        <rFont val="Arial"/>
        <family val="2"/>
      </rPr>
      <t xml:space="preserve"> time of 2 seconds is based on TCRP statistics as well as a review of original NYCT data.  </t>
    </r>
  </si>
  <si>
    <r>
      <t xml:space="preserve">"Splits" calculated by prorating weekday splits by work vs. non-work splits in </t>
    </r>
    <r>
      <rPr>
        <b/>
        <sz val="8"/>
        <rFont val="Arial"/>
        <family val="2"/>
      </rPr>
      <t>Weekday Hours</t>
    </r>
    <r>
      <rPr>
        <sz val="8"/>
        <rFont val="Arial"/>
        <family val="2"/>
      </rPr>
      <t xml:space="preserve"> and </t>
    </r>
    <r>
      <rPr>
        <b/>
        <sz val="8"/>
        <rFont val="Arial"/>
        <family val="2"/>
      </rPr>
      <t>Weekend Hours</t>
    </r>
    <r>
      <rPr>
        <sz val="8"/>
        <rFont val="Arial"/>
        <family val="2"/>
      </rPr>
      <t xml:space="preserve"> worksheets.</t>
    </r>
  </si>
  <si>
    <t>T O T A L S (in cordon)</t>
  </si>
  <si>
    <t>NA</t>
  </si>
  <si>
    <t>This section assigns weekday VMT's for each trip category to different time periods, and establishes basic cost and time parameters for each combination of trip type and period.</t>
  </si>
  <si>
    <t>Daily motor vehicle trips into cordon</t>
  </si>
  <si>
    <t xml:space="preserve">Lincoln Tunnel </t>
  </si>
  <si>
    <t xml:space="preserve">Total PANYNJ </t>
  </si>
  <si>
    <t>Motor Vs (Vehicles)</t>
  </si>
  <si>
    <t>MPG factor for trucks relative to autos (non-taxicabs)</t>
  </si>
  <si>
    <r>
      <t xml:space="preserve">Multiplies previous row values by work trip vehicle occupancy in </t>
    </r>
    <r>
      <rPr>
        <b/>
        <sz val="8"/>
        <rFont val="Arial"/>
        <family val="2"/>
      </rPr>
      <t xml:space="preserve">H.I.S. </t>
    </r>
    <r>
      <rPr>
        <sz val="8"/>
        <rFont val="Arial"/>
        <family val="2"/>
      </rPr>
      <t>worksheet.</t>
    </r>
  </si>
  <si>
    <t>time to lower toll in hours</t>
  </si>
  <si>
    <t>p</t>
  </si>
  <si>
    <t>probability of shifting</t>
  </si>
  <si>
    <t>Non-cordon VMT in period, inbound leg of trips</t>
  </si>
  <si>
    <t>Non-cordon VMT in period, outbound leg of trips</t>
  </si>
  <si>
    <t>The number of trips that change is then given by the product of C (which is a percent) and the "baseline" number of trips in the period. We divide up that quantity into three parts, based on the relative magnitudes of D, E and L.</t>
  </si>
  <si>
    <r>
      <t xml:space="preserve">For intra-cordon travel </t>
    </r>
    <r>
      <rPr>
        <sz val="8"/>
        <rFont val="Arial"/>
        <family val="2"/>
      </rPr>
      <t>(are shown + sourced at right for each trip type and time bin; see "Discussion" text several rows below; factors apply to next traffic iterations)</t>
    </r>
  </si>
  <si>
    <r>
      <t xml:space="preserve">For non-cordon travel </t>
    </r>
    <r>
      <rPr>
        <sz val="8"/>
        <rFont val="Arial"/>
        <family val="2"/>
      </rPr>
      <t>(ditto)</t>
    </r>
  </si>
  <si>
    <t>Percentage of taxi VMT spent cruising</t>
  </si>
  <si>
    <t>Percentage of medallion taxi trips that are CBD-related</t>
  </si>
  <si>
    <t>(Other) Subway Service Changes</t>
  </si>
  <si>
    <t>Denotes expected % incrs in avg duration of subway trips, apart from previous item (transit investment). Set to zero if no change, positive for worsening of service, negative for improvements.</t>
  </si>
  <si>
    <t>Area used by entire CBD fleet if parked 24-7 (acres)</t>
  </si>
  <si>
    <t>Total distance (one way)</t>
  </si>
  <si>
    <t>Percentage breakdown of payment</t>
  </si>
  <si>
    <r>
      <t xml:space="preserve">Parking charges </t>
    </r>
    <r>
      <rPr>
        <sz val="8"/>
        <rFont val="Arial"/>
        <family val="2"/>
      </rPr>
      <t>(rates paid for trips that pay for parking)</t>
    </r>
  </si>
  <si>
    <t>Intra-cordon VMT is zero for thru-trips, by definition.</t>
  </si>
  <si>
    <t xml:space="preserve"># of tolls (baseline) for thru-trips, ratio to that for non-thru trips (Komanoff est.): </t>
  </si>
  <si>
    <t>daily</t>
  </si>
  <si>
    <t>Above, rounded</t>
  </si>
  <si>
    <t>A.M. Peak</t>
  </si>
  <si>
    <t>Intra-Cordon VMT</t>
  </si>
  <si>
    <t>Average weekend bus ridership (local + express)</t>
  </si>
  <si>
    <t>Breakdown of above between work and non-work trips.</t>
  </si>
  <si>
    <t>2. Hourly Subway Trips to CBD, Baseline (weekdays)</t>
  </si>
  <si>
    <t>Calculated as ratio of total annual bus ridership directly above, to daily weekend local + express ridership earlier in this section.</t>
  </si>
  <si>
    <t>Bayonne Bridge</t>
  </si>
  <si>
    <t>Goethals Bridge</t>
  </si>
  <si>
    <t>Outerbridge Crossing</t>
  </si>
  <si>
    <t>Cost of wait time in a typical taxi trip</t>
  </si>
  <si>
    <r>
      <t xml:space="preserve">Note that the comparable value for NYC cordon trips will be "read" from the applicable toll shown in the </t>
    </r>
    <r>
      <rPr>
        <b/>
        <sz val="9"/>
        <rFont val="Arial"/>
        <family val="2"/>
      </rPr>
      <t>Motor V's</t>
    </r>
    <r>
      <rPr>
        <sz val="9"/>
        <rFont val="Arial"/>
        <family val="2"/>
      </rPr>
      <t xml:space="preserve"> worksheet.</t>
    </r>
  </si>
  <si>
    <r>
      <t xml:space="preserve">Change in auto trips (persons) </t>
    </r>
    <r>
      <rPr>
        <sz val="8"/>
        <rFont val="Arial"/>
        <family val="2"/>
      </rPr>
      <t>(x-elasticities times resp. changes in work/non-work)</t>
    </r>
  </si>
  <si>
    <t>Change in average citywide weekend auto miles due to increase in bus trips</t>
  </si>
  <si>
    <r>
      <t xml:space="preserve">The NY Times reported &lt;http://dealbook.blogs.nytimes.com/2009/12/02/in-denmark-ambitious-plan-for-electric-cars/&gt; in December 2009 that Denmark's national government was providing free parking in downtown Copenhagen for electric vehicles in order to stimulate EV sales. Here, </t>
    </r>
    <r>
      <rPr>
        <b/>
        <sz val="9"/>
        <rFont val="Arial"/>
        <family val="2"/>
      </rPr>
      <t>we estimate the extent to which free CBD parking would stimulate motor vehicle trips into the CBD.</t>
    </r>
  </si>
  <si>
    <r>
      <t xml:space="preserve">The baseline values (prices) to drive into the CBD in the </t>
    </r>
    <r>
      <rPr>
        <b/>
        <sz val="9"/>
        <rFont val="Arial"/>
        <family val="2"/>
      </rPr>
      <t>Motor Vs</t>
    </r>
    <r>
      <rPr>
        <sz val="9"/>
        <rFont val="Arial"/>
        <family val="2"/>
      </rPr>
      <t xml:space="preserve"> worksheet already contain estimated parking costs. These are calculated and shown for the six different trip types and the seven different entry periods, and are copied below for the two trip types that might receive EV exemptions: work trips, and non-work trips.</t>
    </r>
  </si>
  <si>
    <r>
      <t xml:space="preserve">Work Trips </t>
    </r>
    <r>
      <rPr>
        <sz val="9"/>
        <rFont val="Arial"/>
        <family val="2"/>
      </rPr>
      <t>-- baseline parking costs</t>
    </r>
  </si>
  <si>
    <r>
      <t xml:space="preserve">Non-Work Trips </t>
    </r>
    <r>
      <rPr>
        <sz val="9"/>
        <rFont val="Arial"/>
        <family val="2"/>
      </rPr>
      <t>-- baseline parking costs</t>
    </r>
  </si>
  <si>
    <r>
      <t xml:space="preserve">Toll "Bin" for each period </t>
    </r>
    <r>
      <rPr>
        <sz val="9"/>
        <rFont val="Arial"/>
        <family val="2"/>
      </rPr>
      <t xml:space="preserve">(pertains to bins in </t>
    </r>
    <r>
      <rPr>
        <b/>
        <sz val="9"/>
        <rFont val="Arial"/>
        <family val="2"/>
      </rPr>
      <t>Weekday Hours</t>
    </r>
    <r>
      <rPr>
        <sz val="9"/>
        <rFont val="Arial"/>
        <family val="2"/>
      </rPr>
      <t xml:space="preserve"> worksheet, col. H)</t>
    </r>
  </si>
  <si>
    <r>
      <t xml:space="preserve">Average (weighted) parking cost for each period </t>
    </r>
    <r>
      <rPr>
        <sz val="9"/>
        <rFont val="Arial"/>
        <family val="2"/>
      </rPr>
      <t>(calc'd manually by weighting # of CBD entries)</t>
    </r>
  </si>
  <si>
    <t>Baseline Parking Costs by Toll Bin</t>
  </si>
  <si>
    <t>Non-wk Trips</t>
  </si>
  <si>
    <r>
      <t xml:space="preserve">Dwell Time, % of total trip time </t>
    </r>
    <r>
      <rPr>
        <sz val="8"/>
        <rFont val="Arial"/>
        <family val="2"/>
      </rPr>
      <t>(not used in any subsequent calculation, but an interesting figure)</t>
    </r>
  </si>
  <si>
    <t>Fare-Free Boarding Impact Only</t>
  </si>
  <si>
    <t xml:space="preserve">Total weekend VMT inside cordon </t>
  </si>
  <si>
    <t>Period entries with first rebound effect but before second</t>
  </si>
  <si>
    <t>Total Cordon VMT before second rebound effect</t>
  </si>
  <si>
    <t>4. Effect of Subway Trip Changes on Auto Trips into CBD</t>
  </si>
  <si>
    <t>Change in auto non-work person-trips from congestion pricing (persons)</t>
  </si>
  <si>
    <t>Thru Trips</t>
  </si>
  <si>
    <t>Avg value of a driver's hour</t>
  </si>
  <si>
    <r>
      <t xml:space="preserve">A. Calculations for all vehicles </t>
    </r>
    <r>
      <rPr>
        <b/>
        <sz val="9"/>
        <rFont val="Arial"/>
        <family val="2"/>
      </rPr>
      <t>(i.e., no differentiation between cars' and trucks' delay causation)</t>
    </r>
  </si>
  <si>
    <t>Congestion causation by one truck or bus = T</t>
  </si>
  <si>
    <t>Congestion causation by one auto = C</t>
  </si>
  <si>
    <t>Ratio of one truck's congestion causation to one auto's congestion causation = T/C, which we'll call F.</t>
  </si>
  <si>
    <t>Nomenclature</t>
  </si>
  <si>
    <t xml:space="preserve">A. NYC and Manhattan VMT </t>
  </si>
  <si>
    <r>
      <t xml:space="preserve">This worksheet distills data "pairs" of traffic densities and traffic speeds gathered by the Santa Clara Valley (Calif.) Transportation Authority (SCVTA) into mathematical relationships that are used elsewhere in the spreadsheet (particularly in the all-important </t>
    </r>
    <r>
      <rPr>
        <b/>
        <sz val="9"/>
        <rFont val="Arial"/>
        <family val="2"/>
      </rPr>
      <t>Motor V's</t>
    </r>
    <r>
      <rPr>
        <sz val="9"/>
        <rFont val="Arial"/>
        <family val="2"/>
      </rPr>
      <t xml:space="preserve"> worksheet) to translate changes in traffic volumes due to tolling, into changes in traffic speeds.</t>
    </r>
    <r>
      <rPr>
        <b/>
        <sz val="9"/>
        <rFont val="Arial"/>
        <family val="2"/>
      </rPr>
      <t/>
    </r>
  </si>
  <si>
    <t>Matthew Barth and Kanok Boriboonsomsin, College of Engineering, Center for Environmental Research and Technology, University of California at Riverside, Real-World CO2 Impacts of Traffic Congestion (TRB 2008).</t>
  </si>
  <si>
    <t>MPG factor for driving within cordon:</t>
  </si>
  <si>
    <t>Cordon VMT from cordon return trips</t>
  </si>
  <si>
    <t>Calculated as 2007-adjusted per-hour salary, times ratio of Labor Total to Payroll</t>
  </si>
  <si>
    <t>Calculated from Lookup table below. Second part of formula (after plus sign) prorates gain from "last" investment under $100 million. IF statement ensures Lookup doesn't search for zero.</t>
  </si>
  <si>
    <t>% reduxn</t>
  </si>
  <si>
    <t>Lincoln Tunnel</t>
  </si>
  <si>
    <t>Data through 2000 are from Komanoff spreadsheet, "MTA Hub Bound Volumes _ CK Mods 17 Jan 03.xls," prepared as part of analysis for TSTC on travel impacts from different MTA toll scenarios.</t>
  </si>
  <si>
    <t>VMT Comparisons</t>
  </si>
  <si>
    <t>Baseline VMT</t>
  </si>
  <si>
    <t>Equilibrium VMT</t>
  </si>
  <si>
    <t>This price-elasticity value for driving (negative 0.691) is midway between the values taken from the TSRPC report and used in this study: negative 0.5 for work trips and negative 0.9 for non-work trips.</t>
  </si>
  <si>
    <t>CO2</t>
  </si>
  <si>
    <t>Change in auto non-work trips from congestion pricing (vehicles)</t>
  </si>
  <si>
    <t>Wkday incrs, 22h (all except am + pm peaks)</t>
  </si>
  <si>
    <r>
      <t xml:space="preserve">1 and 2 are from </t>
    </r>
    <r>
      <rPr>
        <b/>
        <sz val="8"/>
        <rFont val="Arial"/>
        <family val="2"/>
      </rPr>
      <t>Constants</t>
    </r>
    <r>
      <rPr>
        <sz val="8"/>
        <rFont val="Arial"/>
        <family val="2"/>
      </rPr>
      <t xml:space="preserve"> worksheet. 5 is derived in this worksheet, at end of Part 3. 7 (normalized) is product of normalized values for 2, 5 and 6. Remaining figures (percentages and ratios) are calculated from them.</t>
    </r>
  </si>
  <si>
    <t>NYC Transit "Bus: Wait Assessement" reports wait times within "acceptable limits" 81.7% of time during 7 a.m. - 7 p.m. for 2006 and first half 2007 (http://www.mta.info/mta/ind-perform/month/nyct-b-wait.htm). Criteria are 3 minutes max 7-9 a.m. and 4-7 p.m. (peak) and 5 minutes 9 a.m.-4 p.m (shoulder). We assume 40% of passengers are peak and average 2.5 minutes; 40% shoulder averaging 4.5 minutes; 20% off-peak averaging 7 minutes.</t>
  </si>
  <si>
    <t>Place of residence</t>
  </si>
  <si>
    <t>G. Traffic Impacts of Congestion Charge (Traffic Round 5 • Rebound Effect 4)</t>
  </si>
  <si>
    <t>H.I.S. (Household Interview Survey)</t>
  </si>
  <si>
    <t>One, minus previous percentage</t>
  </si>
  <si>
    <t>Finally, there are "cross-elasticities." These express the rate at which trips that are stripped from one mode (e.g., auto) due to increased price or duration reappear in another mode (e.g., transit).</t>
  </si>
  <si>
    <t xml:space="preserve">% of non-CBD VMT </t>
  </si>
  <si>
    <t>Schaller, p. 48.</t>
  </si>
  <si>
    <t>Mostly Manhattanites</t>
  </si>
  <si>
    <r>
      <t xml:space="preserve">Split bus trips betw work and non-work </t>
    </r>
    <r>
      <rPr>
        <sz val="8"/>
        <rFont val="Arial"/>
        <family val="2"/>
      </rPr>
      <t xml:space="preserve">(baseline proportions in </t>
    </r>
    <r>
      <rPr>
        <b/>
        <sz val="8"/>
        <rFont val="Arial"/>
        <family val="2"/>
      </rPr>
      <t>Buses</t>
    </r>
    <r>
      <rPr>
        <sz val="8"/>
        <rFont val="Arial"/>
        <family val="2"/>
      </rPr>
      <t>)</t>
    </r>
  </si>
  <si>
    <r>
      <t>Cross-elasticities</t>
    </r>
    <r>
      <rPr>
        <sz val="8"/>
        <rFont val="Arial"/>
        <family val="2"/>
      </rPr>
      <t xml:space="preserve"> (Change in Auto Volume per Change in Transit Volume)</t>
    </r>
  </si>
  <si>
    <r>
      <t>Change in wkday bus trips</t>
    </r>
    <r>
      <rPr>
        <sz val="8"/>
        <rFont val="Arial"/>
        <family val="2"/>
      </rPr>
      <t xml:space="preserve"> </t>
    </r>
  </si>
  <si>
    <t>However, the assumed share of trucks and buses in the vehicle mix is less on weekends than on weekdays. Thus, if, as we have assumed, the baseline volume of motor vehicles entering the CBD on weekends is approximately 85% of the weekday volume, then the "effective volume" of traffic on weekends must be somewhat less than 85% of the weekday "effective volume," due to the lesser preponderance of large vehicles on weekends.</t>
  </si>
  <si>
    <t>for the NNYN Web page summarizing the plan: &lt;http://www.nnyn.org/kheelplan/kheel_plan2.html&gt;</t>
  </si>
  <si>
    <t xml:space="preserve">Brooklyn Bridge </t>
  </si>
  <si>
    <t xml:space="preserve">Manhattan Bridge </t>
  </si>
  <si>
    <t xml:space="preserve">Total East River </t>
  </si>
  <si>
    <r>
      <t xml:space="preserve">Daily cordon auto return trips </t>
    </r>
    <r>
      <rPr>
        <sz val="8"/>
        <rFont val="Arial"/>
        <family val="2"/>
      </rPr>
      <t>(figures are vehicles, not persons)</t>
    </r>
  </si>
  <si>
    <t>Number of medallion taxicabs</t>
  </si>
  <si>
    <t>(We will consider reducing truck speeds to reflect lesser maneuverability in traffic.)</t>
  </si>
  <si>
    <t>(We will consider reducing bus speeds to reflect lesser maneuverability in traffic and continual stopping to admit and discharge.)</t>
  </si>
  <si>
    <t>Adjustment factors for trucks and buses</t>
  </si>
  <si>
    <t>Source: New York Metropolitan Transportation Council, September 2004</t>
  </si>
  <si>
    <r>
      <t xml:space="preserve">This item captures the health and environmental benefits of reducing emissions of "conventional" air pollutants due to reduced vehicle miles driven and improved traffic flow. Method is to reference metric tons of pollutant reductions from </t>
    </r>
    <r>
      <rPr>
        <b/>
        <i/>
        <sz val="9"/>
        <rFont val="Arial"/>
        <family val="2"/>
      </rPr>
      <t xml:space="preserve">Emissions </t>
    </r>
    <r>
      <rPr>
        <i/>
        <sz val="9"/>
        <rFont val="Arial"/>
        <family val="2"/>
      </rPr>
      <t>worksheet, convert to (short) tons, and multiply by best available estimates of per-ton health and environmental costs associated w/ each pollutant.</t>
    </r>
  </si>
  <si>
    <t>A further note on the dollar value of reduced health/environmental damages from air pollution</t>
  </si>
  <si>
    <r>
      <t xml:space="preserve">Note: </t>
    </r>
    <r>
      <rPr>
        <sz val="8"/>
        <rFont val="Arial"/>
        <family val="2"/>
      </rPr>
      <t xml:space="preserve">This Section ("E") is first whose architecture is duplicated in succeeding iterations. </t>
    </r>
  </si>
  <si>
    <t>CBD miles included in that distance</t>
  </si>
  <si>
    <t>We use hourly volumes of all crossings into Manhattan (combined) as our data base.</t>
  </si>
  <si>
    <t>The bridge portion is estimated in Part C. Here, for the longer section from the origin to the bridge entrance, we calculate, for each borough or county, the percentage of commute trips by auto that culminate in the CBD. This is done in the table directly below.</t>
  </si>
  <si>
    <t>Estimated by KEA; reflects miles circulating within the delivery zone.</t>
  </si>
  <si>
    <t>3. Miles hovering/delivering (total)</t>
  </si>
  <si>
    <t>Shoulder</t>
  </si>
  <si>
    <t>Rate Class</t>
  </si>
  <si>
    <t>Totals (excluding Manhattan South of 86th St.)</t>
  </si>
  <si>
    <t>Speeds</t>
  </si>
  <si>
    <t>Cordon speeds</t>
  </si>
  <si>
    <t>Non-cordon speeds</t>
  </si>
  <si>
    <t>Ulster</t>
  </si>
  <si>
    <t>NEW JERSEY</t>
  </si>
  <si>
    <t xml:space="preserve">Morris </t>
  </si>
  <si>
    <t>Periods:</t>
  </si>
  <si>
    <t>Inbound %'s</t>
  </si>
  <si>
    <t>Outbound %'s</t>
  </si>
  <si>
    <t># of Riders Alighting thru Rear Door [assumed to be 40% of Total]</t>
  </si>
  <si>
    <t>Front Door Dwell Time (Boarding + Alighting + Door Closure) [seconds]</t>
  </si>
  <si>
    <t>Rear Door Dwell Time (Boarding + Alighting + Door Closure) [seconds]</t>
  </si>
  <si>
    <t xml:space="preserve">Arrival Time </t>
  </si>
  <si>
    <t xml:space="preserve">Departure Time </t>
  </si>
  <si>
    <t>Total Dwell Time mm:ss</t>
  </si>
  <si>
    <t>n/a</t>
  </si>
  <si>
    <t xml:space="preserve">Terminus </t>
  </si>
  <si>
    <t>Total Actual Trip Time:</t>
  </si>
  <si>
    <t>Number of Riders Boarding</t>
  </si>
  <si>
    <t xml:space="preserve">Number of Riders Alighting </t>
  </si>
  <si>
    <t>Loading Com-pletion Time</t>
  </si>
  <si>
    <t xml:space="preserve">Actual Travel Time, Dwell Time, and Passenger Data </t>
  </si>
  <si>
    <t>These six columns are reproduced exactly from the MTA's spreadsheet</t>
  </si>
  <si>
    <t>These cols. are from MTA spreadsheet, worksheet "tab" E2, reformatted for clarity.</t>
  </si>
  <si>
    <r>
      <t xml:space="preserve">First four categories are from </t>
    </r>
    <r>
      <rPr>
        <b/>
        <sz val="8"/>
        <rFont val="Arial"/>
        <family val="2"/>
      </rPr>
      <t>Hub-Bound</t>
    </r>
    <r>
      <rPr>
        <sz val="8"/>
        <rFont val="Arial"/>
        <family val="2"/>
      </rPr>
      <t xml:space="preserve"> worksheet, based on NYMTC data. Trucks are also from </t>
    </r>
    <r>
      <rPr>
        <b/>
        <sz val="8"/>
        <rFont val="Arial"/>
        <family val="2"/>
      </rPr>
      <t>Hub-Bound</t>
    </r>
    <r>
      <rPr>
        <sz val="8"/>
        <rFont val="Arial"/>
        <family val="2"/>
      </rPr>
      <t xml:space="preserve"> worksheet. Bus is Komanoff estimate. Note, however, that some of truck and bus trips shown are allocated (below) to through-trips.</t>
    </r>
  </si>
  <si>
    <t>Share of each mode's trips that are est'd to be through-trips</t>
  </si>
  <si>
    <t>1. Establish hourly volumes and define rate periods on the basis of relative volumes.</t>
  </si>
  <si>
    <t>(1)</t>
  </si>
  <si>
    <t>(5)</t>
  </si>
  <si>
    <t>(4)</t>
  </si>
  <si>
    <t>(3)</t>
  </si>
  <si>
    <t>(2)</t>
  </si>
  <si>
    <t>Box, "Weekend Toll Levels," near top of Cols. AD &amp; AE</t>
  </si>
  <si>
    <t>This part assumes fare-free boarding</t>
  </si>
  <si>
    <t>Method 2 for Displaying Results: Delays broken down by amounts that the other travelers experienced on inbound or outbound leg of  their trips</t>
  </si>
  <si>
    <t>x^4</t>
  </si>
  <si>
    <t>x^3</t>
  </si>
  <si>
    <t>x^2</t>
  </si>
  <si>
    <t>x</t>
  </si>
  <si>
    <t>Speed</t>
  </si>
  <si>
    <t>2-day tot.</t>
  </si>
  <si>
    <r>
      <t xml:space="preserve">Outside Cordon (all VMT on cordon-bound roads, not just VMT from cordon-bound </t>
    </r>
    <r>
      <rPr>
        <i/>
        <u/>
        <sz val="9"/>
        <rFont val="Arial"/>
        <family val="2"/>
      </rPr>
      <t>trips</t>
    </r>
    <r>
      <rPr>
        <i/>
        <sz val="9"/>
        <rFont val="Arial"/>
        <family val="2"/>
      </rPr>
      <t>)</t>
    </r>
  </si>
  <si>
    <r>
      <t xml:space="preserve">This section presents a reality check: the final item, </t>
    </r>
    <r>
      <rPr>
        <b/>
        <sz val="9"/>
        <rFont val="Arial"/>
        <family val="2"/>
      </rPr>
      <t>% Other CBD VMT</t>
    </r>
    <r>
      <rPr>
        <sz val="9"/>
        <rFont val="Arial"/>
        <family val="2"/>
      </rPr>
      <t>, should probably be between one-fifth and one-fourth.</t>
    </r>
  </si>
  <si>
    <t>Finally, a very small number of daily commuters account for a disproportionate number of taxi rides. Based on 2000 Census data, 1.6 percent of the city’s labor force, or 53,600 people, use taxis and other for-hire vehicles as their primary means of commuting to work on a daily basis. Although 53,600 people may not sound like a lot, given that commuting is a twice-a-workday event, these taxi commuters potentially generate in excess of 25 million trips per year (at 235 workdays per year, times twice per day), which is more than 10 percent of all taxicab usage. (CK note: With 172 million taxi trips per year by all riders -- see Section A -- these "super users" would account for 15% (25/172) of medallion taxicab usage.)</t>
  </si>
  <si>
    <t>Shift</t>
  </si>
  <si>
    <t>Delays, Minutes</t>
  </si>
  <si>
    <t>Delays, Minutes/Mile</t>
  </si>
  <si>
    <t>[take 10% off BTK figure)</t>
  </si>
  <si>
    <t xml:space="preserve">  Implied lane-miles south of 60th St.</t>
  </si>
  <si>
    <t xml:space="preserve">  Number of lane-miles</t>
  </si>
  <si>
    <t xml:space="preserve">  Lanes per street</t>
  </si>
  <si>
    <t xml:space="preserve">  Adjusted lanes per street reflecting narrowing in south</t>
  </si>
  <si>
    <t>Travel time, minutes</t>
  </si>
  <si>
    <t>Total time, minutes</t>
  </si>
  <si>
    <t>% imprvmnt</t>
  </si>
  <si>
    <t>Assumed ratio of NYC-area value to Puget Sound region value:</t>
  </si>
  <si>
    <r>
      <t xml:space="preserve">See </t>
    </r>
    <r>
      <rPr>
        <b/>
        <sz val="8"/>
        <rFont val="Arial"/>
        <family val="2"/>
      </rPr>
      <t>Time Switching</t>
    </r>
    <r>
      <rPr>
        <sz val="8"/>
        <rFont val="Arial"/>
        <family val="2"/>
      </rPr>
      <t xml:space="preserve"> worksheet for our methodology for calculating time-shifting.</t>
    </r>
  </si>
  <si>
    <t>Assumptions</t>
  </si>
  <si>
    <t>Thru-Trips (#, not VMT)</t>
  </si>
  <si>
    <t>VMT w/ Thru Trips Assigned</t>
  </si>
  <si>
    <t>Max Density</t>
  </si>
  <si>
    <t>Mixed</t>
  </si>
  <si>
    <t>HOV</t>
  </si>
  <si>
    <t/>
  </si>
  <si>
    <t>Total Cordon VMT before sixth rebound effect</t>
  </si>
  <si>
    <t>Total Cordon VMT with sixth rebound effect</t>
  </si>
  <si>
    <t>Split</t>
  </si>
  <si>
    <t>Taxi Volume w/r/t Taxi Time (one value for all trips)</t>
  </si>
  <si>
    <t>As given in the TSRPC report</t>
  </si>
  <si>
    <t>As modified + applied in this spreadsheet</t>
  </si>
  <si>
    <t>Total Trip Time Observed for "A" (above value, in seconds)</t>
  </si>
  <si>
    <t>Note: first row below, w/ 17 boarders in 19 seconds, strains credulity.</t>
  </si>
  <si>
    <t>Total chng in non-cordon VMT after tolls</t>
  </si>
  <si>
    <t>Delay cost, minus toll. This column is for sole purpose of graph at right. It allows top of blue bar to match delay cost instead of appearing as "added" to toll.</t>
  </si>
  <si>
    <t>Cordon Trip Durations, reflecting changed traffic volumes from rebound effect</t>
  </si>
  <si>
    <t>Current Adjusted Subway Fares ("Fare 1"), Work Trips vs. Non-Work Trips</t>
  </si>
  <si>
    <t>Weekday/Weekend breakout (un-normalized)</t>
  </si>
  <si>
    <r>
      <t xml:space="preserve">3. Time-Switching of cordon entries between toll periods </t>
    </r>
    <r>
      <rPr>
        <sz val="8"/>
        <rFont val="Arial"/>
        <family val="2"/>
      </rPr>
      <t xml:space="preserve">(see </t>
    </r>
    <r>
      <rPr>
        <b/>
        <sz val="8"/>
        <rFont val="Arial"/>
        <family val="2"/>
      </rPr>
      <t xml:space="preserve">Time Switching </t>
    </r>
    <r>
      <rPr>
        <sz val="8"/>
        <rFont val="Arial"/>
        <family val="2"/>
      </rPr>
      <t>worksheet for methodology and sources)</t>
    </r>
  </si>
  <si>
    <t>b0</t>
  </si>
  <si>
    <t>b1</t>
  </si>
  <si>
    <t>b2</t>
  </si>
  <si>
    <t>b3</t>
  </si>
  <si>
    <t>b4</t>
  </si>
  <si>
    <t>% of VMT</t>
  </si>
  <si>
    <t>million</t>
  </si>
  <si>
    <t>All figures are inputted or calculated directly from this or other worksheets, except as noted.</t>
  </si>
  <si>
    <t>2. Manhattan River Crossings (2006 data)</t>
  </si>
  <si>
    <r>
      <t xml:space="preserve">5. Total VMT Outside Cordon </t>
    </r>
    <r>
      <rPr>
        <b/>
        <sz val="8"/>
        <rFont val="Arial"/>
        <family val="2"/>
      </rPr>
      <t>(for cordon-bound trips)</t>
    </r>
  </si>
  <si>
    <t>A. Non-cordon VMT for trips that ultimately enter the cordon</t>
  </si>
  <si>
    <t>Average weekday, Saturday, and Sunday ridership includes every weekday, Saturday, and Sunday in the year, except major holidays.  Ridership on major holidays (New Year’s Day, Presidents’ Day, Memorial Day, Independence Day, Labor Day, Thanksgiving, and Christmas) is included only in the annual total.</t>
  </si>
  <si>
    <t>NYC Adopted Budget FY 2008, http://www.nyc.gov/html/omb/pdf/fp6_07.pdf. Budget lines include Parking Violations Bureau, City Meter Parking Service, and OTPS</t>
  </si>
  <si>
    <t>Recent-year gross revenue from parking tickets, citywide</t>
  </si>
  <si>
    <t>Estimated loss of gross revenue due to the new bills</t>
  </si>
  <si>
    <t>Estimated percent of gross revenue to be eliminated by the new bills</t>
  </si>
  <si>
    <t>Number of metered curb spaces in CBD</t>
  </si>
  <si>
    <t>Number of metered curb spaces in NYC</t>
  </si>
  <si>
    <t>Guide to Street Parking in New York City. See this page: http://www.nytix.com/Parking/articles/streetparkingtips.html.</t>
  </si>
  <si>
    <t>CBD share of metered curb spaces</t>
  </si>
  <si>
    <t>Assumed percent of parking ticket elimination to be experienced within the CBD</t>
  </si>
  <si>
    <t>Rounded from prior figure</t>
  </si>
  <si>
    <t>Estimated loss of gross revenue due to the new bills' application to parking within the CBD</t>
  </si>
  <si>
    <t>Estimated "intensity" (per day) ticketing on weekends/holidays vs. weekdays</t>
  </si>
  <si>
    <t>Komanoff estimate, intended to encompass near-zero rate for weekends/holidays as well as lower for Saturdays</t>
  </si>
  <si>
    <t>Percentage of parking ticket revenue collected on weekdays</t>
  </si>
  <si>
    <t>Gross revenue loss in CBD parking revenue on weekdays</t>
  </si>
  <si>
    <t>Number of car and truck (but not taxi or bus) trips into CBD on typical weekday</t>
  </si>
  <si>
    <t>Number of weekday car and truck (but not taxi or bus) trips into CBD, per year</t>
  </si>
  <si>
    <t>Gross revenue loss in CBD parking revenue on weekdays, per car/truck trip into CBD</t>
  </si>
  <si>
    <t>Issue and Approach</t>
  </si>
  <si>
    <t>Assumed  Boarding and Alighting Distribution</t>
  </si>
  <si>
    <t>Scenario E2:  Low Floor Vehicle, Three Doors, Boarding All Doors, Alighting All Doors, Pre-Pay Fare Payment</t>
  </si>
  <si>
    <t>min</t>
  </si>
  <si>
    <t xml:space="preserve">Bus Stop </t>
  </si>
  <si>
    <t>Estimated Boarding Front Door Time [seconds]</t>
  </si>
  <si>
    <t>Estimated % of all taxi miles that occur w/i CBD</t>
  </si>
  <si>
    <r>
      <t xml:space="preserve">Adjustment factors for NYC conditions, including arterials and local streets with stop-and-go driving </t>
    </r>
    <r>
      <rPr>
        <sz val="9"/>
        <rFont val="Arial"/>
        <family val="2"/>
      </rPr>
      <t>(to be applied to values given by real-world equation)</t>
    </r>
  </si>
  <si>
    <t>for the NNYN press release announcing the Kheel II Plan: &lt;http://www.nnyn.org/kheelplan/kheel_plan_release.html&gt;</t>
  </si>
  <si>
    <t xml:space="preserve">Alexander Hamilton Bridge </t>
  </si>
  <si>
    <t xml:space="preserve">Broadway Bridge </t>
  </si>
  <si>
    <t xml:space="preserve">Macombs Dam Bridge </t>
  </si>
  <si>
    <t xml:space="preserve">Madison Avenue Bridge </t>
  </si>
  <si>
    <t xml:space="preserve">Third Avenue Bridge </t>
  </si>
  <si>
    <t>Calculated as ratio of "new" to "prior" traffic volume, raised to "time elasticity of vehicle travel" for auto work trips (see Elasticity)</t>
  </si>
  <si>
    <r>
      <t xml:space="preserve">Delay time attributable to </t>
    </r>
    <r>
      <rPr>
        <b/>
        <u/>
        <sz val="9"/>
        <rFont val="Arial"/>
        <family val="2"/>
      </rPr>
      <t>parking</t>
    </r>
    <r>
      <rPr>
        <b/>
        <sz val="9"/>
        <rFont val="Arial"/>
        <family val="2"/>
      </rPr>
      <t xml:space="preserve"> FreshDirect trucks within CBD (multiplied by truck factor)</t>
    </r>
  </si>
  <si>
    <t>Average vehicle miles, EPA, denotes EPA-rated average mpg for passenger vehicles in NYC, weighted by shares of sedans and light trucks.</t>
  </si>
  <si>
    <r>
      <t>. . . the</t>
    </r>
    <r>
      <rPr>
        <b/>
        <sz val="16"/>
        <rFont val="Arial"/>
        <family val="2"/>
      </rPr>
      <t xml:space="preserve"> Balanced Transportation Analyzer </t>
    </r>
    <r>
      <rPr>
        <b/>
        <sz val="12"/>
        <rFont val="Arial"/>
        <family val="2"/>
      </rPr>
      <t>(Version 1.1)</t>
    </r>
  </si>
  <si>
    <t>Komanoff estimate reflecting both "stickiness" in rates and non-VMT-related damage costs.</t>
  </si>
  <si>
    <t>New auto trips from tolled-off taxi trips that stayed in CBD (didn't breach cordon)</t>
  </si>
  <si>
    <t>Number of trips entering or leaving hub that are work-related</t>
  </si>
  <si>
    <t>Number of trips entering or leaving hub that are not work-related</t>
  </si>
  <si>
    <t>Period entries with second rebound effect but before third</t>
  </si>
  <si>
    <t>Subway trip cost (fare component) from new pricing</t>
  </si>
  <si>
    <t>Bus trip cost (fare component) from new pricing</t>
  </si>
  <si>
    <t>The Summary Output table (further below) indicates that each percentage change in the number of Manhattan jobs is associated with a 0.61% change in the number of E. River crossings; while each percentage change in the price to drive across the E. River is associated with an oppositely-signed 70% change in the number of crossings.</t>
  </si>
  <si>
    <t>Subways + Bus</t>
  </si>
  <si>
    <t>mean:</t>
  </si>
  <si>
    <r>
      <t xml:space="preserve">Cordon VMT per hour </t>
    </r>
    <r>
      <rPr>
        <sz val="8"/>
        <rFont val="Arial"/>
        <family val="2"/>
      </rPr>
      <t>(needed to calculate 24-h + 12-h avgs below)</t>
    </r>
  </si>
  <si>
    <t>Reciprocals of Speeds</t>
  </si>
  <si>
    <t>Total Period VMT</t>
  </si>
  <si>
    <t>Weekday increase, a.m. peak (8-9)</t>
  </si>
  <si>
    <t>Weekday increase, p.m. peak (5-6)</t>
  </si>
  <si>
    <r>
      <t xml:space="preserve">Ratio of Annual Bus Ridership to Average Weekday Ridership </t>
    </r>
    <r>
      <rPr>
        <sz val="8"/>
        <rFont val="Arial"/>
        <family val="2"/>
      </rPr>
      <t xml:space="preserve">(from </t>
    </r>
    <r>
      <rPr>
        <b/>
        <sz val="8"/>
        <rFont val="Arial"/>
        <family val="2"/>
      </rPr>
      <t>Buses</t>
    </r>
    <r>
      <rPr>
        <sz val="8"/>
        <rFont val="Arial"/>
        <family val="2"/>
      </rPr>
      <t>, Section 5)</t>
    </r>
  </si>
  <si>
    <t>Formula uses logic statements that select for free buses and/or subways.</t>
  </si>
  <si>
    <t>EMPLOYMENT (000)</t>
  </si>
  <si>
    <t>Increase</t>
  </si>
  <si>
    <t>Hours in period</t>
  </si>
  <si>
    <t>11 p.m. - 5 a.m.</t>
  </si>
  <si>
    <t>Maintenance Savings from Eliminating Bus Fare</t>
  </si>
  <si>
    <t>AUTO TRIPS FOR WORK</t>
  </si>
  <si>
    <t>AUTO TRIPS FOR NON-WORK</t>
  </si>
  <si>
    <t>Base Passenger Car Toll</t>
  </si>
  <si>
    <t>Triboro Manh.</t>
  </si>
  <si>
    <t>Totals</t>
  </si>
  <si>
    <t>Trib M</t>
  </si>
  <si>
    <t>TMP</t>
  </si>
  <si>
    <t>X-Products</t>
  </si>
  <si>
    <t>billion</t>
  </si>
  <si>
    <t>VMT in Cordon (miles)</t>
  </si>
  <si>
    <r>
      <t xml:space="preserve">Re-apportionment is done to divide trips among work, non-work and taxi, in </t>
    </r>
    <r>
      <rPr>
        <b/>
        <sz val="8"/>
        <rFont val="Arial"/>
        <family val="2"/>
      </rPr>
      <t xml:space="preserve">Traffic </t>
    </r>
    <r>
      <rPr>
        <sz val="8"/>
        <rFont val="Arial"/>
        <family val="2"/>
      </rPr>
      <t>worksheet. Percentages are then rounded to nearest 5%.</t>
    </r>
  </si>
  <si>
    <t>Manh X-ings</t>
  </si>
  <si>
    <t>Non-Work</t>
  </si>
  <si>
    <t xml:space="preserve">This worksheet estimates impacts on bus trip times from (i) fare-free boarding and (ii) improved traffic flow. The fare-free boarding analysis draws heavily on a spreadsheet created by NYC Transit staff as part of their early planning effort for Bus Rapid Transit, which was provided to the Kheel Team in 2007. (Copy available on request.) Among NYCT's twelve modeled scenarios were several involving fare prepayment, of which the one most analogous to free transit is reproduced further below. </t>
  </si>
  <si>
    <t>NYCT time factors; are inputted into columns O, Q, S, U, W, Y and AA</t>
  </si>
  <si>
    <t>Section A presents the NYCT time measurements for current conditions and estimated times for a three-door scenario.</t>
  </si>
  <si>
    <t>Section B adjusts the NYCT time three-door scenario to a two-door scenario.</t>
  </si>
  <si>
    <t>Sections C and D combine trip time savings from pre-payment with time savings from reduced traffic due to the tolls.</t>
  </si>
  <si>
    <t>Komanoff estimates, seeking to reflect substantial percentage of auto trips that are through-trips as reported in Schaller, "Necessity or Choice? Why People Drive in Manhattan."</t>
  </si>
  <si>
    <t>Note: factors &gt; 1 default to 1, since algorithm is invoked only for switching out.</t>
  </si>
  <si>
    <t>Total trip cost, standard deviation</t>
  </si>
  <si>
    <t>Komanoff assumption, that st dev = following percentage of respective mean:</t>
  </si>
  <si>
    <r>
      <t xml:space="preserve">Multiplier to </t>
    </r>
    <r>
      <rPr>
        <u/>
        <sz val="9"/>
        <rFont val="Arial"/>
        <family val="2"/>
      </rPr>
      <t>fare</t>
    </r>
    <r>
      <rPr>
        <sz val="9"/>
        <rFont val="Arial"/>
        <family val="2"/>
      </rPr>
      <t xml:space="preserve"> miles to include </t>
    </r>
    <r>
      <rPr>
        <u/>
        <sz val="9"/>
        <rFont val="Arial"/>
        <family val="2"/>
      </rPr>
      <t>cruising</t>
    </r>
    <r>
      <rPr>
        <sz val="9"/>
        <rFont val="Arial"/>
        <family val="2"/>
      </rPr>
      <t xml:space="preserve"> miles and therefore calculate </t>
    </r>
    <r>
      <rPr>
        <u/>
        <sz val="9"/>
        <rFont val="Arial"/>
        <family val="2"/>
      </rPr>
      <t>total</t>
    </r>
    <r>
      <rPr>
        <sz val="9"/>
        <rFont val="Arial"/>
        <family val="2"/>
      </rPr>
      <t xml:space="preserve"> taxi miles</t>
    </r>
  </si>
  <si>
    <t xml:space="preserve">CBD fare miles </t>
  </si>
  <si>
    <r>
      <t>Convex Elasticity</t>
    </r>
    <r>
      <rPr>
        <b/>
        <sz val="8"/>
        <rFont val="Arial"/>
        <family val="2"/>
      </rPr>
      <t xml:space="preserve"> </t>
    </r>
    <r>
      <rPr>
        <sz val="8"/>
        <rFont val="Arial"/>
        <family val="2"/>
      </rPr>
      <t xml:space="preserve">(this is used throughout the BTA, except where a zero price would result in a "singularity," in which case </t>
    </r>
    <r>
      <rPr>
        <b/>
        <sz val="8"/>
        <rFont val="Arial"/>
        <family val="2"/>
      </rPr>
      <t>Point Elasticity</t>
    </r>
    <r>
      <rPr>
        <sz val="8"/>
        <rFont val="Arial"/>
        <family val="2"/>
      </rPr>
      <t xml:space="preserve"> must be used). It embodies the Law of Diminishing Returns, whereby each successive increment in price yields a lesser quantity response.</t>
    </r>
  </si>
  <si>
    <t>Komanoff estimates. Note that percentages pertain to all bus trips, not merely bus trips into CBD.</t>
  </si>
  <si>
    <t>Annual Toll Revenues from Port Authority Crossings into the CBD, millions</t>
  </si>
  <si>
    <t>Two-year moving averages are used, to "smooth" temporary aberrations in travel data. The one-time but severe changes in travel patterns imposed after the 2001 attack on the World Trade Center make it advisable to combine five years of data (2001-2005) into a single averaged data row.</t>
  </si>
  <si>
    <t>The Data</t>
  </si>
  <si>
    <t>Factor Change</t>
  </si>
  <si>
    <t>e denotes elasticity</t>
  </si>
  <si>
    <t>% Change</t>
  </si>
  <si>
    <t>Delta</t>
  </si>
  <si>
    <t>VMT other than intra-cordon</t>
  </si>
  <si>
    <t>We remain confident in the original spreadsheet's (BTA 1.0) overall accuracy and consistency and its capacity to reasonably predict policy outcomes. At this point, however, BTA 1.0 is useful primarily as an historical artifact. For transport-policy debates in New York City and elsewhere, the reader should use the present spreadsheet, BTA 1.1.</t>
  </si>
  <si>
    <t>Prof. Small approximated Equation 1 as follows:</t>
  </si>
  <si>
    <t>Any paid parking for through-trips is paid outside the CBD, where parking is often free (at homes, stores, office parks, factories, etc.). Our simple approach is to assume an average parking cost equal to a constant percent of the mean costs for work and non-work auto trips shown in the previous two column blocks. The percentage is selected directly below.</t>
  </si>
  <si>
    <t>CO (carbon monoxide)</t>
  </si>
  <si>
    <t>PM10 (Particulate Matter, 10 microns or less in diameter)</t>
  </si>
  <si>
    <t>NOx (Oxides of Nitrogen)</t>
  </si>
  <si>
    <t xml:space="preserve">TOG </t>
  </si>
  <si>
    <t xml:space="preserve">CO </t>
  </si>
  <si>
    <t>Average time value of a vehicle-hour, within cordon</t>
  </si>
  <si>
    <t>Average time value of a vehicle-hour, outside cordon</t>
  </si>
  <si>
    <r>
      <t xml:space="preserve">from </t>
    </r>
    <r>
      <rPr>
        <b/>
        <sz val="8"/>
        <rFont val="Arial"/>
        <family val="2"/>
      </rPr>
      <t xml:space="preserve">Delays </t>
    </r>
    <r>
      <rPr>
        <sz val="8"/>
        <rFont val="Arial"/>
        <family val="2"/>
      </rPr>
      <t>sheet</t>
    </r>
  </si>
  <si>
    <t>wghtd avg of $ below</t>
  </si>
  <si>
    <r>
      <t xml:space="preserve">from </t>
    </r>
    <r>
      <rPr>
        <b/>
        <sz val="8"/>
        <rFont val="Arial"/>
        <family val="2"/>
      </rPr>
      <t>Delays Wknds</t>
    </r>
  </si>
  <si>
    <t xml:space="preserve">University Heights Bridge </t>
  </si>
  <si>
    <t xml:space="preserve">Washington Bridge </t>
  </si>
  <si>
    <t xml:space="preserve">Willis Avenue Bridge </t>
  </si>
  <si>
    <t xml:space="preserve">145th Street Bridge </t>
  </si>
  <si>
    <t xml:space="preserve">Total Harlem River </t>
  </si>
  <si>
    <t xml:space="preserve">Brooklyn-Battery Tunnel </t>
  </si>
  <si>
    <t xml:space="preserve">Henry Hudson Bridge </t>
  </si>
  <si>
    <t xml:space="preserve">Queens-Midtown Tunnel </t>
  </si>
  <si>
    <t xml:space="preserve">Triborough Bridge </t>
  </si>
  <si>
    <t xml:space="preserve">George Washington Bridge </t>
  </si>
  <si>
    <t xml:space="preserve">Holland Tunnel </t>
  </si>
  <si>
    <t>Revenue</t>
  </si>
  <si>
    <t>Fare</t>
  </si>
  <si>
    <t>Summary of Analysis and Calculations in this Worksheet</t>
  </si>
  <si>
    <t>Rounded</t>
  </si>
  <si>
    <t>Calculated, for each trip type, as product of two quantities:</t>
  </si>
  <si>
    <t>Period entries with trird rebound effect but before fourth</t>
  </si>
  <si>
    <t>Period entries with fourth rebound effect but before fifth</t>
  </si>
  <si>
    <t>Period entries with sixth rebound effect but before seventh</t>
  </si>
  <si>
    <t>5. Weekend trips into the CBD, "normalized" per weekday</t>
  </si>
  <si>
    <t>Components</t>
  </si>
  <si>
    <t>Inflation adjustment, 1991 to 2008</t>
  </si>
  <si>
    <t>for a March 10 Streetsblog article: &lt;http://www.streetsblog.org/2009/03/10/beyond-ravitch-still-time-for-a-bolder-plan/&gt;</t>
  </si>
  <si>
    <t>Daily VMT within CBD from auto trips into charging zone</t>
  </si>
  <si>
    <t>Assumed miles that each such trip travels within CBD (one way)</t>
  </si>
  <si>
    <t>Value of a statistical life in the U.S., 1991</t>
  </si>
  <si>
    <t>Ratio (peak to pre or post peak)</t>
  </si>
  <si>
    <t>(CK placeholder estimate)</t>
  </si>
  <si>
    <t>source</t>
  </si>
  <si>
    <t>PANYNJ</t>
  </si>
  <si>
    <t>Earlier period</t>
  </si>
  <si>
    <t>Other periods</t>
  </si>
  <si>
    <t>Later period</t>
  </si>
  <si>
    <r>
      <t xml:space="preserve">VMT from Intra-cordon Trips </t>
    </r>
    <r>
      <rPr>
        <sz val="8"/>
        <rFont val="Arial"/>
        <family val="2"/>
      </rPr>
      <t>(see note in column-block to right; note: intra-cordon trips and VMT aren't subject to toll)</t>
    </r>
  </si>
  <si>
    <t>Delays caused per trip, hours</t>
  </si>
  <si>
    <t>Total W. of Hudson R.</t>
  </si>
  <si>
    <t>Total Suburbs</t>
  </si>
  <si>
    <t>Total Non-CBD</t>
  </si>
  <si>
    <t>Grand Totals</t>
  </si>
  <si>
    <t>Work inbound</t>
  </si>
  <si>
    <t>Light truck % of NYC VMT refers to share of "passenger vehicle" VMT by minivans, pickups and SUV's. Figures are KEA estimates.</t>
  </si>
  <si>
    <t>11 a.m.</t>
  </si>
  <si>
    <t>1 p.m.</t>
  </si>
  <si>
    <t xml:space="preserve">Part 1: Specify ratio of trip length outside to inside CBD </t>
  </si>
  <si>
    <t>In CBD</t>
  </si>
  <si>
    <t>Outside CBD</t>
  </si>
  <si>
    <t>Factors to convert CARB to NYC</t>
  </si>
  <si>
    <t>Air Pollution damage costs eliminated by pricing.</t>
  </si>
  <si>
    <t>(Should be expanded to include damage to visibility and biota, although these will almost certainly add only a few percent to the figures below. -- C.K., 3 Mar. 2010)</t>
  </si>
  <si>
    <t>We have increased these values to reflect higher population density (and, hence, higher population exposure) of NYC vis-a-vis California urban areas.</t>
  </si>
  <si>
    <t>Factors above are Komanoff assumptions for in-CBD and outside-CBD, respectively.</t>
  </si>
  <si>
    <t>POPULATION (000)</t>
  </si>
  <si>
    <t>Queens Midtown</t>
  </si>
  <si>
    <t>Henry Hudson</t>
  </si>
  <si>
    <t>Marine Parkway</t>
  </si>
  <si>
    <t>Cross Bay</t>
  </si>
  <si>
    <t>%</t>
  </si>
  <si>
    <t>Allocable</t>
  </si>
  <si>
    <t>M T A    T O T A L</t>
  </si>
  <si>
    <t xml:space="preserve">MTA (TBTA) </t>
  </si>
  <si>
    <t>George Washington Bridge</t>
  </si>
  <si>
    <t>A. Baseline Data on CBD-bound Trip Volumes and Distances</t>
  </si>
  <si>
    <t>All key results -- revenue generation, traffic reduction, speed improvements -- will now be shown in the 'Results' worksheet.</t>
  </si>
  <si>
    <t>from gasoline</t>
  </si>
  <si>
    <t>from diesel</t>
  </si>
  <si>
    <t>Both factors are Komanoff estimates and are placeholders, pending more exacting derivations.</t>
  </si>
  <si>
    <t>"Real World" referes to on-road traffic conditions on CA highways</t>
  </si>
  <si>
    <t>"Steady State" refers to idealized condition that all vehicles travel at constant velocity</t>
  </si>
  <si>
    <t>Source is Komanoff Excel file, Carbon_Contents_7_Jan_09, which drew on USEPA Web sources that have been removed/replaced. New sources TK.</t>
  </si>
  <si>
    <t>from both</t>
  </si>
  <si>
    <t>Military / national-security ($ millions)</t>
  </si>
  <si>
    <t>Ecological ($ millions)</t>
  </si>
  <si>
    <t>Estimated annual reduction change in societal costs of oil provision, due to congestion pricing ($ millions)</t>
  </si>
  <si>
    <t>Total ($ millions)</t>
  </si>
  <si>
    <t>Enviro ▪ Petroleum</t>
  </si>
  <si>
    <t>Among the interactivities captured (reflected) in the BTA are:</t>
  </si>
  <si>
    <t xml:space="preserve">1. Dual Purpose of the BTA </t>
  </si>
  <si>
    <t>Intended to reflect stopping to pick up and discharge passengers.</t>
  </si>
  <si>
    <t>Each entry is sum of respective entries for the six trip types.</t>
  </si>
  <si>
    <r>
      <t>60/S = 2.5 * [1 + 0.1*(V/V</t>
    </r>
    <r>
      <rPr>
        <vertAlign val="subscript"/>
        <sz val="10"/>
        <rFont val="Arial"/>
        <family val="2"/>
      </rPr>
      <t>K</t>
    </r>
    <r>
      <rPr>
        <sz val="10"/>
        <rFont val="Arial"/>
        <family val="2"/>
      </rPr>
      <t>)</t>
    </r>
    <r>
      <rPr>
        <vertAlign val="superscript"/>
        <sz val="10"/>
        <rFont val="Arial"/>
        <family val="2"/>
      </rPr>
      <t>4</t>
    </r>
    <r>
      <rPr>
        <sz val="10"/>
        <rFont val="Arial"/>
        <family val="2"/>
      </rPr>
      <t>]          (Equation 2)</t>
    </r>
  </si>
  <si>
    <t>Number that are work-related</t>
  </si>
  <si>
    <t>Calculated as ratio of "prior" to "new" non-cordon traffic speeds, raised to "time elasticity of vehicle travel" for thru trips</t>
  </si>
  <si>
    <t>Total Cordon VMT</t>
  </si>
  <si>
    <t>Factor multiple from baseline</t>
  </si>
  <si>
    <t>Table X-7: Trips to the Manhattan CBD from Non-CBD origins by Time of Arrival</t>
  </si>
  <si>
    <t>Type</t>
  </si>
  <si>
    <t>TOTAL</t>
  </si>
  <si>
    <t>12-6a</t>
  </si>
  <si>
    <t>6-10a</t>
  </si>
  <si>
    <t>10a-4p</t>
  </si>
  <si>
    <t>4-8p</t>
  </si>
  <si>
    <t>8p-12a</t>
  </si>
  <si>
    <t>Same data reformatted to compare work to non-work trips.</t>
  </si>
  <si>
    <t>Work trips</t>
  </si>
  <si>
    <t>Non-work trips</t>
  </si>
  <si>
    <t>Premise: each inbound trip eliminated (or added) has corresponding outbound trip elim'd (or added); since precise time of the corresp. trip can't be known, a reasonable approach is to assume outbound trips follow same distribution as all traffic. To extent that outbound trips fall in same time period as inbound, that could indicate trips that pass through cordon en route elsewhere.</t>
  </si>
  <si>
    <t>% of cordon road capacity to be removed from m.v. service</t>
  </si>
  <si>
    <t>Bus Boarding</t>
  </si>
  <si>
    <t>This worksheet derives weighted average toll rates for the three East River crossings operated by MTA Bridges &amp; Tunnels</t>
  </si>
  <si>
    <t>Work trips % of all cordon VMT:</t>
  </si>
  <si>
    <t xml:space="preserve">  Adjusted lanes/ave. reflecting narrowing in south</t>
  </si>
  <si>
    <r>
      <t xml:space="preserve">  Number of lanes @ 60th St. </t>
    </r>
    <r>
      <rPr>
        <sz val="8"/>
        <rFont val="Arial"/>
        <family val="2"/>
      </rPr>
      <t>(excludes W Side Hwy, FDR)</t>
    </r>
  </si>
  <si>
    <r>
      <t xml:space="preserve">  Number of avenues @ 60th St. </t>
    </r>
    <r>
      <rPr>
        <sz val="8"/>
        <rFont val="Arial"/>
        <family val="2"/>
      </rPr>
      <t>(excludes W Side Hwy, FDR)</t>
    </r>
  </si>
  <si>
    <r>
      <t xml:space="preserve">Formulas use parameters from </t>
    </r>
    <r>
      <rPr>
        <b/>
        <sz val="8"/>
        <rFont val="Arial"/>
        <family val="2"/>
      </rPr>
      <t>Traffic</t>
    </r>
    <r>
      <rPr>
        <sz val="8"/>
        <rFont val="Arial"/>
        <family val="2"/>
      </rPr>
      <t xml:space="preserve"> and </t>
    </r>
    <r>
      <rPr>
        <b/>
        <sz val="8"/>
        <rFont val="Arial"/>
        <family val="2"/>
      </rPr>
      <t>Cost-Benefit</t>
    </r>
    <r>
      <rPr>
        <sz val="8"/>
        <rFont val="Arial"/>
        <family val="2"/>
      </rPr>
      <t xml:space="preserve"> worksheets.</t>
    </r>
  </si>
  <si>
    <t>Briefly, the values adopted herein are: 50 percent of the wage for all local personal travel, regardless of the mode employed, 70 percent of the wage for all intercity personal travel, and 100 percent of the wage (plus fringe benefits) for all local and intercity business travel, including travel by truck drivers. These figures are a synthesis of mode-specific and distance-specific values and are broadly consistent with the empirical research. In special cases where out-of-vehicle time (access, waiting, and transfer time) on transit trips is isolated as an object of analysis, the value of 100 percent of the wage is adopted.</t>
  </si>
  <si>
    <t>average probability of shifting for all drivers between 0 and x hours</t>
  </si>
  <si>
    <t>x is in hours and deltax is .25 hours</t>
  </si>
  <si>
    <t>integral of p(x) dx = f(x)</t>
  </si>
  <si>
    <t>lane miles</t>
  </si>
  <si>
    <t>feet per mile</t>
  </si>
  <si>
    <t>sq feet per acre</t>
  </si>
  <si>
    <t>sq feet per sq mile</t>
  </si>
  <si>
    <t>Purchased off-street parking (paid lot or garage)</t>
  </si>
  <si>
    <t>Purchased on-street metered parking</t>
  </si>
  <si>
    <t>Daily increase in hours in CBD traffic per weekday (adjusted to remove hrs in the new trips)</t>
  </si>
  <si>
    <t>Calculated as ratio of "prior" to "new" non-cordon traffic speeds, raised to "time elasticity of vehicle travel" for non-auto work trips</t>
  </si>
  <si>
    <t>The hourly values of time corresponding to these percentages and hourly wage rates are: $8.50 for personal local travel by all modes, $11.90 for personal intercity surface travel; $18.80 for business surface travel; $16.50 for truck drivers; $19.50 for personal air travel; and $34.50 for business air travel. The Office of the Assistant Secretary for Transportation Policy will publish periodic revisions of these figures, based on income data from the Bureau of the Census, the Bureau of Labor Statistics and the Air Transport Association.</t>
  </si>
  <si>
    <t>outside CBD</t>
  </si>
  <si>
    <t>Travel minutes, before</t>
  </si>
  <si>
    <t>Travel minutes, after</t>
  </si>
  <si>
    <t>combined</t>
  </si>
  <si>
    <r>
      <t xml:space="preserve">Percent of (non-taxi) auto trips that are work trips </t>
    </r>
    <r>
      <rPr>
        <sz val="8"/>
        <rFont val="Arial"/>
        <family val="2"/>
      </rPr>
      <t xml:space="preserve">(derived in </t>
    </r>
    <r>
      <rPr>
        <b/>
        <sz val="8"/>
        <rFont val="Arial"/>
        <family val="2"/>
      </rPr>
      <t xml:space="preserve">H.I.S. </t>
    </r>
    <r>
      <rPr>
        <sz val="8"/>
        <rFont val="Arial"/>
        <family val="2"/>
      </rPr>
      <t>Worksheet)</t>
    </r>
  </si>
  <si>
    <t>Used to calculate number of acres per lane-mile:</t>
  </si>
  <si>
    <t>The data in Part A assume a bus with three doors. This assumption tends to overstate the savings in dwell time from eliminating fare collection, since all NYCT buses have two doors. (The three-door scenario presumably was constructed to model a Bus Rapid Transit system with pre-payment that mimics subway cars.) Below, we have modified the NYCT three-door scenario for two doors only. Accordingly, what follows is our own rendition of the NYCT spreadsheet, which we have strived to make as reasonable as possible.</t>
  </si>
  <si>
    <t>% Reduction in Total Dwell Time for Scenario E2 modified to two doors</t>
  </si>
  <si>
    <t>Assumed Boarding and Alighting Distribution (per Komanoff)</t>
  </si>
  <si>
    <t>Specify if Our Tolls Increment or Replace Current Tolls</t>
  </si>
  <si>
    <t>Loaded miles (fare miles + cruising miles) per fare trip</t>
  </si>
  <si>
    <t>Average number of loaded miles that are driven outside CBD, per trip</t>
  </si>
  <si>
    <t>Taxi Volume w/r/t Taxi Cost (one value for all trips)</t>
  </si>
  <si>
    <r>
      <t xml:space="preserve">Price-elasticity refers to the extent to which demand for a product or service or commodity changes as a result of changes in price. An item is considered price-elastic if price swings evoke wider swings in demand — and inelastic if they don’t. Mathematically, </t>
    </r>
    <r>
      <rPr>
        <i/>
        <sz val="9"/>
        <rFont val="Arial"/>
        <family val="2"/>
      </rPr>
      <t>price-elasticity is the percentage change in demand or usage associated with a one percent change in the price.</t>
    </r>
  </si>
  <si>
    <t>an April 16, 2009 Streetsblog article: &lt;http://www.streetsblog.org/2009/04/16/needed-a-better-way-to-sweeten-the-ravitch-plan/&gt;</t>
  </si>
  <si>
    <t>Komanoff assumption. Assumes every third carpool has three people, while 'standard' has two.</t>
  </si>
  <si>
    <t>Total (rounded)</t>
  </si>
  <si>
    <t>Amortization period, years</t>
  </si>
  <si>
    <t>Annualized capital cost</t>
  </si>
  <si>
    <t>B. Maintenance of Subway &amp; Bus Fare Collection Machinery</t>
  </si>
  <si>
    <t>Top of 47th to top of 46th Street</t>
  </si>
  <si>
    <t>Top of 46th to top of 45th Street</t>
  </si>
  <si>
    <t>Top of 45th to top of 44th Street</t>
  </si>
  <si>
    <t>Top of 44th to top of 43rd Street</t>
  </si>
  <si>
    <t>One inch (in grid at left) = feet:</t>
  </si>
  <si>
    <t>Respective areas in feet and acres</t>
  </si>
  <si>
    <t>Square feet</t>
  </si>
  <si>
    <t>Acres</t>
  </si>
  <si>
    <r>
      <t xml:space="preserve">CO2 emission factors for motor fuels, expressed as kg per gallon </t>
    </r>
    <r>
      <rPr>
        <sz val="8"/>
        <rFont val="Arial"/>
        <family val="2"/>
      </rPr>
      <t>(previous entries, divided by 1,000)</t>
    </r>
  </si>
  <si>
    <t>CO2 emission factors for motor fuels, pounds per gallon</t>
  </si>
  <si>
    <r>
      <t xml:space="preserve">CO2 emission factors for motor fuels, grams per gallon </t>
    </r>
    <r>
      <rPr>
        <sz val="8"/>
        <rFont val="Arial"/>
        <family val="2"/>
      </rPr>
      <t>(prev. entries x number of grams per pound)</t>
    </r>
  </si>
  <si>
    <t>Anticipated change in % of adult New Yorkers who cycle to work</t>
  </si>
  <si>
    <t>Value of a statistical life in the U.S., 2008</t>
  </si>
  <si>
    <t>Uses mathematical formula for probability that observation in one distribution will be less than observation in other.</t>
  </si>
  <si>
    <t>Calculated as ratio of "prior" to "new" cordon traffic speeds, raised to "time elasticity of vehicle travel" for transit bus trips</t>
  </si>
  <si>
    <t>Calculated as ratio of "prior" to "new" non-cordon traffic speeds, raised to "time elasticity of vehicle travel" for auto work trips</t>
  </si>
  <si>
    <t>A</t>
  </si>
  <si>
    <t>B</t>
  </si>
  <si>
    <t>L</t>
  </si>
  <si>
    <t>Work trips (car)</t>
  </si>
  <si>
    <t>Non-work trips (car)</t>
  </si>
  <si>
    <t>Medallion taxicabs</t>
  </si>
  <si>
    <t xml:space="preserve">Through trips </t>
  </si>
  <si>
    <t>In-Cordon Weekday VMT</t>
  </si>
  <si>
    <t>VMT (Baseline)</t>
  </si>
  <si>
    <r>
      <t xml:space="preserve">Multiply by truck delay factor </t>
    </r>
    <r>
      <rPr>
        <sz val="8"/>
        <rFont val="Arial"/>
        <family val="2"/>
      </rPr>
      <t>(which is one because truck size is already taken into account in estimating lane-miles removed from service per double-parked truck)</t>
    </r>
  </si>
  <si>
    <t>Hours of delays due to F. Direct</t>
  </si>
  <si>
    <t>Cost of delays due to F. Direct</t>
  </si>
  <si>
    <t>Proposed Fares</t>
  </si>
  <si>
    <t>Net (total) change in trips in period</t>
  </si>
  <si>
    <t>a May 7 Streetsblog article: &lt;http://www.streetsblog.org/2009/05/07/albanys-choice-or-ours/&gt;</t>
  </si>
  <si>
    <t>Income ratio is Komanoff assumption drawn from Schaller observations in "City in Flux" report (2007): "Auto commuters have higher incomes than transit riders. Among Bronx, Brooklyn, Queens and Staten Island residents who work in Manhattan, auto commuters earn 32% more than subway commuters and 15% more than bus commuters. [2000 Census data] Auto commuters living in Manhattan earn 20% more than bus commuters and 18% more than subway commuters. Similar earnings gaps are seen among residents of outlying areas of the outer boroughs. Among commuters from outlying parts of the city that lack direct subway access, auto commuters earn 35% more than do subway commuters." I adjust these ratios (1.32, 1.20, 1.35) upward to reflect assumed far higher incomes of car commuters from NJ, LI and Westchester suburbs.</t>
  </si>
  <si>
    <t>Miles</t>
  </si>
  <si>
    <t>(reflects only changes in travel speed; does not yet reflect change in demand for taxicab rides … not to mention change in number of shifts driven)</t>
  </si>
  <si>
    <t>Note: Baseline fares are used here in "After" columns as well as "Before." New fares are inputted further below, for each hour.</t>
  </si>
  <si>
    <r>
      <t xml:space="preserve">Calculated as mean of inbound and outbound percentages for respective periods, in </t>
    </r>
    <r>
      <rPr>
        <b/>
        <sz val="8"/>
        <rFont val="Arial"/>
        <family val="2"/>
      </rPr>
      <t>By Hours</t>
    </r>
    <r>
      <rPr>
        <sz val="8"/>
        <rFont val="Arial"/>
        <family val="2"/>
      </rPr>
      <t xml:space="preserve"> worksheet.</t>
    </r>
  </si>
  <si>
    <r>
      <t xml:space="preserve">Hourly VMT </t>
    </r>
    <r>
      <rPr>
        <sz val="8"/>
        <rFont val="Arial"/>
        <family val="2"/>
      </rPr>
      <t>(period VMT divided by hrs)</t>
    </r>
  </si>
  <si>
    <t>VMT in period</t>
  </si>
  <si>
    <t>OUTBOUND</t>
  </si>
  <si>
    <t>Calculated as ratio of "prior" to "new" non-cordon traffic speeds, raised to "time elasticity of vehicle travel" for truck trips</t>
  </si>
  <si>
    <t>12 noon</t>
  </si>
  <si>
    <r>
      <t>How to read this box</t>
    </r>
    <r>
      <rPr>
        <sz val="9"/>
        <rFont val="Arial"/>
        <family val="2"/>
      </rPr>
      <t xml:space="preserve"> Right-column value of</t>
    </r>
    <r>
      <rPr>
        <b/>
        <sz val="9"/>
        <color indexed="11"/>
        <rFont val="Arial"/>
        <family val="2"/>
      </rPr>
      <t xml:space="preserve"> 0.17</t>
    </r>
    <r>
      <rPr>
        <sz val="9"/>
        <rFont val="Arial"/>
        <family val="2"/>
      </rPr>
      <t xml:space="preserve"> assoc'd with</t>
    </r>
    <r>
      <rPr>
        <b/>
        <sz val="9"/>
        <color indexed="11"/>
        <rFont val="Arial"/>
        <family val="2"/>
      </rPr>
      <t xml:space="preserve"> x = 3</t>
    </r>
    <r>
      <rPr>
        <sz val="9"/>
        <rFont val="Arial"/>
        <family val="2"/>
      </rPr>
      <t xml:space="preserve"> indicates that, in PSRC experiment, drivers whose "time-distance" to a lower toll period was 3 hours or less had a 17% probability of time-switching into that period.</t>
    </r>
  </si>
  <si>
    <t>Within Cordon</t>
  </si>
  <si>
    <t>6. Baseline Speeds</t>
  </si>
  <si>
    <t>7. Baseline Trip Durations</t>
  </si>
  <si>
    <t>Trips</t>
  </si>
  <si>
    <t>8. Baseline Fuel Economy and Gasoline Consumption (gasoline per trip is calculated for two reasons: (i) societal importance; (ii) gasoline is a factor in total trip costs, which in turn affect sensitivity of trip volumes to congestion tolls).</t>
  </si>
  <si>
    <t>from period</t>
  </si>
  <si>
    <t>to period</t>
  </si>
  <si>
    <t>elasticity</t>
  </si>
  <si>
    <t>Morning Peak</t>
  </si>
  <si>
    <t xml:space="preserve">Morning Before Peak </t>
  </si>
  <si>
    <t xml:space="preserve">Section </t>
  </si>
  <si>
    <t>Hour-by-hour estimation of changes in bus shares of new transit trips</t>
  </si>
  <si>
    <t>Just NYC</t>
  </si>
  <si>
    <t>VMT</t>
  </si>
  <si>
    <t>Annual Toll Revenues from MTA Crossings into the CBD, millions</t>
  </si>
  <si>
    <t>Times Sq's acreage as % of street space in entire CBD</t>
  </si>
  <si>
    <t>Calculated as ratio of "prior" to "new" cordon traffic speeds, raised to "time elasticity of vehicle travel" for thru trips</t>
  </si>
  <si>
    <t>Differences in hours in traffic per time period, combined</t>
  </si>
  <si>
    <t>Delay Hours Experienced Within The Cordon</t>
  </si>
  <si>
    <t>Delay Hours Experienced Outside The Cordon</t>
  </si>
  <si>
    <t>Trip-weighted average miles driven within the cordon:</t>
  </si>
  <si>
    <t>Trip-weighted average miles driven outside the cordon:</t>
  </si>
  <si>
    <r>
      <t xml:space="preserve">Method 3 for Displaying Results: Delays: Same as Method 1, but disaggregated between in-cordon and out-of-cordon, and shown </t>
    </r>
    <r>
      <rPr>
        <b/>
        <u/>
        <sz val="9"/>
        <rFont val="Arial"/>
        <family val="2"/>
      </rPr>
      <t>per trip mile</t>
    </r>
  </si>
  <si>
    <t>Calculated as half of transit fare reduction, for reasons outlined in previous sub-section for trips into CBD.</t>
  </si>
  <si>
    <t>Gains</t>
  </si>
  <si>
    <t>Losses</t>
  </si>
  <si>
    <t>Net Gain</t>
  </si>
  <si>
    <t>Note: NY Times financial columnist Andrew Ross Sorkin wrote &lt;http://nyti.ms/aXAduj&gt; on June 8, 2010 that "while conservative estimates put the bill [to British Petroleum for the Deepwater Horizon disaster] at $15 billion, something approaching $40 billion is not out of the question," based on an estimate by Credit Suisse that BP's cleanup cost could run as high as $23 billion, and possible additional claims of $14 billion by gulf fisherman and the tourist industry. Moreover, not all lost ecosystem services are necessarily included in these figures. Yet even doubling Sorkin's rough estimate to $80 billion equates to "only" $8 billion per year, or essentially the annual figure we have used here (in 2008$), if it is spread over a decade to allow for the fact that the BP spill is not an annually recurring event.</t>
  </si>
  <si>
    <t>Annual costs in billions of dollars</t>
  </si>
  <si>
    <t>1991 $ (10^9)</t>
  </si>
  <si>
    <t>2008 $ (10^9)</t>
  </si>
  <si>
    <t>Note that Roger Stern ("United States Cost of Military Force Projection in the Persian Gulf, 1976–2007," Energy Policy 38 (2010) 2816-2825) estimates the cost in 2008 dollars of U.S. "Persian Gulf force projection" to have averaged $212.5 billion annually during 1976-2007, with a 2007 estimate of $500 billion. However, these figures include military force for purposes other than protecting U.S. transport fuels (i.e., other uses of oil, non-U.S. uses of oil, and non-oil objectives in the Gulf) and thus aren't fully comparable to the Delucchi-Murphy figure above.</t>
  </si>
  <si>
    <t>A. The model offers transportation planners, agency officials and advocates a transparent and straightforward tool for testing policy proposals for impacts on traffic levels, travel speeds, time spent traveling, agency revenues, emissions and other "externalities," and other key indicators.</t>
  </si>
  <si>
    <t>To our knowledge, the Balanced Transportation Analyzer is the first publicly available software tool capturing the crucial transportation interactivities that characterize cities with a downtown core, and thus permitting robust evaluation of transportation policy proposals for such cities, particularly proposals centered on road and/or transit pricing.</t>
  </si>
  <si>
    <t>4. Sponsorship of the Balanced Transportation Analyzer</t>
  </si>
  <si>
    <r>
      <t xml:space="preserve">... was completed in January 2008, in conjunction with NNYN's report "Balancing Free Transit and Congestion Pricing in New York City." </t>
    </r>
    <r>
      <rPr>
        <b/>
        <sz val="9"/>
        <rFont val="Arial"/>
        <family val="2"/>
      </rPr>
      <t>The prior "Version 1.0" has been completely superseded by the current Version 1.1.</t>
    </r>
    <r>
      <rPr>
        <sz val="9"/>
        <rFont val="Arial"/>
        <family val="2"/>
      </rPr>
      <t xml:space="preserve"> Anyone interested in accessing BTA 1.0 is directed to the last worksheet tab of this spreadsheet, </t>
    </r>
    <r>
      <rPr>
        <b/>
        <sz val="9"/>
        <rFont val="Arial"/>
        <family val="2"/>
      </rPr>
      <t>BTA 1.0</t>
    </r>
    <r>
      <rPr>
        <sz val="9"/>
        <rFont val="Arial"/>
        <family val="2"/>
      </rPr>
      <t>.</t>
    </r>
  </si>
  <si>
    <r>
      <t xml:space="preserve">(i) </t>
    </r>
    <r>
      <rPr>
        <i/>
        <sz val="9"/>
        <rFont val="Arial"/>
        <family val="2"/>
      </rPr>
      <t xml:space="preserve">time-of-day cordon pricing </t>
    </r>
    <r>
      <rPr>
        <sz val="9"/>
        <rFont val="Arial"/>
        <family val="2"/>
      </rPr>
      <t>(seven different weekday time periods and tolls replace the confining one-price-fits-all assumption in BTA 1.0);</t>
    </r>
  </si>
  <si>
    <r>
      <t xml:space="preserve">(xi) </t>
    </r>
    <r>
      <rPr>
        <i/>
        <sz val="9"/>
        <rFont val="Arial"/>
        <family val="2"/>
      </rPr>
      <t>approximation of a relationship between increased capital investment in transit and reduced transit trip times</t>
    </r>
    <r>
      <rPr>
        <sz val="9"/>
        <rFont val="Arial"/>
        <family val="2"/>
      </rPr>
      <t>, allowing dedication of toll revenues to transit investment to be translated into increased transit use and revenue</t>
    </r>
  </si>
  <si>
    <t>Important/Helpful Facts About NYC Transportation (compiled for easy reference and comparability)</t>
  </si>
  <si>
    <t>Daily motor vehicle trips into the CBD</t>
  </si>
  <si>
    <t>Item</t>
  </si>
  <si>
    <t>Worksheet Source</t>
  </si>
  <si>
    <t>Figure</t>
  </si>
  <si>
    <t>Daily yellow-cab (medallion taxi) fare trips</t>
  </si>
  <si>
    <t>Daily subway trips</t>
  </si>
  <si>
    <t>Daily bus trips (excludes express buses)</t>
  </si>
  <si>
    <t>Number of people traveling to CBD</t>
  </si>
  <si>
    <t>Subway revenue</t>
  </si>
  <si>
    <t>Bus revenue</t>
  </si>
  <si>
    <t>This worksheet compiles numerical parameters (constants) that figure in the various analyses in this spreadsheet. It also includes important and helpful facts about NYC transportation -- baseline (2008) values.</t>
  </si>
  <si>
    <t>Day-to-Year Multiplier (number of weekdays in a year)</t>
  </si>
  <si>
    <t>Toll revenue from vehicle trips entering (or leaving) CBD</t>
  </si>
  <si>
    <t>Per-trip revenue (w/o tips)</t>
  </si>
  <si>
    <t>Average number of loaded miles (w/ cruising) that are driven inside the CBD, per trip</t>
  </si>
  <si>
    <t>Background: During 2010, one or more mobile phone applications have emerged that enable prospective taxi users to meet up and share rides and, hence, fares. In July (2010), I was asked by Streetsblog to consider whether, and in which ways, these apps might change taxi usage. My first-cut estimates are presented below.</t>
  </si>
  <si>
    <t>Komanoff estimate. Is less than 50%, to reflect difference in destinations, possible additional tip rate, and app cost.</t>
  </si>
  <si>
    <t>Baseline trip time, average for all medallion taxi trips</t>
  </si>
  <si>
    <t>Time-elasticity of medallion taxi use</t>
  </si>
  <si>
    <r>
      <t xml:space="preserve">From </t>
    </r>
    <r>
      <rPr>
        <b/>
        <sz val="8"/>
        <rFont val="Arial"/>
        <family val="2"/>
      </rPr>
      <t>Elasticities</t>
    </r>
    <r>
      <rPr>
        <sz val="8"/>
        <rFont val="Arial"/>
        <family val="2"/>
      </rPr>
      <t xml:space="preserve"> worksheet.</t>
    </r>
  </si>
  <si>
    <t>Implied factor change in taxi usage due to change (increase) in trip time</t>
  </si>
  <si>
    <t>Parameter estimates for this exercise, and resulting calculations</t>
  </si>
  <si>
    <t>Time considerations</t>
  </si>
  <si>
    <t>Cost considerations</t>
  </si>
  <si>
    <t>Price-elasticity of medallion taxi use</t>
  </si>
  <si>
    <t>Time and Cost consideration, combined</t>
  </si>
  <si>
    <t xml:space="preserve">Implied combined factor change </t>
  </si>
  <si>
    <t>Implied factor change in taxi usage due to change (decrease) in trip cost</t>
  </si>
  <si>
    <t>Restated, the assumptions shown in blue translate to this percentage change in # of taxi passengers:</t>
  </si>
  <si>
    <r>
      <t xml:space="preserve">Fare reduction, </t>
    </r>
    <r>
      <rPr>
        <u/>
        <sz val="9"/>
        <color indexed="40"/>
        <rFont val="Arial"/>
        <family val="2"/>
      </rPr>
      <t>percent</t>
    </r>
  </si>
  <si>
    <t>Note: Above result assumes that all potential riders use cab-share app. To the extent that only some do, result would shrink. More importantly, however, the result applies only to current taxi users, and doesn't capture mode-switching from transit, private cars, bikes, and walking. These switches are potentially important but appear to be beyond the scope of the BTA to estimate.</t>
  </si>
  <si>
    <t>Let's continue with the modeling nevertheless, keeping this important limitation in mind.</t>
  </si>
  <si>
    <t>Share of taxi passengers with cab-share app:</t>
  </si>
  <si>
    <t>Share of those taxi passengers' trips that are amenable to use of cab-share app:</t>
  </si>
  <si>
    <t>Number of daily medallion taxi trips that would use cab-share:</t>
  </si>
  <si>
    <t>Assumed overlap in mileage of two trips using same cab due to cab-share app:</t>
  </si>
  <si>
    <t>Reduction in number of daily medallion taxi trips due to cab-share</t>
  </si>
  <si>
    <t>% reduction in daily medallion taxi VMT from those trips due to cab-share</t>
  </si>
  <si>
    <t>% reduction in number of daily medallion taxi trips due to cab-share</t>
  </si>
  <si>
    <t>Note that a 2008 study that analyzed, inter alia, the likelihood that drivers commuting to the CBD through Northern Manhattan would use Harlem and other districts as "park-and-ride" areas, reported average monthly off-street parking costs of $598 for "East-West 60s," $470 for Downtown (lower Manhattan), and $238 for Northern Manhattan (apparently, 110th Street and all points north). The reported data source was Bestparking.com. The study, "Northern Manhattan and the Congestion Pricing Plan," was prepared by West Harlem Environmental Action and The Earth Institute of Columbia University. See Figure 2, p. 10.</t>
  </si>
  <si>
    <r>
      <t xml:space="preserve">This part draws heavily on a March 1, 2007 report  by Schaller Consulting for Transportation Alternatives, "Free Parking, Congested Streets: The Skewed Economic Incentives to Drive in Manhattan." (Henceforth, Schaller 2007.) </t>
    </r>
    <r>
      <rPr>
        <sz val="8"/>
        <rFont val="Arial"/>
        <family val="2"/>
      </rPr>
      <t>&lt;http://www.transalt.org/files/newsroom/reports/freeparking_traffictrouble.pdf&gt;</t>
    </r>
  </si>
  <si>
    <t>The above analysis applies to reduced ticketing within the CBD. We then extrapolate to reduced ticketing in the rest of NYC, taking care to reflect differences in traffic patterns and impacts between CBD and the rest of the city.</t>
  </si>
  <si>
    <t>Will be calculated for each of the seven periods (weekdays only).</t>
  </si>
  <si>
    <t>Number of vehicles assumed to double-park:</t>
  </si>
  <si>
    <t>A large number makes for easier calculation. Later, we will divide by this number to obtain the per-vehicle impact.</t>
  </si>
  <si>
    <t>Lane-blocks removed from service by one double-parked truck:</t>
  </si>
  <si>
    <t>Street area of entire CBD (acres)</t>
  </si>
  <si>
    <t>Relative impact (to truck) of one double-parked auto:</t>
  </si>
  <si>
    <r>
      <t xml:space="preserve">Acres per lane-mile (from </t>
    </r>
    <r>
      <rPr>
        <b/>
        <sz val="8"/>
        <rFont val="Arial"/>
        <family val="2"/>
      </rPr>
      <t>Cordon</t>
    </r>
    <r>
      <rPr>
        <sz val="8"/>
        <rFont val="Arial"/>
        <family val="2"/>
      </rPr>
      <t xml:space="preserve"> worksheet), divided by 20 (blocks/mile), and multiplied by 1/3 (two-thirds of the one-half block impact assumed for a double-parked truck; see </t>
    </r>
    <r>
      <rPr>
        <b/>
        <sz val="8"/>
        <rFont val="Arial"/>
        <family val="2"/>
      </rPr>
      <t>FreshDirect</t>
    </r>
    <r>
      <rPr>
        <sz val="8"/>
        <rFont val="Arial"/>
        <family val="2"/>
      </rPr>
      <t xml:space="preserve"> worksheet).</t>
    </r>
  </si>
  <si>
    <t>Space appropr'd by # double-parked autos assumed (acres):</t>
  </si>
  <si>
    <t>Street space appropriated by one double-parked auto (acres):</t>
  </si>
  <si>
    <r>
      <t xml:space="preserve">From </t>
    </r>
    <r>
      <rPr>
        <b/>
        <sz val="8"/>
        <rFont val="Arial"/>
        <family val="2"/>
      </rPr>
      <t xml:space="preserve">Cordon </t>
    </r>
    <r>
      <rPr>
        <sz val="8"/>
        <rFont val="Arial"/>
        <family val="2"/>
      </rPr>
      <t>worksheet.</t>
    </r>
  </si>
  <si>
    <t>Eff. % of street area taken from service due to double-pkd autos:</t>
  </si>
  <si>
    <t>Speed if above street area is unavailable for entire period</t>
  </si>
  <si>
    <t>Above expressed as effective factor change in traffic level:</t>
  </si>
  <si>
    <t>Hourly VMT in period (within CBD)</t>
  </si>
  <si>
    <t>Minutes that vehicles in CBD spend in traffic, per hour, "before" double-parking</t>
  </si>
  <si>
    <t>Minutes that vehicles in CBD spend in traffic, per hour, with double-parking</t>
  </si>
  <si>
    <t>Incremental minutes/hr (social delay costs due to the assumed double-parking)</t>
  </si>
  <si>
    <r>
      <t xml:space="preserve">Social delay costs in minutes due to </t>
    </r>
    <r>
      <rPr>
        <u/>
        <sz val="9"/>
        <rFont val="Arial"/>
        <family val="2"/>
      </rPr>
      <t>one car</t>
    </r>
    <r>
      <rPr>
        <sz val="9"/>
        <rFont val="Arial"/>
        <family val="2"/>
      </rPr>
      <t>'s double-parking for one hour</t>
    </r>
  </si>
  <si>
    <t>Average per-hour value of time per vehicle, within CBD:</t>
  </si>
  <si>
    <r>
      <t xml:space="preserve">From </t>
    </r>
    <r>
      <rPr>
        <b/>
        <sz val="8"/>
        <rFont val="Arial"/>
        <family val="2"/>
      </rPr>
      <t xml:space="preserve">Cost-Benefit </t>
    </r>
    <r>
      <rPr>
        <sz val="8"/>
        <rFont val="Arial"/>
        <family val="2"/>
      </rPr>
      <t>worksheet.</t>
    </r>
  </si>
  <si>
    <t>Average per-hour delay cost from one vehicle's double-parking within CBD</t>
  </si>
  <si>
    <t>Average per-minute delay cost from one vehicle's double-parking within CBD</t>
  </si>
  <si>
    <r>
      <t xml:space="preserve">Note: Notwithstanding its title, this worksheet does not encompass all of the transit analysis in the BTA. See worksheets </t>
    </r>
    <r>
      <rPr>
        <b/>
        <u/>
        <sz val="8"/>
        <rFont val="Arial"/>
        <family val="2"/>
      </rPr>
      <t>Subways</t>
    </r>
    <r>
      <rPr>
        <b/>
        <sz val="8"/>
        <rFont val="Arial"/>
        <family val="2"/>
      </rPr>
      <t xml:space="preserve">, </t>
    </r>
    <r>
      <rPr>
        <b/>
        <u/>
        <sz val="8"/>
        <rFont val="Arial"/>
        <family val="2"/>
      </rPr>
      <t>Sub v. Bus</t>
    </r>
    <r>
      <rPr>
        <b/>
        <sz val="8"/>
        <rFont val="Arial"/>
        <family val="2"/>
      </rPr>
      <t xml:space="preserve">, </t>
    </r>
    <r>
      <rPr>
        <b/>
        <u/>
        <sz val="8"/>
        <rFont val="Arial"/>
        <family val="2"/>
      </rPr>
      <t>Buses</t>
    </r>
    <r>
      <rPr>
        <b/>
        <sz val="8"/>
        <rFont val="Arial"/>
        <family val="2"/>
      </rPr>
      <t xml:space="preserve"> and </t>
    </r>
    <r>
      <rPr>
        <b/>
        <u/>
        <sz val="8"/>
        <rFont val="Arial"/>
        <family val="2"/>
      </rPr>
      <t>Bus Boarding</t>
    </r>
    <r>
      <rPr>
        <b/>
        <sz val="8"/>
        <rFont val="Arial"/>
        <family val="2"/>
      </rPr>
      <t xml:space="preserve"> for further analysis.</t>
    </r>
  </si>
  <si>
    <t>Major info source for this section: NYT City Room article, Appeals Court Rejects Effort to Create Hybrid Taxi Fleet, http://nyti.ms/cjS6y9</t>
  </si>
  <si>
    <t>Number already (in July 2010) that were hybrids</t>
  </si>
  <si>
    <t>Number presumed remaining to be affected by NYC regulation that was blocked</t>
  </si>
  <si>
    <t>Estimated annual medallion taxi VMT (includes cruising miles), millions</t>
  </si>
  <si>
    <t>Annual per-taxi VMT</t>
  </si>
  <si>
    <t>Assumed fuel efficiency (mpg) of hybrid taxicab in NYC</t>
  </si>
  <si>
    <t>Assumed fuel efficiency (mpg) of non-hybrid (i.e., conventional) taxicab in NYC</t>
  </si>
  <si>
    <t>Annual gallons of gasoline required for a hybrid taxicab</t>
  </si>
  <si>
    <t>Annual gallons of gasoline required for a conventional taxicab</t>
  </si>
  <si>
    <t>Per-taxicab gasoline savings from the reg that was quashed</t>
  </si>
  <si>
    <t>Medallion taxicab fleet gasoline savings from the reg that was quashed, millions of gallons</t>
  </si>
  <si>
    <r>
      <t xml:space="preserve">Strength of effect </t>
    </r>
    <r>
      <rPr>
        <sz val="9"/>
        <rFont val="Arial"/>
        <family val="2"/>
      </rPr>
      <t>(large, medium or small)</t>
    </r>
  </si>
  <si>
    <t>Interpretation/Explanation</t>
  </si>
  <si>
    <t>Speed gains make car travel more attractive.</t>
  </si>
  <si>
    <t>CBD tolls have big impact on number of trips.</t>
  </si>
  <si>
    <t>Better transit attracts some trips from cars, but not a lot.</t>
  </si>
  <si>
    <t>Taxi use is much less price-elastic than car use.</t>
  </si>
  <si>
    <t>Better transit attracts some trips from taxis, but not a lot.</t>
  </si>
  <si>
    <t>Higher entrance fees for cars make taxis more attractive, but the effect is small.</t>
  </si>
  <si>
    <t>Higher entrance fees for cars make transit more attractive, but the effect is small.</t>
  </si>
  <si>
    <r>
      <t xml:space="preserve">It calculates changes in </t>
    </r>
    <r>
      <rPr>
        <i/>
        <sz val="9"/>
        <rFont val="Arial"/>
        <family val="2"/>
      </rPr>
      <t>persons</t>
    </r>
    <r>
      <rPr>
        <sz val="9"/>
        <rFont val="Arial"/>
        <family val="2"/>
      </rPr>
      <t xml:space="preserve"> rather than in </t>
    </r>
    <r>
      <rPr>
        <i/>
        <sz val="9"/>
        <rFont val="Arial"/>
        <family val="2"/>
      </rPr>
      <t>vehicles</t>
    </r>
    <r>
      <rPr>
        <sz val="9"/>
        <rFont val="Arial"/>
        <family val="2"/>
      </rPr>
      <t xml:space="preserve"> per se to address concerns that congestion charges that make driving into the CBD cost more will reduce commercial and other types of activity there.</t>
    </r>
  </si>
  <si>
    <t>Number in Baseline</t>
  </si>
  <si>
    <t>Increase in Plan vs. Baseline</t>
  </si>
  <si>
    <t>Increase %, Plan vs. Baseline</t>
  </si>
  <si>
    <r>
      <t xml:space="preserve">Auto Trips: People </t>
    </r>
    <r>
      <rPr>
        <b/>
        <sz val="8"/>
        <rFont val="Arial"/>
        <family val="2"/>
      </rPr>
      <t>(number of autos times occupancy of each)</t>
    </r>
  </si>
  <si>
    <t>Each figure is product of respective number and occupancy rate above; Total is sum of Work, Non-work &amp; Through figures, but latter are excluded from final total since they only pass through CBD.</t>
  </si>
  <si>
    <r>
      <t>VOE is defined in Graham et al. paper cited below. A value of negative 0.10 is used in another paper co-authored by Graham (</t>
    </r>
    <r>
      <rPr>
        <b/>
        <sz val="8"/>
        <rFont val="Arial"/>
        <family val="2"/>
      </rPr>
      <t>A Road Pricing Model for the Mexico City Metropolitan Area</t>
    </r>
    <r>
      <rPr>
        <sz val="8"/>
        <rFont val="Arial"/>
        <family val="2"/>
      </rPr>
      <t>, by Armado Crotte, Daniel J. Graham &amp; Robert B. Noland, typescript, late 2009 or early 2010). We use that value for non-work trips but halve it for work trips to reflect presumed lower availability of car-pooling in NYC along with greater difficulty of car-pooling for work trips. For through trips we take average of work and non-work trips.</t>
    </r>
  </si>
  <si>
    <t>Calculated change in car occupancy due to tolling (for plan being modeled)</t>
  </si>
  <si>
    <t>These cells show change in number of autos driven into CBD, in absolute and percentage terms.</t>
  </si>
  <si>
    <t>These cells show change in number of people driving into CBD, in absolute and percentage terms.</t>
  </si>
  <si>
    <t>These cells show change in number of people going by bus into CBD, in absolute and percentage terms.</t>
  </si>
  <si>
    <t>These cells show change in occupancy (number of passengers plus driver) of autos driven into CBD, in absolute and percentage terms.</t>
  </si>
  <si>
    <t>Change in number of people taking transit into CBD.</t>
  </si>
  <si>
    <t>These cells show change in number of people going by subway into CBD, in absolute and percentage terms.</t>
  </si>
  <si>
    <r>
      <t xml:space="preserve">Mean duration change is calculated as unweighted average of the 24 hourly values. Is used as input into </t>
    </r>
    <r>
      <rPr>
        <b/>
        <sz val="8"/>
        <rFont val="Arial"/>
        <family val="2"/>
      </rPr>
      <t>Sub v. Bus</t>
    </r>
    <r>
      <rPr>
        <sz val="8"/>
        <rFont val="Arial"/>
        <family val="2"/>
      </rPr>
      <t xml:space="preserve"> worksheet. Ideally, the 24 hourly values should be weighted by volume.</t>
    </r>
  </si>
  <si>
    <t>Increase in transit speeds w/ our plan</t>
  </si>
  <si>
    <r>
      <t xml:space="preserve">A. Changes in Inbound Auto Trips, </t>
    </r>
    <r>
      <rPr>
        <b/>
        <u/>
        <sz val="9"/>
        <rFont val="Arial"/>
        <family val="2"/>
      </rPr>
      <t>Grouped by "Pricing" Bins</t>
    </r>
  </si>
  <si>
    <t>Note agreements between like-colored cells; lower rows allocate "bin" figures in upper rows to individual hours.</t>
  </si>
  <si>
    <t>Pounds of Carbon per pound of Carbon Dioxide (CO2)</t>
  </si>
  <si>
    <r>
      <t xml:space="preserve">B. Same Changes in Inbound Auto Person-Trips, </t>
    </r>
    <r>
      <rPr>
        <b/>
        <u/>
        <sz val="9"/>
        <rFont val="Arial"/>
        <family val="2"/>
      </rPr>
      <t>Now Grouped by Hourly Bins</t>
    </r>
  </si>
  <si>
    <t>C. Resulting Changes in Inbound Transit Trips (Grouped by Hourly Bins)</t>
  </si>
  <si>
    <t>E1. Total Changes in Inbound Transit Trips</t>
  </si>
  <si>
    <t>E2. Total Changes in Outbound Transit Trips</t>
  </si>
  <si>
    <t>E3. Total Changes in Inbound and Outbound Transit Trips</t>
  </si>
  <si>
    <t>Multiple to that share, due to changes in bus speeds and transit fares due to pricing + other changes.</t>
  </si>
  <si>
    <t>New transit trips (inbound + outbound, combined) that will be accommodated on buses</t>
  </si>
  <si>
    <r>
      <t xml:space="preserve">Figures are </t>
    </r>
    <r>
      <rPr>
        <u/>
        <sz val="9"/>
        <rFont val="Arial"/>
        <family val="2"/>
      </rPr>
      <t>baseline</t>
    </r>
    <r>
      <rPr>
        <sz val="9"/>
        <rFont val="Arial"/>
        <family val="2"/>
      </rPr>
      <t xml:space="preserve"> (mostly 2007 conditions).</t>
    </r>
    <r>
      <rPr>
        <b/>
        <sz val="9"/>
        <color indexed="56"/>
        <rFont val="Arial"/>
        <family val="2"/>
      </rPr>
      <t xml:space="preserve"> Revenues are annual and in millions of dollars.</t>
    </r>
    <r>
      <rPr>
        <sz val="9"/>
        <rFont val="Arial"/>
        <family val="2"/>
      </rPr>
      <t xml:space="preserve"> Trips are </t>
    </r>
    <r>
      <rPr>
        <u/>
        <sz val="9"/>
        <rFont val="Arial"/>
        <family val="2"/>
      </rPr>
      <t>weekdays</t>
    </r>
    <r>
      <rPr>
        <sz val="9"/>
        <rFont val="Arial"/>
        <family val="2"/>
      </rPr>
      <t>.</t>
    </r>
  </si>
  <si>
    <t>"[A]ll of Manhattan south of 96th Street on the East Side and south of 110th Street on the West Side [has] a total of 50,084 available spaces (Gary Roth, op. cit., p. 47, again citing Rose as referenced above).</t>
  </si>
  <si>
    <t>Metered Spaces</t>
  </si>
  <si>
    <t>Potential Spaces</t>
  </si>
  <si>
    <t>14th Street to 59th Street, river to river</t>
  </si>
  <si>
    <t>CBD to 14th Street</t>
  </si>
  <si>
    <t>Manhattan District(s)</t>
  </si>
  <si>
    <t>"[I]nitial results from the [NYCDOT] Commercial Parking Project may shed some insight. These rates are … fixed at $2 for one hour, $5 for two hours and $9 for three hours during business hours… [T]here were no meters prior to the start of the project, meaning parking revenue was zero. For the nine month period from October 2000 to June 2001, the area bounded by 42nd Street to the south, 5th Avenue to the East, Broadway to the west and 57th Street to the north, [the amount] raised was $1,838,712. During the year long period of July 2001 to June 2002, $2,851,734 was raised. [sourced to NYC Department of Transportation-b (2004). Dates and Revenue. G. Roth. New York.] As this revenue figure is based on approximately 960 parking spaces (32 blocks times 30 spaces per block – parking is permitted on only one side of the street), it is estimated that each space produced approximately $2,550 during the 1st year or $10.75/space and $2,970 per space during the 2nd year or $12.50/space... [T]he $12.50/space per day revenue figure was when rates were $1/$3/$6, [but] as they have since [been] raised [to] $2/$5/$9, the revenue figures should rise significantly." (Gary Roth, op. cit., pp. 51-52)</t>
  </si>
  <si>
    <t>59th To 96 St on W + E Sides</t>
  </si>
  <si>
    <t>Rate for 1-hour parking</t>
  </si>
  <si>
    <t>Rate for 2-hour parking</t>
  </si>
  <si>
    <t>Rate for 3-hour parking</t>
  </si>
  <si>
    <t>Park Smart</t>
  </si>
  <si>
    <t>Aggregate rates</t>
  </si>
  <si>
    <t>Per-hour rates</t>
  </si>
  <si>
    <t>per-hour rates</t>
  </si>
  <si>
    <t xml:space="preserve">Average per-hour rate </t>
  </si>
  <si>
    <r>
      <t xml:space="preserve">Note: </t>
    </r>
    <r>
      <rPr>
        <b/>
        <sz val="8"/>
        <rFont val="Arial"/>
        <family val="2"/>
      </rPr>
      <t xml:space="preserve">Park Smart </t>
    </r>
    <r>
      <rPr>
        <sz val="8"/>
        <rFont val="Arial"/>
        <family val="2"/>
      </rPr>
      <t>is a pilot program inaugurated Aug 2010 on Upper East Side, where Muni-Meters are currently installed, on E 86 St from Madison to 1st Ave, and Madison Ave from 79 St to 86 St. Rates: 9am - 12pm: 50¢ for 12 mins; 12pm - 4pm: 75¢ for 12 mins.; 4pm - 7pm: 50¢ for 12 mins. Rate shown above is weighted average of these rates.</t>
    </r>
  </si>
  <si>
    <t>Hours per day rates are in effect</t>
  </si>
  <si>
    <t>Komanoff assumption, predicated on 7 a.m. - 9 p.m.</t>
  </si>
  <si>
    <t>Days per week rates are in effect</t>
  </si>
  <si>
    <t>Komanoff assumption, predicated on intrinsic value of curbside space and value of consistency in regulations and rates.</t>
  </si>
  <si>
    <t>Hours per year rates are in effect</t>
  </si>
  <si>
    <r>
      <t xml:space="preserve">Attrition rate from adverse weather, special events and other contingencies </t>
    </r>
    <r>
      <rPr>
        <sz val="8"/>
        <rFont val="Arial"/>
        <family val="2"/>
      </rPr>
      <t>(Komanoff)</t>
    </r>
  </si>
  <si>
    <t>Estimated annual revenue per parking space</t>
  </si>
  <si>
    <t>Estimated annual revenue, total ($ millions)</t>
  </si>
  <si>
    <t>Total to 96 St.</t>
  </si>
  <si>
    <t>C. Estimate potential annual revenues</t>
  </si>
  <si>
    <t>Link for good schematic map of Manhattan districts:</t>
  </si>
  <si>
    <t>Per-hour averages are unweighted mean of per-hour rates for different parking durations.</t>
  </si>
  <si>
    <t>Target occupancy rate (standard figure assumed to optimize both use and turnover of curbside space)</t>
  </si>
  <si>
    <t>&lt;http://bit.ly/ak5fNU&gt;  (downloaded 03-Sept-2010)</t>
  </si>
  <si>
    <t>Estimated number of parking meters in NYC</t>
  </si>
  <si>
    <t>NYT editorial, 11 March 1996, &lt;http://www.nytimes.com/1996/03/11/opinion/don-t-bet-on-parking-meters.html&gt;</t>
  </si>
  <si>
    <t>Estimated parking meter revenue, FY 2010</t>
  </si>
  <si>
    <t>Projected in NYC Budget. See text box at right.</t>
  </si>
  <si>
    <t>NYC Budget figures for "parking meter revenues": "Modified FY09 as of 06/19/09," $127,136,000; "Adopted Budget for FY 2010," $147,332,000. Source: NYC Adopted Budget - FY10, Agency Revenue Summary, 841 Dept of Transportation," &lt;http://www.nyc.gov/html/omb/downloads/pdf/ss6_09.pdf&gt;, p. 110R (3925 of 3960).</t>
  </si>
  <si>
    <t>Assumed share of NYC meter revenue acct'd for by CBD</t>
  </si>
  <si>
    <t>Estimated NYC meter revenue collected in CBD (rounded)</t>
  </si>
  <si>
    <t>Est'd NYC meter revenue collected in 59-96 Streets (rounded)</t>
  </si>
  <si>
    <t>Reality check: ratio of per-meter revenues for (i) NYC except CBD and 59-96, to(ii) 59-96 Streets:</t>
  </si>
  <si>
    <t>59-96 Sts.</t>
  </si>
  <si>
    <t>Rest of NYC</t>
  </si>
  <si>
    <t>Meters</t>
  </si>
  <si>
    <t>Revenue per Meter</t>
  </si>
  <si>
    <t>Per-meter revenues for rest of NYC are order of magnitude less than in CBD or district north of CBD.</t>
  </si>
  <si>
    <t>E. Revenue Summary for Curbside Parking in CBD and 59-96 Streets</t>
  </si>
  <si>
    <t>Potential annual revenue</t>
  </si>
  <si>
    <t>Estimated current annual revenue</t>
  </si>
  <si>
    <t>Potential revenue increase</t>
  </si>
  <si>
    <t>Area of Manhattan Community Boards</t>
  </si>
  <si>
    <t>Board</t>
  </si>
  <si>
    <t>Sq Miles</t>
  </si>
  <si>
    <t>Page ref.</t>
  </si>
  <si>
    <t>Source: NYC Dept of City Planning, "Community District Needs for the Borough of Manhattan, FY 2010."</t>
  </si>
  <si>
    <t>Sum 1-12</t>
  </si>
  <si>
    <t>Sum 1-6</t>
  </si>
  <si>
    <t>http://en.wikipedia.org/wiki/Governors_Island</t>
  </si>
  <si>
    <t>Acres per square mile</t>
  </si>
  <si>
    <t>Sum 1-3</t>
  </si>
  <si>
    <t>Metered Spaces / acre</t>
  </si>
  <si>
    <t>Potential Spaces / acre</t>
  </si>
  <si>
    <t>Sum 4-6</t>
  </si>
  <si>
    <t>To 110th St on W Side + to 96th St on E Side</t>
  </si>
  <si>
    <t>Sum 1-8</t>
  </si>
  <si>
    <t>59th To 110 St on W Side + to 96 St on E Side</t>
  </si>
  <si>
    <t>This color denotes data from 2002 DCP study.</t>
  </si>
  <si>
    <t>Calculated from figures directly above, except that Governors Island area has been netted from CB1.</t>
  </si>
  <si>
    <t>Gov. Is.:</t>
  </si>
  <si>
    <t>% of Sum</t>
  </si>
  <si>
    <t>% of Modified Sum</t>
  </si>
  <si>
    <t>This color denotes data calc'd by prorating from like districts.</t>
  </si>
  <si>
    <r>
      <t xml:space="preserve">59-96 St. rate, % of CBD </t>
    </r>
    <r>
      <rPr>
        <sz val="8"/>
        <rFont val="Arial"/>
        <family val="2"/>
      </rPr>
      <t>(Komanoff assumption)</t>
    </r>
  </si>
  <si>
    <t>59-96 St. rate vs. Park Smart</t>
  </si>
  <si>
    <t>CBD rates are current (2010) muni-meter rates in CBD.</t>
  </si>
  <si>
    <t>Park Smart rates are shown only for comparison to rates assumed for CBD + 59-96 St. parking.</t>
  </si>
  <si>
    <r>
      <t>Shortfall in target occupancy rate assumed for revenue est.</t>
    </r>
    <r>
      <rPr>
        <sz val="8"/>
        <rFont val="Arial"/>
        <family val="2"/>
      </rPr>
      <t xml:space="preserve"> (Komanoff assumption; is in percentage pts, not %)</t>
    </r>
  </si>
  <si>
    <t>The objective is to be able to quantify, albeit roughly, the extent to which investing a revenue stream from cordon tolls (or any other source) of $100 million a year (say) in transit, rather than applying it to reducing fares, would achieve quantifiable benefits, i.e., faster trips which would materialize (via transit time-elasticity) as greater use of subways, higher transit revenues, reduced auto use, and improved vehicle speeds.</t>
  </si>
  <si>
    <t>Description of proposed service cutback</t>
  </si>
  <si>
    <t>Page in MTA report (see citation above) where cutback is discussed</t>
  </si>
  <si>
    <t># passengers affected (per MTA)</t>
  </si>
  <si>
    <t># minutes / passenger (per MTA)</t>
  </si>
  <si>
    <t>Net Annual Savings (per MTA)</t>
  </si>
  <si>
    <t>% Lengthening of Trip Durations, avg'd across entire subway system</t>
  </si>
  <si>
    <t>(Denotes empirically-based estimate of the extent to which subway service would be worsened (trips lengthened) in order to save $100 million a year in operating expenses.)</t>
  </si>
  <si>
    <t>Percent (not percentage point) attrition in above rate per each additional $100 million:</t>
  </si>
  <si>
    <t>(Placeholder value; intended to include wait time)</t>
  </si>
  <si>
    <t>3. Changes in Hourly Subway Trips to CBD from New Fares and (possible) Service Investments</t>
  </si>
  <si>
    <r>
      <t xml:space="preserve">Since this section is concerned with substitution of subway trips for auto trips </t>
    </r>
    <r>
      <rPr>
        <u/>
        <sz val="8"/>
        <rFont val="Arial"/>
        <family val="2"/>
      </rPr>
      <t>into the CBD</t>
    </r>
    <r>
      <rPr>
        <sz val="8"/>
        <rFont val="Arial"/>
        <family val="2"/>
      </rPr>
      <t>, we must isolate subway trips into the CBD from other subway trips.</t>
    </r>
  </si>
  <si>
    <r>
      <t>From multiple/diverse sources. Note that Schaller says 12,779 (</t>
    </r>
    <r>
      <rPr>
        <u/>
        <sz val="8"/>
        <rFont val="Arial"/>
        <family val="2"/>
      </rPr>
      <t>op. cit.</t>
    </r>
    <r>
      <rPr>
        <sz val="8"/>
        <rFont val="Arial"/>
        <family val="2"/>
      </rPr>
      <t>, Introduction), but nearly 500 were subsequently added.</t>
    </r>
  </si>
  <si>
    <t>Number of fares per shift, baseline</t>
  </si>
  <si>
    <t>Number of medallion taxicab fares per day, baseline</t>
  </si>
  <si>
    <t>% of medallion taxi fares that breach cordon zone (inward direction), baseline</t>
  </si>
  <si>
    <r>
      <t xml:space="preserve">Number of </t>
    </r>
    <r>
      <rPr>
        <u/>
        <sz val="9"/>
        <rFont val="Arial"/>
        <family val="2"/>
      </rPr>
      <t>fare</t>
    </r>
    <r>
      <rPr>
        <sz val="9"/>
        <rFont val="Arial"/>
        <family val="2"/>
      </rPr>
      <t xml:space="preserve"> trips per </t>
    </r>
    <r>
      <rPr>
        <sz val="9"/>
        <rFont val="Arial"/>
        <family val="2"/>
      </rPr>
      <t>taxi trips entering CBD, baseline</t>
    </r>
  </si>
  <si>
    <t>Number of medallion taxicabs, baseline</t>
  </si>
  <si>
    <t>Taxi usage (ridership) fare-elasticity</t>
  </si>
  <si>
    <t>Taxi usage (ridership) time-elasticity</t>
  </si>
  <si>
    <t>Taxi ridership, daily (weekday), 2005, # of fare trips, baseline</t>
  </si>
  <si>
    <t>Assumed share of change in taxi rides that is met by change in number of taxi shifts</t>
  </si>
  <si>
    <t>Percent of all taxi miles driven that are accounted for by cruising</t>
  </si>
  <si>
    <t>Percentage point change in share of taxi miles accounted for by cruising</t>
  </si>
  <si>
    <t>Percent change in share of taxi miles accounted for by cruising</t>
  </si>
  <si>
    <t>Much of the data here are calculated in other worksheets and imported from them.</t>
  </si>
  <si>
    <t>Change in taxi trips due to changes in subway fares and durations</t>
  </si>
  <si>
    <t>Sum of changes from above three modes (subways, auto work trps, auto non-work trips)</t>
  </si>
  <si>
    <t xml:space="preserve">Change in taxi person-trips due to tolled-off auto-work trips converting to taxis </t>
  </si>
  <si>
    <t xml:space="preserve">Change in taxi trips (i.e., taxi vehicles, not taxi passengers) due to tolled-off auto-work trips converting to taxis </t>
  </si>
  <si>
    <t xml:space="preserve">Change in taxi person-trips due to tolled-off auto-non-work trips converting to taxis </t>
  </si>
  <si>
    <t xml:space="preserve">Change in taxi trips (i.e., taxi vehicles, not taxi passengers) due to tolled-off auto-non-work trips converting to taxis </t>
  </si>
  <si>
    <t>equates to % change of</t>
  </si>
  <si>
    <t>Our premise is that, since the number of medallion taxis is assumed to be fixed, changes in the number of fare trips can be effected only in one of two ways: (i) by adding "shifts" for cabs that would otherwise be idle during some shifts, or (ii) by taxis' carrying fares during times in which the taxis would otherwise be "cruising" (driving w/o passengers).</t>
  </si>
  <si>
    <t>Above percentages show, for each period and on a 24-h basis, Taxi % of all cordon VMT</t>
  </si>
  <si>
    <r>
      <t xml:space="preserve">Trip Durations </t>
    </r>
    <r>
      <rPr>
        <sz val="9"/>
        <rFont val="Arial"/>
        <family val="2"/>
      </rPr>
      <t>(in minutes)</t>
    </r>
    <r>
      <rPr>
        <b/>
        <sz val="9"/>
        <rFont val="Arial"/>
        <family val="2"/>
      </rPr>
      <t xml:space="preserve"> </t>
    </r>
    <r>
      <rPr>
        <sz val="9"/>
        <color indexed="10"/>
        <rFont val="Arial"/>
        <family val="2"/>
      </rPr>
      <t xml:space="preserve">Could be modified by tying in "trip cycle" ests. from </t>
    </r>
    <r>
      <rPr>
        <b/>
        <sz val="9"/>
        <color indexed="10"/>
        <rFont val="Arial"/>
        <family val="2"/>
      </rPr>
      <t xml:space="preserve">Taxis </t>
    </r>
    <r>
      <rPr>
        <sz val="9"/>
        <color indexed="10"/>
        <rFont val="Arial"/>
        <family val="2"/>
      </rPr>
      <t>worksheet.</t>
    </r>
  </si>
  <si>
    <t>Parking Costs are not applicable to Taxicabs</t>
  </si>
  <si>
    <t>Gasoline Costs don't figure into Taxi Usage algorithm, but are shown here for interest and completeness.</t>
  </si>
  <si>
    <t>Miles driven w/i cordon, per fare trip:</t>
  </si>
  <si>
    <t>equates to:</t>
  </si>
  <si>
    <r>
      <t xml:space="preserve">Taxicab inbound cordon VMT is calculated as </t>
    </r>
    <r>
      <rPr>
        <u/>
        <sz val="8"/>
        <rFont val="Arial"/>
        <family val="2"/>
      </rPr>
      <t>half</t>
    </r>
    <r>
      <rPr>
        <sz val="8"/>
        <rFont val="Arial"/>
        <family val="2"/>
      </rPr>
      <t xml:space="preserve"> of </t>
    </r>
    <r>
      <rPr>
        <sz val="8"/>
        <rFont val="Arial"/>
        <family val="2"/>
      </rPr>
      <t>trips times cordon VMT per trip, to reflect lesser circulation on initial trips.</t>
    </r>
  </si>
  <si>
    <t>More group riding</t>
  </si>
  <si>
    <t>"Before" time prorates fare time by non-cruising % of VMT. "After" time does same but adjusts latter for (i) faster travel due to less traffic, and (ii) reduction in share of driving time spent cruising.</t>
  </si>
  <si>
    <t>W E E K D A Y S</t>
  </si>
  <si>
    <t>W E E K E N D S</t>
  </si>
  <si>
    <t>Weekend taxi fare trips as % of weekdays:</t>
  </si>
  <si>
    <t>Fares per shift lasting (hrs)</t>
  </si>
  <si>
    <t>Predicted change in daily (weekday) taxi usage from changes in taxi fare and trip duration (# of fare trips)</t>
  </si>
  <si>
    <t>In absence of hourly subway data for weekends, we est. subway attraction from taxis at 50% of that for weekdays.</t>
  </si>
  <si>
    <t>Change in weekday/weekend fare trips that cross into CBD</t>
  </si>
  <si>
    <t>Annual Trips, baseline (millions)</t>
  </si>
  <si>
    <t>Annual Trips w/ new pricing (millions)</t>
  </si>
  <si>
    <t>Annual taxi-surcharge rev. (millions)</t>
  </si>
  <si>
    <t>Figures in column apply to weekdays or to all 7 days</t>
  </si>
  <si>
    <t>Figures in column apply to weekends and holidays</t>
  </si>
  <si>
    <t>E. Changes in attractiveness of transit service as traffic volumes, service quality and fare collection media change.</t>
  </si>
  <si>
    <r>
      <t xml:space="preserve">(ii) </t>
    </r>
    <r>
      <rPr>
        <i/>
        <sz val="9"/>
        <rFont val="Arial"/>
        <family val="2"/>
      </rPr>
      <t xml:space="preserve">time-of-day subway fares -- </t>
    </r>
    <r>
      <rPr>
        <sz val="9"/>
        <rFont val="Arial"/>
        <family val="2"/>
      </rPr>
      <t>a means to improve capacity utilization and avoid worsened crowding from congestion pricing's conversion of some auto trips to transit trips;</t>
    </r>
  </si>
  <si>
    <r>
      <t xml:space="preserve">(iii) </t>
    </r>
    <r>
      <rPr>
        <i/>
        <sz val="9"/>
        <rFont val="Arial"/>
        <family val="2"/>
      </rPr>
      <t>explicit treatment of weekends/holidays</t>
    </r>
    <r>
      <rPr>
        <sz val="9"/>
        <rFont val="Arial"/>
        <family val="2"/>
      </rPr>
      <t xml:space="preserve"> for autos,transit and taxis;</t>
    </r>
  </si>
  <si>
    <r>
      <t xml:space="preserve">(vi) ability to </t>
    </r>
    <r>
      <rPr>
        <i/>
        <sz val="9"/>
        <rFont val="Arial"/>
        <family val="2"/>
      </rPr>
      <t>adjust baseline traffic volumes</t>
    </r>
    <r>
      <rPr>
        <sz val="9"/>
        <rFont val="Arial"/>
        <family val="2"/>
      </rPr>
      <t xml:space="preserve"> to reflect possible deviations from pre-toll traffic levels, including apparent reductions after 2008 due to the economic contraction;</t>
    </r>
  </si>
  <si>
    <r>
      <t xml:space="preserve">(vii) full specification of </t>
    </r>
    <r>
      <rPr>
        <i/>
        <sz val="9"/>
        <rFont val="Arial"/>
        <family val="2"/>
      </rPr>
      <t xml:space="preserve">medallion taxicabs </t>
    </r>
    <r>
      <rPr>
        <sz val="9"/>
        <rFont val="Arial"/>
        <family val="2"/>
      </rPr>
      <t>as an autonomous travel mode alongside autos and transit;</t>
    </r>
  </si>
  <si>
    <r>
      <t xml:space="preserve">(viii) full interactivity allowing </t>
    </r>
    <r>
      <rPr>
        <i/>
        <sz val="9"/>
        <rFont val="Arial"/>
        <family val="2"/>
      </rPr>
      <t xml:space="preserve">feedback of traffic impacts into mode choice </t>
    </r>
    <r>
      <rPr>
        <sz val="9"/>
        <rFont val="Arial"/>
        <family val="2"/>
      </rPr>
      <t>which then further affects traffic impacts.</t>
    </r>
  </si>
  <si>
    <t>Change in daily taxi fare trips due to changes in fares, tolls, etc.</t>
  </si>
  <si>
    <r>
      <t xml:space="preserve">Change in daily taxi </t>
    </r>
    <r>
      <rPr>
        <u/>
        <sz val="9"/>
        <rFont val="Arial"/>
        <family val="2"/>
      </rPr>
      <t>passengers</t>
    </r>
    <r>
      <rPr>
        <sz val="9"/>
        <rFont val="Arial"/>
        <family val="2"/>
      </rPr>
      <t xml:space="preserve"> due to changes in fares, tolls, etc.</t>
    </r>
  </si>
  <si>
    <t>Taxi ridership, daily, 2005, # of fare trips</t>
  </si>
  <si>
    <t>Taxi ridership, daily, 2005, # of passengers</t>
  </si>
  <si>
    <t>Taxi Surcharge, Weekdays</t>
  </si>
  <si>
    <t>Taxi Surcharge, Weekends</t>
  </si>
  <si>
    <t>Percentage of truck crossings into cordon that are by vehicle which has or will cross more than once in same day:</t>
  </si>
  <si>
    <t>Komanoff placeholder estimate</t>
  </si>
  <si>
    <t>Discount applied to second or more such truck trip:</t>
  </si>
  <si>
    <t>Applies to second or more trips into cordon zone on same day, by any vehicle with commercial plates.</t>
  </si>
  <si>
    <t>This worksheet pertains to medallion taxis -- the 13,237 yellow cabs licensed to operate in New York City. Other for-hire vehicles, including "livery cabs" operating outside the Manhattan Central Business District and "black cars" retained by businesses to convey employees, typically at night, are treated as regular automobiles in this spreadsheet. (Figure 17 in "Schaller" [see citation below] indicates that these other vehicles total around 33,000.)</t>
  </si>
  <si>
    <t>Estimated share of change in taxi rides that is met by change in taxi cruising (taxi miles w/o passengers)</t>
  </si>
  <si>
    <t>Shifts per day per medallion taxi, baseline</t>
  </si>
  <si>
    <t>Change in Shifts per day due to changes in demand from pricing</t>
  </si>
  <si>
    <t>Change in Shifts per day expressed as factor (multiple)</t>
  </si>
  <si>
    <t>Hail time, minutes</t>
  </si>
  <si>
    <t>Total trip time for passengers, minutes</t>
  </si>
  <si>
    <r>
      <t xml:space="preserve">We now calculate changes in trip durations </t>
    </r>
    <r>
      <rPr>
        <u/>
        <sz val="9"/>
        <rFont val="Arial"/>
        <family val="2"/>
      </rPr>
      <t>for passengers</t>
    </r>
    <r>
      <rPr>
        <sz val="9"/>
        <rFont val="Arial"/>
        <family val="2"/>
      </rPr>
      <t>, i.e., w/o cruising but w/ riders' hail time.</t>
    </r>
  </si>
  <si>
    <t>Constants (see below)</t>
  </si>
  <si>
    <t>Taxi ridership, daily (weekday), # of fare trips, with pricing</t>
  </si>
  <si>
    <t>Taxi ridership, annual # of fare trips, with pricing (millions)</t>
  </si>
  <si>
    <t>Taxi ridership, annual # of fare trips, with pricing, summed over all days in year (millions)</t>
  </si>
  <si>
    <t>Taxi ridership, annual fare trips, baseline, summed over all days in yr (millions)</t>
  </si>
  <si>
    <t>Change in taxi ridership, annual (i.e., weekdays and weekends combined)</t>
  </si>
  <si>
    <t>Estimate</t>
  </si>
  <si>
    <t>Weighted</t>
  </si>
  <si>
    <t>Expected % change in cordon-crossing trips due to pricing</t>
  </si>
  <si>
    <t>Expected change in revenue due to congestion pricing, thousands</t>
  </si>
  <si>
    <t>Payments to Port Authority</t>
  </si>
  <si>
    <t>Payments to MTA Bridges &amp; Tunnels</t>
  </si>
  <si>
    <t>Total Income (Revenue)</t>
  </si>
  <si>
    <t>Total Expenditures (Investments)</t>
  </si>
  <si>
    <t>Expenditures</t>
  </si>
  <si>
    <t>Net</t>
  </si>
  <si>
    <t xml:space="preserve">This worksheet has five purposes, each with its own part: </t>
  </si>
  <si>
    <t>2. Estimate revenue and traffic impacts of rationalizing curbside parking charges within the Manhattan CBD.</t>
  </si>
  <si>
    <t>2. Estimate potential revenue from raising curbside parking rates to market-clearing levels.</t>
  </si>
  <si>
    <t>3. Estimate congestion impact of several bills intended to constrain issuance of parking tickets and otherwise increase provision of free parking, passed by NY City Council over a mayoral veto, in late 2009 .</t>
  </si>
  <si>
    <t>4. Facilitate in estimating the impact of parking costs on trip entries into the Manhattan CBD, by calculating the average amounts that are paid for parking for work and non-work trips, during the various time periods on weekdays.</t>
  </si>
  <si>
    <t>5. Estimate congestion costs from double-parking within the Manhattan CBD.</t>
  </si>
  <si>
    <t>3. Estimate congestion-causing impact of bills intended to increase provision of free parking</t>
  </si>
  <si>
    <t>4. Estimate impact on CBD-bound trips from free CBD parking</t>
  </si>
  <si>
    <t>A. Specify number of parking spaces -- potential as well as currently metered -- in the Manhattan CBD and estimate the number in the 37 blocks immediately to the north (to 96 St.)</t>
  </si>
  <si>
    <t>CBD spaces are available from a published source and are given directly below. Spaces in zone from 59 St to 96 St must be est'd from other available data; this is done here.</t>
  </si>
  <si>
    <t>"An agglomeration of Community Districts Four, Five and Six covers the area from 14th Street to 59th Street, ranging from the Hudson River to the East River. Within this area there are a total of 13,590 potential spaces. As of 2002, only 2,890 of these spaces were metered." (Gary Roth, An Investigation into Rational Pricing for Curbside Parking, p. 46, citing Rose, J. B. (2002). An Evaluation and Update of Off-Street Parking Regulations in Community Districts 1-8 in Manhattan. New York, New York City Department of City Planning.).</t>
  </si>
  <si>
    <t xml:space="preserve">B. Estimate revenues per space </t>
  </si>
  <si>
    <t>1. Specify cost to park within the CBD</t>
  </si>
  <si>
    <t>CBD car commutes, classified by parking situation</t>
  </si>
  <si>
    <t>Share of CBD commuters falling in this category</t>
  </si>
  <si>
    <t>Daily parking cost for these commuters</t>
  </si>
  <si>
    <r>
      <t>Source for Schaller</t>
    </r>
    <r>
      <rPr>
        <sz val="8"/>
        <rFont val="Arial"/>
        <family val="2"/>
      </rPr>
      <t>: Schaller 2007, pp. 9-10. Note: his weighted avg of $8.89 (p. 10) is slightly less than total shown above.</t>
    </r>
  </si>
  <si>
    <r>
      <t xml:space="preserve">1. Specify cost to park within the CBD, for use in developing baseline parking costs in </t>
    </r>
    <r>
      <rPr>
        <b/>
        <sz val="9"/>
        <rFont val="Arial"/>
        <family val="2"/>
      </rPr>
      <t>Motor Vs</t>
    </r>
    <r>
      <rPr>
        <sz val="9"/>
        <rFont val="Arial"/>
        <family val="2"/>
      </rPr>
      <t xml:space="preserve"> worksheet.</t>
    </r>
  </si>
  <si>
    <t>1. Pay to park in lot or garage</t>
  </si>
  <si>
    <t>2. Park on street, pay via meter</t>
  </si>
  <si>
    <t>3. Parking is provided or reimbursed</t>
  </si>
  <si>
    <t xml:space="preserve">4. Park on street without paying </t>
  </si>
  <si>
    <r>
      <t>Source for Komanoff</t>
    </r>
    <r>
      <rPr>
        <sz val="8"/>
        <rFont val="Arial"/>
        <family val="2"/>
      </rPr>
      <t>: Share for "park on street w/o paying" (#4) was reduced by one-tenth to reflect presumed decrease in placard parking by Bloomberg administration; change has been allocated proportionally to #1 and #2. Cost for #3, which Schaller counts as zero, is assumed to be a percentage of Schaller #1 cost, with the % shown in box directly below at right, on premise that the party bankrolling "free" parking recognizes direct and/or opportunity cost of providing space. Percentage is Komanoff assumption, discussed below. I also raised costs for #1 and #2 very slightly to reflect 2008 conditions vs. 2006.</t>
    </r>
  </si>
  <si>
    <r>
      <t xml:space="preserve">Assumed ratio of cost of off-street parking (lot/garage) or provided/reimbursed parking to </t>
    </r>
    <r>
      <rPr>
        <u/>
        <sz val="9"/>
        <color indexed="17"/>
        <rFont val="Arial"/>
        <family val="2"/>
      </rPr>
      <t>Weekday</t>
    </r>
    <r>
      <rPr>
        <sz val="9"/>
        <color indexed="17"/>
        <rFont val="Arial"/>
        <family val="2"/>
      </rPr>
      <t xml:space="preserve"> rate:</t>
    </r>
  </si>
  <si>
    <r>
      <t>How to use the BTA to model the impact of bridge tolls</t>
    </r>
    <r>
      <rPr>
        <b/>
        <sz val="8"/>
        <rFont val="Arial"/>
        <family val="2"/>
      </rPr>
      <t xml:space="preserve"> (as opposed to a cordon toll to drive into the CBD)</t>
    </r>
  </si>
  <si>
    <t>11 pm - 5 am (6 hrs)</t>
  </si>
  <si>
    <t>10 am - 2 pm (4 hrs)</t>
  </si>
  <si>
    <t>9-10 am + 2-8 pm (7 hrs)</t>
  </si>
  <si>
    <t>Weekday Toll Intervals</t>
  </si>
  <si>
    <t>Weekend Toll Intervals</t>
  </si>
  <si>
    <t>Midnight - 10 am (10 hrs)</t>
  </si>
  <si>
    <t>10-12 am + 10-12 pm (4 h)</t>
  </si>
  <si>
    <t>Noon-5 pm + 8-10 pm (7 h)</t>
  </si>
  <si>
    <t>5-8 pm (3 hrs)</t>
  </si>
  <si>
    <t>Taxi surcharge $, under chosen plan</t>
  </si>
  <si>
    <t>Weekday Fare Intervals</t>
  </si>
  <si>
    <t>5-6 am + 8-11 pm (4 hrs)</t>
  </si>
  <si>
    <t>7-8 am + 4-5 pm (2 hrs)</t>
  </si>
  <si>
    <t>9-10 am + 6-7 pm (2 hrs)</t>
  </si>
  <si>
    <t>8-9 am + 5-6 pm (2 hrs)</t>
  </si>
  <si>
    <t>6-9 am (3 hrs)</t>
  </si>
  <si>
    <t>Reduces # of pre-toll (baseline) trips by autos, taxis, trucks, buses. Negative % implies increase. Lets toll scenarios operate on more realistic baseline if recession has shrunk traffic.</t>
  </si>
  <si>
    <r>
      <t xml:space="preserve">This formula is shown directly below, in Section A. Several adjustments were required to apply it to NYC cordon conditions. These are detailed in Section B. We also needed to specify the mathematical (probabilistic) interaction between the propensity of tolled drivers to </t>
    </r>
    <r>
      <rPr>
        <i/>
        <sz val="9"/>
        <rFont val="Arial"/>
        <family val="2"/>
      </rPr>
      <t xml:space="preserve">time-switch </t>
    </r>
    <r>
      <rPr>
        <sz val="9"/>
        <rFont val="Arial"/>
        <family val="2"/>
      </rPr>
      <t>and their tendency to forego the auto trip entirely in the face of the toll. Our treatment of this is discussed in Section C.</t>
    </r>
  </si>
  <si>
    <r>
      <t xml:space="preserve">As noted in the </t>
    </r>
    <r>
      <rPr>
        <b/>
        <sz val="9"/>
        <rFont val="Arial"/>
        <family val="2"/>
      </rPr>
      <t>Time Switching</t>
    </r>
    <r>
      <rPr>
        <sz val="9"/>
        <rFont val="Arial"/>
        <family val="2"/>
      </rPr>
      <t xml:space="preserve"> worksheet, during 2005-07 </t>
    </r>
    <r>
      <rPr>
        <sz val="9"/>
        <rFont val="Arial"/>
        <family val="2"/>
      </rPr>
      <t>the Puget Sound Regional Council conducted a real-world road-pricing experiment involving 270 demographically representative households in the Seattle metropolitan area. These households were charged time-varied tolls for all trips taken on area highways over a six-month period. The households’ travel choices — essentially, the number, length and timing of their trips — were then compared against baseline values, and the results distilled into estimates of price elasticities and time-switching propensities. The PSRC's "Traffic Choices Study, Summary Report" is available at &lt;http://www.psrc.org/assets/37/summaryreport.pdf&gt;.</t>
    </r>
  </si>
  <si>
    <t>p = 1/(1+exp(-b0 - b1*x))</t>
  </si>
  <si>
    <t>Mean of five toll differentials betw adjacent time periods, in PSRC, Traffic Choices Study, Figure 1, "Traffic Choices Toll Roads Map." Our figure matches average per-mile toll savings (freeways) in PSRC study (min and max are for trip distance of 10-12 miles, shown in PSRC, Traffic Choices Study, Appendix 4, Tariff Model Development, Table 1 - AM Peak Period Trip Toll Cost and Travel Distance Distributions).</t>
  </si>
  <si>
    <t xml:space="preserve">Baseline tolls on PA Crossings </t>
  </si>
  <si>
    <r>
      <t>Overall price-sensitivity</t>
    </r>
    <r>
      <rPr>
        <sz val="10"/>
        <rFont val="Arial"/>
        <family val="2"/>
      </rPr>
      <t xml:space="preserve"> — Auto use is considerably more price-sensitive than subway use. We employ total price-elasticities (parameters that relate percent changes in demand to to changes in total trip price) of (negative) 0.5 and 0.9 for auto trips (work and non-work trips, respectively) but only 0.09 and 0.234 for transit trips. (See the </t>
    </r>
    <r>
      <rPr>
        <b/>
        <sz val="10"/>
        <rFont val="Arial"/>
        <family val="2"/>
      </rPr>
      <t xml:space="preserve">Elasticities </t>
    </r>
    <r>
      <rPr>
        <sz val="10"/>
        <rFont val="Arial"/>
        <family val="2"/>
      </rPr>
      <t>worksheet in the BTA.) That is, on average, demand for subway use is only 20-25% as price-sensitive as demand for auto travel. We reflect this difference by dampening, for the subways, the observed elasticity for time-switching auto trips on the Port Authority crossings four-to-five-fold.</t>
    </r>
  </si>
  <si>
    <r>
      <t>Income</t>
    </r>
    <r>
      <rPr>
        <sz val="10"/>
        <rFont val="Arial"/>
        <family val="2"/>
      </rPr>
      <t xml:space="preserve"> — Conversely, subway passengers have lower incomes than car users who drive into the CBD, on average. We estimate the income ratio to be approximately 1.5 to 1. We reflect this for subway riders by increasing the propensity to switch travel times observed for drivers in the study of Port Authority crossings, by 50%.</t>
    </r>
  </si>
  <si>
    <t>B. Mathematical treatment of interaction/competition between trip time-switching and trip elimination</t>
  </si>
  <si>
    <t>D. Normalizing factors to reflect different toll differentials for Puget Sound study vs. NYC cordon pricing</t>
  </si>
  <si>
    <t>M a t e r I a l    b e l o w    t h I s    l I n e    I s    n o t    u s e d    I n    t h e    B T A ,   a t    p r e s e n t .</t>
  </si>
  <si>
    <t>Reflects three adjustments: (i) different avg incomes of subway users vs. drivers (and, hence, different sensitivity to fare differentials; (ii) different price-sensitivity of transit vs. driving; (iii) shorter subway "fare bins" vs. PA study.</t>
  </si>
  <si>
    <t>Value of veh-hour, cars only</t>
  </si>
  <si>
    <r>
      <t xml:space="preserve">(Is used for a calc. in </t>
    </r>
    <r>
      <rPr>
        <b/>
        <sz val="8"/>
        <rFont val="Arial"/>
        <family val="2"/>
      </rPr>
      <t>Sub vs. Bus</t>
    </r>
    <r>
      <rPr>
        <sz val="8"/>
        <rFont val="Arial"/>
        <family val="2"/>
      </rPr>
      <t xml:space="preserve"> sheet, and has interest for illustrative purposes.)</t>
    </r>
  </si>
  <si>
    <r>
      <t xml:space="preserve">This worksheet calculates the </t>
    </r>
    <r>
      <rPr>
        <u/>
        <sz val="9"/>
        <rFont val="Arial"/>
        <family val="2"/>
      </rPr>
      <t>Gini Coefficient</t>
    </r>
    <r>
      <rPr>
        <sz val="9"/>
        <rFont val="Arial"/>
        <family val="2"/>
      </rPr>
      <t xml:space="preserve"> for hourly subway travel as a way of distilling the effect of transit fare pricing on the "even-ness" (or unevenness) of the temporal distribution of subway ridership.</t>
    </r>
  </si>
  <si>
    <t>The Gini Coefficient is a measure of population inequality ranging from zero to one. A completely equal distribution (all periods have the same number of rides) gives 0, while completely unequal distribution (all rides fall in a single period) gives 1. A 2008 article, from Harvard Magazine &lt;http://harvardmagazine.com/2008/07/p3-unequal-america.html&gt; includes a timely discussion of the Gini Coefficient's use in tracking income inequality (which was the focus of its creator, Corrado Gini, in the early 20th Century). For more info, try Wikipedia: &lt;http://www.answers.com/topic/gini-coefficient&gt;</t>
  </si>
  <si>
    <t>Aggregate taxi fare-miles (with paying passenger), baseline (for typical day)</t>
  </si>
  <si>
    <t>Aggregate taxi miles spent cruising, baseline (for typical day)</t>
  </si>
  <si>
    <t>Aggregate taxi miles spent cruising, with pricing (for typical day)</t>
  </si>
  <si>
    <t>Aggregate taxi fare-miles (with paying passenger), with implementation of pricing (for typical day)</t>
  </si>
  <si>
    <t>Aggregate taxi fare-miles (cruising plus paying passenger), baseline (for typical day)</t>
  </si>
  <si>
    <t>Aggregate taxi fare-miles (cruising plus paying passenger), with pricing (for typical day)</t>
  </si>
  <si>
    <t>Change in fare miles due to traffic and taxi pricing (for typical day)</t>
  </si>
  <si>
    <t>Change in cruising miles due to traffic and taxi pricing (for typical day)</t>
  </si>
  <si>
    <t>Change in total taxi miles due to traffic and taxi pricing (for typical day)</t>
  </si>
  <si>
    <t>Schaller, p. 8: "80% of all taxi trips began and/or ended in Manhattan business district (60th Street to Battery, river to river) in 1988. 42% of all trips started in Midtown Manhattan (30th to 60th Streets, river to river) in 1988. This trip profile was essentially unchanged morning, midday, afternoon and evening in 1988." TLC, "Taxi Road Forward" (2007): "[M]ore than 85% of all taxi trips begin or end in Manhattan." (p. 36)</t>
  </si>
  <si>
    <t>Change in total taxi miles in CBD, due to traffic and taxi pricing (for typical day)</t>
  </si>
  <si>
    <t>Change in total taxi miles outside CBD, due to traffic and taxi pricing (for typical day)</t>
  </si>
  <si>
    <t>It takes into account changes in number of taxi trips due to (1) taxi fare changes, (2) taxi trip duration changes, (3) congestion toll, and (4) subway fare changes. It then factors the net result of those changes through a process reflecting the split in the change in taxi trips between new cordon crossings by taxis and changes in taxi cruising.</t>
  </si>
  <si>
    <r>
      <t xml:space="preserve">Calculated as ratio of "new" to "prior" traffic volume, raised to "time elasticity of vehicle travel" for taxi trips (see </t>
    </r>
    <r>
      <rPr>
        <b/>
        <sz val="8"/>
        <rFont val="Arial"/>
        <family val="2"/>
      </rPr>
      <t>Elasticities</t>
    </r>
    <r>
      <rPr>
        <sz val="8"/>
        <rFont val="Arial"/>
        <family val="2"/>
      </rPr>
      <t>)</t>
    </r>
  </si>
  <si>
    <t>Calculated as ratio of "prior" to "new" cordon traffic speeds, raised to "time elasticity of vehicle travel" for taxi trips</t>
  </si>
  <si>
    <t>Calculated as ratio of "prior" to "new" non-cordon traffic speeds, raised to "time elasticity of vehicle travel" for taxi trips</t>
  </si>
  <si>
    <t>Calculated as ratio of "new" to "prior" traffic duration, raised to "time elasticity of vehicle travel" for auto work trips (see Elasticities)</t>
  </si>
  <si>
    <t>Calculated as ratio of "new" to "prior" traffic duration, raised to "time elasticity of vehicle travel" for auto non-work trips (see Elasticities)</t>
  </si>
  <si>
    <t>Calculated as ratio of "new" to "prior" traffic duration, raised to "time elasticity of vehicle travel" for auto through-trips (see Elasticities)</t>
  </si>
  <si>
    <t>Calculated as ratio of "new" to "prior" traffic duration, raised to "time elasticity of vehicle travel" for taxi trips (see Elasticities)</t>
  </si>
  <si>
    <t>Calculated as ratio of "new" to "prior" traffic duration, raised to "time elasticity of vehicle travel" for truck trips (see Elasticities)</t>
  </si>
  <si>
    <t>Calculated as ratio of "new" to "prior" traffic duration, raised to "time elasticity of vehicle travel" for bus trips (see Elasticities)</t>
  </si>
  <si>
    <t>Calculated as ratio of "new" to "prior" traffic duration, raised to "time elasticity of veh. travel" for auto non-work trips (see Elasticities)</t>
  </si>
  <si>
    <t>Calculated as ratio of "new" to "prior" traffic duration, raised to "time elasticity of veh. travel" for thru trips (see Elasticities)</t>
  </si>
  <si>
    <t>Calculated as ratio of "new" to "prior" traffic duration, raised to "time elasticity of vehicle travel" for truck trips (see Elasticity)</t>
  </si>
  <si>
    <t>Calculated as ratio of "new" to "prior" traffic duration, raised to "time elasticity of vehicle travel" for transit bus trips (see Elasticity)</t>
  </si>
  <si>
    <t>Calculated as ratio of "new" to "prior" traffic duration, raised to "time elasticity of vehicle travel" for auto work trips (see Elasticity)</t>
  </si>
  <si>
    <t>Calculated as ratio of "new" to "prior" traffic duration, raised to "time elasticity of veh. travel" for auto non-work trips (see Elasticity)</t>
  </si>
  <si>
    <t>Calculated as ratio of "new" to "prior" traffic duration, raised to "time elasticity of veh. travel" for thru trips (see Elasticity)</t>
  </si>
  <si>
    <t>Net: Income (Revenues) Less Expenditures</t>
  </si>
  <si>
    <t>These cells don't act as inputs into other calculations; they are shown solely for their possible interest value.</t>
  </si>
  <si>
    <t>Percent of all taxi miles driven that are accounted for by cruising (rounded to nearest tenth of a percent)</t>
  </si>
  <si>
    <t>Rounded from previous data line, to avoid minor instability in "baseline" scenario of zero price changes.</t>
  </si>
  <si>
    <t>Effective elasticities for calculating 'switching earlier'' factor</t>
  </si>
  <si>
    <t>Effective elasticities for calculating 'switching later'' factor</t>
  </si>
  <si>
    <t>Who Pays?</t>
  </si>
  <si>
    <t>(fluctuations in ridership over 24 hrs)</t>
  </si>
  <si>
    <t>(all days, i.e., 365 days/yr)</t>
  </si>
  <si>
    <t>Gini Coefficient for subway use (weekdays)</t>
  </si>
  <si>
    <t>Incidence</t>
  </si>
  <si>
    <t>Worksheet where calc'd</t>
  </si>
  <si>
    <t>Borough or County whose residents will bear the highest share of the new tolls</t>
  </si>
  <si>
    <t>Borough or County whose residents will bear the second highest share of the new tolls</t>
  </si>
  <si>
    <t>5-borough residents' share of the new tolls</t>
  </si>
  <si>
    <t>County outside NYC whose residents will bear the highest share of the new tolls</t>
  </si>
  <si>
    <t>Share of new toll payments to be borne by residents of that borough</t>
  </si>
  <si>
    <t>Within NYC</t>
  </si>
  <si>
    <t>Outside NYC</t>
  </si>
  <si>
    <t>Manhattan residents' new toll payments as a percentage of all of New York City's</t>
  </si>
  <si>
    <t>Weekday Traffic Speeds &amp; VMT</t>
  </si>
  <si>
    <t>Programming note: Most cells in column to left employ "IF" statement to avoid dividing by zero if user has selected "baseline" (no toll) scenario.</t>
  </si>
  <si>
    <t>Share of new toll payments to be borne by residents of that (#1 incidence) borough</t>
  </si>
  <si>
    <t>Share of new toll payments to be borne by residents of that (#2 incidence) borough</t>
  </si>
  <si>
    <t>'YES' or 'NO'</t>
  </si>
  <si>
    <t>Does our toll cover entire cordon, or just some of the free bridges?</t>
  </si>
  <si>
    <t>Is our toll 'means-tested' (discounted for income and transit-challenged)?</t>
  </si>
  <si>
    <t>Discounts</t>
  </si>
  <si>
    <t>Gross</t>
  </si>
  <si>
    <t>Applicable</t>
  </si>
  <si>
    <t>Shifts per day for entire medallion taxi sector, baseline</t>
  </si>
  <si>
    <t>Shifts per day for entire medallion taxi sector, with pricing</t>
  </si>
  <si>
    <r>
      <t xml:space="preserve">Medallion Taxicab Usage </t>
    </r>
    <r>
      <rPr>
        <sz val="9"/>
        <rFont val="Arial"/>
        <family val="2"/>
      </rPr>
      <t>(365 days)</t>
    </r>
  </si>
  <si>
    <t>New fare (with pricing), 365 days</t>
  </si>
  <si>
    <r>
      <t>Ratio, toll in period to toll in earlier period, before our tolls</t>
    </r>
    <r>
      <rPr>
        <sz val="8"/>
        <rFont val="Arial"/>
        <family val="2"/>
      </rPr>
      <t xml:space="preserve"> (defaults to unity unless difference in tolls is $1.00 or greater; default prevents algebraic instability in certain circumstances)</t>
    </r>
  </si>
  <si>
    <r>
      <t xml:space="preserve">Ratio, toll in period to toll in later period, before our tolls </t>
    </r>
    <r>
      <rPr>
        <sz val="8"/>
        <rFont val="Arial"/>
        <family val="2"/>
      </rPr>
      <t>(defaults to unity unless difference in tolls is $1.00 or greater; default prevents algebraic instability in certain circumstances)</t>
    </r>
  </si>
  <si>
    <r>
      <t xml:space="preserve">Ratio, toll in period to toll in earlier period, with our tolls </t>
    </r>
    <r>
      <rPr>
        <sz val="8"/>
        <rFont val="Arial"/>
        <family val="2"/>
      </rPr>
      <t>(defaults to unity unless difference in tolls is $1.00 or greater; default prevents algebraic instability in certain circumstances)</t>
    </r>
  </si>
  <si>
    <r>
      <t xml:space="preserve">Ratio, toll in period to toll in later period, with our tolls </t>
    </r>
    <r>
      <rPr>
        <sz val="8"/>
        <rFont val="Arial"/>
        <family val="2"/>
      </rPr>
      <t>(defaults to unity unless difference in tolls is $1.00 or greater; default prevents algebraic instability in certain circumstances)</t>
    </r>
  </si>
  <si>
    <t>B. The model supports policy proposals to institute time-variable, geographically balanced congestion pricing in New York City and apply the revenues to improve the quality and affordability of public transit.</t>
  </si>
  <si>
    <t>2. Sustainable Transit Plans</t>
  </si>
  <si>
    <t>A. Transit Revenue</t>
  </si>
  <si>
    <t>B. Traffic-Pricing Revenue</t>
  </si>
  <si>
    <t>PlaNYC document, "NYC Mobility Needs Assessment, 2007-2030," Fig. 5.10.9 - Average Daily Speed at 2007 Baseline (without Congestion Pricing), p. 147. See also, "Report to the Traffic Congestion Mitigation Commission &amp; Recommended Implementation Plan," Jan. 31, 2008, p. 6: "GPS data for October 2007 show that taxi trips average 6 mph within Midtown Manhattan and 8 mph within the CBD as a whole (below 60th Street), between 8 am and 6 pm."</t>
  </si>
  <si>
    <t>Fare Reduxn for Intra-NYC Express Bus Trips</t>
  </si>
  <si>
    <t>Fiigure is average difference between old and weekday/weekend new subway fare.</t>
  </si>
  <si>
    <t>New value of the new transit trips into the CBD, per year</t>
  </si>
  <si>
    <t>A. Subway Trips Into CBD</t>
  </si>
  <si>
    <t>B. Other Subway Trips (non-CBD-related)</t>
  </si>
  <si>
    <t>C. Bus Trips</t>
  </si>
  <si>
    <t>Average duration of a bus trip, after re-priced transit</t>
  </si>
  <si>
    <t>New trips into/out of CBD per year due to re-priced transit</t>
  </si>
  <si>
    <t>Method: Car trips that are no longer taken, due to cordon entry fee or re-priced transit, provided utility to the trip-takers. The number of such trips and their average and aggregate value are estimated in Part 1. Conversely, new transit trips taken due to transit's now being re-priced have value for those trip-takers, estimated in Part 2.</t>
  </si>
  <si>
    <t>2. New Trips taken on Transit (attracted by re-priced transit; trips priced out of m.v.'s are counted in Section 1C above)</t>
  </si>
  <si>
    <r>
      <t xml:space="preserve">Revenue </t>
    </r>
    <r>
      <rPr>
        <b/>
        <u/>
        <sz val="9"/>
        <rFont val="Arial"/>
        <family val="2"/>
      </rPr>
      <t>(income)</t>
    </r>
  </si>
  <si>
    <r>
      <t>This worksheet estimates changes in</t>
    </r>
    <r>
      <rPr>
        <b/>
        <sz val="9"/>
        <rFont val="Arial"/>
        <family val="2"/>
      </rPr>
      <t xml:space="preserve"> the number of people expected to enter the Manhattan CBD</t>
    </r>
    <r>
      <rPr>
        <sz val="9"/>
        <rFont val="Arial"/>
        <family val="2"/>
      </rPr>
      <t xml:space="preserve"> on a </t>
    </r>
    <r>
      <rPr>
        <u/>
        <sz val="9"/>
        <rFont val="Arial"/>
        <family val="2"/>
      </rPr>
      <t>typical weekday</t>
    </r>
    <r>
      <rPr>
        <sz val="9"/>
        <rFont val="Arial"/>
        <family val="2"/>
      </rPr>
      <t xml:space="preserve"> as a result of the congestion charge and (as applicable) related changes in taxi fares, transit fares, transit service quality, etc.</t>
    </r>
  </si>
  <si>
    <t>Title Page</t>
  </si>
  <si>
    <t>Motor Vs Weekends</t>
  </si>
  <si>
    <t>Speed-Vol., Cordon</t>
  </si>
  <si>
    <t>Speed-Vol., non-Cordon</t>
  </si>
  <si>
    <t>EMFAC</t>
  </si>
  <si>
    <t>Hub-Bound</t>
  </si>
  <si>
    <t>H.I.S.</t>
  </si>
  <si>
    <t>Index</t>
  </si>
  <si>
    <t>(this page)</t>
  </si>
  <si>
    <t>Outlines key relationships among car/truck, taxi, subway and bus use that effectively define the BTA.</t>
  </si>
  <si>
    <t>Shows key parameters of certain scenarios, and enables users to test own scenarios.</t>
  </si>
  <si>
    <t>Estimates agency revenues associated with policies being modeled.</t>
  </si>
  <si>
    <t>Reports monetized value of changes in traffic, travel and revenues predicted by any chosen plan.</t>
  </si>
  <si>
    <r>
      <rPr>
        <sz val="9"/>
        <rFont val="Arial"/>
        <family val="2"/>
      </rPr>
      <t xml:space="preserve">Estimates changes in number of </t>
    </r>
    <r>
      <rPr>
        <i/>
        <sz val="9"/>
        <rFont val="Arial"/>
        <family val="2"/>
      </rPr>
      <t>persons</t>
    </r>
    <r>
      <rPr>
        <sz val="9"/>
        <rFont val="Arial"/>
        <family val="2"/>
      </rPr>
      <t xml:space="preserve"> expected to enter the CBD in cars, taxis, subways and buses.</t>
    </r>
  </si>
  <si>
    <r>
      <rPr>
        <sz val="9"/>
        <rFont val="Arial"/>
        <family val="2"/>
      </rPr>
      <t xml:space="preserve">Duplicates </t>
    </r>
    <r>
      <rPr>
        <b/>
        <sz val="9"/>
        <rFont val="Arial"/>
        <family val="2"/>
      </rPr>
      <t xml:space="preserve">Motor Vs </t>
    </r>
    <r>
      <rPr>
        <sz val="9"/>
        <rFont val="Arial"/>
        <family val="2"/>
      </rPr>
      <t>worksheet, for weekends (Saturdays, Sundays, Holidays).</t>
    </r>
  </si>
  <si>
    <t>Compares time savings vs. toll payment for an individual commute trip into the CBD.</t>
  </si>
  <si>
    <t>Estimates toll-plan incidence by county; demonstrates graphically the impact of taxi surcharge on Manhattan's toll burden vis-à-vis boroughs and suburbs.</t>
  </si>
  <si>
    <t>Estimates aggregate hours and minutes of vehicle-delay caused per each additional trip into the CBD.</t>
  </si>
  <si>
    <r>
      <rPr>
        <sz val="9"/>
        <rFont val="Arial"/>
        <family val="2"/>
      </rPr>
      <t xml:space="preserve">Does same as </t>
    </r>
    <r>
      <rPr>
        <b/>
        <sz val="9"/>
        <rFont val="Arial"/>
        <family val="2"/>
      </rPr>
      <t>Delays</t>
    </r>
    <r>
      <rPr>
        <sz val="9"/>
        <rFont val="Arial"/>
        <family val="2"/>
      </rPr>
      <t>, for weekend vehicle traffic.</t>
    </r>
  </si>
  <si>
    <t>Translates delay hours into delay dollars, based on our estimates of value of drivers' time in traffic.</t>
  </si>
  <si>
    <t>Estimates improvements in transit travel times from increased transit investment.</t>
  </si>
  <si>
    <r>
      <rPr>
        <sz val="9"/>
        <rFont val="Arial"/>
        <family val="2"/>
      </rPr>
      <t xml:space="preserve">Calculates effects of any hour-by-hour "regime" of subway fares chosen by user; with over 400 rows and 40 columns, </t>
    </r>
    <r>
      <rPr>
        <sz val="9"/>
        <rFont val="Arial"/>
        <family val="2"/>
      </rPr>
      <t xml:space="preserve">is BTA's transit workhorse. </t>
    </r>
  </si>
  <si>
    <t>Subway v. Bus</t>
  </si>
  <si>
    <t xml:space="preserve">Develops algorithm for assigning new transit trips between subway and bus modes. </t>
  </si>
  <si>
    <t>Travel-Time Switching</t>
  </si>
  <si>
    <t>Estimates impact of new pricing on bus service; also compiles number of buses and their passengers entering the CBD on weekdays.</t>
  </si>
  <si>
    <t>Estimates time savings from fare-free boarding.</t>
  </si>
  <si>
    <r>
      <rPr>
        <sz val="9"/>
        <rFont val="Arial"/>
        <family val="2"/>
      </rPr>
      <t xml:space="preserve">Estimates baseline 24-hour weekday divisions of CBD traffic and chooses hourly cordon tolls (user may vary). These specs go into traffic model in </t>
    </r>
    <r>
      <rPr>
        <b/>
        <sz val="9"/>
        <rFont val="Arial"/>
        <family val="2"/>
      </rPr>
      <t>Motor Vs</t>
    </r>
    <r>
      <rPr>
        <sz val="9"/>
        <rFont val="Arial"/>
        <family val="2"/>
      </rPr>
      <t xml:space="preserve"> worksheet.</t>
    </r>
  </si>
  <si>
    <r>
      <rPr>
        <sz val="9"/>
        <rFont val="Arial"/>
        <family val="2"/>
      </rPr>
      <t xml:space="preserve">Estimates baseline 24-hour weekend divisions of CBD traffic and chooses hourly cordon tolls (user may vary). These specs go into traffic model in </t>
    </r>
    <r>
      <rPr>
        <b/>
        <sz val="9"/>
        <rFont val="Arial"/>
        <family val="2"/>
      </rPr>
      <t>Motor Vs Weekends</t>
    </r>
    <r>
      <rPr>
        <sz val="9"/>
        <rFont val="Arial"/>
        <family val="2"/>
      </rPr>
      <t xml:space="preserve"> worksheet.</t>
    </r>
  </si>
  <si>
    <t>Compiles hour-by-hour weekend traffic levels as percentages of weekday levels.</t>
  </si>
  <si>
    <r>
      <rPr>
        <sz val="9"/>
        <rFont val="Arial"/>
        <family val="2"/>
      </rPr>
      <t xml:space="preserve">Presents mathematical relationships used in </t>
    </r>
    <r>
      <rPr>
        <b/>
        <sz val="9"/>
        <rFont val="Arial"/>
        <family val="2"/>
      </rPr>
      <t>Motor Vs</t>
    </r>
    <r>
      <rPr>
        <sz val="9"/>
        <rFont val="Arial"/>
        <family val="2"/>
      </rPr>
      <t xml:space="preserve"> worksheet to translate changes in CBD traffic volumes due to tolling, into changes in traffic speeds within the CBD.</t>
    </r>
  </si>
  <si>
    <r>
      <rPr>
        <sz val="9"/>
        <rFont val="Arial"/>
        <family val="2"/>
      </rPr>
      <t xml:space="preserve">Presents mathematical relationships used in </t>
    </r>
    <r>
      <rPr>
        <b/>
        <sz val="9"/>
        <rFont val="Arial"/>
        <family val="2"/>
      </rPr>
      <t>Motor Vs</t>
    </r>
    <r>
      <rPr>
        <sz val="9"/>
        <rFont val="Arial"/>
        <family val="2"/>
      </rPr>
      <t xml:space="preserve"> worksheet to translate changes in non-CBD traffic volumes due to tolling, into changes in traffic speeds outside CBD.</t>
    </r>
  </si>
  <si>
    <t>Calculates and aggregates citywide reductions in vehicle miles traveled from new tolls and fares.</t>
  </si>
  <si>
    <t>Compiles estimates of transit and motor vehicle "time" and "price" elasticities (i.e., measures of sensitivity of travel demand to travel times and prices) used in the model.</t>
  </si>
  <si>
    <t>(Named for Italian economist Corrado Gini). Calculates extent to which time-based fare pricing flattens the uneven hour-by-hour profile of subway use.</t>
  </si>
  <si>
    <r>
      <t xml:space="preserve">Cordon </t>
    </r>
    <r>
      <rPr>
        <sz val="9"/>
        <rFont val="Arial"/>
        <family val="2"/>
      </rPr>
      <t>estimates costs to build, operate and administer the cordon charging system. Also estimates lane-miles and public space "created" by reducing VMT within the CBD.</t>
    </r>
  </si>
  <si>
    <t>Calculates changes in emissions of CO2, Total Organic Gases, Carbon Monoxide, Nitrogen Oxides, and PM10 that are projected to result from toll and fare changes.</t>
  </si>
  <si>
    <t>Displays outputs of EMFAC (Emission Factors model developed by the California Air Resources Board for a range of vehicle speeds and vehicle types.</t>
  </si>
  <si>
    <t>Calculates average CO2 emission rates as function of vehicle speed, based on empirical observations taken on freeways in California for range of traffic conditions.</t>
  </si>
  <si>
    <t>Estimates monetary savings from eliminating fares on NYC buses and subways.</t>
  </si>
  <si>
    <t>Derives compound growth rates suitable for bringing 2004 travel data to 2007 baseline.</t>
  </si>
  <si>
    <r>
      <rPr>
        <sz val="9"/>
        <rFont val="Arial"/>
        <family val="2"/>
      </rPr>
      <t xml:space="preserve">Calculates baseline percentages of paid vs. free parking within the CBD, for input into </t>
    </r>
    <r>
      <rPr>
        <b/>
        <sz val="9"/>
        <rFont val="Arial"/>
        <family val="2"/>
      </rPr>
      <t>Motor Vs</t>
    </r>
    <r>
      <rPr>
        <sz val="9"/>
        <rFont val="Arial"/>
        <family val="2"/>
      </rPr>
      <t>.</t>
    </r>
  </si>
  <si>
    <r>
      <rPr>
        <sz val="9"/>
        <rFont val="Arial"/>
        <family val="2"/>
      </rPr>
      <t xml:space="preserve">Compiles data on motor vehicle entries into CBD on typical weekday, for use in </t>
    </r>
    <r>
      <rPr>
        <b/>
        <sz val="9"/>
        <rFont val="Arial"/>
        <family val="2"/>
      </rPr>
      <t>Motor Vs</t>
    </r>
    <r>
      <rPr>
        <sz val="9"/>
        <rFont val="Arial"/>
        <family val="2"/>
      </rPr>
      <t xml:space="preserve"> and </t>
    </r>
    <r>
      <rPr>
        <b/>
        <sz val="9"/>
        <rFont val="Arial"/>
        <family val="2"/>
      </rPr>
      <t xml:space="preserve">Traffic </t>
    </r>
    <r>
      <rPr>
        <sz val="9"/>
        <rFont val="Arial"/>
        <family val="2"/>
      </rPr>
      <t>worksheets</t>
    </r>
    <r>
      <rPr>
        <b/>
        <sz val="9"/>
        <rFont val="Arial"/>
        <family val="2"/>
      </rPr>
      <t>.</t>
    </r>
  </si>
  <si>
    <t>Calculates impact of cordon tolling on out-of-pocket cost for an average East River vehicle trip, and estimates resultant decrease in driving.</t>
  </si>
  <si>
    <t>(Household Interview Survey) Compiles data from NYMTC 1997-98 Household Interview Survey that informs some parameter estimates used in the model.</t>
  </si>
  <si>
    <r>
      <rPr>
        <sz val="9"/>
        <rFont val="Arial"/>
        <family val="2"/>
      </rPr>
      <t xml:space="preserve">Compiles annual volumes for the seven crossings. Is dependent variable in analysis in </t>
    </r>
    <r>
      <rPr>
        <b/>
        <sz val="9"/>
        <rFont val="Arial"/>
        <family val="2"/>
      </rPr>
      <t xml:space="preserve">Regression </t>
    </r>
    <r>
      <rPr>
        <sz val="9"/>
        <rFont val="Arial"/>
        <family val="2"/>
      </rPr>
      <t>worksheet.</t>
    </r>
  </si>
  <si>
    <t>Derives our estimate of value of vehicle-hours saved in traffic through our proposed policies.</t>
  </si>
  <si>
    <r>
      <rPr>
        <sz val="9"/>
        <rFont val="Arial"/>
        <family val="2"/>
      </rPr>
      <t xml:space="preserve">Estimates effective toll rate for passenger car crossings each year. Also compiles annual employment data for Manhattan, for us in </t>
    </r>
    <r>
      <rPr>
        <b/>
        <sz val="9"/>
        <rFont val="Arial"/>
        <family val="2"/>
      </rPr>
      <t>Regression</t>
    </r>
    <r>
      <rPr>
        <sz val="9"/>
        <rFont val="Arial"/>
        <family val="2"/>
      </rPr>
      <t xml:space="preserve"> worksheet.</t>
    </r>
  </si>
  <si>
    <t>Compiles several parameters that are used in more than one worksheet.</t>
  </si>
  <si>
    <t>Displays results of earlier linear regression analysis by Komanoff that estimated price-elasticity of auto across East River.</t>
  </si>
  <si>
    <t>Calculates delays to other road users due to use of highway, curb and street space by FreshDirect trucks delivering groceries to customers in Manhattan CBD.</t>
  </si>
  <si>
    <t>Summarizes this spreadsheet's predecessor: Version 1.0 of the Balanced Transportation Analyzer.</t>
  </si>
  <si>
    <t>Summarizes nature, purpose and sponsorship of the spreadsheet.</t>
  </si>
  <si>
    <t>Hypothesized Fare Hike, % (to be filled in by user)</t>
  </si>
  <si>
    <t>Ridership multiple from that fare hike</t>
  </si>
  <si>
    <t>Estimated annual revenue after fare hike, millions</t>
  </si>
  <si>
    <t>Traffic Plans</t>
  </si>
  <si>
    <t>E-Z Pass Rates</t>
  </si>
  <si>
    <t>Cash Rates</t>
  </si>
  <si>
    <t>Rockwy</t>
  </si>
  <si>
    <t>HH</t>
  </si>
  <si>
    <t>VZNB</t>
  </si>
  <si>
    <t>Majors</t>
  </si>
  <si>
    <t>Toll rate for 2005 reflects March 13, 2005 rollout of $4.50 toll. See http://www.answers.com/topic/triborough-bridge-and-tunnel-authority, or http://www.nyc.gov/html/dot/pdf/manrivercross05.pdf.</t>
  </si>
  <si>
    <t>Summarizes policy choices embodied in each traffic plan; shows impacts on traffic, transit usage, agency revenues, time lost in traffic, and other quality of life indicators.</t>
  </si>
  <si>
    <t>Calculates changes in motor vehicle traffic within and outside CBD as result of congestion tolls, new transit fares and related policies.</t>
  </si>
  <si>
    <r>
      <rPr>
        <sz val="9"/>
        <rFont val="Arial"/>
        <family val="2"/>
      </rPr>
      <t xml:space="preserve">Estimates share of traffic on approach roads to CBD accounted for by cars and trucks that enter CBD and pay toll. Figures in traffic modeling in </t>
    </r>
    <r>
      <rPr>
        <b/>
        <sz val="9"/>
        <rFont val="Arial"/>
        <family val="2"/>
      </rPr>
      <t>Motor Vs</t>
    </r>
    <r>
      <rPr>
        <sz val="9"/>
        <rFont val="Arial"/>
        <family val="2"/>
      </rPr>
      <t xml:space="preserve"> worksheets.</t>
    </r>
  </si>
  <si>
    <r>
      <rPr>
        <sz val="9"/>
        <rFont val="Arial"/>
        <family val="2"/>
      </rPr>
      <t xml:space="preserve">This text-only worksheet explains algorithms in </t>
    </r>
    <r>
      <rPr>
        <b/>
        <sz val="9"/>
        <rFont val="Arial"/>
        <family val="2"/>
      </rPr>
      <t>Motor V's</t>
    </r>
    <r>
      <rPr>
        <sz val="9"/>
        <rFont val="Arial"/>
        <family val="2"/>
      </rPr>
      <t xml:space="preserve"> and </t>
    </r>
    <r>
      <rPr>
        <b/>
        <sz val="9"/>
        <rFont val="Arial"/>
        <family val="2"/>
      </rPr>
      <t>Subways</t>
    </r>
    <r>
      <rPr>
        <sz val="9"/>
        <rFont val="Arial"/>
        <family val="2"/>
      </rPr>
      <t xml:space="preserve"> that estimate number of trips that will switch travel time in response to time-of-day tolling and subway fares.</t>
    </r>
  </si>
  <si>
    <r>
      <t xml:space="preserve">In </t>
    </r>
    <r>
      <rPr>
        <b/>
        <sz val="10"/>
        <color indexed="63"/>
        <rFont val="Arial"/>
        <family val="2"/>
      </rPr>
      <t>Calculation options</t>
    </r>
    <r>
      <rPr>
        <sz val="10"/>
        <color indexed="63"/>
        <rFont val="Arial"/>
        <family val="2"/>
      </rPr>
      <t xml:space="preserve"> section, select </t>
    </r>
    <r>
      <rPr>
        <b/>
        <sz val="10"/>
        <color indexed="63"/>
        <rFont val="Arial"/>
        <family val="2"/>
      </rPr>
      <t>Enable iterative calculation</t>
    </r>
    <r>
      <rPr>
        <sz val="10"/>
        <color indexed="63"/>
        <rFont val="Arial"/>
        <family val="2"/>
      </rPr>
      <t xml:space="preserve"> check box.</t>
    </r>
  </si>
  <si>
    <r>
      <t xml:space="preserve">Set </t>
    </r>
    <r>
      <rPr>
        <b/>
        <sz val="10"/>
        <rFont val="Arial"/>
        <family val="2"/>
      </rPr>
      <t>maximum number of iterations</t>
    </r>
    <r>
      <rPr>
        <sz val="10"/>
        <rFont val="Arial"/>
        <family val="2"/>
      </rPr>
      <t xml:space="preserve"> to 100.</t>
    </r>
  </si>
  <si>
    <r>
      <t xml:space="preserve">Set </t>
    </r>
    <r>
      <rPr>
        <b/>
        <sz val="10"/>
        <rFont val="Arial"/>
        <family val="2"/>
      </rPr>
      <t xml:space="preserve">maximum change </t>
    </r>
    <r>
      <rPr>
        <sz val="10"/>
        <rFont val="Arial"/>
        <family val="2"/>
      </rPr>
      <t>box to 0.001.</t>
    </r>
  </si>
  <si>
    <r>
      <t>Click the</t>
    </r>
    <r>
      <rPr>
        <b/>
        <sz val="10"/>
        <rFont val="Arial"/>
        <family val="2"/>
      </rPr>
      <t xml:space="preserve"> </t>
    </r>
    <r>
      <rPr>
        <b/>
        <sz val="10"/>
        <color indexed="63"/>
        <rFont val="Arial"/>
        <family val="2"/>
      </rPr>
      <t xml:space="preserve">Microsoft Office Button </t>
    </r>
    <r>
      <rPr>
        <sz val="10"/>
        <color indexed="63"/>
        <rFont val="Arial"/>
        <family val="2"/>
      </rPr>
      <t>in the upper left-hand corner of your screen.</t>
    </r>
  </si>
  <si>
    <r>
      <t>Press OK</t>
    </r>
    <r>
      <rPr>
        <sz val="10"/>
        <rFont val="Arial"/>
        <family val="2"/>
      </rPr>
      <t xml:space="preserve"> at the bottom.</t>
    </r>
  </si>
  <si>
    <r>
      <t>Ted Kheel and Charles Komanoff have fashioned several integrated travel pricing proposals for New York City, each of which charges a toll to drive a motor vehicle into the Manhattan Central Business District (CBD), with the toll amount dependent on time of day and day of week. Each plan also implements a surcharge on medallion taxi fares. The plans are summarized in the third worksheet tab (</t>
    </r>
    <r>
      <rPr>
        <b/>
        <sz val="9"/>
        <rFont val="Arial"/>
        <family val="2"/>
      </rPr>
      <t>Traffic Plans</t>
    </r>
    <r>
      <rPr>
        <sz val="9"/>
        <rFont val="Arial"/>
        <family val="2"/>
      </rPr>
      <t xml:space="preserve">). </t>
    </r>
  </si>
  <si>
    <r>
      <t xml:space="preserve">Development of the BTA has been ongoing since Sept. 2007, under the auspices of </t>
    </r>
    <r>
      <rPr>
        <b/>
        <sz val="9"/>
        <rFont val="Arial"/>
        <family val="2"/>
      </rPr>
      <t>Nurture New York's Nature</t>
    </r>
    <r>
      <rPr>
        <sz val="9"/>
        <rFont val="Arial"/>
        <family val="2"/>
      </rPr>
      <t xml:space="preserve">, a non-profit founded by </t>
    </r>
    <r>
      <rPr>
        <b/>
        <sz val="9"/>
        <rFont val="Arial"/>
        <family val="2"/>
      </rPr>
      <t xml:space="preserve">Theodore (Ted) Kheel </t>
    </r>
    <r>
      <rPr>
        <sz val="9"/>
        <rFont val="Arial"/>
        <family val="2"/>
      </rPr>
      <t xml:space="preserve">(May 9, 1914 - Nov. 12, 2010). Go to </t>
    </r>
    <r>
      <rPr>
        <sz val="9"/>
        <rFont val="Arial"/>
        <family val="2"/>
      </rPr>
      <t>&lt;http://www.nnyn.org/&gt; to learn about NNYN. To learn about Ted's illustrious career, go to &lt;http://www.ilr.cornell.edu/library/kheel/about/history/theodoreKheel.html&gt;. For an obituary-eulogy to Ted, go here: http://bit.ly/cWuexa.</t>
    </r>
  </si>
  <si>
    <r>
      <t>To learn more about the BTA</t>
    </r>
    <r>
      <rPr>
        <sz val="9"/>
        <rFont val="Arial"/>
        <family val="2"/>
      </rPr>
      <t>, read the text directly below. Feel free, however, to skip the rest of this worksheet and the next three (</t>
    </r>
    <r>
      <rPr>
        <b/>
        <sz val="9"/>
        <rFont val="Arial"/>
        <family val="2"/>
      </rPr>
      <t>Index, Traffic Plans</t>
    </r>
    <r>
      <rPr>
        <sz val="9"/>
        <rFont val="Arial"/>
        <family val="2"/>
      </rPr>
      <t xml:space="preserve"> and </t>
    </r>
    <r>
      <rPr>
        <b/>
        <sz val="9"/>
        <rFont val="Arial"/>
        <family val="2"/>
      </rPr>
      <t>Flowchart</t>
    </r>
    <r>
      <rPr>
        <sz val="9"/>
        <rFont val="Arial"/>
        <family val="2"/>
      </rPr>
      <t xml:space="preserve">), and proceed to the </t>
    </r>
    <r>
      <rPr>
        <b/>
        <sz val="9"/>
        <rFont val="Arial"/>
        <family val="2"/>
      </rPr>
      <t>Results</t>
    </r>
    <r>
      <rPr>
        <sz val="9"/>
        <rFont val="Arial"/>
        <family val="2"/>
      </rPr>
      <t xml:space="preserve"> tab, where you can view the traffic and revenue impacts of several pre-selected pricing scenarios discussed in </t>
    </r>
    <r>
      <rPr>
        <b/>
        <sz val="9"/>
        <rFont val="Arial"/>
        <family val="2"/>
      </rPr>
      <t>Traffic Plans</t>
    </r>
    <r>
      <rPr>
        <sz val="9"/>
        <rFont val="Arial"/>
        <family val="2"/>
      </rPr>
      <t>.</t>
    </r>
  </si>
  <si>
    <t>Before you begin, please take these 7 quick steps to ensure that your
Excel program can handle the mathematical interactivity built into the BTA.</t>
  </si>
  <si>
    <t xml:space="preserve">Riders on Average Weekday </t>
  </si>
  <si>
    <t xml:space="preserve">Riders on Average Saturday </t>
  </si>
  <si>
    <t xml:space="preserve">Riders on Average Sunday </t>
  </si>
  <si>
    <t>Avg wkdy wait time, minutes</t>
  </si>
  <si>
    <t>Route</t>
  </si>
  <si>
    <t>("Weekend" includes holidays)</t>
  </si>
  <si>
    <t>B46</t>
  </si>
  <si>
    <t>Trips Per Weekday, both ways</t>
  </si>
  <si>
    <t>Buses per  weekday hr, 1 direction</t>
  </si>
  <si>
    <t>B6</t>
  </si>
  <si>
    <t>B44</t>
  </si>
  <si>
    <t>B35</t>
  </si>
  <si>
    <t>B41</t>
  </si>
  <si>
    <t>Bx1/2</t>
  </si>
  <si>
    <t>M14</t>
  </si>
  <si>
    <t>Bx19</t>
  </si>
  <si>
    <t>Bx36</t>
  </si>
  <si>
    <t>Q58</t>
  </si>
  <si>
    <t>B82</t>
  </si>
  <si>
    <t>Bx41</t>
  </si>
  <si>
    <t>Bx40/42</t>
  </si>
  <si>
    <t>Bx9</t>
  </si>
  <si>
    <t>M86</t>
  </si>
  <si>
    <t>Bx15</t>
  </si>
  <si>
    <t>B15</t>
  </si>
  <si>
    <t>B8</t>
  </si>
  <si>
    <t>M101</t>
  </si>
  <si>
    <t>A. NYC Transit Bus Routes With Highest Annual Ridership</t>
  </si>
  <si>
    <t>Revenue Vehicle Hours</t>
  </si>
  <si>
    <t>Revenue Vehicle Miles</t>
  </si>
  <si>
    <t>Revise Off-Pk Service Levels: Change Max. Loading Guideline from Zero to 10-18 Standees per Car</t>
  </si>
  <si>
    <t>This section establishes an approximate relationship between increased subway-system investments and decreased subway trip times -- the idea being that investments in subway train equipment and system reliability, scheduling and deployment will bring about reductions in passengers' subway trip travel times.</t>
  </si>
  <si>
    <r>
      <t xml:space="preserve">1. Allocated Cost of One Hour of Bus or Subway Service </t>
    </r>
    <r>
      <rPr>
        <sz val="9"/>
        <rFont val="Arial"/>
        <family val="2"/>
      </rPr>
      <t>(all figures are for 2009 unless noted)</t>
    </r>
  </si>
  <si>
    <t>Total miles that buses or subway cars spent on routes collecting, moving or dropping off passengers. Source: OESSAC.</t>
  </si>
  <si>
    <t>Total hours that buses or subway cars spent on routes collecting, moving or dropping off passengers. Source: OESSAC.</t>
  </si>
  <si>
    <t>Average trip distance in miles</t>
  </si>
  <si>
    <t>Average transit-vehicle speed</t>
  </si>
  <si>
    <t>Vehicles Operated in Maximum Service</t>
  </si>
  <si>
    <t>Maximum number of vehicles, buses and subway cars picking up and dropping off passengers at any given time. Source: OESSAC.</t>
  </si>
  <si>
    <t>Operator Salary and Wages</t>
  </si>
  <si>
    <t>Other Salary</t>
  </si>
  <si>
    <t>Fringe Benefits</t>
  </si>
  <si>
    <t>Total Payments to Operators</t>
  </si>
  <si>
    <t>Fuel and Lube Costs</t>
  </si>
  <si>
    <t>Tire and Tube Costs</t>
  </si>
  <si>
    <t>Casualty and Liability Insurance</t>
  </si>
  <si>
    <t>Utilities</t>
  </si>
  <si>
    <t>Some data from "Operating Expenses, Service Supplied and Consumed." TS(Time Series) 2.1. National Transit Database, &lt;http://www.ntdprogram.gov/ntdprogram/pubs/HistoricalData/TS2.1TimeSeriesOpExpSvcModeTOS.exe&gt;. Referred to here as OESSAC.</t>
  </si>
  <si>
    <t>Other data from From: "Table 13: Operating Expenses by Mode, Type of Service and Object Class." Transit Expenses. 2009 National Transit Database &lt;http://www.ntdprogram.gov/ntdprogram/pubs/dt/2008/excel/T13_Op_Exp_Mode_Class_2008.exe&gt;. Referred to here as OEBMTOSAOC.</t>
  </si>
  <si>
    <t>Funds spent on personnel driving and operating buses and subways. Source: OEBMTOSAOC.</t>
  </si>
  <si>
    <t>All benefits in addition to wages including: retirement plans, pension plans, medical plans, dental plans, life insurance, short-term disability, unemployment insurance, workers' compensation insurance, sick leave, holiday leave, vacation (and other paid leave such as bereavement leave, jury duty), uniform and work clothing allowances, and tools allowances for mechanics. Definition is from: "2010 Annual Reporting Manual of the National Transit Database: Financial Module," p 133, available at: &lt;http://www.ntdprogram.gov/ntdprogram/pubs/ARM/2010/pdf/2010_Financial_Module.pdf&gt;. Source: OEBMTOSAOC.</t>
  </si>
  <si>
    <t>Gasoline, diesel, propane, lubricating oil, transmission fluid, and grease for use in vehicles. Source: OEBMTOSAOC.</t>
  </si>
  <si>
    <t>Insurance premiums as well as public liability and property damage settlement pay outs and recoveries. Source: OEBMTOSAOC.</t>
  </si>
  <si>
    <t>Payments to utility companies including propulsion power for electric vehicles, electric power for other uses, natural gas, other heating fuels, telephone, water, sewer, and garbage collection. Source: OEBMTOSAOC.</t>
  </si>
  <si>
    <t>Revenue Hours per Vehicle (per year)</t>
  </si>
  <si>
    <t>Total New York City Route Miles</t>
  </si>
  <si>
    <t>Average Route Length, miles</t>
  </si>
  <si>
    <t>Total New York City Routes</t>
  </si>
  <si>
    <t>Number of distinct bus and subway services in operation. Source: same as for Route Miles, directly above.</t>
  </si>
  <si>
    <t>Aggregate Data</t>
  </si>
  <si>
    <t>Lease payments or purchase costs of tires and tubes. Source: OEBMTOSAOC.</t>
  </si>
  <si>
    <t>Total Operating Cost (excludes capital amortization on vehicle purchases)</t>
  </si>
  <si>
    <r>
      <t xml:space="preserve">BTA can treat cordon tolls as </t>
    </r>
    <r>
      <rPr>
        <u/>
        <sz val="9"/>
        <rFont val="Arial"/>
        <family val="2"/>
      </rPr>
      <t>increments to</t>
    </r>
    <r>
      <rPr>
        <sz val="9"/>
        <rFont val="Arial"/>
        <family val="2"/>
      </rPr>
      <t xml:space="preserve"> current applicable tolls or as </t>
    </r>
    <r>
      <rPr>
        <u/>
        <sz val="9"/>
        <rFont val="Arial"/>
        <family val="2"/>
      </rPr>
      <t>replacement</t>
    </r>
    <r>
      <rPr>
        <sz val="9"/>
        <rFont val="Arial"/>
        <family val="2"/>
      </rPr>
      <t xml:space="preserve"> of them (as in 2007-08 TCMC-Bloomberg pricing plan). Specify via "switch" in next column at right.</t>
    </r>
  </si>
  <si>
    <t>Allocating a share of surcharge revenues to taxi owners and drivers can help gain their support (with reduced gridlock from cordon tolls as further inducement).</t>
  </si>
  <si>
    <t>Per Vehicle-Hour Calculations</t>
  </si>
  <si>
    <t>Per Vehicle-Mile Calculations</t>
  </si>
  <si>
    <t>Annual Riders</t>
  </si>
  <si>
    <t>Hours of service per day</t>
  </si>
  <si>
    <t>Number of vehicle-hours that could be purchased for one million dollars</t>
  </si>
  <si>
    <t>Route length (one way), miles</t>
  </si>
  <si>
    <t xml:space="preserve">Sum of distance covered on all bus routes (buses) and sum of all tracks used by subways in service. From: "The MTA Network." Updated: Dec. 31, 2009. Available at &lt;http://www.mta.info/mta/network.htm&gt;. Note: </t>
  </si>
  <si>
    <t>Weekday speed, mph</t>
  </si>
  <si>
    <t>Reduxn in wait time w/ the $1M</t>
  </si>
  <si>
    <t>$$ allocated (millions)</t>
  </si>
  <si>
    <t>Wait time, minutes, w/ $1M</t>
  </si>
  <si>
    <t>1-way tours made per bus per hr</t>
  </si>
  <si>
    <t>X-Product: time-saving %, x riders</t>
  </si>
  <si>
    <t>Wkday hrs saved per yr w/ allocation</t>
  </si>
  <si>
    <t>1/2 of 60 div. by Col. I</t>
  </si>
  <si>
    <t>Reciprocal of Col. Q</t>
  </si>
  <si>
    <t>1/2 of 60 div. by Col. U</t>
  </si>
  <si>
    <t>Rough allocation intended to distribute $50 million (an arbitrary total) among bus lines so as to maximize improvements in trip time.</t>
  </si>
  <si>
    <t>Salaries for all other persons assoc'd w/ providing service including schedulers, dispatchers, vehicle maintenance, fare collection, and track maintenance. Source: OEBMTOSAOC.</t>
  </si>
  <si>
    <t xml:space="preserve">From NYCT: "2010 NYC Transit Bus Route Miles, as of June 29, 2010" </t>
  </si>
  <si>
    <t>Wkday hrs saved per yr per $1M</t>
  </si>
  <si>
    <t>Tours/hr that $1M could add</t>
  </si>
  <si>
    <t>Buses per  hr, 1 direxn, w/ $1M</t>
  </si>
  <si>
    <t>Example: the time-elasticity assumed for car and truck trips exceeds the price-elasticity; thus, a 10% reduction in travel time would generate a larger percentage increase in car trips than would a 10% reduction in trip cost. Nevertheless, the impact of tolls in the ST Plan exceeds the "rebound effect" of faster travel; this is because the ST Plan tolls would raise the average price of CBD-bound trips more (percent-wise) than the time savings would reduce the same trips' travel times.</t>
  </si>
  <si>
    <t>Taxi users are time-sensitive; higher speeds from cordon tolls will result in more trips.</t>
  </si>
  <si>
    <t>Transit use isn't very price-elastic.</t>
  </si>
  <si>
    <t>Transit use is relatively time-sensitive; better service attracts trips.</t>
  </si>
  <si>
    <t>Faster boarding due to eliminating fare would attract trips.</t>
  </si>
  <si>
    <t>Not many drivers will switch travel time to take advantage of a lower toll.</t>
  </si>
  <si>
    <r>
      <t xml:space="preserve">This worksheet, while not technically a flowchart, sketches the key relationships among the four travel modes -- </t>
    </r>
    <r>
      <rPr>
        <u/>
        <sz val="9"/>
        <rFont val="Arial"/>
        <family val="2"/>
      </rPr>
      <t>car/truck</t>
    </r>
    <r>
      <rPr>
        <sz val="9"/>
        <rFont val="Arial"/>
        <family val="2"/>
      </rPr>
      <t xml:space="preserve">, </t>
    </r>
    <r>
      <rPr>
        <u/>
        <sz val="9"/>
        <rFont val="Arial"/>
        <family val="2"/>
      </rPr>
      <t>taxi</t>
    </r>
    <r>
      <rPr>
        <sz val="9"/>
        <rFont val="Arial"/>
        <family val="2"/>
      </rPr>
      <t xml:space="preserve">, </t>
    </r>
    <r>
      <rPr>
        <u/>
        <sz val="9"/>
        <rFont val="Arial"/>
        <family val="2"/>
      </rPr>
      <t>subway</t>
    </r>
    <r>
      <rPr>
        <sz val="9"/>
        <rFont val="Arial"/>
        <family val="2"/>
      </rPr>
      <t xml:space="preserve"> and </t>
    </r>
    <r>
      <rPr>
        <u/>
        <sz val="9"/>
        <rFont val="Arial"/>
        <family val="2"/>
      </rPr>
      <t>bus</t>
    </r>
    <r>
      <rPr>
        <sz val="9"/>
        <rFont val="Arial"/>
        <family val="2"/>
      </rPr>
      <t xml:space="preserve"> -- that are modeled in the BTA.</t>
    </r>
  </si>
  <si>
    <r>
      <t xml:space="preserve">For each vehicle category, we itemize the "agent" impacting its use (e.g., the cordon toll, or travel time savings due to it) and specify the </t>
    </r>
    <r>
      <rPr>
        <i/>
        <sz val="9"/>
        <rFont val="Arial"/>
        <family val="2"/>
      </rPr>
      <t>direction</t>
    </r>
    <r>
      <rPr>
        <sz val="9"/>
        <rFont val="Arial"/>
        <family val="2"/>
      </rPr>
      <t xml:space="preserve"> (positive or negative) of the impact and its approximate magnitude.</t>
    </r>
  </si>
  <si>
    <r>
      <t xml:space="preserve">Note: "Strength of effect" is approximate. It is meant to reflect not only the elasticities (which are shown in a later worksheet, </t>
    </r>
    <r>
      <rPr>
        <b/>
        <sz val="9"/>
        <rFont val="Arial"/>
        <family val="2"/>
      </rPr>
      <t>Elasticities</t>
    </r>
    <r>
      <rPr>
        <sz val="9"/>
        <rFont val="Arial"/>
        <family val="2"/>
      </rPr>
      <t xml:space="preserve">), but also the magnitude of the agents (tolls, fares, etc.) assumed in the Sustainable Transit Plan, which are outlined in the worksheet, </t>
    </r>
    <r>
      <rPr>
        <b/>
        <sz val="9"/>
        <rFont val="Arial"/>
        <family val="2"/>
      </rPr>
      <t>Traffic Plans</t>
    </r>
    <r>
      <rPr>
        <sz val="9"/>
        <rFont val="Arial"/>
        <family val="2"/>
      </rPr>
      <t xml:space="preserve">. </t>
    </r>
  </si>
  <si>
    <t>Cordon Toll</t>
  </si>
  <si>
    <t>Administration Costs</t>
  </si>
  <si>
    <t>NYC Transit</t>
  </si>
  <si>
    <t>Assigning a fixed % of the revenues to drivers and/or owners may help win their acceptance.</t>
  </si>
  <si>
    <t>Revenue shown is gross surcharge.</t>
  </si>
  <si>
    <t>Subway Fare Discounts</t>
  </si>
  <si>
    <t>Bus Fare Discounts</t>
  </si>
  <si>
    <t>Toll Revenues Invested in Transit (Capital)</t>
  </si>
  <si>
    <t>Toll Revenues Spent on Transit (Operating)</t>
  </si>
  <si>
    <t>Cost to subway revenues from discounting some fares.</t>
  </si>
  <si>
    <t>Cost to bus revenues from discounting some fares.</t>
  </si>
  <si>
    <t>Portion of annual revenue stream dedicated to transit capital plan.</t>
  </si>
  <si>
    <t>Portion of annual revenue stream spent on improving transit operations.</t>
  </si>
  <si>
    <t>Toll revenues invested in transit will help keep transit system in state of good repair and, hence, maintain and attract ridership.</t>
  </si>
  <si>
    <t>Toll revenues spent on transit operation will make service more reliable, fast and attractive, helping maintain and attract ridership.</t>
  </si>
  <si>
    <t>% of Bus Ridership on Weekdays</t>
  </si>
  <si>
    <t>% of Bus Ridership on Weekends and Holidays</t>
  </si>
  <si>
    <t>Est'd % reduction in bus trip durations per first $50 million/yr in operating expenditures:</t>
  </si>
  <si>
    <t>Percent (not percentage point) attrition in above rate per each additional $50 million:</t>
  </si>
  <si>
    <t>Lookup table to calc. investment-duration relationship</t>
  </si>
  <si>
    <t>Lookup table to calculate expendit.-duration relationship</t>
  </si>
  <si>
    <t>Net revenue available to make travel more efficient &amp; affordable</t>
  </si>
  <si>
    <t>million / year</t>
  </si>
  <si>
    <r>
      <t xml:space="preserve">% Change in Auto Travel due to traffic plan selected (in </t>
    </r>
    <r>
      <rPr>
        <b/>
        <sz val="9"/>
        <rFont val="Arial"/>
        <family val="2"/>
      </rPr>
      <t>Results</t>
    </r>
    <r>
      <rPr>
        <sz val="9"/>
        <rFont val="Arial"/>
        <family val="2"/>
      </rPr>
      <t xml:space="preserve"> worksheet) by user </t>
    </r>
    <r>
      <rPr>
        <sz val="8"/>
        <rFont val="Arial"/>
        <family val="2"/>
      </rPr>
      <t>(from VMT worksheet)</t>
    </r>
  </si>
  <si>
    <r>
      <t xml:space="preserve">% Change in citywide VMT due to traffic plan selected </t>
    </r>
    <r>
      <rPr>
        <sz val="9"/>
        <rFont val="Arial"/>
        <family val="2"/>
      </rPr>
      <t xml:space="preserve">by user </t>
    </r>
    <r>
      <rPr>
        <sz val="8"/>
        <rFont val="Arial"/>
        <family val="2"/>
      </rPr>
      <t>(wghtd avg using above %'s)</t>
    </r>
  </si>
  <si>
    <r>
      <t xml:space="preserve">% Reduction in Bus Travel Time due to traffic plan </t>
    </r>
    <r>
      <rPr>
        <sz val="8"/>
        <rFont val="Arial"/>
        <family val="2"/>
      </rPr>
      <t>(excludes wait time)</t>
    </r>
  </si>
  <si>
    <t>A. Derive Baseline Average Bus Fare</t>
  </si>
  <si>
    <t xml:space="preserve">Small discrepancy indicates OK to use MTA data to apportion annual bus ridership into weekday/weekend. </t>
  </si>
  <si>
    <t>Rate of Attrition of Effectiveness of Increased Expenditures, Relative to That for Capital:</t>
  </si>
  <si>
    <t>1. Baseline Data</t>
  </si>
  <si>
    <t>W/o Interstates or Expwys (i.e., streets)</t>
  </si>
  <si>
    <t>% All
NYC VMT</t>
  </si>
  <si>
    <t>% Auto
NYC VMT</t>
  </si>
  <si>
    <t>Source: KEA file, Emissions Master File _ 16 Nov 2005.xls (worksheet tab: "2005 Emissions"), from a 2004 project with Synapse Energy Economics, Inc. These data were drawn from NYS DEC database and represent projections for year 2005 by DEC. Notwithstanding long interval to the present, the figures are probably reasonably accurate for today, given lack of pronounced growth in driving in NYC.</t>
  </si>
  <si>
    <r>
      <t xml:space="preserve">Table at right reproduces Excel table, "NY CBD BELOW 60 ST summary," provided by NYMTC on 1 Nov 2007. Each column represents a different time interval. Total gives avg CBD VMT </t>
    </r>
    <r>
      <rPr>
        <b/>
        <sz val="8"/>
        <rFont val="Arial"/>
        <family val="2"/>
      </rPr>
      <t xml:space="preserve">on a typical weekday. </t>
    </r>
    <r>
      <rPr>
        <sz val="8"/>
        <rFont val="Arial"/>
        <family val="2"/>
      </rPr>
      <t>Based on companion spreadsheets from NYMTC, Total would decline by ~15% if highways (e.g., FDR Drive, bridge/tunnel ramps, entrances, exits) were deducted.</t>
    </r>
  </si>
  <si>
    <t>Annual CBD VMT (in millions of miles)</t>
  </si>
  <si>
    <t>From NYMTC table directly above</t>
  </si>
  <si>
    <t>Daily auto trips into CBD (incl. medallion taxis, excl. bus/truck)</t>
  </si>
  <si>
    <r>
      <t xml:space="preserve">MPH: </t>
    </r>
    <r>
      <rPr>
        <sz val="8"/>
        <rFont val="Arial"/>
        <family val="2"/>
      </rPr>
      <t xml:space="preserve">"NYC Mobility Needs Assessment, 2007-2030," Figure 5.10.9 - Average Daily Speed at 2007 Baseline (without Congestion Pricing), p. 147. </t>
    </r>
    <r>
      <rPr>
        <b/>
        <sz val="8"/>
        <rFont val="Arial"/>
        <family val="2"/>
      </rPr>
      <t>VMT breakdowns</t>
    </r>
    <r>
      <rPr>
        <sz val="8"/>
        <rFont val="Arial"/>
        <family val="2"/>
      </rPr>
      <t xml:space="preserve">: Komanoff ests. </t>
    </r>
    <r>
      <rPr>
        <b/>
        <sz val="8"/>
        <rFont val="Arial"/>
        <family val="2"/>
      </rPr>
      <t>MPH Total (Avg)</t>
    </r>
    <r>
      <rPr>
        <sz val="8"/>
        <rFont val="Arial"/>
        <family val="2"/>
      </rPr>
      <t>: calculated as harmonic mean of weighted mph's (thus, the need for mph reciprocals).</t>
    </r>
  </si>
  <si>
    <t>2. VMT Changes from Cordon Fee and Transit Policies Inputted into this Model)</t>
  </si>
  <si>
    <r>
      <t xml:space="preserve">Split these bus trips betw work and non-work </t>
    </r>
    <r>
      <rPr>
        <sz val="8"/>
        <rFont val="Arial"/>
        <family val="2"/>
      </rPr>
      <t xml:space="preserve">(baseline proportions in </t>
    </r>
    <r>
      <rPr>
        <b/>
        <sz val="8"/>
        <rFont val="Arial"/>
        <family val="2"/>
      </rPr>
      <t>Buses</t>
    </r>
    <r>
      <rPr>
        <sz val="8"/>
        <rFont val="Arial"/>
        <family val="2"/>
      </rPr>
      <t>)</t>
    </r>
  </si>
  <si>
    <r>
      <t>Change in auto trips (vehicles)</t>
    </r>
    <r>
      <rPr>
        <sz val="9"/>
        <rFont val="Arial"/>
        <family val="2"/>
      </rPr>
      <t xml:space="preserve"> </t>
    </r>
    <r>
      <rPr>
        <sz val="8"/>
        <rFont val="Arial"/>
        <family val="2"/>
      </rPr>
      <t xml:space="preserve">(preceding figures div. by auto occupancies from </t>
    </r>
    <r>
      <rPr>
        <b/>
        <sz val="8"/>
        <rFont val="Arial"/>
        <family val="2"/>
      </rPr>
      <t>H.I.S.</t>
    </r>
    <r>
      <rPr>
        <sz val="8"/>
        <rFont val="Arial"/>
        <family val="2"/>
      </rPr>
      <t xml:space="preserve"> tab)</t>
    </r>
  </si>
  <si>
    <r>
      <t>Cross-elasticities</t>
    </r>
    <r>
      <rPr>
        <sz val="8"/>
        <rFont val="Arial"/>
        <family val="2"/>
      </rPr>
      <t xml:space="preserve"> (Change in Auto Volume per Change in Transit Volume; same as above)</t>
    </r>
  </si>
  <si>
    <t>A. Change in Auto Trips due to New Bus Trips (citywide)</t>
  </si>
  <si>
    <t>As percentage of Citywide VMT, all vehicles</t>
  </si>
  <si>
    <t xml:space="preserve">As percentage of Citywide VMT, autos only </t>
  </si>
  <si>
    <r>
      <rPr>
        <b/>
        <sz val="9"/>
        <rFont val="Arial"/>
        <family val="2"/>
      </rPr>
      <t xml:space="preserve">A1. </t>
    </r>
    <r>
      <rPr>
        <b/>
        <u/>
        <sz val="9"/>
        <rFont val="Arial"/>
        <family val="2"/>
      </rPr>
      <t>Weekday</t>
    </r>
    <r>
      <rPr>
        <b/>
        <sz val="9"/>
        <rFont val="Arial"/>
        <family val="2"/>
      </rPr>
      <t xml:space="preserve"> Changes in Auto Trips and VMT due to Changes in Bus Trips shown directly above</t>
    </r>
  </si>
  <si>
    <r>
      <rPr>
        <b/>
        <sz val="9"/>
        <rFont val="Arial"/>
        <family val="2"/>
      </rPr>
      <t xml:space="preserve">A2. </t>
    </r>
    <r>
      <rPr>
        <b/>
        <u/>
        <sz val="9"/>
        <rFont val="Arial"/>
        <family val="2"/>
      </rPr>
      <t>Weekend</t>
    </r>
    <r>
      <rPr>
        <b/>
        <sz val="9"/>
        <rFont val="Arial"/>
        <family val="2"/>
      </rPr>
      <t xml:space="preserve"> Changes in Auto Trips and VMT due to Changes in Bus Trips shown directly above</t>
    </r>
  </si>
  <si>
    <t>B. Total non-cordon VMT (on roads used by trips that enter cordon)</t>
  </si>
  <si>
    <t>3. Adjust "Outside Cordon" VMT (Section C2 immediately above) to reflect only VMT occurring within New York City</t>
  </si>
  <si>
    <t>Percent of cordon-bound vehicle trips made by non-NYC residents</t>
  </si>
  <si>
    <t>Ratio, trips in period to trips in preceding period, before pricing (rewrite to return zero unless can save $ by switch earlier)</t>
  </si>
  <si>
    <t>Ratio, trips in period to trips in subsequent period, before pricing (will rewrite to return zero unless can save $ by switching later)</t>
  </si>
  <si>
    <t>Ratio, fare in period to fare in preceding period, before pricing</t>
  </si>
  <si>
    <t>Ratio, fare in period to fare in subsequent period, before pricing</t>
  </si>
  <si>
    <t>Ratio, fare in period to fare in preceding period, with pricing</t>
  </si>
  <si>
    <t>Ratio, fare in period to fare in subsequent period, with pricing</t>
  </si>
  <si>
    <t>Trips in period, with pricing</t>
  </si>
  <si>
    <t>% 24h trips occurring in each period, with pricing</t>
  </si>
  <si>
    <t>CBD subway trips (inbound + unbound + intra) as % of subway trips (weekdays)</t>
  </si>
  <si>
    <t>Percent of subway trips that don't relate to CBD (weekdays)</t>
  </si>
  <si>
    <t>Annual change in bus trips due to reduced fare + faster and better service</t>
  </si>
  <si>
    <t>B. Change in Auto Trips due to New Subway Trips That Don't Relate to Manhattan CBD</t>
  </si>
  <si>
    <r>
      <rPr>
        <b/>
        <sz val="9"/>
        <rFont val="Arial"/>
        <family val="2"/>
      </rPr>
      <t xml:space="preserve">B1. </t>
    </r>
    <r>
      <rPr>
        <b/>
        <u/>
        <sz val="9"/>
        <rFont val="Arial"/>
        <family val="2"/>
      </rPr>
      <t>Weekday</t>
    </r>
    <r>
      <rPr>
        <b/>
        <sz val="9"/>
        <rFont val="Arial"/>
        <family val="2"/>
      </rPr>
      <t xml:space="preserve"> Changes in Auto Trips and VMT due to Changes in non-CBD Subway Trips</t>
    </r>
    <r>
      <rPr>
        <b/>
        <sz val="8"/>
        <rFont val="Arial"/>
        <family val="2"/>
      </rPr>
      <t/>
    </r>
  </si>
  <si>
    <t>Weekday Subway Trips That Don't Relate to CBD</t>
  </si>
  <si>
    <t>Average Increase in Weekday Subway Fare due to Pricing, expressed as a multiple</t>
  </si>
  <si>
    <t>Average Reduction in Subway Trip Duration due to Subway Investments, expressed as a multiple</t>
  </si>
  <si>
    <t>Split, Weekday Subway Trips That Don't Relate to CBD</t>
  </si>
  <si>
    <t>Factor for such Subway Trips due to Price Change</t>
  </si>
  <si>
    <t>Factor for such Subway Trips due to Trip Duration Change</t>
  </si>
  <si>
    <t>Combined Factor for Price and Duration Changes</t>
  </si>
  <si>
    <t>Change in non-CBD Transit Trips</t>
  </si>
  <si>
    <r>
      <rPr>
        <b/>
        <sz val="9"/>
        <rFont val="Arial"/>
        <family val="2"/>
      </rPr>
      <t xml:space="preserve">B1. </t>
    </r>
    <r>
      <rPr>
        <b/>
        <u/>
        <sz val="9"/>
        <rFont val="Arial"/>
        <family val="2"/>
      </rPr>
      <t>Weekend</t>
    </r>
    <r>
      <rPr>
        <b/>
        <sz val="9"/>
        <rFont val="Arial"/>
        <family val="2"/>
      </rPr>
      <t xml:space="preserve"> Changes in Auto Trips and VMT due to Changes in non-CBD Subway Trips</t>
    </r>
    <r>
      <rPr>
        <b/>
        <sz val="8"/>
        <rFont val="Arial"/>
        <family val="2"/>
      </rPr>
      <t/>
    </r>
  </si>
  <si>
    <t>CBD subway trips (inbound + unbound + intra) as % of subway trips (weekends)</t>
  </si>
  <si>
    <t>Percent of subway trips that don't relate to CBD (weekends)</t>
  </si>
  <si>
    <t>Weekend Subway Trips That Don't Relate to CBD</t>
  </si>
  <si>
    <t>Split, Weekend Subway Trips That Don't Relate to CBD</t>
  </si>
  <si>
    <t>Change in avg citywide weekend auto miles due to change in weekend subway trips unrelated to CBD</t>
  </si>
  <si>
    <r>
      <t xml:space="preserve">Split subway trips betw work and non-work </t>
    </r>
    <r>
      <rPr>
        <sz val="8"/>
        <rFont val="Arial"/>
        <family val="2"/>
      </rPr>
      <t>(baseline proportions in subways)</t>
    </r>
  </si>
  <si>
    <r>
      <t xml:space="preserve">Change in Auto VMT due to Changes in Subway Trips, </t>
    </r>
    <r>
      <rPr>
        <b/>
        <u/>
        <sz val="9"/>
        <rFont val="Arial"/>
        <family val="2"/>
      </rPr>
      <t>Weekdays + Weekends Combined</t>
    </r>
    <r>
      <rPr>
        <b/>
        <sz val="9"/>
        <rFont val="Arial"/>
        <family val="2"/>
      </rPr>
      <t xml:space="preserve"> (non-CBD trips only)</t>
    </r>
  </si>
  <si>
    <t xml:space="preserve">1. Fewer households owning cars (due to higher driving costs and lower transit fares), eliminating the "casual" driving associated with easy car availability. </t>
  </si>
  <si>
    <r>
      <t xml:space="preserve">VMT Changes </t>
    </r>
    <r>
      <rPr>
        <b/>
        <i/>
        <sz val="9"/>
        <rFont val="Arial"/>
        <family val="2"/>
      </rPr>
      <t>Excluded</t>
    </r>
    <r>
      <rPr>
        <b/>
        <sz val="9"/>
        <rFont val="Arial"/>
        <family val="2"/>
      </rPr>
      <t xml:space="preserve"> from Analysis</t>
    </r>
  </si>
  <si>
    <t>Effective reduction in transit fare that led to those trips being eliminated</t>
  </si>
  <si>
    <t>Linked tab or page</t>
  </si>
  <si>
    <t>This tab summarizes the impacts on traffic, agency revenues, time lost in traffic, transit usage, and other key indicators of any traffic plan selected by the user.</t>
  </si>
  <si>
    <t>For more results, Page Down once or twice.</t>
  </si>
  <si>
    <t>You may choose among 5 Plans:</t>
  </si>
  <si>
    <t>Of which light-vehicle component (passenger vehicles, excluding trucks and buses) is:</t>
  </si>
  <si>
    <t>Adjustment factor to light-vehicle emissions component, to reflect non-toll reductions in CO2:</t>
  </si>
  <si>
    <t>Adjusted change in CO2 emissions from light vehicles</t>
  </si>
  <si>
    <t>Change in CO2 emissions due directly to cordon tolling, metric tons (per year)</t>
  </si>
  <si>
    <t>Change in CO2 emissions due directly to cordon tolling, metric tons per year</t>
  </si>
  <si>
    <r>
      <t xml:space="preserve">Adjusted change in CO2 emissions, kg / yr </t>
    </r>
    <r>
      <rPr>
        <sz val="8"/>
        <rFont val="Arial"/>
        <family val="2"/>
      </rPr>
      <t>(previous entries, times 1,000, times adj factor if applicable)</t>
    </r>
  </si>
  <si>
    <r>
      <t xml:space="preserve">Emission changes in metric tons are derived in </t>
    </r>
    <r>
      <rPr>
        <b/>
        <sz val="8"/>
        <rFont val="Arial"/>
        <family val="2"/>
      </rPr>
      <t xml:space="preserve">Emissions </t>
    </r>
    <r>
      <rPr>
        <sz val="8"/>
        <rFont val="Arial"/>
        <family val="2"/>
      </rPr>
      <t xml:space="preserve">worksheet, using emission factors from EMFAC model (converted here to short tons). Per-ton valuations are California Air Resources Board (CARB) estimates, compiled in Carl Moyer Program Guidelines, &lt;http://bit.ly/eOKnY5&gt;, April 2008. They are intended to capture health effects of "criteria pollutant" emissions. Paragraph 1 of p. C-1 gives value of $16,000 per "weighted" ton of NOx, TOG and PM10. Formula C-2 gives PM10 a weight </t>
    </r>
    <r>
      <rPr>
        <u/>
        <sz val="8"/>
        <rFont val="Arial"/>
        <family val="2"/>
      </rPr>
      <t>20 times</t>
    </r>
    <r>
      <rPr>
        <sz val="8"/>
        <rFont val="Arial"/>
        <family val="2"/>
      </rPr>
      <t xml:space="preserve"> those values. CARB assigns zero value to CO. </t>
    </r>
  </si>
  <si>
    <t>"Valuation" for each pollutant ($ of damages per ton)</t>
  </si>
  <si>
    <t>Adjustment factor to light-veh emissions, to reflect non-toll reductions in VMT (due to transit "attraction")</t>
  </si>
  <si>
    <t>Adjusted change in CO2 emissions, reflecting transit attraction from passenger veh's, metric tons (per year)</t>
  </si>
  <si>
    <t>Adj. factor to light-veh emissions, to reflect non-toll reduxns in VMT (due to transit "attraction"):</t>
  </si>
  <si>
    <t>D. Change in Motor Vehicle Emissions, Adjusted to Reflect "Indirect" Reductions in VMT, Hence, Emissions, from "Attraction" to Transit via Fare Discounts and Service Improvements</t>
  </si>
  <si>
    <t>Scroll to Far Right to See Results</t>
  </si>
  <si>
    <t>LDV's</t>
  </si>
  <si>
    <t>Trucks / Buses</t>
  </si>
  <si>
    <r>
      <rPr>
        <b/>
        <sz val="9"/>
        <rFont val="Arial"/>
        <family val="2"/>
      </rPr>
      <t xml:space="preserve">Unadjusted </t>
    </r>
    <r>
      <rPr>
        <sz val="9"/>
        <rFont val="Arial"/>
        <family val="2"/>
      </rPr>
      <t>(reflect direct impact of toll only)</t>
    </r>
  </si>
  <si>
    <r>
      <rPr>
        <b/>
        <sz val="9"/>
        <rFont val="Arial"/>
        <family val="2"/>
      </rPr>
      <t xml:space="preserve">Adjusted </t>
    </r>
    <r>
      <rPr>
        <sz val="9"/>
        <rFont val="Arial"/>
        <family val="2"/>
      </rPr>
      <t>(also reflect impact of transit attraction via lower fares and increased service)</t>
    </r>
  </si>
  <si>
    <t>All Veh</t>
  </si>
  <si>
    <t>Non-Cord.</t>
  </si>
  <si>
    <t>FY07</t>
  </si>
  <si>
    <t>FY08</t>
  </si>
  <si>
    <t>FY09</t>
  </si>
  <si>
    <t>FY10</t>
  </si>
  <si>
    <t>Citywide traffic fatalities</t>
  </si>
  <si>
    <t>Motorists/passengers</t>
  </si>
  <si>
    <t>Bicyclists/pedestrians</t>
  </si>
  <si>
    <t>Source: Mayor's Management Report, 2010, http://www.nyc.gov/html/ops/downloads/pdf/2010_mmr/0910_mmr.pdf, p. 64.</t>
  </si>
  <si>
    <t>Motorcyclists</t>
  </si>
  <si>
    <t>Bicyclists</t>
  </si>
  <si>
    <t>Pedestrians</t>
  </si>
  <si>
    <t>Komanoff assumption:</t>
  </si>
  <si>
    <t>Official NYC Data</t>
  </si>
  <si>
    <t>Disaggregated</t>
  </si>
  <si>
    <r>
      <t xml:space="preserve">Reduction in annual crash rates 2007-2010, from 2002-2006 </t>
    </r>
    <r>
      <rPr>
        <sz val="8"/>
        <rFont val="Arial"/>
        <family val="2"/>
      </rPr>
      <t>(Komanoff placeholder assumption)</t>
    </r>
  </si>
  <si>
    <t>Method: Ascertain annual NYC traffic injuries, with latter separated among fatal, severe, serious and other. Estimate average "value" or societal cost per injury type, and multiply by respective injury number. Add allowance for cost of non-injury crashes. Prorate resulting sum by anticipated reduction in citywide VMT (a proxy for expected reduction in crash rates) due to pricing.</t>
  </si>
  <si>
    <t>1. Crash Fatalities (annual numbers)</t>
  </si>
  <si>
    <t>4-yr average</t>
  </si>
  <si>
    <t>"This study defines severe injuries (or “A” injuries) according to NYSDMV criteria. NYSDMV-categorized severe injuries include all injuries involving an unconscious, semiconscious or incoherent victim, all injuries involving amputation, concussion, internal injuries, severe bleeding, moderate or severe burns, fractures or dislocations, and eye injuries. These injuries typically involve a pedestrian being transported from the scene by ambulance." NYC Ped SSAP, Tech Supp., p. 5.</t>
  </si>
  <si>
    <t>"A total of 843 pedestrian fatalities occurred during this period [2002-2006], according to the reconciled NYCDOT/NYPD database of traffic fatalities. NYSDOT data provides information for a total of 7,354 fatal and severe injury pedestrian-vehicle crashes. Of those, 739 crashes resulted in pedestrian fatalities and 6,615 crashes led to 6,784 severe injuries." NYC Ped SSAP, Tech Supp., p. 4.</t>
  </si>
  <si>
    <t>NYC Ped SSAP, Tech Supp., p. 4.</t>
  </si>
  <si>
    <t>Pedestrian severe injuries as % of all severe injuries from NYC traffic crashes, 2002-2006</t>
  </si>
  <si>
    <t>NYC Ped SSAP, Tech Supp., p. 3. "From 2002 to 2006 … 6,784 [pedestrians] were seriously injured in motor vehicle crashes in New York City, representing … 26% of serious injuries in that five-year period. In the context of that paragraph, "serious" clearly refers to "severe."</t>
  </si>
  <si>
    <t>Estimated annual severe injuries from NYC traffic crashes, 2007-2010</t>
  </si>
  <si>
    <t>The injury categories in Naumann et al. are (i) nonfatal hospitalized injuries, which we take to correspond to "severe"; and (ii) nonfatal injuries treated at emergency departments and released, which we assume correspond to "serious."</t>
  </si>
  <si>
    <t>Severe</t>
  </si>
  <si>
    <t>Serious</t>
  </si>
  <si>
    <t>% of total</t>
  </si>
  <si>
    <t>Estimated Annual Fatal, Severe and Serious Injuries from NYC Traffic Crashes, by Road User Type, 2007-2010</t>
  </si>
  <si>
    <t>2. Severe Injuries (annual numbers)</t>
  </si>
  <si>
    <t>3. Serious Injuries (annual numbers)</t>
  </si>
  <si>
    <t>4. Per-Injury Societal Costs of Fatal, Severe and Serious Injuries</t>
  </si>
  <si>
    <t>Per-injury costs: include medical care and lost productivity only (2008$)</t>
  </si>
  <si>
    <t>Mean (calculated for illustrative purposes only)</t>
  </si>
  <si>
    <t>Total societal per-injury costs, with pain, suffering, etc. added to medical care and lost productivity (2008$)</t>
  </si>
  <si>
    <t>5. Annual Societal Costs of Fatal, Severe and Serious Injuries from NYC Traffic Crashes (2007-2010)</t>
  </si>
  <si>
    <t>Figures are in $ millions</t>
  </si>
  <si>
    <t>Add for other crash costs</t>
  </si>
  <si>
    <t>Total annual cost of motor vehicle crashes in New York City (millions)</t>
  </si>
  <si>
    <r>
      <t xml:space="preserve">Most estimates in this section are derived on basis of data in NYCDOT report, "The NYC Pedestrian Safety Study &amp; Action Plan, Technical Supplement," Aug. 2010. &lt;http://bit.ly/eatYGP&gt;. This detailed and thorough report assessed the numbers, locations, types and consequences of pedestrian injuries from traffic crashes in New York City over the five-year period, 2002-2006. </t>
    </r>
    <r>
      <rPr>
        <b/>
        <sz val="8"/>
        <rFont val="Arial"/>
        <family val="2"/>
      </rPr>
      <t>We refer to it below as NYC Ped SSAP, Tech Supp.</t>
    </r>
  </si>
  <si>
    <t>Number of severe pedestrian injuries in NYC traffic crashes, 2002-2006</t>
  </si>
  <si>
    <t>Annual severe injuries to all road users in NYC traffic crashes, 2002-2006</t>
  </si>
  <si>
    <t>Lacking NYC-specific data, we estimate the number of serious injuries by applying national ratios of serious to severe injuries for each road-user type. Our source is "Incidence and Total Lifetime Costs of Motor Vehicle – Related Fatal and Nonfatal Injury by Road User Type, United States, 2005," Traffic Injury Prevention, 11:3353-360, 2010, by Rebecca B. Naumann &amp; Ann M. Dellinger (Motor Vehicle Injury Prevention Team, National Center for Injury Prevention and Control, Centers for Disease Control and Prevention) and Eduard Zaloshnja, Bruce A. Lawrence, and Ted R. Miller (Pacific Institute for Research &amp; Evaluation, Calverton, Maryland). Article is available at &lt;http://pdfserve.informaworld.com/757422__926084087.pdf&gt;.</t>
  </si>
  <si>
    <t>U.S. Ratio, Serious to Severe</t>
  </si>
  <si>
    <t>We begin with estimates from Naumann et al., which we increased from 2005 to 2008 dollars using the CPI (all-urban index).</t>
  </si>
  <si>
    <t>Adjustment factor (multiple) to above figures to reflect costs not included in medical care and lost productivity: pain, suffering, lost amenity, and lost nonmarket productivity.</t>
  </si>
  <si>
    <t>Basis: We begin with McCubbin and Delucchi, "The Social Cost of the Health Effects of Motor Vehicle Air Pollution," UCD-ITS-RR-96-3(11), Table 11.4-6. This volume is one of 20 in the exhaustive 15-year study of the "Annualized Social Cost of Motor Vehicle Use in the U.S., 1990-1991," UCD-ITS-RR-96-3 (1) rev. 1 (June 1998, minor revisions Oct. 2004), by U-C Davis researcher Mark A. Delucchi, Ph.D (summary version available at http://www.its.ucdavis.edu/publications/2004/UCD-ITS-RR-96-03(01)_rev1.pdf). High and low values of accidental death, $4.0 million and $1.0 million, yield mean of $2.5 million. Adjusted to 2008 dollars (1.58 CPI factor) yields $4.0 million, which is 2.7x mean fatality cost shown in last row of table.</t>
  </si>
  <si>
    <t>S U M S</t>
  </si>
  <si>
    <t>Komanoff est. intended to capture minor injuries, lost amenity and property damage from far greater volume of crashes with less-serious or no injuries.</t>
  </si>
  <si>
    <t>(covers all motor v's w/i five boroughs)</t>
  </si>
  <si>
    <t>V_sub_k required to yield average traffic speed shown above</t>
  </si>
  <si>
    <t>Used for calculation of V_sub_k</t>
  </si>
  <si>
    <t>V_sub_k was derived via trial-and-error. Note that speed figure is weighted by period VMT and employs reciprocals to properly calculate average (i.e., via harmonic mean).</t>
  </si>
  <si>
    <t xml:space="preserve">where S = speed, V = vehicle volume (in vehicles per hour) and V_sub_k is a situation-specific parameter (arbitrarily taken at 1000 in this case). </t>
  </si>
  <si>
    <t>We could reflect this difference by performing the speed-volume calculations in terms of "car equivalents" rather than on the implicit mix of cars and larger vehicles. This would change the value of V_sub_k (see 'Speed-Vol., Cordon' worksheet), with that change reflected in different (slightly higher) baseline speeds on weekends. (The weekday speed specifications would be unchanged.) The effect of this change would be to reduce, but probably only slightly, the time savings associated with weekend cordon tolls.</t>
  </si>
  <si>
    <r>
      <t xml:space="preserve">Baseline avg </t>
    </r>
    <r>
      <rPr>
        <u/>
        <sz val="8.5"/>
        <rFont val="Arial"/>
        <family val="2"/>
      </rPr>
      <t>cordon speeds</t>
    </r>
    <r>
      <rPr>
        <sz val="8.5"/>
        <rFont val="Arial"/>
        <family val="2"/>
      </rPr>
      <t xml:space="preserve"> for each period are derived w/ an approach described in </t>
    </r>
    <r>
      <rPr>
        <b/>
        <sz val="8.5"/>
        <rFont val="Arial"/>
        <family val="2"/>
      </rPr>
      <t>Speed-Volume, Cordon</t>
    </r>
    <r>
      <rPr>
        <sz val="8.5"/>
        <rFont val="Arial"/>
        <family val="2"/>
      </rPr>
      <t xml:space="preserve"> worksheet. A key parameter is a traffic-volume constant dubbed "V_sub_k" (literally, V, for volume, with subscript k). Its value is derived in </t>
    </r>
    <r>
      <rPr>
        <b/>
        <sz val="8.5"/>
        <rFont val="Arial"/>
        <family val="2"/>
      </rPr>
      <t>Speed-Volume, Cordon</t>
    </r>
    <r>
      <rPr>
        <sz val="8.5"/>
        <rFont val="Arial"/>
        <family val="2"/>
      </rPr>
      <t>. We display it here because formulae used in this worksheet to calculate speeds in response to congestion pricing pivot off that value.</t>
    </r>
  </si>
  <si>
    <r>
      <t xml:space="preserve">V_sub_k (derived, as just noted in box above, in </t>
    </r>
    <r>
      <rPr>
        <b/>
        <sz val="9"/>
        <rFont val="Arial"/>
        <family val="2"/>
      </rPr>
      <t>Speed-Volume, Cordon</t>
    </r>
    <r>
      <rPr>
        <sz val="9"/>
        <rFont val="Arial"/>
        <family val="2"/>
      </rPr>
      <t>):</t>
    </r>
  </si>
  <si>
    <t>Results: Sensitivity Analysis</t>
  </si>
  <si>
    <r>
      <t xml:space="preserve">(We exclude "cross-elasticities" from this discussion. Note that all of our elasticity assumptions are presented and derived in the BTA's </t>
    </r>
    <r>
      <rPr>
        <b/>
        <sz val="9"/>
        <rFont val="Arial"/>
        <family val="2"/>
      </rPr>
      <t>Elasticities</t>
    </r>
    <r>
      <rPr>
        <sz val="9"/>
        <rFont val="Arial"/>
        <family val="2"/>
      </rPr>
      <t xml:space="preserve"> tab.)</t>
    </r>
  </si>
  <si>
    <t>Taxi price-elasticity = -0.22 * (1 + 0.5 * ((RANDBETWEEN(-10000,10000))/10000))</t>
  </si>
  <si>
    <t>Change in avg speed in CBD</t>
  </si>
  <si>
    <t>Base Case</t>
  </si>
  <si>
    <t>Random 1</t>
  </si>
  <si>
    <t>Random 2</t>
  </si>
  <si>
    <t>Random 3</t>
  </si>
  <si>
    <t>Random 4</t>
  </si>
  <si>
    <t>Random 5</t>
  </si>
  <si>
    <t>Random 6</t>
  </si>
  <si>
    <t>Random 7</t>
  </si>
  <si>
    <t>Random 8</t>
  </si>
  <si>
    <t>Random 9</t>
  </si>
  <si>
    <t>Random 10</t>
  </si>
  <si>
    <t>Random 11</t>
  </si>
  <si>
    <t>Random 12</t>
  </si>
  <si>
    <t>Random 13</t>
  </si>
  <si>
    <t>Random 14</t>
  </si>
  <si>
    <t>Random 15</t>
  </si>
  <si>
    <t>Random 16</t>
  </si>
  <si>
    <t>Random 17</t>
  </si>
  <si>
    <t>Random 18</t>
  </si>
  <si>
    <t>Random 19</t>
  </si>
  <si>
    <t>Std Dev.</t>
  </si>
  <si>
    <t>Trial #</t>
  </si>
  <si>
    <t>Net revenue gain ($ M)</t>
  </si>
  <si>
    <r>
      <t xml:space="preserve">Extra Savings to Bus Riders if zero fare </t>
    </r>
    <r>
      <rPr>
        <sz val="8"/>
        <rFont val="Arial"/>
        <family val="2"/>
      </rPr>
      <t>(saving from faster traffic is subsumed in prior row)</t>
    </r>
  </si>
  <si>
    <r>
      <t xml:space="preserve">Note: For </t>
    </r>
    <r>
      <rPr>
        <b/>
        <sz val="9"/>
        <rFont val="Helvetica"/>
      </rPr>
      <t>Sensitivity Analysis</t>
    </r>
    <r>
      <rPr>
        <sz val="9"/>
        <rFont val="Helvetica"/>
      </rPr>
      <t>, scroll to right (beginning in Column O).</t>
    </r>
  </si>
  <si>
    <r>
      <t xml:space="preserve">The BTA's key input parameters are the set of 12 </t>
    </r>
    <r>
      <rPr>
        <u/>
        <sz val="9"/>
        <rFont val="Arial"/>
        <family val="2"/>
      </rPr>
      <t>elasticities</t>
    </r>
    <r>
      <rPr>
        <sz val="9"/>
        <rFont val="Arial"/>
        <family val="2"/>
      </rPr>
      <t xml:space="preserve"> that reflect our best estimate of the propensity of demand for auto trips, transit trips and (medallion) taxi trips to vary in response to hypothesized changes in the </t>
    </r>
    <r>
      <rPr>
        <u/>
        <sz val="9"/>
        <rFont val="Arial"/>
        <family val="2"/>
      </rPr>
      <t>prices</t>
    </r>
    <r>
      <rPr>
        <sz val="9"/>
        <rFont val="Arial"/>
        <family val="2"/>
      </rPr>
      <t xml:space="preserve"> and </t>
    </r>
    <r>
      <rPr>
        <u/>
        <sz val="9"/>
        <rFont val="Arial"/>
        <family val="2"/>
      </rPr>
      <t>travel times</t>
    </r>
    <r>
      <rPr>
        <sz val="9"/>
        <rFont val="Arial"/>
        <family val="2"/>
      </rPr>
      <t xml:space="preserve"> (trip durations) for these modes.</t>
    </r>
  </si>
  <si>
    <t>The first term in this expression, negative 0.22, is our best estimate of the price-elasticity of taxi ridership. The long expression following the first asterisk has been constructed algebraically to vary randomly between 0.5 and 1.5. Thus, the taxi price-elasticity must always fall between negative 0.11 and negative 0.33, i.e., it varies randomly between 50% and 150% of our specified 'best estimate."</t>
  </si>
  <si>
    <t>Random 20</t>
  </si>
  <si>
    <t>See note below box, directly below.</t>
  </si>
  <si>
    <t>*******************************************************************************************************************************************************</t>
  </si>
  <si>
    <r>
      <t xml:space="preserve">If the cordon toll </t>
    </r>
    <r>
      <rPr>
        <i/>
        <sz val="9"/>
        <rFont val="Arial"/>
        <family val="2"/>
      </rPr>
      <t>supplements</t>
    </r>
    <r>
      <rPr>
        <sz val="9"/>
        <rFont val="Arial"/>
        <family val="2"/>
      </rPr>
      <t xml:space="preserve"> rather than replaces existing tolls, the MTA stands to lose revenues from its own tolls on the Queens Midtown and Brooklyn-Battery Tunnels, as drivers cut back on CBD trips due to the higher total toll. </t>
    </r>
  </si>
  <si>
    <t>MTA Tolls collected from crossing that do not enter the Manhattan CBD ($ 000)</t>
  </si>
  <si>
    <t>NYC target cost to design and install charging system for its original cordon scheme</t>
  </si>
  <si>
    <t>Same TCMC document and statement.</t>
  </si>
  <si>
    <r>
      <t xml:space="preserve">Avenues </t>
    </r>
    <r>
      <rPr>
        <sz val="8"/>
        <rFont val="Arial"/>
        <family val="2"/>
      </rPr>
      <t>(FDR, Sutton/York, 2nd, Lex, Park, 5th, 7th, CPW, B'way, Col., 11th Ave, WS Hwy)</t>
    </r>
  </si>
  <si>
    <r>
      <t xml:space="preserve">Bridges </t>
    </r>
    <r>
      <rPr>
        <sz val="8"/>
        <rFont val="Arial"/>
        <family val="2"/>
      </rPr>
      <t>(2 ea. Manhattan + Qboro, 1 ea. Bklyn + Wburg; 8 for Harlem River bridges)</t>
    </r>
  </si>
  <si>
    <t xml:space="preserve">Revised Cost per Location </t>
  </si>
  <si>
    <t xml:space="preserve">Calculated Cost per Location </t>
  </si>
  <si>
    <t>Weekend Vehicle Entries to CBD to be tolled</t>
  </si>
  <si>
    <t>Percent using E-ZPass (5 percentage points less than for weekday entries, above)</t>
  </si>
  <si>
    <t>Charging costs per day using E-ZPass, per weekend day</t>
  </si>
  <si>
    <t>Charging costs per year using E-ZPass</t>
  </si>
  <si>
    <t>Charging costs per day using E-ZPass, per weekday</t>
  </si>
  <si>
    <t>Percentage of George Washington Bridge crossings and toll revenues attributable to CBD trips:</t>
  </si>
  <si>
    <t>Revenue share, in-city rides as a % of all rides, Metro-North</t>
  </si>
  <si>
    <t>Revenue share, in-city rides as a % of all rides, LIRR</t>
  </si>
  <si>
    <t>Auto occupancies for trips to CBD</t>
  </si>
  <si>
    <t>Vehicle-occupancy elasticities (VOE) for these trips</t>
  </si>
  <si>
    <t>Why specify 12 elasticities, when our construct of 3 modes (auto, transit, taxi) and 2 variables (price and travel time) suggests 6 (3 x 2)? First, autos are disaggregated into three trip types (work, non-work, and "through" trips that pass through the CBD rather than terminating there). And transit trips are separated into work and non-work as well. This yields 6 price-elasticities and 6 "time-elasticities."</t>
  </si>
  <si>
    <t>Weekends, within CBD</t>
  </si>
  <si>
    <r>
      <t xml:space="preserve">Weekends, approaches to CBD </t>
    </r>
    <r>
      <rPr>
        <sz val="8"/>
        <rFont val="Arial"/>
        <family val="2"/>
      </rPr>
      <t>(employs same CBD-to-approaches factor as for weekdays)</t>
    </r>
  </si>
  <si>
    <r>
      <t xml:space="preserve">Average value of a vehicle-hour saved in traffic </t>
    </r>
    <r>
      <rPr>
        <sz val="8"/>
        <rFont val="Arial"/>
        <family val="2"/>
      </rPr>
      <t>(these values are used to monetize time savings from cordon tolls)</t>
    </r>
  </si>
  <si>
    <r>
      <t xml:space="preserve">Results </t>
    </r>
    <r>
      <rPr>
        <b/>
        <sz val="10"/>
        <rFont val="Calibri"/>
        <family val="2"/>
      </rPr>
      <t>•</t>
    </r>
    <r>
      <rPr>
        <b/>
        <sz val="10"/>
        <rFont val="Arial"/>
        <family val="2"/>
      </rPr>
      <t xml:space="preserve"> User Inputs</t>
    </r>
  </si>
  <si>
    <t>Auto trips for work</t>
  </si>
  <si>
    <t>Thru trips by all vehicles</t>
  </si>
  <si>
    <t>Taxicabs</t>
  </si>
  <si>
    <t>Total Distance</t>
  </si>
  <si>
    <t>CBD Portion</t>
  </si>
  <si>
    <t>Daily vehicle trips into the Manhattan CBD (baseline, 2007-08)</t>
  </si>
  <si>
    <t>Per-hour motor vehicle entries to Manhattan CBD (baseline, 2007-08)</t>
  </si>
  <si>
    <t>Graveyard, 11 pm - 5 am</t>
  </si>
  <si>
    <t>Morning pre-peak, 5 am - 6 am</t>
  </si>
  <si>
    <t>Morning peak, 6 am - 9 am</t>
  </si>
  <si>
    <t>Morning post-peak, 9 am - 10 am</t>
  </si>
  <si>
    <t>Midday peak, 10 am - 2 pm</t>
  </si>
  <si>
    <t>P.M. peak, 2 pm - 8 pm</t>
  </si>
  <si>
    <t>P.M. post-peak, 8 pm - 11 pm</t>
  </si>
  <si>
    <t>Graveyard, Midnight - 10 am</t>
  </si>
  <si>
    <t>Early Shoulder, 10 am - Noon</t>
  </si>
  <si>
    <t>Shoulder 1, Noon - 5 pm</t>
  </si>
  <si>
    <t>Peak, 5 pm - 8 pm</t>
  </si>
  <si>
    <t>Shoulder 2, 8 pm - 10 pm</t>
  </si>
  <si>
    <t>Late Shoulder 2, 10 pm - Midnight</t>
  </si>
  <si>
    <t>Baseline costs for CBD-bound trips (round-trips, 2007-08)</t>
  </si>
  <si>
    <t>Note: These costs, which comprise costs such as fuel (gasoline) and parking, are the baseline relative to which proposed tolls will raise the total price of a CBD trip. The resulting percentage increases in the trip price will be "operated on" by the assumed price-elasticities to yield contractions (decreases) in the number of trips. The BTA specifies a set of 42 such costs -- one for each of 6 trip types in each of 7 trip periods -- for weekdays, and another 36 (6 x 6) for weekends. Below, we show the component costs for one trip type, work trips, for each of the 7 weekday periods.</t>
  </si>
  <si>
    <t>Other*</t>
  </si>
  <si>
    <t>*Perceived cost of possible traffic or parking tickets, incremental maintenance, crash costs, etc.</t>
  </si>
  <si>
    <t>Existing Tolls</t>
  </si>
  <si>
    <t>Baseline Costs, Work Trips Only (weekdays)</t>
  </si>
  <si>
    <t>Transit trips for work</t>
  </si>
  <si>
    <t>Transit trips for non-work</t>
  </si>
  <si>
    <t>Auto trips for non-work</t>
  </si>
  <si>
    <t>Taxi trips (medallion cabs only)</t>
  </si>
  <si>
    <t>An Important Note on Elasticities</t>
  </si>
  <si>
    <t>One-Way Trip Distances for trips into cordon (miles)</t>
  </si>
  <si>
    <t>Ratio, non-cordon-bound trips' non-cordon VMT, to cordon-bound trips' non-cordon VMT :</t>
  </si>
  <si>
    <t>Same ratio as above, for medallion taxis only</t>
  </si>
  <si>
    <r>
      <t xml:space="preserve">Assumptions that are inputted into the </t>
    </r>
    <r>
      <rPr>
        <b/>
        <sz val="9"/>
        <rFont val="Arial"/>
        <family val="2"/>
      </rPr>
      <t>Results</t>
    </r>
    <r>
      <rPr>
        <sz val="9"/>
        <rFont val="Arial"/>
        <family val="2"/>
      </rPr>
      <t xml:space="preserve"> and </t>
    </r>
    <r>
      <rPr>
        <b/>
        <sz val="9"/>
        <rFont val="Arial"/>
        <family val="2"/>
      </rPr>
      <t>User Inputs</t>
    </r>
    <r>
      <rPr>
        <sz val="9"/>
        <rFont val="Arial"/>
        <family val="2"/>
      </rPr>
      <t xml:space="preserve"> worksheet tabs are </t>
    </r>
    <r>
      <rPr>
        <u/>
        <sz val="9"/>
        <rFont val="Arial"/>
        <family val="2"/>
      </rPr>
      <t>not</t>
    </r>
    <r>
      <rPr>
        <sz val="9"/>
        <rFont val="Arial"/>
        <family val="2"/>
      </rPr>
      <t xml:space="preserve"> shown here. Those "input assumptions" pertain to the particular traffic scenarios that we have pre-programmed into the model (which users are free to modify). Rather, the assumptions here are those that take the input assumptions (tolls, transit fares, etc.) and calculate the changes in traffic, revenues and emissions that those inputs will bring about in New York City and beyond.</t>
    </r>
  </si>
  <si>
    <r>
      <t xml:space="preserve">Climate value of each metric ton of CO2 emissions averted through cordon toll </t>
    </r>
    <r>
      <rPr>
        <sz val="8"/>
        <rFont val="Arial"/>
        <family val="2"/>
      </rPr>
      <t>(Komanoff assumption)</t>
    </r>
  </si>
  <si>
    <t>Military and national-security cost reduction, per gallon of gasoline averted through toll</t>
  </si>
  <si>
    <t xml:space="preserve">Air quality value of each metric ton PM10 emissions w/i CBD averted through cordon toll </t>
  </si>
  <si>
    <t>Gain in bicycling's mode share in NYC that would be triggered by each 1% drop in citywide auto traffic</t>
  </si>
  <si>
    <t>Value of each life saved from reduced emissions or increased physical activity resulting from cordon toll</t>
  </si>
  <si>
    <r>
      <t xml:space="preserve">VOE was defined in a paper by Graham et al. cited in </t>
    </r>
    <r>
      <rPr>
        <b/>
        <sz val="8"/>
        <rFont val="Arial"/>
        <family val="2"/>
      </rPr>
      <t>Travel</t>
    </r>
    <r>
      <rPr>
        <sz val="8"/>
        <rFont val="Arial"/>
        <family val="2"/>
      </rPr>
      <t xml:space="preserve"> worksheet. A value of negative 0.10 was used in a related paper co-authored by Graham (</t>
    </r>
    <r>
      <rPr>
        <b/>
        <sz val="8"/>
        <rFont val="Arial"/>
        <family val="2"/>
      </rPr>
      <t>A Road Pricing Model for the Mexico City Metropolitan Area</t>
    </r>
    <r>
      <rPr>
        <sz val="8"/>
        <rFont val="Arial"/>
        <family val="2"/>
      </rPr>
      <t>, by Armado Crotte, Daniel J. Graham &amp; Robert B. Noland, typescript, late 2009 or early 2010). We use that value for non-work trips but halve it for work trips to reflect presumed lower availability of car-pooling in NYC along with greater difficulty of car-pooling for work trips. For through trips we take average of work and non-work trips.</t>
    </r>
  </si>
  <si>
    <r>
      <t xml:space="preserve">Figures reflect 2007-2008 travel levels and are drawn from several sources including </t>
    </r>
    <r>
      <rPr>
        <b/>
        <sz val="8"/>
        <rFont val="Arial"/>
        <family val="2"/>
      </rPr>
      <t>Hub-Bound</t>
    </r>
    <r>
      <rPr>
        <sz val="8"/>
        <rFont val="Arial"/>
        <family val="2"/>
      </rPr>
      <t xml:space="preserve">, </t>
    </r>
    <r>
      <rPr>
        <b/>
        <sz val="8"/>
        <rFont val="Arial"/>
        <family val="2"/>
      </rPr>
      <t xml:space="preserve">H.I.S. </t>
    </r>
    <r>
      <rPr>
        <sz val="8"/>
        <rFont val="Arial"/>
        <family val="2"/>
      </rPr>
      <t xml:space="preserve">and </t>
    </r>
    <r>
      <rPr>
        <b/>
        <sz val="8"/>
        <rFont val="Arial"/>
        <family val="2"/>
      </rPr>
      <t>Taxi</t>
    </r>
    <r>
      <rPr>
        <sz val="8"/>
        <rFont val="Arial"/>
        <family val="2"/>
      </rPr>
      <t xml:space="preserve"> worksheets and were checked against Bruce Schaller's 2006 report for Transportation Alternatives, "Necessity or Choice? Why People Drive in Manhattan." </t>
    </r>
  </si>
  <si>
    <r>
      <rPr>
        <b/>
        <u/>
        <sz val="8"/>
        <rFont val="Arial"/>
        <family val="2"/>
      </rPr>
      <t>Time</t>
    </r>
    <r>
      <rPr>
        <b/>
        <sz val="8"/>
        <rFont val="Arial"/>
        <family val="2"/>
      </rPr>
      <t xml:space="preserve"> (i.e., w/r/t % increase
in trip's total duration)</t>
    </r>
  </si>
  <si>
    <r>
      <rPr>
        <b/>
        <u/>
        <sz val="8"/>
        <rFont val="Arial"/>
        <family val="2"/>
      </rPr>
      <t>Price</t>
    </r>
    <r>
      <rPr>
        <b/>
        <sz val="8"/>
        <rFont val="Arial"/>
        <family val="2"/>
      </rPr>
      <t xml:space="preserve"> (i.e., w/r/t % increase
in trip's total cost)</t>
    </r>
  </si>
  <si>
    <t>Thru trips (one figure fits all)</t>
  </si>
  <si>
    <r>
      <t xml:space="preserve">Assumed car occupancy of carpools into CBD </t>
    </r>
    <r>
      <rPr>
        <sz val="9"/>
        <rFont val="Arial"/>
        <family val="2"/>
      </rPr>
      <t>(Komanoff assumption)</t>
    </r>
  </si>
  <si>
    <r>
      <t>Motor Vs •</t>
    </r>
    <r>
      <rPr>
        <sz val="10"/>
        <rFont val="Arial"/>
        <family val="2"/>
      </rPr>
      <t xml:space="preserve"> </t>
    </r>
    <r>
      <rPr>
        <b/>
        <sz val="10"/>
        <rFont val="Arial"/>
        <family val="2"/>
      </rPr>
      <t>Motor Vs Weekends</t>
    </r>
  </si>
  <si>
    <t>All, or Weekdays</t>
  </si>
  <si>
    <t>Entirely w/i CBD (Komanoff assumption)</t>
  </si>
  <si>
    <t>Entirely w/o CBD (Komanoff assumption)</t>
  </si>
  <si>
    <t>Average trip length for taxi trips beginning and/or ending in CBD, miles</t>
  </si>
  <si>
    <t>Of which CBD portion, in miles, is</t>
  </si>
  <si>
    <t>Ratio, avg miles for non-CBD to avg miles for CBD trips</t>
  </si>
  <si>
    <r>
      <t xml:space="preserve">VMT of leaving-CBD taxi trips as % of VMT of entering-CBD trips </t>
    </r>
    <r>
      <rPr>
        <sz val="8"/>
        <rFont val="Arial"/>
        <family val="2"/>
      </rPr>
      <t>(predicated on more direct end-of-shift exits)</t>
    </r>
  </si>
  <si>
    <t>Komanoff assumptions.</t>
  </si>
  <si>
    <t>Baseline assumptions by Komanoff</t>
  </si>
  <si>
    <r>
      <t xml:space="preserve">Number of medallion taxicabs </t>
    </r>
    <r>
      <rPr>
        <sz val="8"/>
        <rFont val="Arial"/>
        <family val="2"/>
      </rPr>
      <t>(publicly available and widely known datum)</t>
    </r>
  </si>
  <si>
    <t>Shifts per day per medallion taxi</t>
  </si>
  <si>
    <t>% of medallion taxi fares that breach cordon zone (inward direction)</t>
  </si>
  <si>
    <t>% of medallion fares that breach cordon zone outward and return without fare</t>
  </si>
  <si>
    <t>% of medallion cab shifts that begin by breaching cordon zone inward w/o fare</t>
  </si>
  <si>
    <t>Time required to pick up a passenger, minutes (does not include cruising)</t>
  </si>
  <si>
    <t>Time required to drop off a passenger, minutes (does not include cruising)</t>
  </si>
  <si>
    <t>Other assumptions by Komanoff</t>
  </si>
  <si>
    <t>Reduce Weekend Train Frequencies to Accommodate Construction Work</t>
  </si>
  <si>
    <t>Percent attrition in above rate per each additional $100 million invested</t>
  </si>
  <si>
    <t>Komanoff estimate. Is intended to capture diminishing returns in translating transit investment to improved travel time.</t>
  </si>
  <si>
    <t>Average distance ridden on NYC Transit bus trips, miles</t>
  </si>
  <si>
    <t>% reduction in average NYC bus trip durations per first $50 million/yr in additional operating expenditures</t>
  </si>
  <si>
    <r>
      <t xml:space="preserve">Komanoff est. Is intended to capture presumed steeper slope of diminishing returns for </t>
    </r>
    <r>
      <rPr>
        <u/>
        <sz val="8"/>
        <rFont val="Arial"/>
        <family val="2"/>
      </rPr>
      <t>operating</t>
    </r>
    <r>
      <rPr>
        <sz val="8"/>
        <rFont val="Arial"/>
        <family val="2"/>
      </rPr>
      <t xml:space="preserve"> expenditures and </t>
    </r>
    <r>
      <rPr>
        <u/>
        <sz val="8"/>
        <rFont val="Arial"/>
        <family val="2"/>
      </rPr>
      <t>bus</t>
    </r>
    <r>
      <rPr>
        <sz val="8"/>
        <rFont val="Arial"/>
        <family val="2"/>
      </rPr>
      <t xml:space="preserve"> sector, vis-à-vis </t>
    </r>
    <r>
      <rPr>
        <u/>
        <sz val="8"/>
        <rFont val="Arial"/>
        <family val="2"/>
      </rPr>
      <t>capital</t>
    </r>
    <r>
      <rPr>
        <sz val="8"/>
        <rFont val="Arial"/>
        <family val="2"/>
      </rPr>
      <t xml:space="preserve"> investments and </t>
    </r>
    <r>
      <rPr>
        <u/>
        <sz val="8"/>
        <rFont val="Arial"/>
        <family val="2"/>
      </rPr>
      <t>subway</t>
    </r>
    <r>
      <rPr>
        <sz val="8"/>
        <rFont val="Arial"/>
        <family val="2"/>
      </rPr>
      <t xml:space="preserve"> sector</t>
    </r>
  </si>
  <si>
    <t>Komanoff assumption, includes wait time. Is used to estimate average percent by which subway trips are lengthened by reduced service frequency.</t>
  </si>
  <si>
    <t>Komanoff estimate, based on calculations in 2007 on database of census-derived home-to-work and work-to-home trips developed by B. Schaller, circa 2006-2007. Is used in estimating % by which greater spending on bus operations reduces riders' travel times.</t>
  </si>
  <si>
    <t>Work trips' percentage of subway trips (balance is non-work trips)</t>
  </si>
  <si>
    <r>
      <t xml:space="preserve">Baseline Ridership entering + leaving hub in hr </t>
    </r>
    <r>
      <rPr>
        <sz val="9"/>
        <rFont val="Arial"/>
        <family val="2"/>
      </rPr>
      <t xml:space="preserve">(actual riders, </t>
    </r>
    <r>
      <rPr>
        <u/>
        <sz val="9"/>
        <rFont val="Arial"/>
        <family val="2"/>
      </rPr>
      <t>not</t>
    </r>
    <r>
      <rPr>
        <sz val="9"/>
        <rFont val="Arial"/>
        <family val="2"/>
      </rPr>
      <t xml:space="preserve"> normalized by % in</t>
    </r>
  </si>
  <si>
    <t>Hour-by-hour subway riders entering and leaving Manhattan CBD</t>
  </si>
  <si>
    <t>Hour-by-hour division of subway trips between work and non-work</t>
  </si>
  <si>
    <t>(vector of 24 figures, not shown here)</t>
  </si>
  <si>
    <t>Driving Elasticities</t>
  </si>
  <si>
    <t>Transit Elasticities</t>
  </si>
  <si>
    <t>Average change in subway trip duration (due to transit investment enabled by toll revenues)</t>
  </si>
  <si>
    <t>Duration change from any other exogenously specified cause (e.g., cuts, efficiencies; is currently set to zero)</t>
  </si>
  <si>
    <t>Time-Switching Elasticities</t>
  </si>
  <si>
    <t xml:space="preserve">Source: “Congestion Pricing as a Traffic Management Tool: Evaluating The Impacts At New York City’s Interstate Crossings,” by Carolyn Wolff and Pierre Vilain of Louis Berger Associates, commissioned by the Port Authority. The study analyzed drivers’ responses to the differential tolling regime that the PA instituted on its six Hudson River vehicular crossings in 2001. </t>
  </si>
  <si>
    <r>
      <t xml:space="preserve">The elasticities in the above table are not conventional elasticities that operate on price changes to yield demand changes. Rather, each elasticity operates on the ratio of the toll in the period being switched “from,” to the toll in the period switched “into.” See </t>
    </r>
    <r>
      <rPr>
        <b/>
        <sz val="9"/>
        <rFont val="Arial"/>
        <family val="2"/>
      </rPr>
      <t>Time Switching</t>
    </r>
    <r>
      <rPr>
        <sz val="9"/>
        <rFont val="Arial"/>
        <family val="2"/>
      </rPr>
      <t xml:space="preserve"> worksheet for details on how these elasticities are operationalized in the BTA.</t>
    </r>
  </si>
  <si>
    <r>
      <t xml:space="preserve">Cross Elasticities </t>
    </r>
    <r>
      <rPr>
        <sz val="8"/>
        <rFont val="Arial"/>
        <family val="2"/>
      </rPr>
      <t>(these express extent to which trips that are lost in one mode rematerialize in another)</t>
    </r>
  </si>
  <si>
    <r>
      <t xml:space="preserve">Vehicle Occupancies </t>
    </r>
    <r>
      <rPr>
        <sz val="9"/>
        <rFont val="Arial"/>
        <family val="2"/>
      </rPr>
      <t>(of autos entering Manhattan CBD)</t>
    </r>
  </si>
  <si>
    <r>
      <t xml:space="preserve">Average weekday vehicle occupancy </t>
    </r>
    <r>
      <rPr>
        <sz val="8"/>
        <rFont val="Arial"/>
        <family val="2"/>
      </rPr>
      <t xml:space="preserve">(wghtd avg of work and non-work occupancies in </t>
    </r>
    <r>
      <rPr>
        <b/>
        <sz val="8"/>
        <rFont val="Arial"/>
        <family val="2"/>
      </rPr>
      <t>H.I.S.</t>
    </r>
    <r>
      <rPr>
        <sz val="8"/>
        <rFont val="Arial"/>
        <family val="2"/>
      </rPr>
      <t xml:space="preserve"> worksheet)</t>
    </r>
  </si>
  <si>
    <t>Averages of census-derived home-to-work and work-to-home trips, as culled by Schaller, circa 2006-2007 and calc'd by Komanoff in 2007.</t>
  </si>
  <si>
    <t>Reflects applicable changes in speeds.</t>
  </si>
  <si>
    <t>(Komanoff assumptions)</t>
  </si>
  <si>
    <t>Travel time on mode, minutes (one way, for CBD-bound trips)</t>
  </si>
  <si>
    <r>
      <t xml:space="preserve">Discount, to reflect sub-sample "tolled" into transit </t>
    </r>
    <r>
      <rPr>
        <sz val="8"/>
        <rFont val="Arial"/>
        <family val="2"/>
      </rPr>
      <t>(Komanoff assumption)</t>
    </r>
  </si>
  <si>
    <r>
      <t xml:space="preserve">Calculated in </t>
    </r>
    <r>
      <rPr>
        <b/>
        <sz val="8"/>
        <rFont val="Arial"/>
        <family val="2"/>
      </rPr>
      <t>Sub v. Bus</t>
    </r>
    <r>
      <rPr>
        <sz val="8"/>
        <rFont val="Arial"/>
        <family val="2"/>
      </rPr>
      <t xml:space="preserve"> worksheet as product of auto-commuter's time value and complement of discount percent (rounded)</t>
    </r>
  </si>
  <si>
    <t>Standard deviation of distribution of total transit trip cost, as a percent of distribution mean</t>
  </si>
  <si>
    <t>Daily Volume</t>
  </si>
  <si>
    <t>% Continue to CBD</t>
  </si>
  <si>
    <t>Daily Vol.
to CBD</t>
  </si>
  <si>
    <t>Toll before or after peak period</t>
  </si>
  <si>
    <t>Komanoff estimate. Is used to amplify propensity of subway riders to respond to fare differentials, relative to auto commuters' propensity to respond to toll differentials (holding price-elasticities constant).</t>
  </si>
  <si>
    <r>
      <t xml:space="preserve">Let us compare these figures to the implied cost of PM-10 emissions per thousand miles, as revealed by emissions modeling here. At this writing, the Sustainable Transit Plan would reduce PM-10 health damages by nearly $110 million a year. The VMT reduction from the Plan is estimated (in the </t>
    </r>
    <r>
      <rPr>
        <b/>
        <sz val="9"/>
        <rFont val="Arial"/>
        <family val="2"/>
      </rPr>
      <t>VMT</t>
    </r>
    <r>
      <rPr>
        <sz val="9"/>
        <rFont val="Arial"/>
        <family val="2"/>
      </rPr>
      <t xml:space="preserve"> worksheet) at around 940 million miles per year. Dividing the first figure by the second yields an implied cost for PM-10 emissions of more than </t>
    </r>
    <r>
      <rPr>
        <u/>
        <sz val="9"/>
        <rFont val="Arial"/>
        <family val="2"/>
      </rPr>
      <t>$115</t>
    </r>
    <r>
      <rPr>
        <sz val="9"/>
        <rFont val="Arial"/>
        <family val="2"/>
      </rPr>
      <t xml:space="preserve"> per thousand miles. This is 50% more than the (unadjusted) upper-bound figure in McKubbin-Delucchi, and 30 times greater than the lower bound.</t>
    </r>
  </si>
  <si>
    <t>Persons Arriving in Manhattan CBD by Bus from Origins in New York City (Weekdays, 2007)</t>
  </si>
  <si>
    <t>Source: NYMTC, Hub-Bound Travel Report 2007, Tables, Subway By Sector, MTA NYC Transit Summary, 2007-Inbound and 2007-Outbound (p 61 of 104), available via http://www.nymtc.org/data_services/HBT.html.</t>
  </si>
  <si>
    <t>Work trips' percentage of bus trips (balance is non-work trips)</t>
  </si>
  <si>
    <t>This analysis, performed in late 2010 by urban planner (MS, Columbia Univ.) Josef Szende, develops metrics for estimating (i) the cost of increasing the frequency of NYC Transit bus service on selected lines, and (ii) the associated average reductions in waiting and travel times. The product of the analysis is a means of estimating average system-wide time savings and ridership increases per a given commitment (e.g., $100 million/year) in increased bus operations.</t>
  </si>
  <si>
    <t xml:space="preserve">Source: Schaller, "City in Flux," 2007, p. 5: "Autos account for an estimated 75% of vehicle miles traveled in the five boroughs." </t>
  </si>
  <si>
    <t>Autos' share of NYC VMT</t>
  </si>
  <si>
    <t>NYC vehicle miles traveled (VMT), millions of miles a year</t>
  </si>
  <si>
    <r>
      <t>Komanoff calculated mean of 3.63 miles for average one-way bus commute in his analysis of Schaller data in 'Rolling Carbon' project for Transportation Alternatives, 2007. Average here could be higher since auto trips (which are switching to bus in this section) average almost 2x length of bus trip (</t>
    </r>
    <r>
      <rPr>
        <u/>
        <sz val="8"/>
        <rFont val="Arial"/>
        <family val="2"/>
      </rPr>
      <t>Ibid.)</t>
    </r>
    <r>
      <rPr>
        <sz val="8"/>
        <rFont val="Arial"/>
        <family val="2"/>
      </rPr>
      <t>; but it could also be shorter, since average shown is for work trips, which almost certainly are longer. We assume the two influences are offsetting. Note that same figure appears in Transit worksheet.</t>
    </r>
  </si>
  <si>
    <t>Note: Schaller ("Necessity or Choice") has important H.I.S.-derived data on work/non-work splits by time of day, pp 27, 29, 32.</t>
  </si>
  <si>
    <t>Daily (weekday) motor vehicle crossings into Manhattan</t>
  </si>
  <si>
    <t>Komanoff assumption. Helps generate statistical distribution of trip costs, to derive probabilities of auto trip migrating to subway or bus.</t>
  </si>
  <si>
    <t>Factors</t>
  </si>
  <si>
    <r>
      <t xml:space="preserve">Following are the allocations of 24-h total work, non-work and through trips into the time periods used in the </t>
    </r>
    <r>
      <rPr>
        <b/>
        <sz val="9"/>
        <rFont val="Arial"/>
        <family val="2"/>
      </rPr>
      <t>Motor Vs</t>
    </r>
    <r>
      <rPr>
        <sz val="9"/>
        <rFont val="Arial"/>
        <family val="2"/>
      </rPr>
      <t xml:space="preserve"> and </t>
    </r>
    <r>
      <rPr>
        <b/>
        <sz val="9"/>
        <rFont val="Arial"/>
        <family val="2"/>
      </rPr>
      <t>Motor Vs Weekends</t>
    </r>
    <r>
      <rPr>
        <sz val="9"/>
        <rFont val="Arial"/>
        <family val="2"/>
      </rPr>
      <t xml:space="preserve"> worksheeets, resulting from applying the above factors to the respective total trips:</t>
    </r>
  </si>
  <si>
    <t>No. of hours</t>
  </si>
  <si>
    <t>Noon-5, 8-10 pm</t>
  </si>
  <si>
    <t>Shoulders</t>
  </si>
  <si>
    <r>
      <t xml:space="preserve">All calculations are performed in the </t>
    </r>
    <r>
      <rPr>
        <b/>
        <sz val="9"/>
        <rFont val="Arial"/>
        <family val="2"/>
      </rPr>
      <t>Weekday Hours</t>
    </r>
    <r>
      <rPr>
        <sz val="9"/>
        <rFont val="Arial"/>
        <family val="2"/>
      </rPr>
      <t xml:space="preserve"> and </t>
    </r>
    <r>
      <rPr>
        <b/>
        <sz val="9"/>
        <rFont val="Arial"/>
        <family val="2"/>
      </rPr>
      <t>Weekend Hours</t>
    </r>
    <r>
      <rPr>
        <sz val="9"/>
        <rFont val="Arial"/>
        <family val="2"/>
      </rPr>
      <t xml:space="preserve"> worksheets.</t>
    </r>
  </si>
  <si>
    <t xml:space="preserve">Weekend Hours </t>
  </si>
  <si>
    <r>
      <t xml:space="preserve">Weekday Hours </t>
    </r>
    <r>
      <rPr>
        <b/>
        <sz val="10"/>
        <rFont val="Calibri"/>
        <family val="2"/>
      </rPr>
      <t/>
    </r>
  </si>
  <si>
    <t xml:space="preserve">• </t>
  </si>
  <si>
    <t>These worksheets assign 24-hr motor vehicle entries to the CBD into parallel 3x24 matrices (one for weekdays, one for weekends) of hr-by-hr entries for work trips, non-work trips and through-trips; allocation by hour is needed to guide the toll structure and estimate traffic levels and speeds; allocation by trip type is needed to reflect different trip costs and elasticities.</t>
  </si>
  <si>
    <t>Weekend and holidays average traffic levels as a percent of weekday average</t>
  </si>
  <si>
    <t>Calculated by comparing weekend to weekday volumes for Triborough Bridge (Manhattan-bound portion) and Queens Midtown Tunnel, provided by MTA Bridges &amp; Tunnels, in two sample months (March and Sept 2007). These crossings were selected over other MTA crossings because they are the main crossings into Manhattan for which data were available. The two months were chosen more or less at random; other months probably would yield similar results.</t>
  </si>
  <si>
    <t>Speed-Volume, Cordon</t>
  </si>
  <si>
    <r>
      <t xml:space="preserve">Following is the equation we use to calculate </t>
    </r>
    <r>
      <rPr>
        <i/>
        <sz val="9"/>
        <rFont val="Arial"/>
        <family val="2"/>
      </rPr>
      <t>relative</t>
    </r>
    <r>
      <rPr>
        <sz val="9"/>
        <rFont val="Arial"/>
        <family val="2"/>
      </rPr>
      <t xml:space="preserve"> speeds within the Manhattan CBD:</t>
    </r>
  </si>
  <si>
    <t>The worksheet provides the empirical basis and mathematical derivation of the equation, along with a graph.</t>
  </si>
  <si>
    <t>Speed-Volume, non-Cordon</t>
  </si>
  <si>
    <r>
      <t xml:space="preserve">Following is the equation we use to calculate </t>
    </r>
    <r>
      <rPr>
        <i/>
        <sz val="9"/>
        <rFont val="Arial"/>
        <family val="2"/>
      </rPr>
      <t>relative</t>
    </r>
    <r>
      <rPr>
        <sz val="9"/>
        <rFont val="Arial"/>
        <family val="2"/>
      </rPr>
      <t xml:space="preserve"> speeds outside of (on the approaches to) the Manhattan CBD:</t>
    </r>
  </si>
  <si>
    <t xml:space="preserve">Following are factors by which we adjust auto elasticities </t>
  </si>
  <si>
    <t>Avenues (FDR, Sutton/York, 2nd, Lex, Park, 5th, 7th, CPW, B'way, Col., 11th Ave, WS Hwy)</t>
  </si>
  <si>
    <t>Bridges (2 ea. Manhattan + Qboro, 1 ea. Bklyn + Wburg; 8 for Harlem River bridges)</t>
  </si>
  <si>
    <t>Initial press reports put cost at $179 million. We increased this to $250 million, in light of statement from TCMC report, p. 36.</t>
  </si>
  <si>
    <t>Number of locations on which NYC target cost was predicated</t>
  </si>
  <si>
    <t>Same TCMC document and statement as above.</t>
  </si>
  <si>
    <r>
      <t xml:space="preserve">Adder for indirect costs (design, contracting, public consultation) </t>
    </r>
    <r>
      <rPr>
        <sz val="8"/>
        <rFont val="Arial"/>
        <family val="2"/>
      </rPr>
      <t>(Komanoff assumption)</t>
    </r>
  </si>
  <si>
    <r>
      <t xml:space="preserve">Further adder for foregone "scale economies" from reduced size </t>
    </r>
    <r>
      <rPr>
        <sz val="8"/>
        <rFont val="Arial"/>
        <family val="2"/>
      </rPr>
      <t>(Komanoff assumption)</t>
    </r>
  </si>
  <si>
    <t>Tunnels (Lincoln, Holland, Bklyn-Battery, Queens-Midtown)</t>
  </si>
  <si>
    <r>
      <t xml:space="preserve">Tunnels </t>
    </r>
    <r>
      <rPr>
        <sz val="8"/>
        <rFont val="Arial"/>
        <family val="2"/>
      </rPr>
      <t>(Lincoln, Holland, Bklyn-Battery, Queens-Midtown)</t>
    </r>
  </si>
  <si>
    <r>
      <t xml:space="preserve">Amortization period, years </t>
    </r>
    <r>
      <rPr>
        <sz val="8"/>
        <rFont val="Arial"/>
        <family val="2"/>
      </rPr>
      <t>(Komanoff assumption)</t>
    </r>
  </si>
  <si>
    <t>Annual Charging Costs, Weekdays (rounded)</t>
  </si>
  <si>
    <t>Annual Charging Costs, Weekends and holidays (rounded)</t>
  </si>
  <si>
    <r>
      <t xml:space="preserve">Total Charging Costs, Weekends and holidays </t>
    </r>
    <r>
      <rPr>
        <sz val="9"/>
        <rFont val="Arial"/>
        <family val="2"/>
      </rPr>
      <t>(rounded)</t>
    </r>
  </si>
  <si>
    <t xml:space="preserve">3. Total Annual Cordon-Tolling Costs </t>
  </si>
  <si>
    <t xml:space="preserve">2. Operating Costs for Cordon-Tolling System </t>
  </si>
  <si>
    <t>4. Spatial Calculations</t>
  </si>
  <si>
    <r>
      <rPr>
        <b/>
        <sz val="9"/>
        <rFont val="Arial"/>
        <family val="2"/>
      </rPr>
      <t xml:space="preserve">Times Square defined: </t>
    </r>
    <r>
      <rPr>
        <sz val="9"/>
        <rFont val="Arial"/>
        <family val="2"/>
      </rPr>
      <t>Times Square is a major intersection in Manhattan, New York City at the junction of Broadway and Seventh Avenue and stretching from West 42nd to West 47th Streets (from Wikipedia).</t>
    </r>
  </si>
  <si>
    <t>Times Square acreage</t>
  </si>
  <si>
    <t>Times Square's acreage as % of street space in entire CBD</t>
  </si>
  <si>
    <t>Acreage of street and road space in the Manhattan CBD</t>
  </si>
  <si>
    <r>
      <t xml:space="preserve">Times Square is used in the BTA as a useful "metric": the </t>
    </r>
    <r>
      <rPr>
        <b/>
        <sz val="9"/>
        <rFont val="Arial"/>
        <family val="2"/>
      </rPr>
      <t>User Inputs</t>
    </r>
    <r>
      <rPr>
        <sz val="9"/>
        <rFont val="Arial"/>
        <family val="2"/>
      </rPr>
      <t xml:space="preserve"> worksheet allows the user to specify the "number of Times Squares worth of space" to be removed from the traffic stream.</t>
    </r>
  </si>
  <si>
    <t>The worksheet calculates emissions of each of the five pollutants under (i) baseline conditions and (ii) with the pricing regime selected in the Results worksheet. Emissions are calculated by multiplying VMT for each time period by the emission factors applicable to the average speed for the period. Emission factors are calculated using the most recent (2007) edition of the California Air Resources Board's (CARB) EMission FACtors model, EMFAC2007.</t>
  </si>
  <si>
    <t>Calculations are done separately for light-duty vehicles (cars, including SUV's and taxicabs), trucks and buses, and per weekday or weekend day. The emission factors for each vehicle class are averages of a fairly wide range encompassing the different vehicle characteristics within each class; although it would be preferable to have the full distribution of speeds and the associated emissions, that degree of precision was beyond our scope. The resulting daily figures are converted to annual values, and the differences between baseline and pricing results are calculated.</t>
  </si>
  <si>
    <r>
      <t xml:space="preserve">The emission factors are automatically "looked up" from emission curves specified in two related worksheets, </t>
    </r>
    <r>
      <rPr>
        <b/>
        <sz val="9"/>
        <rFont val="Arial"/>
        <family val="2"/>
      </rPr>
      <t>EMFAC</t>
    </r>
    <r>
      <rPr>
        <sz val="9"/>
        <rFont val="Arial"/>
        <family val="2"/>
      </rPr>
      <t xml:space="preserve"> and </t>
    </r>
    <r>
      <rPr>
        <b/>
        <sz val="9"/>
        <rFont val="Arial"/>
        <family val="2"/>
      </rPr>
      <t xml:space="preserve">Speed-CO2 </t>
    </r>
    <r>
      <rPr>
        <sz val="9"/>
        <rFont val="Arial"/>
        <family val="2"/>
      </rPr>
      <t>(not shown here). Following are a handful of assumptions that were made in applyling those factors.</t>
    </r>
  </si>
  <si>
    <t>Medium Truck (10,000 - 26,000 lbs) fuel consumption per mile, relative to light-duty vehicles</t>
  </si>
  <si>
    <t>Bus fuel consumption per mile, relative to light-duty vehicles</t>
  </si>
  <si>
    <t>Cordon fuel-inefficiency factor (due to more stop-and-go traffic within cordon than outside cordon)</t>
  </si>
  <si>
    <r>
      <t xml:space="preserve">Cordon fuel-inefficiency factor </t>
    </r>
    <r>
      <rPr>
        <sz val="8"/>
        <rFont val="Arial"/>
        <family val="2"/>
      </rPr>
      <t>(due to more stop-and-go traffic within cordon than outside cordon)</t>
    </r>
  </si>
  <si>
    <t>Assumed daily cost for "parking provided or reimbursed," as a percent of cost for "paid lot or garage":</t>
  </si>
  <si>
    <r>
      <t>Source for Komanoff</t>
    </r>
    <r>
      <rPr>
        <sz val="8"/>
        <rFont val="Arial"/>
        <family val="2"/>
      </rPr>
      <t>: Schaller's share for "park on street w/o paying" (#4) was reduced by one-tenth to reflect presumed decrease in placard parking by Bloomberg administration; change has been allocated proportionally to #1 and #2. Cost for #3, which Schaller counts as zero, is assumed to be a percentage of Schaller #1 cost, on premise that the party bankrolling "free" parking recognizes direct and/or opportunity cost of providing the space. (Percentage is shown in column I, directly below table, and is Komanoff assumption.) We also raised costs for #1 and #2 slightly to reflect 2008 conditions vs. 2006.</t>
    </r>
  </si>
  <si>
    <r>
      <rPr>
        <b/>
        <sz val="8"/>
        <rFont val="Arial"/>
        <family val="2"/>
      </rPr>
      <t>Note</t>
    </r>
    <r>
      <rPr>
        <sz val="8"/>
        <rFont val="Arial"/>
        <family val="2"/>
      </rPr>
      <t xml:space="preserve">: The wide variation in parking costs in the table produces a wide variation in total baseline driving costs in the </t>
    </r>
    <r>
      <rPr>
        <b/>
        <sz val="8"/>
        <rFont val="Arial"/>
        <family val="2"/>
      </rPr>
      <t>Motor Vs</t>
    </r>
    <r>
      <rPr>
        <sz val="8"/>
        <rFont val="Arial"/>
        <family val="2"/>
      </rPr>
      <t xml:space="preserve"> and </t>
    </r>
    <r>
      <rPr>
        <b/>
        <sz val="8"/>
        <rFont val="Arial"/>
        <family val="2"/>
      </rPr>
      <t>Motor Vs</t>
    </r>
    <r>
      <rPr>
        <sz val="8"/>
        <rFont val="Arial"/>
        <family val="2"/>
      </rPr>
      <t xml:space="preserve"> worksheets. The elasticity and other algorithms in those worksheets operate on the </t>
    </r>
    <r>
      <rPr>
        <i/>
        <sz val="8"/>
        <rFont val="Arial"/>
        <family val="2"/>
      </rPr>
      <t>mean</t>
    </r>
    <r>
      <rPr>
        <sz val="8"/>
        <rFont val="Arial"/>
        <family val="2"/>
      </rPr>
      <t xml:space="preserve"> baseline cost; while it would have been preferable to operate on the actual distribution of costs, we believe that our methodology is an acceptable "second-best."</t>
    </r>
  </si>
  <si>
    <t>Following are the assumptions and breakdowns by which we calculate the value of a "vehicle-hour" spent (stuck) in traffic within and outside of (on the approaches to) the Manhattan CBD.</t>
  </si>
  <si>
    <r>
      <t xml:space="preserve">The figures here are only a subset of the more detailed derivation and presentation contained in the </t>
    </r>
    <r>
      <rPr>
        <b/>
        <sz val="9"/>
        <rFont val="Arial"/>
        <family val="2"/>
      </rPr>
      <t>Value of Time</t>
    </r>
    <r>
      <rPr>
        <sz val="9"/>
        <rFont val="Arial"/>
        <family val="2"/>
      </rPr>
      <t xml:space="preserve"> worksheet.</t>
    </r>
  </si>
  <si>
    <t>Medallion Taxi, occupied</t>
  </si>
  <si>
    <t># occupants besides driver</t>
  </si>
  <si>
    <t>VMT %</t>
  </si>
  <si>
    <t>Value of a vehicle-hr</t>
  </si>
  <si>
    <t>Within the Manhattan CBD</t>
  </si>
  <si>
    <t>Outside the Manhattan CBD</t>
  </si>
  <si>
    <t>Value of an hour of saved time for airline passengers (nationwide median, 2008 $)</t>
  </si>
  <si>
    <t>Adjustment factor from national median to NYC</t>
  </si>
  <si>
    <t>Value of an hour of saved time for NYC-area airline passengers (median, 2008 $)</t>
  </si>
  <si>
    <r>
      <t xml:space="preserve">See </t>
    </r>
    <r>
      <rPr>
        <b/>
        <sz val="9"/>
        <rFont val="Arial"/>
        <family val="2"/>
      </rPr>
      <t>Value of Time</t>
    </r>
    <r>
      <rPr>
        <sz val="9"/>
        <rFont val="Arial"/>
        <family val="2"/>
      </rPr>
      <t xml:space="preserve"> worksheet for further details.</t>
    </r>
  </si>
  <si>
    <t>Results &amp; User Inputs</t>
  </si>
  <si>
    <t>Motor Vs &amp; Motor Vs Weekends</t>
  </si>
  <si>
    <t>Weekday Hours &amp; Weekend Hours</t>
  </si>
  <si>
    <t>This list of assumptions follows the sequence of the worksheet tabs. Where worksheets have been skipped, either their key assumptions have been treated elsewhere in this sheet, or they were considered peripheral and were omitted.</t>
  </si>
  <si>
    <t>Catalogues several hundred key assumptions that drive the BTA, including elasticities, baseline costs to drive into the CBD, value of an hour of saved time, and more.</t>
  </si>
  <si>
    <t>© 2007-2011 Nurture New York’s Nature &amp; Charles Komanoff</t>
  </si>
  <si>
    <t>Ratio, delay cost / proposed fare surchg</t>
  </si>
  <si>
    <t>Surchrg % of Delay Cost</t>
  </si>
  <si>
    <t>Baseline (before Cordon Toll)</t>
  </si>
  <si>
    <t>After (with Cordon Toll)</t>
  </si>
  <si>
    <t>Number of work trips to CBD "captured" in period being studied</t>
  </si>
  <si>
    <t xml:space="preserve">Komanoff assumptions. </t>
  </si>
  <si>
    <t>Time cost for this leg of journey</t>
  </si>
  <si>
    <t>Gasoline cost, outside cordon</t>
  </si>
  <si>
    <t>Gasoline cost, inside cordon</t>
  </si>
  <si>
    <r>
      <t>Other Costs (</t>
    </r>
    <r>
      <rPr>
        <sz val="8"/>
        <rFont val="Arial"/>
        <family val="2"/>
      </rPr>
      <t>incremental costs for parking tkts, traffic tkts, damage to vehicle, insurance)</t>
    </r>
  </si>
  <si>
    <t>Out-of-Pocket Cost Parameters</t>
  </si>
  <si>
    <t>Total Out-of-pocket cost for this leg of journey</t>
  </si>
  <si>
    <r>
      <t xml:space="preserve">Time Parameters </t>
    </r>
    <r>
      <rPr>
        <i/>
        <sz val="9"/>
        <rFont val="Arial"/>
        <family val="2"/>
      </rPr>
      <t>(in minutes)</t>
    </r>
  </si>
  <si>
    <t>Discomfort / Inconvenience Cost of Switching to Park-n-Ride</t>
  </si>
  <si>
    <t>Distributional Comparison of Park-n-Ride (off street) to All Drive</t>
  </si>
  <si>
    <t>Mean of cost difference</t>
  </si>
  <si>
    <t xml:space="preserve">Standard Deviation </t>
  </si>
  <si>
    <t xml:space="preserve">Assumes standard deviation's % of mean = </t>
  </si>
  <si>
    <t>Standard Deviation of cost difference</t>
  </si>
  <si>
    <t>Share of trips for which park-n-ride cost is less than all-drive cost</t>
  </si>
  <si>
    <t xml:space="preserve">Komanoff assumptions, intended to reflect greater competition for off-street parking outside CBD, and less competition inside. </t>
  </si>
  <si>
    <t>Percent increase in cost to park after cordon toll</t>
  </si>
  <si>
    <t>Distance spent cruising neighborhood in search of eventual on-street parking space, miles</t>
  </si>
  <si>
    <t>Average transit-vehicle speed, mph</t>
  </si>
  <si>
    <t>Estimated percent by which speed for select/express service exceeds average</t>
  </si>
  <si>
    <t>Subway % is Komanoff estimate. Would be higher but for fact that baseline average includes express service.</t>
  </si>
  <si>
    <t>Estimated speed for select/express service, mph</t>
  </si>
  <si>
    <r>
      <t xml:space="preserve">Distance from highway to prospective on-street parking area, miles </t>
    </r>
    <r>
      <rPr>
        <sz val="8"/>
        <rFont val="Arial"/>
        <family val="2"/>
      </rPr>
      <t>(same as from highway to parking lot)</t>
    </r>
  </si>
  <si>
    <t>Speed to cover that distance, mph</t>
  </si>
  <si>
    <t>Distance from cordon crossing to destination, miles</t>
  </si>
  <si>
    <t>Distributional Comparison of Park-n-Ride (on street) to All Drive</t>
  </si>
  <si>
    <t>Mean costs being compared</t>
  </si>
  <si>
    <t>Komanoff assumption. Note that weight assigned to non-CBD value is complement of this percent.</t>
  </si>
  <si>
    <t>The Calculations</t>
  </si>
  <si>
    <t>Average value of time used in this analysis</t>
  </si>
  <si>
    <t>Park-and-Ride</t>
  </si>
  <si>
    <t>Estimates the extent to which drivers might be expected to park outside the CBD and complete their journey to the CBD by subway, to avoid the congestion toll.</t>
  </si>
  <si>
    <t>Total vehicle entries to CBD</t>
  </si>
  <si>
    <t>Autos-Taxis-Vans-Trucks</t>
  </si>
  <si>
    <t>Queensboro Bridge Ramp</t>
  </si>
  <si>
    <t>Central Park Drive &amp; 7th Ave.</t>
  </si>
  <si>
    <t xml:space="preserve">New Jersey Sector </t>
  </si>
  <si>
    <t>Brooklyn Sector Subtotals</t>
  </si>
  <si>
    <r>
      <t>60</t>
    </r>
    <r>
      <rPr>
        <b/>
        <vertAlign val="superscript"/>
        <sz val="9"/>
        <color indexed="20"/>
        <rFont val="Arial"/>
        <family val="2"/>
      </rPr>
      <t>th</t>
    </r>
    <r>
      <rPr>
        <b/>
        <sz val="9"/>
        <color indexed="20"/>
        <rFont val="Arial"/>
        <family val="2"/>
      </rPr>
      <t xml:space="preserve"> Street Sector Subtotals</t>
    </r>
  </si>
  <si>
    <t>Queens Sector Subtotals</t>
  </si>
  <si>
    <t>New Jersey Sector Subtotals</t>
  </si>
  <si>
    <r>
      <t xml:space="preserve">This worksheet was created by C. Komanoff on 16 Jan 2011. It replaces an earlier version that used NYMTC </t>
    </r>
    <r>
      <rPr>
        <u/>
        <sz val="9"/>
        <rFont val="Arial"/>
        <family val="2"/>
      </rPr>
      <t>draft</t>
    </r>
    <r>
      <rPr>
        <sz val="9"/>
        <rFont val="Arial"/>
        <family val="2"/>
      </rPr>
      <t xml:space="preserve"> figures (from 2006), which overstated actual vehicle entries to the Manhattan CBD.</t>
    </r>
  </si>
  <si>
    <t>All figures here are from NYMTC "Hub-Bound Travel Report, 2007," Table 16, "Where and When Motor Vehicles Entered the Hub on a Fall Business Day in 2007" (p. 48 of 104).</t>
  </si>
  <si>
    <t>Borough apportionments of interborough route lengths between borough (Columns E, F, and G) are from a visual analysis by Josef Szende, based on MTA maps available at: &lt;http://www.mta.info/maps/&gt;. Borough Population figures are from US Census &lt;http://www.census.gov/popest/cities/tables/SUB-EST2009-05-36.xls&gt;.</t>
  </si>
  <si>
    <t>A. Summary Data</t>
  </si>
  <si>
    <t>(Figures in table are drawn from Individual Route Data in Part B.)</t>
  </si>
  <si>
    <t>Interborough Ridership allocable to this borough</t>
  </si>
  <si>
    <t>Total Ridership (Intraborough + Interborough)</t>
  </si>
  <si>
    <t>Borough % of Intraborough Ridership</t>
  </si>
  <si>
    <t>Borough % of Total Ridership</t>
  </si>
  <si>
    <t>Total Ridership per Capita</t>
  </si>
  <si>
    <t>Intraborough Ridership</t>
  </si>
  <si>
    <t>Borough Population</t>
  </si>
  <si>
    <t>Borough</t>
  </si>
  <si>
    <t>N/A</t>
  </si>
  <si>
    <t>B. Individual Route Data, organized by borough</t>
  </si>
  <si>
    <t>These data columns, from same MTA source, aren't used in the analysis but are kept for possible future use.</t>
  </si>
  <si>
    <t>Rank Among All Local Routes</t>
  </si>
  <si>
    <t xml:space="preserve">Bronx </t>
  </si>
  <si>
    <t xml:space="preserve">Average Weekday </t>
  </si>
  <si>
    <t>Intraborough</t>
  </si>
  <si>
    <t xml:space="preserve">Bx1/2 </t>
  </si>
  <si>
    <t xml:space="preserve">Bx4 </t>
  </si>
  <si>
    <t xml:space="preserve">Bx5 </t>
  </si>
  <si>
    <t xml:space="preserve">Bx8 </t>
  </si>
  <si>
    <t xml:space="preserve">Bx9 </t>
  </si>
  <si>
    <t xml:space="preserve">Bx10 </t>
  </si>
  <si>
    <t xml:space="preserve">Bx14 </t>
  </si>
  <si>
    <t xml:space="preserve">Bx16 </t>
  </si>
  <si>
    <t xml:space="preserve">Bx17 </t>
  </si>
  <si>
    <t xml:space="preserve">Bx18 </t>
  </si>
  <si>
    <t xml:space="preserve">Bx21 </t>
  </si>
  <si>
    <t xml:space="preserve">Bx22 </t>
  </si>
  <si>
    <t xml:space="preserve">Bx25/26 </t>
  </si>
  <si>
    <t xml:space="preserve">Bx27 </t>
  </si>
  <si>
    <t xml:space="preserve">Bx28 </t>
  </si>
  <si>
    <t xml:space="preserve">Bx29 </t>
  </si>
  <si>
    <t xml:space="preserve">Bx30 </t>
  </si>
  <si>
    <t xml:space="preserve">Bx31 </t>
  </si>
  <si>
    <t xml:space="preserve">Bx32 </t>
  </si>
  <si>
    <t xml:space="preserve">Bx33 </t>
  </si>
  <si>
    <t xml:space="preserve">Bx34 </t>
  </si>
  <si>
    <t xml:space="preserve">Bx39 </t>
  </si>
  <si>
    <t xml:space="preserve">Bx40/42 </t>
  </si>
  <si>
    <t xml:space="preserve">Bx41 </t>
  </si>
  <si>
    <t xml:space="preserve">Bx55 </t>
  </si>
  <si>
    <t>Other Borough into which This Route Carries</t>
  </si>
  <si>
    <t>% In
Borough</t>
  </si>
  <si>
    <t>% Outside Borough</t>
  </si>
  <si>
    <t>Interborough</t>
  </si>
  <si>
    <t xml:space="preserve">Bx3 </t>
  </si>
  <si>
    <t xml:space="preserve">Bx6 </t>
  </si>
  <si>
    <t xml:space="preserve">Bx7 </t>
  </si>
  <si>
    <t xml:space="preserve">Bx11 </t>
  </si>
  <si>
    <t xml:space="preserve">Bx12Lcl/SBS </t>
  </si>
  <si>
    <t xml:space="preserve">Bx13 </t>
  </si>
  <si>
    <t xml:space="preserve">Bx15 </t>
  </si>
  <si>
    <t xml:space="preserve">Bx19 </t>
  </si>
  <si>
    <t xml:space="preserve">Bx20 </t>
  </si>
  <si>
    <t xml:space="preserve">Bx35 </t>
  </si>
  <si>
    <t xml:space="preserve">Bx36 </t>
  </si>
  <si>
    <t>Total:</t>
  </si>
  <si>
    <t>Total Allocable to this Borough</t>
  </si>
  <si>
    <t>Ridership from Other Borough's Routes</t>
  </si>
  <si>
    <t>Bronx Grand Total</t>
  </si>
  <si>
    <t xml:space="preserve">B1 </t>
  </si>
  <si>
    <t xml:space="preserve">B2 </t>
  </si>
  <si>
    <t xml:space="preserve">B3 </t>
  </si>
  <si>
    <t xml:space="preserve">B4 </t>
  </si>
  <si>
    <t xml:space="preserve">B6 </t>
  </si>
  <si>
    <t xml:space="preserve">B7 </t>
  </si>
  <si>
    <t xml:space="preserve">B8 </t>
  </si>
  <si>
    <t xml:space="preserve">B9 </t>
  </si>
  <si>
    <t xml:space="preserve">B11 </t>
  </si>
  <si>
    <t xml:space="preserve">B12 </t>
  </si>
  <si>
    <t xml:space="preserve">B14 </t>
  </si>
  <si>
    <t xml:space="preserve">B16 </t>
  </si>
  <si>
    <t xml:space="preserve">B17 </t>
  </si>
  <si>
    <t xml:space="preserve">B20 </t>
  </si>
  <si>
    <t xml:space="preserve">B23 </t>
  </si>
  <si>
    <t xml:space="preserve">B25 </t>
  </si>
  <si>
    <t xml:space="preserve">B26 </t>
  </si>
  <si>
    <t xml:space="preserve">B31 </t>
  </si>
  <si>
    <t xml:space="preserve">B35 </t>
  </si>
  <si>
    <t xml:space="preserve">B36 </t>
  </si>
  <si>
    <t xml:space="preserve">B37 </t>
  </si>
  <si>
    <t xml:space="preserve">B39 </t>
  </si>
  <si>
    <t xml:space="preserve">B41 </t>
  </si>
  <si>
    <t xml:space="preserve">B42 </t>
  </si>
  <si>
    <t xml:space="preserve">B43 </t>
  </si>
  <si>
    <t xml:space="preserve">B44 </t>
  </si>
  <si>
    <t xml:space="preserve">B45 </t>
  </si>
  <si>
    <t xml:space="preserve">B46 </t>
  </si>
  <si>
    <t xml:space="preserve">B47 </t>
  </si>
  <si>
    <t xml:space="preserve">B48 </t>
  </si>
  <si>
    <t xml:space="preserve">B49 </t>
  </si>
  <si>
    <t xml:space="preserve">B51 </t>
  </si>
  <si>
    <t xml:space="preserve">B52 </t>
  </si>
  <si>
    <t xml:space="preserve">B54 </t>
  </si>
  <si>
    <t xml:space="preserve">B60 </t>
  </si>
  <si>
    <t xml:space="preserve">B61 </t>
  </si>
  <si>
    <t xml:space="preserve">B63 </t>
  </si>
  <si>
    <t xml:space="preserve">B64 </t>
  </si>
  <si>
    <t xml:space="preserve">B65 </t>
  </si>
  <si>
    <t xml:space="preserve">B67 </t>
  </si>
  <si>
    <t xml:space="preserve">B68 </t>
  </si>
  <si>
    <t xml:space="preserve">B69 </t>
  </si>
  <si>
    <t xml:space="preserve">B70 </t>
  </si>
  <si>
    <t xml:space="preserve">B71 </t>
  </si>
  <si>
    <t xml:space="preserve">B74 </t>
  </si>
  <si>
    <t xml:space="preserve">B75 </t>
  </si>
  <si>
    <t xml:space="preserve">B77 </t>
  </si>
  <si>
    <t xml:space="preserve">B82 </t>
  </si>
  <si>
    <t xml:space="preserve">B83 </t>
  </si>
  <si>
    <t xml:space="preserve">B13 </t>
  </si>
  <si>
    <t xml:space="preserve">B15 </t>
  </si>
  <si>
    <t xml:space="preserve">B24 </t>
  </si>
  <si>
    <t xml:space="preserve">B38 </t>
  </si>
  <si>
    <t xml:space="preserve">B57 </t>
  </si>
  <si>
    <t>Ridership from Other Boroughs' Routes</t>
  </si>
  <si>
    <t>Brooklyn Grand Total</t>
  </si>
  <si>
    <t xml:space="preserve">M1 </t>
  </si>
  <si>
    <t xml:space="preserve">M2 </t>
  </si>
  <si>
    <t xml:space="preserve">M3 </t>
  </si>
  <si>
    <t xml:space="preserve">M4 </t>
  </si>
  <si>
    <t xml:space="preserve">M5 </t>
  </si>
  <si>
    <t xml:space="preserve">M6 </t>
  </si>
  <si>
    <t xml:space="preserve">M7 </t>
  </si>
  <si>
    <t xml:space="preserve">M8 </t>
  </si>
  <si>
    <t xml:space="preserve">M9 </t>
  </si>
  <si>
    <t xml:space="preserve">M10 </t>
  </si>
  <si>
    <t xml:space="preserve">M11 </t>
  </si>
  <si>
    <t xml:space="preserve">M14 </t>
  </si>
  <si>
    <t xml:space="preserve">M15 </t>
  </si>
  <si>
    <t xml:space="preserve">M16 </t>
  </si>
  <si>
    <t xml:space="preserve">M18 </t>
  </si>
  <si>
    <t xml:space="preserve">M20 </t>
  </si>
  <si>
    <t xml:space="preserve">M21 </t>
  </si>
  <si>
    <t xml:space="preserve">M22 </t>
  </si>
  <si>
    <t xml:space="preserve">M23 </t>
  </si>
  <si>
    <t xml:space="preserve">M27 </t>
  </si>
  <si>
    <t xml:space="preserve">M30 </t>
  </si>
  <si>
    <t xml:space="preserve">M31 </t>
  </si>
  <si>
    <t xml:space="preserve">M34 </t>
  </si>
  <si>
    <t xml:space="preserve">M35 </t>
  </si>
  <si>
    <t xml:space="preserve">M42 </t>
  </si>
  <si>
    <t xml:space="preserve">M50 </t>
  </si>
  <si>
    <t xml:space="preserve">M57 </t>
  </si>
  <si>
    <t xml:space="preserve">M66 </t>
  </si>
  <si>
    <t xml:space="preserve">M72 </t>
  </si>
  <si>
    <t xml:space="preserve">M79 </t>
  </si>
  <si>
    <t xml:space="preserve">M86 </t>
  </si>
  <si>
    <t xml:space="preserve">M96 </t>
  </si>
  <si>
    <t xml:space="preserve">M98 </t>
  </si>
  <si>
    <t xml:space="preserve">M100 </t>
  </si>
  <si>
    <t xml:space="preserve">M101 </t>
  </si>
  <si>
    <t xml:space="preserve">M102 </t>
  </si>
  <si>
    <t xml:space="preserve">M103 </t>
  </si>
  <si>
    <t xml:space="preserve">M104 </t>
  </si>
  <si>
    <t xml:space="preserve">M106 </t>
  </si>
  <si>
    <t xml:space="preserve">M116 </t>
  </si>
  <si>
    <t xml:space="preserve">M60 </t>
  </si>
  <si>
    <t>Manhattan Grand Total</t>
  </si>
  <si>
    <t xml:space="preserve">Q1 </t>
  </si>
  <si>
    <t xml:space="preserve">Q2 </t>
  </si>
  <si>
    <t xml:space="preserve">Q3 </t>
  </si>
  <si>
    <t xml:space="preserve">Q4 </t>
  </si>
  <si>
    <t xml:space="preserve">Q5 </t>
  </si>
  <si>
    <t xml:space="preserve">Q12 </t>
  </si>
  <si>
    <t xml:space="preserve">Q13 </t>
  </si>
  <si>
    <t xml:space="preserve">Q14 </t>
  </si>
  <si>
    <t xml:space="preserve">Q15 </t>
  </si>
  <si>
    <t xml:space="preserve">Q16 </t>
  </si>
  <si>
    <t xml:space="preserve">Q17 </t>
  </si>
  <si>
    <t xml:space="preserve">Q20 </t>
  </si>
  <si>
    <t xml:space="preserve">Q26 </t>
  </si>
  <si>
    <t xml:space="preserve">Q27 </t>
  </si>
  <si>
    <t xml:space="preserve">Q28 </t>
  </si>
  <si>
    <t xml:space="preserve">Q30 </t>
  </si>
  <si>
    <t xml:space="preserve">Q31 </t>
  </si>
  <si>
    <t xml:space="preserve">Q32 </t>
  </si>
  <si>
    <t xml:space="preserve">Q36 </t>
  </si>
  <si>
    <t xml:space="preserve">Q42 </t>
  </si>
  <si>
    <t xml:space="preserve">Q43 </t>
  </si>
  <si>
    <t xml:space="preserve">Q46 </t>
  </si>
  <si>
    <t xml:space="preserve">Q48 </t>
  </si>
  <si>
    <t xml:space="preserve">Q55 </t>
  </si>
  <si>
    <t xml:space="preserve">Q58 </t>
  </si>
  <si>
    <t xml:space="preserve">Q74 </t>
  </si>
  <si>
    <t xml:space="preserve">Q75 </t>
  </si>
  <si>
    <t xml:space="preserve">Q76 </t>
  </si>
  <si>
    <t xml:space="preserve">Q77 </t>
  </si>
  <si>
    <t xml:space="preserve">Q79 </t>
  </si>
  <si>
    <t xml:space="preserve">Q83 </t>
  </si>
  <si>
    <t xml:space="preserve">Q84 </t>
  </si>
  <si>
    <t xml:space="preserve">Q85 </t>
  </si>
  <si>
    <t xml:space="preserve">Q88 </t>
  </si>
  <si>
    <t xml:space="preserve">Q24 </t>
  </si>
  <si>
    <t xml:space="preserve">Q44 </t>
  </si>
  <si>
    <t xml:space="preserve">Q54 </t>
  </si>
  <si>
    <t xml:space="preserve">Q56 </t>
  </si>
  <si>
    <t xml:space="preserve">Q59 </t>
  </si>
  <si>
    <t>Queens Grand Total</t>
  </si>
  <si>
    <t xml:space="preserve">S40/90 </t>
  </si>
  <si>
    <t xml:space="preserve">S42 </t>
  </si>
  <si>
    <t xml:space="preserve">S44/94 </t>
  </si>
  <si>
    <t xml:space="preserve">S46/96 </t>
  </si>
  <si>
    <t xml:space="preserve">S48/98 </t>
  </si>
  <si>
    <t xml:space="preserve">S51/81 </t>
  </si>
  <si>
    <t xml:space="preserve">S52 </t>
  </si>
  <si>
    <t xml:space="preserve">S54 </t>
  </si>
  <si>
    <t xml:space="preserve">S55 </t>
  </si>
  <si>
    <t xml:space="preserve">S56 </t>
  </si>
  <si>
    <t xml:space="preserve">S57 </t>
  </si>
  <si>
    <t xml:space="preserve">S59 </t>
  </si>
  <si>
    <t xml:space="preserve">S60 </t>
  </si>
  <si>
    <t xml:space="preserve">S61/91 </t>
  </si>
  <si>
    <t xml:space="preserve">S62/92 </t>
  </si>
  <si>
    <t xml:space="preserve">S66 </t>
  </si>
  <si>
    <t xml:space="preserve">S67 </t>
  </si>
  <si>
    <t xml:space="preserve">S74/84 </t>
  </si>
  <si>
    <t xml:space="preserve">S76/86 </t>
  </si>
  <si>
    <t xml:space="preserve">S78 </t>
  </si>
  <si>
    <t xml:space="preserve">S89 </t>
  </si>
  <si>
    <t xml:space="preserve">S53 </t>
  </si>
  <si>
    <t xml:space="preserve">S79 </t>
  </si>
  <si>
    <t xml:space="preserve">S93 </t>
  </si>
  <si>
    <t>Staten Island Grand Total</t>
  </si>
  <si>
    <t>New York City Grand Total</t>
  </si>
  <si>
    <t>Express Buses</t>
  </si>
  <si>
    <t>Rank among all Express Bus Routes</t>
  </si>
  <si>
    <t xml:space="preserve">X1 </t>
  </si>
  <si>
    <t xml:space="preserve">X2 </t>
  </si>
  <si>
    <t xml:space="preserve">X3 </t>
  </si>
  <si>
    <t xml:space="preserve">X4 </t>
  </si>
  <si>
    <t xml:space="preserve">X5 </t>
  </si>
  <si>
    <t xml:space="preserve">X6 </t>
  </si>
  <si>
    <t xml:space="preserve">X7 </t>
  </si>
  <si>
    <t xml:space="preserve">X8 </t>
  </si>
  <si>
    <t xml:space="preserve">X9 </t>
  </si>
  <si>
    <t xml:space="preserve">X10 </t>
  </si>
  <si>
    <t xml:space="preserve">X11 </t>
  </si>
  <si>
    <t xml:space="preserve">X12/42 </t>
  </si>
  <si>
    <t xml:space="preserve">X13 </t>
  </si>
  <si>
    <t xml:space="preserve">X14 </t>
  </si>
  <si>
    <t xml:space="preserve">X15 </t>
  </si>
  <si>
    <t xml:space="preserve">X16 </t>
  </si>
  <si>
    <t xml:space="preserve">X17 </t>
  </si>
  <si>
    <t xml:space="preserve">X18 </t>
  </si>
  <si>
    <t xml:space="preserve">X19 </t>
  </si>
  <si>
    <t xml:space="preserve">X20 </t>
  </si>
  <si>
    <t xml:space="preserve">X22 </t>
  </si>
  <si>
    <t xml:space="preserve">X30 </t>
  </si>
  <si>
    <t xml:space="preserve">X31 </t>
  </si>
  <si>
    <t xml:space="preserve">X27/37 </t>
  </si>
  <si>
    <t xml:space="preserve">X28/38 </t>
  </si>
  <si>
    <t xml:space="preserve">X29 </t>
  </si>
  <si>
    <t xml:space="preserve">X25 </t>
  </si>
  <si>
    <t xml:space="preserve">X90 </t>
  </si>
  <si>
    <t xml:space="preserve">X32 </t>
  </si>
  <si>
    <t xml:space="preserve">X51 </t>
  </si>
  <si>
    <t xml:space="preserve">X63 </t>
  </si>
  <si>
    <t xml:space="preserve">X64 </t>
  </si>
  <si>
    <t xml:space="preserve">X68 </t>
  </si>
  <si>
    <t>Bus Routes</t>
  </si>
  <si>
    <t>This worksheet apportions annual ridership on NYC Transit buses among the five boroughs.</t>
  </si>
  <si>
    <t>Apportions annual ridership on NYC Transit buses among the five boroughs.</t>
  </si>
  <si>
    <r>
      <t xml:space="preserve">A l l   f i g u r e s   a r e   </t>
    </r>
    <r>
      <rPr>
        <b/>
        <u/>
        <sz val="10"/>
        <color theme="1"/>
        <rFont val="Arial"/>
        <family val="2"/>
      </rPr>
      <t>a n n u a l</t>
    </r>
    <r>
      <rPr>
        <b/>
        <sz val="10"/>
        <color theme="1"/>
        <rFont val="Arial"/>
        <family val="2"/>
      </rPr>
      <t>.</t>
    </r>
  </si>
  <si>
    <r>
      <t xml:space="preserve">For comparison: Baseline cordon VMT estimated here (in </t>
    </r>
    <r>
      <rPr>
        <b/>
        <sz val="9"/>
        <rFont val="Arial"/>
        <family val="2"/>
      </rPr>
      <t>Motor V's</t>
    </r>
    <r>
      <rPr>
        <sz val="9"/>
        <rFont val="Arial"/>
        <family val="2"/>
      </rPr>
      <t xml:space="preserve"> worksheet)</t>
    </r>
  </si>
  <si>
    <t>Ratio:</t>
  </si>
  <si>
    <t>Taxi, occup.</t>
  </si>
  <si>
    <t>(in calculating time-switching)</t>
  </si>
  <si>
    <t>Motor Vs, Subways</t>
  </si>
  <si>
    <t>Number</t>
  </si>
  <si>
    <t>Auto work</t>
  </si>
  <si>
    <t>Auto non-wk</t>
  </si>
  <si>
    <r>
      <t xml:space="preserve">Taxi </t>
    </r>
    <r>
      <rPr>
        <u/>
        <sz val="8"/>
        <rFont val="Arial"/>
        <family val="2"/>
      </rPr>
      <t>price</t>
    </r>
    <r>
      <rPr>
        <sz val="8"/>
        <rFont val="Arial"/>
        <family val="2"/>
      </rPr>
      <t xml:space="preserve">-elasticity is from Bruce Schaller, “Elasticities for Taxicab Fares and Service Availability,” in </t>
    </r>
    <r>
      <rPr>
        <i/>
        <sz val="8"/>
        <rFont val="Arial"/>
        <family val="2"/>
      </rPr>
      <t>Transportation</t>
    </r>
    <r>
      <rPr>
        <sz val="8"/>
        <rFont val="Arial"/>
        <family val="2"/>
      </rPr>
      <t xml:space="preserve">, Aug. 1999, pp. 283-97 &lt;http://www.schallerconsult.com/taxi/elastic.pdf&gt;. For taxi </t>
    </r>
    <r>
      <rPr>
        <u/>
        <sz val="8"/>
        <rFont val="Arial"/>
        <family val="2"/>
      </rPr>
      <t>time</t>
    </r>
    <r>
      <rPr>
        <sz val="8"/>
        <rFont val="Arial"/>
        <family val="2"/>
      </rPr>
      <t xml:space="preserve">-elasticity, we follow Schaller suggestion (oral comm., Nov. 2009) that it should fall in same range as that of transit work, transit non-work, auto work, and auto non-work, and therefore calculate it as mean of those four values. </t>
    </r>
  </si>
  <si>
    <t>Number of subway passenger rides per year, with pricing (thousands)</t>
  </si>
  <si>
    <t>Total costs add hourly bus &amp; subway fares to total time costs calculated in "After" columns, above.</t>
  </si>
  <si>
    <t>Time saved per ride due to increased transit investment (minutes)</t>
  </si>
  <si>
    <t xml:space="preserve">Travel time on mode for commuting, minutes </t>
  </si>
  <si>
    <t>Adjustment to commute travel time, to reflect all trips</t>
  </si>
  <si>
    <t xml:space="preserve">Travel time on mode for all trips, minutes </t>
  </si>
  <si>
    <t>Hours saved per year due to increased transit investment</t>
  </si>
  <si>
    <r>
      <t xml:space="preserve">This part </t>
    </r>
    <r>
      <rPr>
        <b/>
        <i/>
        <sz val="9"/>
        <rFont val="Arial"/>
        <family val="2"/>
      </rPr>
      <t xml:space="preserve">does not </t>
    </r>
    <r>
      <rPr>
        <b/>
        <sz val="9"/>
        <rFont val="Arial"/>
        <family val="2"/>
      </rPr>
      <t>assume fare-free boarding, since that applies if and only if the user-chosen scenario includes free NYCT buses</t>
    </r>
  </si>
  <si>
    <t>Number of bus passenger rides per year, with pricing (thousands)</t>
  </si>
  <si>
    <t xml:space="preserve">Bus travel times if used bus instead of subway trip lengths </t>
  </si>
  <si>
    <t>Annual value of bus riders' saved time</t>
  </si>
  <si>
    <t>Annual value of subway riders' saved time</t>
  </si>
  <si>
    <r>
      <t xml:space="preserve">                      </t>
    </r>
    <r>
      <rPr>
        <b/>
        <sz val="8"/>
        <rFont val="Arial"/>
        <family val="2"/>
      </rPr>
      <t xml:space="preserve">   </t>
    </r>
    <r>
      <rPr>
        <b/>
        <sz val="9"/>
        <color indexed="10"/>
        <rFont val="Arial"/>
        <family val="2"/>
      </rPr>
      <t xml:space="preserve">ON THE INTERNET
</t>
    </r>
    <r>
      <rPr>
        <sz val="9"/>
        <color indexed="10"/>
        <rFont val="Arial"/>
        <family val="2"/>
      </rPr>
      <t xml:space="preserve">
</t>
    </r>
    <r>
      <rPr>
        <sz val="8"/>
        <rFont val="Arial"/>
        <family val="2"/>
      </rPr>
      <t>This spreadsheet, "the BTA," is available via this link:</t>
    </r>
    <r>
      <rPr>
        <sz val="8"/>
        <rFont val="Arial Black"/>
        <family val="2"/>
      </rPr>
      <t xml:space="preserve"> &lt;http://www.nnyn.org/kheelplan/BTA_1.1.xls&gt;
</t>
    </r>
    <r>
      <rPr>
        <sz val="8"/>
        <rFont val="Arial"/>
        <family val="2"/>
      </rPr>
      <t xml:space="preserve">
Since we are continually upgrading the BTA, we encourage you to access the link from time to time to ensure that your copy is up-to-date. (Note date stamp in the first row of this and other worksheets.)</t>
    </r>
  </si>
  <si>
    <t>A. Transit-Riders' saved time</t>
  </si>
  <si>
    <r>
      <rPr>
        <sz val="10"/>
        <rFont val="Calibri"/>
        <family val="2"/>
      </rPr>
      <t>•</t>
    </r>
    <r>
      <rPr>
        <sz val="10"/>
        <rFont val="Arial"/>
        <family val="2"/>
      </rPr>
      <t xml:space="preserve"> Bus riders' savings from general traffic speed-up</t>
    </r>
  </si>
  <si>
    <r>
      <rPr>
        <b/>
        <sz val="10"/>
        <rFont val="Arial"/>
        <family val="2"/>
      </rPr>
      <t xml:space="preserve">• </t>
    </r>
    <r>
      <rPr>
        <sz val="10"/>
        <rFont val="Arial"/>
        <family val="2"/>
      </rPr>
      <t>Bus and subway riders' time gained from improved service</t>
    </r>
  </si>
  <si>
    <r>
      <rPr>
        <b/>
        <sz val="10"/>
        <rFont val="Arial"/>
        <family val="2"/>
      </rPr>
      <t xml:space="preserve">• </t>
    </r>
    <r>
      <rPr>
        <sz val="10"/>
        <rFont val="Arial"/>
        <family val="2"/>
      </rPr>
      <t>Bus riders' time gained from fare-free boarding (if applicable)</t>
    </r>
  </si>
  <si>
    <t>Includes:</t>
  </si>
  <si>
    <t>1. Bus riders' savings from general traffic speed-up and improved service</t>
  </si>
  <si>
    <t>2. Subway Riders' Saved Time from improved service</t>
  </si>
  <si>
    <t>These savings are calculated on current ridership to avoid double-counting with mobility benefit of new trips.</t>
  </si>
  <si>
    <t>3. Bus riders' time gained from fare-free boarding (if applicable)</t>
  </si>
  <si>
    <r>
      <t xml:space="preserve">Do not type in this cell; its value is chosen by fare settings in </t>
    </r>
    <r>
      <rPr>
        <b/>
        <sz val="8"/>
        <rFont val="Arial"/>
        <family val="2"/>
      </rPr>
      <t>User Inputs</t>
    </r>
    <r>
      <rPr>
        <sz val="8"/>
        <rFont val="Arial"/>
        <family val="2"/>
      </rPr>
      <t xml:space="preserve"> worksheet.</t>
    </r>
  </si>
  <si>
    <t>Parameters that apply for all 'saved time' calculations</t>
  </si>
  <si>
    <t>Ratio, weekend value of time to weekdays:</t>
  </si>
  <si>
    <t>Ratio, non-CBD value of time to in-CBD value:</t>
  </si>
  <si>
    <t>Komanoff assumptions</t>
  </si>
  <si>
    <t>Average value of a bus rider's hour saved in the CBD, weekdays and weekends</t>
  </si>
  <si>
    <t>Average value of a bus rider's hour saved outside CBD, weekdays and weekends</t>
  </si>
  <si>
    <t>Percent of bus riders' time savings realized inside CBD</t>
  </si>
  <si>
    <t>Time saved per ride due to increased transit investment + faster traffic (minutes)</t>
  </si>
  <si>
    <t>Average value of a subway rider's hour saved in the CBD, weekdays and weekends</t>
  </si>
  <si>
    <t>Average value of subway rider's hour saved outside CBD, weekdays and weekends</t>
  </si>
  <si>
    <t>Percent of subway riders' time savings realized inside CBD</t>
  </si>
  <si>
    <t>Hours saved per year due to increased transit investment + faster traffic</t>
  </si>
  <si>
    <t>Annual value of subway riders' saved time, inside CBD</t>
  </si>
  <si>
    <t>Annual value of subway riders' saved time, outside CBD</t>
  </si>
  <si>
    <r>
      <t xml:space="preserve">Avg value of vehicle-hour saved in traffic </t>
    </r>
    <r>
      <rPr>
        <sz val="8"/>
        <rFont val="Arial"/>
        <family val="2"/>
      </rPr>
      <t/>
    </r>
  </si>
  <si>
    <t>From 'Constants' worksheet.</t>
  </si>
  <si>
    <t>Bus riders time savings included in above annual values</t>
  </si>
  <si>
    <t>$ due to faster traffic, not improved service</t>
  </si>
  <si>
    <t>(in millions)</t>
  </si>
  <si>
    <t>Avg value of veh-hr saved in traffic outside CBD</t>
  </si>
  <si>
    <t>Saved Time (Drivers)</t>
  </si>
  <si>
    <t>Travelers'
Amenity</t>
  </si>
  <si>
    <t>Time ▪ Bus Riders</t>
  </si>
  <si>
    <t>Time ▪ Subway Riders</t>
  </si>
  <si>
    <t>A. Transit Riders' saved time due to faster traffic and/or service improvements</t>
  </si>
  <si>
    <t>B. Motor vehicle users' saved time that was previously lost in traffic</t>
  </si>
  <si>
    <t>C. Mobility Changes (more transit trips, fewer m.v. trips)</t>
  </si>
  <si>
    <t>D. Reduction in crash damage costs</t>
  </si>
  <si>
    <t>F. Reduction in climate damage from lesser CO2 emissions</t>
  </si>
  <si>
    <t>G. Reduction in ecological and national-security costs from lesser petroleum use</t>
  </si>
  <si>
    <t>H. Reduction in air pollution health/enviro damages</t>
  </si>
  <si>
    <t>I. Reduction in noise costs</t>
  </si>
  <si>
    <t>D. Reduced Crash Damage Costs</t>
  </si>
  <si>
    <t>E. Reduced Driver Insurance Costs</t>
  </si>
  <si>
    <t>F. Reduced Climate Damage from Lesser Carbon Emissions</t>
  </si>
  <si>
    <r>
      <t xml:space="preserve">G. Reduced Petroleum Consumption </t>
    </r>
    <r>
      <rPr>
        <sz val="10"/>
        <rFont val="Arial"/>
        <family val="2"/>
      </rPr>
      <t>(new section, added 3-June-2010)</t>
    </r>
  </si>
  <si>
    <t xml:space="preserve">H. Reduced Health/Environmental Damages from Air Pollution </t>
  </si>
  <si>
    <t>I. Reduced Noise Costs</t>
  </si>
  <si>
    <t>J. Longevity Benefits from Physical Activity of Increased Cycling and Walking</t>
  </si>
  <si>
    <t>Speed Changes, with some time periods consolidated, for presentation purposes</t>
  </si>
  <si>
    <t>11 pm - 6 am</t>
  </si>
  <si>
    <t>6 am - 10 am</t>
  </si>
  <si>
    <t>9 am - 2 pm</t>
  </si>
  <si>
    <t>(Deliberately left blank)</t>
  </si>
  <si>
    <t>As for the other elasticity values from TSRPC that are used here: Although no subsequent work is available to confirm or alter the TSRPC values for time-elasticity and cross-elasticity, there is a strong common-sense basis to the TSRPC values. For one thing, the time-elasticities are higher for auto use than transit; this fits with the greater affluence and, hence, value of time for the average driver vs. the average transit-user. For another, work trips are less elastic than non-work trips for both types of travel.</t>
  </si>
  <si>
    <t>'New Period'</t>
  </si>
  <si>
    <t>Use only one of these 2 cols, since they overlap at 9-10 am</t>
  </si>
  <si>
    <r>
      <rPr>
        <b/>
        <sz val="9"/>
        <rFont val="Arial"/>
        <family val="2"/>
      </rPr>
      <t xml:space="preserve">Speeds </t>
    </r>
    <r>
      <rPr>
        <sz val="9"/>
        <rFont val="Arial"/>
        <family val="2"/>
      </rPr>
      <t>(w/o non-cordon VMT correction in Part M)</t>
    </r>
  </si>
  <si>
    <t>(Calculated using reciprocals of speeds, for math-appropriate weighting using harmonic means.)</t>
  </si>
  <si>
    <t>Number of Households</t>
  </si>
  <si>
    <t>Manhattan data from Demographic Profile and Economic Profile from the New York City Department of City Planning's Community District Profiles. Based on primary data from the American Community Survey 2006 - 2008 3-year Estimates. Available at: http://bit.ly/eziVub and http://bit.ly/fQ7wd1</t>
  </si>
  <si>
    <t>Persons per Household</t>
  </si>
  <si>
    <t>Income (% of Households)</t>
  </si>
  <si>
    <t>Manhattan data from Demographic Profile and Economic Profile from the New York City Department of City Planning's Community District Profiles. Based on primary data from the American Community Survey 2006 - 2008 3-year Estimates. Available at: http://bit.</t>
  </si>
  <si>
    <t>$75,000/year and less</t>
  </si>
  <si>
    <t>$100,000/year and less</t>
  </si>
  <si>
    <t>$150,000/year and less</t>
  </si>
  <si>
    <t>Data entered from each county's Fact Sheet. 2005-09 American Community Survey 5-year Estimates. U.S. Census Bureau. Available at: http://bit.ly/9Da7rK.</t>
  </si>
  <si>
    <t>Data entered one county at a time from 2005-09 American Community Survey 5-year Estimates. U.S. Census Bureau. Available at: http://bit.ly/feOKgK.</t>
  </si>
  <si>
    <t>Number of Households with incomes under $100,000/year</t>
  </si>
  <si>
    <t>Annual transit voucher amounts, $millions</t>
  </si>
  <si>
    <t>Total, MTA counties</t>
  </si>
  <si>
    <t>Possible per-HH transit voucher for eligible HH's -- Komanoff assumption</t>
  </si>
  <si>
    <r>
      <t xml:space="preserve">County Contribs., w/ voucher income netted from tolls </t>
    </r>
    <r>
      <rPr>
        <b/>
        <sz val="8"/>
        <rFont val="Arial"/>
        <family val="2"/>
      </rPr>
      <t>($ millions)</t>
    </r>
  </si>
  <si>
    <t>County Contributions, w/o counting vouchers</t>
  </si>
  <si>
    <t>Manhatt N96</t>
  </si>
  <si>
    <t>Manhatt S96</t>
  </si>
  <si>
    <t>County Contributions (net of voucher income) per household</t>
  </si>
  <si>
    <t>**************************************************************************************************************************************************************************************************************************************************************************</t>
  </si>
  <si>
    <t>1. New Cordon Tolls -- amounts and how they interact with any current tolls</t>
  </si>
  <si>
    <t>Share of Incoming (cordon-crossing) trips that are assumed to be exempt from cordon toll</t>
  </si>
  <si>
    <t>Preliminary Traffic-Elimination Factor from Our Tolls (assumes 100% of cordon entries are tolled)</t>
  </si>
  <si>
    <t>Preliminary Traffic-Retention Factor from Our Tolls (assumes 100% of cordon entries are tolled)</t>
  </si>
  <si>
    <t xml:space="preserve">Traffic-Elimination Factor from Our Tolls </t>
  </si>
  <si>
    <t>Of which exempt vehicles are</t>
  </si>
  <si>
    <t>Which leaves the number of toll-paying vehicles as</t>
  </si>
  <si>
    <t>Share of cordon-crossing trips assumed to be exempt from cordon toll</t>
  </si>
  <si>
    <t>Komanoff assumption, intended to reflect disability, emergency personnel, and similar categories that might be required in legislation enabling tolls.</t>
  </si>
  <si>
    <t>Subway Fare Revenue, 2011, projected (un-normalized)</t>
  </si>
  <si>
    <t>Projected turnstile count in "MTA 2011 Final Proposed Budget: November Financial Plan 2011-2014," Nov. 2010, p. 470 of 584, available at &lt;http://bit.ly/eH4JCA&gt;.</t>
  </si>
  <si>
    <t>NYC Transit ridership, 2011, projected (millions)</t>
  </si>
  <si>
    <t>Source: "MTA 2011 Final Proposed Budget: November Financial Plan 2011-2014," Nov. 2010, p. 470 of 584, available at &lt;http://bit.ly/eH4JCA&gt;. Earlier site contained note: "Ridership is the number of passengers for whom the agency receives a fare, either through direct fare payment (e.g., cash, Pay-Per-Ride MetroCards, Unlimited Ride MetroCards, etc.) or fare reimbursements (senior citizens, school children, the physically disabled). Passengers that use free transfers (either train-to-bus, bus-to-train or bus-to-bus) are counted as additional passengers even though they are not paying additional fares."</t>
  </si>
  <si>
    <t>Source: "MTA 2011 Final Proposed Budget: November Financial Plan 2011-2014," Nov. 2010, p. 449 of 584, available at &lt;http://bit.ly/eH4JCA&gt;.</t>
  </si>
  <si>
    <r>
      <t xml:space="preserve">It is based on projected 2011 ridership figures. While ordinarily we prefer to employ actual data, we've had to update </t>
    </r>
    <r>
      <rPr>
        <i/>
        <sz val="10"/>
        <rFont val="Arial"/>
        <family val="2"/>
      </rPr>
      <t>fare</t>
    </r>
    <r>
      <rPr>
        <sz val="10"/>
        <rFont val="Arial"/>
        <family val="2"/>
      </rPr>
      <t xml:space="preserve"> data to 2011 values (which went into effect on Dec. 30, 2010) in order to have a coherent baseline. Since changes in fares obviously affected ridership, that figure must be updated as well.</t>
    </r>
  </si>
  <si>
    <t>Adjusted (full-fare equiv.) subway ridership, 2011, millions:</t>
  </si>
  <si>
    <t>Current (2011) Adjusted Subway Fares, Work Trips vs. Non-Work Trips</t>
  </si>
  <si>
    <t>This breakdown is needed because the BTA assumes different elasticities for work vs. non-work transit trips. Percentages are Komanoff estimates. Note that they pertain to all subway trips, not merely subway trips into CBD.</t>
  </si>
  <si>
    <t>may warrant update, a/o 2-Feb-2011</t>
  </si>
  <si>
    <t>Ann. (000)</t>
  </si>
  <si>
    <t>% of riders who pay on per-ride basis and, thus, may be amenable to time-switching to lower-fare period:</t>
  </si>
  <si>
    <r>
      <t xml:space="preserve">Wghted avg proposed weekday fare, </t>
    </r>
    <r>
      <rPr>
        <i/>
        <sz val="8"/>
        <rFont val="Arial"/>
        <family val="2"/>
      </rPr>
      <t>before time-switching.</t>
    </r>
  </si>
  <si>
    <r>
      <rPr>
        <u/>
        <sz val="9"/>
        <rFont val="Arial"/>
        <family val="2"/>
      </rPr>
      <t>Baseline</t>
    </r>
    <r>
      <rPr>
        <sz val="9"/>
        <rFont val="Arial"/>
        <family val="2"/>
      </rPr>
      <t xml:space="preserve"> Revenue, by period and total (CBD weekday trips only), non-normalized</t>
    </r>
  </si>
  <si>
    <r>
      <rPr>
        <u/>
        <sz val="9"/>
        <rFont val="Arial"/>
        <family val="2"/>
      </rPr>
      <t>Baseline</t>
    </r>
    <r>
      <rPr>
        <sz val="9"/>
        <rFont val="Arial"/>
        <family val="2"/>
      </rPr>
      <t xml:space="preserve"> Revenue (CBD weekday trips only), normalized to reflect actual full-equiv fares</t>
    </r>
  </si>
  <si>
    <r>
      <rPr>
        <u/>
        <sz val="9"/>
        <rFont val="Arial"/>
        <family val="2"/>
      </rPr>
      <t>Baseline</t>
    </r>
    <r>
      <rPr>
        <sz val="9"/>
        <rFont val="Arial"/>
        <family val="2"/>
      </rPr>
      <t xml:space="preserve"> Revenue, by period and total (all weekday subway trips, not just w/ CBD component)</t>
    </r>
  </si>
  <si>
    <r>
      <rPr>
        <u/>
        <sz val="9"/>
        <rFont val="Arial"/>
        <family val="2"/>
      </rPr>
      <t>Baseline</t>
    </r>
    <r>
      <rPr>
        <sz val="9"/>
        <rFont val="Arial"/>
        <family val="2"/>
      </rPr>
      <t xml:space="preserve"> Annual Weekday Revenue (all weekday subway trips)</t>
    </r>
  </si>
  <si>
    <r>
      <rPr>
        <u/>
        <sz val="9"/>
        <rFont val="Arial"/>
        <family val="2"/>
      </rPr>
      <t>New</t>
    </r>
    <r>
      <rPr>
        <sz val="9"/>
        <rFont val="Arial"/>
        <family val="2"/>
      </rPr>
      <t xml:space="preserve"> Revenue, by period and total (CBD weekday trips only), non-normalized</t>
    </r>
  </si>
  <si>
    <r>
      <rPr>
        <u/>
        <sz val="9"/>
        <rFont val="Arial"/>
        <family val="2"/>
      </rPr>
      <t>New</t>
    </r>
    <r>
      <rPr>
        <sz val="9"/>
        <rFont val="Arial"/>
        <family val="2"/>
      </rPr>
      <t xml:space="preserve"> Revenue (CBD weekday trips only), normalized to reflect actual full-equiv fares</t>
    </r>
  </si>
  <si>
    <r>
      <rPr>
        <u/>
        <sz val="9"/>
        <rFont val="Arial"/>
        <family val="2"/>
      </rPr>
      <t>New</t>
    </r>
    <r>
      <rPr>
        <sz val="9"/>
        <rFont val="Arial"/>
        <family val="2"/>
      </rPr>
      <t xml:space="preserve"> Revenue, by period and total (all wkday sub. trips, not just w/ CBD component)</t>
    </r>
  </si>
  <si>
    <r>
      <rPr>
        <u/>
        <sz val="9"/>
        <rFont val="Arial"/>
        <family val="2"/>
      </rPr>
      <t>New</t>
    </r>
    <r>
      <rPr>
        <sz val="9"/>
        <rFont val="Arial"/>
        <family val="2"/>
      </rPr>
      <t xml:space="preserve"> Annual Revenue (all weekday subway trips)</t>
    </r>
  </si>
  <si>
    <t>Adjusted (full-fare equivalent) bus ridership, 2011, projected, millions:</t>
  </si>
  <si>
    <t>Bus revenue, 2011, projected, millions</t>
  </si>
  <si>
    <t>This worksheet develops a number of parameters and relationships that apply to broad elements of the NYC Transit system as a whole.</t>
  </si>
  <si>
    <t>A. Transit Fare Media</t>
  </si>
  <si>
    <t>Source: MTA worksheet, "Monthly Fare Media Market Share." 2009 figures are by MTA. 2010 figures are our calculated arithmetic means of MTA's figures for Jan-Aug 2010.</t>
  </si>
  <si>
    <t>Many NYC Transit trips involve transfers -- from subway to bus, bus to subway, or bus to bus. Clarifying the MTA's bookkeeping for these trips can help in accurately estimating costs per subway or bus ride, which are crucial parameters in the BTA's algorithms for predicting changes in transit use in response to fare changes.</t>
  </si>
  <si>
    <t>Trips that transfer between subway and bus</t>
  </si>
  <si>
    <t>Trips that transfer between two buses</t>
  </si>
  <si>
    <t>Total number of transit journeys</t>
  </si>
  <si>
    <t>Pure subway trips (no transfers)</t>
  </si>
  <si>
    <t xml:space="preserve">These figures are from calculations by Komanoff made on the figures from the MTA paper, above. </t>
  </si>
  <si>
    <t>These %'s will be used in other worksheets to "normalize" subway &amp; bus ridership counts.</t>
  </si>
  <si>
    <t>% trips going thru a subway turnstile that are allocable to subways</t>
  </si>
  <si>
    <t xml:space="preserve">% trips going thru a bus "turnstile" that are allocable to buses </t>
  </si>
  <si>
    <t>Share of transfers allocated to subway system</t>
  </si>
  <si>
    <t>Share of subway-bus transfers allocated to bus system</t>
  </si>
  <si>
    <t>Subway trips, with transfers allocated (rounded)</t>
  </si>
  <si>
    <t>Bus trips, with transfers allocated (rounded)</t>
  </si>
  <si>
    <t>Ridership (millions)</t>
  </si>
  <si>
    <t>Revenue ($ millions)</t>
  </si>
  <si>
    <t xml:space="preserve"> '2007 Final Estimate,' MTA Feb. 2008 Financial Plan, p. 39 of 101, available at http://www.mta.info/mta/budget/feb2008/0208_4.pdf.</t>
  </si>
  <si>
    <t>Entering</t>
  </si>
  <si>
    <t>Leaving</t>
  </si>
  <si>
    <t>Enter+Leave</t>
  </si>
  <si>
    <t>Weekday Subway Trips Entering and Leaving the Manhattan Central Business District</t>
  </si>
  <si>
    <t>Source: NYMTC, Hub-Bound Travel Report 2008, Tables 24 &amp; 25, "Total Persons Entering (Leaving) The Hub By Hour and Mode in 2008," (pp 66 &amp; 67 of 118, available at &lt;http://www.nymtc.org/files/hub_bound/HUB_Bound_2008_Report.pdf&gt;. Although 2009 data became available in early 2011, the shape of the hourly data (which is what these figures are being used for here) does not appear to have changed noticeably.</t>
  </si>
  <si>
    <t>These are weekday data. They represent projected 2011 turnstile counts, by hour</t>
  </si>
  <si>
    <t>Assumed percentage of all subway trips that are work-related</t>
  </si>
  <si>
    <r>
      <t xml:space="preserve">(From multiples chosen for auto trips in </t>
    </r>
    <r>
      <rPr>
        <b/>
        <sz val="8"/>
        <rFont val="Arial"/>
        <family val="2"/>
      </rPr>
      <t>By Hour</t>
    </r>
    <r>
      <rPr>
        <sz val="8"/>
        <rFont val="Arial"/>
        <family val="2"/>
      </rPr>
      <t xml:space="preserve"> wksht.)</t>
    </r>
  </si>
  <si>
    <t>Percentage of trips in each hour that are work-related, unadjusted</t>
  </si>
  <si>
    <t>Percentage of trips in each hour that are work-related, adjusted.</t>
  </si>
  <si>
    <t>(applies only to periods with zero fare, if any)</t>
  </si>
  <si>
    <t>1-Ride Tkt</t>
  </si>
  <si>
    <t>Unlimited</t>
  </si>
  <si>
    <t>2009 (12 mo.)</t>
  </si>
  <si>
    <t>2010 (8 mo.)</t>
  </si>
  <si>
    <t>PPR Bonus</t>
  </si>
  <si>
    <t>PPR No Bon.</t>
  </si>
  <si>
    <t>Close to half of NYC Transit (subway and bus) rides are purchased with "unlimited" fare cards that effectively cause the rider to perceive the marginal cost of an additional trip as zero. This will attenuate (more or less proportionately) the price-responsiveness of subway and bus use.</t>
  </si>
  <si>
    <t>Figures in 2x2 array are calculated directly from MTA data shown on far side of Column O.</t>
  </si>
  <si>
    <t>% of NYC Transit fares
that are undiscounted</t>
  </si>
  <si>
    <t>MTA Discount (available for Pay-Per-Ride Bonus Metrocards)</t>
  </si>
  <si>
    <t>% of Incremental-Cost Based Rides
that Receive a Discount</t>
  </si>
  <si>
    <t>F. More Detailed Estimates of Transit Speeds</t>
  </si>
  <si>
    <t>"Comparing Unlimited Ride and Pay-Per-Ride (Regular) MetroCard." MTA - NYCity Transit. Dec. 30, 2010. Available at: http://www.mta.info/metrocard/compare.htm.</t>
  </si>
  <si>
    <t>Effective discount from average fare on incremental-cost paying rides</t>
  </si>
  <si>
    <t>Effective discount from average fare on all rides</t>
  </si>
  <si>
    <t>Base Fare (as of 30-Dec-2010)</t>
  </si>
  <si>
    <t>Projected</t>
  </si>
  <si>
    <t>Projected share of increm.-cost based rides, w/ pricing (rounded to nearest 5%)</t>
  </si>
  <si>
    <t>Proposed Nominal Fare</t>
  </si>
  <si>
    <t xml:space="preserve">Current Nominal Fare </t>
  </si>
  <si>
    <r>
      <rPr>
        <u/>
        <sz val="9"/>
        <rFont val="Arial"/>
        <family val="2"/>
      </rPr>
      <t>New</t>
    </r>
    <r>
      <rPr>
        <sz val="9"/>
        <rFont val="Arial"/>
        <family val="2"/>
      </rPr>
      <t xml:space="preserve"> Revenue, by period and total (CBD weekday trips only), non-normalized, from Riders who pay on per-ride basis</t>
    </r>
  </si>
  <si>
    <t>To test uniform fare hike, e.g., from $2.25 base fare to $2.50, set "Override Factor" to ratio of new fare to base fare, e.g., 1.11 (ratio of $2.50 to $2.25). Zero cancels override factor.</t>
  </si>
  <si>
    <t>To keep current fare, set Override to 1 and type YES in this row.</t>
  </si>
  <si>
    <t>"MTA 2011 Final Proposed Budget: November Financial Plan 2011-2014," Nov. 2010, p. 470 of 584, available at &lt;http://bit.ly/eH4JCA&gt;.</t>
  </si>
  <si>
    <t>Sundays + Holidays</t>
  </si>
  <si>
    <t xml:space="preserve">Sundays + Holidays Subway Fare </t>
  </si>
  <si>
    <t xml:space="preserve">Proposed Nominal Fare </t>
  </si>
  <si>
    <t>Baseline rides, 2011 (per day, projected, unadjusted)</t>
  </si>
  <si>
    <t>Baseline rides, 2011 (per day, projected, normalized)</t>
  </si>
  <si>
    <t>Baseline rides, 2011 (entire year, projected, normalized), thousands</t>
  </si>
  <si>
    <t>Baseline revenue, 2011 (entire year, projected)</t>
  </si>
  <si>
    <t>New rides, 2011 (per day, projected, unadjusted)</t>
  </si>
  <si>
    <t>New rides, 2011 (per day, projected, normalized)</t>
  </si>
  <si>
    <t>New rides, 2011 (entire year, projected, normalized), thousands</t>
  </si>
  <si>
    <t>New rides, 2011, normalized, from Riders who pay on per-ride basis, thousands</t>
  </si>
  <si>
    <t>B. Saturdays, Sundays &amp; Holidays</t>
  </si>
  <si>
    <t>Weekend/holiday subway use can't be modeled like weekdays, since we don't have hourly usage data. This necessitates a simpler approach, with a single fare for each day. (Arguably this is reasonable in any event, given the dynamics of weekend and holiday subway use.)</t>
  </si>
  <si>
    <t>Data in this row are for background purposes only.</t>
  </si>
  <si>
    <t>Total Change in work-related trips (due to any subway price and duration changes)</t>
  </si>
  <si>
    <t>Total Change in non-work-related trips (due to any subway price and duration changes)</t>
  </si>
  <si>
    <t>Change in non-work trips into CBD due to price and duration changes (excludes hour-switching)</t>
  </si>
  <si>
    <t>Change in work trips to CBD via subway due to fare + duration changes (excludes hr-switching)</t>
  </si>
  <si>
    <t>Number of work trips to CBD that mode-shifted from (to) autos</t>
  </si>
  <si>
    <t>Number of non-work trips to CBD that mode-shifted from (to) autos</t>
  </si>
  <si>
    <t>Number of work trips to CBD that mode-shifted from (to) taxicabs</t>
  </si>
  <si>
    <t>Number of non-work trips to CBD that mode-shifted from (to) taxicabs</t>
  </si>
  <si>
    <r>
      <t xml:space="preserve">Weighted average of applicable transit price-elasticities, from </t>
    </r>
    <r>
      <rPr>
        <b/>
        <sz val="8"/>
        <rFont val="Arial"/>
        <family val="2"/>
      </rPr>
      <t>Elasticities</t>
    </r>
    <r>
      <rPr>
        <sz val="8"/>
        <rFont val="Arial"/>
        <family val="2"/>
      </rPr>
      <t xml:space="preserve"> worksheet.</t>
    </r>
  </si>
  <si>
    <t>Weighted average price-elasticity for weekend/holiday subway trips</t>
  </si>
  <si>
    <t>Weighted average time-elasticity for weekend/holiday subway trips</t>
  </si>
  <si>
    <t>% Change in ridership due to subway service improvements</t>
  </si>
  <si>
    <r>
      <t xml:space="preserve">Sat / Sun / Holidays  </t>
    </r>
    <r>
      <rPr>
        <b/>
        <sz val="8"/>
        <rFont val="Arial"/>
        <family val="2"/>
      </rPr>
      <t>(sum of two columns at right)</t>
    </r>
  </si>
  <si>
    <t>C. All days, combined</t>
  </si>
  <si>
    <t>Baseline annual revenue</t>
  </si>
  <si>
    <t>New Revenue from Riders who pay on per-ride basis</t>
  </si>
  <si>
    <t>of which Saturdays are</t>
  </si>
  <si>
    <t>and Sundays and Holidays are</t>
  </si>
  <si>
    <t>New annual revenue</t>
  </si>
  <si>
    <t>Baseline annual rides, weekdays (thousands)</t>
  </si>
  <si>
    <t>Baseline annual rides, weekends (thousands)</t>
  </si>
  <si>
    <t>Projected annual rides, weekdays (thousands)</t>
  </si>
  <si>
    <t>Projected annual rides, weekends (thousands)</t>
  </si>
  <si>
    <t>Baseline annual rides, all days (thousands)</t>
  </si>
  <si>
    <t>Projected annual rides, all days (thousands)</t>
  </si>
  <si>
    <t>Increase from baseline:</t>
  </si>
  <si>
    <t>Not normalized, i.e., reflects all rides</t>
  </si>
  <si>
    <t>Normalized (allocated over fare-pay rides)</t>
  </si>
  <si>
    <t>Effective Average Fares</t>
  </si>
  <si>
    <t>Projected, All Days</t>
  </si>
  <si>
    <t>Projected, Weekdays</t>
  </si>
  <si>
    <t>Projected, Saturdays</t>
  </si>
  <si>
    <t>Projected, Sundays</t>
  </si>
  <si>
    <t>Change in non-CBD trips per year due to re-priced transit</t>
  </si>
  <si>
    <t>Change in trips per year due to re-priced transit</t>
  </si>
  <si>
    <t>Both figures calculate change in annual subway rides for weekdays/weekends, and prorate by the portion of the change attributable to fare changes as opposed to duration changes. Both figures are also prorated by CBD-related trips' share of all subway trips.</t>
  </si>
  <si>
    <t>Change in Weekend Subway Fare due to Pricing, expressed as a factor</t>
  </si>
  <si>
    <r>
      <t xml:space="preserve">We approximate the figures in this section from </t>
    </r>
    <r>
      <rPr>
        <b/>
        <sz val="8"/>
        <rFont val="Arial"/>
        <family val="2"/>
      </rPr>
      <t>Motor Vs</t>
    </r>
    <r>
      <rPr>
        <sz val="8"/>
        <rFont val="Arial"/>
        <family val="2"/>
      </rPr>
      <t xml:space="preserve"> worksheet rather than recreate the elaborate procedure used to calculate each hour's conversion of auto trips to subway trips. The trip-conversion volumes in </t>
    </r>
    <r>
      <rPr>
        <b/>
        <sz val="8"/>
        <rFont val="Arial"/>
        <family val="2"/>
      </rPr>
      <t>Motor Vs</t>
    </r>
    <r>
      <rPr>
        <sz val="8"/>
        <rFont val="Arial"/>
        <family val="2"/>
      </rPr>
      <t xml:space="preserve"> are multiplied by adjustment factor directly below, which is derived in Section 10 of </t>
    </r>
    <r>
      <rPr>
        <b/>
        <sz val="8"/>
        <rFont val="Arial"/>
        <family val="2"/>
      </rPr>
      <t>Subways</t>
    </r>
    <r>
      <rPr>
        <sz val="8"/>
        <rFont val="Arial"/>
        <family val="2"/>
      </rPr>
      <t xml:space="preserve"> to take account of relative subway volumes, different price-elasticities, and different vehicle occupancy rates between weekdays and weekends.</t>
    </r>
  </si>
  <si>
    <t>Weekday datum is from http://www.mta.info/nyct/facts/ridership/index.htm, table, "2009 subway ridership at a glance," accessed Dec. 26, 2010. Weekend daily figure is quotient of annual and days/yr.</t>
  </si>
  <si>
    <t>Weekday Cordon Tolls</t>
  </si>
  <si>
    <t>Weekend Cordon Tolls</t>
  </si>
  <si>
    <t xml:space="preserve">Saturday Subway Fare </t>
  </si>
  <si>
    <t xml:space="preserve"> Buses</t>
  </si>
  <si>
    <t>7 Days</t>
  </si>
  <si>
    <t>2011 Projected Ridership, millions</t>
  </si>
  <si>
    <t>2011 Projected Paying Ridership, millions</t>
  </si>
  <si>
    <t>2011 Baseline Fare</t>
  </si>
  <si>
    <t>Price-elasticity</t>
  </si>
  <si>
    <t>Time-elasticity</t>
  </si>
  <si>
    <r>
      <t xml:space="preserve">First two columns draw on parameters specified in </t>
    </r>
    <r>
      <rPr>
        <b/>
        <sz val="8"/>
        <rFont val="Arial"/>
        <family val="2"/>
      </rPr>
      <t>Elasticities</t>
    </r>
    <r>
      <rPr>
        <sz val="8"/>
        <rFont val="Arial"/>
        <family val="2"/>
      </rPr>
      <t xml:space="preserve"> tab. Third column is weighted averages.</t>
    </r>
  </si>
  <si>
    <t>Proposed Fare to be experienced by Bus Riders who pay on per-ride basis</t>
  </si>
  <si>
    <t>Projected reduxn in bus travel time from (i) lesser traffic, (ii) free fare if app.), (iii) more service</t>
  </si>
  <si>
    <r>
      <t xml:space="preserve">Estimated ridership change due to reduced bus travel times </t>
    </r>
    <r>
      <rPr>
        <sz val="8"/>
        <rFont val="Arial"/>
        <family val="2"/>
      </rPr>
      <t>(pertains to all riders)</t>
    </r>
  </si>
  <si>
    <t>Change in ridership, %</t>
  </si>
  <si>
    <t>7. Allocation of Tolled-Off CBD-bound Auto Trips between Subway and Bus</t>
  </si>
  <si>
    <t>New bus trips due to changes in taxi fares, per day</t>
  </si>
  <si>
    <t>New transit trips due to cordon toll that will be accommodated on buses, per day</t>
  </si>
  <si>
    <t xml:space="preserve">New bus trips due to combined cordon toll and changes in taxi fares, per day </t>
  </si>
  <si>
    <t>Baseline ($ millions)</t>
  </si>
  <si>
    <t>Of which these percents are attributable to the changed bus fares</t>
  </si>
  <si>
    <r>
      <t xml:space="preserve">Current (2011) normalized bus fare, all trips </t>
    </r>
    <r>
      <rPr>
        <sz val="9"/>
        <rFont val="Arial"/>
        <family val="2"/>
      </rPr>
      <t>(no distinction betw work and non-work trips)</t>
    </r>
  </si>
  <si>
    <t>Of which these amounts are attributable to the changed bus fares, millions</t>
  </si>
  <si>
    <t>Projected revenue from non-per-ride-paying fares</t>
  </si>
  <si>
    <t xml:space="preserve">Projected total revenue </t>
  </si>
  <si>
    <t>And of which these amounts are attributable to other factors</t>
  </si>
  <si>
    <t>Total revenue acct'd for by new rides attracted by all changes, millions</t>
  </si>
  <si>
    <t>Total projected ridership, millions</t>
  </si>
  <si>
    <t>Difference betw old and new bus fares, factored by % of change in bus usage attributable to price rather than to changes in service or taxi surcharge.</t>
  </si>
  <si>
    <t>This worksheet estimates changes in bus ridership that would be expected to result from changes in fares and service quality. Further below, it develops metrics for estimating system-wide average time savings and ridership increases per different expenditure levels to increase bus service.</t>
  </si>
  <si>
    <t>B. Estimate Ridership Changes due to Bus Fare and Service Changes</t>
  </si>
  <si>
    <t>1. Changes in Bus Ridership (Citywide) from Changes in Fares, Tolls and Service</t>
  </si>
  <si>
    <t>C. Add Further Increase due to Auto and Taxi Trips Tolled off the Road</t>
  </si>
  <si>
    <t>Find source!</t>
  </si>
  <si>
    <r>
      <t xml:space="preserve">2. Allocation of Baseline Bus Trips into Weekday vs. Weekend </t>
    </r>
    <r>
      <rPr>
        <sz val="9"/>
        <rFont val="Arial"/>
        <family val="2"/>
      </rPr>
      <t>(needed for Part 1, above; uses 2008 data)</t>
    </r>
  </si>
  <si>
    <t>Calculated</t>
  </si>
  <si>
    <t>From 'Subways' tab</t>
  </si>
  <si>
    <t>3. Baseline Data: Persons Arriving in Manhattan CBD by Bus, Weekdays, 2007</t>
  </si>
  <si>
    <t xml:space="preserve">4. Improving Frequency of Bus Service: Cost-Benefit Calculations </t>
  </si>
  <si>
    <t>(We'll use these.)</t>
  </si>
  <si>
    <t>Estimates at left are from a 2000 paper, “Effects of Fare Incentives on New York City Transit Ridership,” written by analysts at the MTA, L. Hirsch, J, Jordan, R, Hickey, and R. Cravo, published in Transportation Research Record, Vol. 1735, p. 147-157. We use them in subsequent rows to estimate the percent of trips that qualify as fully allocable subway and bus trips. Note that source gave number of bus trips as "more than two million."</t>
  </si>
  <si>
    <t>Bus journeys that involved transfers between two buses</t>
  </si>
  <si>
    <t>Bus journeys that involved transfer with a subway</t>
  </si>
  <si>
    <t>Bus trips that involve no transfer of any type</t>
  </si>
  <si>
    <t>Pure bus journeys</t>
  </si>
  <si>
    <t>Bus trips with no subway component</t>
  </si>
  <si>
    <t>% bus trips w/ no subway component</t>
  </si>
  <si>
    <t>NYCT Bus Fare, Sundays</t>
  </si>
  <si>
    <t>From the paper by Hirsch et al.:
On an average weekday, passengers make over 4,000,000 subway trips and more than 2,000,000 trips on NYC Transit buses. These passenger trip numbers include trips made by full-fare riders and half-fare senior citizen/handicapped riders, as well as about 500,000 student trips (200,000 on the subway and 300,000 on buses).
Subway ridership is measured by the number of entries into the subway system, including transfers from buses. Bus ridership is measured by the number of bus boardings (i.e., unlinked trips), including transfers from the subway or from other buses. Approximately 500,000 weekday passenger trips make use of both a bus and a subway, with a similar number of trips requiring a transfer between buses. Thus, the number of NYC Transit linked trips (or passenger journeys) is about 5,000,000 each weekday.</t>
  </si>
  <si>
    <t>Komanoff estimates. Had hoped to set to 5% and 10%, resp'ly, to reflect expected shift to per-ride media to take advantage of per-ride discounts, tempered by ongoing "secular" shift to unlimited fare media; but figure was assumed greater because of assumed more tenuous financial situation of bus riders. Have set to zero to avoid apples/oranges comparisons of baseline to projected.</t>
  </si>
  <si>
    <r>
      <t xml:space="preserve">Medallion Taxi, occupied </t>
    </r>
    <r>
      <rPr>
        <sz val="8"/>
        <rFont val="Arial"/>
        <family val="2"/>
      </rPr>
      <t xml:space="preserve">(first entry refers to first </t>
    </r>
    <r>
      <rPr>
        <u/>
        <sz val="8"/>
        <rFont val="Arial"/>
        <family val="2"/>
      </rPr>
      <t>passenger</t>
    </r>
    <r>
      <rPr>
        <sz val="8"/>
        <rFont val="Arial"/>
        <family val="2"/>
      </rPr>
      <t>)</t>
    </r>
  </si>
  <si>
    <t>Bus pass. v. airline pass.</t>
  </si>
  <si>
    <t>2nd taxi pass. v. 1st.</t>
  </si>
  <si>
    <t>Van-Truck-Rig</t>
  </si>
  <si>
    <t>Figures in this column were used until Feb-2011</t>
  </si>
  <si>
    <r>
      <t xml:space="preserve">Average parking-cruising speed, mph </t>
    </r>
    <r>
      <rPr>
        <sz val="8"/>
        <rFont val="Arial"/>
        <family val="2"/>
      </rPr>
      <t>(Komanoff)</t>
    </r>
  </si>
  <si>
    <r>
      <t xml:space="preserve">Passenger Value, vis-à-vis </t>
    </r>
    <r>
      <rPr>
        <b/>
        <u val="singleAccounting"/>
        <sz val="8"/>
        <rFont val="Arial"/>
        <family val="2"/>
      </rPr>
      <t>driver</t>
    </r>
    <r>
      <rPr>
        <b/>
        <sz val="8"/>
        <rFont val="Arial"/>
        <family val="2"/>
      </rPr>
      <t xml:space="preserve"> of the vehicle</t>
    </r>
  </si>
  <si>
    <r>
      <t xml:space="preserve">Weekdays, approaches to CBD </t>
    </r>
    <r>
      <rPr>
        <sz val="8"/>
        <rFont val="Arial"/>
        <family val="2"/>
      </rPr>
      <t>(same method as for Weekdays, above, though with different weighting of vehicles)</t>
    </r>
  </si>
  <si>
    <t>This figure reflects two assumptions: (i) that 12% of CBD-bound auto trips will qualify for means-tested discount from cordon toll, and (ii) that the discount will be set at 50%. First assumption reflects detailed geographic analysis by urban planner Josef Szende under spervision of C. Komanoff, predicated on discount being extended only to households with income no greater than $45,000 a year and located more than 1/4 mile from rail or express bus stop to CBD. Second assumption is by Komanoff.</t>
  </si>
  <si>
    <t>NYC Subway subway ridership, 2011 (millions, projected)</t>
  </si>
  <si>
    <t>Adjusted (full-fare equiv.) subway ridership, 2011 (millions, projected)</t>
  </si>
  <si>
    <t>Subway Farebox Revenue, 2011 (millions, projected)</t>
  </si>
  <si>
    <t>% of riders who pay on per-ride basis and, thus, may respond to fare discounts offered on per-ride basis</t>
  </si>
  <si>
    <t>Effective discount from average subway fare on incremental-cost paying rides</t>
  </si>
  <si>
    <t>MTA 2011 Final Proposed Budget: Nov. Financial Plan 2011-2014, Nov. 2010, p. 470 of 584, available at &lt;http://bit.ly/eH4JCA&gt;.</t>
  </si>
  <si>
    <t>NYC Transit bus ridership, 2011 (millions, projected)</t>
  </si>
  <si>
    <t>Adjusted (full-fare equiv.) bus ridership, 2011 (millions, projected)</t>
  </si>
  <si>
    <t>Reduction in bus travel time due to lesser traffic, greater service provision, and/or free fare (if applicable)</t>
  </si>
  <si>
    <t>This worksheet collects many of the assumptions that drive the BTA.</t>
  </si>
  <si>
    <r>
      <t xml:space="preserve">The assumptions here are linked </t>
    </r>
    <r>
      <rPr>
        <i/>
        <sz val="9"/>
        <rFont val="Arial"/>
        <family val="2"/>
      </rPr>
      <t>from</t>
    </r>
    <r>
      <rPr>
        <sz val="9"/>
        <rFont val="Arial"/>
        <family val="2"/>
      </rPr>
      <t xml:space="preserve"> but not </t>
    </r>
    <r>
      <rPr>
        <i/>
        <sz val="9"/>
        <rFont val="Arial"/>
        <family val="2"/>
      </rPr>
      <t>to</t>
    </r>
    <r>
      <rPr>
        <sz val="9"/>
        <rFont val="Arial"/>
        <family val="2"/>
      </rPr>
      <t xml:space="preserve"> the assumptions in the various worksheet tabs.</t>
    </r>
    <r>
      <rPr>
        <sz val="9"/>
        <color theme="3" tint="-0.249977111117893"/>
        <rFont val="Arial"/>
        <family val="2"/>
      </rPr>
      <t xml:space="preserve"> </t>
    </r>
    <r>
      <rPr>
        <b/>
        <sz val="9"/>
        <color theme="3" tint="-0.249977111117893"/>
        <rFont val="Arial"/>
        <family val="2"/>
      </rPr>
      <t>Changing figures in this worksheet will not change the values of any calculations in or results from the BTA.</t>
    </r>
  </si>
  <si>
    <t>http://nyp.st/fgRXIE</t>
  </si>
  <si>
    <t>2010 sees decrease in subway &amp; bus riders, increase in funds for MTA</t>
  </si>
  <si>
    <t>By TOM NAMAKO, Transit Reporter</t>
  </si>
  <si>
    <t xml:space="preserve">Subway and bus ridership dipped in 2010, a year that was a long ride for straphangers who endured the worst service cuts in decades. </t>
  </si>
  <si>
    <t xml:space="preserve">The yearly number of riders on the rails, buses, and paratransit was 2.31 billion — which clocks in at .1 percent below expectations, preliminary MTA numbers show. </t>
  </si>
  <si>
    <t xml:space="preserve">But that didn’t hurt the MTA’s bottom line, as the agency raked in $3.30 billion dollars at the farebox, which is $2.3 million above the estimates of bean-counters . </t>
  </si>
  <si>
    <t xml:space="preserve">The increase in funds with a decrease in riders was made possible by the series of fare hikes the MTA has implemented — this January marked the third in three years. </t>
  </si>
  <si>
    <t xml:space="preserve">Riders kept flocking to the subways though. </t>
  </si>
  <si>
    <t xml:space="preserve">Total ridership underground was the second-highest since 1950 at 1.60 billion — that’s 1.5 percent, or 24 million trips, above 2009. </t>
  </si>
  <si>
    <t xml:space="preserve">The bus system wasn’t so lucky. </t>
  </si>
  <si>
    <t xml:space="preserve">Total bus riders decreased by 2.8 percent from 2009, a decrease of about 20 million trips. </t>
  </si>
  <si>
    <t xml:space="preserve">There were about 700 million total bus rides taken in 2010, the stats show. </t>
  </si>
  <si>
    <t>[further text on December 2010 service problems omitted]</t>
  </si>
  <si>
    <r>
      <t>Last Updated:</t>
    </r>
    <r>
      <rPr>
        <sz val="9"/>
        <rFont val="Arial"/>
        <family val="2"/>
      </rPr>
      <t xml:space="preserve"> 6:21 PM, February 15, 2011</t>
    </r>
  </si>
  <si>
    <r>
      <t>Posted:</t>
    </r>
    <r>
      <rPr>
        <sz val="9"/>
        <rFont val="Arial"/>
        <family val="2"/>
      </rPr>
      <t xml:space="preserve"> 6:20 PM, February 15, 2011</t>
    </r>
  </si>
  <si>
    <t>All figures in box are annual, in millions of dollars, and employ 2011 ridership and revenue.
(MTA near-term transit projections have been quite accurate in recent years.)</t>
  </si>
  <si>
    <t>Rev. w/ Current (2011) Pricing</t>
  </si>
  <si>
    <t>Revenue with New Pricing Plan</t>
  </si>
  <si>
    <t>Predicted % change in usage
resulting from new pricing plan</t>
  </si>
  <si>
    <t>Revenue attributable to
usage change ($ millions)</t>
  </si>
  <si>
    <r>
      <t xml:space="preserve">This worksheet collects estimates of revenue impacts of tolls and transit from traffic pricing (including taxi surcharges) and transit fare hikes, reductions or redesigns. It also estimates </t>
    </r>
    <r>
      <rPr>
        <sz val="9"/>
        <rFont val="Arial"/>
        <family val="2"/>
      </rPr>
      <t xml:space="preserve">revenues from tolls </t>
    </r>
    <r>
      <rPr>
        <u/>
        <sz val="9"/>
        <rFont val="Arial"/>
        <family val="2"/>
      </rPr>
      <t>currently</t>
    </r>
    <r>
      <rPr>
        <sz val="9"/>
        <rFont val="Arial"/>
        <family val="2"/>
      </rPr>
      <t xml:space="preserve"> charged on bridges and tunnels into the Manhattan CBD.</t>
    </r>
  </si>
  <si>
    <t>2007 Inbound Only</t>
  </si>
  <si>
    <t>Source: NYCDOT, Manhattan River Crossings, 2007. Need to make sure Triborough crossings belong in total.</t>
  </si>
  <si>
    <r>
      <t xml:space="preserve">B. 2007 Harlem River bridge crossings (inbound only) </t>
    </r>
    <r>
      <rPr>
        <sz val="9"/>
        <rFont val="Arial"/>
        <family val="2"/>
      </rPr>
      <t>(to estimate impacts of tolling Harlem River bridges, as some public figures urge from time to time)</t>
    </r>
  </si>
  <si>
    <t xml:space="preserve">Assumed ratio of Harlem River toll level to East River toll level, for scenarios with Harlem Riv tolls </t>
  </si>
  <si>
    <t>East and Harlem River bridges effective share of inbound crossings</t>
  </si>
  <si>
    <t xml:space="preserve">C. Average Toll Paid for Auto Crossings into CBD, 2007-08 </t>
  </si>
  <si>
    <t>Will through-trips be charged to re-enter the cordon?</t>
  </si>
  <si>
    <t>"Tolls" include
taxi surcharge revenues.</t>
  </si>
  <si>
    <t>Q-Mid Tunn</t>
  </si>
  <si>
    <t>Bklyn-Batt Tunn</t>
  </si>
  <si>
    <t>All TBTA</t>
  </si>
  <si>
    <t>Non-Revenue Vehicles, % Total Vehicles</t>
  </si>
  <si>
    <t>Subtotal</t>
  </si>
  <si>
    <t>Reflects exemptions for police, fire, etc., plus disabled. Set at 2x the percent for QMT, BBT and Triborough Bridge.</t>
  </si>
  <si>
    <t>Toll-Paying Vehicles (millions)</t>
  </si>
  <si>
    <t>Non-Revenue Vehicles (millions)</t>
  </si>
  <si>
    <t>Total Vehicles (millions)</t>
  </si>
  <si>
    <t>This figure is shown for illustration purposes only.</t>
  </si>
  <si>
    <r>
      <t xml:space="preserve">Total </t>
    </r>
    <r>
      <rPr>
        <sz val="9"/>
        <rFont val="Arial"/>
        <family val="2"/>
      </rPr>
      <t>(wghtd avg of 1 and 2)</t>
    </r>
  </si>
  <si>
    <t>% of Veh's that Enter CBD</t>
  </si>
  <si>
    <t>(Positive figure denotes surplus, or contingency; red figure indicates deficit.)</t>
  </si>
  <si>
    <t>Work-trip and non-work trip different fares were intended to reflect seniors, transfers, etc., but as of 4 Feb 2011 all baseline fares are assumed uniform.)</t>
  </si>
  <si>
    <t>All Rides</t>
  </si>
  <si>
    <r>
      <t xml:space="preserve">Projected average fare </t>
    </r>
    <r>
      <rPr>
        <sz val="9"/>
        <rFont val="Arial"/>
        <family val="2"/>
      </rPr>
      <t>(uses actual riders, i.e., not normalized)</t>
    </r>
  </si>
  <si>
    <t>Projected average fare, normalized</t>
  </si>
  <si>
    <t>NYC Transit Fares</t>
  </si>
  <si>
    <t>Current (2011) actual average fare</t>
  </si>
  <si>
    <r>
      <t xml:space="preserve">Weekday Hours </t>
    </r>
    <r>
      <rPr>
        <sz val="9"/>
        <rFont val="Arial"/>
        <family val="2"/>
      </rPr>
      <t xml:space="preserve">worksheet shows hours of day that make up each toll interval. </t>
    </r>
  </si>
  <si>
    <r>
      <t xml:space="preserve">Weekend Hours </t>
    </r>
    <r>
      <rPr>
        <sz val="9"/>
        <rFont val="Arial"/>
        <family val="2"/>
      </rPr>
      <t xml:space="preserve">worksheet shows hours of day that make up each toll interval. </t>
    </r>
  </si>
  <si>
    <t>2011 toll rate for BBT, QMT, Trib (cash)</t>
  </si>
  <si>
    <t>MTA Bridges &amp; Tunnels, Current Crossing Rates, http://www.mta.info/bandt/traffic/btmain.html, accessed 26-Feb-2011.</t>
  </si>
  <si>
    <t>2011 toll rate for BBT, QMT, Trib (E-ZPass)</t>
  </si>
  <si>
    <t>Effective round-trip toll per East River trip</t>
  </si>
  <si>
    <t>2011 average toll paid for BBT, QMT, Trib, one-way</t>
  </si>
  <si>
    <t>Based on 2005 taxi ridership + 2006 fare structure.</t>
  </si>
  <si>
    <t xml:space="preserve">Cordon Charge to Drive
Into Manhattan CBD
</t>
  </si>
  <si>
    <t>Revenue with Current Pricing</t>
  </si>
  <si>
    <t>Source: MTA, "Supplement to Final MTA 2009 Combined Continuing Disclosure Filing, Dated June 22, 2009," available via &lt;http://bit.ly/h8443R&gt;, Table, "Traffic by Facility and Vehicle Class, 2008," p. 508 of 558. Note to table identifies non-revenue vehicles: "Includes police, fire and other emergency vehicles and TBTA vehicles." Note that 2009 data appear similar, based on TBTA statement that "In 2009 [our] facilities carried 294.6 million total vehicles, of which 291.2 million were toll paying … (Non-revenue transactions include police, emergency and TBTA vehicles.)" The implied percent of non-revenue vehicles is 1.154%, i.e., 1.2%. Source: "Appendix E, History and Projection of Traffic, Toll Revenues and Expenses adn Review of Physical Conditions of the Facilities of Triborough Bridge and Tunnel Authority," April 30, 2010, URS Corp., p. 4 of 69. Document is available at: &lt;http://bit.ly/eNWmOl&gt;.</t>
  </si>
  <si>
    <t>2009 Toll Revenue, 000</t>
  </si>
  <si>
    <t>Paying Trips</t>
  </si>
  <si>
    <t>All figures are from Table 11 of April 30, 2010 URS report cited directly to left. Totals and average tolls are from that table and have not been independently verified here.</t>
  </si>
  <si>
    <t>Projected Base Revenue, Queens Midtown + Bklyn-Battery Tunnels, 2011</t>
  </si>
  <si>
    <t>08 Rev, 000</t>
  </si>
  <si>
    <t>Figs for individual facilities are from Table 20 ("Traffic and toll Revenue Forecast, [Assuming] Periodic Toll Increases") of URS report cited to left. Totals were calculated here -- URS Table 20 had none -- though rev. total agrees w/ fig. in URS Table 22. Allocable figures multiply Revenue F/C's by percents in Column G.</t>
  </si>
  <si>
    <t>Baseline driving cost</t>
  </si>
  <si>
    <t>Based on 2010-2011 traffic levels + 2011 baseline tolls, gas and parking costs, etc.</t>
  </si>
  <si>
    <t>Not to CBD</t>
  </si>
  <si>
    <t>Toll-Pay Trips
(000), 2009</t>
  </si>
  <si>
    <t>THESE COLUMNS ARE USED IN CALCULATIONS</t>
  </si>
  <si>
    <t>D. Port Authority Tolls</t>
  </si>
  <si>
    <t>USED IN CALCULATIONS</t>
  </si>
  <si>
    <t>N O T   U S E D   I N   C A L C U L A T I O N S (except allocation %'s)</t>
  </si>
  <si>
    <t>E. Current (2010-2011) Revenues from Existing Tolls on Crossings into the Manhattan CBD</t>
  </si>
  <si>
    <t>of Hub-Bound total</t>
  </si>
  <si>
    <t>Entries to Hub on the two East River tunnels:</t>
  </si>
  <si>
    <t>Share of entries to Hub that are on the two East River tunnels:</t>
  </si>
  <si>
    <t>A. Hub-Bound Data, 2007</t>
  </si>
  <si>
    <t>Two tunnels' share of hub-bound total crossings</t>
  </si>
  <si>
    <t>Weekday Subway Fare</t>
  </si>
  <si>
    <t>NYCT Bus Fare, Saturdays</t>
  </si>
  <si>
    <t>New Toll net of applicable discounts for PANYNJ and/or MTA Tunnels</t>
  </si>
  <si>
    <t>Do not type in cell to right</t>
  </si>
  <si>
    <t>Nominal Toll</t>
  </si>
  <si>
    <t>Reflects cordon vs. just bridges</t>
  </si>
  <si>
    <t>Impact of means-test</t>
  </si>
  <si>
    <r>
      <t xml:space="preserve">Other Plans </t>
    </r>
    <r>
      <rPr>
        <b/>
        <sz val="9"/>
        <rFont val="Arial"/>
        <family val="2"/>
      </rPr>
      <t>(shown largely for historical reference)</t>
    </r>
  </si>
  <si>
    <t>Annual Toll Revenues Invested in Transit Capital</t>
  </si>
  <si>
    <t>million/year</t>
  </si>
  <si>
    <t>Annual Toll Revs. Spent on Transit Operations</t>
  </si>
  <si>
    <t>`</t>
  </si>
  <si>
    <t>1. Baseline (replicates 2011 tolls and fares)</t>
  </si>
  <si>
    <t>We manually entered negative values of the last row (weighted averages) into the "Baseline" column of User Inputs, to test the extent to which free parking (i.e., eliminating current parking costs) would stimulate additional trips into the CBD. Unfortunately, the "time-switching" subroutine in Motor Vs cannot handle non-uniform negative tolls. As an alternative, we entered the values as shown, i.e., as positive values. The model predicted a roughly 20% drop in motor vehicle entries. The reciprocal of that result, a 25% increase (i.e., 1.25) should serve as a rough estimate of the trip-stimulating impact of free parking.</t>
  </si>
  <si>
    <t>What This 'Parameter' Is or Does</t>
  </si>
  <si>
    <r>
      <t xml:space="preserve">BTA is designed to model </t>
    </r>
    <r>
      <rPr>
        <u/>
        <sz val="9"/>
        <rFont val="Arial"/>
        <family val="2"/>
      </rPr>
      <t>cordon</t>
    </r>
    <r>
      <rPr>
        <sz val="9"/>
        <rFont val="Arial"/>
        <family val="2"/>
      </rPr>
      <t xml:space="preserve"> tolls "(CORDON") but can also approximate effects of only tolling East and Harlem River bridges ("BRIDGES"), as Ravitch Commission proposed in 2008-09, or East River bridges only ("EAST").</t>
    </r>
  </si>
  <si>
    <t>Fares shown are for one ride using a pay-per-ride card allowing two or more rides.</t>
  </si>
  <si>
    <t>Kheel-Komanoff Plan, 2009</t>
  </si>
  <si>
    <t>Average CBD speed gain, 6am-6pm:</t>
  </si>
  <si>
    <t>million / yr</t>
  </si>
  <si>
    <t>Annual net revenue (after admin costs, taxi benefits, and compensating PANYNJ + MTA for lost tunnel tolls):</t>
  </si>
  <si>
    <t>Traffic Congestion Mitigation Commission</t>
  </si>
  <si>
    <t>East River bridge tolls</t>
  </si>
  <si>
    <t>Kheel II Plan, 2008</t>
  </si>
  <si>
    <t>Selected Plan:</t>
  </si>
  <si>
    <t>Some details about parameter values</t>
  </si>
  <si>
    <r>
      <t xml:space="preserve">                        </t>
    </r>
    <r>
      <rPr>
        <b/>
        <sz val="9"/>
        <color indexed="10"/>
        <rFont val="Arial"/>
        <family val="2"/>
      </rPr>
      <t xml:space="preserve">A "Macro" Is . . .
</t>
    </r>
    <r>
      <rPr>
        <sz val="8"/>
        <rFont val="Arial"/>
        <family val="2"/>
      </rPr>
      <t>... a set of instructions embedded within the spreadsheet that "execute," on command, a particular calculation -- a "program within a program." When you opened the spreadsheet, you should have chosen the "Enable Macros" option. If you did not, please exit and and reload the spreadsheet, selecting "Enable."</t>
    </r>
  </si>
  <si>
    <r>
      <t xml:space="preserve">    Read about the BTA in ''Wired" Magazine </t>
    </r>
    <r>
      <rPr>
        <sz val="9"/>
        <color indexed="10"/>
        <rFont val="Arial"/>
        <family val="2"/>
      </rPr>
      <t xml:space="preserve">
</t>
    </r>
    <r>
      <rPr>
        <sz val="8"/>
        <rFont val="Arial"/>
        <family val="2"/>
      </rPr>
      <t xml:space="preserve">The June 2010 issue of "Wired" has an extensive article on the BTA by renowned financial blogger Felix Salmon. In clear and delightful prose, "The Man Who Could Unsnarl Manhattan Traffic" traces the intersection of Ted Kheel's and Charles Komanoff's lifelong transit advocacy and elucidates the ethical and pragmatic basis of congestion pricing: the social delay costs caused by one additional car trip into the Manhattan CBD.
For full article, follow this link: </t>
    </r>
    <r>
      <rPr>
        <sz val="8"/>
        <rFont val="Arial Black"/>
        <family val="2"/>
      </rPr>
      <t>&lt;http://www.wired.com/magazine/2010/05/ff_komanoff_traffic/&gt;</t>
    </r>
    <r>
      <rPr>
        <sz val="8"/>
        <rFont val="Arial"/>
        <family val="2"/>
      </rPr>
      <t xml:space="preserve">
For more media coverage of the BTA, click here: </t>
    </r>
    <r>
      <rPr>
        <sz val="8"/>
        <rFont val="Arial Black"/>
        <family val="2"/>
      </rPr>
      <t>&lt;http://www.nnyn.org/news.html&gt;</t>
    </r>
  </si>
  <si>
    <r>
      <rPr>
        <b/>
        <sz val="8"/>
        <color indexed="10"/>
        <rFont val="Arial"/>
        <family val="2"/>
      </rPr>
      <t xml:space="preserve">
        </t>
    </r>
    <r>
      <rPr>
        <b/>
        <sz val="9"/>
        <color indexed="10"/>
        <rFont val="Arial"/>
        <family val="2"/>
      </rPr>
      <t>Links to BTA Slide Show, Video, Paper</t>
    </r>
    <r>
      <rPr>
        <b/>
        <sz val="8"/>
        <color indexed="10"/>
        <rFont val="Arial"/>
        <family val="2"/>
      </rPr>
      <t xml:space="preserve">
</t>
    </r>
    <r>
      <rPr>
        <sz val="8"/>
        <rFont val="Arial"/>
        <family val="2"/>
      </rPr>
      <t xml:space="preserve">A video of Charles Komanoff's July 2009 presentation at the Sam Schwartz Co. unveiling the BTA is available here: </t>
    </r>
    <r>
      <rPr>
        <sz val="8"/>
        <rFont val="Arial Black"/>
        <family val="2"/>
      </rPr>
      <t xml:space="preserve">&lt;http://www.nnyn.org/kheelplan/kheel_komanoff_plan_video.html&gt; 
</t>
    </r>
    <r>
      <rPr>
        <sz val="8"/>
        <rFont val="Arial"/>
        <family val="2"/>
      </rPr>
      <t xml:space="preserve">
The slide presentation itself (35 slides) may be downloaded by clicking here: </t>
    </r>
    <r>
      <rPr>
        <sz val="8"/>
        <rFont val="Arial Black"/>
        <family val="2"/>
      </rPr>
      <t xml:space="preserve">&lt;http://www.nnyn.org/kheelplan/BTA_Presentation.pdf&gt;
</t>
    </r>
    <r>
      <rPr>
        <sz val="8"/>
        <rFont val="Arial"/>
        <family val="2"/>
      </rPr>
      <t xml:space="preserve">
This paper on transit and traffic pricing and policy may be of interest:
</t>
    </r>
    <r>
      <rPr>
        <sz val="8"/>
        <rFont val="Arial Black"/>
        <family val="2"/>
      </rPr>
      <t>&lt;http://www.nnyn.org/kheelplan/Free_Transit_for_NYC.pdf&gt;</t>
    </r>
    <r>
      <rPr>
        <sz val="8"/>
        <rFont val="Arial"/>
        <family val="2"/>
      </rPr>
      <t xml:space="preserve">
Note that due to revisions in some BTA parameters and algorithms, not all results in those 2009 materials will match up precisely with current (2011) results.</t>
    </r>
  </si>
  <si>
    <r>
      <t>Worksheet Architecture</t>
    </r>
    <r>
      <rPr>
        <sz val="8.5"/>
        <rFont val="Arial"/>
        <family val="2"/>
      </rPr>
      <t xml:space="preserve">: There are seven "column blocks" -- this summary one (Columns B through N), which aggregates the six subsequent blocks, one for each trip type: </t>
    </r>
    <r>
      <rPr>
        <u/>
        <sz val="8.5"/>
        <rFont val="Arial"/>
        <family val="2"/>
      </rPr>
      <t>Auto Work Trips</t>
    </r>
    <r>
      <rPr>
        <sz val="8.5"/>
        <rFont val="Arial"/>
        <family val="2"/>
      </rPr>
      <t xml:space="preserve"> in columns P-W, </t>
    </r>
    <r>
      <rPr>
        <u/>
        <sz val="8.5"/>
        <rFont val="Arial"/>
        <family val="2"/>
      </rPr>
      <t>Auto Non-Work Trips</t>
    </r>
    <r>
      <rPr>
        <sz val="8.5"/>
        <rFont val="Arial"/>
        <family val="2"/>
      </rPr>
      <t xml:space="preserve"> in columns Y-AF, </t>
    </r>
    <r>
      <rPr>
        <u/>
        <sz val="8.5"/>
        <rFont val="Arial"/>
        <family val="2"/>
      </rPr>
      <t>Auto Through-Trips</t>
    </r>
    <r>
      <rPr>
        <sz val="8.5"/>
        <rFont val="Arial"/>
        <family val="2"/>
      </rPr>
      <t xml:space="preserve"> in columns AH-AO, </t>
    </r>
    <r>
      <rPr>
        <u/>
        <sz val="8.5"/>
        <rFont val="Arial"/>
        <family val="2"/>
      </rPr>
      <t xml:space="preserve">Medallion Taxi Trips </t>
    </r>
    <r>
      <rPr>
        <sz val="8.5"/>
        <rFont val="Arial"/>
        <family val="2"/>
      </rPr>
      <t xml:space="preserve">in columns AQ-AX, </t>
    </r>
    <r>
      <rPr>
        <u/>
        <sz val="8.5"/>
        <rFont val="Arial"/>
        <family val="2"/>
      </rPr>
      <t xml:space="preserve">Truck Trips </t>
    </r>
    <r>
      <rPr>
        <sz val="8.5"/>
        <rFont val="Arial"/>
        <family val="2"/>
      </rPr>
      <t xml:space="preserve">in columns AZ-BG, and </t>
    </r>
    <r>
      <rPr>
        <u/>
        <sz val="8.5"/>
        <rFont val="Arial"/>
        <family val="2"/>
      </rPr>
      <t xml:space="preserve">Bus Trips </t>
    </r>
    <r>
      <rPr>
        <sz val="8.5"/>
        <rFont val="Arial"/>
        <family val="2"/>
      </rPr>
      <t>in columns BI-BP. Each block has eight columns -- one for each of seven time periods, plus a totals column. In most rows, the trip blocks feed data (e.g., number of vehicles entering the cordon in each period) to the summary block, while in some rows the summary column block feeds data (e.g., traffic speeds) to the trip blocks. There are around 1,000 rows, but the basic "action" takes place within the first several hundred; all subsequent rows simply carry out the traffic iteration noted in the previous paragraph, except for the summary results that occupy the last section (from approximately Row 818 onward).</t>
    </r>
  </si>
  <si>
    <r>
      <t>Worksheet Architecture</t>
    </r>
    <r>
      <rPr>
        <sz val="8.5"/>
        <rFont val="Arial"/>
        <family val="2"/>
      </rPr>
      <t xml:space="preserve">: There are seven "column blocks" -- this summary one (Columns B through N), which aggregates the six subsequent blocks, one for each trip type: </t>
    </r>
    <r>
      <rPr>
        <u/>
        <sz val="8.5"/>
        <rFont val="Arial"/>
        <family val="2"/>
      </rPr>
      <t>Auto Work Trips</t>
    </r>
    <r>
      <rPr>
        <sz val="8.5"/>
        <rFont val="Arial"/>
        <family val="2"/>
      </rPr>
      <t xml:space="preserve"> in columns P-W, </t>
    </r>
    <r>
      <rPr>
        <u/>
        <sz val="8.5"/>
        <rFont val="Arial"/>
        <family val="2"/>
      </rPr>
      <t>Auto Non-Work Trips</t>
    </r>
    <r>
      <rPr>
        <sz val="8.5"/>
        <rFont val="Arial"/>
        <family val="2"/>
      </rPr>
      <t xml:space="preserve"> in columns Y-AF, </t>
    </r>
    <r>
      <rPr>
        <u/>
        <sz val="8.5"/>
        <rFont val="Arial"/>
        <family val="2"/>
      </rPr>
      <t>Auto Through-Trips</t>
    </r>
    <r>
      <rPr>
        <sz val="8.5"/>
        <rFont val="Arial"/>
        <family val="2"/>
      </rPr>
      <t xml:space="preserve"> in columns AH-AO, </t>
    </r>
    <r>
      <rPr>
        <u/>
        <sz val="8.5"/>
        <rFont val="Arial"/>
        <family val="2"/>
      </rPr>
      <t xml:space="preserve">Medallion Taxi Trips </t>
    </r>
    <r>
      <rPr>
        <sz val="8.5"/>
        <rFont val="Arial"/>
        <family val="2"/>
      </rPr>
      <t xml:space="preserve">in columns AQ-AX, </t>
    </r>
    <r>
      <rPr>
        <u/>
        <sz val="8.5"/>
        <rFont val="Arial"/>
        <family val="2"/>
      </rPr>
      <t xml:space="preserve">Truck Trips </t>
    </r>
    <r>
      <rPr>
        <sz val="8.5"/>
        <rFont val="Arial"/>
        <family val="2"/>
      </rPr>
      <t xml:space="preserve">in columns AZ-BG, and </t>
    </r>
    <r>
      <rPr>
        <u/>
        <sz val="8.5"/>
        <rFont val="Arial"/>
        <family val="2"/>
      </rPr>
      <t xml:space="preserve">Bus Trips </t>
    </r>
    <r>
      <rPr>
        <sz val="8.5"/>
        <rFont val="Arial"/>
        <family val="2"/>
      </rPr>
      <t xml:space="preserve">in columns BI-BP. Each block has eight columns -- one for each of six time periods (a seventh column, inherited from </t>
    </r>
    <r>
      <rPr>
        <b/>
        <sz val="8.5"/>
        <rFont val="Arial"/>
        <family val="2"/>
      </rPr>
      <t>Motor Vs</t>
    </r>
    <r>
      <rPr>
        <sz val="8.5"/>
        <rFont val="Arial"/>
        <family val="2"/>
      </rPr>
      <t xml:space="preserve"> (weekdays), is left blank), plus a totals column. In most rows, the trip blocks feed data (e.g., number of vehicles entering the cordon in each period) to the summary block, while in some rows the summary column block feeds data (e.g., traffic speeds) to the trip blocks. There are over 900 rows, but the basic "action" takes place within the first several hundred; all subsequent rows simply carry out the traffic iteration noted in the previous paragraph, except for the summary results that occupy the last section (from approximately Row 818 onward).</t>
    </r>
  </si>
  <si>
    <t>Value of time (per vehicle-hour) for work trips; includes fractional passengers</t>
  </si>
  <si>
    <t>Average distance traveled (round trip)</t>
  </si>
  <si>
    <t>Calculation from earlier rows.</t>
  </si>
  <si>
    <t>Average speed, before, mph (6-9 am morning peak)</t>
  </si>
  <si>
    <t>Average speed, after, mph (6-9 am morning peak)</t>
  </si>
  <si>
    <t>Weekdays, van trips during peak periods</t>
  </si>
  <si>
    <t>A. Breakeven Analysis: Auto Commuters</t>
  </si>
  <si>
    <r>
      <t xml:space="preserve">B. Breakeven Analysis: Van Drivers </t>
    </r>
    <r>
      <rPr>
        <sz val="10"/>
        <rFont val="Arial"/>
        <family val="2"/>
      </rPr>
      <t>(tradesmen, e.g., plumbers, elevator repair, heating or A/C service)</t>
    </r>
  </si>
  <si>
    <t>Toll (avg for autos on work trips)</t>
  </si>
  <si>
    <r>
      <t xml:space="preserve">Toll (van trips during peak) </t>
    </r>
    <r>
      <rPr>
        <sz val="9"/>
        <rFont val="Arial"/>
        <family val="2"/>
      </rPr>
      <t>calculated by raising auto toll by:</t>
    </r>
  </si>
  <si>
    <t xml:space="preserve">Adjustment 1: </t>
  </si>
  <si>
    <t>Add second (or third) trip, since time savings grow linearly while toll amount stays fixed.</t>
  </si>
  <si>
    <t xml:space="preserve">Adjustment 2: </t>
  </si>
  <si>
    <t xml:space="preserve">Adjustment 3: </t>
  </si>
  <si>
    <r>
      <t xml:space="preserve">This worksheet compares the </t>
    </r>
    <r>
      <rPr>
        <u/>
        <sz val="10"/>
        <rFont val="Arial"/>
        <family val="2"/>
      </rPr>
      <t>time savings</t>
    </r>
    <r>
      <rPr>
        <sz val="10"/>
        <rFont val="Arial"/>
        <family val="2"/>
      </rPr>
      <t xml:space="preserve"> and </t>
    </r>
    <r>
      <rPr>
        <u/>
        <sz val="10"/>
        <rFont val="Arial"/>
        <family val="2"/>
      </rPr>
      <t>toll payment</t>
    </r>
    <r>
      <rPr>
        <sz val="10"/>
        <rFont val="Arial"/>
        <family val="2"/>
      </rPr>
      <t xml:space="preserve"> for individual commute trips into the CBD. The reader may use it to estimate the driver's </t>
    </r>
    <r>
      <rPr>
        <u/>
        <sz val="10"/>
        <rFont val="Arial"/>
        <family val="2"/>
      </rPr>
      <t>value of time</t>
    </r>
    <r>
      <rPr>
        <sz val="10"/>
        <rFont val="Arial"/>
        <family val="2"/>
      </rPr>
      <t xml:space="preserve"> and </t>
    </r>
    <r>
      <rPr>
        <u/>
        <sz val="10"/>
        <rFont val="Arial"/>
        <family val="2"/>
      </rPr>
      <t>commute distance</t>
    </r>
    <r>
      <rPr>
        <sz val="10"/>
        <rFont val="Arial"/>
        <family val="2"/>
      </rPr>
      <t xml:space="preserve"> whose time benefit will offset the toll cost.</t>
    </r>
  </si>
  <si>
    <t>Value of time (per vehicle-hour); includes fractional passengers</t>
  </si>
  <si>
    <t>CBD trips only</t>
  </si>
  <si>
    <t>All taxi trips</t>
  </si>
  <si>
    <t>Surcharge</t>
  </si>
  <si>
    <r>
      <t xml:space="preserve">Avg Speed </t>
    </r>
    <r>
      <rPr>
        <sz val="8"/>
        <rFont val="Arial"/>
        <family val="2"/>
      </rPr>
      <t>(wghtd harmonic avg of CBD + non-CBD miles)</t>
    </r>
  </si>
  <si>
    <t>Average distance traveled</t>
  </si>
  <si>
    <t>Average speed, before, mph</t>
  </si>
  <si>
    <t>Average speed, after, mph</t>
  </si>
  <si>
    <r>
      <t xml:space="preserve">We now weight durations of three types of trips, by their percent shares, to calculate fares per hour and per shift </t>
    </r>
    <r>
      <rPr>
        <sz val="8"/>
        <rFont val="Arial"/>
        <family val="2"/>
      </rPr>
      <t>(uses weighted arithmetic average, not harmonic average)</t>
    </r>
  </si>
  <si>
    <t>A. Commuters starting in New York City</t>
  </si>
  <si>
    <t>1 &amp; 2</t>
  </si>
  <si>
    <t>3 &amp; 6</t>
  </si>
  <si>
    <t>Estimates*</t>
  </si>
  <si>
    <t>*</t>
  </si>
  <si>
    <t>Rockland County</t>
  </si>
  <si>
    <t>Westchester County</t>
  </si>
  <si>
    <t>Distances</t>
  </si>
  <si>
    <t>1. Mean Distance to Commute to Manhattan CBD via Auto</t>
  </si>
  <si>
    <t>Averages for all auto commuters as well as for the component subgroups are shown below.</t>
  </si>
  <si>
    <t>Community Board</t>
  </si>
  <si>
    <t>CBD Auto Commuters</t>
  </si>
  <si>
    <t>Average</t>
  </si>
  <si>
    <t>Sum</t>
  </si>
  <si>
    <r>
      <t xml:space="preserve">Manhattan </t>
    </r>
    <r>
      <rPr>
        <sz val="9"/>
        <color theme="1"/>
        <rFont val="Arial"/>
        <family val="2"/>
      </rPr>
      <t>(excludes Districts 1 to 6, since these are in the CBD)</t>
    </r>
  </si>
  <si>
    <t>NYC Total</t>
  </si>
  <si>
    <t>All Car Commuters</t>
  </si>
  <si>
    <t>Distance to
CBD (miles)</t>
  </si>
  <si>
    <r>
      <t xml:space="preserve">Total distances </t>
    </r>
    <r>
      <rPr>
        <sz val="8"/>
        <rFont val="Arial"/>
        <family val="2"/>
      </rPr>
      <t xml:space="preserve">appear consistent with geographical breakdowns in Schaller (pp. 24 &amp; 46). </t>
    </r>
  </si>
  <si>
    <t>Non-CBD miles for average 1-way trip</t>
  </si>
  <si>
    <t>Non-CBD Part</t>
  </si>
  <si>
    <t>Non-CBD Portions are derived in 'Distances' worksheet, by weighting auto-commuters to CBD (est'd in 2006 by B. Schaller) and driving distances from nearly 100 geographic entities.</t>
  </si>
  <si>
    <t>This worksheet has two sections.</t>
  </si>
  <si>
    <r>
      <t xml:space="preserve">The first calculates the mean distance to commute to the Manhattan CBD via auto -- a key input for the </t>
    </r>
    <r>
      <rPr>
        <b/>
        <sz val="10"/>
        <rFont val="Arial"/>
        <family val="2"/>
      </rPr>
      <t>Motor Vs</t>
    </r>
    <r>
      <rPr>
        <sz val="10"/>
        <rFont val="Arial"/>
        <family val="2"/>
      </rPr>
      <t xml:space="preserve"> worksheet (</t>
    </r>
    <r>
      <rPr>
        <b/>
        <sz val="10"/>
        <rFont val="Arial"/>
        <family val="2"/>
      </rPr>
      <t>Motor Vs Weekends</t>
    </r>
    <r>
      <rPr>
        <sz val="10"/>
        <rFont val="Arial"/>
        <family val="2"/>
      </rPr>
      <t>, too</t>
    </r>
    <r>
      <rPr>
        <b/>
        <sz val="10"/>
        <rFont val="Arial"/>
        <family val="2"/>
      </rPr>
      <t>).</t>
    </r>
  </si>
  <si>
    <r>
      <t xml:space="preserve">The second estimates the mean street distance between two randomly selected locations within the Manhattan CBD -- a quantity that informs the specification of mean trip distances for intra-CBD medallion taxi rides in the </t>
    </r>
    <r>
      <rPr>
        <b/>
        <sz val="10"/>
        <rFont val="Arial"/>
        <family val="2"/>
      </rPr>
      <t>Taxis</t>
    </r>
    <r>
      <rPr>
        <sz val="10"/>
        <rFont val="Arial"/>
        <family val="2"/>
      </rPr>
      <t xml:space="preserve"> worksheet.</t>
    </r>
  </si>
  <si>
    <t>2. Mean Distance Between Randomly Selected Pairs of Points Within the Manhattan CBD</t>
  </si>
  <si>
    <t>The data array below is intended to simulate the roughly 6 mile x 1.4 mile Manhattan Central Business District. (Note that the implied area, 8.4 square miles, matches the published figure of 8.5 square miles.)</t>
  </si>
  <si>
    <t>Horizontal (longitude) distances, miles</t>
  </si>
  <si>
    <t>Vertical (latitude) distances, miles</t>
  </si>
  <si>
    <t>Note that a more fine-grained treatment, particularly of latitude distances, would presumably increase the calculated mean slightly by attenuating the weighting contributed by zero-distance cells. Unfortunately (and bizarrely), Excel did not permit more than ~ 30 absolute-value calculations to be averaged within a single cell, requiring us to use a more "gross" approach.</t>
  </si>
  <si>
    <t>Entirely w/i CBD</t>
  </si>
  <si>
    <t>Entirely w/o CBD</t>
  </si>
  <si>
    <t xml:space="preserve"> (Komanoff assumption)</t>
  </si>
  <si>
    <t>Calculates mean driving distance for auto commuters to edge of Manhattan CBD. Also estimates mean distance between pairs of random points w/i the CBD.</t>
  </si>
  <si>
    <t>% of baseline travel time saved</t>
  </si>
  <si>
    <t>1. Weekdays, work trips (on a 24-h basis, not just peak periods)</t>
  </si>
  <si>
    <t>2. Weekdays, work trips (peak periods)</t>
  </si>
  <si>
    <t>Morning Peak, en route to CBD</t>
  </si>
  <si>
    <t>Average distance traveled (one way)</t>
  </si>
  <si>
    <t>(Note: If % in sentence to left is negative, then time savings already surpass toll.)</t>
  </si>
  <si>
    <t>Calculated as ratio of 2010-average to 2005-average Consumer Price Index, All Urban Consumers</t>
  </si>
  <si>
    <t>Inflation adjustment, 2005 to 2010</t>
  </si>
  <si>
    <t>Median Value (2010 $/hour)</t>
  </si>
  <si>
    <t xml:space="preserve">(2010 $) Time Value of driver </t>
  </si>
  <si>
    <t>(2010 $) Time Value of passengers</t>
  </si>
  <si>
    <t>(2010 $) Time Value of vehicle-hr</t>
  </si>
  <si>
    <t>The "root" time-value for our estimates is an estimate by two widely published transportation specialists from Northeastern University and the Brookings Institution, of the value of air travelers' time, which they developed for a Dec. 2007 study of air traffic delays for the NYC Comptroller's Office. (All documents are referenced below.) Their value, approximately $48 per hour in 2005 dollars, has been (i) updated here to 2010 dollars, (ii) adjusted from national averages to the NYC area, and (iii) modified to reflect different values of time for different types of road users in and en route to the Manhattan Central Business District. For example, we impute a time value of 3/4, relative to air travelers, for a driver commuting to work in the CBD; a time value of 3/8 for an individual driving into the CBD for non-work purposes; a 9/10 factor for users of medallion taxis; lesser values for passengers, etc.</t>
  </si>
  <si>
    <t>Median Value for NYC-area airline passengers (2010 $/hour)</t>
  </si>
  <si>
    <t>Changes</t>
  </si>
  <si>
    <t>Item / Proposal</t>
  </si>
  <si>
    <t>Date of Calculation</t>
  </si>
  <si>
    <t>Scenario Used</t>
  </si>
  <si>
    <t>Notes</t>
  </si>
  <si>
    <t>Dollar Buses</t>
  </si>
  <si>
    <t>ST</t>
  </si>
  <si>
    <t>How Calculated</t>
  </si>
  <si>
    <t>Estimated Impact on Net Revenue</t>
  </si>
  <si>
    <t>Fare-Free Sundays</t>
  </si>
  <si>
    <t>ST + "ST with lesser taxi surcharge"</t>
  </si>
  <si>
    <t>Cut taxi surcharge in half (to 20% wkdays, 15% other)</t>
  </si>
  <si>
    <t>This worksheet documents the BTA's estimates of costs to implement a variety of possible measures, e.g., dollar buses, discounting intra-city commuter rail to subway fares, etc.</t>
  </si>
  <si>
    <r>
      <t xml:space="preserve">These figures can be (and were) derived quickly and easily by altering the relevant parameters in the </t>
    </r>
    <r>
      <rPr>
        <b/>
        <sz val="9"/>
        <rFont val="Arial"/>
        <family val="2"/>
      </rPr>
      <t>User Inputs</t>
    </r>
    <r>
      <rPr>
        <sz val="9"/>
        <rFont val="Arial"/>
        <family val="2"/>
      </rPr>
      <t xml:space="preserve"> worksheet. Nevertheless, we have collected them here, as an aid to evaluating different pricing options.</t>
    </r>
  </si>
  <si>
    <t>25% hike in cordon toll</t>
  </si>
  <si>
    <t>costs $320 million</t>
  </si>
  <si>
    <t>costs $120 million</t>
  </si>
  <si>
    <t>lose $220 million</t>
  </si>
  <si>
    <t>gain $230 million</t>
  </si>
  <si>
    <t>lose $120 million</t>
  </si>
  <si>
    <t>Reduce price of unlimited transit fares by 10%</t>
  </si>
  <si>
    <t>May understate cost since doesn't reflect switching from pay-per-riders</t>
  </si>
  <si>
    <t>Summary</t>
  </si>
  <si>
    <t>Long Island Rail Road</t>
  </si>
  <si>
    <t>Metro North Rail Road</t>
  </si>
  <si>
    <t>2011 Projected Fare Revenue</t>
  </si>
  <si>
    <t>Trips/day</t>
  </si>
  <si>
    <t>Source: MTA 2011 Adopted Budget, February Financial Plan 2011 - 2014. P. 196 and 216 of 346. Available at: http://bit.ly/ijRtAx, combined information is sum of LIRR &amp; MNRR.</t>
  </si>
  <si>
    <t>Weekdays/week</t>
  </si>
  <si>
    <t>Weekdays/month</t>
  </si>
  <si>
    <t>Trips/week</t>
  </si>
  <si>
    <t>Intra-City % of Total Agency Revenue</t>
  </si>
  <si>
    <t>Trips/month</t>
  </si>
  <si>
    <t>Weekdays/year</t>
  </si>
  <si>
    <t>Wknds+holidays/yr</t>
  </si>
  <si>
    <t>Derivation: Fares Per Intra-City Ride</t>
  </si>
  <si>
    <t>Source LIRR fares: New Fares - Effective December 30, 2010. Long Island Rail Road. Available at: http://bit.ly/fhqu7y
Source Metro-North fares: Ticket fares NY State - Metro North. Effective December 30, 2010. Available at: http://bit.ly/ih9hpG.</t>
  </si>
  <si>
    <t>Zone 1</t>
  </si>
  <si>
    <t>Zone 2</t>
  </si>
  <si>
    <t>Peak or 10-trip Peak</t>
  </si>
  <si>
    <t xml:space="preserve">Off-Peak </t>
  </si>
  <si>
    <t>10-Trip Off-Peak</t>
  </si>
  <si>
    <t>Weekly Unlimited</t>
  </si>
  <si>
    <t>Weekly Unlimited, per ride</t>
  </si>
  <si>
    <t>Monthly Unlimited</t>
  </si>
  <si>
    <t>Monthly Unlimited, per ride</t>
  </si>
  <si>
    <t xml:space="preserve">Average Peak Fare </t>
  </si>
  <si>
    <t>Assumed use (KEA assumptions)</t>
  </si>
  <si>
    <t xml:space="preserve">One way </t>
  </si>
  <si>
    <t>Week pass</t>
  </si>
  <si>
    <t>Monthly pass</t>
  </si>
  <si>
    <t xml:space="preserve">Average Off-Peak Fare </t>
  </si>
  <si>
    <t>10-trip Off-Peak</t>
  </si>
  <si>
    <t>Inbound Peak Boardings</t>
  </si>
  <si>
    <t>Inbound Off-Peak Boardings</t>
  </si>
  <si>
    <t>Estimated Intra-City Revenue</t>
  </si>
  <si>
    <t>Average fare multiplied by ridership for both peak and off-peak, multiplied by 2 for two directions.</t>
  </si>
  <si>
    <t>Annualized Weekday Revenue</t>
  </si>
  <si>
    <t>In-bound Boardings</t>
  </si>
  <si>
    <t>Annualized Weekend Revenue</t>
  </si>
  <si>
    <t>Total Revenue from Intra-City Trips</t>
  </si>
  <si>
    <t xml:space="preserve">% of total revenue per agency </t>
  </si>
  <si>
    <t>Intra-City Revenue, Zones Combined</t>
  </si>
  <si>
    <t>% of total revenue per agency</t>
  </si>
  <si>
    <t>New Fare</t>
  </si>
  <si>
    <t>New fare</t>
  </si>
  <si>
    <t>Inbound boardings</t>
  </si>
  <si>
    <t xml:space="preserve">Revenue with new fare </t>
  </si>
  <si>
    <t xml:space="preserve">Total funds that will be earned by each agency on weekdays with new lower fare replacing previous fare structure. Each trip is also multiplied by two since in-bound boardings only account for one direction and most trips are round trips. </t>
  </si>
  <si>
    <t xml:space="preserve">Annualized Revenue with new fare </t>
  </si>
  <si>
    <t xml:space="preserve">Inbound boardings in each zone only account for one direction of travel. </t>
  </si>
  <si>
    <t xml:space="preserve">Total funds that will be earned by each agency on weekends with new lower fare replacing previous fare structure. Each trip is also multiplied by two since in-bound boardings only account for one direction and most trips are round trips. </t>
  </si>
  <si>
    <t>Total Revenue with new fare</t>
  </si>
  <si>
    <t>New York City LIRR Stations Westbound Boardings</t>
  </si>
  <si>
    <t xml:space="preserve">Source: MTA Long Island Rail Road Passenger Counts: 2006. Available at: http://bit.ly/fS5zmc. </t>
  </si>
  <si>
    <t>AM Peak</t>
  </si>
  <si>
    <t>PM Off-peak</t>
  </si>
  <si>
    <t>East New York</t>
  </si>
  <si>
    <t>Forest Hills</t>
  </si>
  <si>
    <t>Kew Gardens</t>
  </si>
  <si>
    <t>Mets-Willets Point</t>
  </si>
  <si>
    <t>No data</t>
  </si>
  <si>
    <t>Nostrand Avenue</t>
  </si>
  <si>
    <t>Woodside</t>
  </si>
  <si>
    <t>Auburndale</t>
  </si>
  <si>
    <t>Bayside</t>
  </si>
  <si>
    <t>Douglaston</t>
  </si>
  <si>
    <t>Flushing</t>
  </si>
  <si>
    <t>Hollis</t>
  </si>
  <si>
    <t>Jamaica</t>
  </si>
  <si>
    <t>Laurelton</t>
  </si>
  <si>
    <t>Little Neck</t>
  </si>
  <si>
    <t>Locust Manor</t>
  </si>
  <si>
    <t>Murray Hill</t>
  </si>
  <si>
    <t>Queens Village</t>
  </si>
  <si>
    <t>Rosedale</t>
  </si>
  <si>
    <t>St. Albans</t>
  </si>
  <si>
    <t>Zone 1 Sub-total</t>
  </si>
  <si>
    <t>Zone 2 Sub-total</t>
  </si>
  <si>
    <t>New York City Station Total</t>
  </si>
  <si>
    <t>LIRR System Total</t>
  </si>
  <si>
    <t>New York City MNRR Stations Weekday Boardings</t>
  </si>
  <si>
    <t xml:space="preserve">Source: MTA Metro North Rail Road Passenger Counts 2007. Available at: http://bit.ly/fKielE. </t>
  </si>
  <si>
    <t xml:space="preserve">Zone 1 </t>
  </si>
  <si>
    <t>125th (Hudson line)</t>
  </si>
  <si>
    <t>125th (Harlem line)</t>
  </si>
  <si>
    <t>125th (New Haven line)</t>
  </si>
  <si>
    <t>Riverdale</t>
  </si>
  <si>
    <t>Spuyten Duyvil</t>
  </si>
  <si>
    <t>Marble Hill</t>
  </si>
  <si>
    <t>University Heights</t>
  </si>
  <si>
    <t>Morris Heights</t>
  </si>
  <si>
    <t>Wakefield</t>
  </si>
  <si>
    <t>Woodlawn</t>
  </si>
  <si>
    <t>Williams Bridge</t>
  </si>
  <si>
    <t>Botanical Garden</t>
  </si>
  <si>
    <t>Fordham (Harlem)</t>
  </si>
  <si>
    <t>Fordham (NH)</t>
  </si>
  <si>
    <t>Tremont</t>
  </si>
  <si>
    <t>Melrose</t>
  </si>
  <si>
    <t>Weekday Off-Peak</t>
  </si>
  <si>
    <t>Mid-day
(Off-Peak)</t>
  </si>
  <si>
    <t>Invoke Discount?</t>
  </si>
  <si>
    <t xml:space="preserve">Change in gross revenue from MTA Express Buses </t>
  </si>
  <si>
    <t>F. Reduced Fares for MTA Bus Co.</t>
  </si>
  <si>
    <t>This section uses LIRR and Metro-North fare and boardings data to estimate the cost of discounting fares for intra-city trips on these rail lines.</t>
  </si>
  <si>
    <t>2011 Intra-City Revenue</t>
  </si>
  <si>
    <t>Revenue if New Fare Adopted for Intra-City Trips</t>
  </si>
  <si>
    <t>Cost to System of Adopting New Fare</t>
  </si>
  <si>
    <t>Assumptions as to "days"</t>
  </si>
  <si>
    <r>
      <t xml:space="preserve">At the bottom, click </t>
    </r>
    <r>
      <rPr>
        <b/>
        <sz val="10"/>
        <rFont val="Arial"/>
        <family val="2"/>
      </rPr>
      <t>Excel Options.</t>
    </r>
  </si>
  <si>
    <t>Taxi usage (ridership) change due to change in taxi fare (expressed as multiple of new ridership to old)</t>
  </si>
  <si>
    <t>Taxi trip duration change due to pricing (expressed as multiple of new duration to old)</t>
  </si>
  <si>
    <t>Change in weekday/weekend fare trips that are assumed to be associated with change in number of taxi shifts</t>
  </si>
  <si>
    <t>Effective taxi fare change due to pricing (expressed as multiple of new fare to old)</t>
  </si>
  <si>
    <t>$ fare change taxed by NYC (= remainder, after drivers/industry take off % chosen above)</t>
  </si>
  <si>
    <t>Estimated net change in revenue from fare hike, millions</t>
  </si>
  <si>
    <t>Estimated change in revenue from fare hike, expressed as a percent</t>
  </si>
  <si>
    <t>change in trip time (intended to capture time to invoke app, process reply, and meet cab-sharer), in minutes</t>
  </si>
  <si>
    <t>Percentage change in trip time due to cab sharing</t>
  </si>
  <si>
    <t>Taxi fare change due to pricing (expressed as multiple of new fare to old)</t>
  </si>
  <si>
    <t>$ Change</t>
  </si>
  <si>
    <t>E. Change in VMT and Traffic Speeds in Selected Neighborhoods That Act as 'Funnels' to the CBD</t>
  </si>
  <si>
    <t>Manhattan CBD (South of 60th St)</t>
  </si>
  <si>
    <t>Manhattan north of 86th St</t>
  </si>
  <si>
    <t>Northwest Brooklyn*</t>
  </si>
  <si>
    <t>Rest of Brooklyn</t>
  </si>
  <si>
    <t>Western Queens**</t>
  </si>
  <si>
    <t>Rest of Queens</t>
  </si>
  <si>
    <t>Orange &amp; Rockland</t>
  </si>
  <si>
    <t>*Northwest Brooklyn includes: Park Slope, Carroll Gardens, Boerum Hill, Red Hook, Downtown Brooklyn, Williamsburg, Greenpoint and Bushwick.</t>
  </si>
  <si>
    <t>**Western Queens includes: Long Island City, Astoria and Sunnyside.</t>
  </si>
  <si>
    <t>East of Hudson (CT, Dutchess, Putnam, Westchester)</t>
  </si>
  <si>
    <t>Bloomberg Plan, modified by TCMC</t>
  </si>
  <si>
    <t>Estimated VMT Reductions by Sub-region</t>
  </si>
  <si>
    <t>Percent of outside-cordon VMT in all cordon-bound vehicle trips that occurs within the city limits</t>
  </si>
  <si>
    <t>4. "Tipping points" such as lesser valorization of driving as driving becomes costlier and less common.</t>
  </si>
  <si>
    <r>
      <t xml:space="preserve">Plan Selected by User
</t>
    </r>
    <r>
      <rPr>
        <sz val="8"/>
        <rFont val="Arial"/>
        <family val="2"/>
      </rPr>
      <t>(%'s prorated from CBD)</t>
    </r>
  </si>
  <si>
    <r>
      <t xml:space="preserve">Plan Selected by User
</t>
    </r>
    <r>
      <rPr>
        <sz val="8"/>
        <rFont val="Arial"/>
        <family val="2"/>
      </rPr>
      <t>(%'s prorated from NYC)</t>
    </r>
  </si>
  <si>
    <r>
      <t xml:space="preserve">Plan Selected by User
</t>
    </r>
    <r>
      <rPr>
        <sz val="8"/>
        <rFont val="Arial"/>
        <family val="2"/>
      </rPr>
      <t>(%'s average #2 and #3)</t>
    </r>
  </si>
  <si>
    <t>As can be seen in Column Group 1, the TCMC estimated that its "alternative" pricing plan (the one presented to, but not enacted by, the NY State Legislature in 2008) would reduce VMT by 6.4% in the CBD and by 2.1% for all five boroughs combined. That roughly 3-to-1 ratio is somewhat different from the corresponding ratio produced by the BTA.</t>
  </si>
  <si>
    <r>
      <t xml:space="preserve">We therefore prorate our results by the TCMC's in two ways: by the TCMC estimate of changed VMT within the CBD, shown in Group 2; and by its estimate of changed VMT for NYC as a whole, shown in Group 3. We then average the results in Group 4. </t>
    </r>
    <r>
      <rPr>
        <b/>
        <sz val="9"/>
        <rFont val="Arial"/>
        <family val="2"/>
      </rPr>
      <t>We believe that the VMT changes shown in Column Group 4 are reasonable estimates for the changes in VMT that may be expected in the districts shown, as a result of the pricing plan chosen in the 'Results' worksheet.</t>
    </r>
  </si>
  <si>
    <t>(Column Group 1 figs are from TCMC Report, Table 14, p. 41 (62 of 94)</t>
  </si>
  <si>
    <t>Figures at left are from Interim Report to the Traffic Congestion Mitigation Commission, January 2008, Table 14 (p. 62 of 94), Col. 2, "Alternative Congestion Pricing Plan")</t>
  </si>
  <si>
    <t>Documents the BTA's estimates of costs to implement various possible measures, e.g., dollar buses, discounting intra-city commuter rail to subway fares, etc.</t>
  </si>
  <si>
    <t>Source of Change to VMT (Vehicle Miles Traveled)</t>
  </si>
  <si>
    <r>
      <rPr>
        <b/>
        <sz val="10"/>
        <rFont val="Arial"/>
        <family val="2"/>
      </rPr>
      <t xml:space="preserve">Cordon Pricing </t>
    </r>
    <r>
      <rPr>
        <sz val="10"/>
        <rFont val="Arial"/>
        <family val="2"/>
      </rPr>
      <t>(VMT within CBD only)</t>
    </r>
  </si>
  <si>
    <r>
      <rPr>
        <b/>
        <sz val="10"/>
        <rFont val="Arial"/>
        <family val="2"/>
      </rPr>
      <t xml:space="preserve">Cordon Pricing </t>
    </r>
    <r>
      <rPr>
        <sz val="10"/>
        <rFont val="Arial"/>
        <family val="2"/>
      </rPr>
      <t>(VMT outside CBD only)</t>
    </r>
  </si>
  <si>
    <r>
      <rPr>
        <b/>
        <sz val="10"/>
        <rFont val="Arial"/>
        <family val="2"/>
      </rPr>
      <t>Change in Bus Usage</t>
    </r>
    <r>
      <rPr>
        <sz val="10"/>
        <rFont val="Arial"/>
        <family val="2"/>
      </rPr>
      <t xml:space="preserve"> (Weekdays + Weekends, CBD + non-CBD)</t>
    </r>
  </si>
  <si>
    <r>
      <rPr>
        <b/>
        <sz val="10"/>
        <rFont val="Arial"/>
        <family val="2"/>
      </rPr>
      <t xml:space="preserve">Change in Subway Usage </t>
    </r>
    <r>
      <rPr>
        <sz val="10"/>
        <rFont val="Arial"/>
        <family val="2"/>
      </rPr>
      <t>(Weekdays + Weekends, non-CBD only)*</t>
    </r>
  </si>
  <si>
    <t>All VMT Changes, including
those occurring beyond NYC limits</t>
  </si>
  <si>
    <r>
      <t xml:space="preserve">VMT Changes: Summary Table 1 </t>
    </r>
    <r>
      <rPr>
        <b/>
        <sz val="10"/>
        <rFont val="Calibri"/>
        <family val="2"/>
      </rPr>
      <t>—</t>
    </r>
    <r>
      <rPr>
        <b/>
        <sz val="10"/>
        <rFont val="Arial"/>
        <family val="2"/>
      </rPr>
      <t xml:space="preserve"> All VMT (within and outside NYC)</t>
    </r>
  </si>
  <si>
    <r>
      <t xml:space="preserve">VMT Changes: Summary Table 2 </t>
    </r>
    <r>
      <rPr>
        <b/>
        <sz val="10"/>
        <rFont val="Calibri"/>
        <family val="2"/>
      </rPr>
      <t>—</t>
    </r>
    <r>
      <rPr>
        <b/>
        <sz val="10"/>
        <rFont val="Arial"/>
        <family val="2"/>
      </rPr>
      <t xml:space="preserve"> NYC VMT Changes disaggregated between CBD and outside-CBD</t>
    </r>
  </si>
  <si>
    <t>Cordon Pricing</t>
  </si>
  <si>
    <r>
      <rPr>
        <b/>
        <sz val="10"/>
        <rFont val="Arial"/>
        <family val="2"/>
      </rPr>
      <t xml:space="preserve">Change in Subway Usage </t>
    </r>
    <r>
      <rPr>
        <sz val="10"/>
        <rFont val="Arial"/>
        <family val="2"/>
      </rPr>
      <t>(Weekdays + Weekends, non-CBD only)</t>
    </r>
  </si>
  <si>
    <t>Somewhat arbitrarily assigning this share to CBD, rest outside:</t>
  </si>
  <si>
    <t>Annual non-CBD NYC VMT (in millions of miles)</t>
  </si>
  <si>
    <t>% All
CBD VMT</t>
  </si>
  <si>
    <t>% Auto
CBD VMT</t>
  </si>
  <si>
    <t>% All NYC 
non-CBD VMT</t>
  </si>
  <si>
    <t>% Auto NYC
non-CBD VMT</t>
  </si>
  <si>
    <t>To come, hopefully in March 2011</t>
  </si>
  <si>
    <t>Manhattan Central Business District</t>
  </si>
  <si>
    <t>New York City, outside the
Manhattan Central Business District</t>
  </si>
  <si>
    <t>VMT Changes
occurring within NYC limits only</t>
  </si>
  <si>
    <t>A. Definitions and Criteria</t>
  </si>
  <si>
    <t>B. Vehicle Classification Shares</t>
  </si>
  <si>
    <t>2-axle truck with Dual Rear Wheels</t>
  </si>
  <si>
    <t>3-4 Axles</t>
  </si>
  <si>
    <t>5 or more Axles</t>
  </si>
  <si>
    <t>All</t>
  </si>
  <si>
    <t>Share, %</t>
  </si>
  <si>
    <r>
      <t xml:space="preserve">Lincoln Tunnel Truck Volumes by Time of Day </t>
    </r>
    <r>
      <rPr>
        <sz val="8"/>
        <rFont val="Arial"/>
        <family val="2"/>
      </rPr>
      <t>(source: NYCDOT, "Manhattan River Crossings," p. 70 of 70)</t>
    </r>
  </si>
  <si>
    <t>Cars, Single Rear Wheels, Autos, Vans, Pickups, M-cycles, RVs</t>
  </si>
  <si>
    <t>Buses (includes Minibuses)</t>
  </si>
  <si>
    <t>W/ trx combined</t>
  </si>
  <si>
    <t>% w/o Buses</t>
  </si>
  <si>
    <t>Cars</t>
  </si>
  <si>
    <t>2-Axle truck</t>
  </si>
  <si>
    <t>3-Axle truck</t>
  </si>
  <si>
    <t>4-Axle truck</t>
  </si>
  <si>
    <t>5-Axle truck</t>
  </si>
  <si>
    <t>6+-Axle truck</t>
  </si>
  <si>
    <t>This worksheet estimates the mix of truck types that currently enter or drive through the Manhattan Central Business District and calculates the revenue implications of applying the Port Authority's axle-based toll schedule for trucks at its crossings to the proposed CBD cordon toll.</t>
  </si>
  <si>
    <t>"PA" = Port Authority of New York and New Jersey, which operates, inter alia, the Lincoln and Holland Tunnels.</t>
  </si>
  <si>
    <t>"MTA" = Metropolitan Transportation Authority, whose "Bridges and Tunnels" unit (formerly the Triborough Bridge &amp; Tunnel Authority, or TBTA) operates, inter alia, the Queens Midtown and Brooklyin-Battery Tunnels.</t>
  </si>
  <si>
    <t>The MTA data, for the Queens-Midtown and Brooklyn-Battery Tunnels, appear to us to be a reasonable proxy for all CBD-bound vehicles. But the MTA truck classification system, based on weight, strikes us as too confusing to "sell" to the public as part of a cordon toll plan.</t>
  </si>
  <si>
    <t xml:space="preserve">Lincoln Tunnel Truck Volumes </t>
  </si>
  <si>
    <t>24-h averages</t>
  </si>
  <si>
    <t>Passngr Cars</t>
  </si>
  <si>
    <t>The remaining step is to subdivide the MTA's counts of 2-axle trucks into dual rear wheels and single rear wheels, which we can only approximate at this time, and which we do directly below.</t>
  </si>
  <si>
    <t>Which gives rise to this table:</t>
  </si>
  <si>
    <t>Just trucks</t>
  </si>
  <si>
    <t>C. Proposed "Graduation" of Truck Tolls</t>
  </si>
  <si>
    <t>Abbreviations</t>
  </si>
  <si>
    <r>
      <t xml:space="preserve">The PA's "dual rear wheels" criterion is noteworthy. It denotes two wheels </t>
    </r>
    <r>
      <rPr>
        <i/>
        <sz val="9"/>
        <rFont val="Arial"/>
        <family val="2"/>
      </rPr>
      <t>on each side</t>
    </r>
    <r>
      <rPr>
        <sz val="9"/>
        <rFont val="Arial"/>
        <family val="2"/>
      </rPr>
      <t>, i.e., four rear wheels in total, and implies that so long as a vehicle has only two rear wheels, it is treated, for toll purposes, as an automobile. In other words, the PA tolls "man with van" vehicles (e.g., Econoline vans) at the same rate as passenger cars.</t>
    </r>
  </si>
  <si>
    <t>Both the PA and the MTA count vehicles by "type" at all of their toll crossings, including those into the Manhattan CBD. Not surprisingly, their counts follow their respective truck classification systems. And both of these differ from the NYMTC "Hub-Bound" data from which we have estimated the number of truck crossings into the CBD.</t>
  </si>
  <si>
    <r>
      <t xml:space="preserve">Compare to Mix of Vehicles Entering Manhattan CBD on weekdays </t>
    </r>
    <r>
      <rPr>
        <sz val="9"/>
        <rFont val="Arial"/>
        <family val="2"/>
      </rPr>
      <t>(which includes not just Hudson River crossings but also E River and 60th St.)</t>
    </r>
  </si>
  <si>
    <t>% of cars + trucks</t>
  </si>
  <si>
    <t>% of trucks only</t>
  </si>
  <si>
    <t>The following toll schedule accomplishes that objective.</t>
  </si>
  <si>
    <t>Wheels</t>
  </si>
  <si>
    <t>Axles</t>
  </si>
  <si>
    <t>Truck Toll as Multiple of Car Toll</t>
  </si>
  <si>
    <t>E-ZPass, Peak</t>
  </si>
  <si>
    <t>6-Axle truck</t>
  </si>
  <si>
    <t>7-Axle truck</t>
  </si>
  <si>
    <t>MTA Major Crossings</t>
  </si>
  <si>
    <t>E-ZPass, Off-Peak</t>
  </si>
  <si>
    <t>E. Lincoln Tunnel Truck volume Data</t>
  </si>
  <si>
    <t>D. Current Tunnel Toll Rates</t>
  </si>
  <si>
    <t xml:space="preserve">Truck tolls (3 axles and more) are from &lt;http://www.panynj.gov/truckers-resources/&gt;. Tolls for cars and 2-axle trucks are from &lt;http://www.panynj.gov/bridges-tunnels/tolls.html&gt;. All tolls are as of March 2011. </t>
  </si>
  <si>
    <t>Estimates mix of truck types that currently enter the CBD and calculates average ratio of truck-car tolls from axle-based truck toll schedule.</t>
  </si>
  <si>
    <r>
      <t xml:space="preserve">Truck tolls are "looked up" from toll schedule in </t>
    </r>
    <r>
      <rPr>
        <b/>
        <sz val="8"/>
        <rFont val="Arial"/>
        <family val="2"/>
      </rPr>
      <t>by Hour</t>
    </r>
    <r>
      <rPr>
        <sz val="8"/>
        <rFont val="Arial"/>
        <family val="2"/>
      </rPr>
      <t xml:space="preserve"> worksheet, and then multiplied by truck-to-auto toll ratio from </t>
    </r>
    <r>
      <rPr>
        <b/>
        <sz val="8"/>
        <rFont val="Arial"/>
        <family val="2"/>
      </rPr>
      <t>User Inputs.</t>
    </r>
  </si>
  <si>
    <r>
      <t xml:space="preserve">Bus tolls are "looked up" from toll schedule in </t>
    </r>
    <r>
      <rPr>
        <b/>
        <sz val="8"/>
        <rFont val="Arial"/>
        <family val="2"/>
      </rPr>
      <t>by Hour</t>
    </r>
    <r>
      <rPr>
        <sz val="8"/>
        <rFont val="Arial"/>
        <family val="2"/>
      </rPr>
      <t xml:space="preserve"> worksheet, and then multiplied by truck-to-auto toll ratio from </t>
    </r>
    <r>
      <rPr>
        <b/>
        <sz val="8"/>
        <rFont val="Arial"/>
        <family val="2"/>
      </rPr>
      <t>User Inputs.</t>
    </r>
  </si>
  <si>
    <r>
      <t xml:space="preserve">Truck tolls are "looked up" from toll schedule in </t>
    </r>
    <r>
      <rPr>
        <b/>
        <sz val="8"/>
        <rFont val="Arial"/>
        <family val="2"/>
      </rPr>
      <t xml:space="preserve">Weekend Hours </t>
    </r>
    <r>
      <rPr>
        <sz val="8"/>
        <rFont val="Arial"/>
        <family val="2"/>
      </rPr>
      <t xml:space="preserve">worksheet, and then multiplied by truck-to-auto toll ratio from </t>
    </r>
    <r>
      <rPr>
        <b/>
        <sz val="8"/>
        <rFont val="Arial"/>
        <family val="2"/>
      </rPr>
      <t>User Inputs.</t>
    </r>
  </si>
  <si>
    <r>
      <t xml:space="preserve">Bus tolls are "looked up" from toll schedule in </t>
    </r>
    <r>
      <rPr>
        <b/>
        <sz val="8"/>
        <rFont val="Arial"/>
        <family val="2"/>
      </rPr>
      <t xml:space="preserve">Weekend Hours </t>
    </r>
    <r>
      <rPr>
        <sz val="8"/>
        <rFont val="Arial"/>
        <family val="2"/>
      </rPr>
      <t xml:space="preserve">worksheet, and then multiplied by truck-to-auto toll ratio from </t>
    </r>
    <r>
      <rPr>
        <b/>
        <sz val="8"/>
        <rFont val="Arial"/>
        <family val="2"/>
      </rPr>
      <t>User Inputs.</t>
    </r>
  </si>
  <si>
    <t>A. Drop ($ Increase)</t>
  </si>
  <si>
    <t>C. Wait Time Rate (% Incrs)</t>
  </si>
  <si>
    <t>Part A. Medallion Taxi Fares (as of March 2011)</t>
  </si>
  <si>
    <t>Standard City Rate (Rate Code 1)</t>
  </si>
  <si>
    <t>Additional Charges</t>
  </si>
  <si>
    <t>4 pm - 8 pm</t>
  </si>
  <si>
    <t>8 pm - 6 am</t>
  </si>
  <si>
    <t>% of 24-h day</t>
  </si>
  <si>
    <t>% of fares</t>
  </si>
  <si>
    <t>Komanoff rough est. taking account light overnight usage</t>
  </si>
  <si>
    <r>
      <t xml:space="preserve">Note: "Ravitch" (NYS) Surcharge </t>
    </r>
    <r>
      <rPr>
        <u/>
        <sz val="8"/>
        <rFont val="Arial"/>
        <family val="2"/>
      </rPr>
      <t>not</t>
    </r>
    <r>
      <rPr>
        <sz val="8"/>
        <rFont val="Arial"/>
        <family val="2"/>
      </rPr>
      <t xml:space="preserve"> included in this box.</t>
    </r>
  </si>
  <si>
    <t>Night surcharge after 8:00 PM &amp; before 6:00 AM:</t>
  </si>
  <si>
    <t>Peak hour Weekday Surcharge, M-F 4:00 PM - 8:00 PM:</t>
  </si>
  <si>
    <t>Impact of Night &amp; Peak-Hr Surcharges, Weekdays</t>
  </si>
  <si>
    <t>Impact of Night &amp; Peak-Hr Surcharges, Weekends</t>
  </si>
  <si>
    <t>Komanoff est. taking account heavier weekend night usage</t>
  </si>
  <si>
    <r>
      <t xml:space="preserve">NY State Tax Surcharge </t>
    </r>
    <r>
      <rPr>
        <sz val="8"/>
        <rFont val="Arial"/>
        <family val="2"/>
      </rPr>
      <t>(enacted 2009 as part of "Ravitch Plan")</t>
    </r>
  </si>
  <si>
    <t>upon entry</t>
  </si>
  <si>
    <t>for each additional unit, where a unit is:</t>
  </si>
  <si>
    <t>(per additional mile traveled at 6 mph or more)</t>
  </si>
  <si>
    <t>(per hour traveled at less than 12 mph)</t>
  </si>
  <si>
    <t>Avg Speed</t>
  </si>
  <si>
    <t>% miles &gt; 6 mph</t>
  </si>
  <si>
    <t>Drop $</t>
  </si>
  <si>
    <t>Miles $</t>
  </si>
  <si>
    <t>Wait $</t>
  </si>
  <si>
    <t>Total $</t>
  </si>
  <si>
    <t>% time &lt; 12 mph</t>
  </si>
  <si>
    <t>Avg Surchrg</t>
  </si>
  <si>
    <t xml:space="preserve">minute when taxicab is traveling at mph &lt; </t>
  </si>
  <si>
    <t>miles, when taxicab is traveling at mph &gt; or =</t>
  </si>
  <si>
    <t>NYC Medallion Taxi Charges, translated into simpler terms</t>
  </si>
  <si>
    <t>Example: Inputs</t>
  </si>
  <si>
    <t>Example: Outputs</t>
  </si>
  <si>
    <t>(example for this case)</t>
  </si>
  <si>
    <t>(will be used throughout this worksheet)</t>
  </si>
  <si>
    <t xml:space="preserve">Fares for Sample Weekday Trips </t>
  </si>
  <si>
    <t>Assumed ratio of standard deviation of trip speed to avg trip speed:</t>
  </si>
  <si>
    <t>Part D. Update 2005 Data in Parts B &amp; C to 2011</t>
  </si>
  <si>
    <t>Addition to daily revenue from NYS Surcharge</t>
  </si>
  <si>
    <t>Addition to annual revenue from NYS Surcharge, millions</t>
  </si>
  <si>
    <t>Assumed change in number of fare rides per year (2011 vs. 2005)</t>
  </si>
  <si>
    <t>Assumed change in revenue per fare ride, other than NYS Surcharge (2011 vs. 2005)</t>
  </si>
  <si>
    <t>Addition to annual revenue from sources in two preceding rows, 2011 vs. 2005, millions</t>
  </si>
  <si>
    <t>Total Addition to annual revenue from all sources, 2011 vs. 2005, millions</t>
  </si>
  <si>
    <t>% Increase in Average Fare, 2011 vs. 2005</t>
  </si>
  <si>
    <t>Annual Revenue, split between weekdays and weekends, 2005, millions</t>
  </si>
  <si>
    <t>Override Mileage Threshold?</t>
  </si>
  <si>
    <t>Override acts as if percents in Column D in sample-fare table are 100%. We have inserted it out of uncertainty over whether the apparent threshold for including mileage charge in the fare actually applies.</t>
  </si>
  <si>
    <t>Part A summarizes the fare structure for medallion taxi rides and constructs several examples, including some on "typical" taxi trips.</t>
  </si>
  <si>
    <t>Parts B and C compile parameters related to medallion taxicabs that are used in other worksheets.</t>
  </si>
  <si>
    <r>
      <t xml:space="preserve">Part B. Taxi Parameters from NY Taxicab Fact Book </t>
    </r>
    <r>
      <rPr>
        <sz val="10"/>
        <rFont val="Arial"/>
        <family val="2"/>
      </rPr>
      <t>(before implementing any traffic pricing including taxi pricing)</t>
    </r>
  </si>
  <si>
    <r>
      <t xml:space="preserve">Part C. Taxi Parameters Calculated from Data in NY Taxicab Fact Book, or otherwise relating to Data in Part B </t>
    </r>
    <r>
      <rPr>
        <sz val="9"/>
        <rFont val="Arial"/>
        <family val="2"/>
      </rPr>
      <t>(before implementing traffic pricing)</t>
    </r>
  </si>
  <si>
    <t>Part D updates 2005 fare and ridership data to 2011.</t>
  </si>
  <si>
    <t>Annual Revenue, millions, 2011 (est.)</t>
  </si>
  <si>
    <t xml:space="preserve">Annual Revenue, millions, 2011, est. </t>
  </si>
  <si>
    <t>Taxi ridership, millions, 2005 (fare trips, not number of passengers)</t>
  </si>
  <si>
    <t>All assumptions are from Schaller, except (i) weekend passengers per trip, which is by Komanoff (in lieu of separate weekend estimates by Schaller), and (iii) % of VMT spent cruising, which reduced Schaller's 39% figure by around one-tenth.</t>
  </si>
  <si>
    <r>
      <t>We traced this anomaly to a gain of $170 million in "Motor Vehicle Tolls" in the Cost Benefit</t>
    </r>
    <r>
      <rPr>
        <sz val="9"/>
        <rFont val="Arial"/>
        <family val="2"/>
      </rPr>
      <t xml:space="preserve"> worksheet. (The other $10 million "increase" was due to an error in converting daily transit revenues to annual.) It arose because the $2.76 figure for current tolls, which underlay the calculation of toll revenues, was overstated, causing toll revenues in the "</t>
    </r>
    <r>
      <rPr>
        <b/>
        <sz val="9"/>
        <rFont val="Arial"/>
        <family val="2"/>
      </rPr>
      <t>Revenue"</t>
    </r>
    <r>
      <rPr>
        <sz val="9"/>
        <rFont val="Arial"/>
        <family val="2"/>
      </rPr>
      <t xml:space="preserve"> worksheet to be calculated in the third column block as $723 million, rather than their then-current (2006) value of $550 million. The difference (rounded) was $170 million.</t>
    </r>
  </si>
  <si>
    <r>
      <t>Important technical note 2</t>
    </r>
    <r>
      <rPr>
        <sz val="9"/>
        <rFont val="Arial"/>
        <family val="2"/>
      </rPr>
      <t xml:space="preserve">: After we released the Jan. 2008 report noted above, a </t>
    </r>
    <r>
      <rPr>
        <i/>
        <sz val="9"/>
        <rFont val="Arial"/>
        <family val="2"/>
      </rPr>
      <t>Grist</t>
    </r>
    <r>
      <rPr>
        <sz val="9"/>
        <rFont val="Arial"/>
        <family val="2"/>
      </rPr>
      <t xml:space="preserve"> commenter pointed out that we hadn't linked parking pricing revenues to the reduction in CBD crossings that parking pricing would evoke. We had taken credit for new </t>
    </r>
    <r>
      <rPr>
        <i/>
        <sz val="9"/>
        <rFont val="Arial"/>
        <family val="2"/>
      </rPr>
      <t xml:space="preserve">parking </t>
    </r>
    <r>
      <rPr>
        <sz val="9"/>
        <rFont val="Arial"/>
        <family val="2"/>
      </rPr>
      <t xml:space="preserve">revenues without reflecting the drop in </t>
    </r>
    <r>
      <rPr>
        <i/>
        <sz val="9"/>
        <rFont val="Arial"/>
        <family val="2"/>
      </rPr>
      <t>toll</t>
    </r>
    <r>
      <rPr>
        <sz val="9"/>
        <rFont val="Arial"/>
        <family val="2"/>
      </rPr>
      <t xml:space="preserve"> revenues due to trips eliminated by charging for parking. Our inadvertent double-counting probably led us to overstate annual revenue by $160 million. (See discussion here: &lt;http://bit.ly/fHCDi5&gt;. This defect does not occur in BTA 1.1, which does not analyze (or take credit for) parking revenues.</t>
    </r>
  </si>
  <si>
    <t>Its main purpose is to estimate the impacts of a cordon toll, and possible taxi surcharges, on the use of yellow cabs, and to feed those results back to other BTA worksheets.</t>
  </si>
  <si>
    <t>Estimates impacts of cordon toll and possible taxi surcharges on use of yellow cabs, and feeds those results back to other BTA worksheets.</t>
  </si>
  <si>
    <t>NYCT Bus Fare, weekdays</t>
  </si>
  <si>
    <t>Blocks to left and right will be revised to pivot off TLC rate structure shown in Part A.</t>
  </si>
  <si>
    <t>ST with $1 avg taxi fare hike, no bus-sub fare breaks</t>
  </si>
  <si>
    <t>Non-Revenue Vehicles, % of Traffic Entering CBD</t>
  </si>
  <si>
    <t>B. Fare Discounts (Pay-Per-Ride Fares)</t>
  </si>
  <si>
    <t>C. Fare Discounts (Unlimited MetroCards)</t>
  </si>
  <si>
    <t>7-day Unlimited Pass (as of 30-Dec-2010)</t>
  </si>
  <si>
    <t>Actual data for typical weekday in 2008</t>
  </si>
  <si>
    <t>Current Fare as Experienced by Subset of Subway Riders who pay on per-ride basis</t>
  </si>
  <si>
    <t>Proposed Fare to be Experienced by Subset of Subway Riders who pay on per-ride basis</t>
  </si>
  <si>
    <t>% Change in Price of Unlimited Fare MetroCard</t>
  </si>
  <si>
    <t>As of 30-Dec-2010</t>
  </si>
  <si>
    <t>28-Jun-2009 to 30-Dec-2010</t>
  </si>
  <si>
    <t>Further breakout, of unlimited fare media</t>
  </si>
  <si>
    <t>7 Day</t>
  </si>
  <si>
    <t>30 Day</t>
  </si>
  <si>
    <t>7D Normzd</t>
  </si>
  <si>
    <t>30D Normzd</t>
  </si>
  <si>
    <t>Source: Same MTA worksheet as above, w/ analogous calculations. Normalized figures inflate 7-day and 30-day cards' shares as if the two were the only fare media.</t>
  </si>
  <si>
    <t>30-day Unlimited Ride MetroCard (a/o 30-Dec-2010)</t>
  </si>
  <si>
    <t>Weighted Average of the two (applies only to changes)</t>
  </si>
  <si>
    <t>Change (Multiple)</t>
  </si>
  <si>
    <t>Reciprocal of Change</t>
  </si>
  <si>
    <t>Source: Fares are via &lt;http://www.mta.info/metrocard/mcgtreng.htm#unlimited&gt; for 30-Dec-2010 fares; &lt;http://www.mta.info/mta/news/releases/?en=090511-HQ15&gt; for prior fares.</t>
  </si>
  <si>
    <t>Of which these are purchased on pay-per-ride basis</t>
  </si>
  <si>
    <t>And these are purchased with unlimited fare cards</t>
  </si>
  <si>
    <t>% Change in work-trip ridership among pay-per-riders, due to subway price change</t>
  </si>
  <si>
    <t>% Change in non-work-trip ridership among pay-per-riders, due to subway price change</t>
  </si>
  <si>
    <r>
      <t xml:space="preserve">A1. Subway Trip Gains/Losses among trips purchased on pay-per-ride basis </t>
    </r>
    <r>
      <rPr>
        <sz val="9"/>
        <rFont val="Arial"/>
        <family val="2"/>
      </rPr>
      <t>(price changes only)</t>
    </r>
  </si>
  <si>
    <r>
      <t xml:space="preserve">A2. Subway Trip Gains/Losses among trips purchased w/ Unlimited MetroCards </t>
    </r>
    <r>
      <rPr>
        <sz val="9"/>
        <rFont val="Arial"/>
        <family val="2"/>
      </rPr>
      <t>(price changes only)</t>
    </r>
  </si>
  <si>
    <t xml:space="preserve">Current Fare as Experienced by Unlimited Card Riders </t>
  </si>
  <si>
    <t xml:space="preserve">Proposed Fare to be Experienced by Unlimited Card Riders </t>
  </si>
  <si>
    <t>% Change in work-trip ridership among unlimited card riders, due to subway price change</t>
  </si>
  <si>
    <t>% Change in non-work-trip ridership among unlimited card riders, due to subway price change</t>
  </si>
  <si>
    <t>Change in work-trip ridership among unlimited card riders due to subway price change</t>
  </si>
  <si>
    <t>Change in non-work-trip ridership among unlimited card riders due to subway price change</t>
  </si>
  <si>
    <t>Total Change in ridership among unlimited card riders due to subway price change</t>
  </si>
  <si>
    <r>
      <t xml:space="preserve">A3. Subway Trip Gains/Losses among Pay-Per-Riders + Unlimited Riders Combined </t>
    </r>
    <r>
      <rPr>
        <sz val="9"/>
        <rFont val="Arial"/>
        <family val="2"/>
      </rPr>
      <t>(price changes only)</t>
    </r>
  </si>
  <si>
    <t>A4. Subway Trip Gains/Losses among All Riders Due to Service Changes</t>
  </si>
  <si>
    <t>Duration change due to eliminating fare collection</t>
  </si>
  <si>
    <t>Change in work-trip ridership due to subway duration change</t>
  </si>
  <si>
    <t>Change in non-work-trip ridership due to subway duration change</t>
  </si>
  <si>
    <t>Total Change in ridership due to subway duration change</t>
  </si>
  <si>
    <t>Combined change in ridership due to subway price &amp; trip-duration changes</t>
  </si>
  <si>
    <t>Combined change in ridership due to subway price &amp; trip-duration changes, expressed as percent</t>
  </si>
  <si>
    <t xml:space="preserve">Change in non-work-trip ridership among pay-per-riders due to subway price change </t>
  </si>
  <si>
    <t xml:space="preserve">Change in work-trip ridership among pay-per-riders due to subway price change </t>
  </si>
  <si>
    <t xml:space="preserve">Total Change in ridership among pay-per-riders due to subway price change </t>
  </si>
  <si>
    <t>A5. Summary of Subway Trip Gains/Losses Due to Price and Service Changes</t>
  </si>
  <si>
    <t>Grand total changes</t>
  </si>
  <si>
    <t>Note: Figures below are not 'final' figures, since they will be supplemented not only by 'period changes' in Section B, but by Mode Shifting with Autos and Cabs. They will also be prorated from CBD-related trips, to full-system trips.</t>
  </si>
  <si>
    <t xml:space="preserve">Note: Percents above are not 'final' percents, since they will be supplemented by 'period changes' in Section B as well as by Mode Shifting with Autos and Cabs. </t>
  </si>
  <si>
    <t>Number of trips entering or leaving hub that are purchased on pay-per-ride basis</t>
  </si>
  <si>
    <t>Number of trips entering or leaving hub that are purchased with unlimited cards</t>
  </si>
  <si>
    <t>Of which these changes are among pay-per-riders</t>
  </si>
  <si>
    <t>And these changes are unlimited card riders</t>
  </si>
  <si>
    <t>And, of which these changes are for work trips</t>
  </si>
  <si>
    <t>While these changes are for non-work trips</t>
  </si>
  <si>
    <t>Of which these trips are by pay-per-riders</t>
  </si>
  <si>
    <t>And these trips are by unlimited card riders</t>
  </si>
  <si>
    <r>
      <rPr>
        <u/>
        <sz val="9"/>
        <rFont val="Arial"/>
        <family val="2"/>
      </rPr>
      <t>New</t>
    </r>
    <r>
      <rPr>
        <sz val="9"/>
        <rFont val="Arial"/>
        <family val="2"/>
      </rPr>
      <t xml:space="preserve"> Revenue, by period and total (CBD weekday trips only), non-normalized, from Riders who use Unlimited Cards</t>
    </r>
  </si>
  <si>
    <t>Proposed Fare to be Experienced by Subway Riders who pay on per-ride basis</t>
  </si>
  <si>
    <t>Proposed Fare to be Experienced by Subway Riders who pay with Unlimited farecards</t>
  </si>
  <si>
    <t xml:space="preserve">% Change in ridership by riders who pay on per-ride basis, due to subway fare change </t>
  </si>
  <si>
    <t>Proposed Fare Change, %, to be felt by Subway Riders who pay on per-ride basis</t>
  </si>
  <si>
    <t>Proposed Fare Change, %, to be felt by Subway Riders who pay with Unlimited farecards</t>
  </si>
  <si>
    <t xml:space="preserve">% Change in ridership by riders who pay with Unlimiteds, due to subway fare change </t>
  </si>
  <si>
    <t>Baseline rides, 2011, per day, using Pay-Per-Ride (unadjusted)</t>
  </si>
  <si>
    <t>Baseline rides, 2011, per day, using Unlimited Cards (unadj.)</t>
  </si>
  <si>
    <t>Increase in ridership due to service imprvmnts (per day, unadj.)</t>
  </si>
  <si>
    <t>New rides, per day, using Pay-Per-Ride (unadjusted) (total, not increase, but price changes only)</t>
  </si>
  <si>
    <t>New rides, per day, using Unlimiteds (unadjusted) (total, not increase, but price changes only)</t>
  </si>
  <si>
    <t>New rides, per day, 2011, using Pay-Per-Ride (unadjusted) (total, not increase)</t>
  </si>
  <si>
    <t>New rides, per day, 2011, using Unlimited Cards (unadjusted) (total, not increase)</t>
  </si>
  <si>
    <t>New rides, 2011, normalized, from Riders who pay with Unlimited Cards, thousands</t>
  </si>
  <si>
    <t>New Revenue from Riders who pay with Unlimited Cards, thousands</t>
  </si>
  <si>
    <t>New Revenue, all subway riders, thousands</t>
  </si>
  <si>
    <t>Of which this many pay on pay-per-ride basis</t>
  </si>
  <si>
    <t>And of which this many pay with Unlimited Farecards</t>
  </si>
  <si>
    <t>2011 Baseline Fare as experienced by Riders who pay with Unlimiteds</t>
  </si>
  <si>
    <t>Estimated ridership change among Pay-Per-Riders, from fare change</t>
  </si>
  <si>
    <t>Estimated ridership change among Unlimited Fare Riders, from fare change</t>
  </si>
  <si>
    <t>2011 Baseline Fare as experienced by Bus Riders who pay on per-ride basis</t>
  </si>
  <si>
    <t>Pay Per Riders: Impact of Fare Changes</t>
  </si>
  <si>
    <t>Unlimited Farecard Riders: Impact of Fare Changes</t>
  </si>
  <si>
    <t>All Riders: Impact of Travel-Time (Service) Changes</t>
  </si>
  <si>
    <t>Change in Pay-Per-Riders, resulting from fare change, millions</t>
  </si>
  <si>
    <t>Change in Unlimited-Fare Riders, resulting from fare change, millions</t>
  </si>
  <si>
    <t>Change in All Bus Riders, resulting from service changes, millions</t>
  </si>
  <si>
    <t>Of which this many changes are rides paid on pay-per-ride basis</t>
  </si>
  <si>
    <t>And of which this many changes are rides paid with Unlimited Farecards</t>
  </si>
  <si>
    <t>Aggregate the Above Changes in Bus Ridership</t>
  </si>
  <si>
    <t>Change in Pay-Per-Rides, millions</t>
  </si>
  <si>
    <t>Change in Unlimited Farecard Rides, millions</t>
  </si>
  <si>
    <t>Changes in All Fare-Media Rides, millions</t>
  </si>
  <si>
    <t>New bus trips due to cordon toll &amp; changes in taxi fares, per year (millions)</t>
  </si>
  <si>
    <t>D. Total Change in Bus Ridership (millions)</t>
  </si>
  <si>
    <t>E. Bus Farebox Revenue</t>
  </si>
  <si>
    <t>Of which this many rides will be paid on pay-per-ride basis</t>
  </si>
  <si>
    <t>And of which this many rides will be paid with Unlimited Farecards</t>
  </si>
  <si>
    <t>Projected fares paying on per-ride basis (normalized), millions</t>
  </si>
  <si>
    <t>Baseline fares paying on per-ride basis (normalized), millions</t>
  </si>
  <si>
    <t>Baseline revenue from per-ride-paying fares, millions</t>
  </si>
  <si>
    <t>Baseline fares paying w/ unlimited cards (normalized), millions</t>
  </si>
  <si>
    <t>Baseline revenue from non-per-ride-paying fares, millions</t>
  </si>
  <si>
    <t>Total baseline revenue, millions</t>
  </si>
  <si>
    <t>Projected revenue from per-ride-paying fares, millions</t>
  </si>
  <si>
    <t>Projected fares paying w/ unlimited cards (normalized), millions</t>
  </si>
  <si>
    <t>Of which this is from new rides attracted by changed per-ride fares, millions</t>
  </si>
  <si>
    <t>Proposed Fare to be experienced by Bus Riders who pay with Unlimiteds</t>
  </si>
  <si>
    <t>Of which this is from new rides attracted by changed unlimited fares, millions</t>
  </si>
  <si>
    <t>And of which these are from all new rides attracted by changed fares, millions</t>
  </si>
  <si>
    <t>Of which this is from new pay-per-rides attracted by changed service, millions</t>
  </si>
  <si>
    <t>Of which this is from new unlimited rides attracted by changed service, millions</t>
  </si>
  <si>
    <t>And of which these are from all new rides attracted by changed service, millions</t>
  </si>
  <si>
    <t>Value of Veh-Hr in Traffic</t>
  </si>
  <si>
    <t>Subway Farebox Windfall</t>
  </si>
  <si>
    <t>Bus Farebox Windfall</t>
  </si>
  <si>
    <t>Revenue gain from plan measures that lead to increased use of NYC Transit subways.</t>
  </si>
  <si>
    <t>Revenue gain from plan measures that lead to increased use of NYC Transit buses.</t>
  </si>
  <si>
    <t>Note: applies to farecards w/ at least $10 value.</t>
  </si>
  <si>
    <t>MTA Discount prior to 30-Dec-2010 fare increases</t>
  </si>
  <si>
    <t>"Higher Fares, Tolls Kick In," Wall Street Journal, 30-Dec-2010, by Andrew Grossman, available at &lt;http://online.wsj.com/article/SB10001424052970203525404576050123745877678.html?mod=googlenews_wsj&gt;.</t>
  </si>
  <si>
    <t>% Bonus w/ Purchase of MetroCard of $10 or More</t>
  </si>
  <si>
    <t>Reduce price of unlimited transit fares by 12.4%</t>
  </si>
  <si>
    <t>lose $140 million</t>
  </si>
  <si>
    <t>Restore pay-per-ride bulk discount to 15%, from 7%.</t>
  </si>
  <si>
    <t>Same as dir'ly above, plus 12.4% drop in unlimiteds price</t>
  </si>
  <si>
    <t>lose $100 million</t>
  </si>
  <si>
    <t>Fare Reduxn for All Metro-North &amp; LIRR Service</t>
  </si>
  <si>
    <t>G. Reduced Fares for Commuter Railroads</t>
  </si>
  <si>
    <t>Assumed Fare Reduction, %</t>
  </si>
  <si>
    <t>Lost Revenue, $</t>
  </si>
  <si>
    <t>Commuter Rail Farebox: Blanket Discounts</t>
  </si>
  <si>
    <t>Change in gross revenue from Discounting all Metro-North and LIRR Commuter Rail Road fares</t>
  </si>
  <si>
    <t xml:space="preserve">Change in gross revenue from charging subway fare on M-N and LIRR intra-city rides </t>
  </si>
  <si>
    <t>H. Reduced Fares for In-City Rides on Commuter Railroads</t>
  </si>
  <si>
    <t>Cost calculated on undiscounted 2011 revenue</t>
  </si>
  <si>
    <t>Cost calculated on discounted 2011 revenue</t>
  </si>
  <si>
    <t>2011 Intra-City Rev. if All Commuter Fares Discounted</t>
  </si>
  <si>
    <t>The BTA allows for the option of reducing express bus fares, perhaps even to the extent of equalizing fares for all in-city bus. This would promote "fare equity" and allow transit users to choose between NYC Transit buses and buses operated by MTA Bus Co. (primarily express buses) based on convenience and schedule rather than price.</t>
  </si>
  <si>
    <t>MTA 2011 Budget, section entitled MTA Bus Company, 2011 Final Proposed Budget, November Financial Plan 2011-2014, p. V-327. Available at &lt;http://bit.ly/hYifuy&gt;.</t>
  </si>
  <si>
    <t>Reset "baseline" so reserve = $50M, 10% commuter rail and express buses, other changes from above</t>
  </si>
  <si>
    <t>The premise in both analyses is that commuters' out-of-pocket costs and time costs can be combined into total costs, and that distributions of these costs conform to the Gaussian "normal" distribution. The commute mode chosen by the commuter will be the one with the lower total cost. In the analysis we assume that all trips benefit from the increased travel speeds resulting from the cordon toll — not just the improved highway speeds, but improved subway speeds stemming from investing toll revenues into transit upgrades.</t>
  </si>
  <si>
    <t>Park-and-Ride Scenario #1: Drive to CBD, vs. Park-and-Ride (via Subway to CBD)</t>
  </si>
  <si>
    <t>One-way distance from "portal" to CBD at which option to park-n-ride appears (in miles)</t>
  </si>
  <si>
    <t>Assumptions That Apply to All Trips Analyzed in this Scenario</t>
  </si>
  <si>
    <t>Time to drive from hwy to parking lot or area to cruise for on-street parking (minutes)</t>
  </si>
  <si>
    <r>
      <t xml:space="preserve">Trip Figures </t>
    </r>
    <r>
      <rPr>
        <sz val="10"/>
        <rFont val="Arial"/>
        <family val="2"/>
      </rPr>
      <t>(for eventual estimation of numbers of trips affected rather than simply percents)</t>
    </r>
  </si>
  <si>
    <t>Komanoff assumption, intended to capture drivers' attachment to "their cars" and hassle factor of mode-switching.</t>
  </si>
  <si>
    <t>Nominal value of time within CBD for a solo driver on a work trip</t>
  </si>
  <si>
    <t>Nominal value of time outside of CBD for a solo driver on a work trip</t>
  </si>
  <si>
    <t>Time to walk from parking space to subway station, minutes</t>
  </si>
  <si>
    <t>Time between reaching subway station and arrival of train to CBD, minutes</t>
  </si>
  <si>
    <t>Distance from highway exit point (park vs. drive) to cordon, miles</t>
  </si>
  <si>
    <t>via subway</t>
  </si>
  <si>
    <t>via auto</t>
  </si>
  <si>
    <t>Time to cover distance from cordon to trip terminus, minutes</t>
  </si>
  <si>
    <t>Time to walk from trip terminus (subway or garage/lot) to destination, minutes</t>
  </si>
  <si>
    <t>Total time for this leg of journey (following highway "exit point"; one way)</t>
  </si>
  <si>
    <t>Time to walk from workplace to subway or garage/lot to begin reverse trip, minutes</t>
  </si>
  <si>
    <r>
      <t xml:space="preserve">Outbound </t>
    </r>
    <r>
      <rPr>
        <sz val="9"/>
        <rFont val="Arial"/>
        <family val="2"/>
      </rPr>
      <t xml:space="preserve">(explanations for entries and calculations are mostly omitted, for brevity; they should be evident from </t>
    </r>
    <r>
      <rPr>
        <b/>
        <sz val="9"/>
        <rFont val="Arial"/>
        <family val="2"/>
      </rPr>
      <t>Inbound</t>
    </r>
    <r>
      <rPr>
        <sz val="9"/>
        <rFont val="Arial"/>
        <family val="2"/>
      </rPr>
      <t xml:space="preserve"> section, above)</t>
    </r>
  </si>
  <si>
    <t>Time to cover trip leg within cordon, minutes</t>
  </si>
  <si>
    <t>Distance from beginning of reverse trip to cordon boundary, miles</t>
  </si>
  <si>
    <t>A. Parking</t>
  </si>
  <si>
    <t>B. Traveling from Highway Exit or Park-n-Ride Spot, to CBD</t>
  </si>
  <si>
    <t>C. Traveling from CBD Entry Point to Destination</t>
  </si>
  <si>
    <t>D. Inbound Trip Legs, Combined</t>
  </si>
  <si>
    <t>D. Outbound Trip Legs, Combined</t>
  </si>
  <si>
    <t>B. Traveling from CBD to Highway Exit or Park-n-Ride Spot</t>
  </si>
  <si>
    <t>Distance from cordon to highway exit point (park vs. drive), miles</t>
  </si>
  <si>
    <t>Time to cover distance from cordon exit to highway exit point, minutes</t>
  </si>
  <si>
    <t>Time between reaching subway station and arrival of train from CBD, minutes</t>
  </si>
  <si>
    <t xml:space="preserve">A. Traveling from Destination to CBD Exit Point </t>
  </si>
  <si>
    <t>Time to retrieve car from CBD parking lot and begin drive out of CBD, minutes</t>
  </si>
  <si>
    <t>C. Final Leg, from Park-n-Ride Spot to Home</t>
  </si>
  <si>
    <t>Time to walk from subway station to parking space, minutes</t>
  </si>
  <si>
    <t>Time to pick up car from curbside space or parking lot, minutes</t>
  </si>
  <si>
    <t>Time to drive from parking space to hwy entr. to begin final leg of return journey (minutes)</t>
  </si>
  <si>
    <t>Time to cover distance from highway exit point or subway platform to cordon, minutes</t>
  </si>
  <si>
    <t>Time to park auto in CBD parking lot, minutes</t>
  </si>
  <si>
    <t>Value of time for trip (per hour)</t>
  </si>
  <si>
    <t>Inbound and Outbound Legs, Combined (total time, minutes)</t>
  </si>
  <si>
    <t>Distance driven inside cordon, miles, both ways</t>
  </si>
  <si>
    <t>Distance traveled outside cordon on inbound trip, miles</t>
  </si>
  <si>
    <t>Distance traveled outside cordon on outbound trip, miles</t>
  </si>
  <si>
    <t>Percent increase in distance from highway exit to parking lot or curbside space after implementing cordon toll</t>
  </si>
  <si>
    <t>Total distance traveled outside cordon, miles</t>
  </si>
  <si>
    <t>Subway Fare (both ways)</t>
  </si>
  <si>
    <t xml:space="preserve">Increase from "Before" Cost </t>
  </si>
  <si>
    <r>
      <t xml:space="preserve">A negative result indicates that cordon pricing should be expected to cause a </t>
    </r>
    <r>
      <rPr>
        <i/>
        <sz val="9"/>
        <rFont val="Arial"/>
        <family val="2"/>
      </rPr>
      <t>decrease</t>
    </r>
    <r>
      <rPr>
        <sz val="9"/>
        <rFont val="Arial"/>
        <family val="2"/>
      </rPr>
      <t xml:space="preserve"> in the number of commuters to the CBD who currently park-and-ride.</t>
    </r>
  </si>
  <si>
    <t>Time to park auto in (park-n-ride) neighborhood, minutes</t>
  </si>
  <si>
    <r>
      <rPr>
        <b/>
        <sz val="10"/>
        <rFont val="Arial"/>
        <family val="2"/>
      </rPr>
      <t xml:space="preserve">Note: </t>
    </r>
    <r>
      <rPr>
        <sz val="10"/>
        <rFont val="Arial"/>
        <family val="2"/>
      </rPr>
      <t>The analysis is done for two directions of travel (round-trip) and assumes that trips are done for work purposes. It's also predicated on trips entering CBD during 6-9 a.m. morning peak and departing during 2-8 p.m. evening peak.</t>
    </r>
  </si>
  <si>
    <t>Distance from home in Babylon to Rosedale, miles</t>
  </si>
  <si>
    <t>Time to walk from parking space to LIRR station, minutes</t>
  </si>
  <si>
    <t>A. Traveling from Home in Babylon to Park-n-Ride Target Area</t>
  </si>
  <si>
    <t>Park-n-Ride distances are via Mapquest ("Babylon, NY to Sunrise Hwy &amp; 243rd St, Rosedale, NY 11422,") approximate location of LIRR Rosedale station. All LIRR distances are Komanoff assumption for trip from home to parking lot for LIRR Babylon station.</t>
  </si>
  <si>
    <t>B. Parking near LIRR Station</t>
  </si>
  <si>
    <t xml:space="preserve">C. Traveling from LIRR Station to Penn Station </t>
  </si>
  <si>
    <t>Time to access train (includes wait time)</t>
  </si>
  <si>
    <t>LIRR travel time, minutes</t>
  </si>
  <si>
    <t>Speed to drive that distance, mph</t>
  </si>
  <si>
    <t>Time to drive distance from home to park-n-ride target area, minutes</t>
  </si>
  <si>
    <t xml:space="preserve">A. Traveling from Penn Station to LIRR Station </t>
  </si>
  <si>
    <t>B. Transition from LIRR Station to Auto</t>
  </si>
  <si>
    <t>Time to walk from LIRR station to parking space, minutes</t>
  </si>
  <si>
    <t>C. Final Leg, from LIRR Station to Home, via Auto</t>
  </si>
  <si>
    <t>Time to drive from park-n-ride target area to home, minutes</t>
  </si>
  <si>
    <t>Distance driven, both ways, miles</t>
  </si>
  <si>
    <t>Gasoline cost</t>
  </si>
  <si>
    <t>LIRR Fare (both ways)</t>
  </si>
  <si>
    <r>
      <t xml:space="preserve">Assumed current bus/auto ratio of tolls and per-mile "other" costs </t>
    </r>
    <r>
      <rPr>
        <sz val="8"/>
        <rFont val="Arial"/>
        <family val="2"/>
      </rPr>
      <t>(Komanoff estimate):</t>
    </r>
  </si>
  <si>
    <t>Total Cost for Journey</t>
  </si>
  <si>
    <t>Percent of all auto work trips to CBD "captured" in period being studied</t>
  </si>
  <si>
    <t>Number of auto work trips to CBD "captured" in period being studied</t>
  </si>
  <si>
    <t>Percent of all LIRR work trips to CBD "captured" in period being studied</t>
  </si>
  <si>
    <t>TK</t>
  </si>
  <si>
    <r>
      <t>9. Baseline Parking</t>
    </r>
    <r>
      <rPr>
        <sz val="8"/>
        <rFont val="Arial"/>
        <family val="2"/>
      </rPr>
      <t xml:space="preserve"> Costs (at present, i.e., in 2010, prior to comprehensive parking management)</t>
    </r>
  </si>
  <si>
    <r>
      <t xml:space="preserve">10. Baseline Trip Costs </t>
    </r>
    <r>
      <rPr>
        <sz val="9"/>
        <rFont val="Arial"/>
        <family val="2"/>
      </rPr>
      <t>(w/o cordon fee; based on 2010 prices and conditions) shown for each trip type; each entry is sum of respective entries in 4 next rows</t>
    </r>
  </si>
  <si>
    <r>
      <t>Note: The analysis in this worksheet forms the analytical backbone of "</t>
    </r>
    <r>
      <rPr>
        <b/>
        <sz val="9"/>
        <rFont val="Arial"/>
        <family val="2"/>
      </rPr>
      <t>Time Thieves</t>
    </r>
    <r>
      <rPr>
        <sz val="9"/>
        <rFont val="Arial"/>
        <family val="2"/>
      </rPr>
      <t>," an article by Charles Komanoff and Will Fisher in the Winter 2010 edition of the New York Transportation Journal, published by the NYU-Wagner Rudin Center for Transportation Policy &amp; Management. The article may be accessed via this link: &lt;http://bit.ly/hOVn9G&gt;. The same text, with a slightly clearer format, is available at this link: &lt;http://www.nnyn.org/kheelplan/Time_Thieves.pdf&gt;.</t>
    </r>
  </si>
  <si>
    <t>=(SUMPRODUCT(I109:K109,I78:K78)+L109*4)/(SUMPRODUCT(I109:K109,I78:K78,I145:K145)+L109*4*L145)</t>
  </si>
  <si>
    <r>
      <t xml:space="preserve">Along with the summary report, the PSRC published 21 volumes detailing and analyzing every aspect of the study design and findings. Among the findings is a </t>
    </r>
    <r>
      <rPr>
        <b/>
        <sz val="9"/>
        <rFont val="Arial"/>
        <family val="2"/>
      </rPr>
      <t>price-elasticity of negative 0.691 for auto vehicle miles traveled</t>
    </r>
    <r>
      <rPr>
        <sz val="9"/>
        <rFont val="Arial"/>
        <family val="2"/>
      </rPr>
      <t>. This value is shown in the last part of the last table (under “Model 4” for “All Tours”) of Appendix 19, Toll Impact Models, p. 11 of 27, and was confirmed in communications with PSRC personnel in the Spring of 2008. It applies to the "all-in" cost of driving an additional mile.</t>
    </r>
  </si>
  <si>
    <r>
      <t xml:space="preserve">Propensity to Time-Switch Earlier — </t>
    </r>
    <r>
      <rPr>
        <sz val="10"/>
        <rFont val="Arial"/>
        <family val="2"/>
      </rPr>
      <t>From the Wolff-Vilain paper discussed earlier (shown in the table above), the elasticity to time-switch from the morning peak to the immediately earlier pre-peak period is -0.60. Our procedure then takes 2.31 (the ratio just shown) and raises it to the -0.6 power, yielding 0.6 (actually, 0.604 — the two 0.6’s are coincidental). This result is then multiplied by the ratio of peak trips to pre-peak trips, which, in this example, is 6.15 (from the fact that 6.15 times as many cars currently enter the cordon during the three-hour 6-9 a.m. period as during the one-hour 5-6 a.m. period). The product, 3.71, indicates that enough trips must “redistribute” from 6-9 a.m. to 5-6 a.m. to result in a 3.71 ratio of trip frequencies, down from 6.15 before the cordon tolls.</t>
    </r>
  </si>
  <si>
    <t>Surcharge if Pay w/ Cash</t>
  </si>
  <si>
    <t>Percent now using E-ZPass (may be conservatively low)</t>
  </si>
  <si>
    <t>Percent now using other payment mechanisms</t>
  </si>
  <si>
    <t>Increment to percent using E-ZPass if cash payments are surcharged</t>
  </si>
  <si>
    <r>
      <t xml:space="preserve">Komanoff assumption. (Ideally would be parametrized based on </t>
    </r>
    <r>
      <rPr>
        <u/>
        <sz val="8"/>
        <rFont val="Arial"/>
        <family val="2"/>
      </rPr>
      <t>magnitude</t>
    </r>
    <r>
      <rPr>
        <sz val="8"/>
        <rFont val="Arial"/>
        <family val="2"/>
      </rPr>
      <t xml:space="preserve"> of cash payment.)</t>
    </r>
  </si>
  <si>
    <t xml:space="preserve">Applicable Increment to percent using E-ZPass </t>
  </si>
  <si>
    <t xml:space="preserve">Percent of toll transactions expected to use E-ZPass </t>
  </si>
  <si>
    <t xml:space="preserve">Percent of toll transactions not expected to use E-ZPass </t>
  </si>
  <si>
    <t>To be filled in</t>
  </si>
  <si>
    <t>Our tolls' increment over prior tolls, avg'd over all vehicles entering CBD</t>
  </si>
  <si>
    <t>Per vehicle costs are adapted loosely and, we hope, conservatively, from Daily News article cited above: "Every time the system reads an E-ZPass tag on a car or truck, the city expects the cost to be 30 cents - even though E-ZPass transactions cost far less for the MTA's bridges and tunnels (15 cents) and the New Jersey Turnpike (6 cents). The city expects cameras will be able to automatically read license plates for just 15 cents each - down from 75 cents each in earlier drafts."</t>
  </si>
  <si>
    <t>Other (cash)</t>
  </si>
  <si>
    <t>For the speed-volume relationship we apply to traffic within the CBD, we relied on modeling by renowned U-C Irvine economics professor and director emeritus of U-C Irvine's Institute for Transportation Studies, Kenneth A. Small &lt;http://www.faculty.uci.edu/scripts/UCIFacultyProfiles/DetailDept.CFM?ID=2431&gt;.</t>
  </si>
  <si>
    <t>We elected, however, to work with Equation 1, which can be translated algebraically into Equation 3:</t>
  </si>
  <si>
    <t>Note that the maximum speed allowed by this formulation is 24.2 mph, which appeared to fit well with CBD (nighttime) traffic (allowing for traffic signals).</t>
  </si>
  <si>
    <t>(These calculations were applied to BTA until May 6, 2011.)</t>
  </si>
  <si>
    <t>1. Estimating "V_sub_k" from CBD Traffic volumes and speeds -- original inputs and results</t>
  </si>
  <si>
    <t>2. Estimating "V_sub_k" from CBD Traffic volumes and speeds -- current inputs and results</t>
  </si>
  <si>
    <r>
      <t xml:space="preserve">The new data are drawn from GPS records maintained by NYC medallion taxicabs, and appear in DOT's "Sustainable Street Index" reports for 2009 </t>
    </r>
    <r>
      <rPr>
        <sz val="8"/>
        <rFont val="Arial"/>
        <family val="2"/>
      </rPr>
      <t>(&lt;http://www.nyc.gov/html/dot/downloads/pdf/sustainable_streets_index_09.pdf&gt;)</t>
    </r>
    <r>
      <rPr>
        <sz val="9"/>
        <rFont val="Arial"/>
        <family val="2"/>
      </rPr>
      <t xml:space="preserve"> and 2010 </t>
    </r>
    <r>
      <rPr>
        <sz val="8"/>
        <rFont val="Arial"/>
        <family val="2"/>
      </rPr>
      <t>(&lt;http://www.nyc.gov/html/dot/downloads/pdf/sustainable_streets_index_10.pdf&gt;)</t>
    </r>
    <r>
      <rPr>
        <sz val="9"/>
        <rFont val="Arial"/>
        <family val="2"/>
      </rPr>
      <t>. As DOT notes:</t>
    </r>
  </si>
  <si>
    <t>The taxi GPS dataset provides the first comprehensive view of network-wide traffic speeds in Manhattan. The taxi speed data are based on the distance and duration of the entire trip for customer-carrying taxi rides. Speeds reflect both time in motion and time spent stopped in traffic or at red lights. (2010 report, p. 16)</t>
  </si>
  <si>
    <t>Following are key CBD traffic speed data from the two reports:</t>
  </si>
  <si>
    <r>
      <t xml:space="preserve">* Weekday speeds average 9.3 mph for CBD trips between 8 a.m. and 6 p.m. in 2010. </t>
    </r>
    <r>
      <rPr>
        <sz val="8"/>
        <rFont val="Arial"/>
        <family val="2"/>
      </rPr>
      <t>(2010 report, p. 16)</t>
    </r>
  </si>
  <si>
    <r>
      <t xml:space="preserve">* Weekday speeds average 9.1 m.p.h. for CBD trips between 8 a.m. and 6 p.m., and 9.5 m.p.h. for CBD trips between 6 a.m. and 6 p.m., for the 12 months ending in October 2009. </t>
    </r>
    <r>
      <rPr>
        <sz val="8"/>
        <rFont val="Arial"/>
        <family val="2"/>
      </rPr>
      <t>(2009 report, p. 16)</t>
    </r>
  </si>
  <si>
    <t>We sift and apply these data as follows:</t>
  </si>
  <si>
    <t>Drawn from 2009 report. Though 2010 datum is slightly higher, CBD travel speeds appear likely to dip as economic activity increases. And in fact a graph of year-on-year speed differences in the 2010 report (p. 16) shows 2010 speeds dipping slightly below 2009 speeds in the latter part of the year after having increased in the earlier part.)</t>
  </si>
  <si>
    <t>Estimated average traffic speed in Manhattan CBD, weekdays, 6 a.m. - 6 p.m. (mph):</t>
  </si>
  <si>
    <r>
      <t xml:space="preserve">* Within the CBD, weekday traffic speeds peak [for 12 mos. ending Oct. 2009) at 16 m.p.h. for 5-6 a.m. </t>
    </r>
    <r>
      <rPr>
        <sz val="8"/>
        <rFont val="Arial"/>
        <family val="2"/>
      </rPr>
      <t>(2009 report, p. 16)</t>
    </r>
  </si>
  <si>
    <r>
      <t>S = 24.2 / [1 + 0.1*(V/V</t>
    </r>
    <r>
      <rPr>
        <vertAlign val="subscript"/>
        <sz val="10"/>
        <rFont val="Arial"/>
        <family val="2"/>
      </rPr>
      <t>K</t>
    </r>
    <r>
      <rPr>
        <sz val="10"/>
        <rFont val="Arial"/>
        <family val="2"/>
      </rPr>
      <t>)</t>
    </r>
    <r>
      <rPr>
        <vertAlign val="superscript"/>
        <sz val="10"/>
        <rFont val="Arial"/>
        <family val="2"/>
      </rPr>
      <t>4.08</t>
    </r>
    <r>
      <rPr>
        <sz val="10"/>
        <rFont val="Arial"/>
        <family val="2"/>
      </rPr>
      <t>]          (We repeat Equation 3, above)</t>
    </r>
  </si>
  <si>
    <r>
      <t xml:space="preserve">We name the 24.2 parameter </t>
    </r>
    <r>
      <rPr>
        <u/>
        <sz val="9"/>
        <rFont val="Arial"/>
        <family val="2"/>
      </rPr>
      <t>KSC</t>
    </r>
    <r>
      <rPr>
        <sz val="9"/>
        <rFont val="Arial"/>
        <family val="2"/>
      </rPr>
      <t xml:space="preserve"> (Ken Small constant term)</t>
    </r>
  </si>
  <si>
    <r>
      <t xml:space="preserve">We name the 4.08 parameter </t>
    </r>
    <r>
      <rPr>
        <u/>
        <sz val="9"/>
        <rFont val="Arial"/>
        <family val="2"/>
      </rPr>
      <t>KSE</t>
    </r>
    <r>
      <rPr>
        <sz val="9"/>
        <rFont val="Arial"/>
        <family val="2"/>
      </rPr>
      <t xml:space="preserve"> (Ken Small exponent)</t>
    </r>
  </si>
  <si>
    <t>11pm-5am</t>
  </si>
  <si>
    <r>
      <t xml:space="preserve">Total shrinks </t>
    </r>
    <r>
      <rPr>
        <b/>
        <sz val="8"/>
        <rFont val="Arial"/>
        <family val="2"/>
      </rPr>
      <t>Motor Vs</t>
    </r>
    <r>
      <rPr>
        <sz val="8"/>
        <rFont val="Arial"/>
        <family val="2"/>
      </rPr>
      <t xml:space="preserve"> total by wknd/wkday ratio drawn from Triboro Bridge &amp; Queens Midtown Tunnel volumes in </t>
    </r>
    <r>
      <rPr>
        <b/>
        <sz val="8"/>
        <rFont val="Arial"/>
        <family val="2"/>
      </rPr>
      <t>Weekends</t>
    </r>
    <r>
      <rPr>
        <sz val="8"/>
        <rFont val="Arial"/>
        <family val="2"/>
      </rPr>
      <t xml:space="preserve"> worksheet. Truck and Bus figures similarly shrink figures from </t>
    </r>
    <r>
      <rPr>
        <b/>
        <sz val="8"/>
        <rFont val="Arial"/>
        <family val="2"/>
      </rPr>
      <t>Motor Vs</t>
    </r>
    <r>
      <rPr>
        <sz val="8"/>
        <rFont val="Arial"/>
        <family val="2"/>
      </rPr>
      <t xml:space="preserve"> but apply factors at right, estimated by Komanoff. Balance yields remaining figure (autos-thru-taxis). Figures are rounded.</t>
    </r>
  </si>
  <si>
    <t>% of 24h day</t>
  </si>
  <si>
    <r>
      <t>S = KSC / [1 + 0.1*(V/V</t>
    </r>
    <r>
      <rPr>
        <vertAlign val="subscript"/>
        <sz val="10"/>
        <rFont val="Arial"/>
        <family val="2"/>
      </rPr>
      <t>K</t>
    </r>
    <r>
      <rPr>
        <sz val="10"/>
        <rFont val="Arial"/>
        <family val="2"/>
      </rPr>
      <t>)</t>
    </r>
    <r>
      <rPr>
        <vertAlign val="superscript"/>
        <sz val="10"/>
        <rFont val="Arial"/>
        <family val="2"/>
      </rPr>
      <t>KSE</t>
    </r>
    <r>
      <rPr>
        <sz val="10"/>
        <rFont val="Arial"/>
        <family val="2"/>
      </rPr>
      <t>]          (Eqn 3 with range-names substituted for Ken Small's constants)</t>
    </r>
  </si>
  <si>
    <r>
      <t xml:space="preserve">We therefore interpolate between PA and MTA data in order to subdivide the number of trucks entering the CBD by number of wheels and axles </t>
    </r>
    <r>
      <rPr>
        <sz val="9"/>
        <rFont val="Calibri"/>
        <family val="2"/>
      </rPr>
      <t xml:space="preserve">— </t>
    </r>
    <r>
      <rPr>
        <sz val="9"/>
        <rFont val="Arial"/>
        <family val="2"/>
      </rPr>
      <t>the criteria used by the PA to toll trucks, which we intend to rely on for our formulation of truck tolls.</t>
    </r>
  </si>
  <si>
    <r>
      <t xml:space="preserve">Now compare to MTA Tunnel Truck and Car Volumes </t>
    </r>
    <r>
      <rPr>
        <sz val="8"/>
        <rFont val="Arial"/>
        <family val="2"/>
      </rPr>
      <t>(Figures are annual and are from URS annual report for TBTA, available at &lt;http://www.mta.info/mta/investor/pdf/urs_2007.pdf&gt;).</t>
    </r>
  </si>
  <si>
    <t>18-Wheelers</t>
  </si>
  <si>
    <r>
      <t xml:space="preserve">Share of 2-Axle trucks observed by MTA that have dual rear wheels, and thus would be classed by PA as trucks </t>
    </r>
    <r>
      <rPr>
        <sz val="8"/>
        <rFont val="Arial"/>
        <family val="2"/>
      </rPr>
      <t>(Komanoff assumption)</t>
    </r>
    <r>
      <rPr>
        <sz val="9"/>
        <rFont val="Arial"/>
        <family val="2"/>
      </rPr>
      <t>:</t>
    </r>
  </si>
  <si>
    <t>Truck toll as
multiple of car toll</t>
  </si>
  <si>
    <t>Wght'd avg</t>
  </si>
  <si>
    <t>Calculated toll (peak hours)</t>
  </si>
  <si>
    <t>* Mileage had to be estimated because part of district not shown on map.</t>
  </si>
  <si>
    <t xml:space="preserve">Weekday Breakdown of baseline (pre-pricing) thru trips </t>
  </si>
  <si>
    <t xml:space="preserve">Weekend/Holiday Breakdown of baseline (pre-pricing) thru trips </t>
  </si>
  <si>
    <t>The TSRPC report did not treat medallion taxis. These are a major mode of travel within the Manhattan CBD. Demand for taxi service should not be expected to duplicate that for private autos. For medallion taxi usage price-elasticity, we relied on a published estimate derived by taxi expert (and current NYCDOT Deputy Commissioner for Policy and Planning) Bruce Schaller. As noted below, we relied on informal guidance from Schaller to derive the time-elasticity for taxi use.</t>
  </si>
  <si>
    <t>Percent by which auto through-trips add to auto trips w/ CBD destination</t>
  </si>
  <si>
    <t>MTA 12 Counties</t>
  </si>
  <si>
    <t>% of workers solo-car-commuting to CBD regularly</t>
  </si>
  <si>
    <t>% of workers carpool-commuting to CBD regularly</t>
  </si>
  <si>
    <t>Est'd % of weekdays that these autos are driven into CBD</t>
  </si>
  <si>
    <t>No. of autos driven to CBD for commuting on typical weekday</t>
  </si>
  <si>
    <t>NJ vs. 12-county MTA region</t>
  </si>
  <si>
    <t>NJ vs. all other portals</t>
  </si>
  <si>
    <t>CT vs. NJ</t>
  </si>
  <si>
    <r>
      <t xml:space="preserve">No. of autos driven </t>
    </r>
    <r>
      <rPr>
        <u/>
        <sz val="9"/>
        <rFont val="Arial"/>
        <family val="2"/>
      </rPr>
      <t>through</t>
    </r>
    <r>
      <rPr>
        <sz val="9"/>
        <rFont val="Arial"/>
        <family val="2"/>
      </rPr>
      <t xml:space="preserve"> </t>
    </r>
    <r>
      <rPr>
        <sz val="9"/>
        <rFont val="Arial"/>
        <family val="2"/>
      </rPr>
      <t>CBD for commuting regularly</t>
    </r>
  </si>
  <si>
    <t>Additional CBD-commute autos</t>
  </si>
  <si>
    <t>Total CBD-commuter autos</t>
  </si>
  <si>
    <t>Additional through-CBD-commute autos</t>
  </si>
  <si>
    <t>Total through-CBD-commuter autos</t>
  </si>
  <si>
    <t>Factor by which regular CBD-commute autos are supplemented by other, less regular work trips</t>
  </si>
  <si>
    <t>No. autos driven to CBD for regular commuting (SOV + carpool)</t>
  </si>
  <si>
    <t>Est'd % of weekdays that these "regular" autos are driven into CBD</t>
  </si>
  <si>
    <t>Both above rows are from the TSTC database (&lt;http://www.tstc.org/reports/cpfactsheets.php&gt;), which drew them from Census data, except that:</t>
  </si>
  <si>
    <t>[Off the map]</t>
  </si>
  <si>
    <t>Putnam County</t>
  </si>
  <si>
    <t>Orange County</t>
  </si>
  <si>
    <t>Dutchess County</t>
  </si>
  <si>
    <t>7 non-NYC MTA Counties</t>
  </si>
  <si>
    <t>B. Commuters Outside of New York City but within MTA 12-County Region</t>
  </si>
  <si>
    <t>'Off the map' denotes districts too far from CBD to be included in Schaller's map. Number and distance are Komanoff ests.</t>
  </si>
  <si>
    <t>Off the map' denotes districts too far from CBD to be included in Schaller's map. Number and distance are Komanoff ests.</t>
  </si>
  <si>
    <t>Non-MTA Counties</t>
  </si>
  <si>
    <t>Upstate NY + Other States</t>
  </si>
  <si>
    <t>These areas were too far from CBD to be included in Schaller's map. Number and distance are Komanoff ests.</t>
  </si>
  <si>
    <t>Great Neck and Port Washington, two peninsulas on LI Sound, across from the Bronx</t>
  </si>
  <si>
    <t>Island Park, south shore of Nassau County</t>
  </si>
  <si>
    <t>Amityville, Western south shore, closest to Nassau border</t>
  </si>
  <si>
    <t>West Islip, south shore, SE corner of map</t>
  </si>
  <si>
    <t>Levittown, between Oyster Bay and Massapequa, central LI</t>
  </si>
  <si>
    <t>Massapequa, eastern-most part of the south shore of the county</t>
  </si>
  <si>
    <t>Merrick, south shore, north of Jones Beach</t>
  </si>
  <si>
    <t>Huntington Bay, Western North Shore</t>
  </si>
  <si>
    <t>Oyster Bay, eastern North Shore</t>
  </si>
  <si>
    <t>Garden City, south of Great Neck</t>
  </si>
  <si>
    <t>Bethpage, south of Oyster Bay</t>
  </si>
  <si>
    <t>Franklin Square, north of East Atlantic Beach</t>
  </si>
  <si>
    <t>Piermont - eastern county including Hudson Riverfront</t>
  </si>
  <si>
    <t>Hawthorne from northern county Hudson River inland to Valhalla</t>
  </si>
  <si>
    <t>Bedford northeastern corner of the county on the CT border</t>
  </si>
  <si>
    <t xml:space="preserve">Tarrytown from mid - county Hudson River inland to Rosedale, NY </t>
  </si>
  <si>
    <t>Mamaroneck eastern LI Sound shore</t>
  </si>
  <si>
    <t>Yonkers western county just north of NYC</t>
  </si>
  <si>
    <t>New Rochelle eastern county just north of NYC</t>
  </si>
  <si>
    <t>Boonton</t>
  </si>
  <si>
    <t>Wayne</t>
  </si>
  <si>
    <t>Madison</t>
  </si>
  <si>
    <t>Summit</t>
  </si>
  <si>
    <t>West Orange</t>
  </si>
  <si>
    <t>Irvington</t>
  </si>
  <si>
    <t>Fort Lee</t>
  </si>
  <si>
    <t>Berkeley Heights</t>
  </si>
  <si>
    <t>Hoboken</t>
  </si>
  <si>
    <t>North Plainfield</t>
  </si>
  <si>
    <t>Cranford</t>
  </si>
  <si>
    <t>Elizabeth</t>
  </si>
  <si>
    <t>Jersey City</t>
  </si>
  <si>
    <t>Metuchen</t>
  </si>
  <si>
    <t>Bayonne</t>
  </si>
  <si>
    <t>Freeport, from South Shore to central LI</t>
  </si>
  <si>
    <t>Valley Stream, east of Kennedy Airport, north of East Atlantic Beach, south of Franklin Square</t>
  </si>
  <si>
    <t>Monsey - western county, bordering Orange County</t>
  </si>
  <si>
    <t>West Milford - NW corner of map</t>
  </si>
  <si>
    <t>Ramsey - at Rockland Co. border</t>
  </si>
  <si>
    <t>Hilsdale - directly south of Spring Valley</t>
  </si>
  <si>
    <t>Westwood - northernmost part of state's Hudson riverfront</t>
  </si>
  <si>
    <t>This section calculates the mean distance that CBD-bound commuters drive from their origin to the edge of the CBD. It was developed by Josef Szende on March 3, 2011, and revised by Josef and C. Komanoff in late May, 2011.</t>
  </si>
  <si>
    <t>Map from Bruce Schaller, "Necessity or Choice: Why People Drive In Manhattan" (p. 49)</t>
  </si>
  <si>
    <t>B. Commuters Outside MTA 12-County Region</t>
  </si>
  <si>
    <t>For NYC:</t>
  </si>
  <si>
    <t>For NJ + CT:</t>
  </si>
  <si>
    <t>For 'Other':</t>
  </si>
  <si>
    <t>For remainder of MTA 12-county region:</t>
  </si>
  <si>
    <r>
      <t xml:space="preserve">F. Income Data </t>
    </r>
    <r>
      <rPr>
        <sz val="10"/>
        <rFont val="Arial"/>
        <family val="2"/>
      </rPr>
      <t>(for use in analyzing demographics and incidence of possible transit subsidies as means to achieve geographic equity) for the MTA Region</t>
    </r>
  </si>
  <si>
    <t>Mostly 60th St., some Trib Br</t>
  </si>
  <si>
    <t>60th St., some PA tunnels</t>
  </si>
  <si>
    <t>60th St., + Trib Br</t>
  </si>
  <si>
    <t>?</t>
  </si>
  <si>
    <t>Verrazano</t>
  </si>
  <si>
    <t>GWB</t>
  </si>
  <si>
    <t>QMT, all E Riv bridges, Trib, BBT</t>
  </si>
  <si>
    <t xml:space="preserve">Henry Hudson </t>
  </si>
  <si>
    <t>Discount</t>
  </si>
  <si>
    <t>from Peak</t>
  </si>
  <si>
    <t>from Off-Pk</t>
  </si>
  <si>
    <t>Average (weighted) discount from peak toll</t>
  </si>
  <si>
    <t>Average (weighted) discount from off-peak toll</t>
  </si>
  <si>
    <t>Of which daily revenue from autos (work+non-work+thru) is , $000</t>
  </si>
  <si>
    <t>Of which toll-paying autos (work+non-work+thru) account for</t>
  </si>
  <si>
    <t>Wknds/Hol</t>
  </si>
  <si>
    <t>Total Non-Work Trips into Manhattan CBD</t>
  </si>
  <si>
    <t>Each county / state's non-work trips into CBD</t>
  </si>
  <si>
    <t>Total Non-Work Trips through Manhattan CBD</t>
  </si>
  <si>
    <t>Each county / state's non-work trips through CBD</t>
  </si>
  <si>
    <t>Each county or state's share of thru-CBD Work Trips</t>
  </si>
  <si>
    <t>Each county or state's share of into-CBD Work Trips</t>
  </si>
  <si>
    <r>
      <t xml:space="preserve">A. Weekday Work Trips </t>
    </r>
    <r>
      <rPr>
        <b/>
        <u/>
        <sz val="10"/>
        <rFont val="Arial"/>
        <family val="2"/>
      </rPr>
      <t>into</t>
    </r>
    <r>
      <rPr>
        <b/>
        <sz val="10"/>
        <rFont val="Arial"/>
        <family val="2"/>
      </rPr>
      <t xml:space="preserve"> (not through) Manhattan CBD</t>
    </r>
  </si>
  <si>
    <t>B. Weekday Work Trips through Manhattan CBD</t>
  </si>
  <si>
    <t>A. + B. Weekday Work Trips into or thru CBD</t>
  </si>
  <si>
    <r>
      <t>C. Weekday Non-Work Trips into Manhattan CBD</t>
    </r>
    <r>
      <rPr>
        <sz val="9"/>
        <rFont val="Arial"/>
        <family val="2"/>
      </rPr>
      <t/>
    </r>
  </si>
  <si>
    <r>
      <t>D. Weekday Non-Work Trips through Manhattan CBD</t>
    </r>
    <r>
      <rPr>
        <sz val="9"/>
        <rFont val="Arial"/>
        <family val="2"/>
      </rPr>
      <t/>
    </r>
  </si>
  <si>
    <t>C. + D. Weekday Non-Work Trips into or thru CBD</t>
  </si>
  <si>
    <t>All Weekday trips into CBD (autos only)</t>
  </si>
  <si>
    <t>All Weekday trips thru CBD (autos only)</t>
  </si>
  <si>
    <t>All Wkday trips into+thru CBD (autos only)</t>
  </si>
  <si>
    <r>
      <t xml:space="preserve">E. Weekend/Holiday Work Trips </t>
    </r>
    <r>
      <rPr>
        <b/>
        <u/>
        <sz val="10"/>
        <rFont val="Arial"/>
        <family val="2"/>
      </rPr>
      <t>into</t>
    </r>
    <r>
      <rPr>
        <b/>
        <sz val="10"/>
        <rFont val="Arial"/>
        <family val="2"/>
      </rPr>
      <t xml:space="preserve"> (not through) Manhattan CBD</t>
    </r>
  </si>
  <si>
    <t>No. of autos driven thru CBD for commuting on typical weekday</t>
  </si>
  <si>
    <t>Est'd % of weekdays that these autos are driven through CBD</t>
  </si>
  <si>
    <t>E. + F. Weekend Work Trips into or thru CBD</t>
  </si>
  <si>
    <r>
      <t>G. Weekend Non-Work Trips into Manhattan CBD</t>
    </r>
    <r>
      <rPr>
        <sz val="9"/>
        <rFont val="Arial"/>
        <family val="2"/>
      </rPr>
      <t/>
    </r>
  </si>
  <si>
    <r>
      <t>H. Weekend Non-Work Trips through Manhattan CBD</t>
    </r>
    <r>
      <rPr>
        <sz val="9"/>
        <rFont val="Arial"/>
        <family val="2"/>
      </rPr>
      <t/>
    </r>
  </si>
  <si>
    <t>G. + H. Weekend Non-Work Trips into or thru CBD</t>
  </si>
  <si>
    <t>Individual County/State %'s of weekday auto trips</t>
  </si>
  <si>
    <t>Individual County/State %'s of weekend auto trips</t>
  </si>
  <si>
    <t>All Weekend trips into CBD (autos only)</t>
  </si>
  <si>
    <t>All Weekend trips thru CBD (autos only)</t>
  </si>
  <si>
    <t>All Wkend trips into+thru CBD (autos only)</t>
  </si>
  <si>
    <t>Undiscnt'd toll, peak, weekdays</t>
  </si>
  <si>
    <t>Undiscnt'd toll, off-pk, weekdays</t>
  </si>
  <si>
    <t>Undiscnt'd toll, peak, weekends</t>
  </si>
  <si>
    <t>Undiscnt'd toll, off-pk, weekends</t>
  </si>
  <si>
    <t>[oxymoron; shown anyway]</t>
  </si>
  <si>
    <t>Discounted toll, peak, weekdays</t>
  </si>
  <si>
    <t>Discounted toll, off-pk, weekdays</t>
  </si>
  <si>
    <t>Discounted toll, peak, weekends</t>
  </si>
  <si>
    <t>Discounted toll, off-pk, weekends</t>
  </si>
  <si>
    <t>Revenue from peak trips, weekdays, $ millions</t>
  </si>
  <si>
    <t>Revenue from off-peak trips, weekdays, $ millions</t>
  </si>
  <si>
    <t>Total Revenue from weekdays, $ millions</t>
  </si>
  <si>
    <t>Revenue from peak trips, weekends, $ millions</t>
  </si>
  <si>
    <t>Revenue from off-peak trips, weekends, $ millions</t>
  </si>
  <si>
    <t>Total Revenue from weekends, $ millions</t>
  </si>
  <si>
    <t>Grand Total Revenue, $ millions</t>
  </si>
  <si>
    <r>
      <t xml:space="preserve">Further below, we calculate </t>
    </r>
    <r>
      <rPr>
        <b/>
        <sz val="9"/>
        <rFont val="Arial"/>
        <family val="2"/>
      </rPr>
      <t>adjustment factors</t>
    </r>
    <r>
      <rPr>
        <sz val="9"/>
        <rFont val="Arial"/>
        <family val="2"/>
      </rPr>
      <t xml:space="preserve"> to apply to average cordon toll in the event that lesser increments are applied to cordon tolls for Hudson and/or East River tunnels.</t>
    </r>
  </si>
  <si>
    <t>Through-trip % of all entries</t>
  </si>
  <si>
    <t>Truck % is assumed to be same as auto. Medallion taxi % is probably de minimis.</t>
  </si>
  <si>
    <t>Auto, Taxi, Truck and Bus Trips that aren't part of a through-trip</t>
  </si>
  <si>
    <t xml:space="preserve">% of all entries that aren't part of a through-trip </t>
  </si>
  <si>
    <r>
      <t xml:space="preserve">Percent of (non-taxi) auto trips that are work trips </t>
    </r>
    <r>
      <rPr>
        <sz val="8"/>
        <rFont val="Arial"/>
        <family val="2"/>
      </rPr>
      <t/>
    </r>
  </si>
  <si>
    <t>Daily m.v. entries to cordon, with non-thru auto trips allocated to work/non-work</t>
  </si>
  <si>
    <t>Doesn't include through trips</t>
  </si>
  <si>
    <t>% of through-trips that return through cordon</t>
  </si>
  <si>
    <t>Trips that aren't part of a through-trip</t>
  </si>
  <si>
    <t>Trips that include 1 or 2 through-trips</t>
  </si>
  <si>
    <t>Cordon-crossing trips</t>
  </si>
  <si>
    <t>Cordon-crossing trips that are part of through-trips</t>
  </si>
  <si>
    <t>In "Necessity or Choice? Why People Drive in Manhattan," Schaller wrote, "one-third or more of drivers who enter the CBD are bound for non-CBD destinations." (p. 3) We apply this to auto and truck trips.</t>
  </si>
  <si>
    <t>Komanoff assumption. Is intended to capture "toll-shopping" as well as premise that through-trips involve more flexibility and more regional travel in general. These keep figure below 100%.</t>
  </si>
  <si>
    <t>How items in row calc'd</t>
  </si>
  <si>
    <t>Drivers of auto thru-trips allocated between work and non-work</t>
  </si>
  <si>
    <t>less than weekday %'s</t>
  </si>
  <si>
    <t>Auto Thru</t>
  </si>
  <si>
    <t xml:space="preserve"> (%'s show share of trips that are est'd to be parts of through-trips)</t>
  </si>
  <si>
    <t>% of through-trip segments that are part of a round-trip that goes thru cordon twice</t>
  </si>
  <si>
    <t>Trips that pass through cordon, distrib'd among auto, taxi, truck, bus</t>
  </si>
  <si>
    <t># of above through-trip segments that are part of a round-trip that goes thru cordon twice</t>
  </si>
  <si>
    <t># of round-trips that go through cordon both times</t>
  </si>
  <si>
    <t># of cordon-crossing through trips that go through cordon only once</t>
  </si>
  <si>
    <r>
      <t xml:space="preserve">No. </t>
    </r>
    <r>
      <rPr>
        <u/>
        <sz val="9"/>
        <rFont val="Arial"/>
        <family val="2"/>
      </rPr>
      <t>drivers</t>
    </r>
    <r>
      <rPr>
        <sz val="9"/>
        <rFont val="Arial"/>
        <family val="2"/>
      </rPr>
      <t xml:space="preserve"> taking thru-trips (i.e., # of cordon-x'ing trips that include at least one thru-trip)</t>
    </r>
  </si>
  <si>
    <t>Includes no thru-trips; only trips to cordon and back</t>
  </si>
  <si>
    <t>Includes only thru-trips by auto, both 2-way and "loop" trips</t>
  </si>
  <si>
    <t>Medallion taxicabs only; any thru-trips are de minimis</t>
  </si>
  <si>
    <t>Includes thru-trips along with trips to cordon and back</t>
  </si>
  <si>
    <t>% = work:</t>
  </si>
  <si>
    <t>% = thru:</t>
  </si>
  <si>
    <t>Cells in these three rows, to right, calculate or display ratios that will be used in this or other worksheets.</t>
  </si>
  <si>
    <t>THROUGH-TRIPS (AUTOS ONLY)</t>
  </si>
  <si>
    <t>Factors to estimate non-CBD miles for auto-thru trips, trucks and buses</t>
  </si>
  <si>
    <t xml:space="preserve">Komanoff ests. </t>
  </si>
  <si>
    <t>Factors to further adjust non-CBD miles for any thru trips embedded in column (applies to trucks and buses)</t>
  </si>
  <si>
    <r>
      <t xml:space="preserve">Komanoff assumption, explained in corresponding row of </t>
    </r>
    <r>
      <rPr>
        <b/>
        <sz val="8"/>
        <rFont val="Arial"/>
        <family val="2"/>
      </rPr>
      <t>Motor Vs</t>
    </r>
    <r>
      <rPr>
        <sz val="8"/>
        <rFont val="Arial"/>
        <family val="2"/>
      </rPr>
      <t xml:space="preserve"> tab. Each blue % is corresp. % in </t>
    </r>
    <r>
      <rPr>
        <b/>
        <sz val="8"/>
        <rFont val="Arial"/>
        <family val="2"/>
      </rPr>
      <t>Motor Vs</t>
    </r>
    <r>
      <rPr>
        <sz val="8"/>
        <rFont val="Arial"/>
        <family val="2"/>
      </rPr>
      <t>, less percentage points in boxed highlighted cell in prior row.</t>
    </r>
  </si>
  <si>
    <r>
      <t xml:space="preserve">Applies %'s from </t>
    </r>
    <r>
      <rPr>
        <b/>
        <sz val="8"/>
        <rFont val="Arial"/>
        <family val="2"/>
      </rPr>
      <t>Motor V</t>
    </r>
    <r>
      <rPr>
        <sz val="8"/>
        <rFont val="Arial"/>
        <family val="2"/>
      </rPr>
      <t>s tab except that thru-trips' % of auto, truck % bus trips is incrs'd 10% from Schaller weekday % on premise that weekend travel has more long trips that pass through CBD.</t>
    </r>
  </si>
  <si>
    <t>Alt. est. of daily weekday VMT inside cordon (per NYMTC, 2005 )</t>
  </si>
  <si>
    <r>
      <t xml:space="preserve">Same as like percentages in </t>
    </r>
    <r>
      <rPr>
        <b/>
        <sz val="8"/>
        <rFont val="Arial"/>
        <family val="2"/>
      </rPr>
      <t>Motor Vs</t>
    </r>
    <r>
      <rPr>
        <sz val="8"/>
        <rFont val="Arial"/>
        <family val="2"/>
      </rPr>
      <t xml:space="preserve"> worksheet.</t>
    </r>
  </si>
  <si>
    <t>Through-trips that return through CBD are counted only once.</t>
  </si>
  <si>
    <r>
      <t xml:space="preserve">Periods were drawn to group similar hourly volumes of vehicles entering CBD. See </t>
    </r>
    <r>
      <rPr>
        <b/>
        <sz val="8"/>
        <rFont val="Arial"/>
        <family val="2"/>
      </rPr>
      <t>By Hours</t>
    </r>
    <r>
      <rPr>
        <sz val="8"/>
        <rFont val="Arial"/>
        <family val="2"/>
      </rPr>
      <t xml:space="preserve"> worksheet. Some reprogramming of </t>
    </r>
    <r>
      <rPr>
        <b/>
        <sz val="8"/>
        <rFont val="Arial"/>
        <family val="2"/>
      </rPr>
      <t>By Hours</t>
    </r>
    <r>
      <rPr>
        <sz val="8"/>
        <rFont val="Arial"/>
        <family val="2"/>
      </rPr>
      <t xml:space="preserve"> is required to change.</t>
    </r>
  </si>
  <si>
    <t>Weekday wghtd avg</t>
  </si>
  <si>
    <t>Weekend wghtd avg</t>
  </si>
  <si>
    <t>% of truck crossings into cordon that are by vehicle which has or will cross more than once in same day:</t>
  </si>
  <si>
    <t>% of wkday auto trips that have a thru-CBD component</t>
  </si>
  <si>
    <t>% of wkend auto trips that have a thru-CBD component</t>
  </si>
  <si>
    <t>% that cross cordon 2x</t>
  </si>
  <si>
    <t>Grand Total Revenue, % by county or state</t>
  </si>
  <si>
    <t>For Auto Thru Trips (weekdays)</t>
  </si>
  <si>
    <t>For Auto Thru Trips (weekends)</t>
  </si>
  <si>
    <t>Pie charts are derived below.</t>
  </si>
  <si>
    <t>Autos Part 1: Divide Trips to and through Manhattan Central Business District, by county/state of origin</t>
  </si>
  <si>
    <t>Autos Part 2: Calculate Revenue from Trips to and through Manhattan Central Business District, by county/state of origin</t>
  </si>
  <si>
    <t>E Riv bridges, plus BBT + tiny QMT</t>
  </si>
  <si>
    <t>BBT, ER br's, tiny QMT, Holl. Tunnel?</t>
  </si>
  <si>
    <t>PA tunn's, 60 St after GWB, BBT, ER br's</t>
  </si>
  <si>
    <t>R E M A I N D E R    O F   W O R K S H E E T    I S   V E S T I G I A L    M A T E R I A L    W H I C H    W I L L    B E    A R C H I V E D    O R    D E L E T E D</t>
  </si>
  <si>
    <t>5 Hudson Valley "MTA counties"</t>
  </si>
  <si>
    <t>River Crossings</t>
  </si>
  <si>
    <t>Note: In an alternative analysis excluding the Triborough Bridge (i.e., with TB Manhattan Plaza crossings zeroed-out in River Crossings</t>
  </si>
  <si>
    <t xml:space="preserve">
Travelers to or through CBD on typical weekday (24h): where do they live?</t>
  </si>
  <si>
    <t>Off-Peak</t>
  </si>
  <si>
    <r>
      <t xml:space="preserve">Assumed current truck/auto ratio of per-mile "other" costs </t>
    </r>
    <r>
      <rPr>
        <sz val="8"/>
        <rFont val="Arial"/>
        <family val="2"/>
      </rPr>
      <t>(Komanoff estimate):</t>
    </r>
  </si>
  <si>
    <t>New Jersey tolls</t>
  </si>
  <si>
    <t>D. Non-Revenue Vehicles on Selected MTA Crossings, 2008</t>
  </si>
  <si>
    <t>E. MTA Bridge &amp; Tunnel Toll Rates</t>
  </si>
  <si>
    <r>
      <t xml:space="preserve">F. Average Daily Crossings </t>
    </r>
    <r>
      <rPr>
        <sz val="8"/>
        <rFont val="Arial"/>
        <family val="2"/>
      </rPr>
      <t>(source: NYC DOT, "Manhattan River Crossings," various years, various tables)</t>
    </r>
  </si>
  <si>
    <t>Avg PANYNJ toll to enter CBD (for trips that pay it)</t>
  </si>
  <si>
    <t>Avg MTA toll to enter CBD (for trips that pay it)</t>
  </si>
  <si>
    <t>% paying a PANYNJ toll that is charged at entrance to CBD</t>
  </si>
  <si>
    <t>% paying an MTA toll that is charged at entrance to CBD</t>
  </si>
  <si>
    <t>Toll to enter CBD, avg'd across all trips to CBD</t>
  </si>
  <si>
    <t>X-product of Column (1) -- shares of CBD trips -- and (6) avg effective toll</t>
  </si>
  <si>
    <t>TK.</t>
  </si>
  <si>
    <r>
      <t xml:space="preserve">Vehicle Time Comparisons </t>
    </r>
    <r>
      <rPr>
        <sz val="10"/>
        <rFont val="Arial"/>
        <family val="2"/>
      </rPr>
      <t>(all figures are per day)</t>
    </r>
  </si>
  <si>
    <t>% of NYC Transit fares paid for on Incremental-Cost Basis</t>
  </si>
  <si>
    <t>Assumed % of population employed</t>
  </si>
  <si>
    <t xml:space="preserve">Data are based on map on p/ 49 of Bruce Schaller's 2006 report "Necessity or Choice: Why People Drive In Manhattan," available at &lt;http://bit.ly/hMv1&gt;. In that report, Schaller assigned CBD auto commuters to roughly one hundred "districts," of which approximately half are in the five boroughs and the other half outside. Here, Josef used GIS software to specify the driving distance from each district to the edge of the CBD, using shortest driving route from the center of each district to nearest CBD portal. The number of CBD auto commuters shown here is midpoint of each range specified on Schaller's map. </t>
  </si>
  <si>
    <t>Factor by which thru-CBD-commute autos are supplemented by other, less regular thru-CBD work trips</t>
  </si>
  <si>
    <r>
      <t xml:space="preserve">This worksheet estimates changes in </t>
    </r>
    <r>
      <rPr>
        <u/>
        <sz val="10"/>
        <rFont val="Arial"/>
        <family val="2"/>
      </rPr>
      <t>citywide</t>
    </r>
    <r>
      <rPr>
        <sz val="10"/>
        <rFont val="Arial"/>
        <family val="2"/>
      </rPr>
      <t xml:space="preserve"> VMT from the traffic-pricing, transit-pricing and transit-improvement measures included in the "plan" selected by the user in </t>
    </r>
    <r>
      <rPr>
        <u/>
        <sz val="10"/>
        <rFont val="Arial"/>
        <family val="2"/>
      </rPr>
      <t>Results</t>
    </r>
    <r>
      <rPr>
        <sz val="10"/>
        <rFont val="Arial"/>
        <family val="2"/>
      </rPr>
      <t xml:space="preserve"> worksheet.</t>
    </r>
  </si>
  <si>
    <t>Same as previous row, per year ( x 1,000)</t>
  </si>
  <si>
    <t>All auto trips to/thru CBD, per yr (x 1,000)</t>
  </si>
  <si>
    <r>
      <t xml:space="preserve">From </t>
    </r>
    <r>
      <rPr>
        <b/>
        <sz val="8"/>
        <rFont val="Arial"/>
        <family val="2"/>
      </rPr>
      <t>Incidence</t>
    </r>
    <r>
      <rPr>
        <sz val="8"/>
        <rFont val="Arial"/>
        <family val="2"/>
      </rPr>
      <t xml:space="preserve"> worksheet, Part C. Note: a column referenced by this cell may be hidden (to make column summations easier).</t>
    </r>
  </si>
  <si>
    <r>
      <t xml:space="preserve">Percent of cordon-bound vehicle trips made by NYC residents </t>
    </r>
    <r>
      <rPr>
        <sz val="8"/>
        <rFont val="Arial"/>
        <family val="2"/>
      </rPr>
      <t>(pertains to "into" + "thru" CBD trips alike)</t>
    </r>
  </si>
  <si>
    <t>County shares of toll + taxi revenue</t>
  </si>
  <si>
    <t>No. of workers regularly solo-commuting to CBD</t>
  </si>
  <si>
    <t>No. of workers regularly carpool-commuting to CBD</t>
  </si>
  <si>
    <t>No. of autos used by regular carpool-commuters to CBD</t>
  </si>
  <si>
    <t>No. autos used by regular commuters to CBD (SOV + carpool)</t>
  </si>
  <si>
    <t>Est'd % of weekdays that these "regular" commuters drive into CBD</t>
  </si>
  <si>
    <t>Manhatt. thru-commuters calc'd above, distrib'd to other columns</t>
  </si>
  <si>
    <t>Corrected # of workers regularly solo-commuting through CBD</t>
  </si>
  <si>
    <t>Their trips per month</t>
  </si>
  <si>
    <t>Weekdays per month</t>
  </si>
  <si>
    <t>Weekend days and holidays per month</t>
  </si>
  <si>
    <t>No. of workers regularly car-commuting through CBD</t>
  </si>
  <si>
    <t>Trips per month</t>
  </si>
  <si>
    <t>Non-work trips on typical weekend</t>
  </si>
  <si>
    <t>Total non-work trips per month</t>
  </si>
  <si>
    <t>C. Tolls on MTA Bridges and Tunnels</t>
  </si>
  <si>
    <t>Helpful Web pages from NYC Dept of Education:</t>
  </si>
  <si>
    <t>Student Metrocards: &lt;http://schools.nyc.gov/NR/exeres/0D2F636B-1214-47D2-835B-F1D600BBF4C4,frameless.htm?NRMODE=Published&gt;</t>
  </si>
  <si>
    <t>Pupil Transportation: &lt;http://schools.nyc.gov/Offices/Transportation/default.htm&gt;</t>
  </si>
  <si>
    <t>Services and Eligibility: &lt;http://schools.nyc.gov/Offices/Transportation/ServicesandEligibility/default.htm&gt;</t>
  </si>
  <si>
    <t>Their trips per month (covers regular weekday autos)</t>
  </si>
  <si>
    <t>Their trips per month (covers regular weekend autos)</t>
  </si>
  <si>
    <t>Autos used for regular weekday commutes (incl. carpoolers)</t>
  </si>
  <si>
    <t>Autos used for regular weekend commuting (incl. carpoolers)</t>
  </si>
  <si>
    <t>Autos used for other work trips on typical weekday (incl. carpool)</t>
  </si>
  <si>
    <t>Autos used for other work trips on typical weekend (incl. carpool)</t>
  </si>
  <si>
    <t>Autos used for regular commuting, all days (incl carpoolers)</t>
  </si>
  <si>
    <t>Work trips per month</t>
  </si>
  <si>
    <t>Total work trips per month</t>
  </si>
  <si>
    <t>Non-Work trips per month</t>
  </si>
  <si>
    <t>Autos used for non-work trips on typical weekday</t>
  </si>
  <si>
    <t>Sum, work + non-work trips per month</t>
  </si>
  <si>
    <t>Work trips per month by commuting regulars</t>
  </si>
  <si>
    <t>Work trips per month by commuting irregulars</t>
  </si>
  <si>
    <t>Work trips per month by the regular commuters</t>
  </si>
  <si>
    <t>Non-work trips per month by the regular commuters</t>
  </si>
  <si>
    <t>Total trips per month by regular auto users</t>
  </si>
  <si>
    <t>All other trips per month (taken by non-regular auto users)</t>
  </si>
  <si>
    <t>Number of households owning one or more cars</t>
  </si>
  <si>
    <t>Number of those households using car for regular commuting</t>
  </si>
  <si>
    <t>Avg no. trips per month by these non-regular car-owning HH's</t>
  </si>
  <si>
    <t>Avg trips/month per HH by these regular car users</t>
  </si>
  <si>
    <t>% of regular weekend autos that are also used reg'ly on wkdays</t>
  </si>
  <si>
    <t>Number of car-owning, non-regular, non-zero-trip taking HH's</t>
  </si>
  <si>
    <t>% of these HH's with E-ZPass</t>
  </si>
  <si>
    <t>% pts by which irregular HH EZ-P use is less than commuters'</t>
  </si>
  <si>
    <t>Free trips per year (if each E-ZPass holder receives one)</t>
  </si>
  <si>
    <r>
      <t xml:space="preserve">Toll-paying auto trips, average day </t>
    </r>
    <r>
      <rPr>
        <sz val="8"/>
        <rFont val="Arial"/>
        <family val="2"/>
      </rPr>
      <t>(i.e., reflects toll)</t>
    </r>
  </si>
  <si>
    <r>
      <t xml:space="preserve">Toll-paying auto trips per year (millions) </t>
    </r>
    <r>
      <rPr>
        <sz val="8"/>
        <rFont val="Arial"/>
        <family val="2"/>
      </rPr>
      <t>(i.e., reflects toll)</t>
    </r>
  </si>
  <si>
    <t>Combined rev. from cordon toll + taxi surcharge, millions</t>
  </si>
  <si>
    <t>A. County by County (or State) Shares of Toll Burden (with Applicable Medallion Taxi Surcharge)</t>
  </si>
  <si>
    <t>B. County by County (or State) Trips and Trip-Taking Vehicles</t>
  </si>
  <si>
    <t>Additional non-work trips per month by each regular commuter</t>
  </si>
  <si>
    <t>From American Community Survey 2005-2009. Tenure by Vehicles Available. Available at &lt;http://1.usa.gov/lQnXDV&gt;, compiled in a spreadsheet created by J. Szende, 1 June 2011.</t>
  </si>
  <si>
    <t xml:space="preserve">Komanoff assumption. Set to reflect assumed very high penetration of E-ZPass among regular commuters, and to err (if at all) on the high side. </t>
  </si>
  <si>
    <t>Komanoff assumptions. Specified to reflect lower propensity for non-commute car trips to/thru CBD as distance from CBD increases.</t>
  </si>
  <si>
    <t>% of car-owning non-commuting HH's taking zero CBD trips/mo.</t>
  </si>
  <si>
    <r>
      <t xml:space="preserve">HH's using car for regular CBD commuting </t>
    </r>
    <r>
      <rPr>
        <b/>
        <u/>
        <sz val="9"/>
        <rFont val="Arial"/>
        <family val="2"/>
      </rPr>
      <t>and</t>
    </r>
    <r>
      <rPr>
        <b/>
        <sz val="9"/>
        <rFont val="Arial"/>
        <family val="2"/>
      </rPr>
      <t xml:space="preserve"> using E-ZPass</t>
    </r>
  </si>
  <si>
    <r>
      <t xml:space="preserve">HH's using car for irregular CBD access </t>
    </r>
    <r>
      <rPr>
        <b/>
        <u/>
        <sz val="9"/>
        <rFont val="Arial"/>
        <family val="2"/>
      </rPr>
      <t>and</t>
    </r>
    <r>
      <rPr>
        <b/>
        <sz val="9"/>
        <rFont val="Arial"/>
        <family val="2"/>
      </rPr>
      <t xml:space="preserve"> using E-ZPass</t>
    </r>
  </si>
  <si>
    <r>
      <t xml:space="preserve">HH's using car for CBD access </t>
    </r>
    <r>
      <rPr>
        <b/>
        <u/>
        <sz val="9"/>
        <rFont val="Arial"/>
        <family val="2"/>
      </rPr>
      <t>and</t>
    </r>
    <r>
      <rPr>
        <b/>
        <sz val="9"/>
        <rFont val="Arial"/>
        <family val="2"/>
      </rPr>
      <t xml:space="preserve"> using E-ZPass</t>
    </r>
  </si>
  <si>
    <t>Ratio of those cars to CBD-bound (or X'ing) trips per month</t>
  </si>
  <si>
    <t>Number of car-owning households w/o regular CBD commuting</t>
  </si>
  <si>
    <t>1. AUTOS</t>
  </si>
  <si>
    <t>2. MEDALLION TAXI SURCHARGE</t>
  </si>
  <si>
    <t>1. TRIPS</t>
  </si>
  <si>
    <t>2. REVENUE IMPACTS</t>
  </si>
  <si>
    <t>Sum / Weighted average</t>
  </si>
  <si>
    <t>No./Day</t>
  </si>
  <si>
    <t>No./Yr</t>
  </si>
  <si>
    <t>A. Calculate average toll paid by autos</t>
  </si>
  <si>
    <t>B. Calculate revenue loss from exempting one trip per month for each E-ZPass Card Holder</t>
  </si>
  <si>
    <t>Trips exempted from toll, per year</t>
  </si>
  <si>
    <t>Revenue loss per trip, minimum</t>
  </si>
  <si>
    <t>Revenue loss per trip, maximum</t>
  </si>
  <si>
    <t>Revenue loss per year, minimum (hundreds of millions of dollars)</t>
  </si>
  <si>
    <t>Revenue loss per year, maximum (hundreds of millions of dollars)</t>
  </si>
  <si>
    <t>Quantities</t>
  </si>
  <si>
    <t>% of pre-exemption cordon toll revenues</t>
  </si>
  <si>
    <t>% of pre-exemption total (gross) revenues</t>
  </si>
  <si>
    <t>Revenue loss per year, avg'd betw max and min (hundreds of millions of dollars)</t>
  </si>
  <si>
    <t>Average Change to New Toll if Toll Increment Applied to MTA Tunnels Is Discounted</t>
  </si>
  <si>
    <t>Average Change to New Toll if Implement "One Untolled Drive a Month into CBD"</t>
  </si>
  <si>
    <r>
      <t xml:space="preserve">New Toll, dollars </t>
    </r>
    <r>
      <rPr>
        <b/>
        <sz val="8"/>
        <rFont val="Arial"/>
        <family val="2"/>
      </rPr>
      <t>(tolls differ among trip types and trip periods; figures in this row don't yet reflect whether tolls: replace or add to current tolls; apply to entire cordon or just to "free" bridges; include applicable discounts. They're inputted from 'Weekday Hours' tab).</t>
    </r>
  </si>
  <si>
    <r>
      <t xml:space="preserve">New Toll, dollars </t>
    </r>
    <r>
      <rPr>
        <b/>
        <sz val="8"/>
        <rFont val="Arial"/>
        <family val="2"/>
      </rPr>
      <t>(tolls differ among trip types and trip periods; figures in this row don't yet reflect whether tolls: replace or add to current tolls; apply to entire cordon or just to "free" bridges; include applicable discounts. They're inputted from 'Weekend Hours' tab).</t>
    </r>
  </si>
  <si>
    <t xml:space="preserve">High values raise more revenue and dampen possible boomlet in taxi use in response to improved CBD travel speeds (which also reduce effective fare rise by trimming taxi wait time). In future, we may vary surcharge by time of day to reflect congestion. </t>
  </si>
  <si>
    <t>Fare trips assoc'd w/ ea. cordon-crossing trip:</t>
  </si>
  <si>
    <t>Share of new toll payments borne by residents of 7 counties in MTA region outside NYC</t>
  </si>
  <si>
    <t>Share of new toll payments borne by residents of New Jersey</t>
  </si>
  <si>
    <t>Share of new toll payments borne by residents not from NJ or MTA region</t>
  </si>
  <si>
    <t>% of weekdays that "regular" commuters living in NYC drive into CBD</t>
  </si>
  <si>
    <t>Proposed Cordon Toll</t>
  </si>
  <si>
    <t>Proposed  Toll, % of Delay Costs</t>
  </si>
  <si>
    <t>Payments to Offset Reduced Tolls</t>
  </si>
  <si>
    <r>
      <t xml:space="preserve">MTA 's definition of a truck differs from the PA's. On its Web page, "MTA Bridges and Tunnels Crossing Charges" (see &lt;http://bit.ly/hQ2X0A&gt;), the MTA defines trucks simply as "More than 7,000 lbs maximum gross weight (MGW)." (A vehicle must also have commercial license plates to be considered a truck by the MTA.) Presumably, then, Ford 2011 E-Series vans are classified as trucks by the MTA </t>
    </r>
    <r>
      <rPr>
        <sz val="9"/>
        <rFont val="Calibri"/>
        <family val="2"/>
      </rPr>
      <t xml:space="preserve">− </t>
    </r>
    <r>
      <rPr>
        <sz val="9"/>
        <rFont val="Arial"/>
        <family val="2"/>
      </rPr>
      <t xml:space="preserve">even though they have just two rather than four (dual) rear wheels − since they are all 8,000 MGW or higher. (See Ford specs here: &lt;http://bit.ly/hfg8N9&gt;.) Note that Maximum Gross Weight is determined through commercial vehicle registration and E-ZPass registration. </t>
    </r>
  </si>
  <si>
    <r>
      <t xml:space="preserve">The PA's truck classifications, based on number of wheels and axles, are straightforward. Unfortunately, some vehicles that we count here (most critically, in the </t>
    </r>
    <r>
      <rPr>
        <b/>
        <sz val="9"/>
        <rFont val="Arial"/>
        <family val="2"/>
      </rPr>
      <t>Motor Vs</t>
    </r>
    <r>
      <rPr>
        <sz val="9"/>
        <rFont val="Arial"/>
        <family val="2"/>
      </rPr>
      <t xml:space="preserve"> and </t>
    </r>
    <r>
      <rPr>
        <b/>
        <sz val="9"/>
        <rFont val="Arial"/>
        <family val="2"/>
      </rPr>
      <t>Motor Vs Weekends</t>
    </r>
    <r>
      <rPr>
        <sz val="9"/>
        <rFont val="Arial"/>
        <family val="2"/>
      </rPr>
      <t xml:space="preserve"> worksheets) as trucks, e.g., Econoline vans, are recorded by the PA as cars since they pay car tolls on PA crossings. Moreover, the only CBD-crossing data available from the PA, for the Lincoln Tunnel, may not be a good representation of all CBD-bound traffic, if trucks make up a higher share of CBD-bound vehicles from west of the Hudson than they do for, say, vehicles entering from the north at 60th St. Thus, the PA data (for the Lincoln Tunnel) may not suffice on their own.</t>
    </r>
  </si>
  <si>
    <t>Annual Revenue, millions $:</t>
  </si>
  <si>
    <t>CBD trips, evening peak</t>
  </si>
  <si>
    <t>Major crossings are RFK, Whitestone, Throgs Neck, BBT, QMT. Note that MTA tolls do not vary by time of day. Toll rates are as of 30-Dec-2010 and are from &lt;http://www.mta.info/bandt/traffic/btmain.html&gt;.</t>
  </si>
  <si>
    <t>5am-6am</t>
  </si>
  <si>
    <t>Number of Persons Traveling to CBD on a Typical Weekday</t>
  </si>
  <si>
    <t>(These calculations were applied to BTA on May 6, 2011, and are still current, w/ a modification applied June 10, 2011.)</t>
  </si>
  <si>
    <t>However, we regard the 16 mph speed for 5-6 a.m. as too low, based on anecdotal observation. Thus, we have not modified Ken Small's parameters (except for minor rounding) to fit that value.</t>
  </si>
  <si>
    <t>Rough estimation of revenue loss from switching advent of weekday off-peak toll to 6 pm, from 8 pm as programmed here</t>
  </si>
  <si>
    <t>Share of 2-8 pm inbound traffic entering during 6-8 pm</t>
  </si>
  <si>
    <t>Ratio of applicable hour-by-hour rows from 'Weekday Hours' worksheet tab.</t>
  </si>
  <si>
    <t>Percentage reduction from peak toll rate to off-peak toll rate</t>
  </si>
  <si>
    <t>Estimated revenue loss</t>
  </si>
  <si>
    <t>million per year</t>
  </si>
  <si>
    <t>Revenue (unadjusted)</t>
  </si>
  <si>
    <t>Revenue Adjustment</t>
  </si>
  <si>
    <t>Gross revenue increase from tolls for motor vehicle trips into Manhattan CBD.</t>
  </si>
  <si>
    <t xml:space="preserve">Adjusted Revenue </t>
  </si>
  <si>
    <r>
      <t xml:space="preserve">Expenditures </t>
    </r>
    <r>
      <rPr>
        <b/>
        <u/>
        <sz val="9"/>
        <rFont val="Arial"/>
        <family val="2"/>
      </rPr>
      <t>(outflow)</t>
    </r>
  </si>
  <si>
    <t>Hr starting</t>
  </si>
  <si>
    <t>Bin</t>
  </si>
  <si>
    <t>Hour begins</t>
  </si>
  <si>
    <t>Komanoff est. Captures diminishing returns in translating transit investment to improved travel time. Mathematical form is such that if first $100 million yields 2% improvement in travel times, second $100 million yields 2% x .925% or 1.85%, third yields 1.85% x .925% or 1.71%, etc.</t>
  </si>
  <si>
    <r>
      <t xml:space="preserve">Number of years over which investment is applied </t>
    </r>
    <r>
      <rPr>
        <sz val="9"/>
        <rFont val="Arial"/>
        <family val="2"/>
      </rPr>
      <t>(i.e., years required to reap full benefit):</t>
    </r>
  </si>
  <si>
    <t>Allocable %</t>
  </si>
  <si>
    <t>Allocable $</t>
  </si>
  <si>
    <t>% Allocation for PA Toll Impact</t>
  </si>
  <si>
    <t>This figure is used to estimate PANYNJ baseline toll revenues from trips into the Manhattan CBD.</t>
  </si>
  <si>
    <t>This figure is used to estimate PA's toll revenue loss from fewer trips to CBD due to cordon toll.</t>
  </si>
  <si>
    <t>All figures are annual and in thousands. Percentages denote share of toll revenues to be included in calculating baseline conditions for cordon entry</t>
  </si>
  <si>
    <t>Percentage of George Washington Bridge crossings and toll revenues that eventually enter CBD:</t>
  </si>
  <si>
    <r>
      <t xml:space="preserve">MTA Bus Co. Projected Revenue, 2011, thousands </t>
    </r>
    <r>
      <rPr>
        <sz val="9"/>
        <rFont val="Arial"/>
        <family val="2"/>
      </rPr>
      <t>(farebox revenue)</t>
    </r>
  </si>
  <si>
    <t>P O R T    T O T A L, t h o u s a n d s</t>
  </si>
  <si>
    <r>
      <t xml:space="preserve">Factors to adjust weekday time value to weekends, and in-CBD to outside-CBD </t>
    </r>
    <r>
      <rPr>
        <sz val="8"/>
        <rFont val="Arial"/>
        <family val="2"/>
      </rPr>
      <t>(Komanoff assumptions)</t>
    </r>
  </si>
  <si>
    <r>
      <t xml:space="preserve">Weekdays, within CBD </t>
    </r>
    <r>
      <rPr>
        <sz val="8"/>
        <rFont val="Arial"/>
        <family val="2"/>
      </rPr>
      <t xml:space="preserve">(derived via matrix of values est'd for autos, taxis, trucks, etc. in </t>
    </r>
    <r>
      <rPr>
        <b/>
        <sz val="8"/>
        <rFont val="Arial"/>
        <family val="2"/>
      </rPr>
      <t xml:space="preserve">Value of Time </t>
    </r>
    <r>
      <rPr>
        <sz val="8"/>
        <rFont val="Arial"/>
        <family val="2"/>
      </rPr>
      <t>wksht)</t>
    </r>
  </si>
  <si>
    <t>Weekends vs. Weekdays</t>
  </si>
  <si>
    <t>Out-CBD hour vs. Inside</t>
  </si>
  <si>
    <t>Note: Different Outside/Inside-CBD ratio for vans, trucks, rigs:</t>
  </si>
  <si>
    <t>Auto trips for work that don't go through cordon</t>
  </si>
  <si>
    <t>Same as above, not for work</t>
  </si>
  <si>
    <t>Auto + Taxi Total</t>
  </si>
  <si>
    <t>Percent of car or truck thru-trips that return thru cordon (as opposed to bypassing CBD on return leg):</t>
  </si>
  <si>
    <t>Ratio of trip mileage, CBD-through-trips to trips whose destination is CBD</t>
  </si>
  <si>
    <t>Percent of (non-taxi) auto trips to CBD that are work trips (weekdays):</t>
  </si>
  <si>
    <t>Traffic-weighted avg speed for motor vehicles within Manhattan CBD, 6 am - 6 pm weekdays, mph</t>
  </si>
  <si>
    <t>Traffic-wghtd avg speed for motor veh's on approaches to Manhattan CBD, 6 am - 6 pm wkdays, mph</t>
  </si>
  <si>
    <t>Average motor-vehicle speeds (baseline, 2009-10 for CBD, 2007 for Approaches)</t>
  </si>
  <si>
    <r>
      <t xml:space="preserve">Means-Tested Tolling's Impact (Reduxn) on Avg Cordon Toll </t>
    </r>
    <r>
      <rPr>
        <sz val="9"/>
        <rFont val="Arial"/>
        <family val="2"/>
      </rPr>
      <t>(if applicable, i.e., if made part of plan)</t>
    </r>
  </si>
  <si>
    <r>
      <t xml:space="preserve">Full name for this parameter is </t>
    </r>
    <r>
      <rPr>
        <u/>
        <sz val="9"/>
        <rFont val="Arial"/>
        <family val="2"/>
      </rPr>
      <t>Ratio, non-cordon-bound trips' non-cordon VMT, to cordon-bound trips' non-cordon VMT (on approaches to CBD)</t>
    </r>
    <r>
      <rPr>
        <sz val="9"/>
        <rFont val="Arial"/>
        <family val="2"/>
      </rPr>
      <t xml:space="preserve">. It denotes our best estimate of the extent to which vehicles that are </t>
    </r>
    <r>
      <rPr>
        <i/>
        <sz val="9"/>
        <rFont val="Arial"/>
        <family val="2"/>
      </rPr>
      <t>not</t>
    </r>
    <r>
      <rPr>
        <sz val="9"/>
        <rFont val="Arial"/>
        <family val="2"/>
      </rPr>
      <t xml:space="preserve"> bound for the Manhattan CBD are co-occupying roads to (and from) the CBD with vehicles that are actually headed into the CBD (cordon). This parameter is used to ensure accuracy in calculating the extent to which the cordon tolls will reduce traffic and, hence, improve travel speeds on the highways and other major arteries that feed the bridges, tunnels and local streets that actually cross into the CBD. The figure shown corresponds to our estimate that only around a third of vehicles on the approaches are actually en route to or from the CBD -- a figure derived in the </t>
    </r>
    <r>
      <rPr>
        <b/>
        <sz val="9"/>
        <rFont val="Arial"/>
        <family val="2"/>
      </rPr>
      <t>Approaches</t>
    </r>
    <r>
      <rPr>
        <sz val="9"/>
        <rFont val="Arial"/>
        <family val="2"/>
      </rPr>
      <t xml:space="preserve"> worksheet tab. Had we not reflected "dilution" of CBD-bound traffic with other traffic, we would have vastly overstated the extent to which the cordon tolls are predicted to improve travel speeds outside the CBD.</t>
    </r>
  </si>
  <si>
    <t>For NYC</t>
  </si>
  <si>
    <t>For remainder of MTA 12-county region</t>
  </si>
  <si>
    <t>For NJ + CT</t>
  </si>
  <si>
    <t>For 'Other'</t>
  </si>
  <si>
    <t>Factor by which thru-CBD-commute autos are supplemented by other, less regular thru-CBD work trips, weekdays</t>
  </si>
  <si>
    <t>Factor by which thru-CBD-commute autos are supplemented by other, less regular thru-CBD work trips, weekends</t>
  </si>
  <si>
    <t>Both figures are Komanoff assumptions.</t>
  </si>
  <si>
    <t>% of auto trips entering or re-entering CBD that are now tolled</t>
  </si>
  <si>
    <t>Baseline taxi revenues paid by Manhattan residents</t>
  </si>
  <si>
    <t>Addit'l non-work trips per month per regular commuter</t>
  </si>
  <si>
    <t>% of HH's using car for commuting that have E-ZPass</t>
  </si>
  <si>
    <t>% pts by which irregular Households' EZ-P use is less than commuters'</t>
  </si>
  <si>
    <t>% autos driven regularly to CBD on weekends also driven regularly to CBD on wkdays</t>
  </si>
  <si>
    <t>% car-owning non-CBD-commuting HH's taking zero CBD trips/mo.</t>
  </si>
  <si>
    <r>
      <t xml:space="preserve">   </t>
    </r>
    <r>
      <rPr>
        <b/>
        <sz val="9"/>
        <color indexed="10"/>
        <rFont val="Arial"/>
        <family val="2"/>
      </rPr>
      <t>Manhattan Central Business District (CBD)</t>
    </r>
    <r>
      <rPr>
        <sz val="9"/>
        <color indexed="10"/>
        <rFont val="Arial"/>
        <family val="2"/>
      </rPr>
      <t xml:space="preserve">
</t>
    </r>
    <r>
      <rPr>
        <sz val="8"/>
        <rFont val="Arial"/>
        <family val="2"/>
      </rPr>
      <t xml:space="preserve">The "cordon" area which motor vehicles will be charged a congestion fee to enter consists of all of Manhattan Island south of 60th Street. This 8.5-square mile zone, the commercial heart of New York City, is commonly known as the Manhattan Central Business District (CBD). For a further description, see the </t>
    </r>
    <r>
      <rPr>
        <b/>
        <sz val="8"/>
        <rFont val="Arial"/>
        <family val="2"/>
      </rPr>
      <t xml:space="preserve">Cordon </t>
    </r>
    <r>
      <rPr>
        <sz val="8"/>
        <rFont val="Arial"/>
        <family val="2"/>
      </rPr>
      <t>worksheet tab.</t>
    </r>
  </si>
  <si>
    <t>Baseline assumptions from B. Schaller's "Taxi Fact Book, 2006," but also incorporating NYS Taxi Surcharge ($0.50 per ride) adopted in 2009</t>
  </si>
  <si>
    <t>Average passenger hail time, minutes</t>
  </si>
  <si>
    <t>Thess assumptions effectively function as cross-elasticities of demand for other modes with respect to demand for medallion taxi service.</t>
  </si>
  <si>
    <t>Number of years required for assumed investment to realize its full predicted benefit:</t>
  </si>
  <si>
    <t>Komanoff assumption, intended to reflect real-world lead times between capital spending and service benefit.</t>
  </si>
  <si>
    <r>
      <t xml:space="preserve">Komanoff est. Is intended to capture presumed steeper slope of diminishing returns for </t>
    </r>
    <r>
      <rPr>
        <u/>
        <sz val="8"/>
        <rFont val="Arial"/>
        <family val="2"/>
      </rPr>
      <t>operating</t>
    </r>
    <r>
      <rPr>
        <sz val="8"/>
        <rFont val="Arial"/>
        <family val="2"/>
      </rPr>
      <t xml:space="preserve"> expenditures and </t>
    </r>
    <r>
      <rPr>
        <u/>
        <sz val="8"/>
        <rFont val="Arial"/>
        <family val="2"/>
      </rPr>
      <t>bus</t>
    </r>
    <r>
      <rPr>
        <sz val="8"/>
        <rFont val="Arial"/>
        <family val="2"/>
      </rPr>
      <t xml:space="preserve"> sector, vis-à-vis </t>
    </r>
    <r>
      <rPr>
        <u/>
        <sz val="8"/>
        <rFont val="Arial"/>
        <family val="2"/>
      </rPr>
      <t>capital</t>
    </r>
    <r>
      <rPr>
        <sz val="8"/>
        <rFont val="Arial"/>
        <family val="2"/>
      </rPr>
      <t xml:space="preserve"> investments and </t>
    </r>
    <r>
      <rPr>
        <u/>
        <sz val="8"/>
        <rFont val="Arial"/>
        <family val="2"/>
      </rPr>
      <t>subway</t>
    </r>
    <r>
      <rPr>
        <sz val="8"/>
        <rFont val="Arial"/>
        <family val="2"/>
      </rPr>
      <t xml:space="preserve"> sector.</t>
    </r>
  </si>
  <si>
    <t>Percent attrition in above rate per each additional $50 million spent</t>
  </si>
  <si>
    <r>
      <t xml:space="preserve">Est'd increase in market share for incremental-cost pay media, if some or all NYC Transit rides are discounted on per-ride basis </t>
    </r>
    <r>
      <rPr>
        <sz val="8"/>
        <rFont val="Arial"/>
        <family val="2"/>
      </rPr>
      <t>(in percentage points, not %).</t>
    </r>
  </si>
  <si>
    <t>% of NYC Transit fares that are undiscounted</t>
  </si>
  <si>
    <t>% trips going thru subway turnstile that are allocable to subways</t>
  </si>
  <si>
    <t>Not used</t>
  </si>
  <si>
    <r>
      <t xml:space="preserve">Average weekday vehicle occupancy </t>
    </r>
    <r>
      <rPr>
        <sz val="8"/>
        <rFont val="Arial"/>
        <family val="2"/>
      </rPr>
      <t xml:space="preserve">(wghtd avg of work and non-work occupancies in </t>
    </r>
    <r>
      <rPr>
        <b/>
        <sz val="8"/>
        <rFont val="Arial"/>
        <family val="2"/>
      </rPr>
      <t xml:space="preserve">H.I.S. </t>
    </r>
    <r>
      <rPr>
        <sz val="8"/>
        <rFont val="Arial"/>
        <family val="2"/>
      </rPr>
      <t>worksheet)</t>
    </r>
  </si>
  <si>
    <r>
      <t xml:space="preserve">Subway vs. Bus </t>
    </r>
    <r>
      <rPr>
        <sz val="9"/>
        <rFont val="Arial"/>
        <family val="2"/>
      </rPr>
      <t>(this worksheet apportions new transit trips (from auto trips "tolled off the roads") between subway and bus.</t>
    </r>
  </si>
  <si>
    <r>
      <t xml:space="preserve">Incidence </t>
    </r>
    <r>
      <rPr>
        <sz val="9"/>
        <rFont val="Arial"/>
        <family val="2"/>
      </rPr>
      <t>(this worksheet estimates each borough/county's (i) share of toll burden, (ii) # of HH's that drive to CBD at least once per month)</t>
    </r>
  </si>
  <si>
    <t>Average value of an hour's time for auto commuter to CBD</t>
  </si>
  <si>
    <r>
      <t xml:space="preserve">(Shown in </t>
    </r>
    <r>
      <rPr>
        <b/>
        <sz val="8"/>
        <rFont val="Arial"/>
        <family val="2"/>
      </rPr>
      <t>Sub v. Bus</t>
    </r>
    <r>
      <rPr>
        <sz val="8"/>
        <rFont val="Arial"/>
        <family val="2"/>
      </rPr>
      <t xml:space="preserve">, derived in </t>
    </r>
    <r>
      <rPr>
        <b/>
        <sz val="8"/>
        <rFont val="Arial"/>
        <family val="2"/>
      </rPr>
      <t>Value of Time</t>
    </r>
    <r>
      <rPr>
        <sz val="8"/>
        <rFont val="Arial"/>
        <family val="2"/>
      </rPr>
      <t>)</t>
    </r>
  </si>
  <si>
    <t>Value of an hour's transit travel time (including time to 'access" ride) for auto trips "tolled into" transit</t>
  </si>
  <si>
    <r>
      <t>S = 22.183 / [1 + 0.1*(V/V</t>
    </r>
    <r>
      <rPr>
        <vertAlign val="subscript"/>
        <sz val="9"/>
        <rFont val="Arial"/>
        <family val="2"/>
      </rPr>
      <t>K</t>
    </r>
    <r>
      <rPr>
        <sz val="9"/>
        <rFont val="Arial"/>
        <family val="2"/>
      </rPr>
      <t>)</t>
    </r>
    <r>
      <rPr>
        <vertAlign val="superscript"/>
        <sz val="9"/>
        <rFont val="Arial"/>
        <family val="2"/>
      </rPr>
      <t>4.00</t>
    </r>
    <r>
      <rPr>
        <sz val="9"/>
        <rFont val="Arial"/>
        <family val="2"/>
      </rPr>
      <t xml:space="preserve">] </t>
    </r>
  </si>
  <si>
    <r>
      <t>where S = speed, V = vehicle volume (in CBD vehicle miles traveled per hour) and V</t>
    </r>
    <r>
      <rPr>
        <vertAlign val="subscript"/>
        <sz val="9"/>
        <rFont val="Arial"/>
        <family val="2"/>
      </rPr>
      <t>K</t>
    </r>
    <r>
      <rPr>
        <sz val="9"/>
        <rFont val="Arial"/>
        <family val="2"/>
      </rPr>
      <t xml:space="preserve"> is a situation-specific parameter, whose value is calculated in the </t>
    </r>
    <r>
      <rPr>
        <b/>
        <sz val="9"/>
        <rFont val="Arial"/>
        <family val="2"/>
      </rPr>
      <t>Speed-Vol., Cordon</t>
    </r>
    <r>
      <rPr>
        <sz val="9"/>
        <rFont val="Arial"/>
        <family val="2"/>
      </rPr>
      <t xml:space="preserve"> worksheet through a trial-and-error process that causes the weighted averages of calculated CBD weekday speeds during 6 am - 6 pm to equal 9.5 mph (the figure inferred by NYCDOT from GPS readings on medallion taxis), and for the 5-6 am speed to be reasonably close to the 16 mph speed similarly inferred by DOT.</t>
    </r>
  </si>
  <si>
    <t>S = 130.63 * e ^ (-0.0225 * V / 38,372)</t>
  </si>
  <si>
    <r>
      <t xml:space="preserve">where S = speed, V = vehicle volume (in vehicle miles traveled per hour by (i) motor vehicles bound to (or from) the CBD, and (ii) other motor vehicles operating on the same roads) and 38,372 is a constant whose value we calculate, in the </t>
    </r>
    <r>
      <rPr>
        <b/>
        <sz val="9"/>
        <rFont val="Arial"/>
        <family val="2"/>
      </rPr>
      <t>Speed-Vol., non-Cordon</t>
    </r>
    <r>
      <rPr>
        <sz val="9"/>
        <rFont val="Arial"/>
        <family val="2"/>
      </rPr>
      <t xml:space="preserve"> worksheet, through a trial-and-error process to solve for the constant that causes the weighted averages of non-CBD speeds that are calculated from the equation above to equal 18.22 mph: the figure calculated in the </t>
    </r>
    <r>
      <rPr>
        <b/>
        <sz val="9"/>
        <rFont val="Arial"/>
        <family val="2"/>
      </rPr>
      <t>VMT</t>
    </r>
    <r>
      <rPr>
        <sz val="9"/>
        <rFont val="Arial"/>
        <family val="2"/>
      </rPr>
      <t xml:space="preserve"> worksheet for the boroughs and counties surrounding the Manhattan CBD (from 6 am - 6 pm) in the PlaNYC report.</t>
    </r>
  </si>
  <si>
    <t>Source: NYMTC, Hub-Bound Travel Report 2007, Tables, Subway By Sector, MTA NYC Transit Summary, 2007-Inbound and 2007-Outbound (p 61 of 104), available via http://www.nymtc.org/data_services/HBT.html. Figs are compiled by hr.</t>
  </si>
  <si>
    <t>Net change in fare trips due to pricing, as % of baseline fare trips</t>
  </si>
  <si>
    <t>Cordon VMT by medallion taxis</t>
  </si>
  <si>
    <t>% of After</t>
  </si>
  <si>
    <r>
      <t xml:space="preserve">Percent using E-ZPass, weekdays </t>
    </r>
    <r>
      <rPr>
        <sz val="8"/>
        <rFont val="Arial"/>
        <family val="2"/>
      </rPr>
      <t>(Komanoff assumptions)</t>
    </r>
  </si>
  <si>
    <t>For weekends, we assume higher % of cash payments.</t>
  </si>
  <si>
    <t xml:space="preserve">The total volume (acreage) of street space in the CBD influences BTA results through the input parameter that specifies the amount of street space (if any) to be "taken from service" by motor vehicles as an ancillary benefit that could be provided under congestion pricing. </t>
  </si>
  <si>
    <t>In this worksheet, the BTA calculates changes in emissions of CO2, Total Organic Gases, Carbon Monoxide, Nitrogen Oxides, and PM10 that will result from a congestion toll and any related measures. Emissions will change due to changes in both VMT (vehicle miles traveled) and traffic speeds. The worksheet captures both phenomena.</t>
  </si>
  <si>
    <r>
      <t xml:space="preserve">The key assumption underlying the table is the value of an hour of saved time for a </t>
    </r>
    <r>
      <rPr>
        <u/>
        <sz val="9"/>
        <rFont val="Arial"/>
        <family val="2"/>
      </rPr>
      <t>NYC airline passenger</t>
    </r>
    <r>
      <rPr>
        <sz val="9"/>
        <rFont val="Arial"/>
        <family val="2"/>
      </rPr>
      <t>, derived as follows:</t>
    </r>
  </si>
  <si>
    <t>Number of trucks crossing into the cordon</t>
  </si>
  <si>
    <t>% of those entries that are part of a through-trip</t>
  </si>
  <si>
    <t>% of truck through-trips that return through cordon</t>
  </si>
  <si>
    <t>Some assumptions</t>
  </si>
  <si>
    <t>Some results</t>
  </si>
  <si>
    <t>% truck thru-trip segments that are part of rnd-trip that goes thru cordon twice</t>
  </si>
  <si>
    <t>C-crossing trips, with trips that pass thru cordon twice counted only once</t>
  </si>
  <si>
    <t>Figures in array at right are from 'Motor Vs' and 'Motor Vs Weekends' worksheets. Row references are to those sheets.</t>
  </si>
  <si>
    <t>Truck entries to CBD, categorized by axles</t>
  </si>
  <si>
    <t>Charge Subway Fare for Intra-city Metro-N &amp; LIRR?</t>
  </si>
  <si>
    <r>
      <t>Discussion: A</t>
    </r>
    <r>
      <rPr>
        <sz val="9"/>
        <rFont val="Arial"/>
        <family val="2"/>
      </rPr>
      <t xml:space="preserve">bove analysis suggests that average commuter to CBD recovers less value in time saved than he/she must spend in cordon-entry toll, even though graph in </t>
    </r>
    <r>
      <rPr>
        <b/>
        <sz val="9"/>
        <rFont val="Arial"/>
        <family val="2"/>
      </rPr>
      <t>Cost-Benefit</t>
    </r>
    <r>
      <rPr>
        <sz val="9"/>
        <rFont val="Arial"/>
        <family val="2"/>
      </rPr>
      <t xml:space="preserve"> tab indicates that aggregate time savings to drivers (and passengers) have approximately the same value as drivers' toll payments.</t>
    </r>
  </si>
  <si>
    <r>
      <t xml:space="preserve">Discussion: </t>
    </r>
    <r>
      <rPr>
        <sz val="9"/>
        <rFont val="Arial"/>
        <family val="2"/>
      </rPr>
      <t>Gap between toll cost and value of time saved is less for this peak-period trip but is still substantial.</t>
    </r>
  </si>
  <si>
    <r>
      <t xml:space="preserve">Discussion: </t>
    </r>
    <r>
      <rPr>
        <sz val="9"/>
        <rFont val="Arial"/>
        <family val="2"/>
      </rPr>
      <t>Time saving comes closer to offsetting toll in this case. Indeed, any of the following adjustments will raise value of time saved to more than toll:</t>
    </r>
  </si>
  <si>
    <r>
      <t xml:space="preserve">Discussion: </t>
    </r>
    <r>
      <rPr>
        <sz val="9"/>
        <rFont val="Arial"/>
        <family val="2"/>
      </rPr>
      <t>Whether the surcharge is offset by value of time saved varies depending upon share of trip that takes place within CBD and trip's coincidence with peak traffic periods.</t>
    </r>
  </si>
  <si>
    <t>Great. You should now be ready to go.</t>
  </si>
  <si>
    <r>
      <t xml:space="preserve">In left-hand column (near top), click </t>
    </r>
    <r>
      <rPr>
        <b/>
        <sz val="10"/>
        <rFont val="Arial"/>
        <family val="2"/>
      </rPr>
      <t>Formulas</t>
    </r>
    <r>
      <rPr>
        <sz val="10"/>
        <rFont val="Arial"/>
        <family val="2"/>
      </rPr>
      <t>.</t>
    </r>
  </si>
  <si>
    <t>Why? Since the BTA is written dynamically and interactively, you must configure Excel to feed cell outputs back into other cells. Otherwise, the BTA will return "circular formulas" with blank or incorrect results. Note: With "iteration" turned on, there may be a brief delay in the display of new numbers in response to your inputs, as Excel cycles through 100 iterations.</t>
  </si>
  <si>
    <t>(xii) specification of relationship between toll increases and car occupancies (carpooling)</t>
  </si>
  <si>
    <r>
      <t xml:space="preserve">(xiii) </t>
    </r>
    <r>
      <rPr>
        <sz val="9"/>
        <rFont val="Arial"/>
        <family val="2"/>
      </rPr>
      <t xml:space="preserve">options for </t>
    </r>
    <r>
      <rPr>
        <i/>
        <sz val="9"/>
        <rFont val="Arial"/>
        <family val="2"/>
      </rPr>
      <t>means-tested toll discounts</t>
    </r>
    <r>
      <rPr>
        <sz val="9"/>
        <rFont val="Arial"/>
        <family val="2"/>
      </rPr>
      <t xml:space="preserve"> and/or </t>
    </r>
    <r>
      <rPr>
        <i/>
        <sz val="9"/>
        <rFont val="Arial"/>
        <family val="2"/>
      </rPr>
      <t>waiving the toll on each vehicle's first E-ZPass paid toll for CBD bound trips, that month</t>
    </r>
  </si>
  <si>
    <r>
      <t xml:space="preserve">(xiv) analysis of the prospect that </t>
    </r>
    <r>
      <rPr>
        <i/>
        <sz val="9"/>
        <rFont val="Arial"/>
        <family val="2"/>
      </rPr>
      <t xml:space="preserve">park-and-ride commuters </t>
    </r>
    <r>
      <rPr>
        <sz val="9"/>
        <rFont val="Arial"/>
        <family val="2"/>
      </rPr>
      <t>will flood gateway neighborhoods to the CBD</t>
    </r>
  </si>
  <si>
    <t>(xv) separate "levers" to vary the three elements of the medallion taxi fare: the "drop," the per-mile charge, and the wait-time charge for crawling along in congested traffic</t>
  </si>
  <si>
    <r>
      <t xml:space="preserve">(xvi) separate "levers" to vary truck tolls according to the </t>
    </r>
    <r>
      <rPr>
        <i/>
        <sz val="9"/>
        <rFont val="Arial"/>
        <family val="2"/>
      </rPr>
      <t xml:space="preserve">number of axles </t>
    </r>
  </si>
  <si>
    <r>
      <t xml:space="preserve">Requires Excel 2007 or later (PC) </t>
    </r>
    <r>
      <rPr>
        <b/>
        <sz val="15"/>
        <color rgb="FF0070C0"/>
        <rFont val="Calibri"/>
        <family val="2"/>
      </rPr>
      <t xml:space="preserve">• </t>
    </r>
    <r>
      <rPr>
        <b/>
        <sz val="15"/>
        <color rgb="FF0070C0"/>
        <rFont val="Arial"/>
        <family val="2"/>
      </rPr>
      <t>or Excel 2008 or later (Mac)</t>
    </r>
  </si>
  <si>
    <t>B. Per-Mile Rate (% Incrs)</t>
  </si>
  <si>
    <r>
      <t xml:space="preserve">All figures are in </t>
    </r>
    <r>
      <rPr>
        <b/>
        <u/>
        <sz val="9"/>
        <rFont val="Arial"/>
        <family val="2"/>
      </rPr>
      <t>millions of dollars</t>
    </r>
    <r>
      <rPr>
        <b/>
        <sz val="9"/>
        <rFont val="Arial"/>
        <family val="2"/>
      </rPr>
      <t xml:space="preserve">, </t>
    </r>
    <r>
      <rPr>
        <b/>
        <u/>
        <sz val="9"/>
        <rFont val="Arial"/>
        <family val="2"/>
      </rPr>
      <t>annual</t>
    </r>
    <r>
      <rPr>
        <b/>
        <sz val="9"/>
        <rFont val="Arial"/>
        <family val="2"/>
      </rPr>
      <t xml:space="preserve"> and </t>
    </r>
    <r>
      <rPr>
        <b/>
        <u/>
        <sz val="9"/>
        <rFont val="Arial"/>
        <family val="2"/>
      </rPr>
      <t>rounded</t>
    </r>
    <r>
      <rPr>
        <b/>
        <sz val="9"/>
        <rFont val="Arial"/>
        <family val="2"/>
      </rPr>
      <t xml:space="preserve"> to nearest $5 or $10 million.</t>
    </r>
  </si>
  <si>
    <t>Express Bus Farebox: Blanket Discounts</t>
  </si>
  <si>
    <t>"CBD" denotes Manhattan Central Business District (entire borough south of 60th St.)</t>
  </si>
  <si>
    <t>These data are hourly bus ridership (# of passengers) entering CBD on weekdays. Since these hourly splits apply to CBD-bound trips only, they're not ideal for estimating revenue impacts for the system as a whole. For that, it would be helpful to have systemwide hourly splits. Pending those, we employ these.</t>
  </si>
  <si>
    <t>20 routes shown are most heavily used of the 194 local routes operated by NYC Transit excluding current BRT routes.</t>
  </si>
  <si>
    <t>Routes are sorted by Col. AG: Estimated weekday hrs saved per yr, from spending $1M/yr to expand service.</t>
  </si>
  <si>
    <t>Calculated as difference between scheduled end and start times for tour starting at or closest to 9 a.m., weekdays</t>
  </si>
  <si>
    <t>Q44/20</t>
  </si>
  <si>
    <t>Rte duration (one way),  wkdays, minutes</t>
  </si>
  <si>
    <t>Difference btw sched'd end &amp; start times for weekday tour with closest start time to 9 a.m. Fig. shown is avg for both directions. Premise is that 9-10 a.m. period most closely matches 24-h wghtd avg.</t>
  </si>
  <si>
    <t># new buses needed to add 1 tour per hr</t>
  </si>
  <si>
    <t>Annual veh-hrs needed to add 1 tour per hr</t>
  </si>
  <si>
    <t>Tours allocation could add</t>
  </si>
  <si>
    <t>Buses per hr with allocation</t>
  </si>
  <si>
    <t>Wait time, min., with allocation</t>
  </si>
  <si>
    <t>Col. T multiplied allocation shown in by Col. X.</t>
  </si>
  <si>
    <t>Col. I plus Col. Y</t>
  </si>
  <si>
    <t>1/2 of 60 div. by Col. Z</t>
  </si>
  <si>
    <t>1/2 of Col. G div. by Col. /H</t>
  </si>
  <si>
    <t>Col. D x Col. J div. by 60</t>
  </si>
  <si>
    <t>Col. L div. by Col. M div. by 60</t>
  </si>
  <si>
    <t>Col. M div. by Col. L</t>
  </si>
  <si>
    <t>Col. H x Col. R x weekdays/yr</t>
  </si>
  <si>
    <t>Col. I plus Col. T</t>
  </si>
  <si>
    <t>Col. J less Col. V</t>
  </si>
  <si>
    <t>Col. J less Col. AA</t>
  </si>
  <si>
    <t>Col. AB x Col. D x weekdays/yr div. by 60</t>
  </si>
  <si>
    <t>Col. AB div. by Col. P</t>
  </si>
  <si>
    <t>Col. AE x
Col. C</t>
  </si>
  <si>
    <t>Reduxn in wait
minutes with allocation</t>
  </si>
  <si>
    <t>A L L   2 0</t>
  </si>
  <si>
    <t>Aggregate wait time (hrs), typical weekday</t>
  </si>
  <si>
    <t>Average trip duration, before, minutes</t>
  </si>
  <si>
    <t>Aggregate trip time (hrs), typical weekday</t>
  </si>
  <si>
    <t>Col. D x Col. P div. by 60</t>
  </si>
  <si>
    <t>Aggregate time savings (hrs), typical weekday</t>
  </si>
  <si>
    <t>Time value of savings:</t>
  </si>
  <si>
    <t>Percent of trip time (travel + wait) saved (avoided) for users of these 20 lines, if amount shown above is spent annually to expand frequency of service</t>
  </si>
  <si>
    <t>Percent of year-round trip time (travel + wait) saved (avoided) for entire NYC Bus system, if amount shown above is spent annually to expand frequency of service</t>
  </si>
  <si>
    <t>Source: "MTA New York City Transit." National Transit Database - 2009. Federal Transit Authority. P. 105 of 642. Available at: http://bit.ly/leX3nG.</t>
  </si>
  <si>
    <t>Ratio, Subway operating expenses to Bus operating expenses</t>
  </si>
  <si>
    <t>Duration change due to transit investments + operational expenditures</t>
  </si>
  <si>
    <t>Revenue dollars allocated to improved transit service are assigned either to subways (via this %) or buses (the remainder).</t>
  </si>
  <si>
    <t>E. Student Discounts</t>
  </si>
  <si>
    <t>D. Allocating Transfers between Subways and Buses</t>
  </si>
  <si>
    <t>G. Capital</t>
  </si>
  <si>
    <t>Parts A through E deal with transit fares. Part F summarizes average subway and bus speeds. Parts G and H help the BTA estimate the extent to which increased (or decreased) capital investment (Part G) and operations spending (Part H) will improve transit service as measured by travel speeds and trip durations.</t>
  </si>
  <si>
    <t>Percent by which average NYC subway trip duration will be shortened per $100 million/year invested in capital</t>
  </si>
  <si>
    <t xml:space="preserve">H. Operating </t>
  </si>
  <si>
    <t>This section establishes an approximate relationship between increased subway or bus operating expenditures and decreased trip times -- the idea being that increasing service reduces passengers' subway or bus trip travel times.</t>
  </si>
  <si>
    <t>Total operating expenses, 2009</t>
  </si>
  <si>
    <t>Meaning conveyed by ratio below is that a dollar of spending leverages a greater % gain in average trip duration on buses than on subways.</t>
  </si>
  <si>
    <t>Share of increased spending on transit operations devoted to subways (buses receive remainder)</t>
  </si>
  <si>
    <t xml:space="preserve">BTA can handle 7 weekday cordon toll levels (which we've collapsed into 5). While tolls can be any amount, we've tried to steer clear of complex toll structures. </t>
  </si>
  <si>
    <t xml:space="preserve">BTA can handle 5 weekend cordon toll levels (which we've collapsed into 4). While tolls can be any amount, we've tried to steer clear of complex toll structures. </t>
  </si>
  <si>
    <t>Autos entering CBD via Bklyn-Batt &amp; Qns-Midtown T's already pay a toll. This feature permits discounting of cordon toll there.</t>
  </si>
  <si>
    <t xml:space="preserve">Offers toll discounts for drivers who are both low-income and transit-underserved. </t>
  </si>
  <si>
    <t>Using this worksheet to test different toll and fare scenarios</t>
  </si>
  <si>
    <t>% of Taxi Surcharge $ Given to Drivers + Owners</t>
  </si>
  <si>
    <t>C. Estimation of Change in Motor Vehicle Trips due to Cordon Pricing</t>
  </si>
  <si>
    <t xml:space="preserve">Percent of VMT occurring within city limits, for cordon-bound vehicle trips made by NYC residents </t>
  </si>
  <si>
    <t xml:space="preserve">Percent of VMT occurring within city limits, for cordon-bound vehicle trips made by non-NYC residents </t>
  </si>
  <si>
    <r>
      <t>Change in auto trips (vehicles)</t>
    </r>
    <r>
      <rPr>
        <sz val="9"/>
        <rFont val="Arial"/>
        <family val="2"/>
      </rPr>
      <t xml:space="preserve"> </t>
    </r>
    <r>
      <rPr>
        <sz val="8"/>
        <rFont val="Arial"/>
        <family val="2"/>
      </rPr>
      <t xml:space="preserve">(preceding figs div. by auto occupancies from </t>
    </r>
    <r>
      <rPr>
        <b/>
        <sz val="8"/>
        <rFont val="Arial"/>
        <family val="2"/>
      </rPr>
      <t>H.I.S.</t>
    </r>
    <r>
      <rPr>
        <sz val="8"/>
        <rFont val="Arial"/>
        <family val="2"/>
      </rPr>
      <t xml:space="preserve"> tab)</t>
    </r>
  </si>
  <si>
    <r>
      <t xml:space="preserve">VMT impacts from weekday and weekend CBD-related subway trips have been est'd in </t>
    </r>
    <r>
      <rPr>
        <b/>
        <sz val="9"/>
        <rFont val="Arial"/>
        <family val="2"/>
      </rPr>
      <t xml:space="preserve">Subways </t>
    </r>
    <r>
      <rPr>
        <sz val="9"/>
        <rFont val="Arial"/>
        <family val="2"/>
      </rPr>
      <t xml:space="preserve">worksheet and "handed off" to </t>
    </r>
    <r>
      <rPr>
        <b/>
        <sz val="9"/>
        <rFont val="Arial"/>
        <family val="2"/>
      </rPr>
      <t xml:space="preserve">Motor Vs </t>
    </r>
    <r>
      <rPr>
        <sz val="9"/>
        <rFont val="Arial"/>
        <family val="2"/>
      </rPr>
      <t xml:space="preserve">and </t>
    </r>
    <r>
      <rPr>
        <b/>
        <sz val="9"/>
        <rFont val="Arial"/>
        <family val="2"/>
      </rPr>
      <t xml:space="preserve">Motor Vs Weekends </t>
    </r>
    <r>
      <rPr>
        <sz val="9"/>
        <rFont val="Arial"/>
        <family val="2"/>
      </rPr>
      <t>worksheets. They are reflected in Part C of this worksheet.</t>
    </r>
  </si>
  <si>
    <t>Projected, Wknds/Hols.</t>
  </si>
  <si>
    <t>Changes in subway usage that relate to CBD are already captured in Subways, Motor Vs and Motor Vs Weekends worksheets.</t>
  </si>
  <si>
    <r>
      <t xml:space="preserve">Total Driving in NYC </t>
    </r>
    <r>
      <rPr>
        <sz val="10"/>
        <rFont val="Arial"/>
        <family val="2"/>
      </rPr>
      <t>(veh. miles traveled)</t>
    </r>
  </si>
  <si>
    <r>
      <rPr>
        <sz val="9"/>
        <rFont val="Arial"/>
        <family val="2"/>
      </rPr>
      <t>VMT in period for cordon trips</t>
    </r>
    <r>
      <rPr>
        <sz val="8"/>
        <rFont val="Arial"/>
        <family val="2"/>
      </rPr>
      <t xml:space="preserve"> (sum of figures in two previous rows)</t>
    </r>
  </si>
  <si>
    <t>Daily VMT outside CBD, after pricing</t>
  </si>
  <si>
    <t>Daily VMT outside CBD and not bound for CBD, after pricing</t>
  </si>
  <si>
    <t>% of Daily VMT outside CBD not bound for CBD, after pricing</t>
  </si>
  <si>
    <r>
      <t xml:space="preserve">Net annual value of veh-hrs saved within CBD, $ millions </t>
    </r>
    <r>
      <rPr>
        <sz val="9"/>
        <rFont val="Arial"/>
        <family val="2"/>
      </rPr>
      <t>(excl. bus riders)</t>
    </r>
  </si>
  <si>
    <t>2. Motor Vehicle Users Outside of the CBD</t>
  </si>
  <si>
    <t>End of subroutine</t>
  </si>
  <si>
    <t xml:space="preserve">B. Drivers' saved time that was previously lost in traffic </t>
  </si>
  <si>
    <t>Applies to auto drivers, auto passengers, taxi users and truckers. Bus riders' time is accounted for in prior section.</t>
  </si>
  <si>
    <t>Before applying this valuation, however, we must split vehicle-hours saved outside the CBD between (a) hours saved in CBD-bound trips and (b) hours saved in trips that don't cross into or thru CBD, but which benefit from less-crowded roads, highways and bridges due to the decrease in traffic into and through the CBD.</t>
  </si>
  <si>
    <t>Begin subroutine</t>
  </si>
  <si>
    <t>Daily vehicle-hours outside the CBD</t>
  </si>
  <si>
    <t>1. Motor Vehicle Users Whose Trips Go Into (and Out of) or Through CBD</t>
  </si>
  <si>
    <r>
      <t xml:space="preserve">Annual value of veh-hrs saved in CBD trips, $ millions </t>
    </r>
    <r>
      <rPr>
        <sz val="9"/>
        <rFont val="Arial"/>
        <family val="2"/>
      </rPr>
      <t>(includes bus riders)</t>
    </r>
  </si>
  <si>
    <t>3. Summary, Motor Vehicle Users' Time Savings</t>
  </si>
  <si>
    <t xml:space="preserve">Annual value of all vehicle-hours saved </t>
  </si>
  <si>
    <t>Time ▪ CBD Trips</t>
  </si>
  <si>
    <r>
      <t xml:space="preserve">Ann. value of veh-hrs saved on non-CBD trips, $ millions </t>
    </r>
    <r>
      <rPr>
        <sz val="9"/>
        <rFont val="Arial"/>
        <family val="2"/>
      </rPr>
      <t>(includes bus riders)</t>
    </r>
  </si>
  <si>
    <r>
      <t xml:space="preserve">Net ann. Val. of veh-hrs saved on non-CBD trips, $ mill. </t>
    </r>
    <r>
      <rPr>
        <sz val="9"/>
        <rFont val="Arial"/>
        <family val="2"/>
      </rPr>
      <t>(excludes bus riders)</t>
    </r>
  </si>
  <si>
    <t>CBD-bound (or in or thru) trips' share of time savings value</t>
  </si>
  <si>
    <r>
      <t xml:space="preserve">The resolution of the paradox lies in </t>
    </r>
    <r>
      <rPr>
        <u/>
        <sz val="9"/>
        <rFont val="Arial"/>
        <family val="2"/>
      </rPr>
      <t>free-riders</t>
    </r>
    <r>
      <rPr>
        <sz val="9"/>
        <rFont val="Arial"/>
        <family val="2"/>
      </rPr>
      <t xml:space="preserve">. Just as most vehicles that are driven on the approaches to the CBD aren't bound for the CBD and never enter it, </t>
    </r>
    <r>
      <rPr>
        <b/>
        <sz val="9"/>
        <rFont val="Arial"/>
        <family val="2"/>
      </rPr>
      <t xml:space="preserve">many of the hours saved on roads outside the cordon are saved on non-CBD trips. </t>
    </r>
    <r>
      <rPr>
        <sz val="9"/>
        <rFont val="Arial"/>
        <family val="2"/>
      </rPr>
      <t xml:space="preserve">These trips aren't charged a cordon fee, but their drivers save time nevertheless. Thus, while a micro analysis indicates that most individiual trips into the CBD will pay a higher toll than they will gain in time savings, a macro analysis indicates that the total value of the time savings is roughly the same as total toll payments (including taxi surcharge) -- see </t>
    </r>
    <r>
      <rPr>
        <b/>
        <sz val="9"/>
        <rFont val="Arial"/>
        <family val="2"/>
      </rPr>
      <t xml:space="preserve">Results </t>
    </r>
    <r>
      <rPr>
        <sz val="9"/>
        <rFont val="Arial"/>
        <family val="2"/>
      </rPr>
      <t xml:space="preserve">or </t>
    </r>
    <r>
      <rPr>
        <b/>
        <sz val="9"/>
        <rFont val="Arial"/>
        <family val="2"/>
      </rPr>
      <t xml:space="preserve">Cost-Benefit </t>
    </r>
    <r>
      <rPr>
        <sz val="9"/>
        <rFont val="Arial"/>
        <family val="2"/>
      </rPr>
      <t>worksheets.</t>
    </r>
  </si>
  <si>
    <r>
      <t xml:space="preserve">Taxi price-elasticity is one of 12 elasticity inputs into the BTA. We created analogous random variables for the other 11, with each randomized independently of the others. We repeated the process 20 times, creating 20 trials. For each, we inputted the 12 elasticities into the settings for the </t>
    </r>
    <r>
      <rPr>
        <b/>
        <sz val="9"/>
        <rFont val="Arial"/>
        <family val="2"/>
      </rPr>
      <t xml:space="preserve">"ST, simplified" </t>
    </r>
    <r>
      <rPr>
        <sz val="9"/>
        <rFont val="Arial"/>
        <family val="2"/>
      </rPr>
      <t>plan on Dec. 30, 2010. The results are shown below, for two important model outputs (highlighted in the blue boxes at top left of this worksheet tab): (i) net revenue available to make travel more efficient &amp; affordable, and (ii) change in avg vehicle speed in Manhattan CBD.</t>
    </r>
  </si>
  <si>
    <t>In our final trial, #20, the model became unstable, rendering the results unreliable. This likely resulted from a statistical anomaly in which each auto time-elasticity was randomly assigned a value close to the maximum (50% higher) end of its range: 35% higher than the specified value for auto work trips, 28% higher for auto non-work trips and 47% higher for auto thru-trips. Such a combination has only around a 1% chance of occurring at random.</t>
  </si>
  <si>
    <r>
      <t xml:space="preserve">The means and standard deviations for the 19 valid trials suggest that the model's predictions of </t>
    </r>
    <r>
      <rPr>
        <b/>
        <sz val="9"/>
        <rFont val="Arial"/>
        <family val="2"/>
      </rPr>
      <t>net revenues</t>
    </r>
    <r>
      <rPr>
        <sz val="9"/>
        <rFont val="Arial"/>
        <family val="2"/>
      </rPr>
      <t xml:space="preserve"> are extremely robust, i.e., they vary within a small range. For the predicted </t>
    </r>
    <r>
      <rPr>
        <b/>
        <sz val="9"/>
        <rFont val="Arial"/>
        <family val="2"/>
      </rPr>
      <t>gains in CBD speeds</t>
    </r>
    <r>
      <rPr>
        <sz val="9"/>
        <rFont val="Arial"/>
        <family val="2"/>
      </rPr>
      <t>, the variance is somewhat higher, and the mean is a full percentage point less than the gain predicted from the BTA's point elasticity values. This suggests that the BTA's speed predictions are slightly biased upwards and are less robust than the revenue predictions. Nevertheless, the small standard deviation, about one-sixth of the mean, indicates that the speed prediction is robust.</t>
    </r>
  </si>
  <si>
    <t>The two key results of any congestion pricing plan are (1) extent of improvement in traffic flow within the Manhattan Central Business District, and (2) net revenue available to make transportation more affordable and efficient.</t>
  </si>
  <si>
    <r>
      <t xml:space="preserve">To create your own custom plan, change the settings in </t>
    </r>
    <r>
      <rPr>
        <b/>
        <sz val="9"/>
        <rFont val="Arial"/>
        <family val="2"/>
      </rPr>
      <t>User Inputs</t>
    </r>
    <r>
      <rPr>
        <sz val="9"/>
        <rFont val="Arial"/>
        <family val="2"/>
      </rPr>
      <t xml:space="preserve"> worksheet.</t>
    </r>
  </si>
  <si>
    <t>We believe 5 (years) is a reasonable approximation, but we have inputted a value of 1 to show the full eventual benefit of these investments.</t>
  </si>
  <si>
    <r>
      <t xml:space="preserve">Travel Results </t>
    </r>
    <r>
      <rPr>
        <b/>
        <sz val="9"/>
        <rFont val="Arial"/>
        <family val="2"/>
      </rPr>
      <t>(all figures are 5 years out, when transit investments have borne fruit)</t>
    </r>
  </si>
  <si>
    <t>1. Motor Vehicles</t>
  </si>
  <si>
    <t>Metro-North</t>
  </si>
  <si>
    <t>LIRR</t>
  </si>
  <si>
    <t>Amtrak from North</t>
  </si>
  <si>
    <t>NJ Transit + Amtrak from West</t>
  </si>
  <si>
    <t>Commuter Rail Total</t>
  </si>
  <si>
    <t>All figures here are from NYMTC "Hub-Bound Travel Report, 2009," Table 16, "Where and When Motor Vehicles Entered the Hub on a Fall Business Day in 2009" (p. 57 of 130).</t>
  </si>
  <si>
    <r>
      <t xml:space="preserve">3. Bicycle </t>
    </r>
    <r>
      <rPr>
        <sz val="9"/>
        <rFont val="Arial"/>
        <family val="2"/>
      </rPr>
      <t>(same source as Commuter Rail)</t>
    </r>
  </si>
  <si>
    <t>2. Commuter Rail (2009 data)</t>
  </si>
  <si>
    <r>
      <t xml:space="preserve">4. Ferry </t>
    </r>
    <r>
      <rPr>
        <sz val="9"/>
        <rFont val="Arial"/>
        <family val="2"/>
      </rPr>
      <t>(same source as Commuter Rail; includes some bicycle-riders)</t>
    </r>
  </si>
  <si>
    <t>Est'd No. from Plan Being Modeled</t>
  </si>
  <si>
    <t>Mode share of CBD-bound travelers, before</t>
  </si>
  <si>
    <t>Mode share of CBD-bound travelers, after</t>
  </si>
  <si>
    <t>3. Cordon-Tolling Total Costs</t>
  </si>
  <si>
    <t>4. Cordon-Tolling Total Costs included in 'Results' worksheet</t>
  </si>
  <si>
    <t>Total Auto Occupancy but w/o Through-Trips</t>
  </si>
  <si>
    <t>Total Auto Trips (# of Vehicles), but (w/o Through-Trips</t>
  </si>
  <si>
    <t>Total Auto Trips, (# of People), but w/o Through-Trips</t>
  </si>
  <si>
    <r>
      <t xml:space="preserve">Number Entering CBD via Transit </t>
    </r>
    <r>
      <rPr>
        <sz val="9"/>
        <rFont val="Arial"/>
        <family val="2"/>
      </rPr>
      <t>(subway, bus, rail, ferry, bicycle)</t>
    </r>
  </si>
  <si>
    <t>These rows show zero change in the face of the cordon toll, because the BTA doesn't (yet) include algorithms to feed back the cordon toll to use of NJ Transit buses, commuter rail, ferries or bicycles.</t>
  </si>
  <si>
    <r>
      <t xml:space="preserve">"Schaller" references are to Bruce Schaller's </t>
    </r>
    <r>
      <rPr>
        <b/>
        <sz val="9"/>
        <rFont val="Arial"/>
        <family val="2"/>
      </rPr>
      <t xml:space="preserve">NY Taxicab Fact Book, 2006, </t>
    </r>
    <r>
      <rPr>
        <sz val="9"/>
        <rFont val="Arial"/>
        <family val="2"/>
      </rPr>
      <t xml:space="preserve">available at http://www.schallerconsult.com/taxi/taxifb.pdf. Schaller produced this annual book for many years, prior to being named NYC DOT Deputy Commissioner for Policy in 2007. </t>
    </r>
  </si>
  <si>
    <t>Number of times a day that medallion taxicabs breach cordon zone (inward direction) with a fare, baseline</t>
  </si>
  <si>
    <t>Total number of medallion taxicab trips into charging zone, per day, baseline; includes fare trips and non-fare trips alike.</t>
  </si>
  <si>
    <t>Taxi usage (ridership) change due to change in taxi trip duration (expr'd as multiple of new ridership to old)</t>
  </si>
  <si>
    <t>Taxi usage (ridership) incrs due to changes in fare + trip duration (exprss'd as mult. of new ridership to old)</t>
  </si>
  <si>
    <t>Base Revenue from three PANYNJ crossings (000)</t>
  </si>
  <si>
    <t>Trips that make zero use of CBD</t>
  </si>
  <si>
    <t>Medallion taxi fare trips that cross into cordon</t>
  </si>
  <si>
    <t>Medallion taxi occupancy</t>
  </si>
  <si>
    <t>Total Number of Persons Entering CBD in Medallion Taxis</t>
  </si>
  <si>
    <t>Change in # of people taking transit, auto or taxi into CBD.</t>
  </si>
  <si>
    <r>
      <t xml:space="preserve">F. Commercial Vehicle Occupancy Rates </t>
    </r>
    <r>
      <rPr>
        <sz val="9"/>
        <rFont val="Arial"/>
        <family val="2"/>
      </rPr>
      <t xml:space="preserve">(pertinent to estimating number of people entering the CBD, in </t>
    </r>
    <r>
      <rPr>
        <b/>
        <sz val="9"/>
        <rFont val="Arial"/>
        <family val="2"/>
      </rPr>
      <t>Travel</t>
    </r>
    <r>
      <rPr>
        <sz val="9"/>
        <rFont val="Arial"/>
        <family val="2"/>
      </rPr>
      <t xml:space="preserve"> worksheet)</t>
    </r>
  </si>
  <si>
    <t>Average occupancy rate for trucks and other commercial vehicles entering Manhattan CBD</t>
  </si>
  <si>
    <t>Number of Vehicles</t>
  </si>
  <si>
    <t>Occupancy</t>
  </si>
  <si>
    <t>Total Number of Persons Entering CBD in Trucks and Other Comm'l Veh's</t>
  </si>
  <si>
    <t>Results 1-3: # People Entering CBD in Autos, Taxis or Trucks/CV's</t>
  </si>
  <si>
    <t>Number of Transit Entrants, relative to Combined Number of Auto, Taxi &amp; Truck (Commercial Vehicle) Entrants</t>
  </si>
  <si>
    <t>1: Number of People Entering CBD in Autos</t>
  </si>
  <si>
    <t>3: Number of People Entering CBD in Trucks and Other Commercial Vehicles</t>
  </si>
  <si>
    <t>2: Number of People Entering CBD in Medallion Taxicabs</t>
  </si>
  <si>
    <t>NYC Bus</t>
  </si>
  <si>
    <t>NJ Transit Bus</t>
  </si>
  <si>
    <t>Commuter Rail</t>
  </si>
  <si>
    <t>Bicycle or Ferry</t>
  </si>
  <si>
    <t>With Plan Being Modeled</t>
  </si>
  <si>
    <t>Share of Total</t>
  </si>
  <si>
    <t>Motor Vehicle</t>
  </si>
  <si>
    <t>Thru-trips as % of transit trips</t>
  </si>
  <si>
    <t>"Fine" Breakout</t>
  </si>
  <si>
    <t>"Coarse" Breakout</t>
  </si>
  <si>
    <t>People Entering CBD in a Motor Vehicle</t>
  </si>
  <si>
    <r>
      <t xml:space="preserve">People Entering CBD via Transit </t>
    </r>
    <r>
      <rPr>
        <b/>
        <sz val="9"/>
        <rFont val="Arial"/>
        <family val="2"/>
      </rPr>
      <t>(broadly defined)</t>
    </r>
  </si>
  <si>
    <t>1: Number of People Entering CBD in Subways</t>
  </si>
  <si>
    <t>2: Number of People Entering CBD in NYC Buses</t>
  </si>
  <si>
    <t>3: Number of People Entering CBD in NJ Transit Buses</t>
  </si>
  <si>
    <t>4: Number of People Entering CBD via Commuter Rail</t>
  </si>
  <si>
    <t>5: Number of People Entering CBD via Bicycle or Ferry</t>
  </si>
  <si>
    <t>Summary: Fine Categories</t>
  </si>
  <si>
    <t>Summary: Coarse Categories</t>
  </si>
  <si>
    <t>Factor by which we have shrunk this percentage for conservatism (to "correct" for extrapolating from single-digit millions to $100 million).</t>
  </si>
  <si>
    <t>Saved Time
(Transit)</t>
  </si>
  <si>
    <t>Environment</t>
  </si>
  <si>
    <t>Total daily vehicle-hours saved in CBD-connected trips</t>
  </si>
  <si>
    <t>Note that a small but non-zero number of the within-CBD saved hours (and dollars) shown here are for trips that stay within CBD and aren't in medallion taxis. These "free rider" savings (denoted as such since the drivers pay no toll) are relatively small. Still, it might be useful to break them out of the calculation.</t>
  </si>
  <si>
    <t>Total annual vehicle-hours saved in CBD-connected trips</t>
  </si>
  <si>
    <t>Total daily vehicle-hours saved outside the CBD</t>
  </si>
  <si>
    <t>Of which daily veh-hours saved outside CBD, on non-CBD-connected trips, are:</t>
  </si>
  <si>
    <r>
      <t xml:space="preserve">Method: Estimate the increase in bicycling in NYC that would be associated with reduced VMT, through suitable prorating of urban cycling levels in Europe. We assume that </t>
    </r>
    <r>
      <rPr>
        <i/>
        <u/>
        <sz val="9"/>
        <rFont val="Arial"/>
        <family val="2"/>
      </rPr>
      <t>eliminating</t>
    </r>
    <r>
      <rPr>
        <i/>
        <sz val="9"/>
        <rFont val="Arial"/>
        <family val="2"/>
      </rPr>
      <t xml:space="preserve"> motor vehicle use in NYC would raise cycling levels here to those now seen in Europe, and we then prorate the reduction in VMT to estimate the increase in cycling. We then translate the increase in cycling to reduced mortality, which we monetize according to the value of a saved life. The resulting benefit is then doubled to allow for comparable longevity benefits due to increased walking (with the implicit assumption that the lesser per-walker health gain will be offset by the greater absolute growth in the number of walkers).</t>
    </r>
  </si>
  <si>
    <t>Komanoff est. from original spreadsheet, "NYC Bicycling -- Estimates of Volumes and Miles." Latest edition (25-Jan-2011, w/ 2010 data) estimates NYC bicycle miles at 2.7% of motor vehicle miles.</t>
  </si>
  <si>
    <t>Estimated percent of daily trips that are made by bicycle or by walking</t>
  </si>
  <si>
    <t>Bicycle</t>
  </si>
  <si>
    <t>Walking</t>
  </si>
  <si>
    <t>"Walking And Cycling For Healthy Cities," by John Pucher and Ralph Buehler, Built Environment, Vol. 36, No. 4, Dec. 2010, pp 391-414, Fig. 1. &lt;http://policy.rutgers.edu/faculty/pucher/BuiltEnvironment_WalkBike_10Dec2010.pdf&gt;.</t>
  </si>
  <si>
    <t>Deaths among NYC residents, 2009</t>
  </si>
  <si>
    <t>Note: Mortality data in next four rows are from NYC Dept. of Health, "Summary of Vital Statistics, 2009," available at http://www.nyc.gov/html/doh/downloads/pdf/vs/2009sum.pdf, Table 2.2, "Deaths and Death Rates per 1,000 Population by Age, Ethnic Group, and Sex, New York City, 2009."</t>
  </si>
  <si>
    <t>Value of NYers' increased longevity from greater walking</t>
  </si>
  <si>
    <t>Walking is excluded because no pedestrian counts for passage into the CBD were readily available. The Roosevelt Island tramway is excluded because its usage is small relative to other modes. Bicycles are included, though we haven't yet "plugged in" bicycle transportation to vary cycle volumes in response to changes in transit service, traffic volumes, etc.</t>
  </si>
  <si>
    <t>Underlying data for these charts are derived as follows:</t>
  </si>
  <si>
    <t>How we estimate changes in carpooling (vehicle occupancy) due to higher price to drive into CBD</t>
  </si>
  <si>
    <r>
      <t xml:space="preserve">Change in avg vehicle speed in Manhattan CBD (6 am - 6 pm avg),
</t>
    </r>
    <r>
      <rPr>
        <b/>
        <u/>
        <sz val="8"/>
        <rFont val="Arial"/>
        <family val="2"/>
      </rPr>
      <t>5 years out</t>
    </r>
    <r>
      <rPr>
        <b/>
        <sz val="8"/>
        <rFont val="Arial"/>
        <family val="2"/>
      </rPr>
      <t xml:space="preserve"> (when transit investments have borne fruit)</t>
    </r>
  </si>
  <si>
    <t>Applies to all buses operated by MTA Bus Co. (MTA division that in 2005 took over the 7 private bus companies providing bus service in NYC).</t>
  </si>
  <si>
    <t>East + Harlem Riv. bridge tolls (Ravitch)</t>
  </si>
  <si>
    <r>
      <t xml:space="preserve">              </t>
    </r>
    <r>
      <rPr>
        <b/>
        <sz val="9"/>
        <color indexed="10"/>
        <rFont val="Arial"/>
        <family val="2"/>
      </rPr>
      <t xml:space="preserve">Try Out Your Own Toll Ideas!
</t>
    </r>
    <r>
      <rPr>
        <sz val="8"/>
        <rFont val="Arial"/>
        <family val="2"/>
      </rPr>
      <t xml:space="preserve">Go to </t>
    </r>
    <r>
      <rPr>
        <sz val="8"/>
        <rFont val="Arial Black"/>
        <family val="2"/>
      </rPr>
      <t xml:space="preserve">User Inputs </t>
    </r>
    <r>
      <rPr>
        <sz val="8"/>
        <rFont val="Arial"/>
        <family val="2"/>
      </rPr>
      <t xml:space="preserve">worksheet </t>
    </r>
    <r>
      <rPr>
        <sz val="8"/>
        <rFont val="Calibri"/>
        <family val="2"/>
      </rPr>
      <t>―</t>
    </r>
    <r>
      <rPr>
        <sz val="8"/>
        <rFont val="Arial"/>
        <family val="2"/>
      </rPr>
      <t xml:space="preserve"> it's the sixth "tab" in the list that should be showing at the bottom of your screen, or follow the link in the </t>
    </r>
    <r>
      <rPr>
        <b/>
        <sz val="8"/>
        <rFont val="Arial"/>
        <family val="2"/>
      </rPr>
      <t>Index</t>
    </r>
    <r>
      <rPr>
        <sz val="8"/>
        <rFont val="Arial"/>
        <family val="2"/>
      </rPr>
      <t xml:space="preserve"> tab </t>
    </r>
    <r>
      <rPr>
        <sz val="8"/>
        <rFont val="Calibri"/>
        <family val="2"/>
      </rPr>
      <t>―</t>
    </r>
    <r>
      <rPr>
        <sz val="8"/>
        <rFont val="Arial"/>
        <family val="2"/>
      </rPr>
      <t xml:space="preserve"> and follow the directions there. See how your traffic and revenue results compare with ours!</t>
    </r>
  </si>
  <si>
    <t>Trips that make use of CBD</t>
  </si>
  <si>
    <t>Does Cordon Toll Raise or Replace Current Tolls?</t>
  </si>
  <si>
    <t>Truck cordon toll (average ratio to auto toll)</t>
  </si>
  <si>
    <t>Toll discount for 2nd or more commercial vehicle trip to cordon on same day</t>
  </si>
  <si>
    <t>Average change in tolls on MTA/TBTA bridges</t>
  </si>
  <si>
    <r>
      <t xml:space="preserve">If tolls will apply only in some hours, you'll need to look up the BTA hours that correspond to your hours, in the worksheets </t>
    </r>
    <r>
      <rPr>
        <b/>
        <sz val="8"/>
        <rFont val="Arial"/>
        <family val="2"/>
      </rPr>
      <t>Weekday Hours</t>
    </r>
    <r>
      <rPr>
        <sz val="8"/>
        <rFont val="Arial"/>
        <family val="2"/>
      </rPr>
      <t xml:space="preserve"> and </t>
    </r>
    <r>
      <rPr>
        <b/>
        <sz val="8"/>
        <rFont val="Arial"/>
        <family val="2"/>
      </rPr>
      <t>Weekend Hours</t>
    </r>
    <r>
      <rPr>
        <sz val="8"/>
        <rFont val="Arial"/>
        <family val="2"/>
      </rPr>
      <t xml:space="preserve">. (You may need to </t>
    </r>
    <r>
      <rPr>
        <u/>
        <sz val="8"/>
        <rFont val="Arial"/>
        <family val="2"/>
      </rPr>
      <t>prorate</t>
    </r>
    <r>
      <rPr>
        <sz val="8"/>
        <rFont val="Arial"/>
        <family val="2"/>
      </rPr>
      <t xml:space="preserve"> the toll for periods that aren't fully tolled.)</t>
    </r>
  </si>
  <si>
    <t>Proposed</t>
  </si>
  <si>
    <r>
      <t xml:space="preserve">Applicable Price-Elasticity </t>
    </r>
    <r>
      <rPr>
        <sz val="8"/>
        <rFont val="Arial"/>
        <family val="2"/>
      </rPr>
      <t xml:space="preserve">(from </t>
    </r>
    <r>
      <rPr>
        <b/>
        <sz val="8"/>
        <rFont val="Arial"/>
        <family val="2"/>
      </rPr>
      <t>Elasticities</t>
    </r>
    <r>
      <rPr>
        <sz val="8"/>
        <rFont val="Arial"/>
        <family val="2"/>
      </rPr>
      <t xml:space="preserve"> worksheet)</t>
    </r>
  </si>
  <si>
    <r>
      <t xml:space="preserve">Driver price-elasticity in NYC -- see array of values for different trip types in </t>
    </r>
    <r>
      <rPr>
        <b/>
        <sz val="9"/>
        <rFont val="Arial"/>
        <family val="2"/>
      </rPr>
      <t>Elasticities</t>
    </r>
    <r>
      <rPr>
        <sz val="9"/>
        <rFont val="Arial"/>
        <family val="2"/>
      </rPr>
      <t xml:space="preserve"> worksheet.</t>
    </r>
  </si>
  <si>
    <r>
      <t xml:space="preserve">Toll Change, % </t>
    </r>
    <r>
      <rPr>
        <sz val="8"/>
        <rFont val="Arial"/>
        <family val="2"/>
      </rPr>
      <t/>
    </r>
  </si>
  <si>
    <t>Toll Change, $</t>
  </si>
  <si>
    <t>% change in baseline driving cost due to increase in non-cordon tolls</t>
  </si>
  <si>
    <t>Approximate revenue change from toll increase</t>
  </si>
  <si>
    <t>Bridge Usage "retention" adjusted for rebound effect (increased traffic discourages trips)</t>
  </si>
  <si>
    <t>Section C</t>
  </si>
  <si>
    <t>% change</t>
  </si>
  <si>
    <r>
      <t xml:space="preserve">F. Weekend/Holiday Work Trips </t>
    </r>
    <r>
      <rPr>
        <b/>
        <u/>
        <sz val="10"/>
        <rFont val="Arial"/>
        <family val="2"/>
      </rPr>
      <t>through</t>
    </r>
    <r>
      <rPr>
        <b/>
        <sz val="10"/>
        <rFont val="Arial"/>
        <family val="2"/>
      </rPr>
      <t xml:space="preserve"> Manhattan CBD</t>
    </r>
  </si>
  <si>
    <t>Weekday Work Trips into or thru CBD</t>
  </si>
  <si>
    <t>Number of employed people residing in MTA counties</t>
  </si>
  <si>
    <t>Data are averaged over period May 2010 - June 2011.</t>
  </si>
  <si>
    <t>Percent of employed people who car-commute into or thru CBD.</t>
  </si>
  <si>
    <t>12-Cty MTA</t>
  </si>
  <si>
    <t>3. SHARE OF EMPLOYED WORKFORCE WHO CAR-COMMUTE INTO (OR THROUGH) CBD AND THUS WILL PAY CORDON TOLL REGULARLY</t>
  </si>
  <si>
    <t>Source: Labor force data by county, not seasonally adjusted, May 2010-June 2011. US Dept. of Labor, Bureau of Labor Statistics. Available at &lt;http://1.usa.gov/qBzQai&gt;. Compiled by J. Szende, 23 Aug 2011.</t>
  </si>
  <si>
    <t xml:space="preserve">Toll rates are from 1-p sheet, "Congestion Pricing Rev.Est Spreadsheet," provided by Sam Schwartz Co., March 11, 2011, except that Verrazano figures (which were (omitted from SSCo. sheet) are assumed same as Throgs, Whitestone &amp; Trib in order to harmonize proposed discounts. </t>
  </si>
  <si>
    <t>TOLLS IN SAM SCHWARTZ PROPOSAL (See notes at bottom)</t>
  </si>
  <si>
    <r>
      <t xml:space="preserve">Toll levels assume cash payment, which applies to only a minority of trips. But heart of proposal is </t>
    </r>
    <r>
      <rPr>
        <u/>
        <sz val="8"/>
        <rFont val="Arial"/>
        <family val="2"/>
      </rPr>
      <t>percent reductions</t>
    </r>
    <r>
      <rPr>
        <sz val="8"/>
        <rFont val="Arial"/>
        <family val="2"/>
      </rPr>
      <t xml:space="preserve"> rather than actual levels.</t>
    </r>
  </si>
  <si>
    <r>
      <t>Metholodogy</t>
    </r>
    <r>
      <rPr>
        <sz val="9"/>
        <rFont val="Arial"/>
        <family val="2"/>
      </rPr>
      <t>: CBD-bound trips are considered in two segments. The first extends from trip origins to the beginning of final "portal" (bridge or tunnel) into the CBD. The second is the portal itself. For each segment, we estimate the share of all vehicles on the road that are ultimately bound for the CBD. We then weight that percentage by the segment's portion of total trip distance. The sum of weighted percentages is the estimated percent of traffic on CBD-bound roads that actually goes to the CBD.</t>
    </r>
  </si>
  <si>
    <t>The BTA does not have the capability to estimate changes in traffic levels in individual districts or counties, beyond the Manhattan CBD, or for NYC as a whole. To estimate VMT (vehicle miles traveled) changes in particular areas, we draw on data from the Jan. 31, 2008 Final Report of the Traffic Congestion Mitigation Commission, which estimated VMT changes for the districts shown below (including the CBD and all of NYC).</t>
  </si>
  <si>
    <t>Fare Administration Savings</t>
  </si>
  <si>
    <t>You'll alter some of the "Baseline" settings (choice #1), shown in Column H.</t>
  </si>
  <si>
    <r>
      <t xml:space="preserve">This worksheet was created during early development of the BTA, in 2007, to estimate historical (late 1970s to 2005) out-of-pocket costs for CBD-bound round-trips by auto via East River crossings, as part of estimating the price-elasticity of such trips. Although that analysis has been somewhat superseded -- see </t>
    </r>
    <r>
      <rPr>
        <b/>
        <sz val="9"/>
        <rFont val="Arial"/>
        <family val="2"/>
      </rPr>
      <t>Elasticity</t>
    </r>
    <r>
      <rPr>
        <sz val="9"/>
        <rFont val="Arial"/>
        <family val="2"/>
      </rPr>
      <t xml:space="preserve"> worksheet -- several of the data points here are still used as inputs into the </t>
    </r>
    <r>
      <rPr>
        <b/>
        <sz val="9"/>
        <rFont val="Arial"/>
        <family val="2"/>
      </rPr>
      <t>Motor Vs</t>
    </r>
    <r>
      <rPr>
        <sz val="9"/>
        <rFont val="Arial"/>
        <family val="2"/>
      </rPr>
      <t xml:space="preserve"> tab.</t>
    </r>
  </si>
  <si>
    <r>
      <t xml:space="preserve">Historical: </t>
    </r>
    <r>
      <rPr>
        <sz val="8"/>
        <rFont val="Arial"/>
        <family val="2"/>
      </rPr>
      <t xml:space="preserve">KEA estimate. </t>
    </r>
    <r>
      <rPr>
        <b/>
        <sz val="8"/>
        <rFont val="Arial"/>
        <family val="2"/>
      </rPr>
      <t>Forward</t>
    </r>
    <r>
      <rPr>
        <sz val="8"/>
        <rFont val="Arial"/>
        <family val="2"/>
      </rPr>
      <t>: Based on 2011 NYC premiums over USA shown at right.</t>
    </r>
  </si>
  <si>
    <t>3. Parking is provided at no cost or is reimbursed</t>
  </si>
  <si>
    <t>Graveyard Shift</t>
  </si>
  <si>
    <t>Trip Price</t>
  </si>
  <si>
    <t>Assumed Gasoline Price (cents/gallon) for CBD trips (rounded):</t>
  </si>
  <si>
    <t>Calculated as U.S. retail average, all grades, unweighted, first 7 months 2011, plus 5% NYC premium.</t>
  </si>
  <si>
    <r>
      <t xml:space="preserve">Copied from corresponding cell in </t>
    </r>
    <r>
      <rPr>
        <b/>
        <sz val="8"/>
        <rFont val="Arial"/>
        <family val="2"/>
      </rPr>
      <t xml:space="preserve">Motor Vs </t>
    </r>
    <r>
      <rPr>
        <sz val="8"/>
        <rFont val="Arial"/>
        <family val="2"/>
      </rPr>
      <t>worksheet and sourced there.</t>
    </r>
  </si>
  <si>
    <r>
      <t xml:space="preserve">                        A Spreadsheet  Is ...
</t>
    </r>
    <r>
      <rPr>
        <sz val="8"/>
        <rFont val="Arial"/>
        <family val="2"/>
      </rPr>
      <t xml:space="preserve">... a computer file that performs calculations and other mathematical "operations" on data that are entered into "cells." Key features of spreadsheets include (1) placement of data in cells that are organized in </t>
    </r>
    <r>
      <rPr>
        <u/>
        <sz val="8"/>
        <rFont val="Arial"/>
        <family val="2"/>
      </rPr>
      <t>grids</t>
    </r>
    <r>
      <rPr>
        <sz val="8"/>
        <rFont val="Arial"/>
        <family val="2"/>
      </rPr>
      <t xml:space="preserve"> of rows and columns, (2) "formula bars" that display each cell's mathematical content (make sure yours is set "on" via check box under menu choice "View"), and (3) ability to construct separate data pages (called "worksheet tabs") whose cells can communicate with cells on other pages. (The BTA has 55 such tabs.)
Because large spreadsheets can be tricky to navigate, </t>
    </r>
    <r>
      <rPr>
        <sz val="8"/>
        <rFont val="Arial Black"/>
        <family val="2"/>
      </rPr>
      <t>we have included an "Index" to the different tabs (it's the next tab/page)</t>
    </r>
    <r>
      <rPr>
        <sz val="8"/>
        <rFont val="Arial"/>
        <family val="2"/>
      </rPr>
      <t>, and lots of explanatory notes. 
For more info on spreadsheets: &lt;http://en.wikipedia.org/wiki/Spreadsheets&gt;.</t>
    </r>
  </si>
  <si>
    <t>The BTA has 55 worksheet "tabs," or "pages." Clicking on any linked tab takes you to that page.</t>
  </si>
  <si>
    <t>Crossing</t>
  </si>
  <si>
    <t>Verrazano Bridge</t>
  </si>
  <si>
    <t>Bronx Whitestone Bridge</t>
  </si>
  <si>
    <t>Triborough Bronx Bridge</t>
  </si>
  <si>
    <t>Triborough Manhattan Bridge</t>
  </si>
  <si>
    <t>Henry Hudson Bridge</t>
  </si>
  <si>
    <t>Marine Parkway Bridge</t>
  </si>
  <si>
    <t>Cross Bay Bridge</t>
  </si>
  <si>
    <t>Toll $ paid by HH's w/I
5 miles</t>
  </si>
  <si>
    <t>Toll $ paid by HH's w/I
5-10 miles</t>
  </si>
  <si>
    <t>Toll $ paid by HH's w/I
10-15 miles</t>
  </si>
  <si>
    <t>Toll $ paid by HH's past 15 mi.</t>
  </si>
  <si>
    <t>Total Toll $ for crossing</t>
  </si>
  <si>
    <t>Avg miles</t>
  </si>
  <si>
    <t>Avg miles for trips beyond 15-mile cutoff (Komanoff est.)</t>
  </si>
  <si>
    <t>Est'd avg distance (miles) for all trips using crossing</t>
  </si>
  <si>
    <t>Figure dir'ly above is wghtd avg for all bridges; excludes two MTA tunnels</t>
  </si>
  <si>
    <r>
      <t xml:space="preserve">2. MTA Estimated Lost Revenues from Implementing Congestion Pricing </t>
    </r>
    <r>
      <rPr>
        <sz val="10"/>
        <rFont val="Arial"/>
        <family val="2"/>
      </rPr>
      <t>(uses 2011 projected revenues above at right)</t>
    </r>
  </si>
  <si>
    <r>
      <t xml:space="preserve">3. Impacts of Possible Toll Increase for MTA Bridges that do </t>
    </r>
    <r>
      <rPr>
        <b/>
        <u/>
        <sz val="10"/>
        <rFont val="Arial"/>
        <family val="2"/>
      </rPr>
      <t>not</t>
    </r>
    <r>
      <rPr>
        <b/>
        <sz val="10"/>
        <rFont val="Arial"/>
        <family val="2"/>
      </rPr>
      <t xml:space="preserve"> access the cordon </t>
    </r>
  </si>
  <si>
    <t>4. Estimated average trip-distance (one-way) for MTA Bridges</t>
  </si>
  <si>
    <t>Approximate average one-way distance for these crossings</t>
  </si>
  <si>
    <t>Source: Toll $ figures are for 2004, and are from C. Gordon and J. R. Peters. "Measuring Toll Burdens: Applying Lorenz Curves to a detailed dataset of users of MTA Bridges in New York City." Transportation Research Board - 90th Annual Meeting. January, 2011, p. 6 of 17. Gordon &amp; Peters source the data to TBTA Survey. 'Highest Toll Burden Zip Code Tabulation Areas.' Average miles are by Komanoff.
Note that the Gordon-Peters data are in toll dollars, whereas we use them here as if they were in crossings. The difference between the two metrics is probably minor.</t>
  </si>
  <si>
    <t>Cost of fuel (gasoline) per trip on these crossings</t>
  </si>
  <si>
    <r>
      <t xml:space="preserve">Average </t>
    </r>
    <r>
      <rPr>
        <u/>
        <sz val="9"/>
        <rFont val="Arial"/>
        <family val="2"/>
      </rPr>
      <t>current</t>
    </r>
    <r>
      <rPr>
        <sz val="9"/>
        <rFont val="Arial"/>
        <family val="2"/>
      </rPr>
      <t xml:space="preserve"> toll for these trips</t>
    </r>
  </si>
  <si>
    <t>Other costs (than gasoline and current tolls) for average round-trip on these facilities</t>
  </si>
  <si>
    <t>Komanoff rough est. intended to encompass applicable parking, wear/tear, incremental insurance, etc.</t>
  </si>
  <si>
    <t>Bridge Usage "retention" after toll change</t>
  </si>
  <si>
    <t>URS-TBTA Projexns for 2010 (000's)</t>
  </si>
  <si>
    <r>
      <t xml:space="preserve">T O T A L </t>
    </r>
    <r>
      <rPr>
        <sz val="9"/>
        <rFont val="Arial"/>
        <family val="2"/>
      </rPr>
      <t>excluding tunnels</t>
    </r>
  </si>
  <si>
    <r>
      <t xml:space="preserve">3. MTA Bridges Discount </t>
    </r>
    <r>
      <rPr>
        <sz val="9"/>
        <rFont val="Arial"/>
        <family val="2"/>
      </rPr>
      <t>-- allocated by county</t>
    </r>
  </si>
  <si>
    <t>All figures in millions of dollars</t>
  </si>
  <si>
    <t xml:space="preserve">This worksheet estimates prospective cordon toll payments by residents, on a county by county basis. It then adds (i) prospective medallion taxi surcharge payments, and (ii) possible "Outer Borough Toll Relief" (toll reductions on MTA bridges) so that each county's (or state's) share of toll "incidence" can be estimated. </t>
  </si>
  <si>
    <t>Another function of this worksheet is to estimate the number of different vehicles in each county or state that are likely to take at least one trip into or through the CBD in a typical month. This enables estimation of the revenue and traffic impacts of offering one toll-exempt trip per month per vehicle.</t>
  </si>
  <si>
    <t>Last, this worksheet calculates the number of autos that are driven into or through the CBD for work purposes from each county on a typical weekday, and compares this to the number of employed people living in each county. The resulting ratio offers a good county-by-county picture of the extent to which residents will be significantly affected by the cordon toll.</t>
  </si>
  <si>
    <t>Percentages in matrix below denote our best estimates of the percentage of toll revenues (not toll trips, whose distribution may be different, due to geographic discounts) accounted for by residents of each of 
the 12 MTA counties, plus NJ and CT. They were developed by Komanoff &amp; Szende, based in part on maps by Prof. Jonathan Peters maps in '2011 Road Pricing RITA Presentation.pdf' (p. 14), modified by our own judgment.</t>
  </si>
  <si>
    <t>Toll Entire Cordon, or just the Free Bridges?</t>
  </si>
  <si>
    <t>Is cordon toll "means-tested"?</t>
  </si>
  <si>
    <r>
      <t xml:space="preserve">Captures higher admin costs when E-ZPass is </t>
    </r>
    <r>
      <rPr>
        <u/>
        <sz val="9"/>
        <rFont val="Arial"/>
        <family val="2"/>
      </rPr>
      <t>not</t>
    </r>
    <r>
      <rPr>
        <sz val="9"/>
        <rFont val="Arial"/>
        <family val="2"/>
      </rPr>
      <t xml:space="preserve"> used.</t>
    </r>
  </si>
  <si>
    <t>This feature zeroes out, from each E-ZPass account on autos registered within the MTA 12-county region, the toll for the auto's first trip into or through the cordon, in each month.</t>
  </si>
  <si>
    <t>Percentage of into-CBD trips paying w/ E-ZPass (or cash)</t>
  </si>
  <si>
    <t>Estimated % of drivers using E-ZPass</t>
  </si>
  <si>
    <t>Toll rates for 2010 and 2011 are from NY Post and amNewYork (both Oct 28, 2010). Rates shown for 2011 go into effect Dec. 30, 2010. Staten Island residents using E-ZPass get $2.88 Verrazano discount. "Majors" are RFK, Throgs, Whitestone, BBT &amp; QMT.</t>
  </si>
  <si>
    <t>HH's using car for CBD access &gt;= 1x/month and using E-ZPass: Ratio of that number to all CBD-crossing auto trips</t>
  </si>
  <si>
    <r>
      <t xml:space="preserve">B. Adjustment Factors to Cordon Toll </t>
    </r>
    <r>
      <rPr>
        <sz val="10"/>
        <rFont val="Arial"/>
        <family val="2"/>
      </rPr>
      <t>(if lesser increments are applied to cordon tolls for Hudson and/or East River tunnels, in move toward toll equalization)</t>
    </r>
  </si>
  <si>
    <t xml:space="preserve">2. MTA Brooklyn-Battery &amp; Queens-Midtown Tunnels </t>
  </si>
  <si>
    <t>Cap inbound MTA tunnel toll @ MTA toll rate?</t>
  </si>
  <si>
    <t>Toll Level for Harlem Riv bridges, % E Riv bridges</t>
  </si>
  <si>
    <r>
      <t xml:space="preserve">Applies only to "BRIDGES" scenario in which CBD cordon is </t>
    </r>
    <r>
      <rPr>
        <u/>
        <sz val="9"/>
        <rFont val="Arial"/>
        <family val="2"/>
      </rPr>
      <t>not</t>
    </r>
    <r>
      <rPr>
        <sz val="9"/>
        <rFont val="Arial"/>
        <family val="2"/>
      </rPr>
      <t xml:space="preserve"> tolled, and East and Harlem River bridges are tolled instead.</t>
    </r>
  </si>
  <si>
    <t>Percent</t>
  </si>
  <si>
    <t>If Cordon toll, applies complex formula (w/ nested IF stmnts) to discount inbound cordon toll by difference btwn that toll and MTA tunnels toll, prorated by those tunnels' share of inbound traffic.</t>
  </si>
  <si>
    <t>Average toll increment if surcharge is applied to trips paid w/o E-ZPass</t>
  </si>
  <si>
    <t>Toll Change to MTA bridges</t>
  </si>
  <si>
    <t>MTA net loss if discount "outer-borough" (e.g., Verrazano, Throgs, Whitestone, others) tolls</t>
  </si>
  <si>
    <t>Gridlock Sam Schwartz Fair Pricing Plan</t>
  </si>
  <si>
    <t>This worksheet applies quantitative analysis to the oft-expressed concern among New Yorkers living in "gateway" neighborhoods to the Manhattan Central Business District, that a cordon toll will lead commuters to park their auto near a rapid-transit stop outside the CBD in order to avoid paying the new toll.</t>
  </si>
  <si>
    <t>Assumptions With Large Bearing on Results (User May Vary by Inputting Other Values in Magenta-colored Cells)</t>
  </si>
  <si>
    <r>
      <t xml:space="preserve">Above figure is adapted from figures in Shoup, D., 2006. Cruising for Parking. Transport Policy. Vol. 13 (2006). At p. 480, Shoup cites average cruising times of 7.9 minutes and 13.9 minutes reported in original research in: Falcocchio, J., Jose, D., Elena, P., 1995. “An inquiry on the traffic congestion impacts of parking and pricing policies in the Manhattan CBD,” prepared for NYCDOT Division of Parking and the University Transportation Research Center, Region II. Polytechnic University of New York Transportation Training and Research Center, New York, Feb. 1995. We have taken </t>
    </r>
    <r>
      <rPr>
        <u/>
        <sz val="8"/>
        <rFont val="Arial"/>
        <family val="2"/>
      </rPr>
      <t>one-half</t>
    </r>
    <r>
      <rPr>
        <sz val="8"/>
        <rFont val="Arial"/>
        <family val="2"/>
      </rPr>
      <t xml:space="preserve"> of the average of those two values, for conservatism.</t>
    </r>
  </si>
  <si>
    <t>Time spent cruising neighborhood in search of eventual on-street parking space, minutes</t>
  </si>
  <si>
    <r>
      <t xml:space="preserve">Distance from highway to parking lot, miles </t>
    </r>
    <r>
      <rPr>
        <sz val="8"/>
        <rFont val="Arial"/>
        <family val="2"/>
      </rPr>
      <t>(Komanoff)</t>
    </r>
  </si>
  <si>
    <t>Weight assigned to in-CBD value of time for estimating combined-average value of time for this driver</t>
  </si>
  <si>
    <r>
      <t xml:space="preserve">Calculated change in probability that an incoming driver who experiences costs (including travel time) as assumed here will find </t>
    </r>
    <r>
      <rPr>
        <b/>
        <sz val="9"/>
        <rFont val="Arial"/>
        <family val="2"/>
      </rPr>
      <t>leaving the highway to park in an off-street parking lot</t>
    </r>
    <r>
      <rPr>
        <sz val="9"/>
        <rFont val="Arial"/>
        <family val="2"/>
      </rPr>
      <t xml:space="preserve"> and continue the journey to the CBD via subway to be less costly than driving all the way into the CBD:</t>
    </r>
  </si>
  <si>
    <r>
      <t xml:space="preserve">Calculated change in probability that an incoming driver who experiences costs (including travel time) as assumed here will find </t>
    </r>
    <r>
      <rPr>
        <b/>
        <sz val="9"/>
        <rFont val="Arial"/>
        <family val="2"/>
      </rPr>
      <t>leaving the highway to park curbside</t>
    </r>
    <r>
      <rPr>
        <sz val="9"/>
        <rFont val="Arial"/>
        <family val="2"/>
      </rPr>
      <t xml:space="preserve"> and continue the journey to the CBD via subway to be less costly than driving all the way into the CBD:</t>
    </r>
  </si>
  <si>
    <t>Park-n-Ride
off-street
(lot or garage)</t>
  </si>
  <si>
    <t>Park-n-Ride
on-street
(curbside)</t>
  </si>
  <si>
    <t>Drive to CBD and park there</t>
  </si>
  <si>
    <t>Take LIRR
full distance
to CBD</t>
  </si>
  <si>
    <t>The analysis considers whether a CBD worker who lives in Babylon, LI and who now takes the LIRR straight through to Penn Station, might be tempted by the stick of a cordon toll and the carrot of discounted intra-city LIRR fares to drive only to Rosedale, Queens, park there, and then catch the LIRR to Penn. It covers both directions of travel.</t>
  </si>
  <si>
    <t>Komanoff assumptions, intended to reflect (i) greater competition for both off- and on-street parking from switches to Park-n-Ride, and (ii) lesser demand for parking in CBD, after tolling.</t>
  </si>
  <si>
    <r>
      <t xml:space="preserve">Estimated change in probability that an LIRR commuter who experiences costs and travel time as assumed here will find it less costly to </t>
    </r>
    <r>
      <rPr>
        <i/>
        <sz val="9"/>
        <rFont val="Arial"/>
        <family val="2"/>
      </rPr>
      <t xml:space="preserve">drive </t>
    </r>
    <r>
      <rPr>
        <sz val="9"/>
        <rFont val="Arial"/>
        <family val="2"/>
      </rPr>
      <t xml:space="preserve">across the Nassau-Queens line </t>
    </r>
    <r>
      <rPr>
        <b/>
        <sz val="9"/>
        <rFont val="Arial"/>
        <family val="2"/>
      </rPr>
      <t>and park in an off-street lot</t>
    </r>
    <r>
      <rPr>
        <sz val="9"/>
        <rFont val="Arial"/>
        <family val="2"/>
      </rPr>
      <t xml:space="preserve"> and take the LIRR the rest of the way to the CBD rather than taking the LIRR all the way to the CBD:</t>
    </r>
  </si>
  <si>
    <r>
      <t xml:space="preserve">Estimated change in probability that an LIRR commuter who experiences costs and travel time as assumed here will find it less costly to </t>
    </r>
    <r>
      <rPr>
        <i/>
        <sz val="9"/>
        <rFont val="Arial"/>
        <family val="2"/>
      </rPr>
      <t xml:space="preserve">drive </t>
    </r>
    <r>
      <rPr>
        <sz val="9"/>
        <rFont val="Arial"/>
        <family val="2"/>
      </rPr>
      <t xml:space="preserve">across the Nassau-Queens line </t>
    </r>
    <r>
      <rPr>
        <b/>
        <sz val="9"/>
        <rFont val="Arial"/>
        <family val="2"/>
      </rPr>
      <t xml:space="preserve">and park curbside </t>
    </r>
    <r>
      <rPr>
        <sz val="9"/>
        <rFont val="Arial"/>
        <family val="2"/>
      </rPr>
      <t>and take the LIRR the rest of the way to the CBD rather than taking the LIRR all the way to the CBD:</t>
    </r>
  </si>
  <si>
    <t>Park-n-Ride figures are one-half of 14, which is the average interval, in minutes, between departures of the 8 westbound trains leaving Rosedale on weekdays between 6:53 and 8:45 a.m. All-LIRR figure is Komanoff estimate, and assumes that commuters are adept at keying arrival at Babylon platform to LIRR schedule.</t>
  </si>
  <si>
    <t>1. Move NY Plan,
2011</t>
  </si>
  <si>
    <r>
      <t xml:space="preserve">Average Toll </t>
    </r>
    <r>
      <rPr>
        <sz val="9"/>
        <rFont val="Arial"/>
        <family val="2"/>
      </rPr>
      <t>(increment over any prior CBD tolls)</t>
    </r>
    <r>
      <rPr>
        <b/>
        <sz val="9"/>
        <rFont val="Arial"/>
        <family val="2"/>
      </rPr>
      <t>:</t>
    </r>
  </si>
  <si>
    <t xml:space="preserve"> Includes trucks and buses as well as double toll (where applicable) for through-trips.</t>
  </si>
  <si>
    <t>MoveNY</t>
  </si>
  <si>
    <t>MNY, alt</t>
  </si>
  <si>
    <t>Move NY Plan</t>
  </si>
  <si>
    <t>Move NY Plan, modified</t>
  </si>
  <si>
    <t>Fair Plan</t>
  </si>
  <si>
    <r>
      <t xml:space="preserve">• Cordon-Entry Auto Tolls: </t>
    </r>
    <r>
      <rPr>
        <sz val="8"/>
        <rFont val="Arial"/>
        <family val="2"/>
      </rPr>
      <t xml:space="preserve">constant $10 ($12 if cash) </t>
    </r>
    <r>
      <rPr>
        <sz val="8"/>
        <rFont val="Calibri"/>
        <family val="2"/>
      </rPr>
      <t>•</t>
    </r>
    <r>
      <rPr>
        <sz val="8"/>
        <rFont val="Arial"/>
        <family val="2"/>
      </rPr>
      <t xml:space="preserve"> </t>
    </r>
    <r>
      <rPr>
        <b/>
        <sz val="8"/>
        <rFont val="Arial"/>
        <family val="2"/>
      </rPr>
      <t xml:space="preserve">Outer-Borough Bridge Tolls: </t>
    </r>
    <r>
      <rPr>
        <sz val="8"/>
        <rFont val="Arial"/>
        <family val="2"/>
      </rPr>
      <t xml:space="preserve">reduced by varying amounts, averaging 37% </t>
    </r>
    <r>
      <rPr>
        <sz val="8"/>
        <rFont val="Calibri"/>
        <family val="2"/>
      </rPr>
      <t>•</t>
    </r>
    <r>
      <rPr>
        <sz val="8"/>
        <rFont val="Arial"/>
        <family val="2"/>
      </rPr>
      <t xml:space="preserve"> </t>
    </r>
    <r>
      <rPr>
        <b/>
        <sz val="8"/>
        <rFont val="Arial"/>
        <family val="2"/>
      </rPr>
      <t>Other Auto Discount</t>
    </r>
    <r>
      <rPr>
        <sz val="8"/>
        <rFont val="Arial"/>
        <family val="2"/>
      </rPr>
      <t xml:space="preserve">: 10% for NYC residents • </t>
    </r>
    <r>
      <rPr>
        <b/>
        <sz val="8"/>
        <rFont val="Arial"/>
        <family val="2"/>
      </rPr>
      <t>Medallion Taxis</t>
    </r>
    <r>
      <rPr>
        <sz val="8"/>
        <rFont val="Arial"/>
        <family val="2"/>
      </rPr>
      <t xml:space="preserve">: Pay same cordon toll as private autos • </t>
    </r>
    <r>
      <rPr>
        <b/>
        <sz val="8"/>
        <rFont val="Arial"/>
        <family val="2"/>
      </rPr>
      <t>Truck tolls</t>
    </r>
    <r>
      <rPr>
        <sz val="8"/>
        <rFont val="Arial"/>
        <family val="2"/>
      </rPr>
      <t xml:space="preserve">: Appear to be far greater than for autos (TBD) • </t>
    </r>
    <r>
      <rPr>
        <b/>
        <sz val="8"/>
        <rFont val="Arial"/>
        <family val="2"/>
      </rPr>
      <t xml:space="preserve">Bus-Subway Fares: </t>
    </r>
    <r>
      <rPr>
        <sz val="8"/>
        <rFont val="Arial"/>
        <family val="2"/>
      </rPr>
      <t>no change from present (ditto for express buses and commuter rail)</t>
    </r>
  </si>
  <si>
    <r>
      <t xml:space="preserve">This is the plan advanced by the Move NY Campaign (a/k/a Sustainable Transportation Campaign) in 2011. 
The nominal auto toll, which varies by time of day and day of week, and is charged in the inbound direction only, is shown in graphs at right. The effective average toll on weekdays averages $7.70, a figure that reflects (i) our proposed exemption of each vehicle's first trip each month, (ii) a decision to cap the (inbound) toll at the Holland, Lincoln, Queens-Midtown and Brooklyn-Battery Tunnels at either the current inbound toll charged there or the cordon toll level shown in the graphs, whichever is higher, (iii) the double toll that will be paid by vehicles passing through the CBD (since they enter the CBD twice </t>
    </r>
    <r>
      <rPr>
        <sz val="9"/>
        <rFont val="Calibri"/>
        <family val="2"/>
      </rPr>
      <t>—</t>
    </r>
    <r>
      <rPr>
        <sz val="9"/>
        <rFont val="Arial"/>
        <family val="2"/>
      </rPr>
      <t xml:space="preserve"> on the return leg as well as the initial one), and (iv) higher tolls for trucks and buses. For comparison, note that under the 2007-08 Bloomberg congestion-pricing proposal, autos would have paid $8 and trucks $21, although these charges would have been in effect only from 6 am to 6 pm. Note also that the Dec. 2008 Ravitch Plan would have charged $10 round-trip ($5 each way) in the form of East River bridge tolls.
Other provisions of the Move NY Plan include a surcharge on medallion taxi fares (rather than charging  for each CBD-entry by yellow cabs)  and a 15% reduction in tolls on the MTA bridges, all of which are outside of the CBD and, thus, don't funnel cars and trucks into the congested heart of the city. The plan applies $450 million a year in toll revenues to the MTA Capital Plan, to help maintain the transit system in a state of good repair, and thus improve travel times and attract new transit trips. Other available funds are dedicated to improving and expanding transit operations and providing strategic discounts in certain transit fares.</t>
    </r>
  </si>
  <si>
    <r>
      <t xml:space="preserve">Sam Schwartz, former chief engineer and deputy commissioner of the NYC Dept of Transportation, and a champion of congestion pricing for many decades, has developed and is advocating this plan.
A key feature of the Fair Plan is its steep discount on tolls currently charged on the MTA's seven bridges. The rationale is two-fold. First, none of the MTA bridges feed directly into the Manhattan Central Business District; accordingly, their tolls should be </t>
    </r>
    <r>
      <rPr>
        <i/>
        <sz val="9"/>
        <rFont val="Arial"/>
        <family val="2"/>
      </rPr>
      <t xml:space="preserve">less </t>
    </r>
    <r>
      <rPr>
        <sz val="9"/>
        <rFont val="Arial"/>
        <family val="2"/>
      </rPr>
      <t xml:space="preserve">than tolls on tunnels, bridges and thoroughfares that funnel vehicles into the CBD and contribute greatly to costly traffic congestion. Second, giving something back (in the form of reduced tolls) to drivers from outside Manhattan (i.e., the "outer boroughs" and suburbs) should be politically attractive and should help win legislative support. 
The broad conception of the Fair Plan is similar to the Move NY Plan, in that both would apply sizeable tolls to trips into the Manhattan CBD that are currently untolled. Indeed, the Move NY Plan has appropriated the Fair Plan's outer-borough (MTA) bridge discounts, albeit at a lower rate </t>
    </r>
    <r>
      <rPr>
        <sz val="9"/>
        <rFont val="Calibri"/>
        <family val="2"/>
      </rPr>
      <t>—</t>
    </r>
    <r>
      <rPr>
        <sz val="9"/>
        <rFont val="Arial"/>
        <family val="2"/>
      </rPr>
      <t xml:space="preserve"> 15% discounts rather than 35-40%. There are notable differences, however. The Fair Plan provides a 10% toll discount for NYC residents (an estimated 57% of all CBD crossings), whereas the Move NY Plan offers NY State E-ZPass holders exemptions from the toll for the first trip in each month. The Fair Plan has no medallion taxi surcharge but instead charges taxis the full toll for each crossing. The Fair Plan toll isn't varied by time of day or day of week. And the Fair Plan appears to have a very high surcharge for trucks (details TK). Finally, the Fair Plan doesn't spell out transit allocations and investments via its toll revenues, though it does include an intriguing set of bicycle, pedestrian and roadway enhancements. For details, click on link TK.</t>
    </r>
  </si>
  <si>
    <t>The BTA includes a baseline "plan" in which tolls and transit fares have been assigned actual 2010-11 conditions. It is intended to help ensure the BTA is correctly calibrated; If the plan 'returns' zero results (e.g., zero net revenue, zero changes in traffic speeds), that is a positive indication that the model will produce reasonable results when it is given tolls and fares that differ from current levels.
Another scenario, "Baseline with 5% drop in subway ridership," manipulates a handful of variables (transit spending and fares) to "force" the BTA to yield a 5% drop in subway usage. It enables us to estimate the rise in traffic and drop in traffic speeds that would "accompany" (result from) that drop in subway ridership.</t>
  </si>
  <si>
    <t>4 &amp; 5. Baseline Plans</t>
  </si>
  <si>
    <t>Other plans advanced by C. Komanoff during 2008-2010 included: the Kheel-Komanoff Plan, the Kheel Plan, Kheel Plan II, and an MTA Rescue Plan.
These plans are no longer fully supported by the BTA, because of changes in key baseline conditions (traffic levels, transit fares, toll levels). They did, however, generate media interest and were also described in a number of articles and reports by C. Komanoff. Here's a fairly complete list:</t>
  </si>
  <si>
    <t>Links pertaining to the Kheel-Komanoff Plan (all are from 2009)</t>
  </si>
  <si>
    <t>Links pertaining to the original Kheel Plan</t>
  </si>
  <si>
    <t>Links pertaining to the Kheel II Plan</t>
  </si>
  <si>
    <t>Links pertaining to the MTA Rescue Plan (both are from 2009)</t>
  </si>
  <si>
    <t>This page summarizes some of the traffic-transit policy proposals developed using the BTA, including the Move NY Plan.</t>
  </si>
  <si>
    <t>summarizes some of the traffic-transit policy proposals developed using the BTA, including the Move NY plan.</t>
  </si>
  <si>
    <r>
      <t xml:space="preserve">Plans outlined here </t>
    </r>
    <r>
      <rPr>
        <u/>
        <sz val="10"/>
        <rFont val="Arial"/>
        <family val="2"/>
      </rPr>
      <t xml:space="preserve">(and available for automatic inputting in the </t>
    </r>
    <r>
      <rPr>
        <b/>
        <u/>
        <sz val="10"/>
        <rFont val="Arial"/>
        <family val="2"/>
      </rPr>
      <t>Results</t>
    </r>
    <r>
      <rPr>
        <u/>
        <sz val="10"/>
        <rFont val="Arial"/>
        <family val="2"/>
      </rPr>
      <t xml:space="preserve"> worksheet tab):</t>
    </r>
    <r>
      <rPr>
        <b/>
        <u/>
        <sz val="10"/>
        <rFont val="Arial"/>
        <family val="2"/>
      </rPr>
      <t/>
    </r>
  </si>
  <si>
    <t>Evening Peak, en route to CBD</t>
  </si>
  <si>
    <t>Toll (autos on work trips, peak periods)</t>
  </si>
  <si>
    <t>Komanoff (2011)</t>
  </si>
  <si>
    <t>Trips eliminated</t>
  </si>
  <si>
    <t>Percent:</t>
  </si>
  <si>
    <t>Komanoff est.</t>
  </si>
  <si>
    <t>% of entering drivers who purchase off-street parking (paid lot or garage)</t>
  </si>
  <si>
    <t>Cost of purchased off-street parking (paid lot or garage)</t>
  </si>
  <si>
    <t xml:space="preserve">Average cordon toll </t>
  </si>
  <si>
    <t>Baseline auto trips ending in cordon</t>
  </si>
  <si>
    <t>Final model estimates of auto trips ending in cordon</t>
  </si>
  <si>
    <t>Change in avg charge to park off-street (in garage or lot)</t>
  </si>
  <si>
    <t>Avg charge for off-street parking (paid lot / garage), baseline</t>
  </si>
  <si>
    <t>Change in wghtd avg cost to park resulting from change in off-street parking rates</t>
  </si>
  <si>
    <t>Factor Change in Total Motor V. Trip Cost w/ Toll (ratio of new cost to old)</t>
  </si>
  <si>
    <t>Final Trip Cost - including any change in cost to park</t>
  </si>
  <si>
    <r>
      <t xml:space="preserve">Percent above is calc'd on </t>
    </r>
    <r>
      <rPr>
        <b/>
        <u/>
        <sz val="8"/>
        <rFont val="Arial"/>
        <family val="2"/>
      </rPr>
      <t>weekday</t>
    </r>
    <r>
      <rPr>
        <b/>
        <sz val="8"/>
        <rFont val="Arial"/>
        <family val="2"/>
      </rPr>
      <t xml:space="preserve"> baseline trips, since garage capacity is pegged to it.</t>
    </r>
  </si>
  <si>
    <t>Adjustment to Parking Costs (reflecting price change from change in vehicle entries)</t>
  </si>
  <si>
    <t>Avg charge for off-street parking (pd lot / garage), w/ cordon toll</t>
  </si>
  <si>
    <t>Note: Above % is effectively capped at 50%, in columns to right.</t>
  </si>
  <si>
    <t xml:space="preserve">3. Fair Plan, 
advanced by noted transportation engineer Sam Schwartz (Gridlock Sam) </t>
  </si>
  <si>
    <t>"Orphaned" text below to be superseded by new columns w/ input parameters applicable to bridge tolls.</t>
  </si>
  <si>
    <t>Toll One Direction or Two?</t>
  </si>
  <si>
    <r>
      <t xml:space="preserve">Adder for indirect costs (design, contracting, public consultation) </t>
    </r>
    <r>
      <rPr>
        <sz val="8"/>
        <rFont val="Arial"/>
        <family val="2"/>
      </rPr>
      <t>(Komanoff)</t>
    </r>
  </si>
  <si>
    <t>Number of Locations for plan now being costed</t>
  </si>
  <si>
    <t>Is Tolling Done in one direction or two?</t>
  </si>
  <si>
    <t>Further Revised Cost per Location (reflecting number of tolld directions)</t>
  </si>
  <si>
    <t>2. Operating Costs for Cordon-Tolling System</t>
  </si>
  <si>
    <t>Weekday Vehicle Entries to CBD to be tolled (in-bound only)</t>
  </si>
  <si>
    <t>Adjusted Wkday Vehicle Entries to CBD to be tolled (in-bound + out-bound, as applicable)</t>
  </si>
  <si>
    <t>Adder for bi-directional tolls</t>
  </si>
  <si>
    <t>B. Weekends and Holidays</t>
  </si>
  <si>
    <t>Weekend Vehicle Entries to CBD to be tolled (in-bound only)</t>
  </si>
  <si>
    <t>Adjusted Wkend Vehicle Entries to CBD to be tolled (in-bound + out-bound, as applicable)</t>
  </si>
  <si>
    <r>
      <t xml:space="preserve">7. Cordon VMT breakdowns </t>
    </r>
    <r>
      <rPr>
        <sz val="10"/>
        <rFont val="Arial"/>
        <family val="2"/>
      </rPr>
      <t xml:space="preserve">(all VMT figures are 24-hour weekdays, from </t>
    </r>
    <r>
      <rPr>
        <b/>
        <sz val="10"/>
        <rFont val="Arial"/>
        <family val="2"/>
      </rPr>
      <t xml:space="preserve">Motor V's </t>
    </r>
    <r>
      <rPr>
        <sz val="10"/>
        <rFont val="Arial"/>
        <family val="2"/>
      </rPr>
      <t>worksheet)</t>
    </r>
  </si>
  <si>
    <t>Source: PA 2009 budget, http://www.panynj.gov/corporate-information/pdf/budget-2009.pdf, p. 47 of 107.</t>
  </si>
  <si>
    <t>2008 Toll Revenue, 000</t>
  </si>
  <si>
    <t>Two Tunnels:</t>
  </si>
  <si>
    <t>http://www.panynj.gov/corporate-information/pdf/budget-2011.pdf, p. 58 (Table: Gross Oper. Revs. by Facility")</t>
  </si>
  <si>
    <t>Port Authority Toll for Lincoln and Holland Tunnels (inbound) during period</t>
  </si>
  <si>
    <t>Wghtd avg pk / off-pk.</t>
  </si>
  <si>
    <t>Toll rates above multiply respective auto tolls in earlier column blocks by (i) avg truck to auto toll ratio, and (ii) factor for truck through-trips.</t>
  </si>
  <si>
    <t>Toll rates above multiply respective auto tolls in earlier column blocks by (i) avg truck to auto toll ratio, and (ii) factor for bus through-trips.</t>
  </si>
  <si>
    <t>Amount of Port Authority Toll Allocable to Cordon Toll Account</t>
  </si>
  <si>
    <t>If plan being modeled is cordon tolls (not bridge tolls) and if it increments rather than replaces toll, formula calculates effective toll foregone due to PA's "first call" on revenues.</t>
  </si>
  <si>
    <r>
      <t xml:space="preserve">This parameter's function is to ensure that toll administration cost est'd in </t>
    </r>
    <r>
      <rPr>
        <b/>
        <sz val="9"/>
        <rFont val="Arial"/>
        <family val="2"/>
      </rPr>
      <t>Cordon</t>
    </r>
    <r>
      <rPr>
        <sz val="9"/>
        <rFont val="Arial"/>
        <family val="2"/>
      </rPr>
      <t xml:space="preserve"> worksheet reflects the number of trips that will be subjected to tolling. </t>
    </r>
  </si>
  <si>
    <r>
      <t xml:space="preserve">We begin with the PA's definition of trucks. According to the Authority's "Green Book" of Traffic Rules and Regulations, a truck "shall mean a motor vehicle having </t>
    </r>
    <r>
      <rPr>
        <b/>
        <sz val="9"/>
        <rFont val="Arial"/>
        <family val="2"/>
      </rPr>
      <t>dual rear wheels</t>
    </r>
    <r>
      <rPr>
        <sz val="9"/>
        <rFont val="Arial"/>
        <family val="2"/>
      </rPr>
      <t xml:space="preserve"> designed, used or maintained primarily for the transportation of goods, wares and merchandise or registered for such use." (March 2008, p. 5, avail. at: &lt; http://1.usa.gov/hntgWf&gt;, emphasis added)</t>
    </r>
  </si>
  <si>
    <t>Graph inputs. Do not disturb!</t>
  </si>
  <si>
    <r>
      <t xml:space="preserve">Toll </t>
    </r>
    <r>
      <rPr>
        <u/>
        <sz val="9"/>
        <rFont val="Arial"/>
        <family val="2"/>
      </rPr>
      <t>intervals</t>
    </r>
    <r>
      <rPr>
        <sz val="9"/>
        <rFont val="Arial"/>
        <family val="2"/>
      </rPr>
      <t xml:space="preserve"> are pre-set in the BTA and cannot be changed. You can, of course, change the toll </t>
    </r>
    <r>
      <rPr>
        <u/>
        <sz val="9"/>
        <rFont val="Arial"/>
        <family val="2"/>
      </rPr>
      <t>amounts</t>
    </r>
    <r>
      <rPr>
        <sz val="9"/>
        <rFont val="Arial"/>
        <family val="2"/>
      </rPr>
      <t>.</t>
    </r>
  </si>
  <si>
    <t>Figures in this column correspond automatically to values of plan selected in 'Results' tab.</t>
  </si>
  <si>
    <r>
      <t xml:space="preserve">Fare </t>
    </r>
    <r>
      <rPr>
        <u/>
        <sz val="9"/>
        <rFont val="Arial"/>
        <family val="2"/>
      </rPr>
      <t>intervals</t>
    </r>
    <r>
      <rPr>
        <sz val="9"/>
        <rFont val="Arial"/>
        <family val="2"/>
      </rPr>
      <t xml:space="preserve"> are pre-set. However, you may change fare </t>
    </r>
    <r>
      <rPr>
        <u/>
        <sz val="9"/>
        <rFont val="Arial"/>
        <family val="2"/>
      </rPr>
      <t>levels</t>
    </r>
    <r>
      <rPr>
        <sz val="9"/>
        <rFont val="Arial"/>
        <family val="2"/>
      </rPr>
      <t>.</t>
    </r>
  </si>
  <si>
    <t>Worksheetwhere parameter featured</t>
  </si>
  <si>
    <t xml:space="preserve">Values in blue font in "Baseline" Column E have been set to duplicate 2010-11 traffic and transit status quo. If results (changes in revenue, traffic, transit use, etc.) equal zero when "switch" in Results tab has been set to 1, this is a sign that the model has probably been successfully initialized. </t>
  </si>
  <si>
    <t>URS-TBTA Revenue Projections for 2011 (000's)</t>
  </si>
  <si>
    <t>F/C Revenue</t>
  </si>
  <si>
    <t>MTA Tolls collected from crossings that do not enter the Manhattan CBD ($ 000)</t>
  </si>
  <si>
    <t>Budget, 000</t>
  </si>
  <si>
    <t>$ Allocation for Baseline Tolls, 000</t>
  </si>
  <si>
    <t>$ Allocation for PA Toll Impact, 000</t>
  </si>
  <si>
    <r>
      <t xml:space="preserve">PANYNJ Estimated Lost Revenues from Implementing Congestion Pricing </t>
    </r>
    <r>
      <rPr>
        <sz val="10"/>
        <rFont val="Arial"/>
        <family val="2"/>
      </rPr>
      <t>(uses 2011 projected revenue)</t>
    </r>
  </si>
  <si>
    <t>To the extent that the cordon toll raises existing trans-Hudson tolls, the Port Authority stands to lose revenues from its current Holland and Lincoln Tunnel tolls, as drivers cut back on CBD trips due to the higher toll. The same will apply to the share of GWB crossings that would have eventually entered the CBD.</t>
  </si>
  <si>
    <t>Holland</t>
  </si>
  <si>
    <t>Lincoln</t>
  </si>
  <si>
    <t>GW Bridge</t>
  </si>
  <si>
    <t>Projected % change in crossings</t>
  </si>
  <si>
    <t>All portals</t>
  </si>
  <si>
    <t>Net avg incrs in toll at crossing shown (simple avg of work + non-work trips)</t>
  </si>
  <si>
    <t>Nominal avg incrs in toll (simple avg of work + non-work trips)</t>
  </si>
  <si>
    <t>Toll increase at crossing shown, vis-à-vis nominal increase at other crossings</t>
  </si>
  <si>
    <t>[NA - values above are subsumed in figures at left]</t>
  </si>
  <si>
    <t>Wghtd-avg % change in crossings, combining weekdays and weekends</t>
  </si>
  <si>
    <t>Expected change in revenue due to cordon toll, thousands</t>
  </si>
  <si>
    <t>1. Baseline (Saturdays, Sundays &amp; Holidays)</t>
  </si>
  <si>
    <t>2. With Proposed Fares (Saturdays, Sundays &amp; Holidays)</t>
  </si>
  <si>
    <t>3. With Proposed Service Changes (Saturdays, Sundays &amp; Holidays)</t>
  </si>
  <si>
    <t>4. Total (Unadjusted, per day, Saturdays, Sundays &amp; Holidays)</t>
  </si>
  <si>
    <t xml:space="preserve">Extent to which volume of auto trips into CBD would have to fall for garage/lot owners to compensate by reducing their parking charges by entire toll increment: </t>
  </si>
  <si>
    <r>
      <t>Worksheet Concept</t>
    </r>
    <r>
      <rPr>
        <sz val="8.5"/>
        <rFont val="Arial"/>
        <family val="2"/>
      </rPr>
      <t xml:space="preserve">: This worksheet parallels the preceding one, </t>
    </r>
    <r>
      <rPr>
        <b/>
        <sz val="8.5"/>
        <rFont val="Arial"/>
        <family val="2"/>
      </rPr>
      <t>Motor Vs</t>
    </r>
    <r>
      <rPr>
        <sz val="8.5"/>
        <rFont val="Arial"/>
        <family val="2"/>
      </rPr>
      <t xml:space="preserve">, which covers weekdays. As noted there, motor vehicle traffic is divided into six subgroups: (1) auto trips for work purposes, (2) auto trips for non-work purposes, (3) "through-trips" that pass through the charging zone, (4) medallion taxi trips, (5) truck trips and (6) bus trips. All trip and VMT numbers are </t>
    </r>
    <r>
      <rPr>
        <u/>
        <sz val="8.5"/>
        <rFont val="Arial"/>
        <family val="2"/>
      </rPr>
      <t>vehicles</t>
    </r>
    <r>
      <rPr>
        <sz val="8.5"/>
        <rFont val="Arial"/>
        <family val="2"/>
      </rPr>
      <t xml:space="preserve"> w/o regard to number of passengers. For each subgroup, trips are subdivided into six periods accounting for all 24 hours of a typical Saturday, Sunday or holiday. Each toll period is assigned its own toll rate (shown in </t>
    </r>
    <r>
      <rPr>
        <b/>
        <sz val="8.5"/>
        <rFont val="Arial"/>
        <family val="2"/>
      </rPr>
      <t xml:space="preserve">By Hour Wknd </t>
    </r>
    <r>
      <rPr>
        <sz val="8.5"/>
        <rFont val="Arial"/>
        <family val="2"/>
      </rPr>
      <t xml:space="preserve">worksheet). Toll-caused changes in vehicle entries into the cordon (due to trip elimination and/or  time-switching) are estimated using elasticity values (compiled in </t>
    </r>
    <r>
      <rPr>
        <b/>
        <sz val="8.5"/>
        <rFont val="Arial"/>
        <family val="2"/>
      </rPr>
      <t>Elasticities</t>
    </r>
    <r>
      <rPr>
        <sz val="8.5"/>
        <rFont val="Arial"/>
        <family val="2"/>
      </rPr>
      <t xml:space="preserve"> worksheet), but the reductions in traffic volumes and consequent higher travel speeds "re-attract" some trips; these increases are estimated, as are subsequent reduced traffic volumes as some congestion returns. This iterative process is continued until oscillations from each round to the next become minimal.</t>
    </r>
  </si>
  <si>
    <t>Some of the elasticity values employed in the BTA are taken from a 1977 report by the Tri-State Regional Planning Commission (TSRPC), "Short Term Effects of Transportation Policy Changes on Auto and Transit Ridership" (Interim Technical Report 5303; not Web-available). However, the report's non-work-trip time-elasticity of minus 124% has been replaced here by the work-trip time-elasticity value of minus 100%.</t>
  </si>
  <si>
    <t>RESULTS SNAPSHOT (go to Results worksheet tab for complete list)</t>
  </si>
  <si>
    <r>
      <t>Feel free to make adjustments in those plans (Plans 3 - 5).</t>
    </r>
    <r>
      <rPr>
        <b/>
        <sz val="9"/>
        <rFont val="Calibri"/>
        <family val="2"/>
      </rPr>
      <t xml:space="preserve"> </t>
    </r>
    <r>
      <rPr>
        <b/>
        <sz val="9"/>
        <rFont val="Arial"/>
        <family val="2"/>
      </rPr>
      <t xml:space="preserve">Simply change the pertinent setting(s) in those columns. If you wish to save the file with those changes, please do so with a new filename. </t>
    </r>
  </si>
  <si>
    <t>Waive cordon toll for first trip of month by E-ZPass holders w/i MTA counties?</t>
  </si>
  <si>
    <t>5.
'Gridlock
Sam' Fair Pricing Plan</t>
  </si>
  <si>
    <t>4.
Move NY
Plan, modified</t>
  </si>
  <si>
    <t>3.
Move
NY
Plan</t>
  </si>
  <si>
    <t>Increment to truck toll for each additional axle after the 3rd (expressed as multiple of car toll):</t>
  </si>
  <si>
    <t>TBTA &amp; QMT Volumes, revised to reflect PANYNJ classifications</t>
  </si>
  <si>
    <r>
      <t xml:space="preserve">Here we derive approximate toll schedule that charges trucks per number of axles, with objective of having trucks (i.e., vehicles that PA will classify as trucks) charged tolls that average </t>
    </r>
    <r>
      <rPr>
        <u/>
        <sz val="9"/>
        <rFont val="Arial"/>
        <family val="2"/>
      </rPr>
      <t>1.5 to 2 times as much</t>
    </r>
    <r>
      <rPr>
        <sz val="9"/>
        <rFont val="Arial"/>
        <family val="2"/>
      </rPr>
      <t xml:space="preserve"> as tolls for cars.</t>
    </r>
  </si>
  <si>
    <r>
      <t xml:space="preserve">• Cordon-Entry Auto Tolls: </t>
    </r>
    <r>
      <rPr>
        <sz val="8"/>
        <rFont val="Arial"/>
        <family val="2"/>
      </rPr>
      <t>variable (</t>
    </r>
    <r>
      <rPr>
        <u/>
        <sz val="8"/>
        <rFont val="Arial"/>
        <family val="2"/>
      </rPr>
      <t>see charts below</t>
    </r>
    <r>
      <rPr>
        <sz val="8"/>
        <rFont val="Arial"/>
        <family val="2"/>
      </rPr>
      <t xml:space="preserve">) </t>
    </r>
    <r>
      <rPr>
        <sz val="8"/>
        <rFont val="Calibri"/>
        <family val="2"/>
      </rPr>
      <t>•</t>
    </r>
    <r>
      <rPr>
        <sz val="8"/>
        <rFont val="Arial"/>
        <family val="2"/>
      </rPr>
      <t xml:space="preserve"> </t>
    </r>
    <r>
      <rPr>
        <b/>
        <sz val="8"/>
        <rFont val="Arial"/>
        <family val="2"/>
      </rPr>
      <t xml:space="preserve">Outer-Borough Bridge Tolls: </t>
    </r>
    <r>
      <rPr>
        <sz val="8"/>
        <rFont val="Arial"/>
        <family val="2"/>
      </rPr>
      <t xml:space="preserve">reduced by 15% </t>
    </r>
    <r>
      <rPr>
        <sz val="8"/>
        <rFont val="Calibri"/>
        <family val="2"/>
      </rPr>
      <t>•</t>
    </r>
    <r>
      <rPr>
        <sz val="8"/>
        <rFont val="Arial"/>
        <family val="2"/>
      </rPr>
      <t xml:space="preserve"> </t>
    </r>
    <r>
      <rPr>
        <b/>
        <sz val="8"/>
        <rFont val="Arial"/>
        <family val="2"/>
      </rPr>
      <t xml:space="preserve">Other Auto Discount: </t>
    </r>
    <r>
      <rPr>
        <sz val="8"/>
        <rFont val="Arial"/>
        <family val="2"/>
      </rPr>
      <t xml:space="preserve">toll waived for first trip each month • </t>
    </r>
    <r>
      <rPr>
        <b/>
        <sz val="8"/>
        <rFont val="Arial"/>
        <family val="2"/>
      </rPr>
      <t>Medallion Taxis</t>
    </r>
    <r>
      <rPr>
        <sz val="8"/>
        <rFont val="Arial"/>
        <family val="2"/>
      </rPr>
      <t xml:space="preserve">: No cordon toll, but all trips are surcharged: 12% on miles, 20% on wait time, $0.25 on "drop" • </t>
    </r>
    <r>
      <rPr>
        <b/>
        <sz val="8"/>
        <rFont val="Arial"/>
        <family val="2"/>
      </rPr>
      <t>Truck tolls</t>
    </r>
    <r>
      <rPr>
        <sz val="8"/>
        <rFont val="Arial"/>
        <family val="2"/>
      </rPr>
      <t xml:space="preserve">: Sliding scale, averages 1.6x auto toll • </t>
    </r>
    <r>
      <rPr>
        <b/>
        <sz val="8"/>
        <rFont val="Arial"/>
        <family val="2"/>
      </rPr>
      <t xml:space="preserve">Bus-Subway Fares: </t>
    </r>
    <r>
      <rPr>
        <sz val="8"/>
        <rFont val="Arial"/>
        <family val="2"/>
      </rPr>
      <t xml:space="preserve">no change from present  </t>
    </r>
    <r>
      <rPr>
        <sz val="8"/>
        <rFont val="Calibri"/>
        <family val="2"/>
      </rPr>
      <t>•</t>
    </r>
    <r>
      <rPr>
        <sz val="8"/>
        <rFont val="Arial"/>
        <family val="2"/>
      </rPr>
      <t xml:space="preserve"> </t>
    </r>
    <r>
      <rPr>
        <b/>
        <sz val="8"/>
        <rFont val="Arial"/>
        <family val="2"/>
      </rPr>
      <t xml:space="preserve">Express Bus fares: </t>
    </r>
    <r>
      <rPr>
        <sz val="8"/>
        <rFont val="Arial"/>
        <family val="2"/>
      </rPr>
      <t xml:space="preserve">reduced by 10% • </t>
    </r>
    <r>
      <rPr>
        <b/>
        <sz val="8"/>
        <rFont val="Arial"/>
        <family val="2"/>
      </rPr>
      <t>In-City Commuter Rail trips</t>
    </r>
    <r>
      <rPr>
        <sz val="8"/>
        <rFont val="Arial"/>
        <family val="2"/>
      </rPr>
      <t xml:space="preserve">: pay transit fare </t>
    </r>
  </si>
  <si>
    <t>2. Move NY Plan, modified to yield somewhat more revenue</t>
  </si>
  <si>
    <t>This is a more revenue-intensive version of the Move NY Plan shown above. 
The auto toll is the same as for the regular Move NY Plan.The taxi surcharge is also unchanged. However, the discount on the MTA bridges is eliminated. Instead, the revenue that would have had to be set aside to pay for that discount, $150 million a year, is available to enhance public transit via increases in both the capital budget and the operating budget.
Owing to those transit expenditures, the improvement in traffic speeds within the CBD is slightly higher than for the Move NY plan.</t>
  </si>
  <si>
    <r>
      <t xml:space="preserve">• Cordon-Entry Auto Tolls: </t>
    </r>
    <r>
      <rPr>
        <sz val="8"/>
        <rFont val="Arial"/>
        <family val="2"/>
      </rPr>
      <t>variable (</t>
    </r>
    <r>
      <rPr>
        <u/>
        <sz val="8"/>
        <rFont val="Arial"/>
        <family val="2"/>
      </rPr>
      <t>see charts below</t>
    </r>
    <r>
      <rPr>
        <sz val="8"/>
        <rFont val="Arial"/>
        <family val="2"/>
      </rPr>
      <t xml:space="preserve">) </t>
    </r>
    <r>
      <rPr>
        <sz val="8"/>
        <rFont val="Calibri"/>
        <family val="2"/>
      </rPr>
      <t>•</t>
    </r>
    <r>
      <rPr>
        <sz val="8"/>
        <rFont val="Arial"/>
        <family val="2"/>
      </rPr>
      <t xml:space="preserve"> </t>
    </r>
    <r>
      <rPr>
        <b/>
        <sz val="8"/>
        <rFont val="Arial"/>
        <family val="2"/>
      </rPr>
      <t xml:space="preserve">Outer-Borough Bridge Tolls: </t>
    </r>
    <r>
      <rPr>
        <sz val="8"/>
        <rFont val="Arial"/>
        <family val="2"/>
      </rPr>
      <t xml:space="preserve">no reduction </t>
    </r>
    <r>
      <rPr>
        <sz val="8"/>
        <rFont val="Calibri"/>
        <family val="2"/>
      </rPr>
      <t>•</t>
    </r>
    <r>
      <rPr>
        <sz val="8"/>
        <rFont val="Arial"/>
        <family val="2"/>
      </rPr>
      <t xml:space="preserve"> </t>
    </r>
    <r>
      <rPr>
        <b/>
        <sz val="8"/>
        <rFont val="Arial"/>
        <family val="2"/>
      </rPr>
      <t xml:space="preserve">Other Auto Discount: </t>
    </r>
    <r>
      <rPr>
        <sz val="8"/>
        <rFont val="Arial"/>
        <family val="2"/>
      </rPr>
      <t xml:space="preserve">toll waived for first trip each month • </t>
    </r>
    <r>
      <rPr>
        <b/>
        <sz val="8"/>
        <rFont val="Arial"/>
        <family val="2"/>
      </rPr>
      <t>Medallion Taxis</t>
    </r>
    <r>
      <rPr>
        <sz val="8"/>
        <rFont val="Arial"/>
        <family val="2"/>
      </rPr>
      <t xml:space="preserve">: No cordon toll, but all trips are surcharged: weekdays: 15% on miles, 25% on wait time, $0.50 on "drop"; weekends: same as Move NY Plan, above • </t>
    </r>
    <r>
      <rPr>
        <b/>
        <sz val="8"/>
        <rFont val="Arial"/>
        <family val="2"/>
      </rPr>
      <t xml:space="preserve">Truck tolls, Bus-Subway Fares, Express Bus fares, </t>
    </r>
    <r>
      <rPr>
        <b/>
        <sz val="8"/>
        <rFont val="Arial"/>
        <family val="2"/>
      </rPr>
      <t>In-City Commuter Rail fares</t>
    </r>
    <r>
      <rPr>
        <sz val="8"/>
        <rFont val="Arial"/>
        <family val="2"/>
      </rPr>
      <t>: same as Move NY Plan, above</t>
    </r>
  </si>
  <si>
    <r>
      <t xml:space="preserve">Move NY (Sustainable Transit) Plan </t>
    </r>
    <r>
      <rPr>
        <sz val="10"/>
        <rFont val="Calibri"/>
        <family val="2"/>
      </rPr>
      <t>—</t>
    </r>
    <r>
      <rPr>
        <sz val="10"/>
        <rFont val="Arial"/>
        <family val="2"/>
      </rPr>
      <t xml:space="preserve"> </t>
    </r>
    <r>
      <rPr>
        <sz val="9"/>
        <rFont val="Arial"/>
        <family val="2"/>
      </rPr>
      <t>plan being circulated by the Move NY coalition during 2011.</t>
    </r>
  </si>
  <si>
    <r>
      <t xml:space="preserve">Move NY Plan with more radical toll structure </t>
    </r>
    <r>
      <rPr>
        <sz val="10"/>
        <rFont val="Calibri"/>
        <family val="2"/>
      </rPr>
      <t>—</t>
    </r>
    <r>
      <rPr>
        <sz val="10"/>
        <rFont val="Arial"/>
        <family val="2"/>
      </rPr>
      <t xml:space="preserve"> </t>
    </r>
    <r>
      <rPr>
        <sz val="9"/>
        <rFont val="Arial"/>
        <family val="2"/>
      </rPr>
      <t>potential variant on the Move NY Plan.</t>
    </r>
  </si>
  <si>
    <r>
      <t xml:space="preserve">Fair Plan </t>
    </r>
    <r>
      <rPr>
        <sz val="10"/>
        <rFont val="Calibri"/>
        <family val="2"/>
      </rPr>
      <t>—</t>
    </r>
    <r>
      <rPr>
        <sz val="10"/>
        <rFont val="Arial"/>
        <family val="2"/>
      </rPr>
      <t xml:space="preserve"> </t>
    </r>
    <r>
      <rPr>
        <sz val="9"/>
        <rFont val="Arial"/>
        <family val="2"/>
      </rPr>
      <t>advanced by transportation engineer Sam Schwartz ("Gridlock Sam").</t>
    </r>
  </si>
  <si>
    <r>
      <t xml:space="preserve">Baseline </t>
    </r>
    <r>
      <rPr>
        <sz val="9"/>
        <rFont val="Calibri"/>
        <family val="2"/>
      </rPr>
      <t>—</t>
    </r>
    <r>
      <rPr>
        <sz val="9"/>
        <rFont val="Arial"/>
        <family val="2"/>
      </rPr>
      <t xml:space="preserve"> not a plan, but a replica of current conditions, intended to ensure the BTA is properly calibrated.</t>
    </r>
  </si>
  <si>
    <t>2011 Projct'd Toll Revenue</t>
  </si>
  <si>
    <t>Assumed change in toll level</t>
  </si>
  <si>
    <t>OVERNIGHT HOURS for Trucks: Sundays-Thursdays, 10 p.m. until 6 a.m. the following morning</t>
  </si>
  <si>
    <t xml:space="preserve">Vehicle Type </t>
  </si>
  <si>
    <t xml:space="preserve">Class </t>
  </si>
  <si>
    <t xml:space="preserve">E-ZPass Peak </t>
  </si>
  <si>
    <t>E-ZPass Trucks Overnight</t>
  </si>
  <si>
    <t xml:space="preserve"># Axles </t>
  </si>
  <si>
    <t xml:space="preserve">E-Zpass
Off-Peak </t>
  </si>
  <si>
    <t>Cash Toll
All Hours</t>
  </si>
  <si>
    <r>
      <t xml:space="preserve">Revenue Data </t>
    </r>
    <r>
      <rPr>
        <sz val="9"/>
        <rFont val="Arial"/>
        <family val="2"/>
      </rPr>
      <t>(does not reflect the Sept. 2011 toll increases, unfortunately; our data request to the PANYNJ is pending)</t>
    </r>
  </si>
  <si>
    <t>The PA raised its Hudson River crossings tolls on Sept 18, 2011. Complete toll schedule is available at &lt;http://www.panynj.gov/about/toll-fare-2011.html&gt;. Following are excerpts.</t>
  </si>
  <si>
    <t>PEAK HOURS: Weekdays: 6-10 a.m., 4-8 p.m., Sat. &amp; Sun.: 11 a.m.-9 p.m. OFF-PEAK HOURS: All Other Times.</t>
  </si>
  <si>
    <r>
      <t xml:space="preserve">1. PANYNJ Lincoln &amp; Holland Tunnels </t>
    </r>
    <r>
      <rPr>
        <sz val="9"/>
        <rFont val="Arial"/>
        <family val="2"/>
      </rPr>
      <t/>
    </r>
  </si>
  <si>
    <t>Even if Port Authority and MTA retain "first call" on their cordon tunnel toll revenues, they may lose revenues due to (i) lesser use of GW Bridge, and (ii) fewer inbound trips on BBT and QMT Tunnels. These items denote our compensation of the Authorities' lost revenues.</t>
  </si>
  <si>
    <t>See NY Post, 7 Nov 2011, "MTA gives out 20,000 toll freebies," &lt;http://nyp.st/v1sOtv&gt;, for details on which city and state agencies get free E-ZPasses (though for annual lump-sum price).</t>
  </si>
  <si>
    <r>
      <rPr>
        <b/>
        <u/>
        <sz val="8"/>
        <rFont val="Arial"/>
        <family val="2"/>
      </rPr>
      <t>Click on black cell at left.</t>
    </r>
    <r>
      <rPr>
        <b/>
        <sz val="8"/>
        <rFont val="Arial"/>
        <family val="2"/>
      </rPr>
      <t xml:space="preserve"> A small triangle should appear. Click it, and a "drop-down menu" will appear. Use it to select among Plans 1-5.</t>
    </r>
  </si>
  <si>
    <t>Time-switching elasticities for subways (one vector for switching earlier, another for later, each w/ 24 figures, not shown here)</t>
  </si>
  <si>
    <t>Change in Taxicab Volume per Change in Auto Volume caused by change in Auto Time or Cost</t>
  </si>
  <si>
    <t>Change in Auto Volume per Change in Transit Volume caused by change in Transit Cost</t>
  </si>
  <si>
    <t>Change in Auto Volume per Change in Transit Volume caused by change in Transit Time</t>
  </si>
  <si>
    <t>Change in Taxi Volume per Change in Transit Volume caused by change in Transit Time or Cost</t>
  </si>
  <si>
    <t>As the table indicates, that column, and the associated column of parking "shares," draws heavily on a March 1, 2007 report by Schaller Consulting for Transportation Alternatives, "Free Parking, Congested Streets: The Skewed Economic Incentives to Drive in Manhattan." (Henceforth, Schaller 2007.) &lt;http://www.transalt.org/files/newsroom/reports/freeparking_traffictrouble.pdf&gt;</t>
  </si>
  <si>
    <t>We performed our first sensitivity test of this set of elasticities on 30-Dec-2010, using Excel's random number function to create a factor that has an equal probability of assuming any real value greater than 0.5 and less than 1.5, to multiply by each point-elasticity value. (A mathematical expression would be: 0.5 &lt; r &lt; 1.5.) Following is an example of the syntax, applied to the price-elasticity of taxi usage.</t>
  </si>
  <si>
    <t>Reflects $1 added to taxi trips w/ start or end in CBD.</t>
  </si>
  <si>
    <t>All other hours (8 hrs)</t>
  </si>
  <si>
    <t>T H E S E  C O L U M N S  A R E  N O T  U S E D  I N  C A L C U L A T I O N S (except allocation %'s)</t>
  </si>
  <si>
    <t>No discounts are applied to MTA tunnels, since these as CBD portals.</t>
  </si>
  <si>
    <t>Sources
All data in table except allocation percentages and average tolls are from from URS doc, "History and Projection of Traffic, Toll Revenues and Expenses and Review of Physical Conditions of the Facilities of Triborough Bridge and Tunnel Authority," April 30, 2010, Page E-15, Table 5. This document is available at http://www.mta.info/mta/investor/pdf/2010/Appendix_E_URS_Engineers_Report.pdf. A predecessor document is available at &lt;http://www.mta.info/mta/investor/pdf/urs_2007.pdf&gt;. Allocable % for Triborough is per Brian T. Ketcham, personal communication to Komanoff, August 2008. Allocable % for H Hudson is by Komanoff. Average tolls are for 2009 and are calculated by dividing revenues by toll-paying trips. Note that TBTA doubles actual toll-paying trips in arriving at Verrazano-Narrows trips figure shown (thus explaining "low" toll shown).</t>
  </si>
  <si>
    <t>MTA Bus Co. (MTABC) was created as a subsidiary of the MTA in Sept. 2004, under an agreement with the City of New York, in order to maintain service by seven private bus companies. Under the agreement, NYC pays MTABC the difference between the cost of operation of the bus routes and all revenues and subsidies received by MTABC. Thus, the costs of MTABC operations are 100% reimbursable by the City. The transition of service began on Jan. 3, 2005 and was completed on Feb. 20, 2006. Upon completion, MTABC was operating over 1,250 buses serving approximately 350,000 riders daily. MTABC operates 46 local routes in the Bronx, Brooklyn and Queens, and 35 premium-fare express routes between those boroughs and Manhattan. Source: MTA 2007 Budget (available at http://mta.info/mta/budget/nov2007/part7.pdf).</t>
  </si>
  <si>
    <t>Entries in graph at left are derived in remainder of this worksheet. PageDown to find pertinent sections.</t>
  </si>
  <si>
    <t xml:space="preserve"> 1. Bus Riders</t>
  </si>
  <si>
    <t xml:space="preserve"> 2. Subway Riders</t>
  </si>
  <si>
    <t xml:space="preserve"> 1. Trips into, in or through CBD</t>
  </si>
  <si>
    <t xml:space="preserve"> 3. Bus riders' addit'l saved time, from fare-free board.</t>
  </si>
  <si>
    <t>New value of the new transit trips, per year</t>
  </si>
  <si>
    <t>CARB Factors (see box at right)</t>
  </si>
  <si>
    <t xml:space="preserve"> Germany</t>
  </si>
  <si>
    <t xml:space="preserve"> Denmark</t>
  </si>
  <si>
    <t xml:space="preserve"> Netherlands</t>
  </si>
  <si>
    <t xml:space="preserve"> Deaths, ages 75 and over</t>
  </si>
  <si>
    <t xml:space="preserve"> Deaths, ages 19 and under</t>
  </si>
  <si>
    <t>Number Entering in Transit, Autos &amp; Taxis combined (rounded)</t>
  </si>
  <si>
    <t>Our formula is: Qi = 1 + 2 x (Q0i - 1) / (1 + eδ(gi - goi))</t>
  </si>
  <si>
    <t>Note: The parking category "Provided or reimbursed parking" doesn't apply to trucks and so is left blank, below.</t>
  </si>
  <si>
    <t>Note: The parking category "Provided or reimbursed parking" doesn't apply to buses and so is left blank, below.</t>
  </si>
  <si>
    <t>This worksheet has 68 columns and extends to Column BP.         A flow-chart diagram is included at right.</t>
  </si>
  <si>
    <t>Worksheet Concept: This worksheet is the heart of BTA 1.1. A quick guide: Motor vehicle traffic is divided into six subgroups: (1) auto trips for work purposes, (2) auto trips for non-work purposes, (3) "through-trips" that pass through the charging zone, (4) medallion taxi trips, (5) truck trips and (6) bus trips. All trip and VMT numbers are vehicles w/o regard to number of passengers. For each subgroup, trips are subdivided into seven periods accounting for all 24 hours of a typical weekday. (Saturdays, Sundays and Holidays are covered in a separate worksheet, Weekends). Each toll period is assigned its own toll rate (shown in By Hour worksheet). Toll-caused changes in vehicle entries into the cordon (due to trip elimination and/or time-switching) are estimated using elasticity values (compiled in Elasticities worksheet), but the reductions in traffic volumes and consequent higher travel speeds "re-attract" some trips; these increases are estimated, as are subsequent reduced traffic volumes as some congestion returns. This iterative process is continued until oscillations from each round to the next become minimal.</t>
  </si>
  <si>
    <t>Miles: First six are from Komanoff analysis in 2003 report, "The Hours: Time Savings from East River Bridge Tolls." Holland Tunnel averages north and south tube lengths provided in PANYNJ fact sheet available at http://www.panynj.gov/commutingtravel/tunnels/html/holland.html. Lincoln Tunnel averages three tube lengths provided in PANYNJ fact sheet available at http://www.panynj.gov/commutingtravel/tunnels/html/lincoln.html. Last is Komanoff assumption.</t>
  </si>
  <si>
    <t>Splits: % now tolled to
enter / re-enter CBD</t>
  </si>
  <si>
    <t xml:space="preserve"> of which trips into CBD are:</t>
  </si>
  <si>
    <t xml:space="preserve"> so we assume trips out of CBD are:</t>
  </si>
  <si>
    <t xml:space="preserve"> non-CBD trips are:</t>
  </si>
  <si>
    <t xml:space="preserve"> which leaves this many trips as intra-CBD:</t>
  </si>
  <si>
    <t>Source: "Metered Rate of Fare," NYC Taxi &amp; Limousine Commission, downloaded 19-March-2011 from &lt;http://www.nyc.gov/html/tlc/html/passenger/taxicab_rate.shtml&gt;.</t>
  </si>
  <si>
    <t xml:space="preserve">CBD total miles (incl. cruising) </t>
  </si>
  <si>
    <t>New Part: Potential Impacts of Mobile Phone Fare-Sharing Apps on Taxi Usage and Trips (this material is preliminary and may be withdrawn -- CK, July 2010)</t>
  </si>
  <si>
    <t>Primary data source is Jan. 27, 2010 MTA report, "2010 NYC Transit Service Reductions," available at &lt;http://www.mta.info/mta/news/books/pdf/100125_1031_service2010-nyct.pdf&gt;. This 26 MB pdf itemizes dozens of proposed subway and bus service cuts. For two measures, the MTA estimated lengthened trip durations and annual budgetary savings. These are summarized below.</t>
  </si>
  <si>
    <t>NYC Subway subway ridership, 2011, projected (millions)</t>
  </si>
  <si>
    <t>Premise: To estimate subway passengers' propensity to shift travel time, we applied the Port Authority analysis of time-shifting by drivers using the PA's Hudson River crossings (see detailed explanation in Time Switching worksheet), with three adjustments to reflect: (1) subway passengers' lesser price-sensitivity and, thus, lesser propensity to time-shift ; (2) subway passengers' lesser monetary savings for time-shifting; (3) the fewer minutes or hours that subway riders must time-shift to reach the lower-fare period, compared to the three-hour duration of the PA's periods for drivers.</t>
  </si>
  <si>
    <t>Park-and-Ride Scenario #2: LIRR Commuter from Nassau or Suffolk to Penn Station</t>
  </si>
  <si>
    <t>To our knowledge, only two studies have measured the propensity of U.S. drivers to change the time at which they travel in response to road tolls that vary according to the time at which the trip is taken. We have drawn on both studies to develop algorithms by which the BTA may estimate the percentages of cordon-crossing auto trips that would be rescheduled to adjacent time periods in response to differential tolling is adopted in New York City. We have also applied our methodology to estimate the extent to which subway trips would be similarly rescheduled in the event that NYC Transit institutes fare premiums and/or discounts for the city’s subways.</t>
  </si>
  <si>
    <t>Ridership data are for 2009 and were extracted from MTA/NYCT website: http://www.mta.info/nyct/facts/ridership/ridership_bus.htm#top . Trips per weekday are calculated based on MTA NYCT schedules available at: http://mta.info/nyct/service/bus/bussch.htm.</t>
  </si>
  <si>
    <t>All ridership data in this worksheet are from 2009. They were extracted from the MTA/NYCT website: &lt;http://www.mta.info/nyct/facts/ridership/ridership_bus.htm&gt;.</t>
  </si>
  <si>
    <t>Borough Ridership from Routes That Are Classified Under Other Boroughs</t>
  </si>
  <si>
    <t xml:space="preserve">Methodology: For a specific NYC Transit bus route, we net, from actual travel times clocked by NYCT, the estimated reductions in "dwell times" (curbside stops to admit and remove passengers) that would be achieved by eliminating the time expended by passengers swiping their Metrocards as they board. Although actual dwell times were measured for current conditions (Metrocard payment), NYCT calculated the "new" (pre-payment) dwell times using standard industry time factors for boarding and departing. Moreover, NYCT did these calculations for a three-door (articulated) bus, whereas most NYCT buses are conventional two-door models. We therefore adjusted the calculations to a two-door model. </t>
  </si>
  <si>
    <t xml:space="preserve">Sums of figures in columns match actual 24-h totals almost perfectly.               </t>
  </si>
  <si>
    <t>Method: To estimate drivers' propensity to capitalize on a lower toll by switching the time at which they travel, we relied on the findings of a road-tolling experiment conducted in the Seattle region in 2006-07 by the Puget Sound Regional Council (PSRC). (The PSRC's Traffic Choices Study summary report is available here: http://www.psrc.org/assets/37/summaryreport.pdf.) From 4,510 observations of driver behavior including "baseline" and "tolled" time choices, the PSRC analysts distilled a functional relationship capturing the probability of switching to a lower toll period as the minutes or hours of time-switching increased or decreased.</t>
  </si>
  <si>
    <t>This section extrapolates from the time-shifting propensities observed at the Port Authority's six tunnels and bridges, five of which connect New Jersey with NYC, after the PA introduced its "Value Toll Pricing Program" on March 25, 2001. The elasticities shown below are drawn from the 2007 paper "Congestion Pricing As A Traffic Management Tool: Evaluating The Impacts At New York City’s Interstate Crossings," by Carolyn Wolff and Pierre Vilain (Table 3), available at &lt;http://www.trb-pricing.org/docs/07-2424.pdf&gt;. We adjust them to reflect differences in the duration (number of hours) in our toll periods vis-a-vis the PA's periods.</t>
  </si>
  <si>
    <t>Top of 43rd to bottom of 42nd Street</t>
  </si>
  <si>
    <t>Boriboonsomsin, (951) 781-5792, kanok@cert.ucr.edu</t>
  </si>
  <si>
    <t>Note: 2002 estimates from U.S. Bureau of the Census, U.S. Bureau of Labor Statistics, U.S. Bureau of Economic Analysis</t>
  </si>
  <si>
    <t xml:space="preserve"> Analysis by Community Consulting Services, March 2005</t>
  </si>
  <si>
    <t>Work Auto</t>
  </si>
  <si>
    <t>N-Wk Auto</t>
  </si>
  <si>
    <t>Work Bus</t>
  </si>
  <si>
    <t>N-Wk Bus</t>
  </si>
  <si>
    <t>Work Rail</t>
  </si>
  <si>
    <t>N-Wk Rail</t>
  </si>
  <si>
    <t>TABLE X-1: WORK / NON-WORK TRIPS TO THE MANHATTAN CBD</t>
  </si>
  <si>
    <t>A. Cost Basis from 2007-08 NYC Congestion Pricing Plans</t>
  </si>
  <si>
    <t>Estimated cost to design and install original Bloomberg plan (w/ intra-cordon tolling)</t>
  </si>
  <si>
    <t>Interim Report to the Traffic Congestion Mitigation Commission, at Table 13, reports capital costs of $224 million for the "Mayor's Plan," which required 340 charging stations across the Manhattan CBD, each with E-ZPass readers and LPR (License Plate Recognition) cameras; and $73 million for an "Alt. Pricing Plan" based on the 60th Street cordon and with no intra-cordon tolling. Page 35 (56/94 of the pdf, which is available at: &lt;https://www.dot.ny.gov/programs/repository/TCMC-Final-Report.pdf&gt;).</t>
  </si>
  <si>
    <t>Share of above cost allocable to administration (legal, system engineering, etc.)</t>
  </si>
  <si>
    <t>Share of above cost allocable to procuring and installing system hardware</t>
  </si>
  <si>
    <t>Cost allocable to procuring and installing system hardware</t>
  </si>
  <si>
    <t xml:space="preserve"> Number of locations on which hardware cost was predicated</t>
  </si>
  <si>
    <t>Calculated Cost per Location (rounded)</t>
  </si>
  <si>
    <t>B. Apply Cost Basis Above to Future Cordon Pricing</t>
  </si>
  <si>
    <t>C. Cost for administration (legal, system engineering, etc.)</t>
  </si>
  <si>
    <t>D. Total Capital Cost for Tolling System (admin, engineering, equipment, installation)</t>
  </si>
  <si>
    <t>C. Annual Administrative Costs</t>
  </si>
  <si>
    <t>Translation of Average Taxicab Speed into Trip %'s Above and Below Critical Thresholds in Fare Structure</t>
  </si>
  <si>
    <t>Park-n-Ride Off-street is based on Josef Szende observations, TK. Park-n-Ride On-street assumes no charge for curbside space in gateway districts. LIRR figure amortizes Babylon residents' annual station parking fee ($25, per Village Clerk, 631-669-1500, 6-April-2011) over wkdays in yr.</t>
  </si>
  <si>
    <r>
      <t xml:space="preserve">Sources: (1), (2) &amp; (3) are taken directly from </t>
    </r>
    <r>
      <rPr>
        <b/>
        <sz val="8"/>
        <rFont val="Arial"/>
        <family val="2"/>
      </rPr>
      <t>Incidence</t>
    </r>
    <r>
      <rPr>
        <sz val="8"/>
        <rFont val="Arial"/>
        <family val="2"/>
      </rPr>
      <t xml:space="preserve"> tab, except that 3 percentage points have been added to PANYNJ and MTA toll percents for NYC to allow for possible undercounts there due to convention of rounding percent values to nearest 5%. PA and MTA toll rates in (4) &amp; (5) are from this sheet and are weighted by estimated shares of trips paid with E-ZPass. (6) is sum of cross-products of (2) &amp; (4), and (3) and (5). (7) is cross-product of county/state shares in (1) and averaged tolls in (6).</t>
    </r>
  </si>
  <si>
    <r>
      <t xml:space="preserve">Passenger numbers per vehicle are from </t>
    </r>
    <r>
      <rPr>
        <b/>
        <sz val="8"/>
        <rFont val="Arial"/>
        <family val="2"/>
      </rPr>
      <t>H.I.S.</t>
    </r>
    <r>
      <rPr>
        <sz val="8"/>
        <rFont val="Arial"/>
        <family val="2"/>
      </rPr>
      <t xml:space="preserve"> worksheet (for auto work and non-work trips) and </t>
    </r>
    <r>
      <rPr>
        <b/>
        <sz val="8"/>
        <rFont val="Arial"/>
        <family val="2"/>
      </rPr>
      <t>Taxis</t>
    </r>
    <r>
      <rPr>
        <sz val="8"/>
        <rFont val="Arial"/>
        <family val="2"/>
      </rPr>
      <t xml:space="preserve"> worksheet (for medallion taxis). Auto thru-trip is mean of auto work and auto non-work. Bus is Komanoff assumption.</t>
    </r>
  </si>
  <si>
    <r>
      <t xml:space="preserve">Important technical note 1 for BTA 1.0: </t>
    </r>
    <r>
      <rPr>
        <sz val="9"/>
        <rFont val="Arial"/>
        <family val="2"/>
      </rPr>
      <t xml:space="preserve">As "Balancing Congestion Pricing and Free Transit in New York City," the report based on the prior spreadsheet, went to press in Jan. 2008, we noticed several anomalies in the </t>
    </r>
    <r>
      <rPr>
        <b/>
        <sz val="9"/>
        <rFont val="Arial"/>
        <family val="2"/>
      </rPr>
      <t xml:space="preserve">Summary </t>
    </r>
    <r>
      <rPr>
        <sz val="9"/>
        <rFont val="Arial"/>
        <family val="2"/>
      </rPr>
      <t xml:space="preserve">results (and in the </t>
    </r>
    <r>
      <rPr>
        <b/>
        <sz val="9"/>
        <rFont val="Arial"/>
        <family val="2"/>
      </rPr>
      <t>Cost-Benefit</t>
    </r>
    <r>
      <rPr>
        <sz val="9"/>
        <rFont val="Arial"/>
        <family val="2"/>
      </rPr>
      <t xml:space="preserve"> figures on which the </t>
    </r>
    <r>
      <rPr>
        <b/>
        <sz val="9"/>
        <rFont val="Arial"/>
        <family val="2"/>
      </rPr>
      <t xml:space="preserve">Summary </t>
    </r>
    <r>
      <rPr>
        <sz val="9"/>
        <rFont val="Arial"/>
        <family val="2"/>
      </rPr>
      <t xml:space="preserve">results are based): When the 10 "policy choices" are set to 2007 conditions, some results don't match current conditions; most notably, "Increase in Funds Available to Agencies," which should be zero, is $180 million. </t>
    </r>
  </si>
  <si>
    <t>Portion Reserved for Cab Drivers' Health Fund</t>
  </si>
  <si>
    <t>If small non-zero value, is probably artifact of Metrocard fare structure.</t>
  </si>
  <si>
    <t>A. Cordon Administration</t>
  </si>
  <si>
    <t>B. Operational savings if eliminate subway and/or bus farebox</t>
  </si>
  <si>
    <t xml:space="preserve"> 2. Trips that make no use of the CBD</t>
  </si>
  <si>
    <t>Toll &amp; Fare Administration</t>
  </si>
  <si>
    <t>S U B T O T A L, Toll &amp; Fare Administration</t>
  </si>
  <si>
    <t>Toll &amp; Fare Admin.</t>
  </si>
  <si>
    <t>Wellness ▪ More Biking</t>
  </si>
  <si>
    <t>Wellness ▪ More Walking</t>
  </si>
  <si>
    <t>Wellness ▪ Cabbies' Health Plan</t>
  </si>
  <si>
    <t>Wellness</t>
  </si>
  <si>
    <t>J. Longevity benefits of increased cycling</t>
  </si>
  <si>
    <t>K. Longevity benefits of increased walking</t>
  </si>
  <si>
    <t>User Fees (Tolls and Fares)</t>
  </si>
  <si>
    <t>A. Driver Tolls</t>
  </si>
  <si>
    <t>B. Taxi Fares</t>
  </si>
  <si>
    <t>C. Transit Fares</t>
  </si>
  <si>
    <t>S U B T O T A L, User Fees</t>
  </si>
  <si>
    <t>User Fees ▪ Driver Tolls</t>
  </si>
  <si>
    <t>User Fees ▪ Taxi Fares</t>
  </si>
  <si>
    <t>User Fees ▪ Transit Fares</t>
  </si>
  <si>
    <t>User Fees</t>
  </si>
  <si>
    <t>Time ▪ Non-CBD Trips</t>
  </si>
  <si>
    <t>Net Benefit of Selected Plan:</t>
  </si>
  <si>
    <t>Million per year</t>
  </si>
  <si>
    <t>L. Taxi surcharge revenues applied to drivers' health plan</t>
  </si>
  <si>
    <t>passngr's are encompassed in figures to left</t>
  </si>
  <si>
    <r>
      <t xml:space="preserve">A preliminary version of the study, published in Aug. 2006 as "Another Look at Airport Congestion Pricing," by Steven A. Morrison, Northeastern Univ., &amp; Clifford Winston, Brookings Institution, is avail. at </t>
    </r>
    <r>
      <rPr>
        <sz val="8"/>
        <rFont val="Arial"/>
        <family val="2"/>
      </rPr>
      <t xml:space="preserve">&lt;http://www.economics.neu.edu/activities/seminars/documents/Another_Look_at_Airport_Congestion_Pricing.pdf&gt;. </t>
    </r>
    <r>
      <rPr>
        <sz val="9"/>
        <rFont val="Arial"/>
        <family val="2"/>
      </rPr>
      <t>They wrote, at p. 9:</t>
    </r>
  </si>
  <si>
    <r>
      <t>This worksheet estimates the values that vehicle users and transit users place on an hour of time spent traveling. (For vehicles, it estimates the values of "</t>
    </r>
    <r>
      <rPr>
        <u/>
        <sz val="9"/>
        <rFont val="Arial"/>
        <family val="2"/>
      </rPr>
      <t>vehicle</t>
    </r>
    <r>
      <rPr>
        <sz val="9"/>
        <rFont val="Arial"/>
        <family val="2"/>
      </rPr>
      <t xml:space="preserve">-hours" and thus encompasses passengers in addition to drivers, as well as the implied value of cargo in the case of trucks.) </t>
    </r>
  </si>
  <si>
    <r>
      <t xml:space="preserve">The resuting figures will have four uses: (i) placing a monetary value on increases in travel speeds for vehicle users attributable to traffic-pricing (see </t>
    </r>
    <r>
      <rPr>
        <b/>
        <sz val="9"/>
        <rFont val="Arial"/>
        <family val="2"/>
      </rPr>
      <t>Results</t>
    </r>
    <r>
      <rPr>
        <sz val="9"/>
        <rFont val="Arial"/>
        <family val="2"/>
      </rPr>
      <t xml:space="preserve"> and </t>
    </r>
    <r>
      <rPr>
        <b/>
        <sz val="9"/>
        <rFont val="Arial"/>
        <family val="2"/>
      </rPr>
      <t>Cost-Benefit</t>
    </r>
    <r>
      <rPr>
        <sz val="9"/>
        <rFont val="Arial"/>
        <family val="2"/>
      </rPr>
      <t xml:space="preserve"> worksheets); (ii) placing a value on expenditures and investments that improve travel times for transit users (also see </t>
    </r>
    <r>
      <rPr>
        <b/>
        <sz val="9"/>
        <rFont val="Arial"/>
        <family val="2"/>
      </rPr>
      <t>Results</t>
    </r>
    <r>
      <rPr>
        <sz val="9"/>
        <rFont val="Arial"/>
        <family val="2"/>
      </rPr>
      <t xml:space="preserve"> and </t>
    </r>
    <r>
      <rPr>
        <b/>
        <sz val="9"/>
        <rFont val="Arial"/>
        <family val="2"/>
      </rPr>
      <t>Cost-Benefit</t>
    </r>
    <r>
      <rPr>
        <sz val="9"/>
        <rFont val="Arial"/>
        <family val="2"/>
      </rPr>
      <t xml:space="preserve"> sheets); ; (iii) calculating current costs of delays due to adding an incremental or "marginal" vehicle to the traffic mix (see various </t>
    </r>
    <r>
      <rPr>
        <b/>
        <sz val="9"/>
        <rFont val="Arial"/>
        <family val="2"/>
      </rPr>
      <t>Delays</t>
    </r>
    <r>
      <rPr>
        <sz val="9"/>
        <rFont val="Arial"/>
        <family val="2"/>
      </rPr>
      <t xml:space="preserve"> worksheets; and (iv) estimating the extent to which drivers' travel-time savings will offset their toll costs (see </t>
    </r>
    <r>
      <rPr>
        <b/>
        <sz val="9"/>
        <rFont val="Arial"/>
        <family val="2"/>
      </rPr>
      <t>Breakeven</t>
    </r>
    <r>
      <rPr>
        <sz val="9"/>
        <rFont val="Arial"/>
        <family val="2"/>
      </rPr>
      <t xml:space="preserve"> worksheet).</t>
    </r>
  </si>
  <si>
    <r>
      <t xml:space="preserve">To estimate the value of time savings for vehicle users, we weight each vehicle type's value of time by its share of the mix of traffic, with one set of calculations for CBD travel, and another for non-CBD travel. The resulting weighted averages are then applied elsewhere in the BTA, especially in the </t>
    </r>
    <r>
      <rPr>
        <b/>
        <sz val="9"/>
        <rFont val="Arial"/>
        <family val="2"/>
      </rPr>
      <t>Cost-Benefit</t>
    </r>
    <r>
      <rPr>
        <sz val="9"/>
        <rFont val="Arial"/>
        <family val="2"/>
      </rPr>
      <t xml:space="preserve"> worksheet where the savings from re-optimizing traffic are calculated, and in the various </t>
    </r>
    <r>
      <rPr>
        <b/>
        <sz val="9"/>
        <rFont val="Arial"/>
        <family val="2"/>
      </rPr>
      <t>Delay</t>
    </r>
    <r>
      <rPr>
        <sz val="9"/>
        <rFont val="Arial"/>
        <family val="2"/>
      </rPr>
      <t xml:space="preserve"> worksheets where the delay costs from incremental vehicles are calculated.</t>
    </r>
  </si>
  <si>
    <t>See Part 8 of this worksheet for details on the USDOT guidelines.</t>
  </si>
  <si>
    <t>Part 7: Derivation of value of an hour of saved time for transit users</t>
  </si>
  <si>
    <t>Part 8: Further documentation for deriving value of an hour of saved time for airline passengers</t>
  </si>
  <si>
    <t>NYC Travelers Median HH Income, by Mode</t>
  </si>
  <si>
    <t>Auto (Driver or Passng'r)</t>
  </si>
  <si>
    <t>Taxi or Car Service User</t>
  </si>
  <si>
    <t>Subway &amp; Bus User</t>
  </si>
  <si>
    <t>Subway User (only)</t>
  </si>
  <si>
    <t>Bus User (only)</t>
  </si>
  <si>
    <t>Other Transit (PATH, Paratransit, Private Bus, Suburban bus lines)</t>
  </si>
  <si>
    <t>Source: MTA Travel Survey 2008. Results published: June 17, 2009. Available at: &lt;http://bit.ly/vfU9jt&gt;.</t>
  </si>
  <si>
    <t>Work Trip</t>
  </si>
  <si>
    <t>Non-wk Trip</t>
  </si>
  <si>
    <t>Thru Trip</t>
  </si>
  <si>
    <t>Hourly value of in-CBD time for auto user, weekday</t>
  </si>
  <si>
    <t>Hourly value of in-CBD time for transit user, weekday</t>
  </si>
  <si>
    <t>Subway/Bus</t>
  </si>
  <si>
    <t>Hourly value of out-CBD time for transit user, weekday</t>
  </si>
  <si>
    <t>Annual value of bus riders' saved time, inside CBD, millions</t>
  </si>
  <si>
    <t>Annual value of bus riders' saved time, outside CBD, millions</t>
  </si>
  <si>
    <t>Spending</t>
  </si>
  <si>
    <t>Time $</t>
  </si>
  <si>
    <r>
      <t>Hours/10</t>
    </r>
    <r>
      <rPr>
        <b/>
        <vertAlign val="superscript"/>
        <sz val="8"/>
        <rFont val="Arial"/>
        <family val="2"/>
      </rPr>
      <t>6</t>
    </r>
  </si>
  <si>
    <r>
      <t xml:space="preserve">Driver + Passenger time savings include buses, but counted only at avg </t>
    </r>
    <r>
      <rPr>
        <u/>
        <sz val="8"/>
        <rFont val="Arial"/>
        <family val="2"/>
      </rPr>
      <t>auto</t>
    </r>
    <r>
      <rPr>
        <sz val="8"/>
        <rFont val="Arial"/>
        <family val="2"/>
      </rPr>
      <t xml:space="preserve"> occupancies from Travel worksheet (betw 1-1.5) rather than actual ~20. Thus, bus inclusion causes only a minor overestimate of total hour saved.</t>
    </r>
  </si>
  <si>
    <t>Effective 18-Sept-2011</t>
  </si>
  <si>
    <t>E-ZPs Trucks Overnight</t>
  </si>
  <si>
    <t>Effective 02-Mar-2008</t>
  </si>
  <si>
    <t>Source: PANYNJ Press Release Number: 3-2008, dated Jan 04, 2008 &lt;http://www.panynj.gov/press-room/press-item.cfm?headLine_id=946&gt;</t>
  </si>
  <si>
    <t>The foregoing suggest that the elasticity values used in the BTA are reasonable. The user is invited to test the robustness of the key results (revenue generation, mode switching, travel speeds) by substituting his or her own elasticity estimates. We believe this will show the basic results holding up across a fairly broad range of elasticities. One reason for this stability is the "rebound effect" already noted, whereby faster road travel invites more trips that then use up some of the increased speed.</t>
  </si>
  <si>
    <t>For more discussion of elasticities in the BTA, see our Jan. 2008 report, "Balancing Congestion Pricing and Free Transit in New York City" &lt;http://bit.ly/ud4zux&gt;, particularly the Traffic Analysis section beginning at p. 17.</t>
  </si>
  <si>
    <t>H. Sifting the 2011 Port Authority Toll Hike for Elasticity "Clues"</t>
  </si>
  <si>
    <t>Peak Hours</t>
  </si>
  <si>
    <t># Peak Hours per day</t>
  </si>
  <si>
    <t>Peak Hours, % of weekday</t>
  </si>
  <si>
    <t>Peak Hours, % of weekday crossings</t>
  </si>
  <si>
    <t>6-9am, 4-7pm</t>
  </si>
  <si>
    <t>6-10am, 4-8pm</t>
  </si>
  <si>
    <t>Other Hours, % of weekday crossings</t>
  </si>
  <si>
    <t>Peak Toll w/ E-ZPass</t>
  </si>
  <si>
    <t>Off-Peak Toll w/ E-ZPass</t>
  </si>
  <si>
    <t>E-ZPass Penetration, peak crossings</t>
  </si>
  <si>
    <t>E-ZPass Penetration, off-peak crossings</t>
  </si>
  <si>
    <t>% Wkday crossings off-peak + E-ZPass</t>
  </si>
  <si>
    <t>% Wkday crossings off-peak w/o E-ZPass</t>
  </si>
  <si>
    <t>% Wkday crossings peak w/o E-ZPass</t>
  </si>
  <si>
    <t>Weighted average toll</t>
  </si>
  <si>
    <t>Off-Peak Toll w/o E-ZPass</t>
  </si>
  <si>
    <t>Peak Toll w/o E-ZPass</t>
  </si>
  <si>
    <t>% Wkday crossings peak w E-ZPass</t>
  </si>
  <si>
    <t>Increase, $</t>
  </si>
  <si>
    <t>Increase, %</t>
  </si>
  <si>
    <t>Increase, factor</t>
  </si>
  <si>
    <t>Other costs (than gasoline + tolls) for round-trip on these facilities</t>
  </si>
  <si>
    <r>
      <t xml:space="preserve">From applicable cells in </t>
    </r>
    <r>
      <rPr>
        <b/>
        <sz val="8"/>
        <rFont val="Arial"/>
        <family val="2"/>
      </rPr>
      <t>Weekday Hours</t>
    </r>
    <r>
      <rPr>
        <sz val="8"/>
        <rFont val="Arial"/>
        <family val="2"/>
      </rPr>
      <t xml:space="preserve"> worksheet tab.</t>
    </r>
  </si>
  <si>
    <r>
      <t xml:space="preserve">Miles, typical round-trip </t>
    </r>
    <r>
      <rPr>
        <sz val="8"/>
        <rFont val="Arial"/>
        <family val="2"/>
      </rPr>
      <t>(Komanoff est.)</t>
    </r>
  </si>
  <si>
    <t>Assumes 18 mpg.</t>
  </si>
  <si>
    <t>Total trip cost</t>
  </si>
  <si>
    <t>Total Trip Costs</t>
  </si>
  <si>
    <t>Based in part on Chrstine Haughney's Dec. 3, 2011 NYT article, "After Tolls Rise, Less Traffic and More Train Riders into Manhattan," &lt;http://nyti.ms/sZ7J1N&gt;.</t>
  </si>
  <si>
    <t>Implied Elasticity (based on entire trip cost)</t>
  </si>
  <si>
    <t>Number of motor vehicle trips (normalized)</t>
  </si>
  <si>
    <t>Effecctive Date</t>
  </si>
  <si>
    <r>
      <t xml:space="preserve">Per-gallon gasoline cost </t>
    </r>
    <r>
      <rPr>
        <sz val="8"/>
        <rFont val="Arial"/>
        <family val="2"/>
      </rPr>
      <t>(Komanoff est.)</t>
    </r>
  </si>
  <si>
    <t>In September 2011, the Port Authority implemented a steep toll hike on its Hudson River crossings. On Dec. 3, 2011, the Times ran a story indicating that in the two months following the hike, the number of crossings had fallen by 4% compared to a year earlier. In addition, "about 3.5 percent more riders" [we take that to mean a 3.5 percentage point increase, among drivers] switched to E-ZPass, while the Port Authority received 20 percent more in toll revenue than it did the year before.</t>
  </si>
  <si>
    <t>Complement of percentage in prior row.</t>
  </si>
  <si>
    <t>Komanoff guesstimates, with 2008/2011 delta from NYT 3-Dec-2011 story saying "about 3.5 percent more riders [sic] started using E-Zpass")</t>
  </si>
  <si>
    <t>Though the Times story didn't mention it, the Port Authority also broadened the periods in which it charges peak rates for tolls and shrank the off-peak periods.</t>
  </si>
  <si>
    <t>One lane-mile's acreage as % of CBD's street space</t>
  </si>
  <si>
    <t>(lane-miles)</t>
  </si>
  <si>
    <r>
      <t xml:space="preserve">By reducing motor traffic within CBD, a cordon fee creates opp'ty to repurpose street space. User selects quantity of such space as # of lane-miles -- literally, the space covered by one travel or parking lane extending for one mile. Note that CBD street space comprises 907 lane-miles covering 1,270 acres, and that 1 lane-mile = 1.4 acres. See </t>
    </r>
    <r>
      <rPr>
        <b/>
        <sz val="9"/>
        <rFont val="Arial"/>
        <family val="2"/>
      </rPr>
      <t>Cordon</t>
    </r>
    <r>
      <rPr>
        <sz val="9"/>
        <rFont val="Arial"/>
        <family val="2"/>
      </rPr>
      <t xml:space="preserve"> worksheet.</t>
    </r>
  </si>
  <si>
    <t>Toll revenues spent on transit operating improvements under our road pricing plan</t>
  </si>
  <si>
    <r>
      <t xml:space="preserve">Allocation of toll revenues betw bus and subway operations </t>
    </r>
    <r>
      <rPr>
        <sz val="9"/>
        <rFont val="Arial"/>
        <family val="2"/>
      </rPr>
      <t>(absolute value)</t>
    </r>
  </si>
  <si>
    <r>
      <t xml:space="preserve">Change in avg bus/subway trip times due to change in operational expends. </t>
    </r>
    <r>
      <rPr>
        <sz val="9"/>
        <rFont val="Arial"/>
        <family val="2"/>
      </rPr>
      <t>(abs value)</t>
    </r>
  </si>
  <si>
    <t>Change in avg bus trip times due to incrs'd operational expenditures, corrected:</t>
  </si>
  <si>
    <r>
      <t xml:space="preserve">Est'd % change in subway trip durations per first $100 million/yr in investment </t>
    </r>
    <r>
      <rPr>
        <sz val="9"/>
        <rFont val="Arial"/>
        <family val="2"/>
      </rPr>
      <t>(abs value):</t>
    </r>
  </si>
  <si>
    <r>
      <t xml:space="preserve">Revenues invested in subways under our road pricing scenario </t>
    </r>
    <r>
      <rPr>
        <sz val="9"/>
        <rFont val="Arial"/>
        <family val="2"/>
      </rPr>
      <t>(absolute value):</t>
    </r>
  </si>
  <si>
    <r>
      <t xml:space="preserve">Estimated eventual change in avg subway trip times due to transit investment </t>
    </r>
    <r>
      <rPr>
        <sz val="9"/>
        <rFont val="Arial"/>
        <family val="2"/>
      </rPr>
      <t>(abs value):</t>
    </r>
  </si>
  <si>
    <r>
      <t xml:space="preserve">Est'd eventual change in avg subway trip times due to transit invstmnt </t>
    </r>
    <r>
      <rPr>
        <sz val="9"/>
        <rFont val="Arial"/>
        <family val="2"/>
      </rPr>
      <t>(adj for sign)</t>
    </r>
  </si>
  <si>
    <t>Average Change in Subway Trip Duration due to Subway Investments, expressed as a multiple</t>
  </si>
  <si>
    <t>Baseline with $320M/yr cut in subway spending</t>
  </si>
  <si>
    <t>2. Baseline w/ $320M/yr cut in subway spending</t>
  </si>
  <si>
    <r>
      <t xml:space="preserve">Baseline with $320M/yr cut in subway spending </t>
    </r>
    <r>
      <rPr>
        <sz val="10"/>
        <rFont val="Arial"/>
        <family val="2"/>
      </rPr>
      <t>— quantifies impacts from Albany funding raids</t>
    </r>
  </si>
  <si>
    <r>
      <t xml:space="preserve">E. Reduction in driver insurance costs </t>
    </r>
    <r>
      <rPr>
        <sz val="8"/>
        <rFont val="Arial"/>
        <family val="2"/>
      </rPr>
      <t>(not included in any summary figures)</t>
    </r>
  </si>
  <si>
    <r>
      <t xml:space="preserve">Column Sums </t>
    </r>
    <r>
      <rPr>
        <sz val="9"/>
        <rFont val="Arial"/>
        <family val="2"/>
      </rPr>
      <t>(check):</t>
    </r>
  </si>
  <si>
    <t>Street Space Repurposed from autos</t>
  </si>
  <si>
    <r>
      <t>Acknowledgments</t>
    </r>
    <r>
      <rPr>
        <sz val="9"/>
        <rFont val="Arial"/>
        <family val="2"/>
      </rPr>
      <t>: Much of the mathematics, programming, trouble-shooting and debugging of the BTA has been handled by physicist Deena M. Patel, PhD, and Princeton computer sciences grad Will Fisher. Many key elements, including emissions calculations, delay estimation, and speed-volume relationships, are their handiwork. Urban planner Josef Szende (MA, Columbia Univ.) contributed significantly to quantifying means-tested tolling impacts and costs in 2010 and played a big part in analyzing transit upgrades and other issues in 2011. Major contributions have also been made by transportation planner Ed Pike, mathematician Howard Shaw, PhD and programmer Michael J. Smith. Spreadsheet architect Charles Komanoff also gratefully acknowledges the intellectual contributions of Michael Brown, George Haikalis, Brodie Hefner, David Jordan, Brian Ketcham, Carolyn Konheim, Gary Roth, Sam Schwartz, Prof. Ken Small, Jane Kheel Stanley, Vince Taylor, PhD, and Jeff Zupan.</t>
    </r>
  </si>
  <si>
    <t>The BTA is well-suited to handle the multiple interactive effects of adding such a large traffic volume to the City's traffic mix. These effects include possible abandonment of car commuting by some travelers, due to slower driving speeds, and possible increases in use of subways as a result. Indeed, it is conceivable that demand for (usage of) medallion taxi service could actually decline, if the general slowing of CBD travel more than offsets the increased ease of hailing (finding) taxis that the increase in the number of medallions is expected to provide.</t>
  </si>
  <si>
    <t>% change from baseline</t>
  </si>
  <si>
    <t>First: Input the number of additional medallions (2,000, presumably) in the cell at right that currently reads zero</t>
  </si>
  <si>
    <t>Change in # medallion cabs</t>
  </si>
  <si>
    <t>Change in weekday taxi trips that cross into CBD</t>
  </si>
  <si>
    <t>Decided through an exogenous process, and inputted from parallel cell in Motor V's worksheet.</t>
  </si>
  <si>
    <r>
      <t xml:space="preserve">Instead, we need to alter several cells within the 'Taxicabs' column blocks of the </t>
    </r>
    <r>
      <rPr>
        <b/>
        <sz val="9"/>
        <rFont val="Arial"/>
        <family val="2"/>
      </rPr>
      <t>Motor Vs</t>
    </r>
    <r>
      <rPr>
        <sz val="9"/>
        <rFont val="Arial"/>
        <family val="2"/>
      </rPr>
      <t xml:space="preserve"> (and </t>
    </r>
    <r>
      <rPr>
        <b/>
        <sz val="9"/>
        <rFont val="Arial"/>
        <family val="2"/>
      </rPr>
      <t>Motor Vs Weekends</t>
    </r>
    <r>
      <rPr>
        <sz val="9"/>
        <rFont val="Arial"/>
        <family val="2"/>
      </rPr>
      <t>) worksheet tabs, to reflect the increased vehicle miles traveled associated with the additional medallion taxis. The procedure for doing so involves just two steps:</t>
    </r>
  </si>
  <si>
    <r>
      <t xml:space="preserve">That's it. Traffic and other impacts will appear in the </t>
    </r>
    <r>
      <rPr>
        <b/>
        <sz val="9"/>
        <rFont val="Arial"/>
        <family val="2"/>
      </rPr>
      <t>Results</t>
    </r>
    <r>
      <rPr>
        <sz val="9"/>
        <rFont val="Arial"/>
        <family val="2"/>
      </rPr>
      <t xml:space="preserve"> tab.</t>
    </r>
  </si>
  <si>
    <t xml:space="preserve">Ratio, avg miles for non-CBD trips to avg miles for CBD trips: </t>
  </si>
  <si>
    <t>Total change in Daily Taxi Rides due to "own" fare &amp; service chngs + chngs from competing modes</t>
  </si>
  <si>
    <r>
      <t xml:space="preserve">Part O. Potential gasoline savings foregone due to 27-July-2010 Appeals Court ruling staying NYC reg mandating hybrid taxicabs </t>
    </r>
    <r>
      <rPr>
        <sz val="10"/>
        <rFont val="Arial"/>
        <family val="2"/>
      </rPr>
      <t>(rough estimate)</t>
    </r>
  </si>
  <si>
    <t>Part P. Revenue Impacts of Prospective "Traditional" Taxi Fare Hikes</t>
  </si>
  <si>
    <t>Part F examines the impact of taxi pricing proposals on the number of medallion taxi rides.</t>
  </si>
  <si>
    <t>Part G estimates the impact of changes in prices/fares/service for other modes on number of taxi rides.</t>
  </si>
  <si>
    <t>Part H calculates the impact of changes in the number of taxi rides on taxi VMT.</t>
  </si>
  <si>
    <t>Part I converts the changes in taxi miles to changes in taxi entries to the CBD.</t>
  </si>
  <si>
    <t>Part J estimates the change in the number of fares per hour enabled by the higher travel speeds.</t>
  </si>
  <si>
    <t>Part K estimates the extent to which reduced wait time will offset the fare surcharge.</t>
  </si>
  <si>
    <r>
      <t xml:space="preserve">Part L specifies parameters we use to calculate changes in </t>
    </r>
    <r>
      <rPr>
        <u/>
        <sz val="9"/>
        <rFont val="Arial"/>
        <family val="2"/>
      </rPr>
      <t>transit</t>
    </r>
    <r>
      <rPr>
        <sz val="9"/>
        <rFont val="Arial"/>
        <family val="2"/>
      </rPr>
      <t xml:space="preserve"> usage and other modes as a result of changes in the terms of </t>
    </r>
    <r>
      <rPr>
        <u/>
        <sz val="9"/>
        <rFont val="Arial"/>
        <family val="2"/>
      </rPr>
      <t>taxi</t>
    </r>
    <r>
      <rPr>
        <sz val="9"/>
        <rFont val="Arial"/>
        <family val="2"/>
      </rPr>
      <t xml:space="preserve"> service.</t>
    </r>
  </si>
  <si>
    <t>Part M presents a procedure for estimating traffic impacts from adding more medallion cabs to the City's taxi fleet.</t>
  </si>
  <si>
    <t>Part N estimates the social delays caused by a single taxi trip within the Manhattan CBD</t>
  </si>
  <si>
    <t>Part O presents material on demographic characteristicsd of medallion taxi users.</t>
  </si>
  <si>
    <t>Part P estimates gasoline savings blocked by Appeals Court ruling staying NYC reg mandating hybid cabs.</t>
  </si>
  <si>
    <r>
      <t xml:space="preserve">Part F. Impact of Taxi Pricing on Number of Taxi Rides </t>
    </r>
    <r>
      <rPr>
        <sz val="10"/>
        <rFont val="Arial"/>
        <family val="2"/>
      </rPr>
      <t>(for typical weekday or weekend day)</t>
    </r>
  </si>
  <si>
    <r>
      <t xml:space="preserve">Part G. Impact of Changes in Prices/Fares/Service for Other Modes on Number of Taxi Rides </t>
    </r>
    <r>
      <rPr>
        <sz val="10"/>
        <rFont val="Arial"/>
        <family val="2"/>
      </rPr>
      <t>(for typical weekday or weekend day)</t>
    </r>
  </si>
  <si>
    <r>
      <t xml:space="preserve">Part H. Impact of Change in Number of Taxi Rides on Taxi Miles Traveled </t>
    </r>
    <r>
      <rPr>
        <sz val="10"/>
        <rFont val="Arial"/>
        <family val="2"/>
      </rPr>
      <t>(for typical weekday or weekend day)</t>
    </r>
  </si>
  <si>
    <r>
      <t xml:space="preserve">Part I. Conversion of Changes in Taxi Miles to Change in Taxi Entries to CBD </t>
    </r>
    <r>
      <rPr>
        <sz val="10"/>
        <rFont val="Arial"/>
        <family val="2"/>
      </rPr>
      <t>(for typical weekday or weekend day)</t>
    </r>
  </si>
  <si>
    <t>Part J. Change in Number of Fares Per Cab (per hour and per shift)</t>
  </si>
  <si>
    <t>Part K. Estimate of extent to which Fare Surcharge will be (partially) offset by reduced Wait Time</t>
  </si>
  <si>
    <t>Part L. Parameters used to calculate changes in other modes as result of changes in terms of taxi service</t>
  </si>
  <si>
    <t>Part M. Parameters for Assessing Impact of Adding Additional Medallion Cabs to the City's Yellow Taxi Fleet</t>
  </si>
  <si>
    <t>Part N. Delays for Other Road Users Caused by One Taxi Trip Taking Place Entirely Within the Cordon, Weekdays</t>
  </si>
  <si>
    <r>
      <t xml:space="preserve">Part O. Taxi Rider Demographics </t>
    </r>
    <r>
      <rPr>
        <sz val="10"/>
        <rFont val="Arial"/>
        <family val="2"/>
      </rPr>
      <t xml:space="preserve">(material drawn upon in </t>
    </r>
    <r>
      <rPr>
        <b/>
        <sz val="10"/>
        <rFont val="Arial"/>
        <family val="2"/>
      </rPr>
      <t>Value of Time</t>
    </r>
    <r>
      <rPr>
        <sz val="10"/>
        <rFont val="Arial"/>
        <family val="2"/>
      </rPr>
      <t xml:space="preserve"> worksheet)</t>
    </r>
  </si>
  <si>
    <t>Hail time "before" values are based on informal poll of New Yorkers. Constants are chosen to yield "before" values shown. "After" values are calculated by prorating "before" value with factors corresponding to change in (i) shifts per cab (increase reduces hail times), (ii) number of medallions (ditto), (iii) number of fares (opposite effect), and (iv) change in trip time (increase adds to hail time).</t>
  </si>
  <si>
    <t>A.M.
Pre-peak</t>
  </si>
  <si>
    <t>A.M.
Post-peak</t>
  </si>
  <si>
    <t>P.M.
Post-peak</t>
  </si>
  <si>
    <t>6am-9am</t>
  </si>
  <si>
    <t>9am-10am</t>
  </si>
  <si>
    <t xml:space="preserve">2pm-8pm </t>
  </si>
  <si>
    <t>8pm-11pm</t>
  </si>
  <si>
    <t>Hours</t>
  </si>
  <si>
    <t>Per-hour</t>
  </si>
  <si>
    <t>Fare trips, % of total</t>
  </si>
  <si>
    <t>% of time cruising</t>
  </si>
  <si>
    <t>X-product row (temp.)</t>
  </si>
  <si>
    <t>% of 24-h taxi VMT</t>
  </si>
  <si>
    <t>% of 24-h taxi VMT, avg per hr</t>
  </si>
  <si>
    <t>Taxi VMT, vs. total/average</t>
  </si>
  <si>
    <t>6pm-12pm</t>
  </si>
  <si>
    <t>Ratio</t>
  </si>
  <si>
    <t>vs. Average</t>
  </si>
  <si>
    <r>
      <t xml:space="preserve">Medallion taxi trips </t>
    </r>
    <r>
      <rPr>
        <u/>
        <sz val="9"/>
        <rFont val="Arial"/>
        <family val="2"/>
      </rPr>
      <t>within</t>
    </r>
    <r>
      <rPr>
        <sz val="9"/>
        <rFont val="Arial"/>
        <family val="2"/>
      </rPr>
      <t xml:space="preserve"> the CBD do not necessarily follow the 24-hour cycle shown by all motor vehicles (which includes taxis as well as trucks but is mostly private autos). </t>
    </r>
  </si>
  <si>
    <t>To estimate the diurnal distribution of taxi trips, we consulted with Fair/Share, a recent (2010) startup organized at &lt;http://faresharenyc.com/&gt;, to promote more affordable and sustainable use of taxi service by facilitating cab-sharing.</t>
  </si>
  <si>
    <t>Figures are 5-day averages</t>
  </si>
  <si>
    <r>
      <t xml:space="preserve">Directly below, the boarding data are collated into the seven weekday periods used in the </t>
    </r>
    <r>
      <rPr>
        <b/>
        <sz val="9"/>
        <rFont val="Arial"/>
        <family val="2"/>
      </rPr>
      <t>Motor Vs</t>
    </r>
    <r>
      <rPr>
        <sz val="9"/>
        <rFont val="Arial"/>
        <family val="2"/>
      </rPr>
      <t xml:space="preserve"> worksheet tab. (Further below, an analogous table displays taxi boardings for the six weekend periods used in </t>
    </r>
    <r>
      <rPr>
        <b/>
        <sz val="9"/>
        <rFont val="Arial"/>
        <family val="2"/>
      </rPr>
      <t>Motor Vs Weekends</t>
    </r>
    <r>
      <rPr>
        <sz val="9"/>
        <rFont val="Arial"/>
        <family val="2"/>
      </rPr>
      <t>.)</t>
    </r>
  </si>
  <si>
    <t>Temporal distribution of medallion taxi "boardings" for a representative 5-day period (M-F) in March, 2009</t>
  </si>
  <si>
    <t>Temporal distribution of medallion taxi "boardings" for a representative 2-day period (S-S) in March, 2009</t>
  </si>
  <si>
    <t>Figures are 2-day averages</t>
  </si>
  <si>
    <t>Midnight-10am</t>
  </si>
  <si>
    <t>10am-Noon</t>
  </si>
  <si>
    <t>Noon-5pm</t>
  </si>
  <si>
    <t>5pm-8pm</t>
  </si>
  <si>
    <t>8pm-10pm</t>
  </si>
  <si>
    <t>10pm-Midnight</t>
  </si>
  <si>
    <t>Fare trips (boardings) in period</t>
  </si>
  <si>
    <t>Fare trips (boardings) per hour</t>
  </si>
  <si>
    <t>Fare trips per hr, vs. 24-h average</t>
  </si>
  <si>
    <t>Daily Revenue, 2005, millions</t>
  </si>
  <si>
    <t>NYS Surcharge per ride (enacted in 2009 as part of Ravitch Plan)</t>
  </si>
  <si>
    <t>Change in weekend taxi trips that cross into CBD</t>
  </si>
  <si>
    <r>
      <t xml:space="preserve">Fair/Share personnel obtained, from the Taxi &amp; Limousine Commission, a week's worth of (medallion) taxi usage data, drawn digitally from GPS data collected by all yellow cabs as of 2009. The data show taxicab "boarding" on a 5-minute basis, for an entire consecutive week </t>
    </r>
    <r>
      <rPr>
        <sz val="9"/>
        <rFont val="Calibri"/>
        <family val="2"/>
      </rPr>
      <t>—</t>
    </r>
    <r>
      <rPr>
        <sz val="9"/>
        <rFont val="Arial"/>
        <family val="2"/>
      </rPr>
      <t xml:space="preserve"> 2,016 data points (7 days, times 24 hours per day, times 60 minutes per hour, divided by 5 minutes per record).</t>
    </r>
  </si>
  <si>
    <r>
      <t xml:space="preserve">Data in this section are used solely to distribute taxi VMT on a 24-hour basis. Data on the </t>
    </r>
    <r>
      <rPr>
        <u/>
        <sz val="9"/>
        <rFont val="Arial"/>
        <family val="2"/>
      </rPr>
      <t>absolute</t>
    </r>
    <r>
      <rPr>
        <sz val="9"/>
        <rFont val="Arial"/>
        <family val="2"/>
      </rPr>
      <t xml:space="preserve"> level of taxi usage is drawn from other parts of this worksheet tab.</t>
    </r>
  </si>
  <si>
    <t>Part E. Estimate 24-h weekday and weekend distribution of medallion taxi fare rides and VMT</t>
  </si>
  <si>
    <t>Part E estimates the 24-h weekday and weekend distribution of medallion taxi fare rides and VMT.</t>
  </si>
  <si>
    <t>% Miles traveled at 6 mph or more</t>
  </si>
  <si>
    <t>% Miles traveled at 12 mph or less</t>
  </si>
  <si>
    <t>% Increase in number of taxi medallions</t>
  </si>
  <si>
    <t>Weekdays:</t>
  </si>
  <si>
    <t>Weekends:</t>
  </si>
  <si>
    <t># Fares/shift, reflecting incrs'd # of medallions</t>
  </si>
  <si>
    <t>Change in # fares/shift, reflecting all factors:</t>
  </si>
  <si>
    <t>Block directly below recalculates fares per shift, reflecting prospective increase in number of taxi medallions treated in Section M, below</t>
  </si>
  <si>
    <t>VMT multiple, w/ cruising</t>
  </si>
  <si>
    <t>A VMT multiple of 1 would indicate zero cruising; a multiple of 1.5 indicates 0.5 cruising miles per 1 fare miles, i.e., a 33% cruising rate.</t>
  </si>
</sst>
</file>

<file path=xl/styles.xml><?xml version="1.0" encoding="utf-8"?>
<styleSheet xmlns="http://schemas.openxmlformats.org/spreadsheetml/2006/main">
  <numFmts count="5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
    <numFmt numFmtId="167" formatCode="&quot;$&quot;#,##0.00"/>
    <numFmt numFmtId="168" formatCode="0.000"/>
    <numFmt numFmtId="169" formatCode="_(* #,##0.0_);_(* \(#,##0.0\);_(* &quot;-&quot;??_);_(@_)"/>
    <numFmt numFmtId="170" formatCode="0.0_);\(0.0\)"/>
    <numFmt numFmtId="171" formatCode="&quot;$&quot;#,##0.0"/>
    <numFmt numFmtId="172" formatCode="_(* #,##0.0_);_(* \(#,##0.0\);_(* &quot;-&quot;?_);_(@_)"/>
    <numFmt numFmtId="173" formatCode="&quot;$&quot;#,##0"/>
    <numFmt numFmtId="174" formatCode="_(&quot;$&quot;* #,##0.0_);_(&quot;$&quot;* \(#,##0.0\);_(&quot;$&quot;* &quot;-&quot;?_);_(@_)"/>
    <numFmt numFmtId="175" formatCode="&quot;$&quot;#,##0.0_);\(&quot;$&quot;#,##0.0\)"/>
    <numFmt numFmtId="176" formatCode="&quot;$&quot;#,##0.000_);\(&quot;$&quot;#,##0.000\)"/>
    <numFmt numFmtId="177" formatCode="_(* #,##0.000_);_(* \(#,##0.000\);_(* &quot;-&quot;??_);_(@_)"/>
    <numFmt numFmtId="178" formatCode="#,##0.0_);\(#,##0.0\)"/>
    <numFmt numFmtId="179" formatCode="0.0.E+00"/>
    <numFmt numFmtId="180" formatCode="0.000E+00"/>
    <numFmt numFmtId="181" formatCode="_(&quot;$&quot;* #,##0.0_);_(&quot;$&quot;* \(#,##0.0\);_(&quot;$&quot;* &quot;-&quot;??_);_(@_)"/>
    <numFmt numFmtId="182" formatCode="0.00000"/>
    <numFmt numFmtId="183" formatCode="0.00000000"/>
    <numFmt numFmtId="184" formatCode="0.0000%"/>
    <numFmt numFmtId="185" formatCode="###,###,##0"/>
    <numFmt numFmtId="186" formatCode="_(* #,##0.00_);_(* \(#,##0.00\);_(* &quot;-&quot;?_);_(@_)"/>
    <numFmt numFmtId="187" formatCode="0.0000"/>
    <numFmt numFmtId="188" formatCode="_(* #,##0.0000_);_(* \(#,##0.0000\);_(* &quot;-&quot;??_);_(@_)"/>
    <numFmt numFmtId="189" formatCode="0.00\ &quot;hours&quot;"/>
    <numFmt numFmtId="190" formatCode="&quot;=&quot;\ 0\ &quot;minutes&quot;"/>
    <numFmt numFmtId="191" formatCode="General\ &quot;hours&quot;"/>
    <numFmt numFmtId="192" formatCode="0.0\ &quot;miles&quot;"/>
    <numFmt numFmtId="193" formatCode="0.0E+00"/>
    <numFmt numFmtId="194" formatCode="_(&quot;$&quot;* #,##0_);_(&quot;$&quot;* \(#,##0\);_(&quot;$&quot;* &quot;-&quot;??_);_(@_)"/>
    <numFmt numFmtId="195" formatCode="_(* #,##0_);_(* \(#,##0\);_(* &quot;-&quot;??_);_(@_)"/>
    <numFmt numFmtId="196" formatCode="General\ &quot;hour(s)&quot;"/>
    <numFmt numFmtId="197" formatCode="&quot;$&quot;#,##0;[Red]&quot;$&quot;#,##0"/>
    <numFmt numFmtId="198" formatCode="&quot;$&quot;#,##0\ &quot;Million&quot;;[Red]&quot;$&quot;#,##0\ &quot;Million&quot;"/>
    <numFmt numFmtId="199" formatCode="0\ &quot;hours&quot;"/>
    <numFmt numFmtId="200" formatCode="mm:ss.0;@"/>
    <numFmt numFmtId="201" formatCode="h:mm:ss;@"/>
    <numFmt numFmtId="202" formatCode="0.000%"/>
    <numFmt numFmtId="203" formatCode="[$$-409]#,##0.00_);\([$$-409]#,##0.00\)"/>
    <numFmt numFmtId="204" formatCode="&quot;$&quot;#,##0.0_);[Red]\(&quot;$&quot;#,##0.0\)"/>
    <numFmt numFmtId="205" formatCode="#,##0.000"/>
    <numFmt numFmtId="206" formatCode="_(&quot;$&quot;* #,##0.000_);_(&quot;$&quot;* \(#,##0.000\);_(&quot;$&quot;* &quot;-&quot;??_);_(@_)"/>
    <numFmt numFmtId="207" formatCode="_(* #,##0_);_(* \(#,##0\);_(* &quot;-&quot;?_);_(@_)"/>
    <numFmt numFmtId="208" formatCode="0.00\ &quot;miles&quot;"/>
    <numFmt numFmtId="209" formatCode="[$-409]d\-mmm\-yy;@"/>
  </numFmts>
  <fonts count="169">
    <font>
      <sz val="9"/>
      <name val="Arial"/>
    </font>
    <font>
      <sz val="9"/>
      <name val="Arial"/>
      <family val="2"/>
    </font>
    <font>
      <b/>
      <sz val="10"/>
      <name val="Arial"/>
      <family val="2"/>
    </font>
    <font>
      <u/>
      <sz val="9"/>
      <name val="Arial"/>
      <family val="2"/>
    </font>
    <font>
      <b/>
      <sz val="9"/>
      <name val="Arial"/>
      <family val="2"/>
    </font>
    <font>
      <sz val="9"/>
      <name val="Arial"/>
      <family val="2"/>
    </font>
    <font>
      <sz val="8"/>
      <name val="Arial"/>
      <family val="2"/>
    </font>
    <font>
      <b/>
      <sz val="8"/>
      <name val="Arial"/>
      <family val="2"/>
    </font>
    <font>
      <b/>
      <sz val="9"/>
      <name val="Arial"/>
      <family val="2"/>
    </font>
    <font>
      <b/>
      <sz val="8"/>
      <name val="Arial"/>
      <family val="2"/>
    </font>
    <font>
      <sz val="8"/>
      <name val="Arial"/>
      <family val="2"/>
    </font>
    <font>
      <i/>
      <sz val="9"/>
      <name val="Arial"/>
      <family val="2"/>
    </font>
    <font>
      <u/>
      <sz val="9"/>
      <color indexed="12"/>
      <name val="Arial"/>
      <family val="2"/>
    </font>
    <font>
      <b/>
      <sz val="8"/>
      <color indexed="11"/>
      <name val="Arial"/>
      <family val="2"/>
    </font>
    <font>
      <b/>
      <sz val="9"/>
      <color indexed="11"/>
      <name val="Arial"/>
      <family val="2"/>
    </font>
    <font>
      <b/>
      <i/>
      <sz val="8"/>
      <name val="Arial"/>
      <family val="2"/>
    </font>
    <font>
      <sz val="9"/>
      <color indexed="10"/>
      <name val="Arial"/>
      <family val="2"/>
    </font>
    <font>
      <sz val="8"/>
      <color indexed="11"/>
      <name val="Arial"/>
      <family val="2"/>
    </font>
    <font>
      <i/>
      <sz val="8"/>
      <name val="Arial"/>
      <family val="2"/>
    </font>
    <font>
      <b/>
      <i/>
      <sz val="8"/>
      <name val="Arial"/>
      <family val="2"/>
    </font>
    <font>
      <sz val="8"/>
      <color indexed="10"/>
      <name val="Arial"/>
      <family val="2"/>
    </font>
    <font>
      <b/>
      <i/>
      <sz val="9"/>
      <name val="Arial"/>
      <family val="2"/>
    </font>
    <font>
      <i/>
      <sz val="9"/>
      <name val="Arial"/>
      <family val="2"/>
    </font>
    <font>
      <b/>
      <u/>
      <sz val="9"/>
      <name val="Arial"/>
      <family val="2"/>
    </font>
    <font>
      <b/>
      <u/>
      <sz val="10"/>
      <name val="Arial"/>
      <family val="2"/>
    </font>
    <font>
      <u/>
      <sz val="8"/>
      <name val="Arial"/>
      <family val="2"/>
    </font>
    <font>
      <sz val="10"/>
      <name val="Arial"/>
      <family val="2"/>
    </font>
    <font>
      <u/>
      <sz val="9"/>
      <name val="Arial"/>
      <family val="2"/>
    </font>
    <font>
      <b/>
      <sz val="11"/>
      <name val="Arial"/>
      <family val="2"/>
    </font>
    <font>
      <sz val="9"/>
      <color indexed="8"/>
      <name val="Arial"/>
      <family val="2"/>
    </font>
    <font>
      <b/>
      <sz val="8.5"/>
      <name val="Arial"/>
      <family val="2"/>
    </font>
    <font>
      <sz val="8.5"/>
      <name val="Arial"/>
      <family val="2"/>
    </font>
    <font>
      <sz val="8.5"/>
      <name val="Arial"/>
      <family val="2"/>
    </font>
    <font>
      <b/>
      <u/>
      <sz val="8"/>
      <name val="Arial"/>
      <family val="2"/>
    </font>
    <font>
      <b/>
      <sz val="9"/>
      <color indexed="20"/>
      <name val="Arial"/>
      <family val="2"/>
    </font>
    <font>
      <b/>
      <vertAlign val="superscript"/>
      <sz val="9"/>
      <color indexed="20"/>
      <name val="Arial"/>
      <family val="2"/>
    </font>
    <font>
      <b/>
      <u/>
      <sz val="7"/>
      <name val="Arial"/>
      <family val="2"/>
    </font>
    <font>
      <b/>
      <sz val="9"/>
      <color indexed="8"/>
      <name val="Arial Narrow"/>
      <family val="2"/>
    </font>
    <font>
      <sz val="10"/>
      <color indexed="8"/>
      <name val="Arial"/>
      <family val="2"/>
    </font>
    <font>
      <sz val="9"/>
      <color indexed="8"/>
      <name val="Arial Narrow"/>
      <family val="2"/>
    </font>
    <font>
      <b/>
      <sz val="9"/>
      <color indexed="10"/>
      <name val="Arial"/>
      <family val="2"/>
    </font>
    <font>
      <b/>
      <sz val="9"/>
      <color indexed="12"/>
      <name val="Arial"/>
      <family val="2"/>
    </font>
    <font>
      <sz val="9"/>
      <color indexed="12"/>
      <name val="Arial"/>
      <family val="2"/>
    </font>
    <font>
      <sz val="9"/>
      <color indexed="10"/>
      <name val="Arial"/>
      <family val="2"/>
    </font>
    <font>
      <sz val="10"/>
      <color indexed="10"/>
      <name val="Arial"/>
      <family val="2"/>
    </font>
    <font>
      <b/>
      <sz val="8"/>
      <color indexed="10"/>
      <name val="Arial"/>
      <family val="2"/>
    </font>
    <font>
      <sz val="8"/>
      <color indexed="10"/>
      <name val="Arial"/>
      <family val="2"/>
    </font>
    <font>
      <b/>
      <sz val="9"/>
      <color indexed="8"/>
      <name val="Arial"/>
      <family val="2"/>
    </font>
    <font>
      <sz val="9"/>
      <color indexed="8"/>
      <name val="Arial"/>
      <family val="2"/>
    </font>
    <font>
      <b/>
      <sz val="8"/>
      <color indexed="8"/>
      <name val="Arial"/>
      <family val="2"/>
    </font>
    <font>
      <sz val="9"/>
      <name val="Arial"/>
      <family val="2"/>
    </font>
    <font>
      <u val="singleAccounting"/>
      <sz val="9"/>
      <name val="Arial"/>
      <family val="2"/>
    </font>
    <font>
      <sz val="9"/>
      <color indexed="12"/>
      <name val="Arial"/>
      <family val="2"/>
    </font>
    <font>
      <b/>
      <u val="singleAccounting"/>
      <sz val="8"/>
      <name val="Arial"/>
      <family val="2"/>
    </font>
    <font>
      <u val="singleAccounting"/>
      <sz val="8"/>
      <name val="Arial"/>
      <family val="2"/>
    </font>
    <font>
      <sz val="7"/>
      <name val="Arial"/>
      <family val="2"/>
    </font>
    <font>
      <sz val="10"/>
      <name val="Arial"/>
      <family val="2"/>
    </font>
    <font>
      <sz val="10"/>
      <color indexed="10"/>
      <name val="Arial"/>
      <family val="2"/>
    </font>
    <font>
      <i/>
      <sz val="9"/>
      <color indexed="10"/>
      <name val="Arial"/>
      <family val="2"/>
    </font>
    <font>
      <sz val="9"/>
      <color indexed="48"/>
      <name val="Arial"/>
      <family val="2"/>
    </font>
    <font>
      <b/>
      <u/>
      <sz val="9"/>
      <name val="Arial"/>
      <family val="2"/>
    </font>
    <font>
      <b/>
      <i/>
      <sz val="10"/>
      <name val="Arial"/>
      <family val="2"/>
    </font>
    <font>
      <b/>
      <sz val="12"/>
      <name val="Arial"/>
      <family val="2"/>
    </font>
    <font>
      <b/>
      <sz val="9"/>
      <color indexed="53"/>
      <name val="Arial"/>
      <family val="2"/>
    </font>
    <font>
      <b/>
      <sz val="8"/>
      <color indexed="12"/>
      <name val="Arial"/>
      <family val="2"/>
    </font>
    <font>
      <sz val="11"/>
      <name val="Arial"/>
      <family val="2"/>
    </font>
    <font>
      <b/>
      <sz val="16"/>
      <name val="Arial"/>
      <family val="2"/>
    </font>
    <font>
      <i/>
      <sz val="10"/>
      <name val="Arial"/>
      <family val="2"/>
    </font>
    <font>
      <i/>
      <u/>
      <sz val="10"/>
      <name val="Arial"/>
      <family val="2"/>
    </font>
    <font>
      <vertAlign val="subscript"/>
      <sz val="10"/>
      <name val="Arial"/>
      <family val="2"/>
    </font>
    <font>
      <vertAlign val="superscript"/>
      <sz val="10"/>
      <name val="Arial"/>
      <family val="2"/>
    </font>
    <font>
      <i/>
      <sz val="9"/>
      <color indexed="8"/>
      <name val="Arial"/>
      <family val="2"/>
    </font>
    <font>
      <b/>
      <sz val="14"/>
      <name val="Arial"/>
      <family val="2"/>
    </font>
    <font>
      <u/>
      <sz val="8.5"/>
      <name val="Arial"/>
      <family val="2"/>
    </font>
    <font>
      <b/>
      <sz val="8.5"/>
      <name val="Arial"/>
      <family val="2"/>
    </font>
    <font>
      <sz val="12"/>
      <name val="Arial"/>
      <family val="2"/>
    </font>
    <font>
      <sz val="8"/>
      <color indexed="8"/>
      <name val="Arial"/>
      <family val="2"/>
    </font>
    <font>
      <sz val="8"/>
      <color indexed="12"/>
      <name val="Arial"/>
      <family val="2"/>
    </font>
    <font>
      <u/>
      <sz val="8"/>
      <color indexed="12"/>
      <name val="Arial"/>
      <family val="2"/>
    </font>
    <font>
      <b/>
      <sz val="7.5"/>
      <name val="Arial"/>
      <family val="2"/>
    </font>
    <font>
      <i/>
      <u/>
      <sz val="9"/>
      <name val="Arial"/>
      <family val="2"/>
    </font>
    <font>
      <sz val="9"/>
      <color indexed="17"/>
      <name val="Arial"/>
      <family val="2"/>
    </font>
    <font>
      <b/>
      <sz val="7"/>
      <name val="Arial"/>
      <family val="2"/>
    </font>
    <font>
      <sz val="9"/>
      <name val="Helvetica"/>
      <family val="2"/>
    </font>
    <font>
      <b/>
      <sz val="12"/>
      <name val="Helvetica"/>
      <family val="2"/>
    </font>
    <font>
      <b/>
      <sz val="10"/>
      <name val="Helvetica"/>
      <family val="2"/>
    </font>
    <font>
      <sz val="8"/>
      <name val="Helvetica"/>
      <family val="2"/>
    </font>
    <font>
      <b/>
      <sz val="9"/>
      <name val="Helvetica"/>
      <family val="2"/>
    </font>
    <font>
      <b/>
      <sz val="8"/>
      <name val="Helvetica"/>
      <family val="2"/>
    </font>
    <font>
      <b/>
      <sz val="9"/>
      <color indexed="12"/>
      <name val="Helvetica"/>
      <family val="2"/>
    </font>
    <font>
      <b/>
      <sz val="8"/>
      <color indexed="12"/>
      <name val="Helvetica"/>
      <family val="2"/>
    </font>
    <font>
      <sz val="9"/>
      <color indexed="12"/>
      <name val="Helvetica"/>
      <family val="2"/>
    </font>
    <font>
      <b/>
      <sz val="9"/>
      <color indexed="53"/>
      <name val="Helvetica"/>
      <family val="2"/>
    </font>
    <font>
      <b/>
      <sz val="8"/>
      <name val="Helvetica"/>
    </font>
    <font>
      <b/>
      <sz val="10"/>
      <color indexed="14"/>
      <name val="Arial"/>
      <family val="2"/>
    </font>
    <font>
      <b/>
      <sz val="10"/>
      <name val="Arial"/>
      <family val="2"/>
    </font>
    <font>
      <sz val="8"/>
      <color indexed="8"/>
      <name val="Arial"/>
      <family val="2"/>
    </font>
    <font>
      <sz val="8"/>
      <color indexed="62"/>
      <name val="Arial"/>
      <family val="2"/>
    </font>
    <font>
      <sz val="8"/>
      <name val="Arial Unicode MS"/>
      <family val="2"/>
    </font>
    <font>
      <sz val="8"/>
      <color indexed="12"/>
      <name val="Arial"/>
      <family val="2"/>
    </font>
    <font>
      <sz val="9"/>
      <name val="Helvetica"/>
    </font>
    <font>
      <vertAlign val="subscript"/>
      <sz val="9"/>
      <name val="Arial"/>
      <family val="2"/>
    </font>
    <font>
      <vertAlign val="superscript"/>
      <sz val="9"/>
      <name val="Arial"/>
      <family val="2"/>
    </font>
    <font>
      <sz val="9"/>
      <name val="TradeGothic-BoldTwo"/>
    </font>
    <font>
      <sz val="8"/>
      <name val="TradeGothic-BoldTwo"/>
    </font>
    <font>
      <sz val="9"/>
      <name val="TradeGothic-Light"/>
    </font>
    <font>
      <b/>
      <sz val="9"/>
      <name val="TradeGothic-BoldTwo"/>
    </font>
    <font>
      <b/>
      <sz val="9"/>
      <name val="TradeGothic-Light"/>
    </font>
    <font>
      <b/>
      <sz val="9"/>
      <color indexed="56"/>
      <name val="Arial"/>
      <family val="2"/>
    </font>
    <font>
      <u/>
      <sz val="9"/>
      <color indexed="40"/>
      <name val="Arial"/>
      <family val="2"/>
    </font>
    <font>
      <sz val="9"/>
      <name val="Arial"/>
      <family val="2"/>
    </font>
    <font>
      <sz val="9"/>
      <name val="Arial"/>
      <family val="2"/>
    </font>
    <font>
      <sz val="9"/>
      <name val="Arial"/>
      <family val="2"/>
    </font>
    <font>
      <sz val="9"/>
      <name val="Arial"/>
      <family val="2"/>
    </font>
    <font>
      <b/>
      <sz val="9"/>
      <name val="Helvetica"/>
    </font>
    <font>
      <u/>
      <sz val="9"/>
      <color indexed="17"/>
      <name val="Arial"/>
      <family val="2"/>
    </font>
    <font>
      <sz val="9"/>
      <name val="Arial"/>
      <family val="2"/>
    </font>
    <font>
      <sz val="8"/>
      <name val="Calibri"/>
      <family val="2"/>
    </font>
    <font>
      <sz val="8"/>
      <name val="Arial Black"/>
      <family val="2"/>
    </font>
    <font>
      <sz val="9"/>
      <name val="Arial"/>
      <family val="2"/>
    </font>
    <font>
      <sz val="9"/>
      <name val="Calibri"/>
      <family val="2"/>
    </font>
    <font>
      <b/>
      <sz val="9"/>
      <name val="Calibri"/>
      <family val="2"/>
    </font>
    <font>
      <b/>
      <sz val="10"/>
      <color indexed="63"/>
      <name val="Arial"/>
      <family val="2"/>
    </font>
    <font>
      <sz val="10"/>
      <color indexed="63"/>
      <name val="Arial"/>
      <family val="2"/>
    </font>
    <font>
      <sz val="9"/>
      <color rgb="FF00B0F0"/>
      <name val="Arial"/>
      <family val="2"/>
    </font>
    <font>
      <sz val="9"/>
      <color rgb="FFFF0000"/>
      <name val="Arial"/>
      <family val="2"/>
    </font>
    <font>
      <sz val="8"/>
      <color rgb="FF009900"/>
      <name val="Arial"/>
      <family val="2"/>
    </font>
    <font>
      <sz val="9"/>
      <color rgb="FF009900"/>
      <name val="Arial"/>
      <family val="2"/>
    </font>
    <font>
      <b/>
      <sz val="8"/>
      <color theme="0"/>
      <name val="Arial"/>
      <family val="2"/>
    </font>
    <font>
      <b/>
      <sz val="9"/>
      <color rgb="FFFF0000"/>
      <name val="Arial"/>
      <family val="2"/>
    </font>
    <font>
      <b/>
      <sz val="9"/>
      <color theme="1"/>
      <name val="Arial"/>
      <family val="2"/>
    </font>
    <font>
      <sz val="8"/>
      <color rgb="FFFF0000"/>
      <name val="Arial"/>
      <family val="2"/>
    </font>
    <font>
      <sz val="9"/>
      <color theme="1"/>
      <name val="Arial"/>
      <family val="2"/>
    </font>
    <font>
      <b/>
      <sz val="9"/>
      <color theme="0"/>
      <name val="Arial"/>
      <family val="2"/>
    </font>
    <font>
      <sz val="9"/>
      <color theme="0"/>
      <name val="Arial"/>
      <family val="2"/>
    </font>
    <font>
      <b/>
      <sz val="8"/>
      <color theme="1"/>
      <name val="Arial"/>
      <family val="2"/>
    </font>
    <font>
      <sz val="8"/>
      <color theme="1"/>
      <name val="Arial"/>
      <family val="2"/>
    </font>
    <font>
      <u/>
      <sz val="10"/>
      <name val="Arial"/>
      <family val="2"/>
    </font>
    <font>
      <sz val="10"/>
      <color rgb="FFFF0000"/>
      <name val="Arial"/>
      <family val="2"/>
    </font>
    <font>
      <sz val="18"/>
      <name val="Arial"/>
      <family val="2"/>
    </font>
    <font>
      <b/>
      <sz val="10"/>
      <name val="Calibri"/>
      <family val="2"/>
    </font>
    <font>
      <sz val="9"/>
      <color theme="3" tint="-0.249977111117893"/>
      <name val="Arial"/>
      <family val="2"/>
    </font>
    <font>
      <b/>
      <sz val="9"/>
      <color theme="3" tint="-0.249977111117893"/>
      <name val="Arial"/>
      <family val="2"/>
    </font>
    <font>
      <b/>
      <sz val="10"/>
      <color indexed="20"/>
      <name val="Arial"/>
      <family val="2"/>
    </font>
    <font>
      <b/>
      <sz val="10"/>
      <color theme="1"/>
      <name val="Arial"/>
      <family val="2"/>
    </font>
    <font>
      <b/>
      <u/>
      <sz val="10"/>
      <color theme="1"/>
      <name val="Arial"/>
      <family val="2"/>
    </font>
    <font>
      <b/>
      <i/>
      <sz val="9"/>
      <color theme="1"/>
      <name val="Arial"/>
      <family val="2"/>
    </font>
    <font>
      <sz val="10"/>
      <color theme="1"/>
      <name val="Arial"/>
      <family val="2"/>
    </font>
    <font>
      <b/>
      <sz val="11"/>
      <color theme="1"/>
      <name val="Arial"/>
      <family val="2"/>
    </font>
    <font>
      <sz val="10"/>
      <name val="Calibri"/>
      <family val="2"/>
    </font>
    <font>
      <b/>
      <sz val="9"/>
      <color rgb="FFFF33CC"/>
      <name val="Arial"/>
      <family val="2"/>
    </font>
    <font>
      <b/>
      <sz val="8"/>
      <color rgb="FFC00000"/>
      <name val="Arial"/>
      <family val="2"/>
    </font>
    <font>
      <b/>
      <sz val="12"/>
      <color theme="0"/>
      <name val="Arial"/>
      <family val="2"/>
    </font>
    <font>
      <sz val="9"/>
      <color theme="3" tint="0.39997558519241921"/>
      <name val="Arial"/>
      <family val="2"/>
    </font>
    <font>
      <b/>
      <sz val="9"/>
      <color rgb="FF0000FF"/>
      <name val="Arial"/>
      <family val="2"/>
    </font>
    <font>
      <sz val="9"/>
      <color rgb="FF0000FF"/>
      <name val="Arial"/>
      <family val="2"/>
    </font>
    <font>
      <sz val="8"/>
      <color theme="1"/>
      <name val="Calibri"/>
      <family val="2"/>
      <scheme val="minor"/>
    </font>
    <font>
      <b/>
      <sz val="11"/>
      <color theme="1"/>
      <name val="Calibri"/>
      <family val="2"/>
      <scheme val="minor"/>
    </font>
    <font>
      <sz val="9"/>
      <color theme="1"/>
      <name val="Calibri"/>
      <family val="2"/>
      <scheme val="minor"/>
    </font>
    <font>
      <b/>
      <sz val="11"/>
      <color theme="0"/>
      <name val="Arial"/>
      <family val="2"/>
    </font>
    <font>
      <sz val="9"/>
      <color rgb="FF000000"/>
      <name val="Arial"/>
      <family val="2"/>
    </font>
    <font>
      <b/>
      <sz val="9"/>
      <color rgb="FF6666FF"/>
      <name val="Arial"/>
      <family val="2"/>
    </font>
    <font>
      <b/>
      <sz val="15"/>
      <color rgb="FF0070C0"/>
      <name val="Arial"/>
      <family val="2"/>
    </font>
    <font>
      <b/>
      <sz val="15"/>
      <color rgb="FF0070C0"/>
      <name val="Calibri"/>
      <family val="2"/>
    </font>
    <font>
      <b/>
      <sz val="10.5"/>
      <name val="Arial"/>
      <family val="2"/>
    </font>
    <font>
      <sz val="10"/>
      <color rgb="FF000000"/>
      <name val="Arial Unicode MS"/>
      <family val="2"/>
    </font>
    <font>
      <sz val="9"/>
      <color rgb="FF99FF66"/>
      <name val="Arial"/>
      <family val="2"/>
    </font>
    <font>
      <b/>
      <vertAlign val="superscript"/>
      <sz val="8"/>
      <name val="Arial"/>
      <family val="2"/>
    </font>
    <font>
      <b/>
      <sz val="8"/>
      <color rgb="FFFF0000"/>
      <name val="Arial"/>
      <family val="2"/>
    </font>
  </fonts>
  <fills count="7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45"/>
        <bgColor indexed="64"/>
      </patternFill>
    </fill>
    <fill>
      <patternFill patternType="solid">
        <fgColor indexed="53"/>
        <bgColor indexed="64"/>
      </patternFill>
    </fill>
    <fill>
      <patternFill patternType="solid">
        <fgColor indexed="11"/>
        <bgColor indexed="64"/>
      </patternFill>
    </fill>
    <fill>
      <patternFill patternType="solid">
        <fgColor indexed="51"/>
        <bgColor indexed="64"/>
      </patternFill>
    </fill>
    <fill>
      <patternFill patternType="solid">
        <fgColor indexed="40"/>
        <bgColor indexed="64"/>
      </patternFill>
    </fill>
    <fill>
      <patternFill patternType="solid">
        <fgColor indexed="50"/>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54"/>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rgb="FF00FFFF"/>
        <bgColor indexed="64"/>
      </patternFill>
    </fill>
    <fill>
      <patternFill patternType="solid">
        <fgColor theme="3" tint="0.79998168889431442"/>
        <bgColor indexed="64"/>
      </patternFill>
    </fill>
    <fill>
      <patternFill patternType="solid">
        <fgColor theme="1"/>
        <bgColor indexed="64"/>
      </patternFill>
    </fill>
    <fill>
      <patternFill patternType="solid">
        <fgColor rgb="FFFF0000"/>
        <bgColor indexed="64"/>
      </patternFill>
    </fill>
    <fill>
      <patternFill patternType="solid">
        <fgColor rgb="FFFFFF99"/>
        <bgColor indexed="64"/>
      </patternFill>
    </fill>
    <fill>
      <patternFill patternType="solid">
        <fgColor rgb="FF00FF00"/>
        <bgColor indexed="64"/>
      </patternFill>
    </fill>
    <fill>
      <patternFill patternType="solid">
        <fgColor rgb="FFFF9933"/>
        <bgColor indexed="64"/>
      </patternFill>
    </fill>
    <fill>
      <patternFill patternType="solid">
        <fgColor rgb="FF66FFFF"/>
        <bgColor indexed="64"/>
      </patternFill>
    </fill>
    <fill>
      <patternFill patternType="solid">
        <fgColor rgb="FFFFCC99"/>
        <bgColor indexed="64"/>
      </patternFill>
    </fill>
    <fill>
      <patternFill patternType="solid">
        <fgColor rgb="FFFF0066"/>
        <bgColor indexed="64"/>
      </patternFill>
    </fill>
    <fill>
      <patternFill patternType="solid">
        <fgColor rgb="FFB2B2B2"/>
        <bgColor indexed="64"/>
      </patternFill>
    </fill>
    <fill>
      <patternFill patternType="solid">
        <fgColor rgb="FF99CC00"/>
        <bgColor indexed="64"/>
      </patternFill>
    </fill>
    <fill>
      <patternFill patternType="solid">
        <fgColor rgb="FFFF6600"/>
        <bgColor indexed="64"/>
      </patternFill>
    </fill>
    <fill>
      <patternFill patternType="solid">
        <fgColor rgb="FFFF66CC"/>
        <bgColor indexed="64"/>
      </patternFill>
    </fill>
    <fill>
      <patternFill patternType="solid">
        <fgColor rgb="FF92D050"/>
        <bgColor indexed="64"/>
      </patternFill>
    </fill>
    <fill>
      <patternFill patternType="solid">
        <fgColor rgb="FFB6DDE8"/>
        <bgColor indexed="64"/>
      </patternFill>
    </fill>
    <fill>
      <patternFill patternType="solid">
        <fgColor rgb="FFD7E4BC"/>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99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FFCC"/>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99CC"/>
        <bgColor indexed="64"/>
      </patternFill>
    </fill>
    <fill>
      <patternFill patternType="solid">
        <fgColor rgb="FF003300"/>
        <bgColor indexed="64"/>
      </patternFill>
    </fill>
    <fill>
      <patternFill patternType="solid">
        <fgColor theme="2"/>
        <bgColor indexed="64"/>
      </patternFill>
    </fill>
    <fill>
      <gradientFill degree="90">
        <stop position="0">
          <color theme="0"/>
        </stop>
        <stop position="0.5">
          <color theme="4"/>
        </stop>
        <stop position="1">
          <color theme="0"/>
        </stop>
      </gradientFill>
    </fill>
    <fill>
      <patternFill patternType="solid">
        <fgColor theme="9" tint="0.79998168889431442"/>
        <bgColor indexed="64"/>
      </patternFill>
    </fill>
    <fill>
      <patternFill patternType="solid">
        <fgColor theme="0" tint="-0.249977111117893"/>
        <bgColor indexed="64"/>
      </patternFill>
    </fill>
    <fill>
      <patternFill patternType="solid">
        <fgColor rgb="FFFFCC00"/>
        <bgColor indexed="64"/>
      </patternFill>
    </fill>
    <fill>
      <patternFill patternType="solid">
        <fgColor rgb="FF00CCFF"/>
        <bgColor indexed="64"/>
      </patternFill>
    </fill>
    <fill>
      <patternFill patternType="solid">
        <fgColor theme="2" tint="-9.9978637043366805E-2"/>
        <bgColor indexed="64"/>
      </patternFill>
    </fill>
    <fill>
      <patternFill patternType="lightTrellis">
        <bgColor theme="6" tint="0.59999389629810485"/>
      </patternFill>
    </fill>
    <fill>
      <patternFill patternType="lightTrellis">
        <bgColor theme="2"/>
      </patternFill>
    </fill>
    <fill>
      <patternFill patternType="lightTrellis">
        <bgColor theme="4" tint="0.79995117038483843"/>
      </patternFill>
    </fill>
    <fill>
      <patternFill patternType="solid">
        <fgColor rgb="FF00FFCC"/>
        <bgColor indexed="64"/>
      </patternFill>
    </fill>
    <fill>
      <patternFill patternType="solid">
        <fgColor rgb="FF99FF66"/>
        <bgColor indexed="64"/>
      </patternFill>
    </fill>
    <fill>
      <patternFill patternType="solid">
        <fgColor rgb="FF66FF99"/>
        <bgColor indexed="64"/>
      </patternFill>
    </fill>
    <fill>
      <patternFill patternType="gray0625"/>
    </fill>
    <fill>
      <patternFill patternType="gray0625">
        <bgColor indexed="11"/>
      </patternFill>
    </fill>
    <fill>
      <patternFill patternType="gray0625">
        <bgColor rgb="FFFFFF00"/>
      </patternFill>
    </fill>
    <fill>
      <patternFill patternType="solid">
        <fgColor rgb="FFCCECFF"/>
        <bgColor indexed="64"/>
      </patternFill>
    </fill>
    <fill>
      <patternFill patternType="solid">
        <fgColor theme="0"/>
        <bgColor indexed="64"/>
      </patternFill>
    </fill>
  </fills>
  <borders count="94">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8"/>
      </bottom>
      <diagonal/>
    </border>
    <border>
      <left style="thin">
        <color indexed="64"/>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0" fontId="56" fillId="0" borderId="0"/>
    <xf numFmtId="0" fontId="56" fillId="0" borderId="0"/>
    <xf numFmtId="0" fontId="38" fillId="0" borderId="0"/>
    <xf numFmtId="9" fontId="1" fillId="0" borderId="0" applyFont="0" applyFill="0" applyBorder="0" applyAlignment="0" applyProtection="0"/>
    <xf numFmtId="0" fontId="1" fillId="0" borderId="0"/>
  </cellStyleXfs>
  <cellXfs count="5234">
    <xf numFmtId="0" fontId="0" fillId="0" borderId="0" xfId="0"/>
    <xf numFmtId="0" fontId="1" fillId="0" borderId="0" xfId="0" applyFont="1"/>
    <xf numFmtId="0" fontId="4" fillId="0" borderId="0" xfId="0" applyFont="1"/>
    <xf numFmtId="0" fontId="6" fillId="0" borderId="0" xfId="0" applyFont="1" applyAlignment="1">
      <alignment horizontal="right"/>
    </xf>
    <xf numFmtId="3" fontId="1" fillId="0" borderId="0" xfId="0" applyNumberFormat="1" applyFont="1"/>
    <xf numFmtId="3" fontId="4" fillId="0" borderId="0" xfId="0" applyNumberFormat="1" applyFont="1"/>
    <xf numFmtId="0" fontId="8" fillId="0" borderId="0" xfId="0" applyFont="1"/>
    <xf numFmtId="0" fontId="6" fillId="0" borderId="0" xfId="0" applyFont="1"/>
    <xf numFmtId="0" fontId="9" fillId="0" borderId="0" xfId="0" applyFont="1" applyAlignment="1">
      <alignment horizontal="right"/>
    </xf>
    <xf numFmtId="0" fontId="5" fillId="0" borderId="0" xfId="0" applyFont="1"/>
    <xf numFmtId="3" fontId="0" fillId="0" borderId="0" xfId="0" applyNumberFormat="1"/>
    <xf numFmtId="2" fontId="0" fillId="0" borderId="0" xfId="0" applyNumberFormat="1" applyFill="1" applyBorder="1" applyAlignment="1"/>
    <xf numFmtId="165" fontId="0" fillId="0" borderId="0" xfId="7" applyNumberFormat="1" applyFont="1"/>
    <xf numFmtId="0" fontId="0" fillId="0" borderId="0" xfId="0" applyFill="1" applyBorder="1" applyAlignment="1"/>
    <xf numFmtId="0" fontId="0" fillId="0" borderId="1" xfId="0" applyFill="1" applyBorder="1" applyAlignment="1"/>
    <xf numFmtId="0" fontId="11" fillId="0" borderId="2" xfId="0" applyFont="1" applyFill="1" applyBorder="1" applyAlignment="1">
      <alignment horizontal="center"/>
    </xf>
    <xf numFmtId="0" fontId="11" fillId="0" borderId="2" xfId="0" applyFont="1" applyFill="1" applyBorder="1" applyAlignment="1">
      <alignment horizontal="centerContinuous"/>
    </xf>
    <xf numFmtId="0" fontId="10" fillId="0" borderId="0" xfId="0" applyFont="1" applyAlignment="1">
      <alignment horizontal="right"/>
    </xf>
    <xf numFmtId="0" fontId="10" fillId="0" borderId="0" xfId="0" applyFont="1"/>
    <xf numFmtId="0" fontId="5" fillId="0" borderId="0" xfId="0" applyFont="1" applyAlignment="1">
      <alignment horizontal="left"/>
    </xf>
    <xf numFmtId="0" fontId="9" fillId="0" borderId="0" xfId="0" applyFont="1" applyAlignment="1">
      <alignment horizontal="center"/>
    </xf>
    <xf numFmtId="166" fontId="0" fillId="0" borderId="0" xfId="0" applyNumberFormat="1"/>
    <xf numFmtId="165" fontId="0" fillId="0" borderId="0" xfId="0" applyNumberFormat="1"/>
    <xf numFmtId="9" fontId="0" fillId="0" borderId="0" xfId="0" applyNumberFormat="1"/>
    <xf numFmtId="0" fontId="2" fillId="0" borderId="0" xfId="0" applyFont="1"/>
    <xf numFmtId="7" fontId="0" fillId="0" borderId="0" xfId="2" applyNumberFormat="1" applyFont="1"/>
    <xf numFmtId="7" fontId="0" fillId="0" borderId="0" xfId="0" applyNumberFormat="1"/>
    <xf numFmtId="9" fontId="0" fillId="0" borderId="0" xfId="7" applyFont="1" applyFill="1" applyBorder="1" applyAlignment="1"/>
    <xf numFmtId="165" fontId="0" fillId="0" borderId="0" xfId="7" applyNumberFormat="1" applyFont="1" applyFill="1" applyBorder="1" applyAlignment="1"/>
    <xf numFmtId="165" fontId="0" fillId="0" borderId="1" xfId="7" applyNumberFormat="1" applyFont="1" applyFill="1" applyBorder="1" applyAlignment="1"/>
    <xf numFmtId="0" fontId="15" fillId="0" borderId="2" xfId="0" applyFont="1" applyFill="1" applyBorder="1" applyAlignment="1">
      <alignment horizontal="center"/>
    </xf>
    <xf numFmtId="43" fontId="6" fillId="0" borderId="0" xfId="1" applyFont="1"/>
    <xf numFmtId="167" fontId="0" fillId="0" borderId="0" xfId="0" applyNumberFormat="1"/>
    <xf numFmtId="0" fontId="9" fillId="0" borderId="0" xfId="0" applyFont="1"/>
    <xf numFmtId="0" fontId="0" fillId="0" borderId="0" xfId="0" applyAlignment="1">
      <alignment horizontal="center"/>
    </xf>
    <xf numFmtId="0" fontId="5" fillId="0" borderId="0" xfId="0" applyFont="1" applyFill="1" applyBorder="1"/>
    <xf numFmtId="168" fontId="0" fillId="0" borderId="0" xfId="0" applyNumberFormat="1" applyFill="1" applyBorder="1" applyAlignment="1"/>
    <xf numFmtId="168" fontId="0" fillId="0" borderId="1" xfId="0" applyNumberFormat="1" applyFill="1" applyBorder="1" applyAlignment="1"/>
    <xf numFmtId="165" fontId="16" fillId="0" borderId="1" xfId="7" applyNumberFormat="1" applyFont="1" applyFill="1" applyBorder="1" applyAlignment="1"/>
    <xf numFmtId="9" fontId="0" fillId="0" borderId="0" xfId="7" applyFont="1"/>
    <xf numFmtId="0" fontId="18" fillId="0" borderId="2" xfId="0" applyFont="1" applyFill="1" applyBorder="1" applyAlignment="1">
      <alignment horizontal="centerContinuous"/>
    </xf>
    <xf numFmtId="0" fontId="18" fillId="0" borderId="2" xfId="0" applyFont="1" applyFill="1" applyBorder="1" applyAlignment="1">
      <alignment horizontal="center"/>
    </xf>
    <xf numFmtId="0" fontId="19" fillId="0" borderId="2" xfId="0" applyFont="1" applyFill="1" applyBorder="1" applyAlignment="1">
      <alignment horizontal="center"/>
    </xf>
    <xf numFmtId="0" fontId="16" fillId="0" borderId="0" xfId="0" applyFont="1"/>
    <xf numFmtId="43" fontId="0" fillId="0" borderId="0" xfId="1" applyFont="1"/>
    <xf numFmtId="0" fontId="0" fillId="0" borderId="0" xfId="0" applyAlignment="1">
      <alignment wrapText="1"/>
    </xf>
    <xf numFmtId="0" fontId="21" fillId="0" borderId="0" xfId="0" applyFont="1"/>
    <xf numFmtId="9" fontId="8" fillId="0" borderId="0" xfId="7" applyFont="1"/>
    <xf numFmtId="9" fontId="8" fillId="0" borderId="0" xfId="0" applyNumberFormat="1" applyFont="1"/>
    <xf numFmtId="0" fontId="22" fillId="0" borderId="0" xfId="0" applyFont="1"/>
    <xf numFmtId="0" fontId="0" fillId="2" borderId="0" xfId="0" applyFill="1"/>
    <xf numFmtId="0" fontId="8" fillId="2" borderId="0" xfId="0" applyFont="1" applyFill="1"/>
    <xf numFmtId="9" fontId="5" fillId="0" borderId="0" xfId="0" applyNumberFormat="1" applyFont="1"/>
    <xf numFmtId="9" fontId="5" fillId="0" borderId="0" xfId="7" applyFont="1"/>
    <xf numFmtId="0" fontId="14" fillId="0" borderId="0" xfId="0" applyFont="1"/>
    <xf numFmtId="0" fontId="26" fillId="0" borderId="0" xfId="0" applyFont="1"/>
    <xf numFmtId="0" fontId="0" fillId="3" borderId="3" xfId="0" applyNumberFormat="1" applyFill="1" applyBorder="1" applyAlignment="1">
      <alignment horizontal="center" vertical="center" wrapText="1"/>
    </xf>
    <xf numFmtId="0" fontId="0" fillId="3" borderId="4" xfId="0" applyNumberFormat="1" applyFill="1" applyBorder="1" applyAlignment="1">
      <alignment horizontal="center" vertical="center" wrapText="1"/>
    </xf>
    <xf numFmtId="0" fontId="0" fillId="3" borderId="5" xfId="0" applyNumberFormat="1" applyFill="1" applyBorder="1" applyAlignment="1">
      <alignment horizontal="center" vertical="center" wrapText="1"/>
    </xf>
    <xf numFmtId="0" fontId="0" fillId="3" borderId="6" xfId="0" applyNumberFormat="1" applyFill="1" applyBorder="1" applyAlignment="1">
      <alignment horizontal="center" vertical="center" wrapText="1"/>
    </xf>
    <xf numFmtId="0" fontId="0" fillId="4" borderId="7" xfId="0" applyNumberFormat="1" applyFill="1" applyBorder="1" applyAlignment="1">
      <alignment horizontal="center" vertical="center" wrapText="1"/>
    </xf>
    <xf numFmtId="0" fontId="0" fillId="4" borderId="7" xfId="0" applyFill="1" applyBorder="1"/>
    <xf numFmtId="165" fontId="0" fillId="0" borderId="8" xfId="7" applyNumberFormat="1" applyFont="1" applyBorder="1" applyAlignment="1">
      <alignment horizontal="center"/>
    </xf>
    <xf numFmtId="43" fontId="0" fillId="4" borderId="8" xfId="1" applyFont="1" applyFill="1" applyBorder="1" applyAlignment="1">
      <alignment horizontal="center"/>
    </xf>
    <xf numFmtId="165" fontId="0" fillId="0" borderId="9" xfId="7" applyNumberFormat="1" applyFont="1" applyBorder="1" applyAlignment="1">
      <alignment horizontal="center"/>
    </xf>
    <xf numFmtId="0" fontId="0" fillId="4" borderId="8" xfId="0" applyFill="1" applyBorder="1"/>
    <xf numFmtId="165" fontId="0" fillId="0" borderId="0" xfId="7" applyNumberFormat="1" applyFont="1" applyBorder="1" applyAlignment="1">
      <alignment horizontal="center"/>
    </xf>
    <xf numFmtId="43" fontId="0" fillId="4" borderId="0" xfId="1" applyFont="1" applyFill="1" applyBorder="1" applyAlignment="1">
      <alignment horizontal="center"/>
    </xf>
    <xf numFmtId="165" fontId="0" fillId="0" borderId="10" xfId="7" applyNumberFormat="1" applyFont="1" applyBorder="1" applyAlignment="1">
      <alignment horizontal="center"/>
    </xf>
    <xf numFmtId="0" fontId="0" fillId="4" borderId="0" xfId="0" applyFill="1" applyBorder="1"/>
    <xf numFmtId="43" fontId="0" fillId="0" borderId="0" xfId="1" applyFont="1" applyFill="1"/>
    <xf numFmtId="165" fontId="8" fillId="0" borderId="1" xfId="7" applyNumberFormat="1" applyFont="1" applyBorder="1" applyAlignment="1">
      <alignment horizontal="center"/>
    </xf>
    <xf numFmtId="43" fontId="8" fillId="4" borderId="1" xfId="1" applyFont="1" applyFill="1" applyBorder="1" applyAlignment="1">
      <alignment horizontal="center"/>
    </xf>
    <xf numFmtId="165" fontId="8" fillId="0" borderId="11" xfId="7" applyNumberFormat="1" applyFont="1" applyBorder="1" applyAlignment="1">
      <alignment horizontal="center"/>
    </xf>
    <xf numFmtId="0" fontId="5" fillId="4" borderId="1" xfId="0" applyFont="1" applyFill="1" applyBorder="1"/>
    <xf numFmtId="0" fontId="7" fillId="0" borderId="0" xfId="0" applyFont="1" applyBorder="1" applyAlignment="1">
      <alignment horizontal="center"/>
    </xf>
    <xf numFmtId="0" fontId="5" fillId="0" borderId="12" xfId="0" applyFont="1" applyBorder="1"/>
    <xf numFmtId="0" fontId="5" fillId="0" borderId="13" xfId="0" applyFont="1" applyBorder="1"/>
    <xf numFmtId="165" fontId="5" fillId="0" borderId="10" xfId="7" applyNumberFormat="1" applyFont="1" applyBorder="1" applyAlignment="1">
      <alignment horizontal="center"/>
    </xf>
    <xf numFmtId="165" fontId="5" fillId="0" borderId="0" xfId="7" applyNumberFormat="1" applyFont="1" applyBorder="1" applyAlignment="1">
      <alignment horizontal="center"/>
    </xf>
    <xf numFmtId="165" fontId="5" fillId="0" borderId="9" xfId="7" applyNumberFormat="1" applyFont="1" applyBorder="1" applyAlignment="1">
      <alignment horizontal="center"/>
    </xf>
    <xf numFmtId="0" fontId="5" fillId="0" borderId="14" xfId="0" applyFont="1" applyBorder="1"/>
    <xf numFmtId="0" fontId="5" fillId="0" borderId="15" xfId="0" applyFont="1" applyBorder="1"/>
    <xf numFmtId="165" fontId="8" fillId="0" borderId="16" xfId="7" applyNumberFormat="1" applyFont="1" applyBorder="1" applyAlignment="1">
      <alignment horizontal="center"/>
    </xf>
    <xf numFmtId="165" fontId="8" fillId="0" borderId="7" xfId="7" applyNumberFormat="1" applyFont="1" applyBorder="1" applyAlignment="1">
      <alignment horizontal="center"/>
    </xf>
    <xf numFmtId="9" fontId="9" fillId="0" borderId="0" xfId="0" applyNumberFormat="1" applyFont="1" applyAlignment="1">
      <alignment horizontal="right"/>
    </xf>
    <xf numFmtId="0" fontId="0" fillId="0" borderId="0" xfId="0" applyFill="1"/>
    <xf numFmtId="0" fontId="0" fillId="0" borderId="0" xfId="0" applyFill="1" applyAlignment="1">
      <alignment wrapText="1"/>
    </xf>
    <xf numFmtId="0" fontId="6" fillId="0" borderId="0" xfId="0" applyFont="1" applyFill="1"/>
    <xf numFmtId="0" fontId="1" fillId="0" borderId="0" xfId="0" applyFont="1" applyFill="1"/>
    <xf numFmtId="0" fontId="0" fillId="0" borderId="0" xfId="0" applyAlignment="1">
      <alignment vertical="center" wrapText="1"/>
    </xf>
    <xf numFmtId="169" fontId="0" fillId="0" borderId="0" xfId="0" applyNumberFormat="1"/>
    <xf numFmtId="0" fontId="0" fillId="5" borderId="0" xfId="0" applyFill="1"/>
    <xf numFmtId="0" fontId="2" fillId="3" borderId="17" xfId="0" applyFont="1" applyFill="1" applyBorder="1" applyAlignment="1">
      <alignment horizontal="center" vertical="center"/>
    </xf>
    <xf numFmtId="0" fontId="2" fillId="4" borderId="18" xfId="0" applyFont="1" applyFill="1" applyBorder="1" applyAlignment="1">
      <alignment horizontal="center" vertical="center"/>
    </xf>
    <xf numFmtId="0" fontId="0" fillId="5" borderId="19" xfId="0" applyFill="1" applyBorder="1" applyAlignment="1">
      <alignment wrapText="1"/>
    </xf>
    <xf numFmtId="0" fontId="2" fillId="3" borderId="5" xfId="0" applyNumberFormat="1" applyFont="1" applyFill="1" applyBorder="1" applyAlignment="1">
      <alignment horizontal="center" vertical="center" wrapText="1"/>
    </xf>
    <xf numFmtId="0" fontId="2" fillId="3" borderId="20"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0" fillId="4" borderId="4" xfId="0" applyNumberForma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3" borderId="16" xfId="0" applyNumberFormat="1" applyFont="1" applyFill="1" applyBorder="1" applyAlignment="1">
      <alignment horizontal="center" vertical="center" wrapText="1"/>
    </xf>
    <xf numFmtId="0" fontId="2" fillId="3" borderId="15" xfId="0" applyNumberFormat="1" applyFont="1" applyFill="1" applyBorder="1" applyAlignment="1">
      <alignment horizontal="center" vertical="center" wrapText="1"/>
    </xf>
    <xf numFmtId="0" fontId="8" fillId="0" borderId="0" xfId="0" applyFont="1" applyFill="1" applyBorder="1" applyAlignment="1">
      <alignment horizontal="left"/>
    </xf>
    <xf numFmtId="0" fontId="5" fillId="0" borderId="0" xfId="0" applyFont="1" applyFill="1" applyBorder="1" applyAlignment="1">
      <alignment horizontal="left"/>
    </xf>
    <xf numFmtId="0" fontId="8" fillId="0" borderId="21" xfId="0" applyFont="1" applyFill="1" applyBorder="1" applyAlignment="1">
      <alignment horizontal="left"/>
    </xf>
    <xf numFmtId="0" fontId="8" fillId="0" borderId="22" xfId="0" applyFont="1" applyFill="1" applyBorder="1" applyAlignment="1">
      <alignment horizontal="left"/>
    </xf>
    <xf numFmtId="165" fontId="9" fillId="0" borderId="23" xfId="7" applyNumberFormat="1" applyFont="1" applyFill="1" applyBorder="1" applyAlignment="1">
      <alignment horizontal="right"/>
    </xf>
    <xf numFmtId="165" fontId="10" fillId="0" borderId="24" xfId="7" applyNumberFormat="1" applyFont="1" applyFill="1" applyBorder="1" applyAlignment="1">
      <alignment horizontal="right"/>
    </xf>
    <xf numFmtId="165" fontId="9" fillId="0" borderId="24" xfId="7" applyNumberFormat="1" applyFont="1" applyFill="1" applyBorder="1" applyAlignment="1">
      <alignment horizontal="right"/>
    </xf>
    <xf numFmtId="165" fontId="9" fillId="0" borderId="25" xfId="7" applyNumberFormat="1" applyFont="1" applyFill="1" applyBorder="1" applyAlignment="1">
      <alignment horizontal="right"/>
    </xf>
    <xf numFmtId="165" fontId="9" fillId="0" borderId="26" xfId="7" applyNumberFormat="1" applyFont="1" applyFill="1" applyBorder="1" applyAlignment="1">
      <alignment horizontal="right"/>
    </xf>
    <xf numFmtId="0" fontId="7" fillId="0" borderId="0" xfId="0" applyFont="1" applyFill="1" applyBorder="1" applyAlignment="1">
      <alignment horizontal="right"/>
    </xf>
    <xf numFmtId="0" fontId="0" fillId="0" borderId="0" xfId="0" applyBorder="1"/>
    <xf numFmtId="9" fontId="9" fillId="0" borderId="0" xfId="0" applyNumberFormat="1" applyFont="1" applyBorder="1" applyAlignment="1">
      <alignment horizontal="right"/>
    </xf>
    <xf numFmtId="0" fontId="28" fillId="0" borderId="0" xfId="0" applyFont="1"/>
    <xf numFmtId="43" fontId="29" fillId="0" borderId="0" xfId="1" applyFont="1" applyFill="1" applyAlignment="1">
      <alignment horizontal="right" wrapText="1"/>
    </xf>
    <xf numFmtId="2" fontId="0" fillId="0" borderId="0" xfId="0" applyNumberFormat="1"/>
    <xf numFmtId="0" fontId="0" fillId="0" borderId="0" xfId="0" applyAlignment="1">
      <alignment horizontal="right"/>
    </xf>
    <xf numFmtId="0" fontId="6" fillId="0" borderId="0" xfId="0" applyFont="1" applyAlignment="1">
      <alignment wrapText="1"/>
    </xf>
    <xf numFmtId="9" fontId="0" fillId="0" borderId="0" xfId="0" applyNumberFormat="1" applyAlignment="1">
      <alignment wrapText="1"/>
    </xf>
    <xf numFmtId="169" fontId="8" fillId="0" borderId="0" xfId="0" applyNumberFormat="1" applyFont="1"/>
    <xf numFmtId="173" fontId="8" fillId="0" borderId="0" xfId="2" applyNumberFormat="1" applyFont="1"/>
    <xf numFmtId="1" fontId="0" fillId="0" borderId="0" xfId="0" applyNumberFormat="1"/>
    <xf numFmtId="173" fontId="0" fillId="0" borderId="0" xfId="0" applyNumberFormat="1"/>
    <xf numFmtId="166" fontId="8" fillId="0" borderId="0" xfId="0" applyNumberFormat="1" applyFont="1"/>
    <xf numFmtId="43" fontId="1" fillId="0" borderId="0" xfId="1" applyFont="1"/>
    <xf numFmtId="175" fontId="0" fillId="0" borderId="0" xfId="0" applyNumberFormat="1"/>
    <xf numFmtId="5" fontId="0" fillId="0" borderId="0" xfId="0" applyNumberFormat="1"/>
    <xf numFmtId="0" fontId="8" fillId="0" borderId="0" xfId="0" applyFont="1" applyAlignment="1">
      <alignment wrapText="1"/>
    </xf>
    <xf numFmtId="0" fontId="1" fillId="0" borderId="0" xfId="0" applyFont="1" applyAlignment="1">
      <alignment wrapText="1"/>
    </xf>
    <xf numFmtId="0" fontId="1" fillId="0" borderId="0" xfId="0" applyFont="1" applyAlignment="1">
      <alignment horizontal="right"/>
    </xf>
    <xf numFmtId="0" fontId="34" fillId="6" borderId="0" xfId="0" applyFont="1" applyFill="1" applyAlignment="1">
      <alignment horizontal="center"/>
    </xf>
    <xf numFmtId="0" fontId="4" fillId="0" borderId="0" xfId="0" applyFont="1" applyAlignment="1">
      <alignment horizontal="center"/>
    </xf>
    <xf numFmtId="0" fontId="4" fillId="0" borderId="0" xfId="0" applyNumberFormat="1" applyFont="1" applyAlignment="1"/>
    <xf numFmtId="3" fontId="1" fillId="0" borderId="0" xfId="0" applyNumberFormat="1" applyFont="1" applyFill="1" applyAlignment="1"/>
    <xf numFmtId="9" fontId="1" fillId="0" borderId="0" xfId="7" applyFont="1"/>
    <xf numFmtId="165" fontId="6" fillId="0" borderId="0" xfId="7" applyNumberFormat="1" applyFont="1"/>
    <xf numFmtId="3" fontId="5" fillId="0" borderId="0" xfId="0" applyNumberFormat="1" applyFont="1"/>
    <xf numFmtId="0" fontId="1" fillId="0" borderId="0" xfId="0" applyFont="1" applyBorder="1"/>
    <xf numFmtId="0" fontId="0" fillId="0" borderId="24" xfId="0" applyBorder="1"/>
    <xf numFmtId="0" fontId="0" fillId="0" borderId="21" xfId="0" applyBorder="1"/>
    <xf numFmtId="0" fontId="0" fillId="0" borderId="0" xfId="0" applyAlignment="1">
      <alignment horizontal="center" wrapText="1"/>
    </xf>
    <xf numFmtId="0" fontId="5" fillId="0" borderId="0" xfId="0" applyFont="1" applyAlignment="1">
      <alignment wrapText="1"/>
    </xf>
    <xf numFmtId="166" fontId="5" fillId="0" borderId="0" xfId="0" applyNumberFormat="1" applyFont="1"/>
    <xf numFmtId="0" fontId="36" fillId="0" borderId="0" xfId="0" applyFont="1" applyAlignment="1">
      <alignment horizontal="right"/>
    </xf>
    <xf numFmtId="0" fontId="8" fillId="0" borderId="0" xfId="0" applyFont="1" applyAlignment="1">
      <alignment horizontal="right"/>
    </xf>
    <xf numFmtId="0" fontId="37" fillId="7" borderId="28" xfId="6" applyFont="1" applyFill="1" applyBorder="1" applyAlignment="1">
      <alignment horizontal="center"/>
    </xf>
    <xf numFmtId="0" fontId="8" fillId="0" borderId="29" xfId="0" applyFont="1" applyBorder="1"/>
    <xf numFmtId="164" fontId="5" fillId="0" borderId="0" xfId="0" applyNumberFormat="1" applyFont="1"/>
    <xf numFmtId="2" fontId="5" fillId="0" borderId="0" xfId="0" applyNumberFormat="1" applyFont="1"/>
    <xf numFmtId="164" fontId="1" fillId="0" borderId="0" xfId="0" applyNumberFormat="1" applyFont="1"/>
    <xf numFmtId="164" fontId="5" fillId="0" borderId="0" xfId="0" applyNumberFormat="1" applyFont="1" applyAlignment="1">
      <alignment horizontal="right"/>
    </xf>
    <xf numFmtId="165" fontId="5" fillId="0" borderId="0" xfId="0" applyNumberFormat="1" applyFont="1" applyAlignment="1">
      <alignment horizontal="right"/>
    </xf>
    <xf numFmtId="166" fontId="1" fillId="0" borderId="0" xfId="0" applyNumberFormat="1" applyFont="1"/>
    <xf numFmtId="41" fontId="0" fillId="0" borderId="0" xfId="0" applyNumberFormat="1"/>
    <xf numFmtId="0" fontId="5" fillId="0" borderId="0" xfId="0" applyFont="1" applyAlignment="1"/>
    <xf numFmtId="3" fontId="8" fillId="0" borderId="0" xfId="0" applyNumberFormat="1" applyFont="1" applyBorder="1"/>
    <xf numFmtId="0" fontId="5" fillId="0" borderId="0" xfId="0" applyFont="1" applyBorder="1"/>
    <xf numFmtId="0" fontId="8" fillId="0" borderId="0" xfId="0" applyFont="1" applyAlignment="1">
      <alignment horizontal="center"/>
    </xf>
    <xf numFmtId="0" fontId="43" fillId="0" borderId="0" xfId="0" applyFont="1"/>
    <xf numFmtId="0" fontId="40" fillId="0" borderId="0" xfId="0" applyFont="1"/>
    <xf numFmtId="43" fontId="5" fillId="0" borderId="0" xfId="0" applyNumberFormat="1" applyFont="1"/>
    <xf numFmtId="43" fontId="8" fillId="0" borderId="0" xfId="0" applyNumberFormat="1" applyFont="1"/>
    <xf numFmtId="0" fontId="8" fillId="0" borderId="0" xfId="0" applyFont="1" applyAlignment="1"/>
    <xf numFmtId="0" fontId="26" fillId="0" borderId="0" xfId="0" applyFont="1" applyAlignment="1">
      <alignment wrapText="1"/>
    </xf>
    <xf numFmtId="0" fontId="0" fillId="0" borderId="1" xfId="0" applyBorder="1"/>
    <xf numFmtId="173" fontId="5" fillId="0" borderId="0" xfId="0" applyNumberFormat="1" applyFont="1"/>
    <xf numFmtId="43" fontId="8" fillId="0" borderId="0" xfId="1" applyFont="1"/>
    <xf numFmtId="0" fontId="5" fillId="0" borderId="0" xfId="0" applyFont="1" applyAlignment="1">
      <alignment horizontal="right"/>
    </xf>
    <xf numFmtId="0" fontId="9" fillId="0" borderId="0" xfId="0" applyFont="1" applyAlignment="1">
      <alignment horizontal="right" wrapText="1"/>
    </xf>
    <xf numFmtId="0" fontId="0" fillId="0" borderId="0" xfId="0" applyAlignment="1">
      <alignment horizontal="left"/>
    </xf>
    <xf numFmtId="0" fontId="8" fillId="0" borderId="0" xfId="0" applyFont="1" applyAlignment="1">
      <alignment horizontal="left"/>
    </xf>
    <xf numFmtId="0" fontId="0" fillId="0" borderId="30" xfId="0" applyBorder="1"/>
    <xf numFmtId="0" fontId="0" fillId="0" borderId="31" xfId="0" applyBorder="1"/>
    <xf numFmtId="0" fontId="5" fillId="0" borderId="0" xfId="0" applyFont="1" applyAlignment="1">
      <alignment horizontal="center"/>
    </xf>
    <xf numFmtId="44" fontId="1" fillId="0" borderId="0" xfId="2" applyFont="1"/>
    <xf numFmtId="44" fontId="8" fillId="0" borderId="0" xfId="2" applyFont="1"/>
    <xf numFmtId="44" fontId="2" fillId="0" borderId="0" xfId="2" applyFont="1"/>
    <xf numFmtId="7" fontId="5" fillId="0" borderId="0" xfId="2" applyNumberFormat="1" applyFont="1" applyAlignment="1">
      <alignment horizontal="right"/>
    </xf>
    <xf numFmtId="44" fontId="5" fillId="0" borderId="0" xfId="2" applyFont="1"/>
    <xf numFmtId="14" fontId="8" fillId="0" borderId="0" xfId="0" applyNumberFormat="1" applyFont="1"/>
    <xf numFmtId="9" fontId="1" fillId="0" borderId="0" xfId="0" applyNumberFormat="1" applyFont="1"/>
    <xf numFmtId="6" fontId="0" fillId="0" borderId="0" xfId="0" applyNumberFormat="1"/>
    <xf numFmtId="165" fontId="5" fillId="0" borderId="0" xfId="7" applyNumberFormat="1" applyFont="1"/>
    <xf numFmtId="0" fontId="0" fillId="0" borderId="10" xfId="0" applyBorder="1"/>
    <xf numFmtId="3" fontId="8" fillId="0" borderId="0" xfId="0" applyNumberFormat="1" applyFont="1"/>
    <xf numFmtId="1" fontId="5" fillId="0" borderId="0" xfId="0" applyNumberFormat="1" applyFont="1"/>
    <xf numFmtId="0" fontId="1" fillId="0" borderId="0" xfId="0" applyFont="1" applyBorder="1" applyAlignment="1">
      <alignment horizontal="center"/>
    </xf>
    <xf numFmtId="0" fontId="1" fillId="0" borderId="0" xfId="0" applyFont="1" applyAlignment="1">
      <alignment horizontal="center"/>
    </xf>
    <xf numFmtId="0" fontId="5" fillId="0" borderId="0" xfId="0" applyFont="1" applyBorder="1" applyAlignment="1">
      <alignment wrapText="1"/>
    </xf>
    <xf numFmtId="0" fontId="0" fillId="0" borderId="0" xfId="0" applyAlignment="1"/>
    <xf numFmtId="14" fontId="9" fillId="0" borderId="0" xfId="0" applyNumberFormat="1" applyFont="1"/>
    <xf numFmtId="14" fontId="1" fillId="0" borderId="0" xfId="2" applyNumberFormat="1" applyFont="1"/>
    <xf numFmtId="0" fontId="10" fillId="0" borderId="0" xfId="0" applyFont="1" applyAlignment="1">
      <alignment horizontal="center"/>
    </xf>
    <xf numFmtId="43" fontId="0" fillId="0" borderId="0" xfId="1" applyFont="1" applyAlignment="1">
      <alignment horizontal="center"/>
    </xf>
    <xf numFmtId="0" fontId="0" fillId="0" borderId="0" xfId="0" applyBorder="1" applyAlignment="1">
      <alignment wrapText="1"/>
    </xf>
    <xf numFmtId="0" fontId="0" fillId="0" borderId="17" xfId="0" applyBorder="1"/>
    <xf numFmtId="0" fontId="0" fillId="0" borderId="18" xfId="0" applyBorder="1"/>
    <xf numFmtId="0" fontId="0" fillId="0" borderId="0" xfId="0" applyAlignment="1">
      <alignment horizontal="right" wrapText="1"/>
    </xf>
    <xf numFmtId="0" fontId="45" fillId="0" borderId="0" xfId="0" applyFont="1"/>
    <xf numFmtId="166" fontId="0" fillId="0" borderId="0" xfId="0" applyNumberFormat="1" applyAlignment="1">
      <alignment wrapText="1"/>
    </xf>
    <xf numFmtId="0" fontId="50" fillId="0" borderId="0" xfId="0" applyFont="1"/>
    <xf numFmtId="3" fontId="50" fillId="0" borderId="0" xfId="0" applyNumberFormat="1" applyFont="1"/>
    <xf numFmtId="9" fontId="8" fillId="0" borderId="0" xfId="7" applyFont="1" applyAlignment="1">
      <alignment horizontal="center"/>
    </xf>
    <xf numFmtId="3" fontId="1" fillId="0" borderId="0" xfId="0" applyNumberFormat="1" applyFont="1" applyAlignment="1">
      <alignment horizontal="center"/>
    </xf>
    <xf numFmtId="177" fontId="0" fillId="0" borderId="0" xfId="0" applyNumberFormat="1"/>
    <xf numFmtId="0" fontId="5" fillId="0" borderId="0" xfId="0" applyFont="1" applyBorder="1" applyAlignment="1">
      <alignment horizontal="center"/>
    </xf>
    <xf numFmtId="0" fontId="0" fillId="0" borderId="0" xfId="0" applyBorder="1" applyAlignment="1">
      <alignment horizontal="center"/>
    </xf>
    <xf numFmtId="9" fontId="0" fillId="0" borderId="0" xfId="0" applyNumberFormat="1" applyAlignment="1">
      <alignment horizontal="center"/>
    </xf>
    <xf numFmtId="0" fontId="0" fillId="0" borderId="29" xfId="0" applyBorder="1" applyAlignment="1">
      <alignment horizontal="center"/>
    </xf>
    <xf numFmtId="9" fontId="0" fillId="0" borderId="29" xfId="0" applyNumberFormat="1" applyBorder="1" applyAlignment="1">
      <alignment horizontal="center"/>
    </xf>
    <xf numFmtId="0" fontId="0" fillId="0" borderId="32" xfId="0" applyBorder="1"/>
    <xf numFmtId="0" fontId="8" fillId="0" borderId="0" xfId="0" applyFont="1" applyAlignment="1">
      <alignment horizontal="left" indent="2"/>
    </xf>
    <xf numFmtId="0" fontId="0" fillId="0" borderId="0" xfId="0" applyAlignment="1">
      <alignment horizontal="left" indent="2"/>
    </xf>
    <xf numFmtId="0" fontId="6" fillId="0" borderId="0" xfId="0" applyFont="1" applyAlignment="1">
      <alignment horizontal="left" indent="2"/>
    </xf>
    <xf numFmtId="0" fontId="8" fillId="0" borderId="29" xfId="0" applyFont="1" applyBorder="1" applyAlignment="1">
      <alignment horizontal="center"/>
    </xf>
    <xf numFmtId="0" fontId="0" fillId="0" borderId="0" xfId="0" applyAlignment="1">
      <alignment horizontal="left" wrapText="1" indent="1"/>
    </xf>
    <xf numFmtId="42" fontId="0" fillId="0" borderId="0" xfId="0" applyNumberFormat="1"/>
    <xf numFmtId="37" fontId="0" fillId="0" borderId="0" xfId="0" applyNumberFormat="1" applyAlignment="1">
      <alignment horizontal="center"/>
    </xf>
    <xf numFmtId="37" fontId="0" fillId="0" borderId="29" xfId="0" applyNumberFormat="1" applyBorder="1" applyAlignment="1">
      <alignment horizontal="center"/>
    </xf>
    <xf numFmtId="37" fontId="0" fillId="0" borderId="29" xfId="1" applyNumberFormat="1" applyFont="1" applyBorder="1" applyAlignment="1">
      <alignment horizontal="center"/>
    </xf>
    <xf numFmtId="173" fontId="8" fillId="0" borderId="0" xfId="2" applyNumberFormat="1" applyFont="1" applyAlignment="1">
      <alignment horizontal="center"/>
    </xf>
    <xf numFmtId="7" fontId="0" fillId="0" borderId="0" xfId="0" applyNumberFormat="1" applyAlignment="1">
      <alignment horizontal="center"/>
    </xf>
    <xf numFmtId="43" fontId="1" fillId="0" borderId="0" xfId="1" applyFont="1" applyAlignment="1">
      <alignment horizontal="center"/>
    </xf>
    <xf numFmtId="173" fontId="22" fillId="0" borderId="29" xfId="2" applyNumberFormat="1" applyFont="1" applyBorder="1" applyAlignment="1">
      <alignment horizontal="center"/>
    </xf>
    <xf numFmtId="7" fontId="0" fillId="0" borderId="29" xfId="0" applyNumberFormat="1" applyBorder="1" applyAlignment="1">
      <alignment horizontal="center"/>
    </xf>
    <xf numFmtId="167" fontId="0" fillId="0" borderId="29" xfId="2" applyNumberFormat="1" applyFont="1" applyBorder="1" applyAlignment="1">
      <alignment horizontal="center"/>
    </xf>
    <xf numFmtId="173" fontId="8" fillId="0" borderId="29" xfId="2" applyNumberFormat="1" applyFont="1" applyBorder="1" applyAlignment="1">
      <alignment horizontal="center"/>
    </xf>
    <xf numFmtId="166" fontId="0" fillId="0" borderId="29" xfId="0" applyNumberFormat="1" applyBorder="1" applyAlignment="1">
      <alignment horizontal="center"/>
    </xf>
    <xf numFmtId="166" fontId="8" fillId="0" borderId="29" xfId="0" applyNumberFormat="1" applyFont="1" applyBorder="1" applyAlignment="1">
      <alignment horizontal="center"/>
    </xf>
    <xf numFmtId="166" fontId="0" fillId="0" borderId="0" xfId="0" applyNumberFormat="1" applyAlignment="1">
      <alignment horizontal="center"/>
    </xf>
    <xf numFmtId="9" fontId="0" fillId="0" borderId="29" xfId="7" applyNumberFormat="1" applyFont="1" applyBorder="1" applyAlignment="1">
      <alignment horizontal="center"/>
    </xf>
    <xf numFmtId="1" fontId="0" fillId="0" borderId="29" xfId="0" applyNumberFormat="1" applyBorder="1" applyAlignment="1">
      <alignment horizontal="center"/>
    </xf>
    <xf numFmtId="167" fontId="0" fillId="0" borderId="29" xfId="0" applyNumberFormat="1" applyBorder="1" applyAlignment="1">
      <alignment horizontal="center"/>
    </xf>
    <xf numFmtId="173" fontId="8" fillId="0" borderId="29" xfId="0" applyNumberFormat="1" applyFont="1" applyBorder="1" applyAlignment="1">
      <alignment horizontal="center"/>
    </xf>
    <xf numFmtId="165" fontId="0" fillId="0" borderId="29" xfId="7" applyNumberFormat="1" applyFont="1" applyBorder="1" applyAlignment="1">
      <alignment horizontal="center"/>
    </xf>
    <xf numFmtId="170" fontId="0" fillId="0" borderId="29" xfId="0" applyNumberFormat="1" applyBorder="1" applyAlignment="1">
      <alignment horizontal="center"/>
    </xf>
    <xf numFmtId="178" fontId="0" fillId="0" borderId="29" xfId="0" applyNumberFormat="1" applyBorder="1" applyAlignment="1">
      <alignment horizontal="center"/>
    </xf>
    <xf numFmtId="178" fontId="8" fillId="0" borderId="29" xfId="0" applyNumberFormat="1" applyFont="1" applyBorder="1" applyAlignment="1">
      <alignment horizontal="center"/>
    </xf>
    <xf numFmtId="165" fontId="0" fillId="0" borderId="0" xfId="7" applyNumberFormat="1" applyFont="1" applyAlignment="1">
      <alignment horizontal="center"/>
    </xf>
    <xf numFmtId="165" fontId="0" fillId="0" borderId="29" xfId="0" applyNumberFormat="1" applyBorder="1" applyAlignment="1">
      <alignment horizontal="center"/>
    </xf>
    <xf numFmtId="0" fontId="9" fillId="0" borderId="21" xfId="0" applyFont="1" applyBorder="1" applyAlignment="1">
      <alignment horizontal="center"/>
    </xf>
    <xf numFmtId="0" fontId="9" fillId="0" borderId="24" xfId="0" applyFont="1" applyBorder="1" applyAlignment="1">
      <alignment horizontal="center"/>
    </xf>
    <xf numFmtId="9" fontId="0" fillId="0" borderId="29" xfId="0" applyNumberFormat="1" applyBorder="1" applyAlignment="1">
      <alignment horizontal="center" wrapText="1"/>
    </xf>
    <xf numFmtId="175" fontId="0" fillId="0" borderId="29" xfId="0" applyNumberFormat="1" applyBorder="1" applyAlignment="1">
      <alignment horizontal="center"/>
    </xf>
    <xf numFmtId="37" fontId="0" fillId="0" borderId="29" xfId="1" applyNumberFormat="1" applyFont="1" applyBorder="1" applyAlignment="1">
      <alignment horizontal="center" wrapText="1"/>
    </xf>
    <xf numFmtId="5" fontId="0" fillId="0" borderId="29" xfId="0" applyNumberFormat="1" applyBorder="1" applyAlignment="1">
      <alignment horizontal="center"/>
    </xf>
    <xf numFmtId="2" fontId="0" fillId="0" borderId="29" xfId="0" applyNumberFormat="1" applyBorder="1" applyAlignment="1">
      <alignment horizontal="center"/>
    </xf>
    <xf numFmtId="10" fontId="0" fillId="0" borderId="29" xfId="7" applyNumberFormat="1" applyFont="1" applyBorder="1" applyAlignment="1">
      <alignment horizontal="center"/>
    </xf>
    <xf numFmtId="5" fontId="1" fillId="0" borderId="29" xfId="0" applyNumberFormat="1" applyFont="1" applyBorder="1" applyAlignment="1">
      <alignment horizontal="center"/>
    </xf>
    <xf numFmtId="0" fontId="0" fillId="0" borderId="30" xfId="0" applyBorder="1" applyAlignment="1">
      <alignment horizontal="center"/>
    </xf>
    <xf numFmtId="0" fontId="9" fillId="0" borderId="29" xfId="0" applyFont="1" applyBorder="1" applyAlignment="1">
      <alignment horizontal="center"/>
    </xf>
    <xf numFmtId="0" fontId="6" fillId="0" borderId="29" xfId="0" applyFont="1" applyBorder="1" applyAlignment="1">
      <alignment horizontal="center"/>
    </xf>
    <xf numFmtId="166" fontId="5" fillId="0" borderId="29" xfId="0" applyNumberFormat="1" applyFont="1" applyBorder="1" applyAlignment="1">
      <alignment horizontal="center"/>
    </xf>
    <xf numFmtId="0" fontId="5" fillId="0" borderId="29" xfId="0" applyFont="1" applyBorder="1" applyAlignment="1">
      <alignment horizontal="center"/>
    </xf>
    <xf numFmtId="3" fontId="0" fillId="0" borderId="29" xfId="0" applyNumberFormat="1" applyBorder="1" applyAlignment="1">
      <alignment horizontal="center"/>
    </xf>
    <xf numFmtId="9" fontId="0" fillId="0" borderId="29" xfId="7" applyFont="1" applyBorder="1" applyAlignment="1">
      <alignment horizontal="center"/>
    </xf>
    <xf numFmtId="165" fontId="8" fillId="0" borderId="29" xfId="7" applyNumberFormat="1" applyFont="1" applyBorder="1" applyAlignment="1">
      <alignment horizontal="center"/>
    </xf>
    <xf numFmtId="0" fontId="9" fillId="0" borderId="33" xfId="0" applyFont="1" applyBorder="1" applyAlignment="1">
      <alignment horizontal="center"/>
    </xf>
    <xf numFmtId="0" fontId="9" fillId="0" borderId="18" xfId="0" applyFont="1" applyBorder="1" applyAlignment="1">
      <alignment horizontal="center"/>
    </xf>
    <xf numFmtId="0" fontId="9" fillId="0" borderId="17"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0" fontId="9" fillId="0" borderId="36" xfId="0" applyFont="1" applyBorder="1" applyAlignment="1">
      <alignment horizontal="center"/>
    </xf>
    <xf numFmtId="0" fontId="6" fillId="0" borderId="0" xfId="0" applyFont="1" applyAlignment="1">
      <alignment horizontal="left" indent="1"/>
    </xf>
    <xf numFmtId="0" fontId="0" fillId="0" borderId="34" xfId="0" applyBorder="1" applyAlignment="1">
      <alignment horizontal="center"/>
    </xf>
    <xf numFmtId="37" fontId="8" fillId="0" borderId="29" xfId="0" applyNumberFormat="1" applyFont="1" applyBorder="1" applyAlignment="1">
      <alignment horizontal="center"/>
    </xf>
    <xf numFmtId="37" fontId="8" fillId="0" borderId="0" xfId="0" applyNumberFormat="1" applyFont="1" applyBorder="1" applyAlignment="1">
      <alignment horizontal="center"/>
    </xf>
    <xf numFmtId="0" fontId="22" fillId="0" borderId="0" xfId="0" applyFont="1" applyAlignment="1">
      <alignment horizontal="left" indent="1"/>
    </xf>
    <xf numFmtId="0" fontId="21" fillId="0" borderId="0" xfId="0" applyFont="1" applyAlignment="1">
      <alignment horizontal="left" indent="1"/>
    </xf>
    <xf numFmtId="9" fontId="0" fillId="0" borderId="29" xfId="0" applyNumberFormat="1" applyFill="1" applyBorder="1" applyAlignment="1">
      <alignment horizontal="center"/>
    </xf>
    <xf numFmtId="37" fontId="5" fillId="0" borderId="29" xfId="0" applyNumberFormat="1" applyFont="1" applyBorder="1" applyAlignment="1">
      <alignment horizontal="center"/>
    </xf>
    <xf numFmtId="9" fontId="8" fillId="0" borderId="29" xfId="7" applyFont="1" applyBorder="1" applyAlignment="1">
      <alignment horizontal="center"/>
    </xf>
    <xf numFmtId="0" fontId="0" fillId="0" borderId="29" xfId="0" applyFill="1" applyBorder="1" applyAlignment="1">
      <alignment horizontal="center"/>
    </xf>
    <xf numFmtId="0" fontId="0" fillId="0" borderId="0" xfId="0" applyFill="1" applyAlignment="1">
      <alignment horizontal="left" indent="1"/>
    </xf>
    <xf numFmtId="7" fontId="0" fillId="0" borderId="29" xfId="2" applyNumberFormat="1" applyFont="1" applyBorder="1" applyAlignment="1">
      <alignment horizontal="center"/>
    </xf>
    <xf numFmtId="7" fontId="0" fillId="0" borderId="0" xfId="2" applyNumberFormat="1" applyFont="1" applyAlignment="1">
      <alignment horizontal="center"/>
    </xf>
    <xf numFmtId="9" fontId="0" fillId="0" borderId="0" xfId="7" applyFont="1" applyAlignment="1">
      <alignment horizontal="center"/>
    </xf>
    <xf numFmtId="37" fontId="0" fillId="0" borderId="37" xfId="0" applyNumberFormat="1" applyBorder="1" applyAlignment="1">
      <alignment horizontal="center"/>
    </xf>
    <xf numFmtId="0" fontId="5" fillId="0" borderId="0" xfId="0" applyFont="1" applyAlignment="1">
      <alignment horizontal="left" indent="1"/>
    </xf>
    <xf numFmtId="0" fontId="0" fillId="0" borderId="0" xfId="0" applyAlignment="1">
      <alignment horizontal="left" indent="1"/>
    </xf>
    <xf numFmtId="0" fontId="10" fillId="0" borderId="0" xfId="0" applyFont="1" applyAlignment="1">
      <alignment horizontal="left" indent="1"/>
    </xf>
    <xf numFmtId="37" fontId="0" fillId="0" borderId="37" xfId="1" applyNumberFormat="1" applyFont="1" applyBorder="1" applyAlignment="1">
      <alignment horizontal="center"/>
    </xf>
    <xf numFmtId="0" fontId="5" fillId="0" borderId="0" xfId="0" applyFont="1" applyAlignment="1">
      <alignment horizontal="left" wrapText="1" indent="1"/>
    </xf>
    <xf numFmtId="0" fontId="10" fillId="0" borderId="29" xfId="0" applyFont="1" applyBorder="1" applyAlignment="1">
      <alignment horizontal="center"/>
    </xf>
    <xf numFmtId="1" fontId="5" fillId="0" borderId="29" xfId="0" applyNumberFormat="1" applyFont="1" applyBorder="1" applyAlignment="1">
      <alignment horizontal="center"/>
    </xf>
    <xf numFmtId="3" fontId="5" fillId="0" borderId="29" xfId="0" applyNumberFormat="1" applyFont="1" applyBorder="1" applyAlignment="1">
      <alignment horizontal="center"/>
    </xf>
    <xf numFmtId="166" fontId="9" fillId="0" borderId="29" xfId="0" applyNumberFormat="1" applyFont="1" applyBorder="1" applyAlignment="1">
      <alignment horizontal="center"/>
    </xf>
    <xf numFmtId="166" fontId="5" fillId="0" borderId="34" xfId="0" applyNumberFormat="1" applyFont="1" applyBorder="1" applyAlignment="1">
      <alignment horizontal="center"/>
    </xf>
    <xf numFmtId="9" fontId="8" fillId="0" borderId="34" xfId="7" applyFont="1" applyBorder="1" applyAlignment="1">
      <alignment horizontal="center"/>
    </xf>
    <xf numFmtId="166" fontId="9" fillId="0" borderId="36" xfId="0" applyNumberFormat="1" applyFont="1" applyBorder="1" applyAlignment="1">
      <alignment horizontal="center"/>
    </xf>
    <xf numFmtId="172" fontId="8" fillId="0" borderId="0" xfId="0" applyNumberFormat="1" applyFont="1"/>
    <xf numFmtId="37" fontId="5" fillId="0" borderId="29" xfId="1" applyNumberFormat="1" applyFont="1" applyBorder="1" applyAlignment="1">
      <alignment horizontal="center"/>
    </xf>
    <xf numFmtId="37" fontId="8" fillId="0" borderId="29" xfId="1" applyNumberFormat="1" applyFont="1" applyBorder="1" applyAlignment="1">
      <alignment horizontal="center"/>
    </xf>
    <xf numFmtId="43" fontId="0" fillId="0" borderId="36" xfId="0" applyNumberFormat="1" applyBorder="1"/>
    <xf numFmtId="172" fontId="8" fillId="0" borderId="29" xfId="0" applyNumberFormat="1" applyFont="1" applyBorder="1"/>
    <xf numFmtId="0" fontId="0" fillId="0" borderId="0" xfId="0" applyAlignment="1">
      <alignment horizontal="left" wrapText="1" indent="2"/>
    </xf>
    <xf numFmtId="0" fontId="6" fillId="0" borderId="0" xfId="0" applyFont="1" applyAlignment="1">
      <alignment horizontal="center"/>
    </xf>
    <xf numFmtId="0" fontId="41" fillId="0" borderId="29" xfId="0" applyFont="1" applyBorder="1" applyAlignment="1">
      <alignment horizontal="center"/>
    </xf>
    <xf numFmtId="0" fontId="52" fillId="0" borderId="0" xfId="0" applyFont="1"/>
    <xf numFmtId="5" fontId="52" fillId="0" borderId="29" xfId="2" applyNumberFormat="1" applyFont="1" applyBorder="1" applyAlignment="1">
      <alignment horizontal="center"/>
    </xf>
    <xf numFmtId="0" fontId="52" fillId="0" borderId="29" xfId="0" applyFont="1" applyBorder="1" applyAlignment="1">
      <alignment horizontal="center"/>
    </xf>
    <xf numFmtId="7" fontId="52" fillId="0" borderId="29" xfId="2" applyNumberFormat="1" applyFont="1" applyBorder="1" applyAlignment="1">
      <alignment horizontal="center"/>
    </xf>
    <xf numFmtId="166" fontId="52" fillId="0" borderId="29" xfId="0" applyNumberFormat="1" applyFont="1" applyBorder="1" applyAlignment="1">
      <alignment horizontal="center"/>
    </xf>
    <xf numFmtId="166" fontId="29" fillId="0" borderId="29" xfId="0" applyNumberFormat="1" applyFont="1" applyBorder="1" applyAlignment="1">
      <alignment horizontal="center"/>
    </xf>
    <xf numFmtId="9" fontId="52" fillId="0" borderId="29" xfId="0" applyNumberFormat="1" applyFont="1" applyBorder="1" applyAlignment="1">
      <alignment horizontal="center"/>
    </xf>
    <xf numFmtId="43" fontId="52" fillId="0" borderId="29" xfId="0" applyNumberFormat="1" applyFont="1" applyBorder="1"/>
    <xf numFmtId="0" fontId="8" fillId="0" borderId="0" xfId="0" applyFont="1" applyAlignment="1">
      <alignment horizontal="left" indent="1"/>
    </xf>
    <xf numFmtId="0" fontId="10" fillId="0" borderId="0" xfId="0" applyFont="1" applyAlignment="1">
      <alignment horizontal="left" indent="2"/>
    </xf>
    <xf numFmtId="42" fontId="0" fillId="0" borderId="29" xfId="0" applyNumberFormat="1" applyBorder="1"/>
    <xf numFmtId="6" fontId="9" fillId="0" borderId="29" xfId="0" applyNumberFormat="1" applyFont="1" applyBorder="1" applyAlignment="1">
      <alignment horizontal="center"/>
    </xf>
    <xf numFmtId="0" fontId="1" fillId="0" borderId="0" xfId="0" applyFont="1" applyAlignment="1">
      <alignment horizontal="left" indent="1"/>
    </xf>
    <xf numFmtId="0" fontId="5" fillId="0" borderId="0" xfId="0" applyFont="1" applyFill="1" applyBorder="1" applyAlignment="1">
      <alignment horizontal="left" indent="1"/>
    </xf>
    <xf numFmtId="0" fontId="6" fillId="0" borderId="0" xfId="0" applyFont="1" applyAlignment="1">
      <alignment horizontal="left" indent="3"/>
    </xf>
    <xf numFmtId="0" fontId="22" fillId="0" borderId="0" xfId="0" applyFont="1" applyAlignment="1">
      <alignment horizontal="left" indent="2"/>
    </xf>
    <xf numFmtId="0" fontId="1" fillId="0" borderId="0" xfId="0" applyFont="1" applyAlignment="1">
      <alignment horizontal="left" indent="2"/>
    </xf>
    <xf numFmtId="0" fontId="21" fillId="0" borderId="0" xfId="0" applyFont="1" applyAlignment="1">
      <alignment horizontal="left" indent="2"/>
    </xf>
    <xf numFmtId="0" fontId="5" fillId="0" borderId="0" xfId="0" applyFont="1" applyFill="1" applyBorder="1" applyAlignment="1">
      <alignment horizontal="left" indent="2"/>
    </xf>
    <xf numFmtId="0" fontId="10" fillId="0" borderId="0" xfId="0" applyFont="1" applyAlignment="1">
      <alignment horizontal="left" indent="3"/>
    </xf>
    <xf numFmtId="0" fontId="0" fillId="0" borderId="0" xfId="0" applyAlignment="1">
      <alignment horizontal="left" indent="3"/>
    </xf>
    <xf numFmtId="0" fontId="9" fillId="0" borderId="0" xfId="0" applyFont="1" applyAlignment="1">
      <alignment horizontal="left" indent="1"/>
    </xf>
    <xf numFmtId="0" fontId="9" fillId="0" borderId="0" xfId="0" applyFont="1" applyAlignment="1">
      <alignment horizontal="left" indent="2"/>
    </xf>
    <xf numFmtId="0" fontId="5" fillId="0" borderId="0" xfId="0" applyFont="1" applyAlignment="1">
      <alignment horizontal="left" indent="2"/>
    </xf>
    <xf numFmtId="0" fontId="8" fillId="0" borderId="0" xfId="0" applyFont="1" applyAlignment="1">
      <alignment horizontal="left" indent="3"/>
    </xf>
    <xf numFmtId="0" fontId="5" fillId="0" borderId="0" xfId="0" applyFont="1" applyAlignment="1">
      <alignment horizontal="left" indent="3"/>
    </xf>
    <xf numFmtId="0" fontId="6" fillId="0" borderId="0" xfId="0" applyFont="1" applyAlignment="1">
      <alignment horizontal="left" indent="4"/>
    </xf>
    <xf numFmtId="41" fontId="3" fillId="0" borderId="0" xfId="0" applyNumberFormat="1" applyFont="1"/>
    <xf numFmtId="41" fontId="1" fillId="0" borderId="0" xfId="0" applyNumberFormat="1" applyFont="1"/>
    <xf numFmtId="9" fontId="5" fillId="0" borderId="29" xfId="0" applyNumberFormat="1" applyFont="1" applyBorder="1" applyAlignment="1">
      <alignment horizontal="center"/>
    </xf>
    <xf numFmtId="5" fontId="8" fillId="0" borderId="29" xfId="0" applyNumberFormat="1" applyFont="1" applyBorder="1" applyAlignment="1">
      <alignment horizontal="center"/>
    </xf>
    <xf numFmtId="168" fontId="0" fillId="0" borderId="29" xfId="0" applyNumberFormat="1" applyBorder="1" applyAlignment="1">
      <alignment horizontal="center"/>
    </xf>
    <xf numFmtId="2" fontId="0" fillId="0" borderId="0" xfId="0" applyNumberFormat="1" applyAlignment="1">
      <alignment horizontal="center"/>
    </xf>
    <xf numFmtId="37" fontId="0" fillId="0" borderId="29" xfId="0" applyNumberFormat="1" applyBorder="1" applyAlignment="1"/>
    <xf numFmtId="42" fontId="3" fillId="0" borderId="29" xfId="0" applyNumberFormat="1" applyFont="1" applyBorder="1" applyAlignment="1"/>
    <xf numFmtId="42" fontId="0" fillId="0" borderId="29" xfId="0" applyNumberFormat="1" applyBorder="1" applyAlignment="1"/>
    <xf numFmtId="42" fontId="8" fillId="0" borderId="29" xfId="0" applyNumberFormat="1" applyFont="1" applyBorder="1" applyAlignment="1">
      <alignment horizontal="center"/>
    </xf>
    <xf numFmtId="41" fontId="0" fillId="0" borderId="29" xfId="0" applyNumberFormat="1" applyBorder="1" applyAlignment="1">
      <alignment horizontal="center"/>
    </xf>
    <xf numFmtId="42" fontId="51" fillId="0" borderId="29" xfId="0" applyNumberFormat="1" applyFont="1" applyBorder="1" applyAlignment="1">
      <alignment horizontal="center"/>
    </xf>
    <xf numFmtId="41" fontId="51" fillId="0" borderId="29" xfId="0" applyNumberFormat="1" applyFont="1" applyBorder="1" applyAlignment="1">
      <alignment horizontal="center"/>
    </xf>
    <xf numFmtId="0" fontId="5" fillId="0" borderId="0" xfId="0" applyFont="1" applyBorder="1" applyAlignment="1">
      <alignment horizontal="left" indent="1"/>
    </xf>
    <xf numFmtId="0" fontId="8" fillId="0" borderId="0" xfId="0" applyFont="1" applyBorder="1" applyAlignment="1">
      <alignment horizontal="left" indent="1"/>
    </xf>
    <xf numFmtId="3" fontId="0" fillId="0" borderId="0" xfId="0" applyNumberFormat="1" applyAlignment="1">
      <alignment horizontal="center"/>
    </xf>
    <xf numFmtId="0" fontId="9" fillId="0" borderId="21" xfId="0" applyFont="1" applyBorder="1" applyAlignment="1">
      <alignment horizontal="center" wrapText="1"/>
    </xf>
    <xf numFmtId="37" fontId="0" fillId="7" borderId="29" xfId="1" applyNumberFormat="1" applyFont="1" applyFill="1" applyBorder="1" applyAlignment="1">
      <alignment horizontal="center"/>
    </xf>
    <xf numFmtId="41" fontId="51" fillId="0" borderId="0" xfId="0" applyNumberFormat="1" applyFont="1"/>
    <xf numFmtId="6" fontId="5" fillId="0" borderId="0" xfId="0" applyNumberFormat="1" applyFont="1" applyAlignment="1">
      <alignment horizontal="center"/>
    </xf>
    <xf numFmtId="6" fontId="5" fillId="0" borderId="29" xfId="0" applyNumberFormat="1" applyFont="1" applyBorder="1" applyAlignment="1">
      <alignment horizontal="center"/>
    </xf>
    <xf numFmtId="6" fontId="8" fillId="0" borderId="29" xfId="0" applyNumberFormat="1" applyFont="1" applyBorder="1" applyAlignment="1">
      <alignment horizontal="center"/>
    </xf>
    <xf numFmtId="167" fontId="5" fillId="0" borderId="29" xfId="0" applyNumberFormat="1" applyFont="1" applyBorder="1" applyAlignment="1">
      <alignment horizontal="center"/>
    </xf>
    <xf numFmtId="0" fontId="5" fillId="0" borderId="31" xfId="0" applyFont="1" applyBorder="1" applyAlignment="1">
      <alignment horizontal="center"/>
    </xf>
    <xf numFmtId="165" fontId="5" fillId="0" borderId="0" xfId="7" applyNumberFormat="1" applyFont="1" applyAlignment="1">
      <alignment horizontal="center"/>
    </xf>
    <xf numFmtId="0" fontId="4" fillId="7" borderId="38" xfId="0" applyFont="1" applyFill="1" applyBorder="1" applyAlignment="1">
      <alignment horizontal="center"/>
    </xf>
    <xf numFmtId="0" fontId="4" fillId="7" borderId="39" xfId="0" applyFont="1" applyFill="1" applyBorder="1" applyAlignment="1">
      <alignment horizontal="center"/>
    </xf>
    <xf numFmtId="0" fontId="8" fillId="7" borderId="29" xfId="0" applyFont="1" applyFill="1" applyBorder="1" applyAlignment="1">
      <alignment horizontal="center"/>
    </xf>
    <xf numFmtId="0" fontId="4" fillId="7" borderId="40" xfId="0" applyFont="1" applyFill="1" applyBorder="1" applyAlignment="1">
      <alignment horizontal="center"/>
    </xf>
    <xf numFmtId="0" fontId="39" fillId="0" borderId="29" xfId="6" applyFont="1" applyFill="1" applyBorder="1" applyAlignment="1">
      <alignment horizontal="left" wrapText="1" indent="1"/>
    </xf>
    <xf numFmtId="172" fontId="8" fillId="0" borderId="36" xfId="0" applyNumberFormat="1" applyFont="1" applyBorder="1"/>
    <xf numFmtId="172" fontId="8" fillId="0" borderId="41" xfId="0" applyNumberFormat="1" applyFont="1" applyBorder="1" applyAlignment="1">
      <alignment vertical="center"/>
    </xf>
    <xf numFmtId="172" fontId="1" fillId="0" borderId="0" xfId="0" applyNumberFormat="1" applyFont="1"/>
    <xf numFmtId="172" fontId="8" fillId="0" borderId="42" xfId="0" applyNumberFormat="1" applyFont="1" applyBorder="1"/>
    <xf numFmtId="172" fontId="8" fillId="0" borderId="25" xfId="0" applyNumberFormat="1" applyFont="1" applyBorder="1"/>
    <xf numFmtId="172" fontId="5" fillId="0" borderId="29" xfId="0" applyNumberFormat="1" applyFont="1" applyFill="1" applyBorder="1"/>
    <xf numFmtId="172" fontId="5" fillId="0" borderId="29" xfId="0" applyNumberFormat="1" applyFont="1" applyBorder="1"/>
    <xf numFmtId="172" fontId="5" fillId="0" borderId="29" xfId="0" applyNumberFormat="1" applyFont="1" applyBorder="1" applyAlignment="1">
      <alignment vertical="center"/>
    </xf>
    <xf numFmtId="172" fontId="5" fillId="0" borderId="0" xfId="0" applyNumberFormat="1" applyFont="1"/>
    <xf numFmtId="172" fontId="5" fillId="0" borderId="37" xfId="0" applyNumberFormat="1" applyFont="1" applyBorder="1"/>
    <xf numFmtId="172" fontId="5" fillId="0" borderId="31" xfId="0" applyNumberFormat="1" applyFont="1" applyBorder="1"/>
    <xf numFmtId="172" fontId="8" fillId="0" borderId="29" xfId="0" applyNumberFormat="1" applyFont="1" applyBorder="1" applyAlignment="1">
      <alignment vertical="center"/>
    </xf>
    <xf numFmtId="172" fontId="8" fillId="0" borderId="29" xfId="1" applyNumberFormat="1" applyFont="1" applyBorder="1"/>
    <xf numFmtId="172" fontId="8" fillId="0" borderId="31" xfId="1" applyNumberFormat="1" applyFont="1" applyBorder="1"/>
    <xf numFmtId="172" fontId="8" fillId="0" borderId="31" xfId="0" applyNumberFormat="1" applyFont="1" applyBorder="1"/>
    <xf numFmtId="172" fontId="1" fillId="0" borderId="29" xfId="0" applyNumberFormat="1" applyFont="1" applyBorder="1"/>
    <xf numFmtId="10" fontId="8" fillId="0" borderId="0" xfId="7" applyNumberFormat="1" applyFont="1" applyAlignment="1">
      <alignment horizontal="center"/>
    </xf>
    <xf numFmtId="0" fontId="4" fillId="0" borderId="29" xfId="0" applyNumberFormat="1" applyFont="1" applyBorder="1" applyAlignment="1">
      <alignment horizontal="center"/>
    </xf>
    <xf numFmtId="165" fontId="4" fillId="0" borderId="29" xfId="7" applyNumberFormat="1" applyFont="1" applyBorder="1" applyAlignment="1">
      <alignment horizontal="center"/>
    </xf>
    <xf numFmtId="165" fontId="6" fillId="0" borderId="0" xfId="7" applyNumberFormat="1" applyFont="1" applyBorder="1" applyAlignment="1">
      <alignment horizontal="center"/>
    </xf>
    <xf numFmtId="41" fontId="0" fillId="0" borderId="8" xfId="1" applyNumberFormat="1" applyFont="1" applyBorder="1" applyAlignment="1">
      <alignment horizontal="center"/>
    </xf>
    <xf numFmtId="41" fontId="0" fillId="0" borderId="0" xfId="1" applyNumberFormat="1" applyFont="1" applyBorder="1" applyAlignment="1">
      <alignment horizontal="center"/>
    </xf>
    <xf numFmtId="41" fontId="8" fillId="0" borderId="1" xfId="1" applyNumberFormat="1" applyFont="1" applyBorder="1" applyAlignment="1">
      <alignment horizontal="center"/>
    </xf>
    <xf numFmtId="41" fontId="0" fillId="0" borderId="43" xfId="1" applyNumberFormat="1" applyFont="1" applyBorder="1" applyAlignment="1"/>
    <xf numFmtId="41" fontId="0" fillId="0" borderId="8" xfId="1" applyNumberFormat="1" applyFont="1" applyBorder="1" applyAlignment="1"/>
    <xf numFmtId="41" fontId="0" fillId="0" borderId="44" xfId="1" applyNumberFormat="1" applyFont="1" applyBorder="1" applyAlignment="1"/>
    <xf numFmtId="41" fontId="0" fillId="0" borderId="0" xfId="1" applyNumberFormat="1" applyFont="1" applyBorder="1" applyAlignment="1"/>
    <xf numFmtId="41" fontId="8" fillId="0" borderId="45" xfId="1" applyNumberFormat="1" applyFont="1" applyBorder="1" applyAlignment="1"/>
    <xf numFmtId="41" fontId="8" fillId="0" borderId="1" xfId="1" applyNumberFormat="1" applyFont="1" applyBorder="1" applyAlignment="1"/>
    <xf numFmtId="41" fontId="51" fillId="0" borderId="44" xfId="1" applyNumberFormat="1" applyFont="1" applyBorder="1" applyAlignment="1"/>
    <xf numFmtId="41" fontId="51" fillId="0" borderId="0" xfId="1" applyNumberFormat="1" applyFont="1" applyBorder="1" applyAlignment="1"/>
    <xf numFmtId="165" fontId="51" fillId="0" borderId="0" xfId="7" applyNumberFormat="1" applyFont="1" applyBorder="1" applyAlignment="1">
      <alignment horizontal="center"/>
    </xf>
    <xf numFmtId="41" fontId="51" fillId="0" borderId="0" xfId="1" applyNumberFormat="1" applyFont="1" applyBorder="1" applyAlignment="1">
      <alignment horizontal="center"/>
    </xf>
    <xf numFmtId="41" fontId="0" fillId="0" borderId="43" xfId="0" applyNumberFormat="1" applyBorder="1"/>
    <xf numFmtId="41" fontId="0" fillId="0" borderId="44" xfId="0" applyNumberFormat="1" applyBorder="1"/>
    <xf numFmtId="41" fontId="9" fillId="0" borderId="45" xfId="0" applyNumberFormat="1" applyFont="1" applyBorder="1"/>
    <xf numFmtId="41" fontId="51" fillId="0" borderId="44" xfId="0" applyNumberFormat="1" applyFont="1" applyBorder="1"/>
    <xf numFmtId="41" fontId="6" fillId="0" borderId="0" xfId="0" applyNumberFormat="1" applyFont="1"/>
    <xf numFmtId="39" fontId="1" fillId="0" borderId="29" xfId="1" applyNumberFormat="1" applyFont="1" applyBorder="1" applyAlignment="1">
      <alignment horizontal="center"/>
    </xf>
    <xf numFmtId="7" fontId="1" fillId="0" borderId="29" xfId="0" applyNumberFormat="1" applyFont="1" applyBorder="1" applyAlignment="1">
      <alignment horizontal="center"/>
    </xf>
    <xf numFmtId="9" fontId="3" fillId="0" borderId="0" xfId="7" applyFont="1"/>
    <xf numFmtId="9" fontId="9" fillId="0" borderId="0" xfId="0" applyNumberFormat="1" applyFont="1" applyAlignment="1">
      <alignment horizontal="center"/>
    </xf>
    <xf numFmtId="9" fontId="9" fillId="0" borderId="34" xfId="0" applyNumberFormat="1" applyFont="1" applyBorder="1" applyAlignment="1">
      <alignment horizontal="center"/>
    </xf>
    <xf numFmtId="9" fontId="8" fillId="0" borderId="35" xfId="7" applyFont="1" applyBorder="1" applyAlignment="1">
      <alignment horizontal="center"/>
    </xf>
    <xf numFmtId="9" fontId="8" fillId="0" borderId="36" xfId="7" applyFont="1" applyBorder="1" applyAlignment="1">
      <alignment horizontal="center"/>
    </xf>
    <xf numFmtId="41" fontId="9" fillId="0" borderId="43" xfId="1" applyNumberFormat="1" applyFont="1" applyFill="1" applyBorder="1" applyAlignment="1">
      <alignment horizontal="right"/>
    </xf>
    <xf numFmtId="41" fontId="9" fillId="0" borderId="8" xfId="1" applyNumberFormat="1" applyFont="1" applyFill="1" applyBorder="1" applyAlignment="1">
      <alignment horizontal="right"/>
    </xf>
    <xf numFmtId="41" fontId="9" fillId="0" borderId="9" xfId="1" applyNumberFormat="1" applyFont="1" applyFill="1" applyBorder="1" applyAlignment="1">
      <alignment horizontal="right"/>
    </xf>
    <xf numFmtId="41" fontId="9" fillId="0" borderId="0" xfId="1" applyNumberFormat="1" applyFont="1" applyFill="1" applyBorder="1" applyAlignment="1">
      <alignment horizontal="right"/>
    </xf>
    <xf numFmtId="41" fontId="9" fillId="0" borderId="0" xfId="7" applyNumberFormat="1" applyFont="1" applyFill="1" applyBorder="1" applyAlignment="1">
      <alignment horizontal="right"/>
    </xf>
    <xf numFmtId="41" fontId="9" fillId="4" borderId="0" xfId="1" applyNumberFormat="1" applyFont="1" applyFill="1" applyBorder="1" applyAlignment="1">
      <alignment horizontal="right"/>
    </xf>
    <xf numFmtId="41" fontId="9" fillId="0" borderId="0" xfId="0" applyNumberFormat="1" applyFont="1" applyFill="1" applyBorder="1" applyAlignment="1">
      <alignment horizontal="right"/>
    </xf>
    <xf numFmtId="41" fontId="10" fillId="0" borderId="44" xfId="1" applyNumberFormat="1" applyFont="1" applyFill="1" applyBorder="1" applyAlignment="1">
      <alignment horizontal="right"/>
    </xf>
    <xf numFmtId="41" fontId="10" fillId="0" borderId="0" xfId="1" applyNumberFormat="1" applyFont="1" applyFill="1" applyBorder="1" applyAlignment="1">
      <alignment horizontal="right"/>
    </xf>
    <xf numFmtId="41" fontId="10" fillId="0" borderId="10" xfId="1" applyNumberFormat="1" applyFont="1" applyFill="1" applyBorder="1" applyAlignment="1">
      <alignment horizontal="right"/>
    </xf>
    <xf numFmtId="41" fontId="10" fillId="0" borderId="0" xfId="7" applyNumberFormat="1" applyFont="1" applyFill="1" applyBorder="1" applyAlignment="1">
      <alignment horizontal="right"/>
    </xf>
    <xf numFmtId="41" fontId="10" fillId="4" borderId="0" xfId="1" applyNumberFormat="1" applyFont="1" applyFill="1" applyBorder="1" applyAlignment="1">
      <alignment horizontal="right"/>
    </xf>
    <xf numFmtId="41" fontId="10" fillId="0" borderId="0" xfId="0" applyNumberFormat="1" applyFont="1" applyFill="1" applyBorder="1" applyAlignment="1">
      <alignment horizontal="right"/>
    </xf>
    <xf numFmtId="41" fontId="9" fillId="0" borderId="44" xfId="1" applyNumberFormat="1" applyFont="1" applyFill="1" applyBorder="1" applyAlignment="1">
      <alignment horizontal="right"/>
    </xf>
    <xf numFmtId="41" fontId="9" fillId="0" borderId="10" xfId="1" applyNumberFormat="1" applyFont="1" applyFill="1" applyBorder="1" applyAlignment="1">
      <alignment horizontal="right"/>
    </xf>
    <xf numFmtId="41" fontId="9" fillId="0" borderId="44" xfId="0" applyNumberFormat="1" applyFont="1" applyFill="1" applyBorder="1" applyAlignment="1">
      <alignment horizontal="right"/>
    </xf>
    <xf numFmtId="41" fontId="9" fillId="0" borderId="10" xfId="0" applyNumberFormat="1" applyFont="1" applyFill="1" applyBorder="1" applyAlignment="1">
      <alignment horizontal="right"/>
    </xf>
    <xf numFmtId="41" fontId="9" fillId="0" borderId="46" xfId="0" applyNumberFormat="1" applyFont="1" applyFill="1" applyBorder="1" applyAlignment="1">
      <alignment horizontal="right"/>
    </xf>
    <xf numFmtId="41" fontId="9" fillId="0" borderId="21" xfId="0" applyNumberFormat="1" applyFont="1" applyFill="1" applyBorder="1" applyAlignment="1">
      <alignment horizontal="right"/>
    </xf>
    <xf numFmtId="41" fontId="9" fillId="0" borderId="19" xfId="0" applyNumberFormat="1" applyFont="1" applyFill="1" applyBorder="1" applyAlignment="1">
      <alignment horizontal="right"/>
    </xf>
    <xf numFmtId="41" fontId="9" fillId="0" borderId="21" xfId="7" applyNumberFormat="1" applyFont="1" applyFill="1" applyBorder="1" applyAlignment="1">
      <alignment horizontal="right"/>
    </xf>
    <xf numFmtId="41" fontId="9" fillId="4" borderId="21" xfId="1" applyNumberFormat="1" applyFont="1" applyFill="1" applyBorder="1" applyAlignment="1">
      <alignment horizontal="right"/>
    </xf>
    <xf numFmtId="41" fontId="10" fillId="0" borderId="44" xfId="0" applyNumberFormat="1" applyFont="1" applyFill="1" applyBorder="1" applyAlignment="1">
      <alignment horizontal="right"/>
    </xf>
    <xf numFmtId="41" fontId="9" fillId="4" borderId="0" xfId="0" applyNumberFormat="1" applyFont="1" applyFill="1" applyBorder="1" applyAlignment="1">
      <alignment horizontal="right"/>
    </xf>
    <xf numFmtId="41" fontId="53" fillId="0" borderId="44" xfId="0" applyNumberFormat="1" applyFont="1" applyFill="1" applyBorder="1" applyAlignment="1">
      <alignment horizontal="right"/>
    </xf>
    <xf numFmtId="41" fontId="53" fillId="0" borderId="0" xfId="0" applyNumberFormat="1" applyFont="1" applyFill="1" applyBorder="1" applyAlignment="1">
      <alignment horizontal="right"/>
    </xf>
    <xf numFmtId="41" fontId="53" fillId="0" borderId="10" xfId="0" applyNumberFormat="1" applyFont="1" applyFill="1" applyBorder="1" applyAlignment="1">
      <alignment horizontal="right"/>
    </xf>
    <xf numFmtId="41" fontId="53" fillId="0" borderId="0" xfId="7" applyNumberFormat="1" applyFont="1" applyFill="1" applyBorder="1" applyAlignment="1">
      <alignment horizontal="right"/>
    </xf>
    <xf numFmtId="41" fontId="53" fillId="4" borderId="0" xfId="1" applyNumberFormat="1" applyFont="1" applyFill="1" applyBorder="1" applyAlignment="1">
      <alignment horizontal="right"/>
    </xf>
    <xf numFmtId="41" fontId="54" fillId="0" borderId="44" xfId="1" applyNumberFormat="1" applyFont="1" applyFill="1" applyBorder="1" applyAlignment="1">
      <alignment horizontal="right"/>
    </xf>
    <xf numFmtId="41" fontId="54" fillId="0" borderId="0" xfId="1" applyNumberFormat="1" applyFont="1" applyFill="1" applyBorder="1" applyAlignment="1">
      <alignment horizontal="right"/>
    </xf>
    <xf numFmtId="41" fontId="54" fillId="0" borderId="10" xfId="1" applyNumberFormat="1" applyFont="1" applyFill="1" applyBorder="1" applyAlignment="1">
      <alignment horizontal="right"/>
    </xf>
    <xf numFmtId="41" fontId="54" fillId="0" borderId="0" xfId="7" applyNumberFormat="1" applyFont="1" applyFill="1" applyBorder="1" applyAlignment="1">
      <alignment horizontal="right"/>
    </xf>
    <xf numFmtId="41" fontId="54" fillId="4" borderId="0" xfId="1" applyNumberFormat="1" applyFont="1" applyFill="1" applyBorder="1" applyAlignment="1">
      <alignment horizontal="right"/>
    </xf>
    <xf numFmtId="41" fontId="54" fillId="0" borderId="44" xfId="0" applyNumberFormat="1" applyFont="1" applyFill="1" applyBorder="1" applyAlignment="1">
      <alignment horizontal="right"/>
    </xf>
    <xf numFmtId="41" fontId="54" fillId="0" borderId="0" xfId="0" applyNumberFormat="1" applyFont="1" applyFill="1" applyBorder="1" applyAlignment="1">
      <alignment horizontal="right"/>
    </xf>
    <xf numFmtId="41" fontId="53" fillId="0" borderId="47" xfId="0" applyNumberFormat="1" applyFont="1" applyFill="1" applyBorder="1" applyAlignment="1">
      <alignment horizontal="right"/>
    </xf>
    <xf numFmtId="41" fontId="53" fillId="0" borderId="22" xfId="0" applyNumberFormat="1" applyFont="1" applyFill="1" applyBorder="1" applyAlignment="1">
      <alignment horizontal="right"/>
    </xf>
    <xf numFmtId="41" fontId="53" fillId="0" borderId="48" xfId="0" applyNumberFormat="1" applyFont="1" applyFill="1" applyBorder="1" applyAlignment="1">
      <alignment horizontal="right"/>
    </xf>
    <xf numFmtId="41" fontId="53" fillId="0" borderId="22" xfId="7" applyNumberFormat="1" applyFont="1" applyFill="1" applyBorder="1" applyAlignment="1">
      <alignment horizontal="right"/>
    </xf>
    <xf numFmtId="41" fontId="53" fillId="4" borderId="22" xfId="1" applyNumberFormat="1" applyFont="1" applyFill="1" applyBorder="1" applyAlignment="1">
      <alignment horizontal="right"/>
    </xf>
    <xf numFmtId="41" fontId="53" fillId="4" borderId="22" xfId="0" applyNumberFormat="1" applyFont="1" applyFill="1" applyBorder="1" applyAlignment="1">
      <alignment horizontal="right"/>
    </xf>
    <xf numFmtId="165" fontId="1" fillId="0" borderId="0" xfId="7" applyNumberFormat="1" applyFont="1" applyAlignment="1">
      <alignment horizontal="center"/>
    </xf>
    <xf numFmtId="9" fontId="0" fillId="0" borderId="0" xfId="7" applyFont="1" applyBorder="1" applyAlignment="1">
      <alignment horizontal="center"/>
    </xf>
    <xf numFmtId="9" fontId="0" fillId="0" borderId="0" xfId="0" applyNumberFormat="1" applyBorder="1" applyAlignment="1">
      <alignment horizontal="center"/>
    </xf>
    <xf numFmtId="9" fontId="8" fillId="0" borderId="0" xfId="7" applyFont="1" applyBorder="1" applyAlignment="1">
      <alignment horizontal="center"/>
    </xf>
    <xf numFmtId="37" fontId="1" fillId="0" borderId="0" xfId="1" applyNumberFormat="1" applyFont="1" applyBorder="1" applyAlignment="1">
      <alignment horizontal="center"/>
    </xf>
    <xf numFmtId="37" fontId="1" fillId="0" borderId="0" xfId="0" applyNumberFormat="1" applyFont="1" applyBorder="1" applyAlignment="1">
      <alignment horizontal="center"/>
    </xf>
    <xf numFmtId="0" fontId="13" fillId="0" borderId="34" xfId="0" applyFont="1" applyBorder="1" applyAlignment="1">
      <alignment horizontal="center"/>
    </xf>
    <xf numFmtId="0" fontId="13" fillId="0" borderId="36" xfId="0" applyFont="1" applyBorder="1" applyAlignment="1">
      <alignment horizontal="center"/>
    </xf>
    <xf numFmtId="7" fontId="14" fillId="0" borderId="0" xfId="2" applyNumberFormat="1" applyFont="1" applyAlignment="1">
      <alignment horizontal="center"/>
    </xf>
    <xf numFmtId="0" fontId="17" fillId="0" borderId="0" xfId="0" applyFont="1" applyAlignment="1">
      <alignment horizontal="center"/>
    </xf>
    <xf numFmtId="170" fontId="0" fillId="0" borderId="0" xfId="2" applyNumberFormat="1" applyFont="1" applyAlignment="1">
      <alignment horizontal="center"/>
    </xf>
    <xf numFmtId="7" fontId="8" fillId="0" borderId="0" xfId="0" applyNumberFormat="1" applyFont="1" applyAlignment="1">
      <alignment horizontal="center"/>
    </xf>
    <xf numFmtId="167" fontId="0" fillId="0" borderId="0" xfId="0" applyNumberFormat="1" applyAlignment="1">
      <alignment horizontal="center"/>
    </xf>
    <xf numFmtId="0" fontId="7" fillId="0" borderId="29" xfId="0" applyFont="1" applyBorder="1" applyAlignment="1">
      <alignment horizontal="center"/>
    </xf>
    <xf numFmtId="3" fontId="4" fillId="0" borderId="0" xfId="0" applyNumberFormat="1" applyFont="1" applyAlignment="1">
      <alignment horizontal="center"/>
    </xf>
    <xf numFmtId="0" fontId="10" fillId="0" borderId="29" xfId="0" applyFont="1" applyBorder="1" applyAlignment="1">
      <alignment horizontal="center" wrapText="1"/>
    </xf>
    <xf numFmtId="49" fontId="9" fillId="0" borderId="36" xfId="0" applyNumberFormat="1" applyFont="1" applyBorder="1" applyAlignment="1">
      <alignment horizontal="center"/>
    </xf>
    <xf numFmtId="0" fontId="5" fillId="0" borderId="34" xfId="0" applyFont="1" applyBorder="1" applyAlignment="1">
      <alignment horizontal="center"/>
    </xf>
    <xf numFmtId="2" fontId="1" fillId="0" borderId="29" xfId="2" applyNumberFormat="1" applyFont="1" applyBorder="1" applyAlignment="1">
      <alignment horizontal="center"/>
    </xf>
    <xf numFmtId="44" fontId="8" fillId="0" borderId="0" xfId="2" applyFont="1" applyBorder="1"/>
    <xf numFmtId="7" fontId="5" fillId="0" borderId="29" xfId="2" applyNumberFormat="1" applyFont="1" applyBorder="1" applyAlignment="1">
      <alignment horizontal="center"/>
    </xf>
    <xf numFmtId="168" fontId="1" fillId="0" borderId="29" xfId="2" applyNumberFormat="1" applyFont="1" applyBorder="1" applyAlignment="1">
      <alignment horizontal="center"/>
    </xf>
    <xf numFmtId="44" fontId="8" fillId="0" borderId="0" xfId="2" applyFont="1" applyBorder="1" applyAlignment="1">
      <alignment horizontal="center"/>
    </xf>
    <xf numFmtId="0" fontId="2" fillId="0" borderId="0" xfId="0" applyFont="1" applyAlignment="1">
      <alignment horizontal="left" indent="1"/>
    </xf>
    <xf numFmtId="9" fontId="0" fillId="0" borderId="29" xfId="7" applyFont="1" applyFill="1" applyBorder="1" applyAlignment="1">
      <alignment horizontal="center"/>
    </xf>
    <xf numFmtId="2" fontId="0" fillId="0" borderId="29" xfId="0" applyNumberFormat="1" applyFill="1" applyBorder="1" applyAlignment="1">
      <alignment horizontal="center"/>
    </xf>
    <xf numFmtId="165" fontId="0" fillId="0" borderId="0" xfId="7" applyNumberFormat="1" applyFont="1" applyFill="1" applyBorder="1" applyAlignment="1">
      <alignment horizontal="center"/>
    </xf>
    <xf numFmtId="165" fontId="0" fillId="0" borderId="1" xfId="7" applyNumberFormat="1" applyFont="1" applyFill="1" applyBorder="1" applyAlignment="1">
      <alignment horizontal="center"/>
    </xf>
    <xf numFmtId="165" fontId="0" fillId="0" borderId="29" xfId="7" applyNumberFormat="1" applyFont="1" applyFill="1" applyBorder="1" applyAlignment="1">
      <alignment horizontal="center"/>
    </xf>
    <xf numFmtId="168" fontId="0" fillId="0" borderId="29" xfId="0" applyNumberFormat="1" applyFill="1" applyBorder="1" applyAlignment="1">
      <alignment horizontal="center"/>
    </xf>
    <xf numFmtId="165" fontId="16" fillId="0" borderId="29" xfId="7" applyNumberFormat="1" applyFont="1" applyFill="1" applyBorder="1" applyAlignment="1">
      <alignment horizontal="center"/>
    </xf>
    <xf numFmtId="9" fontId="6" fillId="0" borderId="29" xfId="7" applyFont="1" applyFill="1" applyBorder="1" applyAlignment="1">
      <alignment horizontal="center"/>
    </xf>
    <xf numFmtId="2" fontId="6" fillId="0" borderId="29" xfId="0" applyNumberFormat="1" applyFont="1" applyFill="1" applyBorder="1" applyAlignment="1">
      <alignment horizontal="center"/>
    </xf>
    <xf numFmtId="0" fontId="6" fillId="0" borderId="29" xfId="0" applyFont="1" applyFill="1" applyBorder="1" applyAlignment="1">
      <alignment horizontal="center"/>
    </xf>
    <xf numFmtId="165" fontId="6" fillId="0" borderId="29" xfId="7" applyNumberFormat="1" applyFont="1" applyFill="1" applyBorder="1" applyAlignment="1">
      <alignment horizontal="center"/>
    </xf>
    <xf numFmtId="168" fontId="6" fillId="0" borderId="29" xfId="0" applyNumberFormat="1" applyFont="1" applyFill="1" applyBorder="1" applyAlignment="1">
      <alignment horizontal="center"/>
    </xf>
    <xf numFmtId="165" fontId="20" fillId="0" borderId="29" xfId="7" applyNumberFormat="1" applyFont="1" applyFill="1" applyBorder="1" applyAlignment="1">
      <alignment horizontal="center"/>
    </xf>
    <xf numFmtId="0" fontId="0" fillId="0" borderId="25" xfId="0" applyBorder="1"/>
    <xf numFmtId="0" fontId="0" fillId="0" borderId="0" xfId="0" applyFill="1" applyBorder="1" applyAlignment="1">
      <alignment horizontal="left" indent="1"/>
    </xf>
    <xf numFmtId="0" fontId="0" fillId="0" borderId="1" xfId="0" applyFill="1" applyBorder="1" applyAlignment="1">
      <alignment horizontal="left" indent="1"/>
    </xf>
    <xf numFmtId="3" fontId="1" fillId="6" borderId="0" xfId="0" applyNumberFormat="1" applyFont="1" applyFill="1" applyAlignment="1">
      <alignment horizontal="center"/>
    </xf>
    <xf numFmtId="3" fontId="4" fillId="6" borderId="0" xfId="0" applyNumberFormat="1" applyFont="1" applyFill="1" applyAlignment="1">
      <alignment horizontal="center"/>
    </xf>
    <xf numFmtId="165" fontId="1" fillId="6" borderId="0" xfId="7" applyNumberFormat="1" applyFont="1" applyFill="1" applyAlignment="1">
      <alignment horizontal="center"/>
    </xf>
    <xf numFmtId="0" fontId="0" fillId="0" borderId="0" xfId="0" applyAlignment="1">
      <alignment vertical="center"/>
    </xf>
    <xf numFmtId="0" fontId="8" fillId="0" borderId="0" xfId="0" applyFont="1" applyAlignment="1">
      <alignment vertical="center"/>
    </xf>
    <xf numFmtId="41" fontId="5" fillId="0" borderId="0" xfId="0" applyNumberFormat="1" applyFont="1"/>
    <xf numFmtId="0" fontId="0" fillId="0" borderId="8" xfId="0" applyBorder="1"/>
    <xf numFmtId="0" fontId="0" fillId="0" borderId="9" xfId="0" applyBorder="1"/>
    <xf numFmtId="0" fontId="87" fillId="0" borderId="0" xfId="0" applyFont="1" applyFill="1" applyBorder="1" applyAlignment="1">
      <alignment horizontal="center"/>
    </xf>
    <xf numFmtId="0" fontId="6" fillId="0" borderId="42" xfId="0" applyFont="1" applyBorder="1" applyAlignment="1">
      <alignment horizontal="left" indent="1"/>
    </xf>
    <xf numFmtId="0" fontId="6" fillId="0" borderId="0" xfId="0" applyFont="1" applyFill="1" applyAlignment="1">
      <alignment horizontal="left" indent="2"/>
    </xf>
    <xf numFmtId="0" fontId="8" fillId="2" borderId="0" xfId="0" applyFont="1" applyFill="1" applyAlignment="1">
      <alignment horizontal="left" indent="1"/>
    </xf>
    <xf numFmtId="0" fontId="1" fillId="0" borderId="0" xfId="0" applyFont="1" applyFill="1" applyAlignment="1">
      <alignment horizontal="left" indent="2"/>
    </xf>
    <xf numFmtId="0" fontId="6" fillId="0" borderId="0" xfId="0" applyFont="1" applyFill="1" applyAlignment="1">
      <alignment horizontal="left" indent="3"/>
    </xf>
    <xf numFmtId="0" fontId="3" fillId="0" borderId="0" xfId="0" applyFont="1" applyAlignment="1">
      <alignment horizontal="left" indent="1"/>
    </xf>
    <xf numFmtId="0" fontId="5" fillId="0" borderId="42" xfId="0" applyFont="1" applyBorder="1" applyAlignment="1">
      <alignment horizontal="center"/>
    </xf>
    <xf numFmtId="0" fontId="10" fillId="0" borderId="0" xfId="0" applyFont="1" applyBorder="1" applyAlignment="1">
      <alignment horizontal="left" wrapText="1" indent="1"/>
    </xf>
    <xf numFmtId="0" fontId="5" fillId="0" borderId="32" xfId="0" applyFont="1" applyBorder="1" applyAlignment="1">
      <alignment horizontal="center"/>
    </xf>
    <xf numFmtId="0" fontId="5" fillId="0" borderId="24" xfId="0" applyFont="1" applyBorder="1" applyAlignment="1">
      <alignment horizontal="center"/>
    </xf>
    <xf numFmtId="0" fontId="5" fillId="0" borderId="32" xfId="0" applyFont="1" applyBorder="1"/>
    <xf numFmtId="0" fontId="10" fillId="0" borderId="0" xfId="0" applyFont="1" applyBorder="1" applyAlignment="1">
      <alignment horizontal="center"/>
    </xf>
    <xf numFmtId="0" fontId="5" fillId="0" borderId="32" xfId="0" applyFont="1" applyBorder="1" applyAlignment="1">
      <alignment horizontal="left" indent="1"/>
    </xf>
    <xf numFmtId="43" fontId="8" fillId="0" borderId="18" xfId="0" applyNumberFormat="1" applyFont="1" applyBorder="1"/>
    <xf numFmtId="0" fontId="1" fillId="0" borderId="0" xfId="0" applyFont="1" applyBorder="1" applyAlignment="1">
      <alignment horizontal="left" indent="2"/>
    </xf>
    <xf numFmtId="0" fontId="2" fillId="0" borderId="0" xfId="0" applyFont="1" applyAlignment="1">
      <alignment horizontal="left"/>
    </xf>
    <xf numFmtId="43" fontId="0" fillId="0" borderId="0" xfId="0" applyNumberFormat="1"/>
    <xf numFmtId="0" fontId="0" fillId="3" borderId="49" xfId="0" applyNumberFormat="1" applyFill="1" applyBorder="1" applyAlignment="1">
      <alignment horizontal="center" vertical="center" wrapText="1"/>
    </xf>
    <xf numFmtId="0" fontId="0" fillId="3" borderId="50" xfId="0" applyNumberFormat="1" applyFill="1" applyBorder="1" applyAlignment="1">
      <alignment horizontal="center" vertical="center" wrapText="1"/>
    </xf>
    <xf numFmtId="0" fontId="0" fillId="3" borderId="51" xfId="0" applyNumberFormat="1" applyFill="1" applyBorder="1" applyAlignment="1">
      <alignment horizontal="center" vertical="center" wrapText="1"/>
    </xf>
    <xf numFmtId="0" fontId="0" fillId="3" borderId="52" xfId="0" applyNumberFormat="1" applyFill="1" applyBorder="1" applyAlignment="1">
      <alignment horizontal="center" vertical="center" wrapText="1"/>
    </xf>
    <xf numFmtId="0" fontId="0" fillId="3" borderId="53" xfId="0" applyNumberFormat="1" applyFill="1" applyBorder="1" applyAlignment="1">
      <alignment horizontal="center" vertical="center" wrapText="1"/>
    </xf>
    <xf numFmtId="0" fontId="0" fillId="3" borderId="27" xfId="0" applyNumberFormat="1" applyFill="1" applyBorder="1" applyAlignment="1">
      <alignment horizontal="center" vertical="center" wrapText="1"/>
    </xf>
    <xf numFmtId="0" fontId="26" fillId="3" borderId="51" xfId="0" applyNumberFormat="1" applyFont="1" applyFill="1" applyBorder="1" applyAlignment="1">
      <alignment horizontal="center" vertical="center" wrapText="1"/>
    </xf>
    <xf numFmtId="9" fontId="0" fillId="0" borderId="0" xfId="7" applyFont="1" applyAlignment="1">
      <alignment horizontal="left" indent="1"/>
    </xf>
    <xf numFmtId="0" fontId="4" fillId="0" borderId="0" xfId="0" applyFont="1" applyAlignment="1">
      <alignment horizontal="left" indent="1"/>
    </xf>
    <xf numFmtId="3" fontId="10" fillId="0" borderId="32" xfId="0" applyNumberFormat="1" applyFont="1" applyBorder="1" applyAlignment="1">
      <alignment horizontal="center"/>
    </xf>
    <xf numFmtId="3" fontId="10" fillId="0" borderId="0" xfId="0" applyNumberFormat="1" applyFont="1" applyBorder="1" applyAlignment="1">
      <alignment horizontal="center"/>
    </xf>
    <xf numFmtId="3" fontId="9" fillId="0" borderId="24" xfId="0" applyNumberFormat="1" applyFont="1" applyBorder="1" applyAlignment="1">
      <alignment horizontal="center"/>
    </xf>
    <xf numFmtId="0" fontId="10" fillId="0" borderId="42" xfId="0" applyFont="1" applyBorder="1" applyAlignment="1">
      <alignment horizontal="center"/>
    </xf>
    <xf numFmtId="0" fontId="10" fillId="0" borderId="21"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
    </xf>
    <xf numFmtId="167" fontId="10" fillId="0" borderId="0" xfId="0" applyNumberFormat="1" applyFont="1" applyBorder="1" applyAlignment="1">
      <alignment horizontal="center"/>
    </xf>
    <xf numFmtId="167" fontId="9" fillId="0" borderId="24" xfId="0" applyNumberFormat="1" applyFont="1" applyBorder="1" applyAlignment="1">
      <alignment horizontal="center"/>
    </xf>
    <xf numFmtId="167" fontId="10" fillId="0" borderId="32" xfId="0" applyNumberFormat="1" applyFont="1" applyBorder="1" applyAlignment="1">
      <alignment horizontal="center"/>
    </xf>
    <xf numFmtId="167" fontId="10" fillId="0" borderId="42" xfId="0" applyNumberFormat="1" applyFont="1" applyBorder="1" applyAlignment="1">
      <alignment horizontal="center"/>
    </xf>
    <xf numFmtId="167" fontId="10" fillId="0" borderId="21" xfId="0" applyNumberFormat="1" applyFont="1" applyBorder="1" applyAlignment="1">
      <alignment horizontal="center"/>
    </xf>
    <xf numFmtId="0" fontId="10" fillId="0" borderId="24" xfId="0" applyFont="1" applyBorder="1" applyAlignment="1">
      <alignment horizontal="center"/>
    </xf>
    <xf numFmtId="37" fontId="10" fillId="0" borderId="32" xfId="0" applyNumberFormat="1" applyFont="1" applyBorder="1" applyAlignment="1">
      <alignment horizontal="center"/>
    </xf>
    <xf numFmtId="37" fontId="10" fillId="0" borderId="0" xfId="0" applyNumberFormat="1" applyFont="1" applyBorder="1" applyAlignment="1">
      <alignment horizontal="center"/>
    </xf>
    <xf numFmtId="37" fontId="10" fillId="0" borderId="24" xfId="0" applyNumberFormat="1" applyFont="1" applyBorder="1" applyAlignment="1">
      <alignment horizontal="center"/>
    </xf>
    <xf numFmtId="0" fontId="5" fillId="0" borderId="25" xfId="0" applyFont="1" applyBorder="1" applyAlignment="1">
      <alignment horizontal="center"/>
    </xf>
    <xf numFmtId="0" fontId="5" fillId="0" borderId="24" xfId="0" applyFont="1" applyBorder="1"/>
    <xf numFmtId="165" fontId="10" fillId="0" borderId="32" xfId="7" applyNumberFormat="1" applyFont="1" applyBorder="1" applyAlignment="1">
      <alignment horizontal="center"/>
    </xf>
    <xf numFmtId="167" fontId="10" fillId="0" borderId="24" xfId="0" applyNumberFormat="1" applyFont="1" applyBorder="1" applyAlignment="1">
      <alignment horizontal="center"/>
    </xf>
    <xf numFmtId="0" fontId="9" fillId="0" borderId="24" xfId="0" applyFont="1" applyBorder="1" applyAlignment="1">
      <alignment horizontal="right"/>
    </xf>
    <xf numFmtId="5" fontId="5" fillId="0" borderId="0" xfId="2" applyNumberFormat="1" applyFont="1" applyBorder="1" applyAlignment="1">
      <alignment horizontal="center"/>
    </xf>
    <xf numFmtId="5" fontId="5" fillId="0" borderId="24" xfId="2" applyNumberFormat="1" applyFont="1" applyBorder="1" applyAlignment="1">
      <alignment horizontal="center"/>
    </xf>
    <xf numFmtId="37" fontId="6" fillId="0" borderId="32" xfId="1" applyNumberFormat="1" applyFont="1" applyBorder="1" applyAlignment="1">
      <alignment horizontal="center"/>
    </xf>
    <xf numFmtId="37" fontId="6" fillId="0" borderId="42" xfId="1" applyNumberFormat="1" applyFont="1" applyBorder="1" applyAlignment="1">
      <alignment horizontal="center"/>
    </xf>
    <xf numFmtId="5" fontId="5" fillId="0" borderId="21" xfId="2" applyNumberFormat="1" applyFont="1" applyBorder="1" applyAlignment="1">
      <alignment horizontal="center"/>
    </xf>
    <xf numFmtId="5" fontId="5" fillId="0" borderId="25" xfId="2" applyNumberFormat="1" applyFont="1" applyBorder="1" applyAlignment="1">
      <alignment horizontal="center"/>
    </xf>
    <xf numFmtId="44" fontId="1" fillId="0" borderId="0" xfId="2" applyFont="1" applyAlignment="1">
      <alignment horizontal="left" indent="1"/>
    </xf>
    <xf numFmtId="0" fontId="23" fillId="0" borderId="0" xfId="0" applyFont="1" applyAlignment="1">
      <alignment horizontal="left" wrapText="1" indent="1"/>
    </xf>
    <xf numFmtId="49" fontId="0" fillId="0" borderId="0" xfId="0" applyNumberFormat="1" applyAlignment="1">
      <alignment horizontal="left" indent="2"/>
    </xf>
    <xf numFmtId="0" fontId="0" fillId="0" borderId="0" xfId="0" applyFill="1" applyBorder="1" applyAlignment="1">
      <alignment horizontal="left" indent="2"/>
    </xf>
    <xf numFmtId="0" fontId="0" fillId="0" borderId="1" xfId="0" applyFill="1" applyBorder="1" applyAlignment="1">
      <alignment horizontal="left" indent="2"/>
    </xf>
    <xf numFmtId="49" fontId="0" fillId="0" borderId="0" xfId="0" applyNumberFormat="1" applyFill="1" applyBorder="1" applyAlignment="1">
      <alignment horizontal="left" indent="2"/>
    </xf>
    <xf numFmtId="165" fontId="0" fillId="0" borderId="1" xfId="7" applyNumberFormat="1" applyFont="1" applyFill="1" applyBorder="1" applyAlignment="1">
      <alignment horizontal="left" indent="2"/>
    </xf>
    <xf numFmtId="0" fontId="6" fillId="0" borderId="0" xfId="0" applyFont="1" applyFill="1" applyBorder="1" applyAlignment="1">
      <alignment horizontal="left" indent="2"/>
    </xf>
    <xf numFmtId="0" fontId="6" fillId="0" borderId="1" xfId="0" applyFont="1" applyFill="1" applyBorder="1" applyAlignment="1">
      <alignment horizontal="left" indent="2"/>
    </xf>
    <xf numFmtId="10" fontId="0" fillId="8" borderId="0" xfId="7" applyNumberFormat="1" applyFont="1" applyFill="1" applyAlignment="1">
      <alignment horizontal="center"/>
    </xf>
    <xf numFmtId="10" fontId="0" fillId="2" borderId="0" xfId="7" applyNumberFormat="1" applyFont="1" applyFill="1" applyAlignment="1">
      <alignment horizontal="center"/>
    </xf>
    <xf numFmtId="10" fontId="0" fillId="9" borderId="0" xfId="7" applyNumberFormat="1" applyFont="1" applyFill="1" applyAlignment="1">
      <alignment horizontal="center"/>
    </xf>
    <xf numFmtId="10" fontId="0" fillId="10" borderId="0" xfId="7" applyNumberFormat="1" applyFont="1" applyFill="1" applyAlignment="1">
      <alignment horizontal="center"/>
    </xf>
    <xf numFmtId="10" fontId="0" fillId="6" borderId="0" xfId="7" applyNumberFormat="1" applyFont="1" applyFill="1" applyAlignment="1">
      <alignment horizontal="center"/>
    </xf>
    <xf numFmtId="10" fontId="3" fillId="6" borderId="0" xfId="7" applyNumberFormat="1" applyFont="1" applyFill="1" applyAlignment="1">
      <alignment horizontal="center"/>
    </xf>
    <xf numFmtId="0" fontId="8" fillId="0" borderId="33" xfId="0" applyFont="1" applyBorder="1"/>
    <xf numFmtId="176" fontId="6" fillId="0" borderId="0" xfId="2" applyNumberFormat="1" applyFont="1" applyBorder="1" applyAlignment="1">
      <alignment horizontal="center"/>
    </xf>
    <xf numFmtId="0" fontId="0" fillId="0" borderId="0" xfId="0" applyBorder="1" applyAlignment="1">
      <alignment horizontal="left" wrapText="1" indent="3"/>
    </xf>
    <xf numFmtId="165" fontId="0" fillId="0" borderId="0" xfId="0" applyNumberFormat="1" applyBorder="1" applyAlignment="1">
      <alignment horizontal="center"/>
    </xf>
    <xf numFmtId="9" fontId="0" fillId="0" borderId="0" xfId="7" applyNumberFormat="1" applyFont="1" applyAlignment="1">
      <alignment horizontal="center"/>
    </xf>
    <xf numFmtId="167" fontId="5" fillId="0" borderId="0" xfId="0" applyNumberFormat="1" applyFont="1" applyAlignment="1">
      <alignment horizontal="center"/>
    </xf>
    <xf numFmtId="165" fontId="0" fillId="0" borderId="0" xfId="0" applyNumberFormat="1" applyAlignment="1">
      <alignment horizontal="center"/>
    </xf>
    <xf numFmtId="0" fontId="10" fillId="0" borderId="0" xfId="0" applyFont="1" applyAlignment="1">
      <alignment horizontal="left" wrapText="1" indent="2"/>
    </xf>
    <xf numFmtId="41" fontId="0" fillId="0" borderId="0" xfId="0" applyNumberFormat="1" applyAlignment="1"/>
    <xf numFmtId="41" fontId="0" fillId="0" borderId="0" xfId="0" applyNumberFormat="1" applyAlignment="1">
      <alignment horizontal="right"/>
    </xf>
    <xf numFmtId="0" fontId="6" fillId="0" borderId="32" xfId="0" applyFont="1" applyBorder="1" applyAlignment="1">
      <alignment horizontal="right"/>
    </xf>
    <xf numFmtId="0" fontId="6" fillId="0" borderId="42" xfId="0" applyFont="1" applyBorder="1" applyAlignment="1">
      <alignment horizontal="right"/>
    </xf>
    <xf numFmtId="9" fontId="0" fillId="0" borderId="0" xfId="7" applyNumberFormat="1" applyFont="1" applyBorder="1" applyAlignment="1">
      <alignment horizontal="center"/>
    </xf>
    <xf numFmtId="10" fontId="0" fillId="0" borderId="0" xfId="0" applyNumberFormat="1" applyAlignment="1">
      <alignment horizontal="center"/>
    </xf>
    <xf numFmtId="37" fontId="0" fillId="0" borderId="0" xfId="0" applyNumberFormat="1"/>
    <xf numFmtId="9" fontId="0" fillId="0" borderId="0" xfId="7" applyNumberFormat="1" applyFont="1"/>
    <xf numFmtId="0" fontId="1" fillId="0" borderId="9" xfId="0" applyFont="1" applyBorder="1"/>
    <xf numFmtId="0" fontId="1" fillId="0" borderId="10" xfId="0" applyFont="1" applyBorder="1"/>
    <xf numFmtId="49" fontId="2" fillId="0" borderId="0" xfId="0" applyNumberFormat="1" applyFont="1" applyFill="1" applyBorder="1" applyAlignment="1">
      <alignment horizontal="center" vertical="center" wrapText="1"/>
    </xf>
    <xf numFmtId="0" fontId="1" fillId="0" borderId="11" xfId="0" applyFont="1" applyBorder="1"/>
    <xf numFmtId="179" fontId="0" fillId="0" borderId="0" xfId="0" applyNumberFormat="1"/>
    <xf numFmtId="168" fontId="5" fillId="0" borderId="0" xfId="0" applyNumberFormat="1" applyFont="1"/>
    <xf numFmtId="0" fontId="8" fillId="0" borderId="0" xfId="0" applyFont="1" applyAlignment="1">
      <alignment horizontal="left" wrapText="1"/>
    </xf>
    <xf numFmtId="180" fontId="5" fillId="0" borderId="0" xfId="0" applyNumberFormat="1" applyFont="1"/>
    <xf numFmtId="0" fontId="1" fillId="0" borderId="0" xfId="0" applyFont="1" applyFill="1" applyBorder="1"/>
    <xf numFmtId="2" fontId="1" fillId="0" borderId="0" xfId="0" applyNumberFormat="1" applyFont="1" applyBorder="1"/>
    <xf numFmtId="0" fontId="5" fillId="0" borderId="0" xfId="0" applyFont="1" applyAlignment="1">
      <alignment horizontal="right" indent="1"/>
    </xf>
    <xf numFmtId="7" fontId="1" fillId="0" borderId="0" xfId="2" applyNumberFormat="1" applyFont="1"/>
    <xf numFmtId="165" fontId="1" fillId="0" borderId="0" xfId="0" applyNumberFormat="1" applyFont="1"/>
    <xf numFmtId="7" fontId="1" fillId="0" borderId="0" xfId="0" applyNumberFormat="1" applyFont="1"/>
    <xf numFmtId="7" fontId="8" fillId="0" borderId="0" xfId="0" applyNumberFormat="1" applyFont="1"/>
    <xf numFmtId="167" fontId="6" fillId="0" borderId="0" xfId="0" applyNumberFormat="1" applyFont="1" applyAlignment="1">
      <alignment horizontal="center"/>
    </xf>
    <xf numFmtId="0" fontId="10" fillId="0" borderId="0" xfId="0" applyFont="1" applyAlignment="1">
      <alignment horizontal="left" wrapText="1" indent="1"/>
    </xf>
    <xf numFmtId="8" fontId="5" fillId="0" borderId="0" xfId="0" applyNumberFormat="1" applyFont="1"/>
    <xf numFmtId="168" fontId="5" fillId="0" borderId="0" xfId="0" applyNumberFormat="1" applyFont="1" applyAlignment="1">
      <alignment horizontal="center"/>
    </xf>
    <xf numFmtId="7" fontId="5" fillId="0" borderId="0" xfId="0" applyNumberFormat="1" applyFont="1"/>
    <xf numFmtId="168" fontId="8" fillId="0" borderId="0" xfId="0" applyNumberFormat="1" applyFont="1"/>
    <xf numFmtId="166" fontId="0" fillId="0" borderId="0" xfId="0" applyNumberFormat="1" applyAlignment="1">
      <alignment horizontal="right"/>
    </xf>
    <xf numFmtId="0" fontId="9" fillId="0" borderId="33" xfId="0" applyFont="1" applyBorder="1" applyAlignment="1">
      <alignment horizontal="right"/>
    </xf>
    <xf numFmtId="0" fontId="9" fillId="0" borderId="17" xfId="0" applyFont="1" applyBorder="1" applyAlignment="1">
      <alignment horizontal="right"/>
    </xf>
    <xf numFmtId="37" fontId="0" fillId="0" borderId="42" xfId="0" applyNumberFormat="1" applyBorder="1"/>
    <xf numFmtId="9" fontId="0" fillId="0" borderId="25" xfId="7" applyFont="1" applyBorder="1"/>
    <xf numFmtId="10" fontId="0" fillId="0" borderId="0" xfId="7" applyNumberFormat="1" applyFont="1" applyAlignment="1">
      <alignment horizontal="center"/>
    </xf>
    <xf numFmtId="2" fontId="0" fillId="0" borderId="0" xfId="0" applyNumberFormat="1" applyBorder="1"/>
    <xf numFmtId="9" fontId="0" fillId="0" borderId="0" xfId="0" applyNumberFormat="1" applyAlignment="1">
      <alignment horizontal="right"/>
    </xf>
    <xf numFmtId="0" fontId="20" fillId="0" borderId="0" xfId="0" applyFont="1"/>
    <xf numFmtId="37" fontId="8" fillId="0" borderId="0" xfId="0" applyNumberFormat="1" applyFont="1"/>
    <xf numFmtId="0" fontId="16" fillId="0" borderId="0" xfId="0" applyFont="1" applyAlignment="1">
      <alignment horizontal="left" indent="1"/>
    </xf>
    <xf numFmtId="0" fontId="0" fillId="0" borderId="33" xfId="0" applyBorder="1"/>
    <xf numFmtId="0" fontId="0" fillId="0" borderId="42" xfId="0" applyBorder="1"/>
    <xf numFmtId="7" fontId="10" fillId="0" borderId="0" xfId="0" applyNumberFormat="1" applyFont="1" applyAlignment="1">
      <alignment horizontal="left" indent="1"/>
    </xf>
    <xf numFmtId="4" fontId="0" fillId="0" borderId="0" xfId="0" applyNumberFormat="1"/>
    <xf numFmtId="166" fontId="0" fillId="0" borderId="35" xfId="0" applyNumberFormat="1" applyBorder="1"/>
    <xf numFmtId="166" fontId="0" fillId="0" borderId="36" xfId="0" applyNumberFormat="1" applyBorder="1"/>
    <xf numFmtId="166" fontId="16" fillId="0" borderId="0" xfId="0" applyNumberFormat="1" applyFont="1"/>
    <xf numFmtId="0" fontId="46" fillId="0" borderId="0" xfId="0" applyFont="1" applyAlignment="1">
      <alignment horizontal="left" indent="1"/>
    </xf>
    <xf numFmtId="3" fontId="41" fillId="0" borderId="0" xfId="0" applyNumberFormat="1" applyFont="1"/>
    <xf numFmtId="3" fontId="5" fillId="0" borderId="0" xfId="0" applyNumberFormat="1" applyFont="1" applyAlignment="1">
      <alignment horizontal="left" indent="2"/>
    </xf>
    <xf numFmtId="7" fontId="5" fillId="0" borderId="0" xfId="0" applyNumberFormat="1" applyFont="1" applyAlignment="1">
      <alignment horizontal="center"/>
    </xf>
    <xf numFmtId="5" fontId="5" fillId="0" borderId="0" xfId="0" applyNumberFormat="1" applyFont="1" applyAlignment="1">
      <alignment horizontal="right" indent="2"/>
    </xf>
    <xf numFmtId="168" fontId="0" fillId="0" borderId="0" xfId="0" applyNumberFormat="1"/>
    <xf numFmtId="0" fontId="56" fillId="0" borderId="0" xfId="0" applyFont="1"/>
    <xf numFmtId="3" fontId="56" fillId="0" borderId="0" xfId="0" applyNumberFormat="1" applyFont="1"/>
    <xf numFmtId="3" fontId="57" fillId="0" borderId="0" xfId="0" applyNumberFormat="1" applyFont="1"/>
    <xf numFmtId="0" fontId="56" fillId="0" borderId="0" xfId="0" applyFont="1" applyAlignment="1">
      <alignment horizontal="right"/>
    </xf>
    <xf numFmtId="0" fontId="0" fillId="0" borderId="0" xfId="0" applyAlignment="1">
      <alignment horizontal="left" wrapText="1" indent="4"/>
    </xf>
    <xf numFmtId="0" fontId="20" fillId="0" borderId="0" xfId="0" applyFont="1" applyAlignment="1">
      <alignment horizontal="left" indent="2"/>
    </xf>
    <xf numFmtId="0" fontId="16" fillId="0" borderId="0" xfId="0" applyFont="1" applyAlignment="1">
      <alignment horizontal="left" indent="2"/>
    </xf>
    <xf numFmtId="9" fontId="0" fillId="0" borderId="0" xfId="0" applyNumberFormat="1" applyBorder="1"/>
    <xf numFmtId="9" fontId="0" fillId="0" borderId="0" xfId="0" applyNumberFormat="1" applyBorder="1" applyAlignment="1">
      <alignment horizontal="left"/>
    </xf>
    <xf numFmtId="9" fontId="0" fillId="0" borderId="0" xfId="0" applyNumberFormat="1" applyBorder="1" applyAlignment="1">
      <alignment horizontal="right"/>
    </xf>
    <xf numFmtId="3" fontId="0" fillId="0" borderId="0" xfId="0" applyNumberFormat="1" applyBorder="1"/>
    <xf numFmtId="4" fontId="8" fillId="0" borderId="0" xfId="0" applyNumberFormat="1" applyFont="1"/>
    <xf numFmtId="166" fontId="0" fillId="0" borderId="0" xfId="0" applyNumberFormat="1" applyBorder="1"/>
    <xf numFmtId="2" fontId="8" fillId="0" borderId="0" xfId="0" applyNumberFormat="1" applyFont="1"/>
    <xf numFmtId="43" fontId="1" fillId="0" borderId="0" xfId="0" applyNumberFormat="1" applyFont="1"/>
    <xf numFmtId="9" fontId="6" fillId="0" borderId="0" xfId="7" applyFont="1" applyAlignment="1">
      <alignment horizontal="left" indent="1"/>
    </xf>
    <xf numFmtId="2" fontId="1" fillId="0" borderId="0" xfId="0" applyNumberFormat="1" applyFont="1"/>
    <xf numFmtId="0" fontId="8" fillId="0" borderId="0" xfId="0" applyFont="1" applyBorder="1" applyAlignment="1">
      <alignment horizontal="left" wrapText="1"/>
    </xf>
    <xf numFmtId="2" fontId="0" fillId="0" borderId="36" xfId="0" applyNumberFormat="1" applyBorder="1"/>
    <xf numFmtId="9" fontId="6" fillId="0" borderId="0" xfId="7" applyFont="1"/>
    <xf numFmtId="165" fontId="1" fillId="2" borderId="0" xfId="7" applyNumberFormat="1" applyFont="1" applyFill="1" applyAlignment="1">
      <alignment horizontal="center"/>
    </xf>
    <xf numFmtId="2" fontId="9" fillId="0" borderId="0" xfId="0" applyNumberFormat="1" applyFont="1" applyBorder="1"/>
    <xf numFmtId="2" fontId="9" fillId="0" borderId="24" xfId="0" applyNumberFormat="1" applyFont="1" applyBorder="1"/>
    <xf numFmtId="2" fontId="9" fillId="0" borderId="21" xfId="0" applyNumberFormat="1" applyFont="1" applyFill="1" applyBorder="1"/>
    <xf numFmtId="2" fontId="9" fillId="0" borderId="25" xfId="0" applyNumberFormat="1" applyFont="1" applyFill="1" applyBorder="1"/>
    <xf numFmtId="0" fontId="9" fillId="0" borderId="18" xfId="0" applyFont="1" applyBorder="1" applyAlignment="1">
      <alignment horizontal="right"/>
    </xf>
    <xf numFmtId="0" fontId="2" fillId="0" borderId="0" xfId="0" applyFont="1" applyBorder="1"/>
    <xf numFmtId="0" fontId="2" fillId="0" borderId="0" xfId="0" applyFont="1" applyBorder="1" applyAlignment="1">
      <alignment horizontal="center"/>
    </xf>
    <xf numFmtId="1" fontId="26"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1" fontId="44" fillId="0" borderId="0" xfId="0" applyNumberFormat="1" applyFont="1" applyFill="1" applyBorder="1" applyAlignment="1">
      <alignment horizontal="center" vertical="center"/>
    </xf>
    <xf numFmtId="0" fontId="44" fillId="0" borderId="0" xfId="0" applyNumberFormat="1" applyFont="1" applyFill="1" applyBorder="1" applyAlignment="1">
      <alignment horizontal="center" vertical="center"/>
    </xf>
    <xf numFmtId="0" fontId="44" fillId="0" borderId="0" xfId="0" applyFont="1" applyAlignment="1">
      <alignment horizontal="left" indent="1"/>
    </xf>
    <xf numFmtId="18" fontId="1" fillId="0" borderId="0" xfId="0" applyNumberFormat="1" applyFont="1" applyBorder="1"/>
    <xf numFmtId="0" fontId="8" fillId="0" borderId="0" xfId="0" applyFont="1" applyBorder="1"/>
    <xf numFmtId="0" fontId="8" fillId="0" borderId="0" xfId="0" applyFont="1" applyBorder="1" applyAlignment="1">
      <alignment horizontal="center"/>
    </xf>
    <xf numFmtId="185" fontId="1" fillId="0" borderId="0" xfId="0" applyNumberFormat="1" applyFont="1" applyBorder="1"/>
    <xf numFmtId="2" fontId="8" fillId="0" borderId="34" xfId="0" applyNumberFormat="1" applyFont="1" applyBorder="1"/>
    <xf numFmtId="2" fontId="8" fillId="0" borderId="35" xfId="0" applyNumberFormat="1" applyFont="1" applyBorder="1"/>
    <xf numFmtId="2" fontId="8" fillId="0" borderId="36" xfId="0" applyNumberFormat="1" applyFont="1" applyBorder="1"/>
    <xf numFmtId="0" fontId="42" fillId="0" borderId="0" xfId="0" applyFont="1"/>
    <xf numFmtId="0" fontId="42" fillId="0" borderId="0" xfId="0" applyFont="1" applyAlignment="1">
      <alignment horizontal="left" wrapText="1"/>
    </xf>
    <xf numFmtId="0" fontId="41" fillId="0" borderId="0" xfId="0" applyFont="1" applyBorder="1" applyAlignment="1">
      <alignment horizontal="center"/>
    </xf>
    <xf numFmtId="8" fontId="41" fillId="0" borderId="0" xfId="0" applyNumberFormat="1" applyFont="1" applyBorder="1" applyAlignment="1">
      <alignment horizontal="center"/>
    </xf>
    <xf numFmtId="167" fontId="9" fillId="0" borderId="29" xfId="0" applyNumberFormat="1" applyFont="1" applyBorder="1" applyAlignment="1">
      <alignment horizontal="center"/>
    </xf>
    <xf numFmtId="5" fontId="8" fillId="0" borderId="0" xfId="0" applyNumberFormat="1" applyFont="1"/>
    <xf numFmtId="183" fontId="0" fillId="0" borderId="0" xfId="0" applyNumberFormat="1"/>
    <xf numFmtId="9" fontId="1" fillId="0" borderId="29" xfId="0" applyNumberFormat="1" applyFont="1" applyBorder="1"/>
    <xf numFmtId="167" fontId="0" fillId="0" borderId="37" xfId="0" applyNumberFormat="1" applyBorder="1" applyAlignment="1">
      <alignment horizontal="left" indent="1"/>
    </xf>
    <xf numFmtId="167" fontId="0" fillId="0" borderId="30" xfId="0" applyNumberFormat="1" applyBorder="1"/>
    <xf numFmtId="9" fontId="0" fillId="0" borderId="31" xfId="7" applyNumberFormat="1" applyFont="1" applyBorder="1"/>
    <xf numFmtId="2" fontId="0" fillId="0" borderId="0" xfId="0" applyNumberFormat="1" applyAlignment="1">
      <alignment horizontal="left" indent="1"/>
    </xf>
    <xf numFmtId="0" fontId="9" fillId="0" borderId="0" xfId="0" applyFont="1" applyFill="1" applyAlignment="1">
      <alignment horizontal="center" vertical="center" wrapText="1"/>
    </xf>
    <xf numFmtId="0" fontId="5" fillId="0" borderId="0" xfId="0" applyFont="1" applyAlignment="1">
      <alignment horizontal="center" vertical="center" wrapText="1"/>
    </xf>
    <xf numFmtId="49" fontId="5" fillId="0" borderId="0" xfId="0" applyNumberFormat="1" applyFont="1" applyAlignment="1">
      <alignment horizontal="right" vertical="center" wrapText="1"/>
    </xf>
    <xf numFmtId="0" fontId="9" fillId="0" borderId="0" xfId="0" applyFont="1" applyFill="1" applyAlignment="1">
      <alignment horizontal="right" vertical="center" wrapText="1"/>
    </xf>
    <xf numFmtId="3" fontId="43" fillId="0" borderId="0" xfId="0" applyNumberFormat="1" applyFont="1"/>
    <xf numFmtId="165" fontId="43" fillId="0" borderId="0" xfId="7" applyNumberFormat="1" applyFont="1"/>
    <xf numFmtId="3" fontId="59" fillId="0" borderId="0" xfId="0" applyNumberFormat="1" applyFont="1"/>
    <xf numFmtId="167" fontId="1" fillId="0" borderId="0" xfId="0" applyNumberFormat="1" applyFont="1" applyBorder="1" applyAlignment="1">
      <alignment horizontal="center"/>
    </xf>
    <xf numFmtId="0" fontId="0" fillId="0" borderId="37" xfId="0" applyBorder="1"/>
    <xf numFmtId="0" fontId="6" fillId="0" borderId="31" xfId="0" applyFont="1" applyBorder="1" applyAlignment="1">
      <alignment horizontal="right"/>
    </xf>
    <xf numFmtId="49" fontId="5" fillId="0" borderId="0" xfId="0" applyNumberFormat="1" applyFont="1" applyAlignment="1">
      <alignment horizontal="center" vertical="center" wrapText="1"/>
    </xf>
    <xf numFmtId="49" fontId="5" fillId="0" borderId="0" xfId="0" applyNumberFormat="1" applyFont="1" applyAlignment="1">
      <alignment horizontal="left" vertical="center"/>
    </xf>
    <xf numFmtId="0" fontId="56" fillId="0" borderId="0" xfId="5"/>
    <xf numFmtId="0" fontId="56" fillId="0" borderId="0" xfId="5" applyFont="1"/>
    <xf numFmtId="0" fontId="1" fillId="0" borderId="0" xfId="5" applyFont="1"/>
    <xf numFmtId="0" fontId="10" fillId="0" borderId="0" xfId="0" applyFont="1" applyAlignment="1">
      <alignment horizontal="left" wrapText="1" indent="3"/>
    </xf>
    <xf numFmtId="0" fontId="43" fillId="0" borderId="0" xfId="0" applyNumberFormat="1" applyFont="1"/>
    <xf numFmtId="0" fontId="1" fillId="0" borderId="0" xfId="5" applyFont="1" applyAlignment="1">
      <alignment horizontal="left" indent="1"/>
    </xf>
    <xf numFmtId="0" fontId="1" fillId="0" borderId="17" xfId="5" applyFont="1" applyBorder="1"/>
    <xf numFmtId="0" fontId="1" fillId="0" borderId="25" xfId="5" applyFont="1" applyBorder="1"/>
    <xf numFmtId="0" fontId="1" fillId="0" borderId="33" xfId="5" applyFont="1" applyBorder="1" applyAlignment="1">
      <alignment horizontal="right" indent="1"/>
    </xf>
    <xf numFmtId="0" fontId="1" fillId="0" borderId="42" xfId="5" applyFont="1" applyBorder="1" applyAlignment="1">
      <alignment horizontal="right" indent="1"/>
    </xf>
    <xf numFmtId="2" fontId="1" fillId="0" borderId="35" xfId="5" applyNumberFormat="1" applyFont="1" applyBorder="1"/>
    <xf numFmtId="2" fontId="1" fillId="0" borderId="36" xfId="5" applyNumberFormat="1" applyFont="1" applyBorder="1"/>
    <xf numFmtId="0" fontId="9" fillId="0" borderId="36" xfId="5" applyFont="1" applyBorder="1" applyAlignment="1">
      <alignment horizontal="right" wrapText="1"/>
    </xf>
    <xf numFmtId="0" fontId="2" fillId="0" borderId="29" xfId="5" applyFont="1" applyBorder="1" applyAlignment="1">
      <alignment horizontal="right" wrapText="1"/>
    </xf>
    <xf numFmtId="0" fontId="2" fillId="0" borderId="29" xfId="5" applyFont="1" applyBorder="1" applyAlignment="1">
      <alignment horizontal="right"/>
    </xf>
    <xf numFmtId="0" fontId="6" fillId="0" borderId="0" xfId="5" applyFont="1" applyAlignment="1">
      <alignment horizontal="left" indent="1"/>
    </xf>
    <xf numFmtId="0" fontId="50" fillId="0" borderId="35" xfId="0" applyFont="1" applyBorder="1" applyAlignment="1">
      <alignment wrapText="1"/>
    </xf>
    <xf numFmtId="2" fontId="50" fillId="0" borderId="35" xfId="5" applyNumberFormat="1" applyFont="1" applyBorder="1"/>
    <xf numFmtId="0" fontId="50" fillId="0" borderId="24" xfId="5" applyFont="1" applyBorder="1"/>
    <xf numFmtId="0" fontId="50" fillId="0" borderId="0" xfId="0" applyFont="1" applyAlignment="1">
      <alignment wrapText="1"/>
    </xf>
    <xf numFmtId="0" fontId="50" fillId="0" borderId="35" xfId="0" applyFont="1" applyBorder="1" applyAlignment="1">
      <alignment horizontal="right"/>
    </xf>
    <xf numFmtId="0" fontId="50" fillId="0" borderId="36" xfId="0" applyFont="1" applyBorder="1" applyAlignment="1">
      <alignment horizontal="right"/>
    </xf>
    <xf numFmtId="2" fontId="50" fillId="0" borderId="36" xfId="5" applyNumberFormat="1" applyFont="1" applyBorder="1"/>
    <xf numFmtId="0" fontId="9" fillId="0" borderId="25" xfId="5" applyFont="1" applyBorder="1" applyAlignment="1">
      <alignment horizontal="right"/>
    </xf>
    <xf numFmtId="0" fontId="9" fillId="0" borderId="29" xfId="5" applyFont="1" applyBorder="1" applyAlignment="1">
      <alignment horizontal="right"/>
    </xf>
    <xf numFmtId="2" fontId="8" fillId="0" borderId="24" xfId="5" applyNumberFormat="1" applyFont="1" applyBorder="1"/>
    <xf numFmtId="2" fontId="8" fillId="0" borderId="25" xfId="5" applyNumberFormat="1" applyFont="1" applyBorder="1"/>
    <xf numFmtId="2" fontId="14" fillId="0" borderId="24" xfId="5" applyNumberFormat="1" applyFont="1" applyBorder="1"/>
    <xf numFmtId="0" fontId="14" fillId="0" borderId="35" xfId="0" applyFont="1" applyBorder="1" applyAlignment="1">
      <alignment horizontal="right"/>
    </xf>
    <xf numFmtId="8" fontId="0" fillId="0" borderId="0" xfId="0" applyNumberFormat="1"/>
    <xf numFmtId="39" fontId="0" fillId="0" borderId="0" xfId="0" applyNumberFormat="1"/>
    <xf numFmtId="0" fontId="6" fillId="0" borderId="0" xfId="0" applyFont="1" applyBorder="1" applyAlignment="1">
      <alignment horizontal="center" wrapText="1"/>
    </xf>
    <xf numFmtId="3" fontId="8" fillId="0" borderId="0" xfId="7" applyNumberFormat="1" applyFont="1"/>
    <xf numFmtId="3" fontId="8" fillId="0" borderId="0" xfId="0" applyNumberFormat="1" applyFont="1" applyAlignment="1">
      <alignment horizontal="center"/>
    </xf>
    <xf numFmtId="0" fontId="0" fillId="0" borderId="21" xfId="0" applyBorder="1" applyAlignment="1">
      <alignment horizontal="center"/>
    </xf>
    <xf numFmtId="0" fontId="0" fillId="0" borderId="25" xfId="0" applyBorder="1" applyAlignment="1">
      <alignment horizontal="center"/>
    </xf>
    <xf numFmtId="49" fontId="0" fillId="0" borderId="0" xfId="0" applyNumberFormat="1" applyAlignment="1">
      <alignment horizontal="center"/>
    </xf>
    <xf numFmtId="2" fontId="1" fillId="0" borderId="0" xfId="0" applyNumberFormat="1" applyFont="1" applyAlignment="1">
      <alignment horizontal="center"/>
    </xf>
    <xf numFmtId="165" fontId="9" fillId="0" borderId="0" xfId="7" applyNumberFormat="1" applyFont="1"/>
    <xf numFmtId="9" fontId="0" fillId="0" borderId="29" xfId="0" applyNumberFormat="1" applyBorder="1"/>
    <xf numFmtId="0" fontId="0" fillId="0" borderId="30" xfId="0" applyBorder="1" applyAlignment="1">
      <alignment horizontal="right"/>
    </xf>
    <xf numFmtId="0" fontId="40" fillId="0" borderId="30" xfId="0" applyFont="1" applyBorder="1"/>
    <xf numFmtId="173" fontId="6" fillId="0" borderId="0" xfId="0" applyNumberFormat="1" applyFont="1"/>
    <xf numFmtId="49" fontId="8" fillId="0" borderId="0" xfId="0" applyNumberFormat="1" applyFont="1"/>
    <xf numFmtId="3" fontId="8" fillId="3" borderId="0" xfId="0" applyNumberFormat="1" applyFont="1" applyFill="1"/>
    <xf numFmtId="49" fontId="9" fillId="0" borderId="0" xfId="0" applyNumberFormat="1" applyFont="1" applyAlignment="1">
      <alignment horizontal="right"/>
    </xf>
    <xf numFmtId="168" fontId="8" fillId="3" borderId="0" xfId="0" applyNumberFormat="1" applyFont="1" applyFill="1"/>
    <xf numFmtId="10" fontId="0" fillId="0" borderId="0" xfId="7" applyNumberFormat="1" applyFont="1"/>
    <xf numFmtId="173" fontId="0" fillId="0" borderId="0" xfId="2" applyNumberFormat="1" applyFont="1" applyAlignment="1">
      <alignment horizontal="center"/>
    </xf>
    <xf numFmtId="173" fontId="0" fillId="0" borderId="0" xfId="2" applyNumberFormat="1" applyFont="1" applyBorder="1" applyAlignment="1">
      <alignment horizontal="center"/>
    </xf>
    <xf numFmtId="0" fontId="8" fillId="0" borderId="24" xfId="0" applyFont="1" applyBorder="1"/>
    <xf numFmtId="173" fontId="8" fillId="0" borderId="0" xfId="2" applyNumberFormat="1" applyFont="1" applyBorder="1" applyAlignment="1">
      <alignment horizontal="center"/>
    </xf>
    <xf numFmtId="0" fontId="8" fillId="0" borderId="32" xfId="0" applyFont="1" applyBorder="1" applyAlignment="1">
      <alignment horizontal="center"/>
    </xf>
    <xf numFmtId="0" fontId="22" fillId="0" borderId="0" xfId="0" applyFont="1" applyBorder="1" applyAlignment="1">
      <alignment horizontal="left" wrapText="1" indent="1"/>
    </xf>
    <xf numFmtId="44" fontId="0" fillId="0" borderId="0" xfId="0" applyNumberFormat="1"/>
    <xf numFmtId="0" fontId="8" fillId="0" borderId="15" xfId="0" applyFont="1" applyBorder="1" applyAlignment="1">
      <alignment horizontal="center"/>
    </xf>
    <xf numFmtId="9" fontId="8" fillId="0" borderId="0" xfId="7" applyNumberFormat="1" applyFont="1"/>
    <xf numFmtId="165" fontId="0" fillId="0" borderId="0" xfId="0" applyNumberFormat="1" applyAlignment="1">
      <alignment wrapText="1"/>
    </xf>
    <xf numFmtId="8" fontId="1" fillId="0" borderId="0" xfId="0" applyNumberFormat="1" applyFont="1"/>
    <xf numFmtId="8" fontId="8" fillId="0" borderId="0" xfId="0" applyNumberFormat="1" applyFont="1"/>
    <xf numFmtId="0" fontId="9" fillId="0" borderId="0" xfId="0" quotePrefix="1" applyFont="1" applyAlignment="1">
      <alignment horizontal="right" wrapText="1" indent="1"/>
    </xf>
    <xf numFmtId="44" fontId="0" fillId="0" borderId="0" xfId="0" applyNumberFormat="1" applyBorder="1"/>
    <xf numFmtId="42" fontId="8" fillId="0" borderId="29" xfId="0" quotePrefix="1" applyNumberFormat="1" applyFont="1" applyBorder="1" applyAlignment="1">
      <alignment horizontal="center"/>
    </xf>
    <xf numFmtId="8" fontId="5" fillId="0" borderId="0" xfId="0" applyNumberFormat="1" applyFont="1" applyAlignment="1">
      <alignment horizontal="right" wrapText="1" indent="1"/>
    </xf>
    <xf numFmtId="9" fontId="5" fillId="0" borderId="0" xfId="0" applyNumberFormat="1" applyFont="1" applyAlignment="1">
      <alignment horizontal="right" wrapText="1" indent="1"/>
    </xf>
    <xf numFmtId="0" fontId="6" fillId="0" borderId="0" xfId="0" applyFont="1" applyAlignment="1">
      <alignment horizontal="left" wrapText="1" indent="3"/>
    </xf>
    <xf numFmtId="0" fontId="0" fillId="0" borderId="0" xfId="0" applyAlignment="1">
      <alignment horizontal="left" wrapText="1" indent="3"/>
    </xf>
    <xf numFmtId="167" fontId="8" fillId="0" borderId="15" xfId="0" applyNumberFormat="1" applyFont="1" applyFill="1" applyBorder="1" applyAlignment="1">
      <alignment horizontal="center"/>
    </xf>
    <xf numFmtId="2" fontId="0" fillId="0" borderId="0" xfId="0" applyNumberFormat="1" applyBorder="1" applyAlignment="1">
      <alignment horizontal="center"/>
    </xf>
    <xf numFmtId="7" fontId="8" fillId="0" borderId="17" xfId="0" applyNumberFormat="1" applyFont="1" applyBorder="1"/>
    <xf numFmtId="0" fontId="10" fillId="0" borderId="37" xfId="0" applyFont="1" applyBorder="1" applyAlignment="1">
      <alignment horizontal="left" indent="1"/>
    </xf>
    <xf numFmtId="0" fontId="5" fillId="0" borderId="30" xfId="0" applyFont="1" applyBorder="1"/>
    <xf numFmtId="1" fontId="5" fillId="0" borderId="31" xfId="0" applyNumberFormat="1" applyFont="1" applyBorder="1"/>
    <xf numFmtId="0" fontId="8" fillId="0" borderId="37" xfId="0" applyFont="1" applyBorder="1" applyAlignment="1">
      <alignment horizontal="left" indent="2"/>
    </xf>
    <xf numFmtId="10" fontId="8" fillId="0" borderId="31" xfId="7" applyNumberFormat="1" applyFont="1" applyBorder="1"/>
    <xf numFmtId="0" fontId="9" fillId="0" borderId="0" xfId="0" applyFont="1" applyBorder="1" applyAlignment="1">
      <alignment horizontal="center"/>
    </xf>
    <xf numFmtId="8" fontId="8" fillId="0" borderId="24" xfId="0" applyNumberFormat="1" applyFont="1" applyBorder="1" applyAlignment="1">
      <alignment horizontal="center"/>
    </xf>
    <xf numFmtId="0" fontId="8" fillId="0" borderId="42" xfId="0" applyFont="1" applyBorder="1" applyAlignment="1">
      <alignment horizontal="center"/>
    </xf>
    <xf numFmtId="8" fontId="8" fillId="0" borderId="25" xfId="0" applyNumberFormat="1" applyFont="1" applyBorder="1" applyAlignment="1">
      <alignment horizontal="center"/>
    </xf>
    <xf numFmtId="173" fontId="8" fillId="0" borderId="37" xfId="0" applyNumberFormat="1" applyFont="1" applyBorder="1" applyAlignment="1">
      <alignment horizontal="center"/>
    </xf>
    <xf numFmtId="8" fontId="1" fillId="0" borderId="0" xfId="0" applyNumberFormat="1" applyFont="1" applyAlignment="1">
      <alignment horizontal="right"/>
    </xf>
    <xf numFmtId="173" fontId="8" fillId="0" borderId="0" xfId="0" applyNumberFormat="1" applyFont="1" applyBorder="1" applyAlignment="1">
      <alignment horizontal="center"/>
    </xf>
    <xf numFmtId="15" fontId="26" fillId="0" borderId="0" xfId="0" applyNumberFormat="1" applyFont="1"/>
    <xf numFmtId="0" fontId="67" fillId="0" borderId="0" xfId="0" applyFont="1"/>
    <xf numFmtId="0" fontId="26" fillId="0" borderId="0" xfId="0" applyFont="1" applyAlignment="1">
      <alignment horizontal="left" indent="4"/>
    </xf>
    <xf numFmtId="0" fontId="2" fillId="0" borderId="9" xfId="0" applyFont="1" applyBorder="1"/>
    <xf numFmtId="0" fontId="26" fillId="0" borderId="10" xfId="0" applyFont="1" applyBorder="1" applyAlignment="1">
      <alignment horizontal="center" vertical="top" wrapText="1"/>
    </xf>
    <xf numFmtId="0" fontId="5" fillId="0" borderId="45" xfId="0" applyFont="1" applyBorder="1"/>
    <xf numFmtId="0" fontId="26" fillId="0" borderId="1" xfId="0" applyFont="1" applyBorder="1"/>
    <xf numFmtId="0" fontId="26" fillId="0" borderId="11" xfId="0" applyFont="1" applyBorder="1"/>
    <xf numFmtId="2" fontId="26" fillId="0" borderId="10" xfId="0" applyNumberFormat="1" applyFont="1" applyBorder="1" applyAlignment="1">
      <alignment horizontal="center" vertical="top" wrapText="1"/>
    </xf>
    <xf numFmtId="39" fontId="0" fillId="0" borderId="0" xfId="1" applyNumberFormat="1" applyFont="1" applyBorder="1" applyAlignment="1">
      <alignment horizontal="center"/>
    </xf>
    <xf numFmtId="169" fontId="0" fillId="0" borderId="0" xfId="1" applyNumberFormat="1" applyFont="1"/>
    <xf numFmtId="178" fontId="0" fillId="0" borderId="42" xfId="1" applyNumberFormat="1" applyFont="1" applyBorder="1" applyAlignment="1">
      <alignment horizontal="center"/>
    </xf>
    <xf numFmtId="14" fontId="8" fillId="0" borderId="0" xfId="0" applyNumberFormat="1" applyFont="1" applyAlignment="1">
      <alignment horizontal="right"/>
    </xf>
    <xf numFmtId="8" fontId="0" fillId="0" borderId="29" xfId="0" applyNumberFormat="1" applyBorder="1" applyAlignment="1">
      <alignment horizontal="center"/>
    </xf>
    <xf numFmtId="9" fontId="8" fillId="0" borderId="0" xfId="7" applyFont="1" applyAlignment="1">
      <alignment horizontal="left" indent="1"/>
    </xf>
    <xf numFmtId="9" fontId="0" fillId="0" borderId="0" xfId="7" applyFont="1" applyFill="1" applyAlignment="1">
      <alignment horizontal="left" indent="1"/>
    </xf>
    <xf numFmtId="9" fontId="0" fillId="0" borderId="0" xfId="7" applyFont="1" applyFill="1"/>
    <xf numFmtId="15" fontId="8" fillId="0" borderId="0" xfId="0" applyNumberFormat="1" applyFont="1"/>
    <xf numFmtId="9" fontId="0" fillId="0" borderId="0" xfId="7" applyFont="1" applyAlignment="1">
      <alignment horizontal="left" wrapText="1" indent="1"/>
    </xf>
    <xf numFmtId="0" fontId="56" fillId="0" borderId="0" xfId="0" applyFont="1" applyAlignment="1">
      <alignment horizontal="left" indent="2"/>
    </xf>
    <xf numFmtId="0" fontId="9" fillId="0" borderId="44" xfId="0" applyFont="1" applyBorder="1" applyAlignment="1">
      <alignment horizontal="center"/>
    </xf>
    <xf numFmtId="0" fontId="56" fillId="0" borderId="44" xfId="0" applyFont="1" applyBorder="1" applyAlignment="1">
      <alignment horizontal="center"/>
    </xf>
    <xf numFmtId="0" fontId="56" fillId="0" borderId="45" xfId="0" applyFont="1" applyBorder="1" applyAlignment="1">
      <alignment horizontal="center"/>
    </xf>
    <xf numFmtId="49" fontId="5" fillId="0" borderId="21" xfId="0" applyNumberFormat="1" applyFont="1" applyBorder="1" applyAlignment="1">
      <alignment horizontal="center" vertical="center" wrapText="1"/>
    </xf>
    <xf numFmtId="14" fontId="8" fillId="5" borderId="0" xfId="0" applyNumberFormat="1" applyFont="1" applyFill="1"/>
    <xf numFmtId="0" fontId="62" fillId="5" borderId="0" xfId="0" applyFont="1" applyFill="1"/>
    <xf numFmtId="0" fontId="2" fillId="5" borderId="0" xfId="0" applyFont="1" applyFill="1"/>
    <xf numFmtId="0" fontId="5" fillId="5" borderId="0" xfId="0" applyFont="1" applyFill="1"/>
    <xf numFmtId="0" fontId="2" fillId="5" borderId="0" xfId="0" applyNumberFormat="1" applyFont="1" applyFill="1"/>
    <xf numFmtId="0" fontId="5" fillId="5" borderId="0" xfId="0" applyNumberFormat="1" applyFont="1" applyFill="1" applyAlignment="1">
      <alignment horizontal="left" indent="1"/>
    </xf>
    <xf numFmtId="0" fontId="28" fillId="5" borderId="0" xfId="0" applyFont="1" applyFill="1"/>
    <xf numFmtId="14" fontId="8" fillId="5" borderId="0" xfId="0" applyNumberFormat="1" applyFont="1" applyFill="1" applyAlignment="1">
      <alignment horizontal="right"/>
    </xf>
    <xf numFmtId="0" fontId="0" fillId="5" borderId="0" xfId="0" applyFill="1" applyBorder="1"/>
    <xf numFmtId="0" fontId="8" fillId="5" borderId="0" xfId="0" applyFont="1" applyFill="1"/>
    <xf numFmtId="7" fontId="0" fillId="0" borderId="0" xfId="2" applyNumberFormat="1" applyFont="1" applyBorder="1" applyAlignment="1">
      <alignment horizontal="center"/>
    </xf>
    <xf numFmtId="0" fontId="6" fillId="0" borderId="0" xfId="0" applyFont="1" applyAlignment="1">
      <alignment horizontal="left"/>
    </xf>
    <xf numFmtId="185" fontId="1" fillId="0" borderId="0" xfId="0" applyNumberFormat="1" applyFont="1" applyBorder="1" applyProtection="1">
      <protection locked="0"/>
    </xf>
    <xf numFmtId="0" fontId="9" fillId="0" borderId="21" xfId="0" applyFont="1" applyFill="1" applyBorder="1" applyAlignment="1">
      <alignment horizontal="center" wrapText="1"/>
    </xf>
    <xf numFmtId="165" fontId="0" fillId="0" borderId="21" xfId="0" applyNumberFormat="1" applyBorder="1"/>
    <xf numFmtId="10" fontId="0" fillId="0" borderId="21" xfId="0" applyNumberFormat="1" applyBorder="1" applyAlignment="1">
      <alignment horizontal="center"/>
    </xf>
    <xf numFmtId="165" fontId="1" fillId="2" borderId="18" xfId="7" applyNumberFormat="1" applyFont="1" applyFill="1" applyBorder="1" applyAlignment="1">
      <alignment horizontal="center"/>
    </xf>
    <xf numFmtId="9" fontId="6" fillId="0" borderId="0" xfId="7" applyFont="1" applyFill="1" applyAlignment="1">
      <alignment horizontal="left" indent="1"/>
    </xf>
    <xf numFmtId="37" fontId="8" fillId="0" borderId="0" xfId="0" applyNumberFormat="1" applyFont="1" applyFill="1"/>
    <xf numFmtId="0" fontId="8" fillId="0" borderId="0" xfId="0" applyFont="1" applyFill="1"/>
    <xf numFmtId="9" fontId="20" fillId="0" borderId="0" xfId="7" applyFont="1" applyFill="1" applyAlignment="1">
      <alignment horizontal="right"/>
    </xf>
    <xf numFmtId="39" fontId="0" fillId="0" borderId="0" xfId="0" applyNumberFormat="1" applyFill="1"/>
    <xf numFmtId="0" fontId="5" fillId="0" borderId="0" xfId="0" applyFont="1" applyFill="1" applyAlignment="1">
      <alignment horizontal="left" indent="1"/>
    </xf>
    <xf numFmtId="9" fontId="0" fillId="0" borderId="0" xfId="0" applyNumberFormat="1" applyFill="1" applyAlignment="1">
      <alignment horizontal="center"/>
    </xf>
    <xf numFmtId="3" fontId="0" fillId="0" borderId="0" xfId="0" applyNumberFormat="1" applyFill="1"/>
    <xf numFmtId="1" fontId="0" fillId="0" borderId="0" xfId="7" applyNumberFormat="1" applyFont="1"/>
    <xf numFmtId="165" fontId="0" fillId="0" borderId="29" xfId="7" applyNumberFormat="1" applyFont="1" applyFill="1" applyBorder="1"/>
    <xf numFmtId="0" fontId="5" fillId="3" borderId="0" xfId="0" applyFont="1" applyFill="1"/>
    <xf numFmtId="37" fontId="5" fillId="5" borderId="29" xfId="1" applyNumberFormat="1" applyFont="1" applyFill="1" applyBorder="1" applyAlignment="1">
      <alignment horizontal="center"/>
    </xf>
    <xf numFmtId="0" fontId="8" fillId="5" borderId="0" xfId="0" applyFont="1" applyFill="1" applyAlignment="1">
      <alignment horizontal="left" indent="1"/>
    </xf>
    <xf numFmtId="0" fontId="8" fillId="5" borderId="0" xfId="0" applyFont="1" applyFill="1" applyAlignment="1">
      <alignment horizontal="left"/>
    </xf>
    <xf numFmtId="166" fontId="0" fillId="0" borderId="0" xfId="0" applyNumberFormat="1" applyFill="1"/>
    <xf numFmtId="165" fontId="0" fillId="0" borderId="0" xfId="0" applyNumberFormat="1" applyFill="1" applyAlignment="1">
      <alignment horizontal="center"/>
    </xf>
    <xf numFmtId="0" fontId="6" fillId="0" borderId="0" xfId="0" applyFont="1" applyFill="1" applyAlignment="1">
      <alignment horizontal="left" indent="1"/>
    </xf>
    <xf numFmtId="0" fontId="0" fillId="0" borderId="0" xfId="0" applyFill="1" applyAlignment="1">
      <alignment horizontal="left" wrapText="1" indent="2"/>
    </xf>
    <xf numFmtId="166" fontId="0" fillId="0" borderId="35" xfId="0" applyNumberFormat="1" applyFill="1" applyBorder="1"/>
    <xf numFmtId="0" fontId="0" fillId="8" borderId="0" xfId="0" applyFill="1" applyBorder="1"/>
    <xf numFmtId="0" fontId="5" fillId="0" borderId="0" xfId="0" applyFont="1" applyFill="1" applyAlignment="1">
      <alignment horizontal="left" indent="3"/>
    </xf>
    <xf numFmtId="9" fontId="0" fillId="0" borderId="0" xfId="7" applyNumberFormat="1" applyFont="1" applyFill="1"/>
    <xf numFmtId="3" fontId="5" fillId="0" borderId="0" xfId="0" applyNumberFormat="1" applyFont="1" applyAlignment="1">
      <alignment horizontal="center"/>
    </xf>
    <xf numFmtId="3" fontId="5" fillId="0" borderId="0" xfId="7" applyNumberFormat="1" applyFont="1" applyAlignment="1">
      <alignment horizontal="center"/>
    </xf>
    <xf numFmtId="0" fontId="8" fillId="0" borderId="31" xfId="0" applyFont="1" applyBorder="1" applyAlignment="1">
      <alignment horizontal="center"/>
    </xf>
    <xf numFmtId="0" fontId="8" fillId="0" borderId="32" xfId="0" applyFont="1" applyBorder="1"/>
    <xf numFmtId="0" fontId="8" fillId="0" borderId="37" xfId="0" applyFont="1" applyBorder="1"/>
    <xf numFmtId="9" fontId="0" fillId="0" borderId="36" xfId="7" applyNumberFormat="1" applyFont="1" applyBorder="1" applyAlignment="1">
      <alignment horizontal="center"/>
    </xf>
    <xf numFmtId="165" fontId="8" fillId="0" borderId="0" xfId="0" applyNumberFormat="1" applyFont="1"/>
    <xf numFmtId="165" fontId="8" fillId="0" borderId="0" xfId="7" applyNumberFormat="1" applyFont="1"/>
    <xf numFmtId="49" fontId="9" fillId="0" borderId="0" xfId="0" applyNumberFormat="1" applyFont="1" applyAlignment="1">
      <alignment horizontal="center"/>
    </xf>
    <xf numFmtId="169" fontId="5" fillId="0" borderId="0" xfId="0" applyNumberFormat="1" applyFont="1" applyAlignment="1">
      <alignment horizontal="center"/>
    </xf>
    <xf numFmtId="0" fontId="0" fillId="0" borderId="0" xfId="0" applyBorder="1" applyAlignment="1">
      <alignment horizontal="left" wrapText="1" indent="2"/>
    </xf>
    <xf numFmtId="0" fontId="6" fillId="0" borderId="33" xfId="0" applyFont="1" applyBorder="1" applyAlignment="1">
      <alignment horizontal="left" indent="1"/>
    </xf>
    <xf numFmtId="0" fontId="6" fillId="0" borderId="32" xfId="0" applyFont="1" applyBorder="1" applyAlignment="1">
      <alignment horizontal="left" indent="1"/>
    </xf>
    <xf numFmtId="9" fontId="0" fillId="0" borderId="25" xfId="0" applyNumberFormat="1" applyBorder="1"/>
    <xf numFmtId="7" fontId="0" fillId="2" borderId="37" xfId="0" applyNumberFormat="1" applyFill="1" applyBorder="1"/>
    <xf numFmtId="44" fontId="0" fillId="2" borderId="31" xfId="0" applyNumberFormat="1" applyFill="1" applyBorder="1"/>
    <xf numFmtId="0" fontId="6" fillId="0" borderId="0" xfId="0" applyFont="1" applyBorder="1" applyAlignment="1">
      <alignment horizontal="left" wrapText="1" indent="1"/>
    </xf>
    <xf numFmtId="168" fontId="0" fillId="0" borderId="0" xfId="0" applyNumberFormat="1" applyAlignment="1">
      <alignment horizontal="center"/>
    </xf>
    <xf numFmtId="165" fontId="0" fillId="2" borderId="29" xfId="7" applyNumberFormat="1" applyFont="1" applyFill="1" applyBorder="1" applyAlignment="1">
      <alignment horizontal="center"/>
    </xf>
    <xf numFmtId="9" fontId="0" fillId="0" borderId="0" xfId="0" applyNumberFormat="1" applyFill="1" applyBorder="1" applyAlignment="1">
      <alignment horizontal="center"/>
    </xf>
    <xf numFmtId="0" fontId="9" fillId="0" borderId="0" xfId="0" applyFont="1" applyFill="1" applyAlignment="1">
      <alignment horizontal="left" vertical="center" wrapText="1" indent="1"/>
    </xf>
    <xf numFmtId="0" fontId="5" fillId="0" borderId="0" xfId="0" applyFont="1" applyAlignment="1">
      <alignment horizontal="left" vertical="center" wrapText="1" indent="1"/>
    </xf>
    <xf numFmtId="49" fontId="5" fillId="0" borderId="0" xfId="0" applyNumberFormat="1" applyFont="1" applyAlignment="1">
      <alignment horizontal="left" vertical="center" wrapText="1" indent="1"/>
    </xf>
    <xf numFmtId="0" fontId="6" fillId="0" borderId="0" xfId="0" applyFont="1" applyBorder="1" applyAlignment="1">
      <alignment horizontal="left" indent="2"/>
    </xf>
    <xf numFmtId="6" fontId="8" fillId="0" borderId="0" xfId="0" applyNumberFormat="1" applyFont="1" applyBorder="1" applyAlignment="1">
      <alignment horizontal="center"/>
    </xf>
    <xf numFmtId="184" fontId="0" fillId="0" borderId="0" xfId="0" applyNumberFormat="1"/>
    <xf numFmtId="165" fontId="0" fillId="0" borderId="0" xfId="7" applyNumberFormat="1" applyFont="1" applyFill="1"/>
    <xf numFmtId="8" fontId="0" fillId="0" borderId="0" xfId="0" applyNumberFormat="1" applyFill="1" applyAlignment="1">
      <alignment horizontal="right"/>
    </xf>
    <xf numFmtId="7" fontId="0" fillId="0" borderId="0" xfId="0" applyNumberFormat="1" applyFill="1" applyAlignment="1">
      <alignment horizontal="right"/>
    </xf>
    <xf numFmtId="0" fontId="0" fillId="0" borderId="0" xfId="0" applyFill="1" applyAlignment="1">
      <alignment horizontal="right"/>
    </xf>
    <xf numFmtId="165" fontId="0" fillId="0" borderId="0" xfId="7" applyNumberFormat="1" applyFont="1" applyFill="1" applyAlignment="1">
      <alignment horizontal="right"/>
    </xf>
    <xf numFmtId="0" fontId="9" fillId="0" borderId="0" xfId="0" applyFont="1" applyAlignment="1">
      <alignment horizontal="right" indent="1"/>
    </xf>
    <xf numFmtId="0" fontId="6" fillId="0" borderId="0" xfId="0" applyFont="1" applyBorder="1" applyAlignment="1">
      <alignment horizontal="left" indent="3"/>
    </xf>
    <xf numFmtId="0" fontId="0" fillId="0" borderId="45" xfId="0" applyBorder="1"/>
    <xf numFmtId="0" fontId="0" fillId="5" borderId="0" xfId="0" applyFill="1" applyAlignment="1">
      <alignment horizontal="left" indent="1"/>
    </xf>
    <xf numFmtId="0" fontId="5" fillId="5" borderId="0" xfId="0" applyFont="1" applyFill="1" applyAlignment="1">
      <alignment horizontal="left" indent="2"/>
    </xf>
    <xf numFmtId="0" fontId="0" fillId="5" borderId="0" xfId="0" applyFill="1" applyAlignment="1">
      <alignment horizontal="left" indent="2"/>
    </xf>
    <xf numFmtId="41" fontId="0" fillId="0" borderId="0" xfId="0" applyNumberFormat="1" applyFont="1" applyFill="1" applyBorder="1"/>
    <xf numFmtId="5" fontId="0" fillId="0" borderId="0" xfId="2" applyNumberFormat="1" applyFont="1"/>
    <xf numFmtId="5" fontId="8" fillId="0" borderId="0" xfId="2" applyNumberFormat="1" applyFont="1"/>
    <xf numFmtId="44" fontId="0" fillId="0" borderId="0" xfId="2" applyFont="1"/>
    <xf numFmtId="0" fontId="9" fillId="2" borderId="0" xfId="0" applyFont="1" applyFill="1" applyAlignment="1">
      <alignment horizontal="right"/>
    </xf>
    <xf numFmtId="3" fontId="8" fillId="2" borderId="0" xfId="0" applyNumberFormat="1" applyFont="1" applyFill="1"/>
    <xf numFmtId="9" fontId="0" fillId="2" borderId="0" xfId="0" applyNumberFormat="1" applyFill="1"/>
    <xf numFmtId="44" fontId="8" fillId="2" borderId="0" xfId="2" applyFont="1" applyFill="1"/>
    <xf numFmtId="165" fontId="8" fillId="2" borderId="0" xfId="7" applyNumberFormat="1" applyFont="1" applyFill="1"/>
    <xf numFmtId="165" fontId="5" fillId="2" borderId="0" xfId="7" applyNumberFormat="1" applyFont="1" applyFill="1"/>
    <xf numFmtId="0" fontId="0" fillId="0" borderId="0" xfId="0" applyAlignment="1">
      <alignment horizontal="left" vertical="center" wrapText="1" indent="1"/>
    </xf>
    <xf numFmtId="0" fontId="30" fillId="0" borderId="0" xfId="0" applyFont="1" applyAlignment="1">
      <alignment horizontal="center"/>
    </xf>
    <xf numFmtId="0" fontId="32" fillId="0" borderId="0" xfId="0" applyFont="1" applyBorder="1" applyAlignment="1">
      <alignment horizontal="left" wrapText="1" indent="1"/>
    </xf>
    <xf numFmtId="165" fontId="0" fillId="0" borderId="0" xfId="7" applyNumberFormat="1" applyFont="1" applyFill="1" applyBorder="1"/>
    <xf numFmtId="166" fontId="0" fillId="0" borderId="34" xfId="0" applyNumberFormat="1" applyBorder="1"/>
    <xf numFmtId="0" fontId="10" fillId="0" borderId="0" xfId="0" applyFont="1" applyAlignment="1">
      <alignment horizontal="left"/>
    </xf>
    <xf numFmtId="0" fontId="0" fillId="0" borderId="44" xfId="0" applyBorder="1"/>
    <xf numFmtId="0" fontId="0" fillId="0" borderId="0" xfId="0" applyBorder="1" applyAlignment="1">
      <alignment horizontal="left" indent="1"/>
    </xf>
    <xf numFmtId="173" fontId="8" fillId="0" borderId="0" xfId="2" applyNumberFormat="1" applyFont="1" applyBorder="1" applyAlignment="1">
      <alignment horizontal="right"/>
    </xf>
    <xf numFmtId="0" fontId="8" fillId="0" borderId="11" xfId="0" applyFont="1" applyBorder="1"/>
    <xf numFmtId="0" fontId="62" fillId="0" borderId="0" xfId="0" applyFont="1"/>
    <xf numFmtId="8" fontId="5" fillId="0" borderId="0" xfId="0" applyNumberFormat="1" applyFont="1" applyBorder="1" applyAlignment="1">
      <alignment horizontal="right" wrapText="1" indent="1"/>
    </xf>
    <xf numFmtId="173" fontId="0" fillId="0" borderId="0" xfId="2" applyNumberFormat="1" applyFont="1" applyBorder="1" applyAlignment="1">
      <alignment horizontal="left"/>
    </xf>
    <xf numFmtId="0" fontId="0" fillId="0" borderId="0" xfId="0" applyFill="1" applyAlignment="1">
      <alignment vertical="center" wrapText="1"/>
    </xf>
    <xf numFmtId="173" fontId="6" fillId="0" borderId="0" xfId="2" applyNumberFormat="1" applyFont="1" applyBorder="1" applyAlignment="1">
      <alignment horizontal="left"/>
    </xf>
    <xf numFmtId="173" fontId="10" fillId="0" borderId="0" xfId="2" applyNumberFormat="1" applyFont="1" applyBorder="1" applyAlignment="1">
      <alignment horizontal="left"/>
    </xf>
    <xf numFmtId="0" fontId="0" fillId="8" borderId="43" xfId="0" applyFill="1" applyBorder="1"/>
    <xf numFmtId="0" fontId="0" fillId="8" borderId="8" xfId="0" applyFill="1" applyBorder="1"/>
    <xf numFmtId="0" fontId="0" fillId="8" borderId="9" xfId="0" applyFill="1" applyBorder="1"/>
    <xf numFmtId="0" fontId="0" fillId="8" borderId="44" xfId="0" applyFill="1" applyBorder="1"/>
    <xf numFmtId="0" fontId="0" fillId="8" borderId="10" xfId="0" applyFill="1" applyBorder="1"/>
    <xf numFmtId="0" fontId="0" fillId="8" borderId="1" xfId="0" applyFill="1" applyBorder="1"/>
    <xf numFmtId="0" fontId="0" fillId="8" borderId="11" xfId="0" applyFill="1" applyBorder="1"/>
    <xf numFmtId="0" fontId="0" fillId="0" borderId="0" xfId="0" applyFill="1" applyBorder="1"/>
    <xf numFmtId="0" fontId="16" fillId="0" borderId="0" xfId="0" applyFont="1" applyFill="1" applyBorder="1" applyAlignment="1">
      <alignment horizontal="left" indent="2"/>
    </xf>
    <xf numFmtId="0" fontId="16" fillId="8" borderId="44" xfId="0" applyFont="1" applyFill="1" applyBorder="1"/>
    <xf numFmtId="0" fontId="16" fillId="8" borderId="44" xfId="0" applyFont="1" applyFill="1" applyBorder="1" applyAlignment="1">
      <alignment horizontal="left" indent="1"/>
    </xf>
    <xf numFmtId="0" fontId="20" fillId="8" borderId="44" xfId="0" applyFont="1" applyFill="1" applyBorder="1" applyAlignment="1">
      <alignment horizontal="left" indent="2"/>
    </xf>
    <xf numFmtId="0" fontId="16" fillId="8" borderId="44" xfId="0" applyFont="1" applyFill="1" applyBorder="1" applyAlignment="1">
      <alignment horizontal="left" indent="2"/>
    </xf>
    <xf numFmtId="0" fontId="0" fillId="8" borderId="45" xfId="0" applyFill="1" applyBorder="1"/>
    <xf numFmtId="0" fontId="8" fillId="0" borderId="12" xfId="0" applyFont="1" applyBorder="1"/>
    <xf numFmtId="0" fontId="0" fillId="0" borderId="7" xfId="0" applyBorder="1"/>
    <xf numFmtId="0" fontId="2" fillId="7" borderId="36" xfId="0" applyFont="1" applyFill="1" applyBorder="1" applyAlignment="1">
      <alignment horizontal="center"/>
    </xf>
    <xf numFmtId="0" fontId="0" fillId="0" borderId="0" xfId="0" applyFill="1" applyAlignment="1">
      <alignment horizontal="left" indent="2"/>
    </xf>
    <xf numFmtId="9" fontId="8" fillId="0" borderId="0" xfId="0" applyNumberFormat="1" applyFont="1" applyFill="1"/>
    <xf numFmtId="0" fontId="8" fillId="0" borderId="0" xfId="0" applyFont="1" applyFill="1" applyBorder="1" applyAlignment="1">
      <alignment horizontal="left" wrapText="1"/>
    </xf>
    <xf numFmtId="2" fontId="0" fillId="2" borderId="0" xfId="0" applyNumberFormat="1" applyFill="1"/>
    <xf numFmtId="43" fontId="0" fillId="0" borderId="11" xfId="0" applyNumberFormat="1" applyBorder="1"/>
    <xf numFmtId="0" fontId="2" fillId="0" borderId="43" xfId="0" applyFont="1" applyBorder="1"/>
    <xf numFmtId="0" fontId="23" fillId="0" borderId="0" xfId="0" applyFont="1" applyAlignment="1">
      <alignment horizontal="left" indent="2"/>
    </xf>
    <xf numFmtId="0" fontId="26" fillId="0" borderId="0" xfId="0" applyFont="1" applyAlignment="1">
      <alignment horizontal="left" indent="2"/>
    </xf>
    <xf numFmtId="0" fontId="8" fillId="0" borderId="0" xfId="0" applyFont="1" applyAlignment="1">
      <alignment vertical="center" wrapText="1"/>
    </xf>
    <xf numFmtId="0" fontId="2" fillId="0" borderId="0" xfId="0" applyFont="1" applyAlignment="1">
      <alignment vertical="center"/>
    </xf>
    <xf numFmtId="1" fontId="0" fillId="0" borderId="0" xfId="0" applyNumberFormat="1" applyAlignment="1">
      <alignment vertical="center" wrapText="1"/>
    </xf>
    <xf numFmtId="9" fontId="0" fillId="0" borderId="0" xfId="7" applyFont="1" applyAlignment="1">
      <alignment vertical="center" wrapText="1"/>
    </xf>
    <xf numFmtId="2" fontId="0" fillId="0" borderId="0" xfId="0" applyNumberFormat="1" applyAlignment="1">
      <alignment vertical="center" wrapText="1"/>
    </xf>
    <xf numFmtId="9" fontId="8" fillId="0" borderId="0" xfId="7" applyFont="1" applyAlignment="1">
      <alignment vertical="center" wrapText="1"/>
    </xf>
    <xf numFmtId="9" fontId="1" fillId="0" borderId="0" xfId="7" applyFont="1" applyFill="1"/>
    <xf numFmtId="9" fontId="1" fillId="0" borderId="0" xfId="7"/>
    <xf numFmtId="9" fontId="1" fillId="0" borderId="0" xfId="7" applyNumberFormat="1"/>
    <xf numFmtId="43" fontId="1" fillId="0" borderId="0" xfId="1"/>
    <xf numFmtId="165" fontId="1" fillId="0" borderId="0" xfId="7" applyNumberFormat="1"/>
    <xf numFmtId="9" fontId="1" fillId="0" borderId="31" xfId="7" applyNumberFormat="1" applyBorder="1"/>
    <xf numFmtId="7" fontId="1" fillId="0" borderId="0" xfId="2" applyNumberFormat="1"/>
    <xf numFmtId="1" fontId="1" fillId="0" borderId="0" xfId="7" applyNumberFormat="1"/>
    <xf numFmtId="9" fontId="1" fillId="0" borderId="0" xfId="7" applyAlignment="1">
      <alignment horizontal="center"/>
    </xf>
    <xf numFmtId="10" fontId="1" fillId="6" borderId="0" xfId="7" applyNumberFormat="1" applyFill="1" applyAlignment="1">
      <alignment horizontal="center"/>
    </xf>
    <xf numFmtId="10" fontId="1" fillId="2" borderId="0" xfId="7" applyNumberFormat="1" applyFill="1" applyAlignment="1">
      <alignment horizontal="center"/>
    </xf>
    <xf numFmtId="10" fontId="1" fillId="10" borderId="0" xfId="7" applyNumberFormat="1" applyFill="1" applyAlignment="1">
      <alignment horizontal="center"/>
    </xf>
    <xf numFmtId="10" fontId="1" fillId="9" borderId="0" xfId="7" applyNumberFormat="1" applyFill="1" applyAlignment="1">
      <alignment horizontal="center"/>
    </xf>
    <xf numFmtId="9" fontId="1" fillId="0" borderId="0" xfId="7" applyNumberFormat="1" applyAlignment="1">
      <alignment horizontal="center"/>
    </xf>
    <xf numFmtId="165" fontId="1" fillId="0" borderId="0" xfId="7" applyNumberFormat="1" applyAlignment="1">
      <alignment horizontal="center"/>
    </xf>
    <xf numFmtId="9" fontId="1" fillId="0" borderId="36" xfId="7" applyNumberFormat="1" applyBorder="1" applyAlignment="1">
      <alignment horizontal="center"/>
    </xf>
    <xf numFmtId="41" fontId="0" fillId="0" borderId="21" xfId="0" applyNumberFormat="1" applyBorder="1"/>
    <xf numFmtId="10" fontId="1" fillId="2" borderId="21" xfId="7" applyNumberFormat="1" applyFill="1" applyBorder="1" applyAlignment="1">
      <alignment horizontal="center"/>
    </xf>
    <xf numFmtId="165" fontId="1" fillId="0" borderId="29" xfId="7" applyNumberFormat="1" applyBorder="1" applyAlignment="1">
      <alignment horizontal="center"/>
    </xf>
    <xf numFmtId="165" fontId="1" fillId="0" borderId="31" xfId="7" applyNumberFormat="1" applyBorder="1" applyAlignment="1">
      <alignment horizontal="center"/>
    </xf>
    <xf numFmtId="165" fontId="0" fillId="0" borderId="31" xfId="7" applyNumberFormat="1" applyFont="1" applyBorder="1" applyAlignment="1">
      <alignment horizontal="center"/>
    </xf>
    <xf numFmtId="43" fontId="40" fillId="0" borderId="0" xfId="0" applyNumberFormat="1" applyFont="1" applyBorder="1"/>
    <xf numFmtId="0" fontId="79" fillId="0" borderId="0" xfId="0" applyFont="1" applyAlignment="1">
      <alignment horizontal="center"/>
    </xf>
    <xf numFmtId="169" fontId="0" fillId="0" borderId="11" xfId="0" applyNumberFormat="1" applyBorder="1"/>
    <xf numFmtId="0" fontId="0" fillId="0" borderId="55" xfId="0" applyBorder="1"/>
    <xf numFmtId="0" fontId="8" fillId="0" borderId="2" xfId="0" applyFont="1" applyBorder="1"/>
    <xf numFmtId="0" fontId="9" fillId="0" borderId="2" xfId="0" applyFont="1" applyBorder="1" applyAlignment="1">
      <alignment horizontal="right"/>
    </xf>
    <xf numFmtId="9" fontId="8" fillId="0" borderId="56" xfId="7" applyFont="1" applyBorder="1"/>
    <xf numFmtId="0" fontId="0" fillId="0" borderId="0" xfId="0" applyAlignment="1">
      <alignment horizontal="left" vertical="center" wrapText="1" indent="3"/>
    </xf>
    <xf numFmtId="43" fontId="0" fillId="0" borderId="0" xfId="0" applyNumberFormat="1" applyBorder="1"/>
    <xf numFmtId="43" fontId="8" fillId="0" borderId="0" xfId="0" applyNumberFormat="1" applyFont="1" applyBorder="1"/>
    <xf numFmtId="0" fontId="31" fillId="0" borderId="0" xfId="0" applyFont="1" applyBorder="1" applyAlignment="1">
      <alignment horizontal="left" indent="2"/>
    </xf>
    <xf numFmtId="5" fontId="5" fillId="0" borderId="0" xfId="0" applyNumberFormat="1" applyFont="1" applyAlignment="1">
      <alignment horizontal="center"/>
    </xf>
    <xf numFmtId="10" fontId="0" fillId="11" borderId="0" xfId="7" applyNumberFormat="1" applyFont="1" applyFill="1" applyAlignment="1">
      <alignment horizontal="center"/>
    </xf>
    <xf numFmtId="0" fontId="26" fillId="0" borderId="0" xfId="0" applyFont="1" applyBorder="1"/>
    <xf numFmtId="0" fontId="26" fillId="0" borderId="32" xfId="0" applyFont="1" applyBorder="1" applyAlignment="1">
      <alignment horizontal="left" indent="2"/>
    </xf>
    <xf numFmtId="165" fontId="26" fillId="0" borderId="0" xfId="7" applyNumberFormat="1" applyFont="1" applyBorder="1" applyAlignment="1">
      <alignment horizontal="right"/>
    </xf>
    <xf numFmtId="165" fontId="26" fillId="0" borderId="24" xfId="7" applyNumberFormat="1" applyFont="1" applyBorder="1" applyAlignment="1">
      <alignment horizontal="right"/>
    </xf>
    <xf numFmtId="3" fontId="8" fillId="0" borderId="0" xfId="0" applyNumberFormat="1" applyFont="1" applyFill="1" applyBorder="1"/>
    <xf numFmtId="0" fontId="50" fillId="0" borderId="0" xfId="0" applyFont="1" applyFill="1"/>
    <xf numFmtId="2" fontId="5" fillId="2" borderId="31" xfId="0" applyNumberFormat="1" applyFont="1" applyFill="1" applyBorder="1" applyAlignment="1">
      <alignment horizontal="right"/>
    </xf>
    <xf numFmtId="0" fontId="0" fillId="0" borderId="0" xfId="0" applyBorder="1" applyAlignment="1">
      <alignment horizontal="left" vertical="center" wrapText="1" indent="2"/>
    </xf>
    <xf numFmtId="0" fontId="22" fillId="0" borderId="0" xfId="0" applyFont="1" applyAlignment="1">
      <alignment horizontal="left"/>
    </xf>
    <xf numFmtId="9" fontId="6" fillId="0" borderId="0" xfId="0" applyNumberFormat="1" applyFont="1" applyAlignment="1">
      <alignment horizontal="center"/>
    </xf>
    <xf numFmtId="14" fontId="8" fillId="0" borderId="0" xfId="2" applyNumberFormat="1" applyFont="1"/>
    <xf numFmtId="44" fontId="6" fillId="0" borderId="0" xfId="2" applyFont="1" applyAlignment="1">
      <alignment horizontal="left" indent="2"/>
    </xf>
    <xf numFmtId="165" fontId="8" fillId="0" borderId="0" xfId="7" applyNumberFormat="1" applyFont="1" applyFill="1"/>
    <xf numFmtId="9" fontId="1" fillId="0" borderId="0" xfId="7" applyNumberFormat="1" applyFont="1"/>
    <xf numFmtId="44" fontId="1" fillId="0" borderId="24" xfId="2" applyFont="1" applyBorder="1"/>
    <xf numFmtId="0" fontId="2" fillId="0" borderId="0" xfId="0" applyFont="1" applyFill="1" applyBorder="1" applyAlignment="1">
      <alignment horizontal="center"/>
    </xf>
    <xf numFmtId="180" fontId="6" fillId="0" borderId="43" xfId="0" applyNumberFormat="1" applyFont="1" applyBorder="1"/>
    <xf numFmtId="180" fontId="6" fillId="0" borderId="44" xfId="0" applyNumberFormat="1" applyFont="1" applyBorder="1"/>
    <xf numFmtId="180" fontId="6" fillId="0" borderId="45" xfId="0" applyNumberFormat="1" applyFont="1" applyBorder="1"/>
    <xf numFmtId="0" fontId="8" fillId="0" borderId="33" xfId="0" applyFont="1" applyFill="1" applyBorder="1"/>
    <xf numFmtId="0" fontId="0" fillId="0" borderId="18" xfId="0" applyFill="1" applyBorder="1"/>
    <xf numFmtId="0" fontId="0" fillId="0" borderId="17" xfId="0" applyFill="1" applyBorder="1"/>
    <xf numFmtId="0" fontId="0" fillId="0" borderId="32" xfId="0" applyFill="1" applyBorder="1"/>
    <xf numFmtId="164" fontId="0" fillId="0" borderId="0" xfId="0" applyNumberFormat="1"/>
    <xf numFmtId="164" fontId="8" fillId="0" borderId="0" xfId="0" applyNumberFormat="1" applyFont="1"/>
    <xf numFmtId="0" fontId="8" fillId="0" borderId="0" xfId="0" applyFont="1" applyFill="1" applyAlignment="1">
      <alignment horizontal="left" indent="1"/>
    </xf>
    <xf numFmtId="169" fontId="8" fillId="0" borderId="0" xfId="0" applyNumberFormat="1" applyFont="1" applyFill="1"/>
    <xf numFmtId="41" fontId="8" fillId="0" borderId="0" xfId="0" applyNumberFormat="1" applyFont="1" applyFill="1"/>
    <xf numFmtId="0" fontId="48" fillId="0" borderId="0" xfId="0" applyFont="1"/>
    <xf numFmtId="0" fontId="47" fillId="0" borderId="0" xfId="0" applyFont="1"/>
    <xf numFmtId="3" fontId="47" fillId="0" borderId="0" xfId="0" applyNumberFormat="1" applyFont="1"/>
    <xf numFmtId="165" fontId="0" fillId="0" borderId="0" xfId="0" applyNumberFormat="1" applyBorder="1"/>
    <xf numFmtId="9" fontId="0" fillId="0" borderId="10" xfId="7" applyFont="1" applyBorder="1"/>
    <xf numFmtId="9" fontId="0" fillId="0" borderId="10" xfId="0" applyNumberFormat="1" applyBorder="1"/>
    <xf numFmtId="0" fontId="0" fillId="2" borderId="1" xfId="0" applyFill="1" applyBorder="1"/>
    <xf numFmtId="0" fontId="5" fillId="0" borderId="33" xfId="0" applyFont="1" applyBorder="1" applyAlignment="1">
      <alignment horizontal="left" indent="1"/>
    </xf>
    <xf numFmtId="9" fontId="8" fillId="0" borderId="17" xfId="0" applyNumberFormat="1" applyFont="1" applyBorder="1"/>
    <xf numFmtId="0" fontId="10" fillId="0" borderId="42" xfId="0" applyFont="1" applyBorder="1" applyAlignment="1">
      <alignment horizontal="left" indent="2"/>
    </xf>
    <xf numFmtId="173" fontId="22" fillId="0" borderId="0" xfId="2" applyNumberFormat="1" applyFont="1" applyBorder="1" applyAlignment="1">
      <alignment horizontal="center"/>
    </xf>
    <xf numFmtId="37" fontId="6" fillId="0" borderId="29" xfId="1" applyNumberFormat="1" applyFont="1" applyBorder="1" applyAlignment="1">
      <alignment horizontal="center" wrapText="1"/>
    </xf>
    <xf numFmtId="5" fontId="0" fillId="0" borderId="0" xfId="0" applyNumberFormat="1" applyBorder="1" applyAlignment="1">
      <alignment horizontal="center"/>
    </xf>
    <xf numFmtId="0" fontId="0" fillId="0" borderId="0" xfId="0" applyAlignment="1">
      <alignment horizontal="left" vertical="center" wrapText="1"/>
    </xf>
    <xf numFmtId="0" fontId="5" fillId="0" borderId="0" xfId="0" applyFont="1" applyFill="1"/>
    <xf numFmtId="0" fontId="8" fillId="0" borderId="0" xfId="0" applyFont="1" applyFill="1" applyAlignment="1">
      <alignment horizontal="right"/>
    </xf>
    <xf numFmtId="43" fontId="5" fillId="0" borderId="0" xfId="1" applyFont="1" applyFill="1"/>
    <xf numFmtId="2" fontId="5" fillId="0" borderId="0" xfId="0" applyNumberFormat="1" applyFont="1" applyFill="1"/>
    <xf numFmtId="0" fontId="2" fillId="0" borderId="0" xfId="0" applyFont="1" applyFill="1"/>
    <xf numFmtId="14" fontId="8" fillId="0" borderId="0" xfId="0" applyNumberFormat="1" applyFont="1" applyFill="1"/>
    <xf numFmtId="0" fontId="6" fillId="0" borderId="0" xfId="0" applyFont="1" applyFill="1" applyAlignment="1">
      <alignment horizontal="center"/>
    </xf>
    <xf numFmtId="0" fontId="16" fillId="0" borderId="0" xfId="0" applyFont="1" applyFill="1"/>
    <xf numFmtId="0" fontId="0" fillId="0" borderId="0" xfId="0" applyBorder="1" applyAlignment="1">
      <alignment horizontal="left"/>
    </xf>
    <xf numFmtId="0" fontId="5" fillId="8" borderId="44" xfId="0" applyFont="1" applyFill="1" applyBorder="1" applyAlignment="1">
      <alignment horizontal="center"/>
    </xf>
    <xf numFmtId="0" fontId="5" fillId="8" borderId="0" xfId="0" applyFont="1" applyFill="1" applyBorder="1" applyAlignment="1">
      <alignment horizontal="center"/>
    </xf>
    <xf numFmtId="167" fontId="5" fillId="8" borderId="0" xfId="0" applyNumberFormat="1" applyFont="1" applyFill="1" applyBorder="1" applyAlignment="1">
      <alignment horizontal="center"/>
    </xf>
    <xf numFmtId="167" fontId="5" fillId="8" borderId="10" xfId="0" applyNumberFormat="1" applyFont="1" applyFill="1" applyBorder="1" applyAlignment="1">
      <alignment horizontal="center"/>
    </xf>
    <xf numFmtId="0" fontId="5" fillId="8" borderId="45" xfId="0" applyFont="1" applyFill="1" applyBorder="1" applyAlignment="1">
      <alignment horizontal="center"/>
    </xf>
    <xf numFmtId="167" fontId="5" fillId="8" borderId="11" xfId="0" applyNumberFormat="1" applyFont="1" applyFill="1" applyBorder="1" applyAlignment="1">
      <alignment horizontal="center"/>
    </xf>
    <xf numFmtId="0" fontId="0" fillId="9" borderId="0" xfId="0" applyFill="1" applyAlignment="1">
      <alignment horizontal="center"/>
    </xf>
    <xf numFmtId="167" fontId="1" fillId="9" borderId="0" xfId="0" applyNumberFormat="1" applyFont="1" applyFill="1" applyBorder="1" applyAlignment="1">
      <alignment horizontal="center"/>
    </xf>
    <xf numFmtId="2" fontId="0" fillId="0" borderId="0" xfId="0" applyNumberFormat="1" applyFill="1"/>
    <xf numFmtId="0" fontId="45" fillId="0" borderId="0" xfId="0" applyFont="1" applyFill="1" applyBorder="1"/>
    <xf numFmtId="0" fontId="8" fillId="0" borderId="0" xfId="0" applyFont="1" applyFill="1" applyAlignment="1">
      <alignment horizontal="left" indent="2"/>
    </xf>
    <xf numFmtId="0" fontId="5" fillId="0" borderId="0" xfId="0" applyFont="1" applyFill="1" applyBorder="1" applyAlignment="1">
      <alignment wrapText="1"/>
    </xf>
    <xf numFmtId="0" fontId="9" fillId="0" borderId="0" xfId="0" applyFont="1" applyFill="1" applyBorder="1" applyAlignment="1">
      <alignment wrapText="1"/>
    </xf>
    <xf numFmtId="0" fontId="45" fillId="0" borderId="0" xfId="0" applyFont="1" applyFill="1" applyBorder="1" applyAlignment="1">
      <alignment wrapText="1"/>
    </xf>
    <xf numFmtId="0" fontId="0" fillId="0" borderId="0" xfId="0" applyFill="1" applyAlignment="1">
      <alignment horizontal="left" wrapText="1" indent="1"/>
    </xf>
    <xf numFmtId="0" fontId="10" fillId="0" borderId="32" xfId="0" applyFont="1" applyBorder="1" applyAlignment="1">
      <alignment horizontal="left" indent="2"/>
    </xf>
    <xf numFmtId="2" fontId="8" fillId="0" borderId="24" xfId="0" applyNumberFormat="1" applyFont="1" applyBorder="1"/>
    <xf numFmtId="2" fontId="1" fillId="0" borderId="0" xfId="0" applyNumberFormat="1" applyFont="1" applyFill="1" applyAlignment="1"/>
    <xf numFmtId="0" fontId="0" fillId="0" borderId="0" xfId="0" applyFill="1" applyAlignment="1"/>
    <xf numFmtId="1" fontId="1" fillId="0" borderId="0" xfId="0" applyNumberFormat="1" applyFont="1" applyFill="1" applyAlignment="1"/>
    <xf numFmtId="0" fontId="6" fillId="0" borderId="0" xfId="0" applyFont="1" applyFill="1" applyAlignment="1"/>
    <xf numFmtId="3" fontId="0" fillId="0" borderId="0" xfId="0" applyNumberFormat="1" applyFill="1" applyAlignment="1"/>
    <xf numFmtId="3" fontId="48" fillId="0" borderId="0" xfId="0" applyNumberFormat="1" applyFont="1" applyFill="1" applyAlignment="1">
      <alignment horizontal="center"/>
    </xf>
    <xf numFmtId="3" fontId="48" fillId="0" borderId="0" xfId="0" applyNumberFormat="1" applyFont="1" applyAlignment="1">
      <alignment horizontal="center"/>
    </xf>
    <xf numFmtId="3" fontId="47" fillId="0" borderId="0" xfId="0" applyNumberFormat="1" applyFont="1" applyAlignment="1">
      <alignment horizontal="center"/>
    </xf>
    <xf numFmtId="165" fontId="8" fillId="0" borderId="0" xfId="7" applyNumberFormat="1" applyFont="1" applyFill="1" applyAlignment="1">
      <alignment horizontal="center"/>
    </xf>
    <xf numFmtId="0" fontId="48" fillId="0" borderId="37" xfId="0" applyFont="1" applyBorder="1"/>
    <xf numFmtId="0" fontId="0" fillId="0" borderId="0" xfId="0" applyBorder="1" applyAlignment="1">
      <alignment horizontal="center" vertical="center"/>
    </xf>
    <xf numFmtId="0" fontId="0" fillId="0" borderId="37" xfId="0" applyBorder="1" applyAlignment="1">
      <alignment horizontal="left" indent="1"/>
    </xf>
    <xf numFmtId="0" fontId="0" fillId="0" borderId="30" xfId="0" applyFill="1" applyBorder="1"/>
    <xf numFmtId="165" fontId="0" fillId="0" borderId="31" xfId="7" applyNumberFormat="1" applyFont="1" applyFill="1" applyBorder="1" applyAlignment="1">
      <alignment horizontal="right" indent="1"/>
    </xf>
    <xf numFmtId="9" fontId="8" fillId="0" borderId="24" xfId="0" applyNumberFormat="1" applyFont="1" applyBorder="1"/>
    <xf numFmtId="0" fontId="0" fillId="8" borderId="37" xfId="0" applyFill="1" applyBorder="1"/>
    <xf numFmtId="0" fontId="0" fillId="8" borderId="30" xfId="0" applyFill="1" applyBorder="1"/>
    <xf numFmtId="0" fontId="6" fillId="8" borderId="30" xfId="0" applyFont="1" applyFill="1" applyBorder="1" applyAlignment="1">
      <alignment horizontal="right"/>
    </xf>
    <xf numFmtId="165" fontId="0" fillId="8" borderId="31" xfId="7" applyNumberFormat="1" applyFont="1" applyFill="1" applyBorder="1"/>
    <xf numFmtId="0" fontId="43" fillId="0" borderId="0" xfId="0" applyFont="1" applyAlignment="1">
      <alignment horizontal="left" vertical="center" indent="1"/>
    </xf>
    <xf numFmtId="0" fontId="56" fillId="0" borderId="0" xfId="0" applyFont="1" applyAlignment="1">
      <alignment horizontal="center"/>
    </xf>
    <xf numFmtId="0" fontId="5" fillId="12" borderId="37" xfId="0" applyFont="1" applyFill="1" applyBorder="1" applyAlignment="1">
      <alignment horizontal="left" indent="1"/>
    </xf>
    <xf numFmtId="0" fontId="0" fillId="12" borderId="30" xfId="0" applyFill="1" applyBorder="1"/>
    <xf numFmtId="3" fontId="8" fillId="12" borderId="31" xfId="0" applyNumberFormat="1" applyFont="1" applyFill="1" applyBorder="1"/>
    <xf numFmtId="0" fontId="0" fillId="7" borderId="37" xfId="0" applyFill="1" applyBorder="1" applyAlignment="1">
      <alignment horizontal="left" indent="1"/>
    </xf>
    <xf numFmtId="0" fontId="0" fillId="7" borderId="30" xfId="0" applyFill="1" applyBorder="1"/>
    <xf numFmtId="3" fontId="8" fillId="7" borderId="31" xfId="0" applyNumberFormat="1" applyFont="1" applyFill="1" applyBorder="1"/>
    <xf numFmtId="0" fontId="0" fillId="7" borderId="37" xfId="0" applyFill="1" applyBorder="1" applyAlignment="1">
      <alignment horizontal="left" indent="2"/>
    </xf>
    <xf numFmtId="3" fontId="0" fillId="0" borderId="0" xfId="0" applyNumberFormat="1" applyAlignment="1">
      <alignment horizontal="left" indent="1"/>
    </xf>
    <xf numFmtId="169" fontId="8" fillId="0" borderId="29" xfId="1" applyNumberFormat="1" applyFont="1" applyBorder="1"/>
    <xf numFmtId="3" fontId="0" fillId="0" borderId="0" xfId="0" applyNumberFormat="1" applyBorder="1" applyAlignment="1">
      <alignment horizontal="center"/>
    </xf>
    <xf numFmtId="0" fontId="9" fillId="0" borderId="10" xfId="0" applyFont="1" applyBorder="1" applyAlignment="1">
      <alignment horizontal="center"/>
    </xf>
    <xf numFmtId="3" fontId="0" fillId="0" borderId="10" xfId="0" applyNumberFormat="1" applyBorder="1" applyAlignment="1">
      <alignment horizontal="center"/>
    </xf>
    <xf numFmtId="3" fontId="0" fillId="0" borderId="1" xfId="0" applyNumberFormat="1" applyBorder="1" applyAlignment="1">
      <alignment horizontal="center"/>
    </xf>
    <xf numFmtId="3" fontId="0" fillId="0" borderId="11" xfId="0" applyNumberFormat="1" applyBorder="1" applyAlignment="1">
      <alignment horizontal="center"/>
    </xf>
    <xf numFmtId="3" fontId="57"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1" xfId="0" applyNumberFormat="1" applyFont="1" applyBorder="1" applyAlignment="1">
      <alignment horizontal="center"/>
    </xf>
    <xf numFmtId="0" fontId="5" fillId="0" borderId="0" xfId="0" applyFont="1" applyFill="1" applyAlignment="1">
      <alignment horizontal="left" indent="2"/>
    </xf>
    <xf numFmtId="2" fontId="0" fillId="0" borderId="0" xfId="7" applyNumberFormat="1" applyFont="1" applyFill="1"/>
    <xf numFmtId="0" fontId="9" fillId="0" borderId="0" xfId="0" applyFont="1" applyAlignment="1">
      <alignment horizontal="right" vertical="center" wrapText="1"/>
    </xf>
    <xf numFmtId="0" fontId="5" fillId="0" borderId="0" xfId="0" applyFont="1" applyBorder="1" applyAlignment="1">
      <alignment horizontal="right" vertical="center" wrapText="1"/>
    </xf>
    <xf numFmtId="15" fontId="5" fillId="0" borderId="0" xfId="0" applyNumberFormat="1" applyFont="1"/>
    <xf numFmtId="0" fontId="8" fillId="0" borderId="0" xfId="0" applyFont="1" applyAlignment="1">
      <alignment horizontal="right" vertical="center" wrapText="1"/>
    </xf>
    <xf numFmtId="0" fontId="5" fillId="0" borderId="0" xfId="0" applyFont="1" applyAlignment="1">
      <alignment horizontal="right" vertical="center" wrapText="1"/>
    </xf>
    <xf numFmtId="0" fontId="0" fillId="0" borderId="0" xfId="0" applyAlignment="1">
      <alignment horizontal="left" vertical="center" indent="2"/>
    </xf>
    <xf numFmtId="3" fontId="8" fillId="13" borderId="31" xfId="0" applyNumberFormat="1" applyFont="1" applyFill="1" applyBorder="1"/>
    <xf numFmtId="9" fontId="0" fillId="12" borderId="30" xfId="0" applyNumberFormat="1" applyFill="1" applyBorder="1"/>
    <xf numFmtId="3" fontId="0" fillId="12" borderId="30" xfId="0" applyNumberFormat="1" applyFill="1" applyBorder="1" applyAlignment="1">
      <alignment horizontal="right"/>
    </xf>
    <xf numFmtId="3" fontId="5" fillId="0" borderId="0" xfId="0" applyNumberFormat="1" applyFont="1" applyFill="1" applyBorder="1" applyAlignment="1">
      <alignment horizontal="right"/>
    </xf>
    <xf numFmtId="3" fontId="81" fillId="0" borderId="0" xfId="0" applyNumberFormat="1" applyFont="1"/>
    <xf numFmtId="192" fontId="0" fillId="0" borderId="0" xfId="0" applyNumberFormat="1"/>
    <xf numFmtId="0" fontId="8" fillId="12" borderId="37" xfId="0" applyFont="1" applyFill="1" applyBorder="1" applyAlignment="1">
      <alignment horizontal="left"/>
    </xf>
    <xf numFmtId="191" fontId="0" fillId="0" borderId="0" xfId="0" applyNumberFormat="1" applyAlignment="1">
      <alignment horizontal="center"/>
    </xf>
    <xf numFmtId="0" fontId="81" fillId="0" borderId="0" xfId="0" applyFont="1" applyAlignment="1">
      <alignment horizontal="center"/>
    </xf>
    <xf numFmtId="2" fontId="0" fillId="12" borderId="30" xfId="0" applyNumberFormat="1" applyFill="1" applyBorder="1"/>
    <xf numFmtId="43" fontId="0" fillId="0" borderId="0" xfId="0" applyNumberFormat="1" applyBorder="1" applyAlignment="1">
      <alignment horizontal="left" indent="1"/>
    </xf>
    <xf numFmtId="0" fontId="0" fillId="0" borderId="0" xfId="0" applyBorder="1" applyAlignment="1">
      <alignment horizontal="left" indent="2"/>
    </xf>
    <xf numFmtId="2" fontId="0" fillId="0" borderId="0" xfId="0" applyNumberFormat="1" applyFill="1" applyBorder="1"/>
    <xf numFmtId="0" fontId="0" fillId="12" borderId="37" xfId="0" applyFill="1" applyBorder="1" applyAlignment="1">
      <alignment horizontal="left" indent="2"/>
    </xf>
    <xf numFmtId="0" fontId="0" fillId="12" borderId="30" xfId="0" applyFill="1" applyBorder="1" applyAlignment="1">
      <alignment horizontal="left" indent="1"/>
    </xf>
    <xf numFmtId="0" fontId="10" fillId="12" borderId="30" xfId="0" applyFont="1" applyFill="1" applyBorder="1" applyAlignment="1">
      <alignment horizontal="left" wrapText="1" indent="2"/>
    </xf>
    <xf numFmtId="0" fontId="10" fillId="12" borderId="30" xfId="0" applyFont="1" applyFill="1" applyBorder="1" applyAlignment="1">
      <alignment horizontal="left" indent="1"/>
    </xf>
    <xf numFmtId="0" fontId="8" fillId="14" borderId="37" xfId="0" applyFont="1" applyFill="1" applyBorder="1" applyAlignment="1">
      <alignment horizontal="left" indent="1"/>
    </xf>
    <xf numFmtId="0" fontId="2" fillId="14" borderId="30" xfId="0" applyFont="1" applyFill="1" applyBorder="1" applyAlignment="1">
      <alignment horizontal="left" wrapText="1" indent="2"/>
    </xf>
    <xf numFmtId="0" fontId="2" fillId="14" borderId="30" xfId="0" applyFont="1" applyFill="1" applyBorder="1" applyAlignment="1">
      <alignment horizontal="left" indent="1"/>
    </xf>
    <xf numFmtId="0" fontId="2" fillId="14" borderId="30" xfId="0" applyFont="1" applyFill="1" applyBorder="1"/>
    <xf numFmtId="9" fontId="81" fillId="0" borderId="0" xfId="0" applyNumberFormat="1" applyFont="1"/>
    <xf numFmtId="0" fontId="0" fillId="14" borderId="30" xfId="0" applyFill="1" applyBorder="1"/>
    <xf numFmtId="0" fontId="9" fillId="2" borderId="29" xfId="0" applyFont="1" applyFill="1" applyBorder="1" applyAlignment="1">
      <alignment horizontal="center"/>
    </xf>
    <xf numFmtId="168" fontId="1" fillId="0" borderId="0" xfId="0" applyNumberFormat="1" applyFont="1" applyFill="1" applyAlignment="1"/>
    <xf numFmtId="0" fontId="1" fillId="0" borderId="0" xfId="0" applyFont="1" applyFill="1" applyAlignment="1">
      <alignment horizontal="left" indent="4"/>
    </xf>
    <xf numFmtId="0" fontId="10" fillId="0" borderId="0" xfId="0" applyFont="1" applyFill="1" applyAlignment="1">
      <alignment horizontal="left" indent="1"/>
    </xf>
    <xf numFmtId="0" fontId="1" fillId="0" borderId="0" xfId="0" applyFont="1" applyFill="1" applyAlignment="1">
      <alignment horizontal="left" indent="1"/>
    </xf>
    <xf numFmtId="2" fontId="0" fillId="0" borderId="0" xfId="0" applyNumberFormat="1" applyFill="1" applyAlignment="1"/>
    <xf numFmtId="1" fontId="0" fillId="0" borderId="0" xfId="0" applyNumberFormat="1" applyFill="1" applyAlignment="1"/>
    <xf numFmtId="0" fontId="8" fillId="0" borderId="17" xfId="0" applyFont="1" applyFill="1" applyBorder="1"/>
    <xf numFmtId="0" fontId="8" fillId="0" borderId="33" xfId="0" applyFont="1" applyFill="1" applyBorder="1" applyAlignment="1"/>
    <xf numFmtId="0" fontId="8" fillId="0" borderId="17" xfId="0" applyFont="1" applyFill="1" applyBorder="1" applyAlignment="1"/>
    <xf numFmtId="0" fontId="1" fillId="0" borderId="33" xfId="0" applyFont="1" applyFill="1" applyBorder="1" applyAlignment="1">
      <alignment horizontal="left" indent="1"/>
    </xf>
    <xf numFmtId="0" fontId="1" fillId="0" borderId="32" xfId="0" applyFont="1" applyFill="1" applyBorder="1" applyAlignment="1">
      <alignment horizontal="left" indent="1"/>
    </xf>
    <xf numFmtId="0" fontId="1" fillId="0" borderId="42" xfId="0" applyFont="1" applyFill="1" applyBorder="1" applyAlignment="1">
      <alignment horizontal="left" indent="1"/>
    </xf>
    <xf numFmtId="3" fontId="0" fillId="0" borderId="33" xfId="0" applyNumberFormat="1" applyFill="1" applyBorder="1"/>
    <xf numFmtId="9" fontId="0" fillId="0" borderId="17" xfId="0" applyNumberFormat="1" applyFill="1" applyBorder="1"/>
    <xf numFmtId="3" fontId="0" fillId="0" borderId="32" xfId="0" applyNumberFormat="1" applyFill="1" applyBorder="1"/>
    <xf numFmtId="9" fontId="0" fillId="0" borderId="24" xfId="0" applyNumberFormat="1" applyFill="1" applyBorder="1"/>
    <xf numFmtId="3" fontId="0" fillId="0" borderId="42" xfId="0" applyNumberFormat="1" applyFill="1" applyBorder="1"/>
    <xf numFmtId="9" fontId="0" fillId="0" borderId="25" xfId="0" applyNumberFormat="1" applyFill="1" applyBorder="1"/>
    <xf numFmtId="0" fontId="46" fillId="0" borderId="0" xfId="0" applyFont="1" applyAlignment="1">
      <alignment vertical="center" wrapText="1"/>
    </xf>
    <xf numFmtId="0" fontId="40" fillId="0" borderId="0" xfId="0" applyFont="1" applyAlignment="1">
      <alignment vertical="center" wrapText="1"/>
    </xf>
    <xf numFmtId="193" fontId="0" fillId="0" borderId="0" xfId="0" applyNumberFormat="1"/>
    <xf numFmtId="11" fontId="0" fillId="0" borderId="0" xfId="0" applyNumberFormat="1"/>
    <xf numFmtId="43" fontId="0" fillId="0" borderId="29" xfId="0" applyNumberFormat="1" applyBorder="1"/>
    <xf numFmtId="37" fontId="0" fillId="7" borderId="30" xfId="0" applyNumberFormat="1" applyFill="1" applyBorder="1"/>
    <xf numFmtId="195" fontId="0" fillId="0" borderId="0" xfId="1" applyNumberFormat="1" applyFont="1"/>
    <xf numFmtId="195" fontId="5" fillId="0" borderId="0" xfId="1" applyNumberFormat="1" applyFont="1" applyAlignment="1">
      <alignment horizontal="left" indent="1"/>
    </xf>
    <xf numFmtId="195" fontId="41" fillId="0" borderId="0" xfId="1" applyNumberFormat="1" applyFont="1"/>
    <xf numFmtId="195" fontId="6" fillId="0" borderId="0" xfId="1" applyNumberFormat="1" applyFont="1"/>
    <xf numFmtId="195" fontId="10" fillId="0" borderId="0" xfId="1" applyNumberFormat="1" applyFont="1" applyAlignment="1">
      <alignment horizontal="left" indent="2"/>
    </xf>
    <xf numFmtId="195" fontId="8" fillId="0" borderId="0" xfId="1" applyNumberFormat="1" applyFont="1"/>
    <xf numFmtId="195" fontId="0" fillId="0" borderId="33" xfId="1" applyNumberFormat="1" applyFont="1" applyBorder="1"/>
    <xf numFmtId="195" fontId="0" fillId="0" borderId="42" xfId="1" applyNumberFormat="1" applyFont="1" applyBorder="1"/>
    <xf numFmtId="195" fontId="0" fillId="0" borderId="21" xfId="1" applyNumberFormat="1" applyFont="1" applyBorder="1"/>
    <xf numFmtId="195" fontId="5" fillId="0" borderId="0" xfId="1" applyNumberFormat="1" applyFont="1"/>
    <xf numFmtId="195" fontId="1" fillId="0" borderId="0" xfId="1" applyNumberFormat="1" applyFont="1"/>
    <xf numFmtId="195" fontId="1" fillId="0" borderId="0" xfId="1" applyNumberFormat="1"/>
    <xf numFmtId="195" fontId="0" fillId="0" borderId="0" xfId="1" applyNumberFormat="1" applyFont="1" applyFill="1"/>
    <xf numFmtId="166" fontId="40" fillId="0" borderId="0" xfId="0" applyNumberFormat="1" applyFont="1" applyFill="1"/>
    <xf numFmtId="0" fontId="45" fillId="0" borderId="0" xfId="0" applyFont="1" applyFill="1"/>
    <xf numFmtId="0" fontId="50" fillId="0" borderId="0" xfId="0" applyFont="1" applyFill="1" applyAlignment="1"/>
    <xf numFmtId="3" fontId="50" fillId="0" borderId="0" xfId="0" applyNumberFormat="1" applyFont="1" applyFill="1" applyAlignment="1"/>
    <xf numFmtId="0" fontId="4" fillId="0" borderId="0" xfId="0" applyFont="1" applyFill="1" applyAlignment="1">
      <alignment horizontal="right"/>
    </xf>
    <xf numFmtId="0" fontId="4" fillId="0" borderId="17" xfId="0" applyFont="1" applyFill="1" applyBorder="1" applyAlignment="1"/>
    <xf numFmtId="9" fontId="50" fillId="0" borderId="17" xfId="0" applyNumberFormat="1" applyFont="1" applyFill="1" applyBorder="1"/>
    <xf numFmtId="9" fontId="50" fillId="0" borderId="24" xfId="0" applyNumberFormat="1" applyFont="1" applyFill="1" applyBorder="1"/>
    <xf numFmtId="9" fontId="50" fillId="0" borderId="25" xfId="0" applyNumberFormat="1" applyFont="1" applyFill="1" applyBorder="1"/>
    <xf numFmtId="0" fontId="50" fillId="6" borderId="0" xfId="0" applyFont="1" applyFill="1" applyAlignment="1"/>
    <xf numFmtId="0" fontId="30" fillId="15" borderId="0" xfId="0" applyFont="1" applyFill="1" applyAlignment="1">
      <alignment horizontal="center"/>
    </xf>
    <xf numFmtId="0" fontId="74" fillId="15" borderId="0" xfId="0" applyFont="1" applyFill="1" applyAlignment="1">
      <alignment horizontal="center"/>
    </xf>
    <xf numFmtId="0" fontId="0" fillId="15" borderId="0" xfId="0" applyFill="1"/>
    <xf numFmtId="0" fontId="6" fillId="15" borderId="0" xfId="0" applyFont="1" applyFill="1" applyAlignment="1">
      <alignment horizontal="center"/>
    </xf>
    <xf numFmtId="0" fontId="8" fillId="15" borderId="0" xfId="0" applyFont="1" applyFill="1" applyAlignment="1">
      <alignment horizontal="center"/>
    </xf>
    <xf numFmtId="0" fontId="8" fillId="6" borderId="0" xfId="0" applyFont="1" applyFill="1"/>
    <xf numFmtId="0" fontId="5" fillId="6" borderId="0" xfId="0" applyFont="1" applyFill="1" applyBorder="1" applyAlignment="1">
      <alignment wrapText="1"/>
    </xf>
    <xf numFmtId="0" fontId="6" fillId="6" borderId="0" xfId="0" applyFont="1" applyFill="1" applyAlignment="1">
      <alignment horizontal="center"/>
    </xf>
    <xf numFmtId="0" fontId="0" fillId="6" borderId="0" xfId="0" applyFill="1"/>
    <xf numFmtId="0" fontId="0" fillId="6" borderId="0" xfId="0" applyFill="1" applyAlignment="1"/>
    <xf numFmtId="43" fontId="50" fillId="0" borderId="0" xfId="1" applyFont="1" applyFill="1"/>
    <xf numFmtId="0" fontId="9" fillId="0" borderId="32" xfId="0" applyFont="1" applyFill="1" applyBorder="1" applyAlignment="1">
      <alignment horizontal="right"/>
    </xf>
    <xf numFmtId="0" fontId="9" fillId="0" borderId="24" xfId="0" applyFont="1" applyFill="1" applyBorder="1" applyAlignment="1">
      <alignment horizontal="right"/>
    </xf>
    <xf numFmtId="0" fontId="7" fillId="0" borderId="24" xfId="0" applyFont="1" applyFill="1" applyBorder="1" applyAlignment="1">
      <alignment horizontal="right"/>
    </xf>
    <xf numFmtId="0" fontId="8" fillId="15" borderId="0" xfId="0" applyFont="1" applyFill="1"/>
    <xf numFmtId="0" fontId="8" fillId="0" borderId="0" xfId="0" applyFont="1" applyFill="1" applyAlignment="1"/>
    <xf numFmtId="0" fontId="10" fillId="0" borderId="0" xfId="0" applyFont="1" applyFill="1"/>
    <xf numFmtId="2" fontId="1" fillId="0" borderId="0" xfId="0" applyNumberFormat="1" applyFont="1" applyFill="1"/>
    <xf numFmtId="0" fontId="9" fillId="15" borderId="0" xfId="0" applyFont="1" applyFill="1" applyBorder="1" applyAlignment="1">
      <alignment horizontal="center" wrapText="1"/>
    </xf>
    <xf numFmtId="0" fontId="6" fillId="15" borderId="0" xfId="0" applyFont="1" applyFill="1" applyBorder="1" applyAlignment="1">
      <alignment horizontal="center"/>
    </xf>
    <xf numFmtId="165" fontId="5" fillId="0" borderId="32" xfId="7" applyNumberFormat="1" applyFont="1" applyBorder="1"/>
    <xf numFmtId="37" fontId="0" fillId="0" borderId="0" xfId="1" applyNumberFormat="1" applyFont="1" applyBorder="1" applyAlignment="1">
      <alignment horizontal="center" wrapText="1"/>
    </xf>
    <xf numFmtId="0" fontId="1" fillId="0" borderId="0" xfId="0" applyFont="1" applyFill="1" applyAlignment="1">
      <alignment horizontal="left"/>
    </xf>
    <xf numFmtId="175" fontId="8" fillId="0" borderId="29" xfId="0" applyNumberFormat="1" applyFont="1" applyBorder="1" applyAlignment="1">
      <alignment horizontal="center"/>
    </xf>
    <xf numFmtId="175" fontId="8" fillId="0" borderId="37" xfId="0" applyNumberFormat="1" applyFont="1" applyBorder="1" applyAlignment="1">
      <alignment horizontal="center"/>
    </xf>
    <xf numFmtId="175" fontId="8" fillId="0" borderId="34" xfId="0" applyNumberFormat="1" applyFont="1" applyBorder="1" applyAlignment="1">
      <alignment horizontal="center"/>
    </xf>
    <xf numFmtId="175" fontId="8" fillId="0" borderId="15" xfId="0" applyNumberFormat="1" applyFont="1" applyBorder="1" applyAlignment="1">
      <alignment horizontal="center"/>
    </xf>
    <xf numFmtId="195" fontId="1" fillId="0" borderId="24" xfId="1" applyNumberFormat="1" applyFont="1" applyFill="1" applyBorder="1"/>
    <xf numFmtId="10" fontId="1" fillId="0" borderId="29" xfId="0" applyNumberFormat="1" applyFont="1" applyBorder="1" applyAlignment="1">
      <alignment horizontal="center"/>
    </xf>
    <xf numFmtId="167" fontId="0" fillId="2" borderId="29" xfId="0" applyNumberFormat="1" applyFill="1" applyBorder="1" applyAlignment="1">
      <alignment horizontal="center"/>
    </xf>
    <xf numFmtId="3" fontId="8" fillId="0" borderId="16" xfId="0" applyNumberFormat="1" applyFont="1" applyBorder="1"/>
    <xf numFmtId="195" fontId="8" fillId="0" borderId="29" xfId="1" applyNumberFormat="1" applyFont="1" applyBorder="1"/>
    <xf numFmtId="187" fontId="0" fillId="0" borderId="0" xfId="0" applyNumberFormat="1"/>
    <xf numFmtId="195" fontId="1" fillId="7" borderId="30" xfId="1" applyNumberFormat="1" applyFill="1" applyBorder="1"/>
    <xf numFmtId="195" fontId="0" fillId="0" borderId="0" xfId="0" applyNumberFormat="1"/>
    <xf numFmtId="195" fontId="1" fillId="12" borderId="30" xfId="1" applyNumberFormat="1" applyFill="1" applyBorder="1"/>
    <xf numFmtId="2" fontId="0" fillId="12" borderId="31" xfId="0" applyNumberFormat="1" applyFill="1" applyBorder="1"/>
    <xf numFmtId="195" fontId="1" fillId="7" borderId="29" xfId="1" applyNumberFormat="1" applyFill="1" applyBorder="1"/>
    <xf numFmtId="195" fontId="0" fillId="0" borderId="0" xfId="1" applyNumberFormat="1" applyFont="1" applyAlignment="1">
      <alignment horizontal="center"/>
    </xf>
    <xf numFmtId="195" fontId="5" fillId="0" borderId="0" xfId="1" applyNumberFormat="1" applyFont="1" applyAlignment="1">
      <alignment horizontal="center"/>
    </xf>
    <xf numFmtId="195" fontId="8" fillId="0" borderId="0" xfId="1" applyNumberFormat="1" applyFont="1" applyAlignment="1">
      <alignment horizontal="center"/>
    </xf>
    <xf numFmtId="195" fontId="0" fillId="0" borderId="0" xfId="0" applyNumberFormat="1" applyAlignment="1"/>
    <xf numFmtId="195" fontId="0" fillId="0" borderId="0" xfId="0" applyNumberFormat="1" applyAlignment="1">
      <alignment horizontal="center"/>
    </xf>
    <xf numFmtId="195" fontId="5" fillId="0" borderId="0" xfId="0" applyNumberFormat="1" applyFont="1"/>
    <xf numFmtId="164" fontId="5" fillId="0" borderId="0" xfId="7" applyNumberFormat="1" applyFont="1" applyAlignment="1">
      <alignment horizontal="center"/>
    </xf>
    <xf numFmtId="195" fontId="0" fillId="0" borderId="0" xfId="1" applyNumberFormat="1" applyFont="1" applyAlignment="1">
      <alignment horizontal="left" indent="1"/>
    </xf>
    <xf numFmtId="195" fontId="5" fillId="0" borderId="0" xfId="1" applyNumberFormat="1" applyFont="1" applyFill="1"/>
    <xf numFmtId="195" fontId="22" fillId="0" borderId="0" xfId="1" applyNumberFormat="1" applyFont="1" applyAlignment="1">
      <alignment horizontal="left" indent="1"/>
    </xf>
    <xf numFmtId="195" fontId="0" fillId="0" borderId="0" xfId="1" applyNumberFormat="1" applyFont="1" applyAlignment="1">
      <alignment horizontal="left" wrapText="1" indent="1"/>
    </xf>
    <xf numFmtId="195" fontId="5" fillId="0" borderId="0" xfId="1" applyNumberFormat="1" applyFont="1" applyAlignment="1">
      <alignment horizontal="left" indent="2"/>
    </xf>
    <xf numFmtId="195" fontId="8" fillId="0" borderId="0" xfId="1" applyNumberFormat="1" applyFont="1" applyAlignment="1">
      <alignment horizontal="left" indent="1"/>
    </xf>
    <xf numFmtId="195" fontId="5" fillId="0" borderId="0" xfId="1" applyNumberFormat="1" applyFont="1" applyFill="1" applyAlignment="1">
      <alignment horizontal="left" indent="2"/>
    </xf>
    <xf numFmtId="0" fontId="0" fillId="14" borderId="0" xfId="0" applyFill="1"/>
    <xf numFmtId="0" fontId="9" fillId="14" borderId="0" xfId="0" applyFont="1" applyFill="1" applyAlignment="1">
      <alignment horizontal="right"/>
    </xf>
    <xf numFmtId="0" fontId="45" fillId="0" borderId="0" xfId="0" applyFont="1" applyAlignment="1">
      <alignment horizontal="left" indent="1"/>
    </xf>
    <xf numFmtId="0" fontId="9" fillId="2" borderId="0" xfId="0" applyFont="1" applyFill="1"/>
    <xf numFmtId="177" fontId="5" fillId="2" borderId="0" xfId="1" applyNumberFormat="1" applyFont="1" applyFill="1" applyAlignment="1">
      <alignment horizontal="left" indent="1"/>
    </xf>
    <xf numFmtId="0" fontId="8" fillId="0" borderId="0" xfId="0" applyFont="1" applyFill="1" applyBorder="1" applyAlignment="1">
      <alignment horizontal="left" indent="1"/>
    </xf>
    <xf numFmtId="0" fontId="2" fillId="0" borderId="0" xfId="0" applyFont="1" applyFill="1" applyBorder="1" applyAlignment="1">
      <alignment horizontal="left" wrapText="1" indent="2"/>
    </xf>
    <xf numFmtId="0" fontId="2" fillId="0" borderId="0" xfId="0" applyFont="1" applyFill="1" applyBorder="1" applyAlignment="1">
      <alignment horizontal="left" indent="1"/>
    </xf>
    <xf numFmtId="0" fontId="2" fillId="0" borderId="0" xfId="0" applyFont="1" applyFill="1" applyBorder="1"/>
    <xf numFmtId="189" fontId="2" fillId="0" borderId="0" xfId="0" applyNumberFormat="1" applyFont="1" applyFill="1" applyBorder="1" applyAlignment="1">
      <alignment horizontal="center"/>
    </xf>
    <xf numFmtId="168" fontId="5" fillId="0" borderId="0" xfId="0" applyNumberFormat="1" applyFont="1" applyFill="1" applyBorder="1"/>
    <xf numFmtId="190" fontId="2" fillId="0" borderId="0" xfId="0" applyNumberFormat="1" applyFont="1" applyFill="1" applyBorder="1" applyAlignment="1">
      <alignment horizontal="center"/>
    </xf>
    <xf numFmtId="3" fontId="0" fillId="7" borderId="30" xfId="0" applyNumberFormat="1" applyFill="1" applyBorder="1"/>
    <xf numFmtId="196" fontId="0" fillId="0" borderId="0" xfId="0" applyNumberFormat="1" applyAlignment="1">
      <alignment horizontal="center"/>
    </xf>
    <xf numFmtId="0" fontId="0" fillId="12" borderId="37" xfId="0" applyFill="1" applyBorder="1" applyAlignment="1">
      <alignment horizontal="left" indent="1"/>
    </xf>
    <xf numFmtId="2" fontId="5" fillId="0" borderId="0" xfId="0" applyNumberFormat="1" applyFont="1" applyFill="1" applyBorder="1"/>
    <xf numFmtId="166" fontId="0" fillId="2" borderId="0" xfId="0" applyNumberFormat="1" applyFill="1"/>
    <xf numFmtId="166" fontId="0" fillId="11" borderId="0" xfId="0" applyNumberFormat="1" applyFill="1"/>
    <xf numFmtId="0" fontId="0" fillId="11" borderId="43" xfId="0" applyFill="1" applyBorder="1"/>
    <xf numFmtId="0" fontId="0" fillId="11" borderId="8" xfId="0" applyFill="1" applyBorder="1"/>
    <xf numFmtId="10" fontId="16" fillId="0" borderId="0" xfId="0" applyNumberFormat="1" applyFont="1" applyAlignment="1">
      <alignment horizontal="center"/>
    </xf>
    <xf numFmtId="0" fontId="82" fillId="0" borderId="0" xfId="0" applyFont="1" applyAlignment="1">
      <alignment horizontal="center"/>
    </xf>
    <xf numFmtId="10" fontId="0" fillId="0" borderId="0" xfId="0" applyNumberFormat="1"/>
    <xf numFmtId="187" fontId="8" fillId="0" borderId="0" xfId="0" applyNumberFormat="1" applyFont="1"/>
    <xf numFmtId="43" fontId="8" fillId="11" borderId="9" xfId="0" applyNumberFormat="1" applyFont="1" applyFill="1" applyBorder="1"/>
    <xf numFmtId="188" fontId="0" fillId="0" borderId="0" xfId="0" applyNumberFormat="1"/>
    <xf numFmtId="9" fontId="1" fillId="0" borderId="0" xfId="7" applyAlignment="1">
      <alignment horizontal="right"/>
    </xf>
    <xf numFmtId="3" fontId="0" fillId="0" borderId="0" xfId="0" applyNumberFormat="1" applyAlignment="1">
      <alignment horizontal="right"/>
    </xf>
    <xf numFmtId="0" fontId="40" fillId="0" borderId="0" xfId="0" applyFont="1" applyAlignment="1">
      <alignment horizontal="right"/>
    </xf>
    <xf numFmtId="188" fontId="40" fillId="0" borderId="0" xfId="0" applyNumberFormat="1" applyFont="1"/>
    <xf numFmtId="0" fontId="9" fillId="0" borderId="0" xfId="0" applyFont="1" applyAlignment="1">
      <alignment horizontal="left"/>
    </xf>
    <xf numFmtId="168" fontId="0" fillId="11" borderId="0" xfId="0" applyNumberFormat="1" applyFill="1"/>
    <xf numFmtId="168" fontId="8" fillId="0" borderId="0" xfId="0" applyNumberFormat="1" applyFont="1" applyFill="1"/>
    <xf numFmtId="168" fontId="0" fillId="11" borderId="0" xfId="0" applyNumberFormat="1" applyFill="1" applyAlignment="1">
      <alignment horizontal="right"/>
    </xf>
    <xf numFmtId="196" fontId="6" fillId="0" borderId="0" xfId="0" applyNumberFormat="1" applyFont="1" applyAlignment="1">
      <alignment horizontal="center"/>
    </xf>
    <xf numFmtId="194" fontId="0" fillId="0" borderId="0" xfId="2" applyNumberFormat="1" applyFont="1"/>
    <xf numFmtId="194" fontId="8" fillId="0" borderId="29" xfId="2" applyNumberFormat="1" applyFont="1" applyBorder="1"/>
    <xf numFmtId="2" fontId="5" fillId="2" borderId="0" xfId="0" applyNumberFormat="1" applyFont="1" applyFill="1" applyBorder="1"/>
    <xf numFmtId="2" fontId="5" fillId="0" borderId="0" xfId="0" applyNumberFormat="1" applyFont="1" applyBorder="1"/>
    <xf numFmtId="195" fontId="0" fillId="0" borderId="0" xfId="0" applyNumberFormat="1" applyFill="1"/>
    <xf numFmtId="0" fontId="8" fillId="3" borderId="0" xfId="0" applyFont="1" applyFill="1" applyAlignment="1">
      <alignment horizontal="left"/>
    </xf>
    <xf numFmtId="2" fontId="8" fillId="3" borderId="0" xfId="0" applyNumberFormat="1" applyFont="1" applyFill="1"/>
    <xf numFmtId="0" fontId="8" fillId="7" borderId="0" xfId="0" applyFont="1" applyFill="1" applyAlignment="1">
      <alignment horizontal="center"/>
    </xf>
    <xf numFmtId="2" fontId="8" fillId="7" borderId="0" xfId="0" applyNumberFormat="1" applyFont="1" applyFill="1"/>
    <xf numFmtId="2" fontId="8" fillId="16" borderId="15" xfId="0" applyNumberFormat="1" applyFont="1" applyFill="1" applyBorder="1"/>
    <xf numFmtId="2" fontId="8" fillId="16" borderId="0" xfId="0" applyNumberFormat="1" applyFont="1" applyFill="1"/>
    <xf numFmtId="195" fontId="0" fillId="0" borderId="0" xfId="1" applyNumberFormat="1" applyFont="1" applyAlignment="1">
      <alignment horizontal="right"/>
    </xf>
    <xf numFmtId="0" fontId="83" fillId="0" borderId="0" xfId="0" applyFont="1" applyFill="1"/>
    <xf numFmtId="0" fontId="85" fillId="0" borderId="0" xfId="0" applyFont="1" applyFill="1" applyBorder="1" applyAlignment="1">
      <alignment wrapText="1"/>
    </xf>
    <xf numFmtId="0" fontId="83" fillId="0" borderId="0" xfId="0" applyFont="1" applyFill="1" applyAlignment="1">
      <alignment wrapText="1"/>
    </xf>
    <xf numFmtId="0" fontId="83" fillId="0" borderId="0" xfId="0" applyFont="1" applyFill="1" applyBorder="1"/>
    <xf numFmtId="0" fontId="83" fillId="0" borderId="0" xfId="0" applyFont="1" applyFill="1" applyBorder="1" applyAlignment="1">
      <alignment vertical="center" wrapText="1"/>
    </xf>
    <xf numFmtId="0" fontId="87" fillId="0" borderId="0" xfId="0" applyFont="1" applyFill="1" applyAlignment="1"/>
    <xf numFmtId="0" fontId="87" fillId="0" borderId="0" xfId="0" applyFont="1" applyFill="1" applyBorder="1" applyAlignment="1"/>
    <xf numFmtId="0" fontId="83" fillId="0" borderId="0" xfId="0" applyFont="1" applyFill="1" applyBorder="1" applyAlignment="1">
      <alignment horizontal="center"/>
    </xf>
    <xf numFmtId="0" fontId="83" fillId="0" borderId="0" xfId="0" applyFont="1" applyFill="1" applyBorder="1" applyAlignment="1"/>
    <xf numFmtId="0" fontId="86" fillId="0" borderId="0" xfId="0" applyFont="1" applyFill="1" applyBorder="1" applyAlignment="1">
      <alignment wrapText="1"/>
    </xf>
    <xf numFmtId="0" fontId="87" fillId="0" borderId="0" xfId="0" applyFont="1" applyFill="1" applyAlignment="1">
      <alignment horizontal="center"/>
    </xf>
    <xf numFmtId="0" fontId="87" fillId="0" borderId="0" xfId="0" applyFont="1" applyFill="1" applyBorder="1"/>
    <xf numFmtId="0" fontId="86" fillId="0" borderId="0" xfId="0" applyFont="1" applyFill="1" applyBorder="1" applyAlignment="1">
      <alignment horizontal="center"/>
    </xf>
    <xf numFmtId="0" fontId="83" fillId="0" borderId="0" xfId="0" applyFont="1" applyFill="1" applyBorder="1" applyAlignment="1">
      <alignment horizontal="left"/>
    </xf>
    <xf numFmtId="0" fontId="89" fillId="0" borderId="0" xfId="0" applyFont="1" applyFill="1" applyBorder="1"/>
    <xf numFmtId="0" fontId="91" fillId="0" borderId="0" xfId="0" applyFont="1" applyFill="1" applyBorder="1"/>
    <xf numFmtId="0" fontId="87" fillId="0" borderId="0" xfId="0" applyFont="1" applyFill="1" applyBorder="1" applyAlignment="1">
      <alignment wrapText="1"/>
    </xf>
    <xf numFmtId="0" fontId="83" fillId="0" borderId="0" xfId="0" applyFont="1" applyFill="1" applyBorder="1" applyAlignment="1">
      <alignment wrapText="1"/>
    </xf>
    <xf numFmtId="0" fontId="89" fillId="0" borderId="0" xfId="0" applyFont="1" applyFill="1" applyBorder="1" applyAlignment="1">
      <alignment wrapText="1"/>
    </xf>
    <xf numFmtId="0" fontId="87" fillId="0" borderId="0" xfId="0" applyFont="1" applyFill="1"/>
    <xf numFmtId="0" fontId="83" fillId="0" borderId="0" xfId="0" applyFont="1" applyFill="1" applyAlignment="1">
      <alignment horizontal="left"/>
    </xf>
    <xf numFmtId="0" fontId="89" fillId="0" borderId="0" xfId="0" applyFont="1" applyFill="1" applyBorder="1" applyAlignment="1">
      <alignment horizontal="right"/>
    </xf>
    <xf numFmtId="0" fontId="92" fillId="0" borderId="0" xfId="0" applyFont="1" applyFill="1" applyBorder="1"/>
    <xf numFmtId="0" fontId="83" fillId="0" borderId="0" xfId="0" applyFont="1" applyFill="1" applyAlignment="1">
      <alignment horizontal="center"/>
    </xf>
    <xf numFmtId="9" fontId="92" fillId="0" borderId="0" xfId="0" applyNumberFormat="1" applyFont="1" applyFill="1" applyBorder="1"/>
    <xf numFmtId="0" fontId="83" fillId="0" borderId="0" xfId="0" applyFont="1" applyFill="1" applyBorder="1" applyAlignment="1">
      <alignment horizontal="left" wrapText="1" indent="1"/>
    </xf>
    <xf numFmtId="0" fontId="83" fillId="0" borderId="0" xfId="0" applyFont="1" applyFill="1" applyAlignment="1">
      <alignment horizontal="left" wrapText="1" indent="1"/>
    </xf>
    <xf numFmtId="0" fontId="86" fillId="0" borderId="0" xfId="0" applyFont="1" applyFill="1" applyAlignment="1">
      <alignment horizontal="center"/>
    </xf>
    <xf numFmtId="49" fontId="87" fillId="0" borderId="0" xfId="0" applyNumberFormat="1" applyFont="1" applyFill="1" applyBorder="1" applyAlignment="1">
      <alignment horizontal="center" wrapText="1"/>
    </xf>
    <xf numFmtId="9" fontId="87" fillId="0" borderId="0" xfId="7" applyNumberFormat="1" applyFont="1" applyFill="1" applyBorder="1"/>
    <xf numFmtId="0" fontId="90" fillId="0" borderId="0" xfId="0" applyFont="1" applyFill="1" applyBorder="1" applyAlignment="1">
      <alignment wrapText="1"/>
    </xf>
    <xf numFmtId="9" fontId="87" fillId="0" borderId="0" xfId="7" applyFont="1" applyFill="1" applyBorder="1"/>
    <xf numFmtId="0" fontId="87" fillId="0" borderId="0" xfId="0" applyFont="1" applyFill="1" applyBorder="1" applyAlignment="1">
      <alignment horizontal="center" wrapText="1"/>
    </xf>
    <xf numFmtId="2" fontId="86" fillId="0" borderId="0" xfId="2" applyNumberFormat="1" applyFont="1" applyFill="1" applyBorder="1" applyAlignment="1">
      <alignment horizontal="left" vertical="center" wrapText="1"/>
    </xf>
    <xf numFmtId="0" fontId="0" fillId="6" borderId="0" xfId="0" applyFill="1" applyAlignment="1">
      <alignment horizontal="center"/>
    </xf>
    <xf numFmtId="0" fontId="84" fillId="0" borderId="0" xfId="0" applyFont="1" applyFill="1" applyAlignment="1">
      <alignment vertical="center"/>
    </xf>
    <xf numFmtId="0" fontId="83" fillId="0" borderId="0" xfId="0" applyFont="1" applyFill="1" applyAlignment="1">
      <alignment vertical="center"/>
    </xf>
    <xf numFmtId="0" fontId="28" fillId="0" borderId="0" xfId="0" applyFont="1" applyFill="1"/>
    <xf numFmtId="14" fontId="8" fillId="0" borderId="0" xfId="0" applyNumberFormat="1" applyFont="1" applyFill="1" applyAlignment="1">
      <alignment horizontal="right"/>
    </xf>
    <xf numFmtId="0" fontId="0" fillId="0" borderId="21" xfId="0" applyFill="1" applyBorder="1"/>
    <xf numFmtId="0" fontId="8" fillId="0" borderId="0" xfId="0" applyFont="1" applyFill="1" applyBorder="1" applyAlignment="1">
      <alignment horizontal="center"/>
    </xf>
    <xf numFmtId="0" fontId="8" fillId="0" borderId="32" xfId="0" applyFont="1" applyFill="1" applyBorder="1"/>
    <xf numFmtId="0" fontId="8" fillId="0" borderId="0" xfId="0" applyFont="1" applyFill="1" applyBorder="1" applyAlignment="1">
      <alignment wrapText="1"/>
    </xf>
    <xf numFmtId="0" fontId="0" fillId="0" borderId="0" xfId="0" applyFill="1" applyBorder="1" applyAlignment="1">
      <alignment horizontal="center"/>
    </xf>
    <xf numFmtId="0" fontId="0" fillId="0" borderId="0" xfId="0" applyFill="1" applyBorder="1" applyAlignment="1">
      <alignment horizontal="center" wrapText="1"/>
    </xf>
    <xf numFmtId="0" fontId="8" fillId="0" borderId="32" xfId="0" applyFont="1" applyFill="1" applyBorder="1" applyAlignment="1">
      <alignment horizontal="center"/>
    </xf>
    <xf numFmtId="8" fontId="8" fillId="0" borderId="0" xfId="0" applyNumberFormat="1" applyFont="1" applyFill="1" applyBorder="1" applyAlignment="1">
      <alignment horizontal="center"/>
    </xf>
    <xf numFmtId="0" fontId="5" fillId="0" borderId="32" xfId="0" applyFont="1" applyFill="1" applyBorder="1"/>
    <xf numFmtId="0" fontId="0" fillId="0" borderId="0" xfId="0" applyFill="1" applyBorder="1" applyAlignment="1">
      <alignment wrapText="1"/>
    </xf>
    <xf numFmtId="0" fontId="5" fillId="0" borderId="32" xfId="0" applyFont="1" applyFill="1" applyBorder="1" applyAlignment="1">
      <alignment horizontal="center"/>
    </xf>
    <xf numFmtId="0" fontId="0" fillId="0" borderId="32" xfId="0" applyFill="1" applyBorder="1" applyAlignment="1">
      <alignment horizontal="center"/>
    </xf>
    <xf numFmtId="0" fontId="8" fillId="0" borderId="0" xfId="0" applyFont="1" applyFill="1" applyBorder="1"/>
    <xf numFmtId="166" fontId="8" fillId="0" borderId="0" xfId="0" applyNumberFormat="1" applyFont="1" applyFill="1" applyBorder="1" applyAlignment="1">
      <alignment horizontal="center"/>
    </xf>
    <xf numFmtId="9" fontId="8" fillId="0" borderId="0" xfId="7" applyFont="1" applyFill="1" applyBorder="1" applyAlignment="1">
      <alignment horizontal="center"/>
    </xf>
    <xf numFmtId="9" fontId="8" fillId="0" borderId="32" xfId="7" applyFont="1" applyFill="1" applyBorder="1" applyAlignment="1"/>
    <xf numFmtId="0" fontId="0" fillId="0" borderId="35" xfId="0" applyFill="1" applyBorder="1"/>
    <xf numFmtId="1" fontId="8" fillId="0" borderId="0" xfId="0" applyNumberFormat="1" applyFont="1" applyFill="1" applyBorder="1" applyAlignment="1">
      <alignment horizontal="center"/>
    </xf>
    <xf numFmtId="167" fontId="8" fillId="0" borderId="0" xfId="0" applyNumberFormat="1" applyFont="1" applyFill="1" applyBorder="1" applyAlignment="1">
      <alignment horizontal="center"/>
    </xf>
    <xf numFmtId="0" fontId="8" fillId="0" borderId="34" xfId="0" applyFont="1" applyFill="1" applyBorder="1" applyAlignment="1">
      <alignment horizontal="center" wrapText="1"/>
    </xf>
    <xf numFmtId="2" fontId="8" fillId="0" borderId="0" xfId="0" applyNumberFormat="1" applyFont="1" applyFill="1" applyBorder="1" applyAlignment="1">
      <alignment horizontal="center"/>
    </xf>
    <xf numFmtId="0" fontId="10" fillId="0" borderId="35" xfId="0" applyFont="1" applyFill="1" applyBorder="1" applyAlignment="1">
      <alignment horizontal="center" wrapText="1"/>
    </xf>
    <xf numFmtId="0" fontId="10" fillId="0" borderId="36" xfId="0" applyFont="1" applyFill="1" applyBorder="1" applyAlignment="1">
      <alignment horizontal="center" wrapText="1"/>
    </xf>
    <xf numFmtId="9" fontId="8" fillId="0" borderId="0" xfId="0" applyNumberFormat="1" applyFont="1" applyFill="1" applyBorder="1" applyAlignment="1">
      <alignment horizontal="center"/>
    </xf>
    <xf numFmtId="9" fontId="8" fillId="0" borderId="0" xfId="7" applyFont="1" applyFill="1" applyBorder="1" applyAlignment="1"/>
    <xf numFmtId="0" fontId="9" fillId="0" borderId="0" xfId="0" applyFont="1" applyFill="1" applyBorder="1" applyAlignment="1"/>
    <xf numFmtId="0" fontId="8" fillId="0" borderId="21" xfId="0" applyFont="1" applyFill="1" applyBorder="1" applyAlignment="1">
      <alignment wrapText="1"/>
    </xf>
    <xf numFmtId="9" fontId="8" fillId="0" borderId="21" xfId="7" applyFont="1" applyFill="1" applyBorder="1" applyAlignment="1">
      <alignment horizontal="center"/>
    </xf>
    <xf numFmtId="9" fontId="0" fillId="0" borderId="44" xfId="7" applyFont="1" applyBorder="1"/>
    <xf numFmtId="9" fontId="0" fillId="0" borderId="44" xfId="0" applyNumberFormat="1" applyBorder="1"/>
    <xf numFmtId="9" fontId="0" fillId="0" borderId="45" xfId="0" applyNumberFormat="1" applyBorder="1"/>
    <xf numFmtId="165" fontId="0" fillId="0" borderId="43" xfId="7" applyNumberFormat="1" applyFont="1" applyBorder="1" applyAlignment="1">
      <alignment horizontal="center"/>
    </xf>
    <xf numFmtId="165" fontId="0" fillId="0" borderId="44" xfId="7" applyNumberFormat="1" applyFont="1" applyBorder="1" applyAlignment="1">
      <alignment horizontal="center"/>
    </xf>
    <xf numFmtId="0" fontId="0" fillId="0" borderId="10" xfId="0" applyBorder="1" applyAlignment="1"/>
    <xf numFmtId="165" fontId="0" fillId="0" borderId="10" xfId="7" quotePrefix="1" applyNumberFormat="1" applyFont="1" applyBorder="1" applyAlignment="1">
      <alignment horizontal="center"/>
    </xf>
    <xf numFmtId="165" fontId="0" fillId="0" borderId="45" xfId="7" applyNumberFormat="1" applyFont="1" applyFill="1" applyBorder="1" applyAlignment="1">
      <alignment horizontal="center"/>
    </xf>
    <xf numFmtId="165" fontId="0" fillId="0" borderId="11" xfId="7" quotePrefix="1" applyNumberFormat="1" applyFont="1" applyFill="1" applyBorder="1" applyAlignment="1">
      <alignment horizontal="center"/>
    </xf>
    <xf numFmtId="0" fontId="9" fillId="0" borderId="0" xfId="0" applyFont="1" applyFill="1" applyBorder="1" applyAlignment="1">
      <alignment horizontal="left"/>
    </xf>
    <xf numFmtId="9" fontId="0" fillId="0" borderId="43" xfId="7" applyFont="1" applyBorder="1"/>
    <xf numFmtId="194" fontId="8" fillId="0" borderId="0" xfId="2" applyNumberFormat="1" applyFont="1"/>
    <xf numFmtId="0" fontId="0" fillId="2" borderId="30" xfId="0" applyFill="1" applyBorder="1"/>
    <xf numFmtId="0" fontId="0" fillId="2" borderId="30" xfId="0" applyFill="1" applyBorder="1" applyAlignment="1"/>
    <xf numFmtId="0" fontId="8" fillId="2" borderId="37" xfId="0" applyFont="1" applyFill="1" applyBorder="1" applyAlignment="1">
      <alignment horizontal="left" indent="2"/>
    </xf>
    <xf numFmtId="0" fontId="10" fillId="0" borderId="0" xfId="0" applyFont="1" applyFill="1" applyBorder="1" applyAlignment="1">
      <alignment horizontal="left" wrapText="1"/>
    </xf>
    <xf numFmtId="165" fontId="0" fillId="0" borderId="8" xfId="7" applyNumberFormat="1" applyFont="1" applyBorder="1"/>
    <xf numFmtId="165" fontId="0" fillId="0" borderId="9" xfId="7" applyNumberFormat="1" applyFont="1" applyBorder="1"/>
    <xf numFmtId="165" fontId="0" fillId="0" borderId="0" xfId="7" applyNumberFormat="1" applyFont="1" applyBorder="1"/>
    <xf numFmtId="165" fontId="0" fillId="0" borderId="10" xfId="7" applyNumberFormat="1" applyFont="1" applyBorder="1"/>
    <xf numFmtId="165" fontId="0" fillId="0" borderId="1" xfId="7" applyNumberFormat="1" applyFont="1" applyBorder="1"/>
    <xf numFmtId="165" fontId="0" fillId="0" borderId="11" xfId="7" applyNumberFormat="1" applyFont="1" applyBorder="1"/>
    <xf numFmtId="0" fontId="9" fillId="3" borderId="0" xfId="0" applyFont="1" applyFill="1" applyAlignment="1">
      <alignment horizontal="left"/>
    </xf>
    <xf numFmtId="0" fontId="0" fillId="3" borderId="0" xfId="0" applyFill="1" applyAlignment="1">
      <alignment horizontal="left"/>
    </xf>
    <xf numFmtId="0" fontId="0" fillId="3" borderId="0" xfId="0" applyFill="1" applyAlignment="1"/>
    <xf numFmtId="0" fontId="62" fillId="0" borderId="0" xfId="0" applyFont="1" applyFill="1" applyAlignment="1">
      <alignment vertical="center"/>
    </xf>
    <xf numFmtId="0" fontId="5" fillId="0" borderId="0" xfId="0" applyFont="1" applyFill="1" applyAlignment="1">
      <alignment vertical="center"/>
    </xf>
    <xf numFmtId="2" fontId="5" fillId="0" borderId="0" xfId="2" applyNumberFormat="1" applyFont="1" applyFill="1" applyBorder="1" applyAlignment="1">
      <alignment horizontal="left" indent="2"/>
    </xf>
    <xf numFmtId="0" fontId="5" fillId="0" borderId="0" xfId="0" applyFont="1" applyFill="1" applyBorder="1" applyAlignment="1">
      <alignment horizontal="center"/>
    </xf>
    <xf numFmtId="0" fontId="5" fillId="2" borderId="30" xfId="0" applyFont="1" applyFill="1" applyBorder="1"/>
    <xf numFmtId="14" fontId="2" fillId="0" borderId="0" xfId="0" applyNumberFormat="1" applyFont="1" applyFill="1" applyAlignment="1">
      <alignment vertical="center"/>
    </xf>
    <xf numFmtId="2" fontId="0" fillId="0" borderId="0" xfId="0" applyNumberFormat="1" applyAlignment="1">
      <alignment horizontal="right"/>
    </xf>
    <xf numFmtId="2" fontId="10" fillId="0" borderId="0" xfId="2" applyNumberFormat="1" applyFont="1" applyFill="1" applyBorder="1" applyAlignment="1">
      <alignment horizontal="left" vertical="center" wrapText="1"/>
    </xf>
    <xf numFmtId="171" fontId="5" fillId="0" borderId="32" xfId="0" applyNumberFormat="1" applyFont="1" applyBorder="1"/>
    <xf numFmtId="9" fontId="0" fillId="0" borderId="0" xfId="2" applyNumberFormat="1" applyFont="1"/>
    <xf numFmtId="9" fontId="0" fillId="17" borderId="0" xfId="7" applyFont="1" applyFill="1"/>
    <xf numFmtId="167" fontId="8" fillId="0" borderId="0" xfId="0" applyNumberFormat="1" applyFont="1"/>
    <xf numFmtId="165" fontId="8" fillId="17" borderId="0" xfId="7" applyNumberFormat="1" applyFont="1" applyFill="1"/>
    <xf numFmtId="0" fontId="10" fillId="2" borderId="0" xfId="0" applyFont="1" applyFill="1" applyAlignment="1">
      <alignment horizontal="right"/>
    </xf>
    <xf numFmtId="7" fontId="0" fillId="6" borderId="0" xfId="0" applyNumberFormat="1" applyFill="1"/>
    <xf numFmtId="9" fontId="0" fillId="6" borderId="33" xfId="2" applyNumberFormat="1" applyFont="1" applyFill="1" applyBorder="1"/>
    <xf numFmtId="9" fontId="0" fillId="6" borderId="42" xfId="2" applyNumberFormat="1" applyFont="1" applyFill="1" applyBorder="1"/>
    <xf numFmtId="7" fontId="8" fillId="15" borderId="0" xfId="0" applyNumberFormat="1" applyFont="1" applyFill="1"/>
    <xf numFmtId="0" fontId="10" fillId="15" borderId="0" xfId="0" applyFont="1" applyFill="1" applyAlignment="1">
      <alignment horizontal="right"/>
    </xf>
    <xf numFmtId="7" fontId="8" fillId="6" borderId="33" xfId="2" applyNumberFormat="1" applyFont="1" applyFill="1" applyBorder="1"/>
    <xf numFmtId="7" fontId="8" fillId="6" borderId="42" xfId="2" applyNumberFormat="1" applyFont="1" applyFill="1" applyBorder="1"/>
    <xf numFmtId="2" fontId="0" fillId="0" borderId="0" xfId="0" applyNumberFormat="1" applyAlignment="1">
      <alignment horizontal="left"/>
    </xf>
    <xf numFmtId="1" fontId="0" fillId="0" borderId="0" xfId="0" applyNumberFormat="1" applyAlignment="1">
      <alignment horizontal="left"/>
    </xf>
    <xf numFmtId="0" fontId="0" fillId="0" borderId="0" xfId="0" quotePrefix="1"/>
    <xf numFmtId="165" fontId="0" fillId="0" borderId="0" xfId="7" quotePrefix="1" applyNumberFormat="1" applyFont="1" applyAlignment="1">
      <alignment horizontal="left"/>
    </xf>
    <xf numFmtId="0" fontId="8" fillId="2" borderId="0" xfId="0" applyFont="1" applyFill="1" applyAlignment="1">
      <alignment horizontal="left"/>
    </xf>
    <xf numFmtId="9" fontId="8" fillId="2" borderId="29" xfId="7" applyNumberFormat="1" applyFont="1" applyFill="1" applyBorder="1" applyAlignment="1">
      <alignment horizontal="center"/>
    </xf>
    <xf numFmtId="0" fontId="10" fillId="2" borderId="0" xfId="0" applyFont="1" applyFill="1"/>
    <xf numFmtId="0" fontId="10" fillId="6" borderId="0" xfId="0" applyFont="1" applyFill="1" applyAlignment="1">
      <alignment horizontal="right"/>
    </xf>
    <xf numFmtId="9" fontId="0" fillId="17" borderId="14" xfId="7" applyFont="1" applyFill="1" applyBorder="1"/>
    <xf numFmtId="165" fontId="8" fillId="17" borderId="14" xfId="7" applyNumberFormat="1" applyFont="1" applyFill="1" applyBorder="1"/>
    <xf numFmtId="0" fontId="6" fillId="0" borderId="14" xfId="0" applyFont="1" applyBorder="1" applyAlignment="1">
      <alignment horizontal="right"/>
    </xf>
    <xf numFmtId="0" fontId="0" fillId="0" borderId="14" xfId="0" applyBorder="1"/>
    <xf numFmtId="0" fontId="6" fillId="0" borderId="53" xfId="0" applyFont="1" applyBorder="1" applyAlignment="1">
      <alignment horizontal="right"/>
    </xf>
    <xf numFmtId="8" fontId="0" fillId="5" borderId="0" xfId="0" applyNumberFormat="1" applyFill="1"/>
    <xf numFmtId="0" fontId="0" fillId="5" borderId="21" xfId="0" applyFill="1" applyBorder="1"/>
    <xf numFmtId="0" fontId="8" fillId="5" borderId="34" xfId="0" applyFont="1" applyFill="1" applyBorder="1" applyAlignment="1">
      <alignment horizontal="right"/>
    </xf>
    <xf numFmtId="0" fontId="0" fillId="5" borderId="35" xfId="0" applyFill="1" applyBorder="1"/>
    <xf numFmtId="0" fontId="8" fillId="5" borderId="35" xfId="0" applyFont="1" applyFill="1" applyBorder="1" applyAlignment="1">
      <alignment horizontal="right"/>
    </xf>
    <xf numFmtId="0" fontId="8" fillId="5" borderId="36" xfId="0" applyFont="1" applyFill="1" applyBorder="1" applyAlignment="1">
      <alignment horizontal="right"/>
    </xf>
    <xf numFmtId="7" fontId="8" fillId="8" borderId="0" xfId="0" applyNumberFormat="1" applyFont="1" applyFill="1"/>
    <xf numFmtId="7" fontId="8" fillId="12" borderId="0" xfId="0" applyNumberFormat="1" applyFont="1" applyFill="1"/>
    <xf numFmtId="0" fontId="4" fillId="0" borderId="0" xfId="4" applyFont="1"/>
    <xf numFmtId="0" fontId="50" fillId="0" borderId="0" xfId="4" applyFont="1"/>
    <xf numFmtId="14" fontId="4" fillId="0" borderId="0" xfId="4" applyNumberFormat="1" applyFont="1"/>
    <xf numFmtId="0" fontId="50" fillId="0" borderId="0" xfId="4" applyFont="1" applyAlignment="1">
      <alignment horizontal="left" indent="1"/>
    </xf>
    <xf numFmtId="9" fontId="50" fillId="0" borderId="0" xfId="7" applyFont="1"/>
    <xf numFmtId="0" fontId="50" fillId="0" borderId="0" xfId="4" applyFont="1" applyAlignment="1">
      <alignment horizontal="right"/>
    </xf>
    <xf numFmtId="0" fontId="50" fillId="0" borderId="0" xfId="4" applyFont="1" applyFill="1" applyBorder="1" applyAlignment="1">
      <alignment horizontal="left" indent="1"/>
    </xf>
    <xf numFmtId="1" fontId="8" fillId="0" borderId="0" xfId="4" applyNumberFormat="1" applyFont="1" applyFill="1" applyBorder="1"/>
    <xf numFmtId="2" fontId="50" fillId="0" borderId="0" xfId="4" applyNumberFormat="1" applyFont="1"/>
    <xf numFmtId="0" fontId="8" fillId="0" borderId="0" xfId="4" applyFont="1"/>
    <xf numFmtId="0" fontId="0" fillId="0" borderId="0" xfId="0" applyAlignment="1">
      <alignment horizontal="left" vertical="center" wrapText="1" indent="2"/>
    </xf>
    <xf numFmtId="0" fontId="10" fillId="0" borderId="0" xfId="0" applyFont="1" applyFill="1" applyBorder="1" applyAlignment="1">
      <alignment horizontal="left" indent="1"/>
    </xf>
    <xf numFmtId="0" fontId="95" fillId="0" borderId="0" xfId="4" applyFont="1"/>
    <xf numFmtId="3" fontId="0" fillId="0" borderId="0" xfId="1" applyNumberFormat="1" applyFont="1"/>
    <xf numFmtId="3" fontId="8" fillId="0" borderId="0" xfId="1" applyNumberFormat="1" applyFont="1"/>
    <xf numFmtId="3" fontId="5" fillId="0" borderId="0" xfId="4" applyNumberFormat="1" applyFont="1" applyFill="1" applyBorder="1"/>
    <xf numFmtId="0" fontId="50" fillId="0" borderId="0" xfId="4" applyFont="1" applyAlignment="1">
      <alignment wrapText="1"/>
    </xf>
    <xf numFmtId="168" fontId="50" fillId="0" borderId="0" xfId="4" applyNumberFormat="1" applyFont="1"/>
    <xf numFmtId="166" fontId="50" fillId="0" borderId="0" xfId="4" applyNumberFormat="1" applyFont="1"/>
    <xf numFmtId="166" fontId="8" fillId="0" borderId="0" xfId="4" applyNumberFormat="1" applyFont="1"/>
    <xf numFmtId="0" fontId="7" fillId="0" borderId="0" xfId="4" applyFont="1" applyAlignment="1">
      <alignment horizontal="right"/>
    </xf>
    <xf numFmtId="195" fontId="50" fillId="0" borderId="0" xfId="1" applyNumberFormat="1" applyFont="1"/>
    <xf numFmtId="0" fontId="6" fillId="0" borderId="0" xfId="4" applyFont="1" applyAlignment="1">
      <alignment horizontal="left" indent="1"/>
    </xf>
    <xf numFmtId="195" fontId="8" fillId="0" borderId="0" xfId="1" applyNumberFormat="1" applyFont="1" applyFill="1" applyBorder="1"/>
    <xf numFmtId="166" fontId="50" fillId="0" borderId="0" xfId="4" applyNumberFormat="1" applyFont="1" applyFill="1" applyBorder="1"/>
    <xf numFmtId="194" fontId="9" fillId="0" borderId="0" xfId="2" applyNumberFormat="1" applyFont="1" applyFill="1" applyBorder="1"/>
    <xf numFmtId="0" fontId="8" fillId="0" borderId="0" xfId="4" applyFont="1" applyFill="1" applyBorder="1" applyAlignment="1">
      <alignment horizontal="left" indent="1"/>
    </xf>
    <xf numFmtId="0" fontId="5" fillId="0" borderId="0" xfId="4" applyFont="1" applyFill="1" applyBorder="1" applyAlignment="1">
      <alignment horizontal="left" indent="1"/>
    </xf>
    <xf numFmtId="0" fontId="1" fillId="0" borderId="0" xfId="0" applyFont="1" applyAlignment="1">
      <alignment horizontal="left" indent="3"/>
    </xf>
    <xf numFmtId="0" fontId="0" fillId="0" borderId="0" xfId="0" applyBorder="1" applyAlignment="1">
      <alignment horizontal="left" vertical="center" wrapText="1" indent="1"/>
    </xf>
    <xf numFmtId="0" fontId="9" fillId="2" borderId="57" xfId="0" applyFont="1" applyFill="1" applyBorder="1" applyAlignment="1">
      <alignment horizontal="center" wrapText="1"/>
    </xf>
    <xf numFmtId="0" fontId="9" fillId="0" borderId="57" xfId="0" applyFont="1" applyBorder="1" applyAlignment="1">
      <alignment horizontal="center" wrapText="1"/>
    </xf>
    <xf numFmtId="0" fontId="9" fillId="0" borderId="29" xfId="0" applyFont="1" applyBorder="1" applyAlignment="1">
      <alignment horizontal="center" wrapText="1"/>
    </xf>
    <xf numFmtId="0" fontId="9" fillId="0" borderId="29" xfId="0" applyFont="1" applyFill="1" applyBorder="1" applyAlignment="1">
      <alignment horizontal="center" wrapText="1"/>
    </xf>
    <xf numFmtId="0" fontId="9" fillId="0" borderId="37" xfId="0" applyFont="1" applyFill="1" applyBorder="1" applyAlignment="1">
      <alignment horizontal="center" wrapText="1"/>
    </xf>
    <xf numFmtId="0" fontId="9" fillId="0" borderId="58" xfId="0" applyFont="1" applyFill="1" applyBorder="1" applyAlignment="1">
      <alignment horizontal="center" wrapText="1"/>
    </xf>
    <xf numFmtId="0" fontId="6" fillId="0" borderId="57" xfId="1" applyNumberFormat="1" applyFont="1" applyBorder="1" applyAlignment="1">
      <alignment horizontal="center"/>
    </xf>
    <xf numFmtId="0" fontId="6" fillId="0" borderId="29" xfId="1" applyNumberFormat="1" applyFont="1" applyBorder="1" applyAlignment="1">
      <alignment horizontal="center"/>
    </xf>
    <xf numFmtId="1" fontId="6" fillId="0" borderId="29" xfId="0" applyNumberFormat="1" applyFont="1" applyBorder="1" applyAlignment="1">
      <alignment horizontal="center"/>
    </xf>
    <xf numFmtId="1" fontId="6" fillId="0" borderId="37" xfId="0" applyNumberFormat="1" applyFont="1" applyBorder="1" applyAlignment="1">
      <alignment horizontal="center"/>
    </xf>
    <xf numFmtId="2" fontId="6" fillId="0" borderId="57" xfId="0" applyNumberFormat="1" applyFont="1" applyBorder="1" applyAlignment="1">
      <alignment horizontal="center"/>
    </xf>
    <xf numFmtId="0" fontId="76" fillId="0" borderId="57" xfId="1" applyNumberFormat="1" applyFont="1" applyBorder="1" applyAlignment="1">
      <alignment horizontal="center"/>
    </xf>
    <xf numFmtId="0" fontId="76" fillId="0" borderId="29" xfId="1" applyNumberFormat="1" applyFont="1" applyBorder="1" applyAlignment="1">
      <alignment horizontal="center"/>
    </xf>
    <xf numFmtId="0" fontId="8" fillId="0" borderId="59" xfId="0" applyFont="1" applyBorder="1" applyAlignment="1"/>
    <xf numFmtId="0" fontId="7" fillId="0" borderId="57" xfId="0" applyNumberFormat="1" applyFont="1" applyBorder="1" applyAlignment="1">
      <alignment horizontal="center"/>
    </xf>
    <xf numFmtId="0" fontId="7" fillId="0" borderId="29" xfId="0" applyNumberFormat="1" applyFont="1" applyBorder="1" applyAlignment="1">
      <alignment horizontal="center"/>
    </xf>
    <xf numFmtId="1" fontId="7" fillId="0" borderId="29" xfId="0" applyNumberFormat="1" applyFont="1" applyBorder="1" applyAlignment="1">
      <alignment horizontal="center"/>
    </xf>
    <xf numFmtId="1" fontId="7" fillId="0" borderId="37" xfId="0" applyNumberFormat="1" applyFont="1" applyBorder="1" applyAlignment="1">
      <alignment horizontal="center"/>
    </xf>
    <xf numFmtId="47" fontId="7" fillId="0" borderId="29" xfId="0" applyNumberFormat="1" applyFont="1" applyBorder="1" applyAlignment="1">
      <alignment horizontal="center"/>
    </xf>
    <xf numFmtId="0" fontId="6" fillId="0" borderId="0" xfId="0" applyFont="1" applyBorder="1"/>
    <xf numFmtId="0" fontId="6" fillId="0" borderId="0" xfId="0" applyNumberFormat="1" applyFont="1" applyBorder="1"/>
    <xf numFmtId="2" fontId="45" fillId="2" borderId="29" xfId="0" applyNumberFormat="1" applyFont="1" applyFill="1" applyBorder="1" applyAlignment="1">
      <alignment horizontal="center"/>
    </xf>
    <xf numFmtId="1" fontId="45" fillId="2" borderId="29" xfId="0" applyNumberFormat="1" applyFont="1" applyFill="1" applyBorder="1" applyAlignment="1">
      <alignment horizontal="center" vertical="center" wrapText="1"/>
    </xf>
    <xf numFmtId="0" fontId="8" fillId="0" borderId="60" xfId="0" applyFont="1" applyBorder="1" applyAlignment="1">
      <alignment horizontal="left" wrapText="1"/>
    </xf>
    <xf numFmtId="0" fontId="10" fillId="0" borderId="60" xfId="0" applyFont="1" applyBorder="1" applyAlignment="1">
      <alignment horizontal="left"/>
    </xf>
    <xf numFmtId="0" fontId="96" fillId="0" borderId="60" xfId="0" applyFont="1" applyBorder="1" applyAlignment="1">
      <alignment horizontal="left"/>
    </xf>
    <xf numFmtId="21" fontId="6" fillId="0" borderId="57" xfId="0" applyNumberFormat="1" applyFont="1" applyBorder="1" applyAlignment="1">
      <alignment horizontal="center"/>
    </xf>
    <xf numFmtId="21" fontId="6" fillId="0" borderId="29" xfId="0" applyNumberFormat="1" applyFont="1" applyBorder="1" applyAlignment="1">
      <alignment horizontal="center"/>
    </xf>
    <xf numFmtId="45" fontId="6" fillId="0" borderId="29" xfId="0" applyNumberFormat="1" applyFont="1" applyBorder="1" applyAlignment="1">
      <alignment horizontal="center"/>
    </xf>
    <xf numFmtId="0" fontId="6" fillId="0" borderId="61" xfId="1" applyNumberFormat="1" applyFont="1" applyBorder="1" applyAlignment="1">
      <alignment horizontal="center"/>
    </xf>
    <xf numFmtId="201" fontId="76" fillId="0" borderId="57" xfId="0" applyNumberFormat="1" applyFont="1" applyBorder="1" applyAlignment="1">
      <alignment horizontal="center"/>
    </xf>
    <xf numFmtId="21" fontId="76" fillId="0" borderId="29" xfId="0" applyNumberFormat="1" applyFont="1" applyBorder="1" applyAlignment="1">
      <alignment horizontal="center"/>
    </xf>
    <xf numFmtId="0" fontId="97" fillId="0" borderId="29" xfId="1" applyNumberFormat="1" applyFont="1" applyBorder="1" applyAlignment="1">
      <alignment horizontal="center"/>
    </xf>
    <xf numFmtId="45" fontId="6" fillId="0" borderId="34" xfId="0" applyNumberFormat="1" applyFont="1" applyBorder="1" applyAlignment="1">
      <alignment horizontal="center"/>
    </xf>
    <xf numFmtId="0" fontId="7" fillId="0" borderId="31" xfId="0" applyNumberFormat="1" applyFont="1" applyBorder="1" applyAlignment="1">
      <alignment horizontal="center"/>
    </xf>
    <xf numFmtId="0" fontId="7" fillId="0" borderId="61" xfId="0" applyNumberFormat="1" applyFont="1" applyBorder="1" applyAlignment="1">
      <alignment horizontal="center"/>
    </xf>
    <xf numFmtId="0" fontId="9" fillId="0" borderId="62" xfId="0" applyFont="1" applyBorder="1" applyAlignment="1">
      <alignment horizontal="center" wrapText="1"/>
    </xf>
    <xf numFmtId="0" fontId="9" fillId="0" borderId="36" xfId="0" applyFont="1" applyBorder="1" applyAlignment="1">
      <alignment horizontal="center" wrapText="1"/>
    </xf>
    <xf numFmtId="0" fontId="9" fillId="0" borderId="63" xfId="0" applyFont="1" applyBorder="1" applyAlignment="1">
      <alignment horizontal="center" wrapText="1"/>
    </xf>
    <xf numFmtId="0" fontId="6" fillId="2" borderId="29" xfId="1" applyNumberFormat="1" applyFont="1" applyFill="1" applyBorder="1" applyAlignment="1">
      <alignment horizontal="center"/>
    </xf>
    <xf numFmtId="45" fontId="6" fillId="2" borderId="29" xfId="0" applyNumberFormat="1" applyFont="1" applyFill="1" applyBorder="1" applyAlignment="1">
      <alignment horizontal="center"/>
    </xf>
    <xf numFmtId="0" fontId="9" fillId="8" borderId="62" xfId="0" applyFont="1" applyFill="1" applyBorder="1" applyAlignment="1">
      <alignment horizontal="center" wrapText="1"/>
    </xf>
    <xf numFmtId="0" fontId="9" fillId="8" borderId="36" xfId="0" applyFont="1" applyFill="1" applyBorder="1" applyAlignment="1">
      <alignment horizontal="center" wrapText="1"/>
    </xf>
    <xf numFmtId="0" fontId="9" fillId="8" borderId="42" xfId="0" applyFont="1" applyFill="1" applyBorder="1" applyAlignment="1">
      <alignment horizontal="center" wrapText="1"/>
    </xf>
    <xf numFmtId="2" fontId="10" fillId="8" borderId="57" xfId="0" applyNumberFormat="1" applyFont="1" applyFill="1" applyBorder="1" applyAlignment="1">
      <alignment horizontal="center"/>
    </xf>
    <xf numFmtId="1" fontId="9" fillId="8" borderId="57" xfId="0" applyNumberFormat="1" applyFont="1" applyFill="1" applyBorder="1" applyAlignment="1">
      <alignment horizontal="center"/>
    </xf>
    <xf numFmtId="2" fontId="9" fillId="8" borderId="29" xfId="0" applyNumberFormat="1" applyFont="1" applyFill="1" applyBorder="1" applyAlignment="1">
      <alignment horizontal="center"/>
    </xf>
    <xf numFmtId="47" fontId="9" fillId="8" borderId="29" xfId="0" applyNumberFormat="1" applyFont="1" applyFill="1" applyBorder="1" applyAlignment="1">
      <alignment horizontal="center"/>
    </xf>
    <xf numFmtId="0" fontId="9" fillId="8" borderId="31" xfId="0" applyFont="1" applyFill="1" applyBorder="1" applyAlignment="1">
      <alignment horizontal="center" wrapText="1"/>
    </xf>
    <xf numFmtId="2" fontId="6" fillId="8" borderId="57" xfId="0" applyNumberFormat="1" applyFont="1" applyFill="1" applyBorder="1" applyAlignment="1">
      <alignment horizontal="center"/>
    </xf>
    <xf numFmtId="2" fontId="7" fillId="8" borderId="29" xfId="0" applyNumberFormat="1" applyFont="1" applyFill="1" applyBorder="1" applyAlignment="1">
      <alignment horizontal="center"/>
    </xf>
    <xf numFmtId="0" fontId="9" fillId="10" borderId="64" xfId="0" applyFont="1" applyFill="1" applyBorder="1" applyAlignment="1">
      <alignment horizontal="center" wrapText="1"/>
    </xf>
    <xf numFmtId="0" fontId="9" fillId="10" borderId="36" xfId="0" applyFont="1" applyFill="1" applyBorder="1" applyAlignment="1">
      <alignment horizontal="center" wrapText="1"/>
    </xf>
    <xf numFmtId="0" fontId="9" fillId="10" borderId="65" xfId="0" applyFont="1" applyFill="1" applyBorder="1" applyAlignment="1">
      <alignment horizontal="center" wrapText="1"/>
    </xf>
    <xf numFmtId="2" fontId="6" fillId="10" borderId="57" xfId="0" applyNumberFormat="1" applyFont="1" applyFill="1" applyBorder="1" applyAlignment="1">
      <alignment horizontal="center"/>
    </xf>
    <xf numFmtId="200" fontId="7" fillId="10" borderId="31" xfId="0" applyNumberFormat="1" applyFont="1" applyFill="1" applyBorder="1" applyAlignment="1">
      <alignment horizontal="center"/>
    </xf>
    <xf numFmtId="2" fontId="7" fillId="10" borderId="29" xfId="0" applyNumberFormat="1" applyFont="1" applyFill="1" applyBorder="1" applyAlignment="1">
      <alignment horizontal="center"/>
    </xf>
    <xf numFmtId="200" fontId="7" fillId="10" borderId="29" xfId="0" applyNumberFormat="1" applyFont="1" applyFill="1" applyBorder="1" applyAlignment="1">
      <alignment horizontal="center"/>
    </xf>
    <xf numFmtId="0" fontId="9" fillId="16" borderId="31" xfId="0" applyFont="1" applyFill="1" applyBorder="1" applyAlignment="1">
      <alignment horizontal="center" wrapText="1"/>
    </xf>
    <xf numFmtId="0" fontId="9" fillId="16" borderId="29" xfId="0" applyFont="1" applyFill="1" applyBorder="1" applyAlignment="1">
      <alignment horizontal="center" wrapText="1"/>
    </xf>
    <xf numFmtId="0" fontId="9" fillId="16" borderId="37" xfId="0" applyFont="1" applyFill="1" applyBorder="1" applyAlignment="1">
      <alignment horizontal="center" wrapText="1"/>
    </xf>
    <xf numFmtId="2" fontId="6" fillId="16" borderId="57" xfId="0" applyNumberFormat="1" applyFont="1" applyFill="1" applyBorder="1" applyAlignment="1">
      <alignment horizontal="center"/>
    </xf>
    <xf numFmtId="200" fontId="7" fillId="16" borderId="31" xfId="0" applyNumberFormat="1" applyFont="1" applyFill="1" applyBorder="1" applyAlignment="1">
      <alignment horizontal="center"/>
    </xf>
    <xf numFmtId="2" fontId="7" fillId="16" borderId="29" xfId="0" applyNumberFormat="1" applyFont="1" applyFill="1" applyBorder="1" applyAlignment="1">
      <alignment horizontal="center"/>
    </xf>
    <xf numFmtId="0" fontId="7" fillId="16" borderId="29" xfId="0" applyFont="1" applyFill="1" applyBorder="1" applyAlignment="1">
      <alignment horizontal="center"/>
    </xf>
    <xf numFmtId="18" fontId="9" fillId="0" borderId="0" xfId="0" applyNumberFormat="1" applyFont="1" applyAlignment="1">
      <alignment horizontal="center"/>
    </xf>
    <xf numFmtId="0" fontId="9" fillId="2" borderId="61" xfId="0" applyFont="1" applyFill="1" applyBorder="1" applyAlignment="1">
      <alignment horizontal="center" wrapText="1"/>
    </xf>
    <xf numFmtId="2" fontId="6" fillId="2" borderId="57" xfId="0" applyNumberFormat="1" applyFont="1" applyFill="1" applyBorder="1" applyAlignment="1">
      <alignment horizontal="center"/>
    </xf>
    <xf numFmtId="45" fontId="6" fillId="0" borderId="29" xfId="0" applyNumberFormat="1" applyFont="1" applyFill="1" applyBorder="1" applyAlignment="1">
      <alignment horizontal="center"/>
    </xf>
    <xf numFmtId="0" fontId="8" fillId="0" borderId="0" xfId="0" applyFont="1" applyBorder="1" applyAlignment="1"/>
    <xf numFmtId="0" fontId="7" fillId="0" borderId="0" xfId="0" applyFont="1" applyBorder="1" applyAlignment="1">
      <alignment horizontal="left" indent="1"/>
    </xf>
    <xf numFmtId="0" fontId="6" fillId="0" borderId="0" xfId="0" applyFont="1" applyBorder="1" applyAlignment="1">
      <alignment horizontal="left" indent="1"/>
    </xf>
    <xf numFmtId="0" fontId="7" fillId="0" borderId="0" xfId="0" applyFont="1" applyBorder="1" applyAlignment="1">
      <alignment horizontal="left"/>
    </xf>
    <xf numFmtId="0" fontId="7" fillId="0" borderId="0" xfId="0" applyNumberFormat="1" applyFont="1" applyBorder="1" applyAlignment="1">
      <alignment horizontal="center"/>
    </xf>
    <xf numFmtId="0" fontId="7" fillId="0" borderId="18" xfId="0" applyNumberFormat="1" applyFont="1" applyBorder="1" applyAlignment="1">
      <alignment horizontal="center"/>
    </xf>
    <xf numFmtId="1" fontId="7" fillId="0" borderId="18" xfId="0" applyNumberFormat="1" applyFont="1" applyBorder="1" applyAlignment="1">
      <alignment horizontal="center"/>
    </xf>
    <xf numFmtId="1" fontId="9" fillId="8" borderId="18" xfId="0" applyNumberFormat="1" applyFont="1" applyFill="1" applyBorder="1" applyAlignment="1">
      <alignment horizontal="center"/>
    </xf>
    <xf numFmtId="2" fontId="9" fillId="8" borderId="18" xfId="0" applyNumberFormat="1" applyFont="1" applyFill="1" applyBorder="1" applyAlignment="1">
      <alignment horizontal="center"/>
    </xf>
    <xf numFmtId="47" fontId="9" fillId="8" borderId="18" xfId="0" applyNumberFormat="1" applyFont="1" applyFill="1" applyBorder="1" applyAlignment="1">
      <alignment horizontal="center"/>
    </xf>
    <xf numFmtId="200" fontId="7" fillId="10" borderId="18" xfId="0" applyNumberFormat="1" applyFont="1" applyFill="1" applyBorder="1" applyAlignment="1">
      <alignment horizontal="center"/>
    </xf>
    <xf numFmtId="2" fontId="7" fillId="10" borderId="18" xfId="0" applyNumberFormat="1" applyFont="1" applyFill="1" applyBorder="1" applyAlignment="1">
      <alignment horizontal="center"/>
    </xf>
    <xf numFmtId="200" fontId="7" fillId="16" borderId="18" xfId="0" applyNumberFormat="1" applyFont="1" applyFill="1" applyBorder="1" applyAlignment="1">
      <alignment horizontal="center"/>
    </xf>
    <xf numFmtId="2" fontId="7" fillId="16" borderId="18" xfId="0" applyNumberFormat="1" applyFont="1" applyFill="1" applyBorder="1" applyAlignment="1">
      <alignment horizontal="center"/>
    </xf>
    <xf numFmtId="0" fontId="7" fillId="16" borderId="18" xfId="0" applyFont="1" applyFill="1" applyBorder="1" applyAlignment="1">
      <alignment horizontal="center"/>
    </xf>
    <xf numFmtId="47" fontId="7" fillId="0" borderId="18" xfId="0" applyNumberFormat="1" applyFont="1" applyBorder="1" applyAlignment="1">
      <alignment horizontal="center"/>
    </xf>
    <xf numFmtId="2" fontId="7" fillId="8" borderId="18" xfId="0" applyNumberFormat="1" applyFont="1" applyFill="1" applyBorder="1" applyAlignment="1">
      <alignment horizontal="center"/>
    </xf>
    <xf numFmtId="2" fontId="7" fillId="16" borderId="17" xfId="0" applyNumberFormat="1" applyFont="1" applyFill="1" applyBorder="1" applyAlignment="1">
      <alignment horizontal="center"/>
    </xf>
    <xf numFmtId="0" fontId="8" fillId="0" borderId="15" xfId="0" applyFont="1" applyBorder="1" applyAlignment="1">
      <alignment vertical="center" wrapText="1"/>
    </xf>
    <xf numFmtId="0" fontId="98" fillId="0" borderId="0" xfId="0" applyFont="1" applyFill="1" applyAlignment="1">
      <alignment horizontal="center"/>
    </xf>
    <xf numFmtId="1" fontId="7" fillId="0" borderId="0" xfId="0" applyNumberFormat="1" applyFont="1" applyBorder="1" applyAlignment="1">
      <alignment horizontal="center"/>
    </xf>
    <xf numFmtId="0" fontId="8" fillId="0" borderId="0" xfId="0" applyFont="1" applyBorder="1" applyAlignment="1">
      <alignment wrapText="1"/>
    </xf>
    <xf numFmtId="45" fontId="9" fillId="0" borderId="29" xfId="0" applyNumberFormat="1" applyFont="1" applyFill="1" applyBorder="1" applyAlignment="1">
      <alignment horizontal="center"/>
    </xf>
    <xf numFmtId="45" fontId="5" fillId="0" borderId="29" xfId="0" applyNumberFormat="1" applyFont="1" applyFill="1" applyBorder="1" applyAlignment="1">
      <alignment horizontal="center"/>
    </xf>
    <xf numFmtId="3" fontId="5" fillId="0" borderId="29" xfId="0" applyNumberFormat="1" applyFont="1" applyFill="1" applyBorder="1" applyAlignment="1">
      <alignment horizontal="center"/>
    </xf>
    <xf numFmtId="20" fontId="5" fillId="0" borderId="29" xfId="0" applyNumberFormat="1" applyFont="1" applyFill="1" applyBorder="1" applyAlignment="1">
      <alignment horizontal="center"/>
    </xf>
    <xf numFmtId="165" fontId="0" fillId="0" borderId="37" xfId="7" applyNumberFormat="1" applyFont="1" applyBorder="1" applyAlignment="1">
      <alignment horizontal="center"/>
    </xf>
    <xf numFmtId="0" fontId="0" fillId="0" borderId="0" xfId="0" applyAlignment="1">
      <alignment horizontal="left" vertical="center" indent="3"/>
    </xf>
    <xf numFmtId="165" fontId="40" fillId="2" borderId="29" xfId="7" applyNumberFormat="1" applyFont="1" applyFill="1" applyBorder="1" applyAlignment="1">
      <alignment horizontal="center"/>
    </xf>
    <xf numFmtId="165" fontId="40" fillId="0" borderId="0" xfId="7" applyNumberFormat="1" applyFont="1" applyFill="1" applyBorder="1" applyAlignment="1">
      <alignment horizontal="center"/>
    </xf>
    <xf numFmtId="0" fontId="28" fillId="0" borderId="0" xfId="0" applyFont="1" applyAlignment="1">
      <alignment horizontal="left"/>
    </xf>
    <xf numFmtId="0" fontId="0" fillId="0" borderId="0" xfId="0" applyAlignment="1">
      <alignment horizontal="left" vertical="center"/>
    </xf>
    <xf numFmtId="7" fontId="0" fillId="0" borderId="0" xfId="2" applyNumberFormat="1" applyFont="1" applyBorder="1" applyAlignment="1">
      <alignment horizontal="right" wrapText="1" indent="1"/>
    </xf>
    <xf numFmtId="0" fontId="0" fillId="0" borderId="0" xfId="0" applyBorder="1" applyAlignment="1">
      <alignment horizontal="right" indent="1"/>
    </xf>
    <xf numFmtId="44" fontId="0" fillId="0" borderId="0" xfId="2" applyFont="1" applyBorder="1" applyAlignment="1">
      <alignment horizontal="right" wrapText="1" indent="1"/>
    </xf>
    <xf numFmtId="166" fontId="0" fillId="0" borderId="0" xfId="0" applyNumberFormat="1" applyBorder="1" applyAlignment="1">
      <alignment horizontal="right" wrapText="1" indent="1"/>
    </xf>
    <xf numFmtId="171" fontId="0" fillId="0" borderId="0" xfId="2" applyNumberFormat="1" applyFont="1" applyBorder="1" applyAlignment="1">
      <alignment horizontal="right" wrapText="1" indent="1"/>
    </xf>
    <xf numFmtId="165" fontId="0" fillId="2" borderId="29" xfId="7" applyNumberFormat="1" applyFont="1" applyFill="1" applyBorder="1" applyAlignment="1">
      <alignment horizontal="center" wrapText="1"/>
    </xf>
    <xf numFmtId="0" fontId="4" fillId="17" borderId="0" xfId="0" applyFont="1" applyFill="1"/>
    <xf numFmtId="0" fontId="0" fillId="17" borderId="0" xfId="0" applyFill="1"/>
    <xf numFmtId="0" fontId="7" fillId="17" borderId="0" xfId="0" applyFont="1" applyFill="1" applyBorder="1"/>
    <xf numFmtId="0" fontId="6" fillId="17" borderId="0" xfId="0" applyFont="1" applyFill="1"/>
    <xf numFmtId="3" fontId="6" fillId="17" borderId="0" xfId="0" applyNumberFormat="1" applyFont="1" applyFill="1" applyBorder="1" applyAlignment="1">
      <alignment horizontal="right"/>
    </xf>
    <xf numFmtId="0" fontId="0" fillId="5" borderId="18" xfId="0" applyFill="1" applyBorder="1"/>
    <xf numFmtId="0" fontId="0" fillId="5" borderId="17" xfId="0" applyFill="1" applyBorder="1"/>
    <xf numFmtId="0" fontId="0" fillId="5" borderId="32" xfId="0" applyFill="1" applyBorder="1"/>
    <xf numFmtId="0" fontId="0" fillId="5" borderId="24" xfId="0" applyFill="1" applyBorder="1"/>
    <xf numFmtId="0" fontId="0" fillId="5" borderId="25" xfId="0" applyFill="1" applyBorder="1"/>
    <xf numFmtId="0" fontId="9" fillId="0" borderId="15" xfId="0" applyFont="1" applyBorder="1" applyAlignment="1">
      <alignment vertical="center" wrapText="1"/>
    </xf>
    <xf numFmtId="165" fontId="8" fillId="0" borderId="0" xfId="7" applyNumberFormat="1" applyFont="1" applyFill="1" applyBorder="1"/>
    <xf numFmtId="0" fontId="0" fillId="5" borderId="10" xfId="0" applyFill="1" applyBorder="1"/>
    <xf numFmtId="165" fontId="8" fillId="3" borderId="0" xfId="0" applyNumberFormat="1" applyFont="1" applyFill="1"/>
    <xf numFmtId="165" fontId="8" fillId="3" borderId="0" xfId="0" applyNumberFormat="1" applyFont="1" applyFill="1" applyAlignment="1">
      <alignment horizontal="right"/>
    </xf>
    <xf numFmtId="3" fontId="0" fillId="0" borderId="0" xfId="1" applyNumberFormat="1" applyFont="1" applyAlignment="1">
      <alignment horizontal="left"/>
    </xf>
    <xf numFmtId="3" fontId="0" fillId="0" borderId="0" xfId="1" applyNumberFormat="1" applyFont="1" applyAlignment="1">
      <alignment horizontal="right" indent="2"/>
    </xf>
    <xf numFmtId="169" fontId="5" fillId="0" borderId="0" xfId="1" applyNumberFormat="1" applyFont="1" applyAlignment="1">
      <alignment horizontal="left" indent="1"/>
    </xf>
    <xf numFmtId="2" fontId="8" fillId="3" borderId="42" xfId="0" applyNumberFormat="1" applyFont="1" applyFill="1" applyBorder="1"/>
    <xf numFmtId="2" fontId="8" fillId="3" borderId="21" xfId="0" applyNumberFormat="1" applyFont="1" applyFill="1" applyBorder="1"/>
    <xf numFmtId="2" fontId="8" fillId="3" borderId="25" xfId="0" applyNumberFormat="1" applyFont="1" applyFill="1" applyBorder="1"/>
    <xf numFmtId="0" fontId="6" fillId="0" borderId="0" xfId="0" applyFont="1" applyAlignment="1">
      <alignment horizontal="left" vertical="center" wrapText="1" indent="3"/>
    </xf>
    <xf numFmtId="166" fontId="1" fillId="0" borderId="29" xfId="0" applyNumberFormat="1" applyFont="1" applyBorder="1" applyAlignment="1">
      <alignment horizontal="center"/>
    </xf>
    <xf numFmtId="37" fontId="5" fillId="0" borderId="37" xfId="1" applyNumberFormat="1" applyFont="1" applyBorder="1" applyAlignment="1">
      <alignment horizontal="right"/>
    </xf>
    <xf numFmtId="37" fontId="8" fillId="0" borderId="36" xfId="0" applyNumberFormat="1" applyFont="1" applyBorder="1"/>
    <xf numFmtId="165" fontId="0" fillId="0" borderId="0" xfId="7" quotePrefix="1" applyNumberFormat="1" applyFont="1" applyFill="1" applyBorder="1" applyAlignment="1">
      <alignment horizontal="center"/>
    </xf>
    <xf numFmtId="39" fontId="0" fillId="0" borderId="29" xfId="1" applyNumberFormat="1" applyFont="1" applyBorder="1" applyAlignment="1">
      <alignment horizontal="center"/>
    </xf>
    <xf numFmtId="0" fontId="10" fillId="0" borderId="0" xfId="0" applyFont="1" applyBorder="1" applyAlignment="1">
      <alignment horizontal="left" vertical="center" indent="1"/>
    </xf>
    <xf numFmtId="9" fontId="6" fillId="0" borderId="0" xfId="0" applyNumberFormat="1" applyFont="1" applyAlignment="1">
      <alignment horizontal="left"/>
    </xf>
    <xf numFmtId="0" fontId="0" fillId="0" borderId="0" xfId="0" applyBorder="1" applyAlignment="1">
      <alignment horizontal="left" vertical="center" indent="1"/>
    </xf>
    <xf numFmtId="195" fontId="52" fillId="0" borderId="0" xfId="0" applyNumberFormat="1" applyFont="1"/>
    <xf numFmtId="0" fontId="99" fillId="0" borderId="0" xfId="0" applyFont="1"/>
    <xf numFmtId="37" fontId="1" fillId="0" borderId="0" xfId="7" applyNumberFormat="1"/>
    <xf numFmtId="37" fontId="52" fillId="2" borderId="29" xfId="0" applyNumberFormat="1" applyFont="1" applyFill="1" applyBorder="1"/>
    <xf numFmtId="195" fontId="52" fillId="2" borderId="29" xfId="1" applyNumberFormat="1" applyFont="1" applyFill="1" applyBorder="1"/>
    <xf numFmtId="37" fontId="41" fillId="2" borderId="29" xfId="0" applyNumberFormat="1" applyFont="1" applyFill="1" applyBorder="1"/>
    <xf numFmtId="39" fontId="1" fillId="0" borderId="0" xfId="0" applyNumberFormat="1" applyFont="1"/>
    <xf numFmtId="195" fontId="50" fillId="0" borderId="0" xfId="0" applyNumberFormat="1" applyFont="1"/>
    <xf numFmtId="165" fontId="8" fillId="0" borderId="0" xfId="0" applyNumberFormat="1" applyFont="1" applyFill="1"/>
    <xf numFmtId="165" fontId="8" fillId="0" borderId="0" xfId="0" applyNumberFormat="1" applyFont="1" applyFill="1" applyAlignment="1">
      <alignment horizontal="right"/>
    </xf>
    <xf numFmtId="195" fontId="8" fillId="0" borderId="0" xfId="0" applyNumberFormat="1" applyFont="1"/>
    <xf numFmtId="7" fontId="8" fillId="0" borderId="0" xfId="2" applyNumberFormat="1" applyFont="1" applyBorder="1" applyAlignment="1">
      <alignment horizontal="center" wrapText="1"/>
    </xf>
    <xf numFmtId="195" fontId="0" fillId="0" borderId="29" xfId="1" applyNumberFormat="1" applyFont="1" applyBorder="1" applyAlignment="1">
      <alignment horizontal="right" wrapText="1" indent="1"/>
    </xf>
    <xf numFmtId="9" fontId="6" fillId="0" borderId="0" xfId="7" applyFont="1" applyAlignment="1">
      <alignment horizontal="right"/>
    </xf>
    <xf numFmtId="195" fontId="5" fillId="0" borderId="44" xfId="1" applyNumberFormat="1" applyFont="1" applyBorder="1" applyAlignment="1">
      <alignment horizontal="center"/>
    </xf>
    <xf numFmtId="195" fontId="5" fillId="0" borderId="0" xfId="1" applyNumberFormat="1" applyFont="1" applyBorder="1" applyAlignment="1">
      <alignment horizontal="center"/>
    </xf>
    <xf numFmtId="195" fontId="8" fillId="0" borderId="12" xfId="1" applyNumberFormat="1" applyFont="1" applyBorder="1" applyAlignment="1">
      <alignment horizontal="center"/>
    </xf>
    <xf numFmtId="195" fontId="8" fillId="0" borderId="7" xfId="1" applyNumberFormat="1" applyFont="1" applyBorder="1" applyAlignment="1">
      <alignment horizontal="center"/>
    </xf>
    <xf numFmtId="195" fontId="6" fillId="0" borderId="0" xfId="1" applyNumberFormat="1" applyFont="1" applyAlignment="1">
      <alignment horizontal="right"/>
    </xf>
    <xf numFmtId="165" fontId="0" fillId="0" borderId="34" xfId="7" applyNumberFormat="1" applyFont="1" applyBorder="1" applyAlignment="1">
      <alignment horizontal="center"/>
    </xf>
    <xf numFmtId="165" fontId="0" fillId="0" borderId="35" xfId="0" applyNumberFormat="1" applyBorder="1" applyAlignment="1">
      <alignment horizontal="center"/>
    </xf>
    <xf numFmtId="37" fontId="0" fillId="8" borderId="29" xfId="1" applyNumberFormat="1" applyFont="1" applyFill="1" applyBorder="1" applyAlignment="1">
      <alignment horizontal="center"/>
    </xf>
    <xf numFmtId="37" fontId="0" fillId="8" borderId="29" xfId="0" applyNumberFormat="1" applyFill="1" applyBorder="1" applyAlignment="1">
      <alignment horizontal="center"/>
    </xf>
    <xf numFmtId="43" fontId="0" fillId="0" borderId="36" xfId="0" applyNumberFormat="1" applyBorder="1" applyAlignment="1">
      <alignment horizontal="center"/>
    </xf>
    <xf numFmtId="43" fontId="52" fillId="0" borderId="29" xfId="0" applyNumberFormat="1" applyFont="1" applyBorder="1" applyAlignment="1">
      <alignment horizontal="center"/>
    </xf>
    <xf numFmtId="43" fontId="8" fillId="0" borderId="18" xfId="0" applyNumberFormat="1" applyFont="1" applyBorder="1" applyAlignment="1">
      <alignment horizontal="center"/>
    </xf>
    <xf numFmtId="39" fontId="8" fillId="0" borderId="29" xfId="0" applyNumberFormat="1" applyFont="1" applyBorder="1" applyAlignment="1">
      <alignment horizontal="right"/>
    </xf>
    <xf numFmtId="2" fontId="8" fillId="0" borderId="29" xfId="0" applyNumberFormat="1" applyFont="1" applyBorder="1" applyAlignment="1">
      <alignment horizontal="right"/>
    </xf>
    <xf numFmtId="0" fontId="0" fillId="0" borderId="0" xfId="0" applyAlignment="1">
      <alignment horizontal="left" indent="4"/>
    </xf>
    <xf numFmtId="169" fontId="0" fillId="0" borderId="36" xfId="0" applyNumberFormat="1" applyBorder="1"/>
    <xf numFmtId="9" fontId="40" fillId="0" borderId="0" xfId="7" applyFont="1"/>
    <xf numFmtId="195" fontId="40" fillId="0" borderId="0" xfId="1" applyNumberFormat="1" applyFont="1"/>
    <xf numFmtId="0" fontId="0" fillId="0" borderId="0" xfId="0" applyAlignment="1">
      <alignment horizontal="center" vertical="center" wrapText="1"/>
    </xf>
    <xf numFmtId="0" fontId="1" fillId="0" borderId="0" xfId="0" applyFont="1" applyAlignment="1">
      <alignment horizontal="left" wrapText="1" indent="1"/>
    </xf>
    <xf numFmtId="0" fontId="6" fillId="0" borderId="0" xfId="0" applyFont="1" applyAlignment="1"/>
    <xf numFmtId="0" fontId="6" fillId="0" borderId="0" xfId="0" applyFont="1" applyAlignment="1">
      <alignment horizontal="right" indent="1"/>
    </xf>
    <xf numFmtId="0" fontId="99" fillId="0" borderId="0" xfId="0" applyFont="1" applyAlignment="1">
      <alignment horizontal="left" indent="1"/>
    </xf>
    <xf numFmtId="0" fontId="52" fillId="0" borderId="0" xfId="0" applyFont="1" applyFill="1"/>
    <xf numFmtId="0" fontId="5" fillId="5" borderId="0" xfId="0" applyFont="1" applyFill="1" applyAlignment="1">
      <alignment horizontal="left" wrapText="1" indent="1"/>
    </xf>
    <xf numFmtId="0" fontId="0" fillId="0" borderId="0" xfId="0" applyAlignment="1">
      <alignment horizontal="left" vertical="center" indent="1"/>
    </xf>
    <xf numFmtId="37" fontId="0" fillId="0" borderId="0" xfId="1" applyNumberFormat="1" applyFont="1" applyBorder="1" applyAlignment="1">
      <alignment horizontal="center"/>
    </xf>
    <xf numFmtId="37" fontId="0" fillId="0" borderId="0" xfId="0" applyNumberFormat="1" applyBorder="1" applyAlignment="1">
      <alignment horizontal="center"/>
    </xf>
    <xf numFmtId="165" fontId="5" fillId="0" borderId="29" xfId="7" applyNumberFormat="1" applyFont="1" applyBorder="1" applyAlignment="1">
      <alignment horizontal="center"/>
    </xf>
    <xf numFmtId="178" fontId="8" fillId="0" borderId="0" xfId="0" applyNumberFormat="1" applyFont="1" applyBorder="1" applyAlignment="1">
      <alignment horizontal="center"/>
    </xf>
    <xf numFmtId="166" fontId="8" fillId="0" borderId="0" xfId="0" applyNumberFormat="1" applyFont="1" applyBorder="1" applyAlignment="1">
      <alignment horizontal="center"/>
    </xf>
    <xf numFmtId="0" fontId="5" fillId="0" borderId="0" xfId="0" applyFont="1" applyFill="1" applyAlignment="1">
      <alignment horizontal="left" vertical="top" indent="4"/>
    </xf>
    <xf numFmtId="0" fontId="0" fillId="0" borderId="0" xfId="0" applyAlignment="1">
      <alignment horizontal="right" indent="1"/>
    </xf>
    <xf numFmtId="2" fontId="0" fillId="0" borderId="29" xfId="0" applyNumberFormat="1" applyBorder="1"/>
    <xf numFmtId="3" fontId="16" fillId="0" borderId="0" xfId="0" applyNumberFormat="1" applyFont="1"/>
    <xf numFmtId="0" fontId="6" fillId="13" borderId="34" xfId="0" applyFont="1" applyFill="1" applyBorder="1" applyAlignment="1">
      <alignment horizontal="right"/>
    </xf>
    <xf numFmtId="3" fontId="0" fillId="13" borderId="36" xfId="0" applyNumberFormat="1" applyFill="1" applyBorder="1"/>
    <xf numFmtId="166" fontId="0" fillId="13" borderId="35" xfId="0" applyNumberFormat="1" applyFill="1" applyBorder="1"/>
    <xf numFmtId="166" fontId="0" fillId="13" borderId="36" xfId="0" applyNumberFormat="1" applyFill="1" applyBorder="1"/>
    <xf numFmtId="202" fontId="50" fillId="0" borderId="0" xfId="7" applyNumberFormat="1" applyFont="1"/>
    <xf numFmtId="0" fontId="5" fillId="0" borderId="0" xfId="4" applyFont="1" applyAlignment="1">
      <alignment horizontal="left" indent="1"/>
    </xf>
    <xf numFmtId="187" fontId="5" fillId="0" borderId="0" xfId="7" applyNumberFormat="1" applyFont="1"/>
    <xf numFmtId="3" fontId="8" fillId="12" borderId="29" xfId="0" applyNumberFormat="1" applyFont="1" applyFill="1" applyBorder="1"/>
    <xf numFmtId="1" fontId="50" fillId="0" borderId="0" xfId="4" applyNumberFormat="1" applyFont="1" applyFill="1"/>
    <xf numFmtId="5" fontId="50" fillId="0" borderId="0" xfId="4" applyNumberFormat="1" applyFont="1"/>
    <xf numFmtId="5" fontId="8" fillId="0" borderId="0" xfId="4" applyNumberFormat="1" applyFont="1"/>
    <xf numFmtId="166" fontId="8" fillId="0" borderId="0" xfId="4" applyNumberFormat="1" applyFont="1" applyFill="1" applyBorder="1"/>
    <xf numFmtId="7" fontId="8" fillId="0" borderId="0" xfId="4" applyNumberFormat="1" applyFont="1"/>
    <xf numFmtId="0" fontId="9" fillId="0" borderId="0" xfId="4" applyFont="1" applyAlignment="1">
      <alignment horizontal="right"/>
    </xf>
    <xf numFmtId="0" fontId="21" fillId="0" borderId="0" xfId="4" applyFont="1" applyFill="1" applyBorder="1" applyAlignment="1">
      <alignment horizontal="left" indent="1"/>
    </xf>
    <xf numFmtId="175" fontId="8" fillId="0" borderId="0" xfId="4" applyNumberFormat="1" applyFont="1"/>
    <xf numFmtId="2" fontId="8" fillId="15" borderId="16" xfId="0" applyNumberFormat="1" applyFont="1" applyFill="1" applyBorder="1" applyAlignment="1">
      <alignment horizontal="center"/>
    </xf>
    <xf numFmtId="166" fontId="0" fillId="17" borderId="0" xfId="0" applyNumberFormat="1" applyFill="1" applyAlignment="1">
      <alignment horizontal="center"/>
    </xf>
    <xf numFmtId="0" fontId="8" fillId="18" borderId="0" xfId="4" applyFont="1" applyFill="1"/>
    <xf numFmtId="2" fontId="5" fillId="18" borderId="0" xfId="4" applyNumberFormat="1" applyFont="1" applyFill="1"/>
    <xf numFmtId="10" fontId="50" fillId="0" borderId="0" xfId="7" applyNumberFormat="1" applyFont="1"/>
    <xf numFmtId="187" fontId="50" fillId="0" borderId="0" xfId="4" applyNumberFormat="1" applyFont="1"/>
    <xf numFmtId="195" fontId="50" fillId="0" borderId="0" xfId="1" applyNumberFormat="1" applyFont="1" applyFill="1"/>
    <xf numFmtId="168" fontId="5" fillId="2" borderId="0" xfId="1" applyNumberFormat="1" applyFont="1" applyFill="1" applyAlignment="1"/>
    <xf numFmtId="165" fontId="1" fillId="6" borderId="25" xfId="7" applyNumberFormat="1" applyFont="1" applyFill="1" applyBorder="1" applyAlignment="1">
      <alignment horizontal="center"/>
    </xf>
    <xf numFmtId="2" fontId="10" fillId="0" borderId="0" xfId="2" applyNumberFormat="1" applyFont="1" applyFill="1" applyBorder="1" applyAlignment="1">
      <alignment horizontal="left" vertical="center"/>
    </xf>
    <xf numFmtId="44" fontId="28" fillId="0" borderId="0" xfId="2" applyFont="1"/>
    <xf numFmtId="44" fontId="1" fillId="0" borderId="0" xfId="2" applyFont="1" applyAlignment="1">
      <alignment horizontal="right"/>
    </xf>
    <xf numFmtId="195" fontId="1" fillId="0" borderId="32" xfId="1" applyNumberFormat="1" applyFont="1" applyBorder="1"/>
    <xf numFmtId="9" fontId="1" fillId="0" borderId="24" xfId="7" applyFont="1" applyBorder="1" applyAlignment="1">
      <alignment horizontal="right" indent="1"/>
    </xf>
    <xf numFmtId="195" fontId="1" fillId="0" borderId="42" xfId="1" applyNumberFormat="1" applyFont="1" applyBorder="1"/>
    <xf numFmtId="44" fontId="1" fillId="0" borderId="25" xfId="2" applyFont="1" applyBorder="1"/>
    <xf numFmtId="44" fontId="1" fillId="0" borderId="32" xfId="2" applyFont="1" applyBorder="1" applyAlignment="1">
      <alignment horizontal="right"/>
    </xf>
    <xf numFmtId="195" fontId="1" fillId="0" borderId="0" xfId="1" applyNumberFormat="1" applyFont="1" applyBorder="1"/>
    <xf numFmtId="44" fontId="1" fillId="0" borderId="42" xfId="2" applyFont="1" applyBorder="1" applyAlignment="1">
      <alignment horizontal="right"/>
    </xf>
    <xf numFmtId="195" fontId="1" fillId="0" borderId="21" xfId="1" applyNumberFormat="1" applyFont="1" applyBorder="1"/>
    <xf numFmtId="9" fontId="1" fillId="0" borderId="25" xfId="7" applyFont="1" applyBorder="1" applyAlignment="1">
      <alignment horizontal="right" indent="1"/>
    </xf>
    <xf numFmtId="44" fontId="8" fillId="0" borderId="0" xfId="2" applyFont="1" applyAlignment="1">
      <alignment horizontal="left" indent="1"/>
    </xf>
    <xf numFmtId="43" fontId="1" fillId="0" borderId="0" xfId="1" applyNumberFormat="1" applyFont="1" applyBorder="1"/>
    <xf numFmtId="9" fontId="1" fillId="0" borderId="24" xfId="7" applyNumberFormat="1" applyFont="1" applyBorder="1" applyAlignment="1">
      <alignment horizontal="right" indent="1"/>
    </xf>
    <xf numFmtId="44" fontId="1" fillId="0" borderId="0" xfId="2" applyFont="1" applyBorder="1" applyAlignment="1">
      <alignment horizontal="right"/>
    </xf>
    <xf numFmtId="44" fontId="8" fillId="0" borderId="0" xfId="2" applyFont="1" applyBorder="1" applyAlignment="1">
      <alignment horizontal="right"/>
    </xf>
    <xf numFmtId="165" fontId="8" fillId="0" borderId="0" xfId="2" applyNumberFormat="1" applyFont="1"/>
    <xf numFmtId="0" fontId="0" fillId="0" borderId="0" xfId="0" applyBorder="1" applyAlignment="1">
      <alignment horizontal="left" wrapText="1" indent="1"/>
    </xf>
    <xf numFmtId="44" fontId="2" fillId="0" borderId="0" xfId="2" applyFont="1" applyAlignment="1">
      <alignment horizontal="left" indent="1"/>
    </xf>
    <xf numFmtId="0" fontId="0" fillId="0" borderId="37" xfId="0" applyBorder="1" applyAlignment="1">
      <alignment horizontal="left" indent="2"/>
    </xf>
    <xf numFmtId="44" fontId="1" fillId="0" borderId="30" xfId="2" applyFont="1" applyBorder="1"/>
    <xf numFmtId="44" fontId="1" fillId="0" borderId="30" xfId="2" applyFont="1" applyBorder="1" applyAlignment="1">
      <alignment horizontal="right"/>
    </xf>
    <xf numFmtId="9" fontId="1" fillId="0" borderId="30" xfId="2" applyNumberFormat="1" applyFont="1" applyBorder="1" applyAlignment="1">
      <alignment horizontal="left"/>
    </xf>
    <xf numFmtId="9" fontId="1" fillId="0" borderId="31" xfId="2" applyNumberFormat="1" applyFont="1" applyBorder="1" applyAlignment="1">
      <alignment horizontal="left"/>
    </xf>
    <xf numFmtId="44" fontId="6" fillId="0" borderId="0" xfId="2" applyFont="1" applyAlignment="1">
      <alignment horizontal="left" indent="3"/>
    </xf>
    <xf numFmtId="43" fontId="1" fillId="2" borderId="35" xfId="1" applyNumberFormat="1" applyFont="1" applyFill="1" applyBorder="1"/>
    <xf numFmtId="44" fontId="6" fillId="0" borderId="36" xfId="2" applyFont="1" applyBorder="1" applyAlignment="1">
      <alignment horizontal="right"/>
    </xf>
    <xf numFmtId="0" fontId="9" fillId="0" borderId="30" xfId="0" applyFont="1" applyBorder="1" applyAlignment="1">
      <alignment horizontal="right"/>
    </xf>
    <xf numFmtId="0" fontId="9" fillId="0" borderId="31" xfId="0" applyFont="1" applyBorder="1"/>
    <xf numFmtId="7" fontId="8" fillId="0" borderId="29" xfId="2" applyNumberFormat="1" applyFont="1" applyBorder="1" applyAlignment="1">
      <alignment horizontal="center"/>
    </xf>
    <xf numFmtId="44" fontId="6" fillId="0" borderId="30" xfId="2" applyFont="1" applyBorder="1"/>
    <xf numFmtId="44" fontId="1" fillId="0" borderId="17" xfId="2" applyFont="1" applyBorder="1"/>
    <xf numFmtId="7" fontId="1" fillId="0" borderId="25" xfId="2" applyNumberFormat="1" applyFont="1" applyBorder="1" applyAlignment="1">
      <alignment horizontal="left"/>
    </xf>
    <xf numFmtId="7" fontId="1" fillId="0" borderId="0" xfId="2" applyNumberFormat="1" applyFont="1" applyBorder="1" applyAlignment="1">
      <alignment horizontal="left"/>
    </xf>
    <xf numFmtId="195" fontId="6" fillId="0" borderId="0" xfId="1" applyNumberFormat="1" applyFont="1" applyBorder="1"/>
    <xf numFmtId="195" fontId="6" fillId="0" borderId="21" xfId="1" applyNumberFormat="1" applyFont="1" applyBorder="1"/>
    <xf numFmtId="7" fontId="40" fillId="8" borderId="29" xfId="2" applyNumberFormat="1" applyFont="1" applyFill="1" applyBorder="1"/>
    <xf numFmtId="173" fontId="50" fillId="0" borderId="0" xfId="2" applyNumberFormat="1" applyFont="1"/>
    <xf numFmtId="0" fontId="12" fillId="0" borderId="0" xfId="3" applyFont="1" applyAlignment="1" applyProtection="1"/>
    <xf numFmtId="175" fontId="8" fillId="0" borderId="0" xfId="0" applyNumberFormat="1" applyFont="1" applyBorder="1" applyAlignment="1">
      <alignment horizontal="center"/>
    </xf>
    <xf numFmtId="0" fontId="8" fillId="0" borderId="33" xfId="0" applyFont="1" applyBorder="1" applyAlignment="1">
      <alignment horizontal="left" indent="1"/>
    </xf>
    <xf numFmtId="0" fontId="1" fillId="0" borderId="18" xfId="0" applyFont="1" applyFill="1" applyBorder="1" applyAlignment="1">
      <alignment horizontal="left"/>
    </xf>
    <xf numFmtId="175" fontId="8" fillId="0" borderId="18" xfId="0" applyNumberFormat="1" applyFont="1" applyBorder="1" applyAlignment="1">
      <alignment horizontal="center"/>
    </xf>
    <xf numFmtId="175" fontId="8" fillId="0" borderId="17" xfId="0" applyNumberFormat="1" applyFont="1" applyBorder="1" applyAlignment="1">
      <alignment horizontal="center"/>
    </xf>
    <xf numFmtId="42" fontId="8" fillId="0" borderId="0" xfId="0" applyNumberFormat="1" applyFont="1" applyBorder="1"/>
    <xf numFmtId="5" fontId="0" fillId="0" borderId="0" xfId="0" applyNumberFormat="1" applyBorder="1"/>
    <xf numFmtId="5" fontId="0" fillId="0" borderId="24" xfId="0" applyNumberFormat="1" applyBorder="1"/>
    <xf numFmtId="5" fontId="0" fillId="0" borderId="21" xfId="0" applyNumberFormat="1" applyBorder="1"/>
    <xf numFmtId="164" fontId="28" fillId="0" borderId="0" xfId="0" applyNumberFormat="1" applyFont="1" applyBorder="1" applyAlignment="1">
      <alignment horizontal="left"/>
    </xf>
    <xf numFmtId="165" fontId="0" fillId="0" borderId="0" xfId="7" applyNumberFormat="1" applyFont="1" applyAlignment="1">
      <alignment horizontal="right"/>
    </xf>
    <xf numFmtId="0" fontId="72" fillId="5" borderId="0" xfId="0" applyFont="1" applyFill="1" applyAlignment="1">
      <alignment horizontal="center" vertical="center"/>
    </xf>
    <xf numFmtId="0" fontId="5" fillId="5" borderId="0" xfId="0" applyFont="1" applyFill="1" applyAlignment="1">
      <alignment horizontal="left" indent="1"/>
    </xf>
    <xf numFmtId="1" fontId="8" fillId="0" borderId="29" xfId="0" applyNumberFormat="1" applyFont="1" applyBorder="1" applyAlignment="1">
      <alignment horizontal="center"/>
    </xf>
    <xf numFmtId="37" fontId="8" fillId="5" borderId="29" xfId="1" applyNumberFormat="1" applyFont="1" applyFill="1" applyBorder="1" applyAlignment="1">
      <alignment horizontal="center"/>
    </xf>
    <xf numFmtId="0" fontId="103" fillId="0" borderId="0" xfId="0" applyFont="1" applyAlignment="1">
      <alignment horizontal="left" indent="2"/>
    </xf>
    <xf numFmtId="166" fontId="0" fillId="0" borderId="0" xfId="0" applyNumberFormat="1" applyAlignment="1">
      <alignment horizontal="center" wrapText="1"/>
    </xf>
    <xf numFmtId="166" fontId="8" fillId="0" borderId="0" xfId="0" applyNumberFormat="1" applyFont="1" applyAlignment="1">
      <alignment horizontal="center" wrapText="1"/>
    </xf>
    <xf numFmtId="0" fontId="0" fillId="8" borderId="0" xfId="0" applyFill="1" applyAlignment="1">
      <alignment horizontal="left" wrapText="1" indent="4"/>
    </xf>
    <xf numFmtId="0" fontId="8" fillId="7" borderId="0" xfId="0" quotePrefix="1" applyFont="1" applyFill="1" applyAlignment="1">
      <alignment horizontal="center" wrapText="1"/>
    </xf>
    <xf numFmtId="173" fontId="0" fillId="2" borderId="17" xfId="2" applyNumberFormat="1" applyFont="1" applyFill="1" applyBorder="1"/>
    <xf numFmtId="173" fontId="0" fillId="2" borderId="24" xfId="2" applyNumberFormat="1" applyFont="1" applyFill="1" applyBorder="1"/>
    <xf numFmtId="173" fontId="0" fillId="2" borderId="25" xfId="2" applyNumberFormat="1" applyFont="1" applyFill="1" applyBorder="1"/>
    <xf numFmtId="0" fontId="9" fillId="8" borderId="17" xfId="0" applyFont="1" applyFill="1" applyBorder="1" applyAlignment="1">
      <alignment horizontal="center" vertical="center"/>
    </xf>
    <xf numFmtId="0" fontId="9" fillId="8" borderId="24" xfId="0" applyFont="1" applyFill="1" applyBorder="1" applyAlignment="1">
      <alignment horizontal="center" vertical="center"/>
    </xf>
    <xf numFmtId="0" fontId="9" fillId="8" borderId="25" xfId="0" applyFont="1" applyFill="1" applyBorder="1" applyAlignment="1">
      <alignment horizontal="center" vertical="center"/>
    </xf>
    <xf numFmtId="0" fontId="9" fillId="8" borderId="34" xfId="0" applyFont="1" applyFill="1" applyBorder="1" applyAlignment="1">
      <alignment horizontal="center" vertical="center"/>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8" fillId="17" borderId="0" xfId="0" applyFont="1" applyFill="1" applyAlignment="1">
      <alignment horizontal="left" indent="1"/>
    </xf>
    <xf numFmtId="187" fontId="0" fillId="5" borderId="0" xfId="0" applyNumberFormat="1" applyFill="1"/>
    <xf numFmtId="0" fontId="24" fillId="5" borderId="0" xfId="0" applyFont="1" applyFill="1"/>
    <xf numFmtId="0" fontId="5" fillId="0" borderId="0" xfId="0" applyFont="1" applyFill="1" applyBorder="1" applyAlignment="1">
      <alignment horizontal="left" vertical="center" wrapText="1" indent="1"/>
    </xf>
    <xf numFmtId="0" fontId="0" fillId="0" borderId="0" xfId="0" applyFill="1" applyAlignment="1">
      <alignment horizontal="center"/>
    </xf>
    <xf numFmtId="0" fontId="0" fillId="0" borderId="0" xfId="0" applyFill="1" applyBorder="1" applyAlignment="1">
      <alignment horizontal="left" vertical="center" indent="1"/>
    </xf>
    <xf numFmtId="0" fontId="106" fillId="0" borderId="0" xfId="0" applyFont="1" applyAlignment="1">
      <alignment horizontal="left" indent="2"/>
    </xf>
    <xf numFmtId="0" fontId="26" fillId="0" borderId="0" xfId="0" applyFont="1" applyAlignment="1"/>
    <xf numFmtId="43" fontId="0" fillId="0" borderId="0" xfId="1" applyNumberFormat="1" applyFont="1"/>
    <xf numFmtId="0" fontId="6" fillId="0" borderId="0" xfId="0" applyFont="1" applyFill="1" applyBorder="1" applyAlignment="1">
      <alignment horizontal="center" wrapText="1"/>
    </xf>
    <xf numFmtId="37" fontId="0" fillId="0" borderId="0" xfId="1" applyNumberFormat="1" applyFont="1"/>
    <xf numFmtId="9" fontId="0" fillId="0" borderId="0" xfId="0" applyNumberFormat="1" applyFill="1"/>
    <xf numFmtId="0" fontId="10" fillId="0" borderId="0" xfId="0" applyFont="1" applyFill="1" applyAlignment="1">
      <alignment horizontal="left" indent="2"/>
    </xf>
    <xf numFmtId="0" fontId="99" fillId="0" borderId="0" xfId="0" applyFont="1" applyFill="1" applyAlignment="1">
      <alignment horizontal="left" indent="1"/>
    </xf>
    <xf numFmtId="3" fontId="8" fillId="0" borderId="0" xfId="7" applyNumberFormat="1" applyFont="1" applyFill="1"/>
    <xf numFmtId="7" fontId="8" fillId="0" borderId="0" xfId="0" applyNumberFormat="1" applyFont="1" applyFill="1"/>
    <xf numFmtId="2" fontId="5" fillId="0" borderId="0" xfId="2" applyNumberFormat="1" applyFont="1" applyFill="1"/>
    <xf numFmtId="4" fontId="0" fillId="0" borderId="0" xfId="0" applyNumberFormat="1" applyFill="1"/>
    <xf numFmtId="0" fontId="5" fillId="0" borderId="0" xfId="0" applyFont="1" applyFill="1" applyBorder="1" applyAlignment="1">
      <alignment horizontal="left" wrapText="1"/>
    </xf>
    <xf numFmtId="5" fontId="8" fillId="0" borderId="0" xfId="2" applyNumberFormat="1" applyFont="1" applyFill="1" applyBorder="1" applyAlignment="1">
      <alignment horizontal="center"/>
    </xf>
    <xf numFmtId="6" fontId="8" fillId="0" borderId="0" xfId="0" applyNumberFormat="1" applyFont="1"/>
    <xf numFmtId="10" fontId="8" fillId="0" borderId="0" xfId="7" applyNumberFormat="1" applyFont="1"/>
    <xf numFmtId="0" fontId="8" fillId="0" borderId="45" xfId="0" applyFont="1" applyBorder="1"/>
    <xf numFmtId="0" fontId="5" fillId="0" borderId="1" xfId="0" applyFont="1" applyBorder="1"/>
    <xf numFmtId="165" fontId="0" fillId="0" borderId="66" xfId="0" applyNumberFormat="1" applyBorder="1"/>
    <xf numFmtId="8" fontId="0" fillId="5" borderId="0" xfId="0" applyNumberFormat="1" applyFill="1" applyAlignment="1">
      <alignment horizontal="center"/>
    </xf>
    <xf numFmtId="165" fontId="8" fillId="0" borderId="37" xfId="7" applyNumberFormat="1" applyFont="1" applyBorder="1"/>
    <xf numFmtId="165" fontId="8" fillId="0" borderId="31" xfId="7" applyNumberFormat="1" applyFont="1" applyBorder="1"/>
    <xf numFmtId="0" fontId="0" fillId="0" borderId="0" xfId="0" applyFill="1" applyBorder="1" applyAlignment="1">
      <alignment horizontal="center" vertical="center" wrapText="1"/>
    </xf>
    <xf numFmtId="1" fontId="4" fillId="0" borderId="0" xfId="0" applyNumberFormat="1" applyFont="1" applyAlignment="1">
      <alignment horizontal="left" indent="1"/>
    </xf>
    <xf numFmtId="1" fontId="4" fillId="6" borderId="0" xfId="0" applyNumberFormat="1" applyFont="1" applyFill="1" applyAlignment="1">
      <alignment horizontal="left" indent="1"/>
    </xf>
    <xf numFmtId="0" fontId="10" fillId="0" borderId="29" xfId="0" applyFont="1" applyFill="1" applyBorder="1"/>
    <xf numFmtId="195" fontId="10" fillId="0" borderId="29" xfId="1" applyNumberFormat="1" applyFont="1" applyFill="1" applyBorder="1"/>
    <xf numFmtId="0" fontId="10" fillId="0" borderId="29" xfId="0" applyFont="1" applyFill="1" applyBorder="1" applyAlignment="1">
      <alignment horizontal="right"/>
    </xf>
    <xf numFmtId="166" fontId="10" fillId="0" borderId="29" xfId="0" applyNumberFormat="1" applyFont="1" applyFill="1" applyBorder="1" applyAlignment="1">
      <alignment horizontal="right"/>
    </xf>
    <xf numFmtId="182" fontId="10" fillId="0" borderId="29" xfId="0" applyNumberFormat="1" applyFont="1" applyFill="1" applyBorder="1"/>
    <xf numFmtId="37" fontId="10" fillId="0" borderId="29" xfId="0" applyNumberFormat="1" applyFont="1" applyFill="1" applyBorder="1"/>
    <xf numFmtId="2" fontId="10" fillId="3" borderId="29" xfId="0" applyNumberFormat="1" applyFont="1" applyFill="1" applyBorder="1"/>
    <xf numFmtId="9" fontId="5" fillId="0" borderId="0" xfId="0" applyNumberFormat="1" applyFont="1" applyBorder="1" applyAlignment="1">
      <alignment horizontal="center"/>
    </xf>
    <xf numFmtId="167" fontId="5" fillId="0" borderId="0" xfId="0" applyNumberFormat="1" applyFont="1" applyBorder="1" applyAlignment="1">
      <alignment horizontal="center"/>
    </xf>
    <xf numFmtId="173" fontId="0" fillId="0" borderId="29" xfId="2" applyNumberFormat="1" applyFont="1" applyBorder="1" applyAlignment="1">
      <alignment horizontal="center" vertical="center" wrapText="1"/>
    </xf>
    <xf numFmtId="173" fontId="6" fillId="0" borderId="0" xfId="0" applyNumberFormat="1" applyFont="1" applyBorder="1" applyAlignment="1">
      <alignment horizontal="center" vertical="center" wrapText="1"/>
    </xf>
    <xf numFmtId="173" fontId="1" fillId="0" borderId="29" xfId="0" applyNumberFormat="1" applyFont="1" applyBorder="1" applyAlignment="1">
      <alignment horizontal="center" vertical="center" wrapText="1"/>
    </xf>
    <xf numFmtId="173" fontId="8" fillId="0" borderId="29" xfId="0" applyNumberFormat="1" applyFont="1" applyBorder="1" applyAlignment="1">
      <alignment horizontal="center" vertical="center" wrapText="1"/>
    </xf>
    <xf numFmtId="0" fontId="9" fillId="7" borderId="0" xfId="0" applyFont="1" applyFill="1" applyBorder="1" applyAlignment="1">
      <alignment wrapText="1"/>
    </xf>
    <xf numFmtId="0" fontId="10" fillId="7" borderId="0" xfId="0" applyFont="1" applyFill="1" applyBorder="1" applyAlignment="1">
      <alignment horizontal="left" indent="1"/>
    </xf>
    <xf numFmtId="0" fontId="0" fillId="7" borderId="18" xfId="0" applyFill="1" applyBorder="1"/>
    <xf numFmtId="0" fontId="9" fillId="7" borderId="18" xfId="0" applyFont="1" applyFill="1" applyBorder="1" applyAlignment="1">
      <alignment wrapText="1"/>
    </xf>
    <xf numFmtId="0" fontId="0" fillId="7" borderId="17" xfId="0" applyFill="1" applyBorder="1"/>
    <xf numFmtId="0" fontId="0" fillId="7" borderId="0" xfId="0" applyFill="1" applyBorder="1"/>
    <xf numFmtId="0" fontId="0" fillId="7" borderId="24" xfId="0" applyFill="1" applyBorder="1"/>
    <xf numFmtId="0" fontId="10" fillId="7" borderId="21" xfId="0" applyFont="1" applyFill="1" applyBorder="1" applyAlignment="1"/>
    <xf numFmtId="0" fontId="10" fillId="7" borderId="21" xfId="0" applyFont="1" applyFill="1" applyBorder="1" applyAlignment="1">
      <alignment wrapText="1"/>
    </xf>
    <xf numFmtId="0" fontId="5" fillId="7" borderId="21" xfId="0" applyFont="1" applyFill="1" applyBorder="1"/>
    <xf numFmtId="0" fontId="0" fillId="7" borderId="21" xfId="0" applyFill="1" applyBorder="1"/>
    <xf numFmtId="0" fontId="0" fillId="7" borderId="25" xfId="0" applyFill="1" applyBorder="1"/>
    <xf numFmtId="203" fontId="0" fillId="8" borderId="0" xfId="2" applyNumberFormat="1" applyFont="1" applyFill="1" applyAlignment="1">
      <alignment horizontal="center"/>
    </xf>
    <xf numFmtId="203" fontId="8" fillId="8" borderId="15" xfId="2" applyNumberFormat="1" applyFont="1" applyFill="1" applyBorder="1" applyAlignment="1">
      <alignment horizontal="center"/>
    </xf>
    <xf numFmtId="0" fontId="0" fillId="0" borderId="0" xfId="0" applyFill="1" applyAlignment="1">
      <alignment horizontal="left"/>
    </xf>
    <xf numFmtId="0" fontId="9" fillId="19" borderId="32" xfId="0" applyFont="1" applyFill="1" applyBorder="1"/>
    <xf numFmtId="0" fontId="0" fillId="19" borderId="0" xfId="0" applyFill="1" applyBorder="1"/>
    <xf numFmtId="0" fontId="9" fillId="19" borderId="0" xfId="0" applyFont="1" applyFill="1" applyBorder="1" applyAlignment="1">
      <alignment horizontal="left"/>
    </xf>
    <xf numFmtId="2" fontId="9" fillId="19" borderId="24" xfId="0" applyNumberFormat="1" applyFont="1" applyFill="1" applyBorder="1" applyAlignment="1">
      <alignment horizontal="center"/>
    </xf>
    <xf numFmtId="0" fontId="9" fillId="19" borderId="42" xfId="0" applyFont="1" applyFill="1" applyBorder="1"/>
    <xf numFmtId="0" fontId="0" fillId="19" borderId="21" xfId="0" applyFill="1" applyBorder="1"/>
    <xf numFmtId="2" fontId="9" fillId="19" borderId="25" xfId="0" applyNumberFormat="1" applyFont="1" applyFill="1" applyBorder="1" applyAlignment="1">
      <alignment horizontal="center"/>
    </xf>
    <xf numFmtId="0" fontId="23" fillId="0" borderId="0" xfId="0" applyFont="1"/>
    <xf numFmtId="2" fontId="8" fillId="0" borderId="32" xfId="0" applyNumberFormat="1" applyFont="1" applyBorder="1"/>
    <xf numFmtId="2" fontId="5" fillId="0" borderId="32" xfId="0" applyNumberFormat="1" applyFont="1" applyBorder="1"/>
    <xf numFmtId="2" fontId="0" fillId="0" borderId="24" xfId="0" applyNumberFormat="1" applyBorder="1"/>
    <xf numFmtId="2" fontId="0" fillId="0" borderId="32" xfId="0" applyNumberFormat="1" applyBorder="1"/>
    <xf numFmtId="2" fontId="8" fillId="0" borderId="0" xfId="0" applyNumberFormat="1" applyFont="1" applyBorder="1"/>
    <xf numFmtId="2" fontId="8" fillId="0" borderId="0" xfId="0" applyNumberFormat="1" applyFont="1" applyFill="1" applyBorder="1"/>
    <xf numFmtId="2" fontId="5" fillId="0" borderId="24" xfId="0" applyNumberFormat="1" applyFont="1" applyBorder="1"/>
    <xf numFmtId="2" fontId="8" fillId="7" borderId="0" xfId="0" applyNumberFormat="1" applyFont="1" applyFill="1" applyAlignment="1">
      <alignment horizontal="center"/>
    </xf>
    <xf numFmtId="2" fontId="8" fillId="16" borderId="16" xfId="0" applyNumberFormat="1" applyFont="1" applyFill="1" applyBorder="1" applyAlignment="1">
      <alignment horizontal="center"/>
    </xf>
    <xf numFmtId="0" fontId="9" fillId="0" borderId="0" xfId="0" applyFont="1" applyBorder="1" applyAlignment="1">
      <alignment horizontal="left"/>
    </xf>
    <xf numFmtId="166" fontId="8" fillId="15" borderId="16" xfId="0" applyNumberFormat="1" applyFont="1" applyFill="1" applyBorder="1" applyAlignment="1">
      <alignment horizontal="center"/>
    </xf>
    <xf numFmtId="0" fontId="1" fillId="0" borderId="0" xfId="0" applyFont="1" applyAlignment="1">
      <alignment vertical="center"/>
    </xf>
    <xf numFmtId="2" fontId="0" fillId="0" borderId="0" xfId="0" applyNumberFormat="1" applyAlignment="1">
      <alignment vertical="center"/>
    </xf>
    <xf numFmtId="168" fontId="0" fillId="0" borderId="0" xfId="0" applyNumberFormat="1" applyAlignment="1">
      <alignment vertical="center"/>
    </xf>
    <xf numFmtId="195" fontId="0" fillId="2" borderId="0" xfId="0" applyNumberFormat="1" applyFill="1"/>
    <xf numFmtId="195" fontId="5" fillId="2" borderId="0" xfId="0" applyNumberFormat="1" applyFont="1" applyFill="1"/>
    <xf numFmtId="0" fontId="8" fillId="0" borderId="0" xfId="0" applyFont="1" applyFill="1" applyBorder="1" applyAlignment="1">
      <alignment horizontal="center" vertical="center" wrapText="1"/>
    </xf>
    <xf numFmtId="195" fontId="5" fillId="0" borderId="0" xfId="0" applyNumberFormat="1" applyFont="1" applyFill="1"/>
    <xf numFmtId="0" fontId="0" fillId="17" borderId="30" xfId="0" applyFill="1" applyBorder="1"/>
    <xf numFmtId="195" fontId="8" fillId="17" borderId="36" xfId="1" applyNumberFormat="1" applyFont="1" applyFill="1" applyBorder="1"/>
    <xf numFmtId="0" fontId="5" fillId="0" borderId="0" xfId="0" applyFont="1" applyAlignment="1">
      <alignment horizontal="left" vertical="center"/>
    </xf>
    <xf numFmtId="0" fontId="9" fillId="17" borderId="29" xfId="0" applyFont="1" applyFill="1" applyBorder="1" applyAlignment="1">
      <alignment horizontal="center"/>
    </xf>
    <xf numFmtId="0" fontId="9" fillId="3" borderId="36" xfId="0" applyFont="1" applyFill="1" applyBorder="1" applyAlignment="1">
      <alignment horizontal="center"/>
    </xf>
    <xf numFmtId="0" fontId="0" fillId="2" borderId="0" xfId="0" applyFill="1" applyAlignment="1">
      <alignment horizontal="left" indent="2"/>
    </xf>
    <xf numFmtId="0" fontId="6" fillId="3" borderId="33" xfId="0" applyFont="1" applyFill="1" applyBorder="1"/>
    <xf numFmtId="0" fontId="6" fillId="3" borderId="18" xfId="0" applyFont="1" applyFill="1" applyBorder="1"/>
    <xf numFmtId="0" fontId="6" fillId="3" borderId="17" xfId="0" applyFont="1" applyFill="1" applyBorder="1"/>
    <xf numFmtId="0" fontId="6" fillId="3" borderId="32" xfId="0" applyFont="1" applyFill="1" applyBorder="1"/>
    <xf numFmtId="0" fontId="6" fillId="3" borderId="0" xfId="0" applyFont="1" applyFill="1" applyBorder="1"/>
    <xf numFmtId="0" fontId="6" fillId="3" borderId="24" xfId="0" applyFont="1" applyFill="1" applyBorder="1"/>
    <xf numFmtId="0" fontId="6" fillId="3" borderId="42" xfId="0" applyFont="1" applyFill="1" applyBorder="1"/>
    <xf numFmtId="2" fontId="6" fillId="3" borderId="21" xfId="0" applyNumberFormat="1" applyFont="1" applyFill="1" applyBorder="1"/>
    <xf numFmtId="2" fontId="6" fillId="3" borderId="25" xfId="0" applyNumberFormat="1" applyFont="1" applyFill="1" applyBorder="1"/>
    <xf numFmtId="0" fontId="2" fillId="2" borderId="57" xfId="0" applyFont="1" applyFill="1" applyBorder="1" applyAlignment="1">
      <alignment horizontal="center" wrapText="1"/>
    </xf>
    <xf numFmtId="165" fontId="40" fillId="2" borderId="29" xfId="7" applyNumberFormat="1" applyFont="1" applyFill="1" applyBorder="1" applyAlignment="1">
      <alignment horizontal="center" vertical="center" wrapText="1"/>
    </xf>
    <xf numFmtId="204" fontId="1" fillId="0" borderId="0" xfId="0" applyNumberFormat="1" applyFont="1"/>
    <xf numFmtId="204" fontId="8" fillId="0" borderId="0" xfId="0" applyNumberFormat="1" applyFont="1"/>
    <xf numFmtId="0" fontId="11" fillId="0" borderId="0" xfId="0" applyFont="1"/>
    <xf numFmtId="0" fontId="10" fillId="0" borderId="0" xfId="0" applyFont="1" applyAlignment="1">
      <alignment horizontal="left" vertical="center" wrapText="1" indent="2"/>
    </xf>
    <xf numFmtId="8" fontId="0" fillId="0" borderId="0" xfId="0" applyNumberFormat="1" applyFill="1" applyBorder="1"/>
    <xf numFmtId="204" fontId="0" fillId="0" borderId="0" xfId="0" applyNumberFormat="1" applyFill="1" applyBorder="1"/>
    <xf numFmtId="6" fontId="0" fillId="0" borderId="0" xfId="0" applyNumberFormat="1" applyFill="1" applyBorder="1"/>
    <xf numFmtId="37" fontId="0" fillId="0" borderId="0" xfId="0" applyNumberFormat="1" applyFill="1" applyBorder="1" applyAlignment="1">
      <alignment horizontal="right"/>
    </xf>
    <xf numFmtId="178" fontId="0" fillId="0" borderId="0" xfId="0" applyNumberFormat="1" applyFill="1" applyBorder="1" applyAlignment="1">
      <alignment horizontal="right"/>
    </xf>
    <xf numFmtId="0" fontId="0" fillId="0" borderId="37" xfId="0" applyBorder="1" applyAlignment="1">
      <alignment horizontal="right"/>
    </xf>
    <xf numFmtId="2" fontId="0" fillId="0" borderId="31" xfId="0" applyNumberFormat="1" applyBorder="1" applyAlignment="1">
      <alignment horizontal="left"/>
    </xf>
    <xf numFmtId="0" fontId="9" fillId="0" borderId="0" xfId="0" applyFont="1" applyFill="1" applyBorder="1" applyAlignment="1">
      <alignment horizontal="right"/>
    </xf>
    <xf numFmtId="7" fontId="8" fillId="0" borderId="15" xfId="0" applyNumberFormat="1" applyFont="1" applyBorder="1" applyAlignment="1">
      <alignment horizontal="center"/>
    </xf>
    <xf numFmtId="7" fontId="8" fillId="0" borderId="0" xfId="0" applyNumberFormat="1" applyFont="1" applyBorder="1" applyAlignment="1">
      <alignment horizontal="center"/>
    </xf>
    <xf numFmtId="0" fontId="4" fillId="0" borderId="0" xfId="0" applyFont="1" applyFill="1" applyBorder="1" applyAlignment="1">
      <alignment horizontal="left" indent="1"/>
    </xf>
    <xf numFmtId="1" fontId="41" fillId="21" borderId="32" xfId="0" applyNumberFormat="1" applyFont="1" applyFill="1" applyBorder="1" applyAlignment="1">
      <alignment horizontal="center"/>
    </xf>
    <xf numFmtId="0" fontId="0" fillId="21" borderId="32" xfId="0" applyFill="1" applyBorder="1"/>
    <xf numFmtId="0" fontId="75" fillId="21" borderId="21" xfId="0" applyFont="1" applyFill="1" applyBorder="1" applyAlignment="1">
      <alignment horizontal="center" wrapText="1"/>
    </xf>
    <xf numFmtId="0" fontId="0" fillId="21" borderId="0" xfId="0" applyFill="1" applyBorder="1"/>
    <xf numFmtId="0" fontId="0" fillId="21" borderId="24" xfId="0" applyFill="1" applyBorder="1"/>
    <xf numFmtId="0" fontId="75" fillId="21" borderId="42" xfId="0" applyFont="1" applyFill="1" applyBorder="1" applyAlignment="1">
      <alignment horizontal="center" wrapText="1"/>
    </xf>
    <xf numFmtId="0" fontId="0" fillId="21" borderId="21" xfId="0" applyFill="1" applyBorder="1"/>
    <xf numFmtId="0" fontId="28" fillId="0" borderId="0" xfId="0" applyFont="1" applyBorder="1"/>
    <xf numFmtId="14" fontId="8" fillId="0" borderId="0" xfId="0" applyNumberFormat="1" applyFont="1" applyBorder="1"/>
    <xf numFmtId="7" fontId="0" fillId="0" borderId="0" xfId="2" applyNumberFormat="1" applyFont="1" applyBorder="1"/>
    <xf numFmtId="0" fontId="4" fillId="0" borderId="0" xfId="0" applyFont="1" applyAlignment="1">
      <alignment horizontal="left" indent="2"/>
    </xf>
    <xf numFmtId="0" fontId="4" fillId="0" borderId="0" xfId="0" applyFont="1" applyAlignment="1">
      <alignment horizontal="right"/>
    </xf>
    <xf numFmtId="0" fontId="5" fillId="0" borderId="0" xfId="0" applyFont="1" applyAlignment="1">
      <alignment horizontal="left" vertical="center" indent="2"/>
    </xf>
    <xf numFmtId="0" fontId="3" fillId="0" borderId="0" xfId="0" applyFont="1" applyAlignment="1">
      <alignment horizontal="left" vertical="center" indent="2"/>
    </xf>
    <xf numFmtId="172" fontId="0" fillId="0" borderId="0" xfId="0" applyNumberFormat="1"/>
    <xf numFmtId="187" fontId="0" fillId="0" borderId="36" xfId="0" applyNumberFormat="1" applyBorder="1" applyAlignment="1">
      <alignment horizontal="center"/>
    </xf>
    <xf numFmtId="187" fontId="0" fillId="0" borderId="0" xfId="0" applyNumberFormat="1" applyBorder="1" applyAlignment="1">
      <alignment horizontal="center"/>
    </xf>
    <xf numFmtId="0" fontId="80" fillId="0" borderId="0" xfId="0" applyFont="1" applyAlignment="1">
      <alignment horizontal="left" vertical="center" indent="2"/>
    </xf>
    <xf numFmtId="0" fontId="4" fillId="0" borderId="0" xfId="0" applyFont="1" applyAlignment="1">
      <alignment horizontal="left" vertical="center" indent="2"/>
    </xf>
    <xf numFmtId="2" fontId="4" fillId="0" borderId="0" xfId="0" applyNumberFormat="1" applyFont="1"/>
    <xf numFmtId="9" fontId="4" fillId="0" borderId="0" xfId="7" applyFont="1"/>
    <xf numFmtId="0" fontId="124" fillId="0" borderId="0" xfId="0" applyFont="1" applyAlignment="1">
      <alignment horizontal="right" vertical="center" indent="2"/>
    </xf>
    <xf numFmtId="0" fontId="124" fillId="0" borderId="0" xfId="0" applyFont="1" applyAlignment="1">
      <alignment horizontal="left" vertical="center" indent="2"/>
    </xf>
    <xf numFmtId="9" fontId="124" fillId="0" borderId="0" xfId="0" applyNumberFormat="1" applyFont="1"/>
    <xf numFmtId="0" fontId="11" fillId="0" borderId="0" xfId="0" applyFont="1" applyAlignment="1">
      <alignment horizontal="left" vertical="center" indent="2"/>
    </xf>
    <xf numFmtId="0" fontId="5" fillId="0" borderId="0" xfId="0" applyFont="1" applyBorder="1" applyAlignment="1">
      <alignment horizontal="left" vertical="center" wrapText="1" indent="1"/>
    </xf>
    <xf numFmtId="0" fontId="4" fillId="0" borderId="0" xfId="0" applyFont="1" applyBorder="1"/>
    <xf numFmtId="9" fontId="4" fillId="0" borderId="0" xfId="0" applyNumberFormat="1" applyFont="1" applyBorder="1"/>
    <xf numFmtId="7" fontId="4" fillId="0" borderId="0" xfId="2" applyNumberFormat="1" applyFont="1" applyBorder="1"/>
    <xf numFmtId="175" fontId="0" fillId="0" borderId="0" xfId="2" applyNumberFormat="1" applyFont="1"/>
    <xf numFmtId="176" fontId="4" fillId="0" borderId="0" xfId="2" applyNumberFormat="1" applyFont="1"/>
    <xf numFmtId="182" fontId="0" fillId="0" borderId="0" xfId="0" applyNumberFormat="1"/>
    <xf numFmtId="202" fontId="0" fillId="0" borderId="0" xfId="7" applyNumberFormat="1" applyFont="1"/>
    <xf numFmtId="0" fontId="6" fillId="0" borderId="44" xfId="0" applyFont="1" applyBorder="1" applyAlignment="1">
      <alignment horizontal="left" indent="1"/>
    </xf>
    <xf numFmtId="0" fontId="6" fillId="0" borderId="45" xfId="0" applyFont="1" applyBorder="1" applyAlignment="1">
      <alignment horizontal="left" indent="1"/>
    </xf>
    <xf numFmtId="0" fontId="0" fillId="0" borderId="11" xfId="0" applyBorder="1"/>
    <xf numFmtId="0" fontId="4" fillId="21" borderId="43" xfId="0" applyFont="1" applyFill="1" applyBorder="1"/>
    <xf numFmtId="0" fontId="4" fillId="21" borderId="8" xfId="0" applyFont="1" applyFill="1" applyBorder="1"/>
    <xf numFmtId="7" fontId="4" fillId="21" borderId="8" xfId="2" applyNumberFormat="1" applyFont="1" applyFill="1" applyBorder="1" applyAlignment="1">
      <alignment horizontal="center"/>
    </xf>
    <xf numFmtId="7" fontId="4" fillId="21" borderId="9" xfId="2" applyNumberFormat="1" applyFont="1" applyFill="1" applyBorder="1" applyAlignment="1">
      <alignment horizontal="center"/>
    </xf>
    <xf numFmtId="0" fontId="4" fillId="21" borderId="44" xfId="0" applyFont="1" applyFill="1" applyBorder="1"/>
    <xf numFmtId="0" fontId="4" fillId="21" borderId="0" xfId="0" applyFont="1" applyFill="1" applyBorder="1"/>
    <xf numFmtId="176" fontId="4" fillId="21" borderId="0" xfId="2" applyNumberFormat="1" applyFont="1" applyFill="1" applyBorder="1" applyAlignment="1">
      <alignment horizontal="center"/>
    </xf>
    <xf numFmtId="7" fontId="4" fillId="21" borderId="0" xfId="2" applyNumberFormat="1" applyFont="1" applyFill="1" applyBorder="1" applyAlignment="1">
      <alignment horizontal="center"/>
    </xf>
    <xf numFmtId="7" fontId="4" fillId="21" borderId="10" xfId="2" applyNumberFormat="1" applyFont="1" applyFill="1" applyBorder="1" applyAlignment="1">
      <alignment horizontal="center"/>
    </xf>
    <xf numFmtId="0" fontId="5" fillId="0" borderId="0" xfId="0" applyFont="1" applyAlignment="1">
      <alignment horizontal="left" vertical="center" wrapText="1" indent="2"/>
    </xf>
    <xf numFmtId="37" fontId="5" fillId="0" borderId="0" xfId="0" applyNumberFormat="1" applyFont="1" applyAlignment="1">
      <alignment horizontal="left" vertical="center" wrapText="1" indent="2"/>
    </xf>
    <xf numFmtId="0" fontId="4" fillId="0" borderId="12" xfId="0" applyFont="1" applyBorder="1" applyAlignment="1">
      <alignment horizontal="left" vertical="center" indent="2"/>
    </xf>
    <xf numFmtId="0" fontId="5" fillId="0" borderId="7" xfId="0" applyFont="1" applyBorder="1" applyAlignment="1">
      <alignment horizontal="left" vertical="center" wrapText="1" indent="2"/>
    </xf>
    <xf numFmtId="166" fontId="4" fillId="0" borderId="16" xfId="0" applyNumberFormat="1" applyFont="1" applyBorder="1" applyAlignment="1">
      <alignment horizontal="left" vertical="center" wrapText="1" indent="2"/>
    </xf>
    <xf numFmtId="3" fontId="0" fillId="21" borderId="0" xfId="0" applyNumberFormat="1" applyFill="1"/>
    <xf numFmtId="165" fontId="8" fillId="2" borderId="31" xfId="7" applyNumberFormat="1" applyFont="1" applyFill="1" applyBorder="1"/>
    <xf numFmtId="37" fontId="4" fillId="2" borderId="37" xfId="0" applyNumberFormat="1" applyFont="1" applyFill="1" applyBorder="1"/>
    <xf numFmtId="2" fontId="4" fillId="2" borderId="37" xfId="0" applyNumberFormat="1" applyFont="1" applyFill="1" applyBorder="1"/>
    <xf numFmtId="37" fontId="8" fillId="2" borderId="37" xfId="0" applyNumberFormat="1" applyFont="1" applyFill="1" applyBorder="1"/>
    <xf numFmtId="195" fontId="8" fillId="2" borderId="37" xfId="0" applyNumberFormat="1" applyFont="1" applyFill="1" applyBorder="1"/>
    <xf numFmtId="165" fontId="5" fillId="21" borderId="29" xfId="0" applyNumberFormat="1" applyFont="1" applyFill="1" applyBorder="1"/>
    <xf numFmtId="195" fontId="5" fillId="0" borderId="29" xfId="1" applyNumberFormat="1" applyFont="1" applyBorder="1" applyAlignment="1">
      <alignment horizontal="center"/>
    </xf>
    <xf numFmtId="195" fontId="5" fillId="22" borderId="29" xfId="1" applyNumberFormat="1" applyFont="1" applyFill="1" applyBorder="1" applyAlignment="1">
      <alignment horizontal="center"/>
    </xf>
    <xf numFmtId="195" fontId="5" fillId="23" borderId="29" xfId="1" applyNumberFormat="1" applyFont="1" applyFill="1" applyBorder="1" applyAlignment="1">
      <alignment horizontal="center"/>
    </xf>
    <xf numFmtId="195" fontId="110" fillId="21" borderId="0" xfId="1" applyNumberFormat="1" applyFont="1" applyFill="1"/>
    <xf numFmtId="195" fontId="0" fillId="21" borderId="0" xfId="0" applyNumberFormat="1" applyFill="1"/>
    <xf numFmtId="195" fontId="0" fillId="22" borderId="0" xfId="0" applyNumberFormat="1" applyFill="1"/>
    <xf numFmtId="0" fontId="0" fillId="0" borderId="18" xfId="0" applyBorder="1" applyAlignment="1">
      <alignment horizontal="left" indent="1"/>
    </xf>
    <xf numFmtId="0" fontId="0" fillId="0" borderId="17" xfId="0" applyBorder="1" applyAlignment="1">
      <alignment horizontal="left" indent="1"/>
    </xf>
    <xf numFmtId="0" fontId="0" fillId="0" borderId="21" xfId="0" applyBorder="1" applyAlignment="1">
      <alignment horizontal="left" indent="1"/>
    </xf>
    <xf numFmtId="0" fontId="0" fillId="0" borderId="25" xfId="0" applyBorder="1" applyAlignment="1">
      <alignment horizontal="left" indent="1"/>
    </xf>
    <xf numFmtId="0" fontId="7" fillId="0" borderId="0" xfId="0" applyFont="1" applyAlignment="1">
      <alignment horizontal="center"/>
    </xf>
    <xf numFmtId="8" fontId="125" fillId="0" borderId="33" xfId="0" applyNumberFormat="1" applyFont="1" applyBorder="1"/>
    <xf numFmtId="8" fontId="125" fillId="0" borderId="32" xfId="0" applyNumberFormat="1" applyFont="1" applyBorder="1"/>
    <xf numFmtId="8" fontId="125" fillId="0" borderId="42" xfId="0" applyNumberFormat="1" applyFont="1" applyBorder="1"/>
    <xf numFmtId="6" fontId="0" fillId="0" borderId="0" xfId="0" applyNumberFormat="1" applyBorder="1"/>
    <xf numFmtId="195" fontId="0" fillId="0" borderId="0" xfId="0" applyNumberFormat="1" applyBorder="1"/>
    <xf numFmtId="0" fontId="0" fillId="0" borderId="67" xfId="0" applyBorder="1"/>
    <xf numFmtId="0" fontId="5" fillId="0" borderId="68" xfId="0" applyFont="1" applyBorder="1" applyAlignment="1">
      <alignment horizontal="left" indent="1"/>
    </xf>
    <xf numFmtId="0" fontId="0" fillId="0" borderId="69" xfId="0" applyBorder="1"/>
    <xf numFmtId="0" fontId="0" fillId="0" borderId="70" xfId="0" applyBorder="1"/>
    <xf numFmtId="0" fontId="0" fillId="0" borderId="71" xfId="0" applyBorder="1"/>
    <xf numFmtId="0" fontId="5" fillId="0" borderId="71" xfId="0" applyFont="1" applyBorder="1" applyAlignment="1">
      <alignment horizontal="left" indent="1"/>
    </xf>
    <xf numFmtId="6" fontId="0" fillId="0" borderId="72" xfId="0" applyNumberFormat="1" applyBorder="1"/>
    <xf numFmtId="195" fontId="0" fillId="0" borderId="72" xfId="0" applyNumberFormat="1" applyBorder="1"/>
    <xf numFmtId="0" fontId="5" fillId="0" borderId="73" xfId="0" applyFont="1" applyBorder="1" applyAlignment="1">
      <alignment horizontal="left" indent="1"/>
    </xf>
    <xf numFmtId="5" fontId="125" fillId="0" borderId="74" xfId="2" applyNumberFormat="1" applyFont="1" applyBorder="1"/>
    <xf numFmtId="5" fontId="125" fillId="0" borderId="75" xfId="2" applyNumberFormat="1" applyFont="1" applyBorder="1"/>
    <xf numFmtId="5" fontId="125" fillId="0" borderId="76" xfId="2" applyNumberFormat="1" applyFont="1" applyBorder="1"/>
    <xf numFmtId="5" fontId="4" fillId="0" borderId="0" xfId="2" applyNumberFormat="1" applyFont="1"/>
    <xf numFmtId="5" fontId="4" fillId="0" borderId="0" xfId="0" applyNumberFormat="1" applyFont="1"/>
    <xf numFmtId="0" fontId="7" fillId="0" borderId="0" xfId="0" applyFont="1" applyAlignment="1">
      <alignment horizontal="right"/>
    </xf>
    <xf numFmtId="0" fontId="7" fillId="0" borderId="0" xfId="0" applyFont="1" applyBorder="1" applyAlignment="1">
      <alignment horizontal="right"/>
    </xf>
    <xf numFmtId="0" fontId="7" fillId="0" borderId="72" xfId="0" applyFont="1" applyBorder="1" applyAlignment="1">
      <alignment horizontal="right"/>
    </xf>
    <xf numFmtId="0" fontId="5" fillId="21" borderId="37" xfId="0" applyFont="1" applyFill="1" applyBorder="1"/>
    <xf numFmtId="0" fontId="5" fillId="21" borderId="30" xfId="0" applyFont="1" applyFill="1" applyBorder="1"/>
    <xf numFmtId="0" fontId="0" fillId="21" borderId="31" xfId="0" applyFill="1" applyBorder="1"/>
    <xf numFmtId="0" fontId="5" fillId="22" borderId="37" xfId="0" applyFont="1" applyFill="1" applyBorder="1"/>
    <xf numFmtId="0" fontId="0" fillId="22" borderId="30" xfId="0" applyFill="1" applyBorder="1"/>
    <xf numFmtId="0" fontId="0" fillId="22" borderId="31" xfId="0" applyFill="1" applyBorder="1"/>
    <xf numFmtId="9" fontId="125" fillId="0" borderId="0" xfId="7" applyFont="1" applyBorder="1"/>
    <xf numFmtId="9" fontId="125" fillId="0" borderId="18" xfId="7" applyFont="1" applyBorder="1"/>
    <xf numFmtId="9" fontId="125" fillId="0" borderId="21" xfId="7" applyFont="1" applyBorder="1"/>
    <xf numFmtId="8" fontId="125" fillId="0" borderId="29" xfId="0" applyNumberFormat="1" applyFont="1" applyBorder="1"/>
    <xf numFmtId="0" fontId="7" fillId="0" borderId="44" xfId="0" applyFont="1" applyBorder="1" applyAlignment="1">
      <alignment horizontal="center"/>
    </xf>
    <xf numFmtId="0" fontId="7" fillId="0" borderId="10" xfId="0" applyFont="1" applyBorder="1" applyAlignment="1">
      <alignment horizontal="right"/>
    </xf>
    <xf numFmtId="0" fontId="0" fillId="0" borderId="44" xfId="0" applyBorder="1" applyAlignment="1">
      <alignment horizontal="center"/>
    </xf>
    <xf numFmtId="169" fontId="0" fillId="0" borderId="0" xfId="1" applyNumberFormat="1" applyFont="1" applyBorder="1" applyAlignment="1">
      <alignment horizontal="right"/>
    </xf>
    <xf numFmtId="166" fontId="0" fillId="0" borderId="0" xfId="0" applyNumberFormat="1" applyBorder="1" applyAlignment="1">
      <alignment horizontal="right"/>
    </xf>
    <xf numFmtId="0" fontId="0" fillId="0" borderId="0" xfId="0" applyBorder="1" applyAlignment="1">
      <alignment horizontal="right"/>
    </xf>
    <xf numFmtId="0" fontId="5" fillId="0" borderId="44" xfId="0" applyFont="1" applyBorder="1"/>
    <xf numFmtId="169" fontId="0" fillId="0" borderId="0" xfId="0" applyNumberFormat="1" applyBorder="1"/>
    <xf numFmtId="165" fontId="8" fillId="0" borderId="0" xfId="7" applyNumberFormat="1" applyFont="1" applyBorder="1"/>
    <xf numFmtId="9" fontId="111" fillId="21" borderId="29" xfId="7" applyNumberFormat="1" applyFont="1" applyFill="1" applyBorder="1" applyAlignment="1">
      <alignment horizontal="center"/>
    </xf>
    <xf numFmtId="9" fontId="0" fillId="8" borderId="29" xfId="7" quotePrefix="1" applyNumberFormat="1" applyFont="1" applyFill="1" applyBorder="1" applyAlignment="1">
      <alignment horizontal="center"/>
    </xf>
    <xf numFmtId="165" fontId="0" fillId="0" borderId="29" xfId="0" applyNumberFormat="1" applyBorder="1"/>
    <xf numFmtId="10" fontId="4" fillId="21" borderId="29" xfId="7" applyNumberFormat="1" applyFont="1" applyFill="1" applyBorder="1" applyAlignment="1">
      <alignment horizontal="center"/>
    </xf>
    <xf numFmtId="165" fontId="4" fillId="8" borderId="29" xfId="7" quotePrefix="1" applyNumberFormat="1" applyFont="1" applyFill="1" applyBorder="1" applyAlignment="1">
      <alignment horizontal="center"/>
    </xf>
    <xf numFmtId="37" fontId="4" fillId="0" borderId="29" xfId="1" applyNumberFormat="1" applyFont="1" applyBorder="1" applyAlignment="1">
      <alignment horizontal="center"/>
    </xf>
    <xf numFmtId="0" fontId="0" fillId="0" borderId="0" xfId="0" applyAlignment="1">
      <alignment horizontal="right" vertical="center" indent="1"/>
    </xf>
    <xf numFmtId="0" fontId="11" fillId="0" borderId="0" xfId="0" applyFont="1" applyAlignment="1">
      <alignment horizontal="left" indent="4"/>
    </xf>
    <xf numFmtId="0" fontId="0" fillId="24" borderId="17" xfId="0" applyFill="1" applyBorder="1"/>
    <xf numFmtId="0" fontId="0" fillId="24" borderId="25" xfId="0" applyFill="1" applyBorder="1"/>
    <xf numFmtId="2" fontId="0" fillId="24" borderId="29" xfId="0" applyNumberFormat="1" applyFill="1" applyBorder="1" applyAlignment="1">
      <alignment horizontal="center"/>
    </xf>
    <xf numFmtId="195" fontId="5" fillId="0" borderId="36" xfId="1" applyNumberFormat="1" applyFont="1" applyFill="1" applyBorder="1"/>
    <xf numFmtId="0" fontId="1" fillId="0" borderId="37" xfId="0" applyFont="1" applyBorder="1"/>
    <xf numFmtId="0" fontId="1" fillId="0" borderId="30" xfId="0" applyFont="1" applyBorder="1"/>
    <xf numFmtId="39" fontId="1" fillId="0" borderId="31" xfId="0" applyNumberFormat="1" applyFont="1" applyBorder="1" applyAlignment="1">
      <alignment horizontal="center"/>
    </xf>
    <xf numFmtId="0" fontId="5" fillId="0" borderId="30" xfId="0" applyFont="1" applyBorder="1" applyAlignment="1">
      <alignment horizontal="right"/>
    </xf>
    <xf numFmtId="0" fontId="50" fillId="0" borderId="37" xfId="0" applyFont="1" applyBorder="1"/>
    <xf numFmtId="0" fontId="50" fillId="0" borderId="30" xfId="0" applyFont="1" applyBorder="1"/>
    <xf numFmtId="39" fontId="50" fillId="0" borderId="31" xfId="0" applyNumberFormat="1" applyFont="1" applyBorder="1" applyAlignment="1">
      <alignment horizontal="center"/>
    </xf>
    <xf numFmtId="205" fontId="0" fillId="0" borderId="0" xfId="0" applyNumberFormat="1"/>
    <xf numFmtId="2" fontId="4" fillId="0" borderId="29" xfId="0" applyNumberFormat="1" applyFont="1" applyBorder="1" applyAlignment="1">
      <alignment horizontal="center"/>
    </xf>
    <xf numFmtId="0" fontId="7" fillId="24" borderId="29" xfId="0" applyFont="1" applyFill="1" applyBorder="1" applyAlignment="1">
      <alignment horizontal="center"/>
    </xf>
    <xf numFmtId="165" fontId="4" fillId="24" borderId="29" xfId="0" applyNumberFormat="1" applyFont="1" applyFill="1" applyBorder="1" applyAlignment="1">
      <alignment horizontal="center"/>
    </xf>
    <xf numFmtId="37" fontId="8" fillId="0" borderId="0" xfId="0" applyNumberFormat="1" applyFont="1" applyBorder="1"/>
    <xf numFmtId="9" fontId="112" fillId="24" borderId="29" xfId="7" applyFont="1" applyFill="1" applyBorder="1" applyAlignment="1">
      <alignment horizontal="right" vertical="center"/>
    </xf>
    <xf numFmtId="0" fontId="6" fillId="24" borderId="29" xfId="0" applyFont="1" applyFill="1" applyBorder="1" applyAlignment="1">
      <alignment horizontal="right" vertical="center"/>
    </xf>
    <xf numFmtId="0" fontId="4" fillId="0" borderId="0" xfId="0" applyFont="1" applyAlignment="1">
      <alignment horizontal="left" indent="3"/>
    </xf>
    <xf numFmtId="172" fontId="0" fillId="0" borderId="29" xfId="0" applyNumberFormat="1" applyBorder="1" applyAlignment="1">
      <alignment horizontal="center"/>
    </xf>
    <xf numFmtId="186" fontId="52" fillId="0" borderId="29" xfId="0" applyNumberFormat="1" applyFont="1" applyBorder="1" applyAlignment="1">
      <alignment horizontal="center"/>
    </xf>
    <xf numFmtId="172" fontId="8" fillId="0" borderId="29" xfId="0" applyNumberFormat="1" applyFont="1" applyBorder="1" applyAlignment="1">
      <alignment horizontal="center"/>
    </xf>
    <xf numFmtId="44" fontId="1" fillId="0" borderId="0" xfId="2" applyFont="1" applyBorder="1"/>
    <xf numFmtId="44" fontId="0" fillId="0" borderId="0" xfId="2" applyFont="1" applyBorder="1"/>
    <xf numFmtId="0" fontId="4" fillId="0" borderId="21" xfId="0" applyFont="1" applyBorder="1" applyAlignment="1">
      <alignment horizontal="left"/>
    </xf>
    <xf numFmtId="167" fontId="41" fillId="0" borderId="29" xfId="0" applyNumberFormat="1" applyFont="1" applyBorder="1" applyAlignment="1">
      <alignment horizontal="center"/>
    </xf>
    <xf numFmtId="37" fontId="0" fillId="0" borderId="36" xfId="1" applyNumberFormat="1" applyFont="1" applyBorder="1" applyAlignment="1">
      <alignment horizontal="center"/>
    </xf>
    <xf numFmtId="37" fontId="113" fillId="24" borderId="36" xfId="1" applyNumberFormat="1" applyFont="1" applyFill="1" applyBorder="1" applyAlignment="1">
      <alignment horizontal="center"/>
    </xf>
    <xf numFmtId="165" fontId="0" fillId="24" borderId="29" xfId="0" applyNumberFormat="1" applyFill="1" applyBorder="1" applyAlignment="1">
      <alignment horizontal="center"/>
    </xf>
    <xf numFmtId="0" fontId="0" fillId="24" borderId="35" xfId="0" applyFill="1" applyBorder="1"/>
    <xf numFmtId="0" fontId="125" fillId="0" borderId="0" xfId="0" applyFont="1" applyAlignment="1">
      <alignment horizontal="left" wrapText="1" indent="1"/>
    </xf>
    <xf numFmtId="0" fontId="1" fillId="0" borderId="0" xfId="0" applyFont="1" applyFill="1" applyBorder="1" applyAlignment="1">
      <alignment horizontal="center" wrapText="1"/>
    </xf>
    <xf numFmtId="2" fontId="5" fillId="2" borderId="29" xfId="0" applyNumberFormat="1" applyFont="1" applyFill="1" applyBorder="1" applyAlignment="1">
      <alignment horizontal="right"/>
    </xf>
    <xf numFmtId="0" fontId="0" fillId="21" borderId="0" xfId="0" applyFill="1"/>
    <xf numFmtId="0" fontId="5" fillId="21" borderId="0" xfId="0" applyFont="1" applyFill="1" applyAlignment="1">
      <alignment horizontal="right"/>
    </xf>
    <xf numFmtId="0" fontId="6" fillId="21" borderId="0" xfId="0" applyFont="1" applyFill="1" applyAlignment="1">
      <alignment horizontal="right"/>
    </xf>
    <xf numFmtId="0" fontId="0" fillId="25" borderId="0" xfId="0" applyFill="1"/>
    <xf numFmtId="0" fontId="5" fillId="25" borderId="0" xfId="0" applyFont="1" applyFill="1" applyAlignment="1">
      <alignment horizontal="right"/>
    </xf>
    <xf numFmtId="7" fontId="10" fillId="25" borderId="0" xfId="0" applyNumberFormat="1" applyFont="1" applyFill="1" applyAlignment="1">
      <alignment horizontal="right"/>
    </xf>
    <xf numFmtId="0" fontId="6" fillId="25" borderId="0" xfId="0" applyFont="1" applyFill="1"/>
    <xf numFmtId="9" fontId="4" fillId="21" borderId="0" xfId="0" applyNumberFormat="1" applyFont="1" applyFill="1"/>
    <xf numFmtId="9" fontId="4" fillId="25" borderId="0" xfId="0" applyNumberFormat="1" applyFont="1" applyFill="1"/>
    <xf numFmtId="178" fontId="0" fillId="0" borderId="0" xfId="0" applyNumberFormat="1"/>
    <xf numFmtId="178" fontId="0" fillId="0" borderId="29" xfId="1" applyNumberFormat="1" applyFont="1" applyBorder="1" applyAlignment="1">
      <alignment horizontal="center"/>
    </xf>
    <xf numFmtId="178" fontId="0" fillId="0" borderId="0" xfId="1" applyNumberFormat="1" applyFont="1" applyBorder="1" applyAlignment="1">
      <alignment horizontal="center"/>
    </xf>
    <xf numFmtId="165" fontId="0" fillId="0" borderId="0" xfId="7" applyNumberFormat="1" applyFont="1" applyAlignment="1">
      <alignment horizontal="center" vertical="center" wrapText="1"/>
    </xf>
    <xf numFmtId="0" fontId="4" fillId="0" borderId="0" xfId="0" applyFont="1" applyAlignment="1">
      <alignment horizontal="left" wrapText="1" indent="1"/>
    </xf>
    <xf numFmtId="0" fontId="7" fillId="0" borderId="0" xfId="0" applyFont="1" applyAlignment="1">
      <alignment horizontal="center" wrapText="1"/>
    </xf>
    <xf numFmtId="165" fontId="0" fillId="0" borderId="0" xfId="7" applyNumberFormat="1" applyFont="1" applyAlignment="1">
      <alignment horizontal="center" wrapText="1"/>
    </xf>
    <xf numFmtId="0" fontId="4" fillId="0" borderId="0" xfId="0" applyFont="1" applyFill="1" applyBorder="1" applyAlignment="1">
      <alignment horizontal="left" wrapText="1" indent="1"/>
    </xf>
    <xf numFmtId="0" fontId="4" fillId="2" borderId="37" xfId="0" applyFont="1" applyFill="1" applyBorder="1" applyAlignment="1">
      <alignment horizontal="left" indent="1"/>
    </xf>
    <xf numFmtId="0" fontId="5" fillId="2" borderId="30" xfId="0" applyFont="1" applyFill="1" applyBorder="1" applyAlignment="1"/>
    <xf numFmtId="0" fontId="7" fillId="0" borderId="21" xfId="0" applyFont="1" applyBorder="1" applyAlignment="1">
      <alignment horizontal="center"/>
    </xf>
    <xf numFmtId="6" fontId="8" fillId="0" borderId="21" xfId="0" applyNumberFormat="1" applyFont="1" applyBorder="1"/>
    <xf numFmtId="7" fontId="116" fillId="26" borderId="33" xfId="2" applyNumberFormat="1" applyFont="1" applyFill="1" applyBorder="1"/>
    <xf numFmtId="7" fontId="116" fillId="26" borderId="32" xfId="2" applyNumberFormat="1" applyFont="1" applyFill="1" applyBorder="1"/>
    <xf numFmtId="7" fontId="116" fillId="26" borderId="42" xfId="2" applyNumberFormat="1" applyFont="1" applyFill="1" applyBorder="1"/>
    <xf numFmtId="0" fontId="126" fillId="0" borderId="0" xfId="0" applyFont="1" applyAlignment="1">
      <alignment horizontal="left" indent="1"/>
    </xf>
    <xf numFmtId="167" fontId="127" fillId="0" borderId="0" xfId="0" applyNumberFormat="1" applyFont="1"/>
    <xf numFmtId="167" fontId="127" fillId="0" borderId="37" xfId="0" applyNumberFormat="1" applyFont="1" applyBorder="1"/>
    <xf numFmtId="167" fontId="127" fillId="0" borderId="30" xfId="0" applyNumberFormat="1" applyFont="1" applyBorder="1"/>
    <xf numFmtId="2" fontId="127" fillId="0" borderId="31" xfId="0" applyNumberFormat="1" applyFont="1" applyBorder="1" applyAlignment="1">
      <alignment horizontal="center"/>
    </xf>
    <xf numFmtId="0" fontId="128" fillId="27" borderId="32" xfId="0" applyFont="1" applyFill="1" applyBorder="1" applyAlignment="1">
      <alignment horizontal="center"/>
    </xf>
    <xf numFmtId="0" fontId="0" fillId="28" borderId="14" xfId="0" applyFill="1" applyBorder="1"/>
    <xf numFmtId="8" fontId="8" fillId="28" borderId="14" xfId="0" applyNumberFormat="1" applyFont="1" applyFill="1" applyBorder="1" applyAlignment="1">
      <alignment horizontal="center"/>
    </xf>
    <xf numFmtId="0" fontId="0" fillId="28" borderId="53" xfId="0" applyFill="1" applyBorder="1"/>
    <xf numFmtId="0" fontId="5" fillId="0" borderId="0" xfId="5" applyFont="1" applyAlignment="1">
      <alignment horizontal="left" indent="1"/>
    </xf>
    <xf numFmtId="0" fontId="0" fillId="0" borderId="0" xfId="0" applyAlignment="1">
      <alignment horizontal="left" vertical="top" indent="1"/>
    </xf>
    <xf numFmtId="0" fontId="129" fillId="0" borderId="0" xfId="0" applyFont="1"/>
    <xf numFmtId="0" fontId="0" fillId="29" borderId="32" xfId="0" applyFill="1" applyBorder="1"/>
    <xf numFmtId="0" fontId="0" fillId="29" borderId="0" xfId="0" applyFill="1" applyBorder="1"/>
    <xf numFmtId="0" fontId="0" fillId="29" borderId="24" xfId="0" applyFill="1" applyBorder="1"/>
    <xf numFmtId="0" fontId="33" fillId="7" borderId="18" xfId="0" applyFont="1" applyFill="1" applyBorder="1" applyAlignment="1">
      <alignment horizontal="left" indent="1"/>
    </xf>
    <xf numFmtId="0" fontId="6" fillId="7" borderId="0" xfId="0" applyFont="1" applyFill="1" applyBorder="1" applyAlignment="1">
      <alignment horizontal="left" indent="1"/>
    </xf>
    <xf numFmtId="0" fontId="10" fillId="7" borderId="21" xfId="0" applyFont="1" applyFill="1" applyBorder="1" applyAlignment="1">
      <alignment horizontal="left" indent="1"/>
    </xf>
    <xf numFmtId="0" fontId="0" fillId="29" borderId="18" xfId="0" applyFill="1" applyBorder="1"/>
    <xf numFmtId="0" fontId="0" fillId="29" borderId="17" xfId="0" applyFill="1" applyBorder="1"/>
    <xf numFmtId="0" fontId="7" fillId="5" borderId="0" xfId="0" applyFont="1" applyFill="1" applyAlignment="1">
      <alignment horizontal="right"/>
    </xf>
    <xf numFmtId="0" fontId="0" fillId="5" borderId="0" xfId="0" applyFill="1" applyBorder="1" applyAlignment="1">
      <alignment horizontal="left" indent="1"/>
    </xf>
    <xf numFmtId="0" fontId="0" fillId="5" borderId="42" xfId="0" applyFill="1" applyBorder="1"/>
    <xf numFmtId="0" fontId="2" fillId="5" borderId="33" xfId="0" applyFont="1" applyFill="1" applyBorder="1" applyAlignment="1">
      <alignment horizontal="left" indent="1"/>
    </xf>
    <xf numFmtId="7" fontId="0" fillId="0" borderId="17" xfId="0" applyNumberFormat="1" applyBorder="1"/>
    <xf numFmtId="7" fontId="40" fillId="21" borderId="29" xfId="2" applyNumberFormat="1" applyFont="1" applyFill="1" applyBorder="1"/>
    <xf numFmtId="7" fontId="1" fillId="8" borderId="32" xfId="2" applyNumberFormat="1" applyFont="1" applyFill="1" applyBorder="1"/>
    <xf numFmtId="165" fontId="1" fillId="30" borderId="35" xfId="2" applyNumberFormat="1" applyFont="1" applyFill="1" applyBorder="1" applyAlignment="1">
      <alignment horizontal="right" indent="1"/>
    </xf>
    <xf numFmtId="165" fontId="8" fillId="30" borderId="29" xfId="2" applyNumberFormat="1" applyFont="1" applyFill="1" applyBorder="1" applyAlignment="1">
      <alignment horizontal="right" indent="1"/>
    </xf>
    <xf numFmtId="195" fontId="4" fillId="21" borderId="34" xfId="1" applyNumberFormat="1" applyFont="1" applyFill="1" applyBorder="1"/>
    <xf numFmtId="0" fontId="6" fillId="21" borderId="37" xfId="0" applyFont="1" applyFill="1" applyBorder="1" applyAlignment="1">
      <alignment horizontal="left" indent="1"/>
    </xf>
    <xf numFmtId="0" fontId="50" fillId="21" borderId="30" xfId="0" applyFont="1" applyFill="1" applyBorder="1"/>
    <xf numFmtId="0" fontId="50" fillId="21" borderId="31" xfId="0" applyFont="1" applyFill="1" applyBorder="1"/>
    <xf numFmtId="3" fontId="6" fillId="0" borderId="0" xfId="0" applyNumberFormat="1" applyFont="1"/>
    <xf numFmtId="9" fontId="119" fillId="21" borderId="30" xfId="7" applyFont="1" applyFill="1" applyBorder="1"/>
    <xf numFmtId="9" fontId="8" fillId="21" borderId="31" xfId="7" applyFont="1" applyFill="1" applyBorder="1"/>
    <xf numFmtId="195" fontId="4" fillId="21" borderId="29" xfId="1" applyNumberFormat="1" applyFont="1" applyFill="1" applyBorder="1"/>
    <xf numFmtId="165" fontId="0" fillId="0" borderId="29" xfId="0" applyNumberFormat="1" applyFill="1" applyBorder="1" applyAlignment="1">
      <alignment horizontal="center"/>
    </xf>
    <xf numFmtId="0" fontId="0" fillId="0" borderId="0" xfId="0" applyFill="1" applyBorder="1" applyAlignment="1">
      <alignment horizontal="right" vertical="center" indent="1"/>
    </xf>
    <xf numFmtId="172" fontId="5" fillId="0" borderId="29" xfId="0" applyNumberFormat="1" applyFont="1" applyBorder="1" applyAlignment="1">
      <alignment horizontal="center"/>
    </xf>
    <xf numFmtId="172" fontId="5" fillId="0" borderId="29" xfId="7" applyNumberFormat="1" applyFont="1" applyBorder="1" applyAlignment="1">
      <alignment horizontal="center"/>
    </xf>
    <xf numFmtId="0" fontId="0" fillId="24" borderId="34" xfId="0" applyFill="1" applyBorder="1"/>
    <xf numFmtId="0" fontId="0" fillId="24" borderId="36" xfId="0" applyFill="1" applyBorder="1"/>
    <xf numFmtId="0" fontId="0" fillId="2" borderId="30" xfId="0" applyFill="1" applyBorder="1" applyAlignment="1">
      <alignment horizontal="center"/>
    </xf>
    <xf numFmtId="181" fontId="4" fillId="0" borderId="37" xfId="2" applyNumberFormat="1" applyFont="1" applyBorder="1"/>
    <xf numFmtId="0" fontId="9" fillId="0" borderId="29" xfId="0" applyFont="1" applyBorder="1" applyAlignment="1">
      <alignment horizontal="right"/>
    </xf>
    <xf numFmtId="2" fontId="6" fillId="0" borderId="0" xfId="2" applyNumberFormat="1" applyFont="1" applyFill="1" applyBorder="1" applyAlignment="1">
      <alignment horizontal="left" vertical="center"/>
    </xf>
    <xf numFmtId="0" fontId="114" fillId="0" borderId="0" xfId="0" applyFont="1" applyFill="1"/>
    <xf numFmtId="2" fontId="5" fillId="30" borderId="0" xfId="2" applyNumberFormat="1" applyFont="1" applyFill="1" applyBorder="1" applyAlignment="1">
      <alignment horizontal="left" indent="2"/>
    </xf>
    <xf numFmtId="165" fontId="8" fillId="30" borderId="0" xfId="7" applyNumberFormat="1" applyFont="1" applyFill="1" applyBorder="1"/>
    <xf numFmtId="2" fontId="5" fillId="31" borderId="0" xfId="2" applyNumberFormat="1" applyFont="1" applyFill="1" applyBorder="1" applyAlignment="1">
      <alignment horizontal="left" indent="2"/>
    </xf>
    <xf numFmtId="165" fontId="8" fillId="31" borderId="0" xfId="7" applyNumberFormat="1" applyFont="1" applyFill="1" applyBorder="1"/>
    <xf numFmtId="165" fontId="8" fillId="31" borderId="0" xfId="7" applyNumberFormat="1" applyFont="1" applyFill="1" applyBorder="1" applyAlignment="1">
      <alignment horizontal="right"/>
    </xf>
    <xf numFmtId="2" fontId="6" fillId="0" borderId="0" xfId="2" applyNumberFormat="1" applyFont="1" applyFill="1" applyBorder="1" applyAlignment="1">
      <alignment horizontal="left" indent="2"/>
    </xf>
    <xf numFmtId="0" fontId="4" fillId="0" borderId="0" xfId="0" applyFont="1" applyFill="1" applyBorder="1" applyAlignment="1">
      <alignment horizontal="left" indent="2"/>
    </xf>
    <xf numFmtId="0" fontId="114" fillId="0" borderId="0" xfId="0" applyFont="1" applyFill="1" applyBorder="1"/>
    <xf numFmtId="0" fontId="4" fillId="25" borderId="0" xfId="0" applyFont="1" applyFill="1" applyBorder="1" applyAlignment="1">
      <alignment horizontal="left" wrapText="1" indent="1"/>
    </xf>
    <xf numFmtId="0" fontId="2" fillId="0" borderId="0" xfId="0" applyFont="1" applyFill="1" applyBorder="1" applyAlignment="1">
      <alignment horizontal="left" wrapText="1" indent="1"/>
    </xf>
    <xf numFmtId="0" fontId="2" fillId="0" borderId="0" xfId="0"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0" fontId="5" fillId="0" borderId="0" xfId="0" applyFont="1" applyFill="1" applyAlignment="1">
      <alignment vertical="center" wrapText="1"/>
    </xf>
    <xf numFmtId="0" fontId="4" fillId="32" borderId="31" xfId="0" applyFont="1" applyFill="1" applyBorder="1"/>
    <xf numFmtId="0" fontId="5" fillId="0" borderId="0" xfId="0" applyFont="1" applyFill="1" applyAlignment="1">
      <alignment horizontal="center"/>
    </xf>
    <xf numFmtId="165" fontId="5" fillId="0" borderId="0" xfId="7" applyNumberFormat="1" applyFont="1" applyFill="1" applyAlignment="1">
      <alignment horizontal="right"/>
    </xf>
    <xf numFmtId="165" fontId="5" fillId="0" borderId="0" xfId="0" applyNumberFormat="1" applyFont="1" applyFill="1" applyAlignment="1">
      <alignment horizontal="right"/>
    </xf>
    <xf numFmtId="9" fontId="4" fillId="0" borderId="0" xfId="0" applyNumberFormat="1" applyFont="1" applyFill="1" applyBorder="1" applyAlignment="1">
      <alignment horizontal="right"/>
    </xf>
    <xf numFmtId="9" fontId="5" fillId="0" borderId="0" xfId="7" applyFont="1" applyFill="1" applyAlignment="1">
      <alignment horizontal="right"/>
    </xf>
    <xf numFmtId="0" fontId="5" fillId="0" borderId="0" xfId="0" applyFont="1" applyFill="1" applyAlignment="1">
      <alignment horizontal="right"/>
    </xf>
    <xf numFmtId="0" fontId="4" fillId="0" borderId="0" xfId="0" applyFont="1" applyFill="1" applyBorder="1" applyAlignment="1"/>
    <xf numFmtId="0" fontId="7" fillId="2" borderId="30" xfId="0" applyFont="1" applyFill="1" applyBorder="1" applyAlignment="1">
      <alignment horizontal="right" indent="4"/>
    </xf>
    <xf numFmtId="165" fontId="4" fillId="30" borderId="0" xfId="7" applyNumberFormat="1" applyFont="1" applyFill="1" applyBorder="1"/>
    <xf numFmtId="165" fontId="4" fillId="31" borderId="0" xfId="7" applyNumberFormat="1" applyFont="1" applyFill="1" applyBorder="1"/>
    <xf numFmtId="165" fontId="4" fillId="30" borderId="0" xfId="7" applyNumberFormat="1" applyFont="1" applyFill="1" applyBorder="1" applyAlignment="1">
      <alignment horizontal="right"/>
    </xf>
    <xf numFmtId="165" fontId="4" fillId="31" borderId="0" xfId="7" applyNumberFormat="1" applyFont="1" applyFill="1" applyBorder="1" applyAlignment="1">
      <alignment horizontal="right"/>
    </xf>
    <xf numFmtId="0" fontId="7" fillId="0" borderId="29" xfId="0" applyFont="1" applyBorder="1" applyAlignment="1">
      <alignment horizontal="right"/>
    </xf>
    <xf numFmtId="165" fontId="4" fillId="17" borderId="36" xfId="7" applyNumberFormat="1" applyFont="1" applyFill="1" applyBorder="1"/>
    <xf numFmtId="0" fontId="63" fillId="0" borderId="0" xfId="0" applyFont="1" applyFill="1" applyBorder="1"/>
    <xf numFmtId="14" fontId="28" fillId="0" borderId="0" xfId="0" applyNumberFormat="1" applyFont="1" applyFill="1" applyAlignment="1">
      <alignment vertical="center"/>
    </xf>
    <xf numFmtId="0" fontId="4" fillId="0" borderId="0" xfId="0" applyFont="1" applyFill="1" applyAlignment="1"/>
    <xf numFmtId="0" fontId="10" fillId="0" borderId="0" xfId="0" applyFont="1" applyFill="1" applyBorder="1" applyAlignment="1">
      <alignment wrapText="1"/>
    </xf>
    <xf numFmtId="0" fontId="4" fillId="2" borderId="0" xfId="0" applyFont="1" applyFill="1" applyAlignment="1">
      <alignment horizontal="left" indent="1"/>
    </xf>
    <xf numFmtId="0" fontId="4" fillId="33" borderId="0" xfId="0" applyFont="1" applyFill="1" applyAlignment="1">
      <alignment horizontal="left" indent="1"/>
    </xf>
    <xf numFmtId="0" fontId="0" fillId="33" borderId="0" xfId="0" applyFill="1"/>
    <xf numFmtId="0" fontId="5" fillId="34" borderId="30" xfId="0" applyFont="1" applyFill="1" applyBorder="1" applyAlignment="1">
      <alignment horizontal="right"/>
    </xf>
    <xf numFmtId="0" fontId="5" fillId="34" borderId="30" xfId="0" applyFont="1" applyFill="1" applyBorder="1"/>
    <xf numFmtId="0" fontId="5" fillId="33" borderId="15" xfId="0" applyFont="1" applyFill="1" applyBorder="1" applyAlignment="1">
      <alignment horizontal="center"/>
    </xf>
    <xf numFmtId="9" fontId="4" fillId="34" borderId="29" xfId="0" applyNumberFormat="1" applyFont="1" applyFill="1" applyBorder="1" applyAlignment="1">
      <alignment horizontal="right"/>
    </xf>
    <xf numFmtId="9" fontId="4" fillId="34" borderId="35" xfId="0" applyNumberFormat="1" applyFont="1" applyFill="1" applyBorder="1" applyAlignment="1">
      <alignment horizontal="left"/>
    </xf>
    <xf numFmtId="165" fontId="8" fillId="0" borderId="0" xfId="7" applyNumberFormat="1" applyFont="1" applyBorder="1" applyAlignment="1">
      <alignment horizontal="center"/>
    </xf>
    <xf numFmtId="0" fontId="0" fillId="0" borderId="36" xfId="0" applyFill="1" applyBorder="1"/>
    <xf numFmtId="0" fontId="10" fillId="0" borderId="0" xfId="0" applyFont="1" applyFill="1" applyBorder="1" applyAlignment="1"/>
    <xf numFmtId="0" fontId="0" fillId="0" borderId="0" xfId="0" applyAlignment="1">
      <alignment horizontal="left" wrapText="1"/>
    </xf>
    <xf numFmtId="0" fontId="28" fillId="0" borderId="45" xfId="0" applyFont="1" applyBorder="1"/>
    <xf numFmtId="0" fontId="52" fillId="0" borderId="0" xfId="0" applyFont="1" applyFill="1" applyBorder="1" applyAlignment="1">
      <alignment horizontal="center"/>
    </xf>
    <xf numFmtId="178" fontId="8" fillId="28" borderId="14" xfId="2" applyNumberFormat="1" applyFont="1" applyFill="1" applyBorder="1" applyAlignment="1">
      <alignment horizontal="center"/>
    </xf>
    <xf numFmtId="9" fontId="8" fillId="28" borderId="14" xfId="7" applyFont="1" applyFill="1" applyBorder="1" applyAlignment="1">
      <alignment horizontal="center"/>
    </xf>
    <xf numFmtId="0" fontId="5" fillId="0" borderId="0" xfId="0" applyFont="1" applyFill="1" applyAlignment="1">
      <alignment horizontal="left"/>
    </xf>
    <xf numFmtId="0" fontId="4" fillId="0" borderId="0" xfId="0" applyFont="1" applyFill="1" applyAlignment="1">
      <alignment horizontal="center"/>
    </xf>
    <xf numFmtId="0" fontId="4" fillId="0" borderId="0" xfId="0" applyFont="1" applyFill="1"/>
    <xf numFmtId="0" fontId="5" fillId="0" borderId="0" xfId="0" applyFont="1" applyFill="1" applyAlignment="1">
      <alignment wrapText="1"/>
    </xf>
    <xf numFmtId="0" fontId="5" fillId="0" borderId="0" xfId="0" applyFont="1" applyFill="1" applyAlignment="1">
      <alignment horizontal="left" wrapText="1" indent="1"/>
    </xf>
    <xf numFmtId="173" fontId="4" fillId="0" borderId="0" xfId="0" applyNumberFormat="1" applyFont="1"/>
    <xf numFmtId="165" fontId="4" fillId="0" borderId="0" xfId="7" applyNumberFormat="1" applyFont="1"/>
    <xf numFmtId="0" fontId="11" fillId="0" borderId="0" xfId="0" applyFont="1" applyAlignment="1">
      <alignment horizontal="left" indent="2"/>
    </xf>
    <xf numFmtId="6" fontId="8" fillId="0" borderId="29" xfId="0" applyNumberFormat="1" applyFont="1" applyBorder="1"/>
    <xf numFmtId="0" fontId="83" fillId="0" borderId="0" xfId="0" applyFont="1" applyFill="1" applyAlignment="1">
      <alignment horizontal="right" indent="1"/>
    </xf>
    <xf numFmtId="0" fontId="12" fillId="0" borderId="0" xfId="3" applyAlignment="1" applyProtection="1"/>
    <xf numFmtId="0" fontId="4" fillId="0" borderId="0" xfId="0" applyFont="1" applyAlignment="1">
      <alignment horizontal="left"/>
    </xf>
    <xf numFmtId="0" fontId="131" fillId="0" borderId="0" xfId="0" applyFont="1"/>
    <xf numFmtId="14" fontId="7" fillId="0" borderId="0" xfId="0" applyNumberFormat="1" applyFont="1"/>
    <xf numFmtId="9" fontId="52" fillId="0" borderId="29" xfId="7" applyFont="1" applyBorder="1" applyAlignment="1">
      <alignment horizontal="center"/>
    </xf>
    <xf numFmtId="39" fontId="52" fillId="0" borderId="29" xfId="2" applyNumberFormat="1" applyFont="1" applyBorder="1" applyAlignment="1">
      <alignment horizontal="center"/>
    </xf>
    <xf numFmtId="44" fontId="10" fillId="0" borderId="0" xfId="2" applyFont="1" applyAlignment="1">
      <alignment horizontal="center"/>
    </xf>
    <xf numFmtId="44" fontId="6" fillId="0" borderId="0" xfId="2" applyFont="1" applyAlignment="1">
      <alignment horizontal="center"/>
    </xf>
    <xf numFmtId="0" fontId="5" fillId="21" borderId="0" xfId="0" applyFont="1" applyFill="1" applyBorder="1" applyAlignment="1">
      <alignment horizontal="left" vertical="center"/>
    </xf>
    <xf numFmtId="0" fontId="0" fillId="21" borderId="0" xfId="0" applyFill="1" applyBorder="1" applyAlignment="1">
      <alignment horizontal="left" vertical="center"/>
    </xf>
    <xf numFmtId="0" fontId="26" fillId="21" borderId="0" xfId="0" applyFont="1" applyFill="1" applyBorder="1"/>
    <xf numFmtId="0" fontId="26" fillId="21" borderId="0" xfId="0" applyFont="1" applyFill="1" applyBorder="1" applyAlignment="1">
      <alignment horizontal="left"/>
    </xf>
    <xf numFmtId="0" fontId="2" fillId="21" borderId="0" xfId="0" applyFont="1" applyFill="1" applyBorder="1" applyAlignment="1">
      <alignment horizontal="left"/>
    </xf>
    <xf numFmtId="0" fontId="26" fillId="21" borderId="32" xfId="0" applyFont="1" applyFill="1" applyBorder="1" applyAlignment="1">
      <alignment horizontal="left" indent="3"/>
    </xf>
    <xf numFmtId="0" fontId="0" fillId="0" borderId="0" xfId="0" applyAlignment="1">
      <alignment horizontal="right" vertical="top"/>
    </xf>
    <xf numFmtId="0" fontId="132" fillId="0" borderId="0" xfId="0" applyFont="1" applyAlignment="1">
      <alignment horizontal="center"/>
    </xf>
    <xf numFmtId="3" fontId="132" fillId="0" borderId="0" xfId="0" applyNumberFormat="1" applyFont="1"/>
    <xf numFmtId="0" fontId="6" fillId="0" borderId="0" xfId="0" applyNumberFormat="1" applyFont="1" applyAlignment="1">
      <alignment horizontal="left" indent="3"/>
    </xf>
    <xf numFmtId="195" fontId="6" fillId="0" borderId="17" xfId="1" applyNumberFormat="1" applyFont="1" applyBorder="1"/>
    <xf numFmtId="195" fontId="6" fillId="0" borderId="24" xfId="1" applyNumberFormat="1" applyFont="1" applyBorder="1"/>
    <xf numFmtId="173" fontId="132" fillId="0" borderId="0" xfId="0" applyNumberFormat="1" applyFont="1"/>
    <xf numFmtId="167" fontId="4" fillId="0" borderId="0" xfId="0" applyNumberFormat="1" applyFont="1" applyAlignment="1">
      <alignment horizontal="center"/>
    </xf>
    <xf numFmtId="165" fontId="8" fillId="28" borderId="14" xfId="7" applyNumberFormat="1" applyFont="1" applyFill="1" applyBorder="1" applyAlignment="1">
      <alignment horizontal="center"/>
    </xf>
    <xf numFmtId="173" fontId="132" fillId="26" borderId="29" xfId="0" applyNumberFormat="1" applyFont="1" applyFill="1" applyBorder="1"/>
    <xf numFmtId="0" fontId="0" fillId="40" borderId="37" xfId="0" applyFill="1" applyBorder="1"/>
    <xf numFmtId="0" fontId="0" fillId="40" borderId="30" xfId="0" applyFill="1" applyBorder="1"/>
    <xf numFmtId="0" fontId="4" fillId="40" borderId="30" xfId="0" applyFont="1" applyFill="1" applyBorder="1"/>
    <xf numFmtId="0" fontId="4" fillId="22" borderId="30" xfId="0" applyFont="1" applyFill="1" applyBorder="1"/>
    <xf numFmtId="0" fontId="4" fillId="22" borderId="30" xfId="0" applyFont="1" applyFill="1" applyBorder="1" applyAlignment="1">
      <alignment horizontal="right"/>
    </xf>
    <xf numFmtId="10" fontId="4" fillId="22" borderId="31" xfId="7" applyNumberFormat="1" applyFont="1" applyFill="1" applyBorder="1" applyAlignment="1">
      <alignment horizontal="center"/>
    </xf>
    <xf numFmtId="0" fontId="0" fillId="41" borderId="37" xfId="0" applyFill="1" applyBorder="1"/>
    <xf numFmtId="0" fontId="0" fillId="41" borderId="30" xfId="0" applyFill="1" applyBorder="1"/>
    <xf numFmtId="0" fontId="4" fillId="41" borderId="30" xfId="0" applyFont="1" applyFill="1" applyBorder="1"/>
    <xf numFmtId="0" fontId="4" fillId="42" borderId="30" xfId="0" applyFont="1" applyFill="1" applyBorder="1"/>
    <xf numFmtId="0" fontId="4" fillId="42" borderId="30" xfId="0" applyFont="1" applyFill="1" applyBorder="1" applyAlignment="1">
      <alignment horizontal="right"/>
    </xf>
    <xf numFmtId="10" fontId="4" fillId="42" borderId="31" xfId="7" applyNumberFormat="1" applyFont="1" applyFill="1" applyBorder="1" applyAlignment="1">
      <alignment horizontal="center"/>
    </xf>
    <xf numFmtId="198" fontId="4" fillId="43" borderId="29" xfId="2" applyNumberFormat="1" applyFont="1" applyFill="1" applyBorder="1"/>
    <xf numFmtId="0" fontId="0" fillId="0" borderId="0" xfId="0" applyAlignment="1">
      <alignment horizontal="center" vertical="center"/>
    </xf>
    <xf numFmtId="0" fontId="129" fillId="0" borderId="0" xfId="0" applyFont="1" applyFill="1" applyBorder="1" applyAlignment="1">
      <alignment horizontal="right" wrapText="1" indent="1"/>
    </xf>
    <xf numFmtId="0" fontId="87" fillId="0" borderId="0" xfId="0" applyFont="1" applyFill="1" applyBorder="1" applyAlignment="1">
      <alignment horizontal="center" vertical="center" wrapText="1"/>
    </xf>
    <xf numFmtId="0" fontId="4" fillId="0" borderId="0" xfId="0" applyFont="1" applyFill="1" applyBorder="1" applyAlignment="1">
      <alignment horizontal="right" wrapText="1" indent="1"/>
    </xf>
    <xf numFmtId="0" fontId="6" fillId="0" borderId="0" xfId="0" applyFont="1" applyFill="1" applyBorder="1" applyAlignment="1">
      <alignment horizontal="left" wrapText="1"/>
    </xf>
    <xf numFmtId="175" fontId="5" fillId="0" borderId="0" xfId="2" applyNumberFormat="1" applyFont="1"/>
    <xf numFmtId="0" fontId="7" fillId="0" borderId="0" xfId="0" applyFont="1" applyAlignment="1">
      <alignment horizontal="right" vertical="center"/>
    </xf>
    <xf numFmtId="0" fontId="0" fillId="0" borderId="0" xfId="0" applyAlignment="1">
      <alignment horizontal="right" vertical="center"/>
    </xf>
    <xf numFmtId="10" fontId="8" fillId="0" borderId="0" xfId="0" applyNumberFormat="1" applyFont="1"/>
    <xf numFmtId="0" fontId="4" fillId="0" borderId="0" xfId="0" applyFont="1" applyBorder="1" applyAlignment="1">
      <alignment horizontal="left" indent="1"/>
    </xf>
    <xf numFmtId="0" fontId="1" fillId="0" borderId="0" xfId="0" applyFont="1" applyBorder="1" applyAlignment="1">
      <alignment horizontal="left" indent="1"/>
    </xf>
    <xf numFmtId="0" fontId="0" fillId="0" borderId="0" xfId="0" applyAlignment="1">
      <alignment wrapText="1"/>
    </xf>
    <xf numFmtId="0" fontId="0" fillId="0" borderId="0" xfId="0" applyAlignment="1">
      <alignment horizontal="left" wrapText="1" indent="1"/>
    </xf>
    <xf numFmtId="0" fontId="125"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right" wrapText="1"/>
    </xf>
    <xf numFmtId="0" fontId="9" fillId="0" borderId="0" xfId="0" applyFont="1" applyAlignment="1">
      <alignment horizontal="center"/>
    </xf>
    <xf numFmtId="0" fontId="26" fillId="0" borderId="0" xfId="0" applyFont="1" applyAlignment="1">
      <alignment horizontal="left" indent="1"/>
    </xf>
    <xf numFmtId="195" fontId="8" fillId="0" borderId="0" xfId="0" applyNumberFormat="1" applyFont="1" applyAlignment="1">
      <alignment horizontal="right"/>
    </xf>
    <xf numFmtId="195" fontId="5" fillId="0" borderId="0" xfId="0" applyNumberFormat="1" applyFont="1" applyAlignment="1">
      <alignment horizontal="right"/>
    </xf>
    <xf numFmtId="195" fontId="10" fillId="0" borderId="0" xfId="0" applyNumberFormat="1" applyFont="1" applyAlignment="1">
      <alignment horizontal="right"/>
    </xf>
    <xf numFmtId="0" fontId="9" fillId="0" borderId="0" xfId="0" applyFont="1" applyBorder="1" applyAlignment="1">
      <alignment horizontal="right"/>
    </xf>
    <xf numFmtId="166" fontId="4" fillId="0" borderId="0" xfId="0" applyNumberFormat="1" applyFont="1"/>
    <xf numFmtId="0" fontId="6" fillId="0" borderId="0" xfId="0" applyFont="1" applyFill="1" applyAlignment="1">
      <alignment horizontal="left" vertical="center"/>
    </xf>
    <xf numFmtId="0" fontId="0" fillId="0" borderId="0" xfId="0" applyBorder="1" applyAlignment="1">
      <alignment horizontal="left" vertical="center" wrapText="1" indent="1"/>
    </xf>
    <xf numFmtId="0" fontId="0" fillId="0" borderId="0" xfId="0" applyBorder="1" applyAlignment="1">
      <alignment horizontal="center" vertical="center" wrapText="1"/>
    </xf>
    <xf numFmtId="169" fontId="4" fillId="0" borderId="0" xfId="0" applyNumberFormat="1" applyFont="1"/>
    <xf numFmtId="195" fontId="4" fillId="0" borderId="0" xfId="1" applyNumberFormat="1" applyFont="1" applyAlignment="1">
      <alignment horizontal="right"/>
    </xf>
    <xf numFmtId="195" fontId="4" fillId="0" borderId="0" xfId="1" applyNumberFormat="1" applyFont="1"/>
    <xf numFmtId="0" fontId="11" fillId="0" borderId="0" xfId="0" applyFont="1" applyAlignment="1">
      <alignment horizontal="left" indent="1"/>
    </xf>
    <xf numFmtId="195" fontId="6" fillId="0" borderId="0" xfId="1" applyNumberFormat="1" applyFont="1" applyAlignment="1">
      <alignment horizontal="center"/>
    </xf>
    <xf numFmtId="0" fontId="26" fillId="0" borderId="0" xfId="0" applyFont="1" applyBorder="1" applyAlignment="1">
      <alignment horizontal="left" indent="2"/>
    </xf>
    <xf numFmtId="195" fontId="26" fillId="0" borderId="0" xfId="0" applyNumberFormat="1" applyFont="1" applyBorder="1" applyAlignment="1"/>
    <xf numFmtId="0" fontId="26" fillId="0" borderId="21" xfId="0" applyFont="1" applyBorder="1"/>
    <xf numFmtId="195" fontId="2" fillId="0" borderId="21" xfId="0" applyNumberFormat="1" applyFont="1" applyBorder="1" applyAlignment="1"/>
    <xf numFmtId="165" fontId="2" fillId="0" borderId="21" xfId="7" applyNumberFormat="1" applyFont="1" applyBorder="1" applyAlignment="1"/>
    <xf numFmtId="165" fontId="2" fillId="0" borderId="21" xfId="7" applyNumberFormat="1" applyFont="1" applyBorder="1" applyAlignment="1">
      <alignment horizontal="right"/>
    </xf>
    <xf numFmtId="169" fontId="138" fillId="0" borderId="0" xfId="0" applyNumberFormat="1" applyFont="1" applyBorder="1"/>
    <xf numFmtId="0" fontId="0" fillId="46" borderId="33" xfId="0" applyFill="1" applyBorder="1"/>
    <xf numFmtId="0" fontId="0" fillId="46" borderId="18" xfId="0" applyFill="1" applyBorder="1"/>
    <xf numFmtId="0" fontId="0" fillId="46" borderId="17" xfId="0" applyFill="1" applyBorder="1"/>
    <xf numFmtId="0" fontId="4" fillId="46" borderId="32" xfId="0" applyFont="1" applyFill="1" applyBorder="1" applyAlignment="1">
      <alignment horizontal="left" indent="1"/>
    </xf>
    <xf numFmtId="0" fontId="0" fillId="46" borderId="0" xfId="0" applyFill="1" applyBorder="1" applyAlignment="1">
      <alignment horizontal="center" vertical="center" wrapText="1"/>
    </xf>
    <xf numFmtId="0" fontId="0" fillId="46" borderId="24" xfId="0" applyFill="1" applyBorder="1" applyAlignment="1">
      <alignment horizontal="center" vertical="center" wrapText="1"/>
    </xf>
    <xf numFmtId="0" fontId="0" fillId="46" borderId="32" xfId="0" applyFill="1" applyBorder="1" applyAlignment="1">
      <alignment horizontal="center" vertical="center" wrapText="1"/>
    </xf>
    <xf numFmtId="166" fontId="125" fillId="0" borderId="0" xfId="0" quotePrefix="1" applyNumberFormat="1" applyFont="1"/>
    <xf numFmtId="2" fontId="83" fillId="0" borderId="0" xfId="0" applyNumberFormat="1" applyFont="1" applyFill="1"/>
    <xf numFmtId="171" fontId="22" fillId="0" borderId="29" xfId="2" applyNumberFormat="1" applyFont="1" applyBorder="1" applyAlignment="1">
      <alignment horizontal="center"/>
    </xf>
    <xf numFmtId="0" fontId="5" fillId="0" borderId="0" xfId="0" applyFont="1" applyFill="1" applyAlignment="1">
      <alignment vertical="center" wrapText="1"/>
    </xf>
    <xf numFmtId="0" fontId="2" fillId="0" borderId="0" xfId="0" applyFont="1" applyBorder="1" applyAlignment="1">
      <alignment horizontal="left" indent="1"/>
    </xf>
    <xf numFmtId="0" fontId="4" fillId="0" borderId="0" xfId="0" applyFont="1" applyBorder="1" applyAlignment="1">
      <alignment horizontal="left" vertical="center"/>
    </xf>
    <xf numFmtId="0" fontId="1" fillId="0" borderId="0" xfId="0" applyFont="1" applyFill="1" applyBorder="1" applyAlignment="1">
      <alignment horizontal="center"/>
    </xf>
    <xf numFmtId="5" fontId="4" fillId="32" borderId="37" xfId="0" applyNumberFormat="1" applyFont="1" applyFill="1" applyBorder="1" applyAlignment="1">
      <alignment horizontal="right"/>
    </xf>
    <xf numFmtId="0" fontId="8" fillId="25" borderId="31" xfId="0" applyFont="1" applyFill="1" applyBorder="1" applyAlignment="1">
      <alignment horizontal="center"/>
    </xf>
    <xf numFmtId="0" fontId="8" fillId="25" borderId="34" xfId="0" applyFont="1" applyFill="1" applyBorder="1" applyAlignment="1">
      <alignment horizontal="center"/>
    </xf>
    <xf numFmtId="174" fontId="8" fillId="0" borderId="0" xfId="0" applyNumberFormat="1" applyFont="1" applyBorder="1"/>
    <xf numFmtId="39" fontId="0" fillId="0" borderId="29" xfId="1" applyNumberFormat="1" applyFont="1" applyBorder="1" applyAlignment="1">
      <alignment horizontal="center" wrapText="1"/>
    </xf>
    <xf numFmtId="37" fontId="6" fillId="0" borderId="0" xfId="1" applyNumberFormat="1" applyFont="1" applyBorder="1" applyAlignment="1">
      <alignment horizontal="center" wrapText="1"/>
    </xf>
    <xf numFmtId="0" fontId="0" fillId="0" borderId="0" xfId="0" applyAlignment="1">
      <alignment horizontal="left" wrapText="1" indent="2"/>
    </xf>
    <xf numFmtId="0" fontId="7" fillId="0" borderId="0" xfId="0" applyFont="1" applyAlignment="1">
      <alignment horizontal="right" wrapText="1"/>
    </xf>
    <xf numFmtId="0" fontId="4" fillId="6" borderId="0" xfId="0" applyFont="1" applyFill="1"/>
    <xf numFmtId="168" fontId="0" fillId="0" borderId="0" xfId="0" applyNumberFormat="1" applyFill="1"/>
    <xf numFmtId="0" fontId="4" fillId="0" borderId="37" xfId="0" applyFont="1" applyFill="1" applyBorder="1"/>
    <xf numFmtId="0" fontId="4" fillId="0" borderId="29" xfId="0" applyFont="1" applyFill="1" applyBorder="1"/>
    <xf numFmtId="0" fontId="9" fillId="0" borderId="29" xfId="0" applyFont="1" applyFill="1" applyBorder="1" applyAlignment="1">
      <alignment horizontal="right"/>
    </xf>
    <xf numFmtId="0" fontId="9" fillId="0" borderId="34" xfId="0" applyFont="1" applyFill="1" applyBorder="1" applyAlignment="1">
      <alignment horizontal="right"/>
    </xf>
    <xf numFmtId="3" fontId="0" fillId="0" borderId="17" xfId="0" applyNumberFormat="1" applyFill="1" applyBorder="1"/>
    <xf numFmtId="3" fontId="0" fillId="0" borderId="24" xfId="0" applyNumberFormat="1" applyFill="1" applyBorder="1"/>
    <xf numFmtId="3" fontId="0" fillId="0" borderId="25" xfId="0" applyNumberFormat="1" applyFill="1" applyBorder="1"/>
    <xf numFmtId="3" fontId="0" fillId="0" borderId="34" xfId="0" applyNumberFormat="1" applyFill="1" applyBorder="1"/>
    <xf numFmtId="3" fontId="0" fillId="0" borderId="35" xfId="0" applyNumberFormat="1" applyFill="1" applyBorder="1"/>
    <xf numFmtId="3" fontId="0" fillId="0" borderId="36" xfId="0" applyNumberFormat="1" applyFill="1" applyBorder="1"/>
    <xf numFmtId="0" fontId="6" fillId="0" borderId="0" xfId="0" applyFont="1" applyFill="1" applyBorder="1" applyAlignment="1">
      <alignment horizontal="left" indent="1"/>
    </xf>
    <xf numFmtId="0" fontId="1" fillId="0" borderId="34" xfId="0" applyFont="1" applyFill="1" applyBorder="1" applyAlignment="1">
      <alignment horizontal="left" indent="1"/>
    </xf>
    <xf numFmtId="0" fontId="1" fillId="0" borderId="35" xfId="0" applyFont="1" applyFill="1" applyBorder="1" applyAlignment="1">
      <alignment horizontal="left" indent="1"/>
    </xf>
    <xf numFmtId="0" fontId="1" fillId="0" borderId="36" xfId="0" applyFont="1" applyFill="1" applyBorder="1" applyAlignment="1">
      <alignment horizontal="left" indent="1"/>
    </xf>
    <xf numFmtId="0" fontId="9" fillId="0" borderId="29" xfId="0" applyFont="1" applyFill="1" applyBorder="1" applyAlignment="1">
      <alignment horizontal="center"/>
    </xf>
    <xf numFmtId="0" fontId="4" fillId="0" borderId="34" xfId="0" applyFont="1" applyFill="1" applyBorder="1" applyAlignment="1">
      <alignment horizontal="center"/>
    </xf>
    <xf numFmtId="3" fontId="0" fillId="0" borderId="35" xfId="0" applyNumberFormat="1" applyFill="1" applyBorder="1" applyAlignment="1">
      <alignment horizontal="center"/>
    </xf>
    <xf numFmtId="3" fontId="0" fillId="0" borderId="36" xfId="0" applyNumberFormat="1" applyFill="1" applyBorder="1" applyAlignment="1">
      <alignment horizontal="center"/>
    </xf>
    <xf numFmtId="0" fontId="4" fillId="0" borderId="29" xfId="0" applyFont="1" applyFill="1" applyBorder="1" applyAlignment="1">
      <alignment horizontal="center"/>
    </xf>
    <xf numFmtId="3" fontId="0" fillId="0" borderId="34" xfId="0" applyNumberFormat="1" applyFill="1" applyBorder="1" applyAlignment="1">
      <alignment horizontal="center"/>
    </xf>
    <xf numFmtId="0" fontId="0" fillId="0" borderId="0" xfId="0" applyAlignment="1">
      <alignment horizontal="left" vertical="center" wrapText="1" indent="1"/>
    </xf>
    <xf numFmtId="0" fontId="6" fillId="0" borderId="0" xfId="0" applyFont="1" applyAlignment="1">
      <alignment horizontal="left" vertical="center" wrapText="1" indent="1"/>
    </xf>
    <xf numFmtId="0" fontId="0" fillId="0" borderId="0" xfId="0" applyAlignment="1">
      <alignment horizontal="left" wrapText="1" indent="2"/>
    </xf>
    <xf numFmtId="0" fontId="0" fillId="0" borderId="0" xfId="0" applyAlignment="1">
      <alignment horizontal="left" vertical="center" wrapText="1" indent="3"/>
    </xf>
    <xf numFmtId="0" fontId="7" fillId="0" borderId="0" xfId="0" applyFont="1" applyAlignment="1">
      <alignment horizontal="right" wrapText="1"/>
    </xf>
    <xf numFmtId="0" fontId="4" fillId="0" borderId="24" xfId="0" applyFont="1" applyBorder="1" applyAlignment="1">
      <alignment horizontal="center"/>
    </xf>
    <xf numFmtId="0" fontId="0" fillId="0" borderId="18" xfId="0" applyBorder="1" applyAlignment="1">
      <alignment horizontal="left" wrapText="1" indent="2"/>
    </xf>
    <xf numFmtId="0" fontId="1" fillId="0" borderId="18" xfId="0" applyFont="1" applyBorder="1" applyAlignment="1">
      <alignment horizontal="left" wrapText="1" indent="2"/>
    </xf>
    <xf numFmtId="0" fontId="1" fillId="0" borderId="17" xfId="0" applyFont="1" applyBorder="1" applyAlignment="1">
      <alignment horizontal="center"/>
    </xf>
    <xf numFmtId="0" fontId="0" fillId="0" borderId="32" xfId="0" applyBorder="1" applyAlignment="1">
      <alignment horizontal="left" indent="1"/>
    </xf>
    <xf numFmtId="166" fontId="0" fillId="0" borderId="24" xfId="0" applyNumberFormat="1" applyBorder="1" applyAlignment="1">
      <alignment horizontal="center"/>
    </xf>
    <xf numFmtId="0" fontId="0" fillId="0" borderId="32" xfId="0" applyBorder="1" applyAlignment="1">
      <alignment horizontal="left" indent="2"/>
    </xf>
    <xf numFmtId="0" fontId="6" fillId="0" borderId="42" xfId="0" applyFont="1" applyBorder="1" applyAlignment="1">
      <alignment horizontal="left" indent="3"/>
    </xf>
    <xf numFmtId="0" fontId="0" fillId="0" borderId="21" xfId="0" applyBorder="1" applyAlignment="1">
      <alignment horizontal="left"/>
    </xf>
    <xf numFmtId="0" fontId="0" fillId="0" borderId="25" xfId="0" applyBorder="1" applyAlignment="1">
      <alignment horizontal="left" wrapText="1" indent="2"/>
    </xf>
    <xf numFmtId="0" fontId="4" fillId="0" borderId="33" xfId="0" applyFont="1" applyBorder="1" applyAlignment="1">
      <alignment horizontal="left" indent="1"/>
    </xf>
    <xf numFmtId="0" fontId="0" fillId="0" borderId="18" xfId="0" applyBorder="1" applyAlignment="1">
      <alignment horizontal="left"/>
    </xf>
    <xf numFmtId="0" fontId="1" fillId="0" borderId="32" xfId="0" applyFont="1" applyBorder="1" applyAlignment="1">
      <alignment horizontal="left" indent="2"/>
    </xf>
    <xf numFmtId="0" fontId="6" fillId="0" borderId="0" xfId="0" applyFont="1" applyBorder="1" applyAlignment="1">
      <alignment horizontal="right"/>
    </xf>
    <xf numFmtId="0" fontId="1" fillId="0" borderId="42" xfId="0" applyFont="1" applyBorder="1" applyAlignment="1">
      <alignment horizontal="left" indent="2"/>
    </xf>
    <xf numFmtId="0" fontId="6" fillId="0" borderId="21" xfId="0" applyFont="1" applyBorder="1" applyAlignment="1">
      <alignment horizontal="right"/>
    </xf>
    <xf numFmtId="37" fontId="4" fillId="0" borderId="29" xfId="1" applyNumberFormat="1" applyFont="1" applyBorder="1" applyAlignment="1">
      <alignment horizontal="center" wrapText="1"/>
    </xf>
    <xf numFmtId="168" fontId="4" fillId="0" borderId="0" xfId="0" applyNumberFormat="1" applyFont="1"/>
    <xf numFmtId="166" fontId="4" fillId="0" borderId="24" xfId="0" applyNumberFormat="1" applyFont="1" applyBorder="1" applyAlignment="1">
      <alignment horizontal="center"/>
    </xf>
    <xf numFmtId="0" fontId="4" fillId="0" borderId="24" xfId="0" applyFont="1" applyBorder="1" applyAlignment="1">
      <alignment horizontal="center" wrapText="1"/>
    </xf>
    <xf numFmtId="166" fontId="4" fillId="0" borderId="25" xfId="0" applyNumberFormat="1" applyFont="1" applyBorder="1" applyAlignment="1">
      <alignment horizontal="center"/>
    </xf>
    <xf numFmtId="0" fontId="7" fillId="0" borderId="0" xfId="0" applyFont="1" applyAlignment="1">
      <alignment horizontal="left" indent="3"/>
    </xf>
    <xf numFmtId="2" fontId="0" fillId="0" borderId="0" xfId="0" applyNumberFormat="1" applyAlignment="1">
      <alignment horizontal="right" wrapText="1"/>
    </xf>
    <xf numFmtId="0" fontId="6" fillId="0" borderId="0" xfId="0" applyFont="1" applyAlignment="1">
      <alignment horizontal="left" vertical="center" indent="1"/>
    </xf>
    <xf numFmtId="165" fontId="0" fillId="0" borderId="21" xfId="7" applyNumberFormat="1" applyFont="1"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4" fillId="0" borderId="0" xfId="0" applyFont="1" applyBorder="1" applyAlignment="1">
      <alignment horizontal="left" indent="2"/>
    </xf>
    <xf numFmtId="194" fontId="6" fillId="0" borderId="0" xfId="2" applyNumberFormat="1" applyFont="1" applyAlignment="1">
      <alignment horizontal="right"/>
    </xf>
    <xf numFmtId="5" fontId="6" fillId="0" borderId="0" xfId="2" applyNumberFormat="1" applyFont="1" applyAlignment="1">
      <alignment horizontal="right"/>
    </xf>
    <xf numFmtId="195" fontId="1" fillId="0" borderId="0" xfId="1" applyNumberFormat="1" applyFont="1" applyAlignment="1"/>
    <xf numFmtId="0" fontId="0" fillId="0" borderId="0" xfId="0" applyAlignment="1">
      <alignment horizontal="left" wrapText="1" indent="1"/>
    </xf>
    <xf numFmtId="0" fontId="9" fillId="0" borderId="0" xfId="0" applyFont="1" applyFill="1" applyAlignment="1">
      <alignment horizontal="right"/>
    </xf>
    <xf numFmtId="0" fontId="0" fillId="0" borderId="0" xfId="0" applyFill="1" applyBorder="1" applyAlignment="1">
      <alignment vertical="center"/>
    </xf>
    <xf numFmtId="44" fontId="8" fillId="0" borderId="0" xfId="2" applyFont="1" applyFill="1"/>
    <xf numFmtId="0" fontId="28" fillId="0" borderId="0" xfId="0" applyFont="1" applyFill="1" applyAlignment="1">
      <alignment vertical="center"/>
    </xf>
    <xf numFmtId="0" fontId="7" fillId="0" borderId="0" xfId="0" applyFont="1" applyFill="1" applyBorder="1"/>
    <xf numFmtId="165" fontId="6" fillId="0" borderId="0" xfId="0" applyNumberFormat="1" applyFont="1" applyFill="1"/>
    <xf numFmtId="165" fontId="7" fillId="0" borderId="0" xfId="0" applyNumberFormat="1" applyFont="1" applyFill="1"/>
    <xf numFmtId="6" fontId="7" fillId="0" borderId="0" xfId="0" applyNumberFormat="1" applyFont="1" applyFill="1"/>
    <xf numFmtId="6" fontId="6" fillId="0" borderId="0" xfId="0" applyNumberFormat="1" applyFont="1" applyFill="1"/>
    <xf numFmtId="0" fontId="5" fillId="0" borderId="33" xfId="0" applyFont="1" applyFill="1" applyBorder="1" applyAlignment="1">
      <alignment wrapText="1"/>
    </xf>
    <xf numFmtId="0" fontId="5" fillId="0" borderId="18" xfId="0" applyFont="1" applyFill="1" applyBorder="1"/>
    <xf numFmtId="0" fontId="5" fillId="0" borderId="32" xfId="0" applyFont="1" applyFill="1" applyBorder="1" applyAlignment="1">
      <alignment wrapText="1"/>
    </xf>
    <xf numFmtId="0" fontId="5" fillId="0" borderId="24" xfId="0" applyFont="1" applyFill="1" applyBorder="1"/>
    <xf numFmtId="0" fontId="5" fillId="0" borderId="42" xfId="0" applyFont="1" applyFill="1" applyBorder="1"/>
    <xf numFmtId="0" fontId="5" fillId="0" borderId="21" xfId="0" applyFont="1" applyFill="1" applyBorder="1"/>
    <xf numFmtId="0" fontId="5" fillId="0" borderId="25" xfId="0" applyFont="1" applyFill="1" applyBorder="1"/>
    <xf numFmtId="0" fontId="5" fillId="0" borderId="32" xfId="0" applyFont="1" applyFill="1" applyBorder="1" applyAlignment="1">
      <alignment horizontal="left" wrapText="1"/>
    </xf>
    <xf numFmtId="0" fontId="4" fillId="0" borderId="0" xfId="0" applyFont="1" applyFill="1" applyBorder="1" applyAlignment="1">
      <alignment horizontal="left"/>
    </xf>
    <xf numFmtId="0" fontId="4" fillId="0" borderId="0" xfId="0" applyFont="1" applyBorder="1" applyAlignment="1">
      <alignment horizontal="right"/>
    </xf>
    <xf numFmtId="0" fontId="7" fillId="0" borderId="33" xfId="0" applyFont="1" applyFill="1" applyBorder="1" applyAlignment="1">
      <alignment horizontal="left" indent="1"/>
    </xf>
    <xf numFmtId="0" fontId="5" fillId="0" borderId="18" xfId="0" applyFont="1" applyFill="1" applyBorder="1" applyAlignment="1">
      <alignment horizontal="left"/>
    </xf>
    <xf numFmtId="6" fontId="7" fillId="0" borderId="17" xfId="0" applyNumberFormat="1" applyFont="1" applyFill="1" applyBorder="1" applyAlignment="1">
      <alignment horizontal="right" indent="1"/>
    </xf>
    <xf numFmtId="0" fontId="7" fillId="0" borderId="42" xfId="0" applyFont="1" applyFill="1" applyBorder="1" applyAlignment="1">
      <alignment horizontal="left" indent="1"/>
    </xf>
    <xf numFmtId="0" fontId="5" fillId="0" borderId="21" xfId="0" applyFont="1" applyFill="1" applyBorder="1" applyAlignment="1">
      <alignment horizontal="left"/>
    </xf>
    <xf numFmtId="6" fontId="7" fillId="0" borderId="25" xfId="0" applyNumberFormat="1" applyFont="1" applyFill="1" applyBorder="1" applyAlignment="1">
      <alignment horizontal="right" indent="1"/>
    </xf>
    <xf numFmtId="165" fontId="7" fillId="0" borderId="17" xfId="0" applyNumberFormat="1" applyFont="1" applyFill="1" applyBorder="1"/>
    <xf numFmtId="165" fontId="7" fillId="0" borderId="25" xfId="0" applyNumberFormat="1" applyFont="1" applyFill="1" applyBorder="1"/>
    <xf numFmtId="0" fontId="0" fillId="0" borderId="0" xfId="0" applyFill="1" applyAlignment="1">
      <alignment vertical="center" wrapText="1"/>
    </xf>
    <xf numFmtId="0" fontId="5" fillId="0" borderId="0" xfId="0" applyFont="1" applyAlignment="1">
      <alignment horizontal="center"/>
    </xf>
    <xf numFmtId="9" fontId="0" fillId="0" borderId="0" xfId="0" applyNumberFormat="1" applyAlignment="1">
      <alignment horizontal="center"/>
    </xf>
    <xf numFmtId="2" fontId="1" fillId="0" borderId="0" xfId="2" applyNumberFormat="1" applyFont="1" applyFill="1" applyBorder="1" applyAlignment="1">
      <alignment horizontal="left" indent="2"/>
    </xf>
    <xf numFmtId="14" fontId="4" fillId="0" borderId="0" xfId="0" applyNumberFormat="1" applyFont="1"/>
    <xf numFmtId="173" fontId="6" fillId="0" borderId="0" xfId="2" applyNumberFormat="1" applyFont="1" applyBorder="1" applyAlignment="1">
      <alignment horizontal="left" indent="1"/>
    </xf>
    <xf numFmtId="6" fontId="9" fillId="0" borderId="37" xfId="0" applyNumberFormat="1" applyFont="1" applyBorder="1" applyAlignment="1">
      <alignment horizontal="center"/>
    </xf>
    <xf numFmtId="0" fontId="7" fillId="0" borderId="36" xfId="0" applyFont="1" applyBorder="1" applyAlignment="1">
      <alignment horizontal="right"/>
    </xf>
    <xf numFmtId="0" fontId="7" fillId="0" borderId="24" xfId="0" applyFont="1" applyBorder="1" applyAlignment="1">
      <alignment horizontal="center"/>
    </xf>
    <xf numFmtId="6" fontId="1" fillId="0" borderId="29" xfId="0" applyNumberFormat="1" applyFont="1" applyBorder="1" applyAlignment="1">
      <alignment horizontal="center"/>
    </xf>
    <xf numFmtId="0" fontId="0" fillId="0" borderId="0" xfId="0" applyAlignment="1">
      <alignment horizontal="left" vertical="center" wrapText="1" indent="1"/>
    </xf>
    <xf numFmtId="0" fontId="0" fillId="0" borderId="0" xfId="0" applyAlignment="1">
      <alignment vertical="center" wrapText="1"/>
    </xf>
    <xf numFmtId="0" fontId="7" fillId="0" borderId="0" xfId="0" applyFont="1" applyAlignment="1">
      <alignment horizontal="center"/>
    </xf>
    <xf numFmtId="0" fontId="6" fillId="0" borderId="0" xfId="0" applyFont="1" applyAlignment="1">
      <alignment horizontal="center"/>
    </xf>
    <xf numFmtId="0" fontId="0" fillId="0" borderId="0" xfId="0"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horizontal="left" vertical="center" wrapText="1"/>
    </xf>
    <xf numFmtId="7" fontId="0" fillId="0" borderId="0" xfId="0" applyNumberFormat="1" applyAlignment="1">
      <alignment vertical="center" wrapText="1"/>
    </xf>
    <xf numFmtId="9" fontId="0" fillId="0" borderId="0" xfId="0" applyNumberFormat="1" applyAlignment="1">
      <alignment vertical="center" wrapText="1"/>
    </xf>
    <xf numFmtId="204" fontId="0" fillId="0" borderId="0" xfId="0" applyNumberFormat="1"/>
    <xf numFmtId="0" fontId="1" fillId="0" borderId="0" xfId="0" applyFont="1" applyAlignment="1">
      <alignment horizontal="left"/>
    </xf>
    <xf numFmtId="7" fontId="4" fillId="0" borderId="0" xfId="0" applyNumberFormat="1" applyFont="1"/>
    <xf numFmtId="9" fontId="4" fillId="0" borderId="0" xfId="0" applyNumberFormat="1" applyFont="1"/>
    <xf numFmtId="5" fontId="0" fillId="0" borderId="0" xfId="0" applyNumberFormat="1" applyAlignment="1">
      <alignment horizontal="right" indent="1"/>
    </xf>
    <xf numFmtId="9" fontId="0" fillId="0" borderId="0" xfId="0" applyNumberFormat="1" applyAlignment="1">
      <alignment horizontal="right" indent="1"/>
    </xf>
    <xf numFmtId="7" fontId="0" fillId="0" borderId="0" xfId="0" applyNumberFormat="1" applyAlignment="1">
      <alignment horizontal="right" indent="1"/>
    </xf>
    <xf numFmtId="178" fontId="0" fillId="0" borderId="0" xfId="0" applyNumberFormat="1" applyAlignment="1">
      <alignment horizontal="right" indent="1"/>
    </xf>
    <xf numFmtId="39" fontId="0" fillId="0" borderId="0" xfId="0" applyNumberFormat="1" applyAlignment="1">
      <alignment horizontal="right" indent="1"/>
    </xf>
    <xf numFmtId="37" fontId="0" fillId="0" borderId="0" xfId="0" applyNumberFormat="1" applyAlignment="1">
      <alignment horizontal="right" indent="1"/>
    </xf>
    <xf numFmtId="0" fontId="0" fillId="0" borderId="0" xfId="0" applyAlignment="1">
      <alignment horizontal="left" vertical="center" wrapText="1" indent="1"/>
    </xf>
    <xf numFmtId="0" fontId="0" fillId="0" borderId="0" xfId="0" applyAlignment="1">
      <alignment vertical="center" wrapText="1"/>
    </xf>
    <xf numFmtId="165" fontId="0" fillId="0" borderId="0" xfId="0" applyNumberFormat="1" applyAlignment="1">
      <alignment horizontal="right" indent="1"/>
    </xf>
    <xf numFmtId="10" fontId="0" fillId="0" borderId="0" xfId="0" applyNumberFormat="1" applyAlignment="1">
      <alignment horizontal="right" indent="1"/>
    </xf>
    <xf numFmtId="175" fontId="0" fillId="0" borderId="0" xfId="0" applyNumberFormat="1" applyAlignment="1">
      <alignment horizontal="right" indent="1"/>
    </xf>
    <xf numFmtId="0" fontId="7" fillId="0" borderId="0" xfId="0" applyFont="1" applyAlignment="1">
      <alignment horizontal="right" indent="1"/>
    </xf>
    <xf numFmtId="0" fontId="4" fillId="0" borderId="17" xfId="0" applyFont="1" applyBorder="1"/>
    <xf numFmtId="2" fontId="1" fillId="0" borderId="24" xfId="0" applyNumberFormat="1" applyFont="1" applyBorder="1" applyAlignment="1">
      <alignment horizontal="center" vertical="top" wrapText="1"/>
    </xf>
    <xf numFmtId="0" fontId="1" fillId="0" borderId="24" xfId="0" applyFont="1" applyBorder="1" applyAlignment="1">
      <alignment horizontal="center" vertical="top" wrapText="1"/>
    </xf>
    <xf numFmtId="0" fontId="0" fillId="0" borderId="0" xfId="0" applyAlignment="1">
      <alignment horizontal="left" vertical="center" wrapText="1" indent="1"/>
    </xf>
    <xf numFmtId="0" fontId="0" fillId="0" borderId="0" xfId="0" applyAlignment="1">
      <alignment vertical="center" wrapText="1"/>
    </xf>
    <xf numFmtId="9" fontId="6" fillId="0" borderId="0" xfId="0" applyNumberFormat="1" applyFont="1" applyAlignment="1">
      <alignment horizontal="right" indent="2"/>
    </xf>
    <xf numFmtId="0" fontId="7" fillId="0" borderId="29" xfId="0" applyFont="1" applyBorder="1" applyAlignment="1">
      <alignment horizontal="center"/>
    </xf>
    <xf numFmtId="0" fontId="0" fillId="0" borderId="0" xfId="0" applyBorder="1" applyAlignment="1">
      <alignment wrapText="1"/>
    </xf>
    <xf numFmtId="0" fontId="2" fillId="0" borderId="0" xfId="0" applyFont="1" applyAlignment="1">
      <alignment horizontal="center"/>
    </xf>
    <xf numFmtId="0" fontId="7" fillId="0" borderId="31" xfId="0" applyFont="1" applyBorder="1" applyAlignment="1">
      <alignment horizontal="center"/>
    </xf>
    <xf numFmtId="2" fontId="9" fillId="0" borderId="21" xfId="0" applyNumberFormat="1" applyFont="1" applyBorder="1"/>
    <xf numFmtId="2" fontId="9" fillId="0" borderId="25" xfId="0" applyNumberFormat="1" applyFont="1" applyBorder="1"/>
    <xf numFmtId="0" fontId="1" fillId="0" borderId="29" xfId="0" applyFont="1" applyBorder="1" applyAlignment="1">
      <alignment horizontal="center"/>
    </xf>
    <xf numFmtId="0" fontId="1" fillId="0" borderId="0" xfId="0" applyFont="1" applyAlignment="1">
      <alignment horizontal="left" vertical="center" indent="1"/>
    </xf>
    <xf numFmtId="2" fontId="0" fillId="0" borderId="0" xfId="0" applyNumberFormat="1" applyAlignment="1">
      <alignment horizontal="right" indent="1"/>
    </xf>
    <xf numFmtId="173" fontId="0" fillId="0" borderId="0" xfId="2" applyNumberFormat="1" applyFont="1"/>
    <xf numFmtId="173" fontId="4" fillId="0" borderId="0" xfId="2" applyNumberFormat="1" applyFont="1"/>
    <xf numFmtId="167" fontId="0" fillId="0" borderId="0" xfId="2" applyNumberFormat="1" applyFont="1"/>
    <xf numFmtId="167" fontId="0" fillId="0" borderId="0" xfId="2" applyNumberFormat="1" applyFont="1" applyBorder="1"/>
    <xf numFmtId="167" fontId="4" fillId="0" borderId="0" xfId="2" applyNumberFormat="1" applyFont="1" applyBorder="1"/>
    <xf numFmtId="0" fontId="10" fillId="0" borderId="0" xfId="0" applyFont="1" applyBorder="1" applyAlignment="1">
      <alignment horizontal="left" vertical="center" indent="2"/>
    </xf>
    <xf numFmtId="165" fontId="4" fillId="0" borderId="0" xfId="0" applyNumberFormat="1" applyFont="1"/>
    <xf numFmtId="206" fontId="1" fillId="0" borderId="0" xfId="2" applyNumberFormat="1" applyFont="1"/>
    <xf numFmtId="0" fontId="0" fillId="8" borderId="0" xfId="0" applyFill="1" applyAlignment="1">
      <alignment horizontal="left" wrapText="1" indent="2"/>
    </xf>
    <xf numFmtId="0" fontId="8" fillId="47" borderId="0" xfId="0" quotePrefix="1" applyFont="1" applyFill="1" applyAlignment="1">
      <alignment horizontal="center" wrapText="1"/>
    </xf>
    <xf numFmtId="0" fontId="0" fillId="8" borderId="37" xfId="0" applyFill="1" applyBorder="1" applyAlignment="1">
      <alignment horizontal="left" wrapText="1" indent="4"/>
    </xf>
    <xf numFmtId="0" fontId="4" fillId="8" borderId="31" xfId="0" applyFont="1" applyFill="1" applyBorder="1" applyAlignment="1">
      <alignment horizontal="right"/>
    </xf>
    <xf numFmtId="165" fontId="4" fillId="8" borderId="29" xfId="7" applyNumberFormat="1" applyFont="1" applyFill="1" applyBorder="1" applyAlignment="1">
      <alignment horizontal="left" wrapText="1" indent="4"/>
    </xf>
    <xf numFmtId="0" fontId="6" fillId="8" borderId="0" xfId="0" applyFont="1" applyFill="1" applyAlignment="1">
      <alignment horizontal="left" indent="2"/>
    </xf>
    <xf numFmtId="0" fontId="9" fillId="0" borderId="0" xfId="0" applyFont="1" applyAlignment="1">
      <alignment horizontal="center"/>
    </xf>
    <xf numFmtId="0" fontId="0" fillId="0" borderId="0" xfId="0" applyAlignment="1">
      <alignment horizontal="left" vertical="center" wrapText="1" indent="1"/>
    </xf>
    <xf numFmtId="0" fontId="4" fillId="0" borderId="0" xfId="0" applyFont="1" applyAlignment="1">
      <alignment horizontal="center"/>
    </xf>
    <xf numFmtId="0" fontId="0" fillId="0" borderId="0" xfId="0" applyAlignment="1">
      <alignment horizontal="left" vertical="center" wrapText="1" indent="1"/>
    </xf>
    <xf numFmtId="0" fontId="0" fillId="0" borderId="0" xfId="0" applyAlignment="1">
      <alignment vertical="center" wrapText="1"/>
    </xf>
    <xf numFmtId="0" fontId="1" fillId="0" borderId="0" xfId="0" applyFont="1" applyAlignment="1">
      <alignment vertical="center" wrapText="1"/>
    </xf>
    <xf numFmtId="0" fontId="4" fillId="0" borderId="0" xfId="0" applyFont="1" applyAlignment="1">
      <alignment horizontal="left" vertical="center" wrapText="1" indent="1"/>
    </xf>
    <xf numFmtId="0" fontId="0" fillId="0" borderId="0" xfId="0" applyAlignment="1">
      <alignment horizontal="left" vertical="center" wrapText="1" indent="1"/>
    </xf>
    <xf numFmtId="0" fontId="4" fillId="0" borderId="0" xfId="0" applyFont="1" applyAlignment="1">
      <alignment horizontal="left" vertical="center" wrapText="1" indent="1"/>
    </xf>
    <xf numFmtId="7" fontId="4" fillId="0" borderId="0" xfId="2" applyNumberFormat="1" applyFont="1"/>
    <xf numFmtId="0" fontId="4" fillId="0" borderId="0" xfId="0" applyFont="1" applyFill="1" applyBorder="1"/>
    <xf numFmtId="0" fontId="0" fillId="47" borderId="37" xfId="0" applyFill="1" applyBorder="1" applyAlignment="1">
      <alignment horizontal="left" vertical="center" wrapText="1" indent="1"/>
    </xf>
    <xf numFmtId="0" fontId="0" fillId="47" borderId="30" xfId="0" applyFill="1" applyBorder="1"/>
    <xf numFmtId="0" fontId="6" fillId="47" borderId="30" xfId="0" applyFont="1" applyFill="1" applyBorder="1" applyAlignment="1">
      <alignment horizontal="right"/>
    </xf>
    <xf numFmtId="9" fontId="0" fillId="47" borderId="31" xfId="0" applyNumberFormat="1" applyFill="1" applyBorder="1" applyAlignment="1">
      <alignment horizontal="left"/>
    </xf>
    <xf numFmtId="8" fontId="1" fillId="0" borderId="0" xfId="0" applyNumberFormat="1" applyFont="1" applyAlignment="1">
      <alignment vertical="center" wrapText="1"/>
    </xf>
    <xf numFmtId="7" fontId="1" fillId="0" borderId="0" xfId="0" applyNumberFormat="1" applyFont="1" applyAlignment="1">
      <alignment vertical="center" wrapText="1"/>
    </xf>
    <xf numFmtId="0" fontId="4" fillId="48" borderId="0" xfId="0" applyFont="1" applyFill="1"/>
    <xf numFmtId="0" fontId="1" fillId="48" borderId="0" xfId="0" applyFont="1" applyFill="1"/>
    <xf numFmtId="2" fontId="1" fillId="48" borderId="0" xfId="0" applyNumberFormat="1" applyFont="1" applyFill="1"/>
    <xf numFmtId="41" fontId="1" fillId="48" borderId="0" xfId="0" applyNumberFormat="1" applyFont="1" applyFill="1" applyAlignment="1"/>
    <xf numFmtId="41" fontId="3" fillId="48" borderId="0" xfId="0" applyNumberFormat="1" applyFont="1" applyFill="1" applyAlignment="1"/>
    <xf numFmtId="41" fontId="4" fillId="48" borderId="0" xfId="0" applyNumberFormat="1" applyFont="1" applyFill="1"/>
    <xf numFmtId="3" fontId="1" fillId="48" borderId="0" xfId="0" applyNumberFormat="1" applyFont="1" applyFill="1" applyAlignment="1"/>
    <xf numFmtId="0" fontId="143" fillId="49" borderId="0" xfId="0" applyFont="1" applyFill="1" applyAlignment="1">
      <alignment horizontal="center"/>
    </xf>
    <xf numFmtId="41" fontId="2" fillId="49" borderId="0" xfId="0" applyNumberFormat="1" applyFont="1" applyFill="1" applyAlignment="1"/>
    <xf numFmtId="2" fontId="2" fillId="49" borderId="0" xfId="0" applyNumberFormat="1" applyFont="1" applyFill="1"/>
    <xf numFmtId="0" fontId="8" fillId="0" borderId="0" xfId="0" applyFont="1" applyAlignment="1">
      <alignment wrapText="1"/>
    </xf>
    <xf numFmtId="0" fontId="0" fillId="0" borderId="0" xfId="0" applyAlignment="1">
      <alignment vertical="center" wrapText="1"/>
    </xf>
    <xf numFmtId="0" fontId="34" fillId="0" borderId="0" xfId="0" applyFont="1" applyAlignment="1">
      <alignment horizontal="center"/>
    </xf>
    <xf numFmtId="0" fontId="0" fillId="0" borderId="0" xfId="0" applyAlignment="1">
      <alignment horizontal="left" vertical="center" wrapText="1"/>
    </xf>
    <xf numFmtId="0" fontId="4" fillId="0" borderId="29" xfId="0" applyNumberFormat="1" applyFont="1" applyBorder="1" applyAlignment="1">
      <alignment horizontal="center" wrapText="1"/>
    </xf>
    <xf numFmtId="41" fontId="2" fillId="0" borderId="0" xfId="0" applyNumberFormat="1" applyFont="1" applyFill="1"/>
    <xf numFmtId="165" fontId="2" fillId="0" borderId="29" xfId="7" applyNumberFormat="1" applyFont="1" applyFill="1" applyBorder="1"/>
    <xf numFmtId="164" fontId="4" fillId="0" borderId="0" xfId="0" applyNumberFormat="1" applyFont="1"/>
    <xf numFmtId="0" fontId="6" fillId="13" borderId="29" xfId="0" applyFont="1" applyFill="1" applyBorder="1" applyAlignment="1">
      <alignment horizontal="right"/>
    </xf>
    <xf numFmtId="0" fontId="132" fillId="0" borderId="0" xfId="0" applyFont="1"/>
    <xf numFmtId="0" fontId="132" fillId="0" borderId="0" xfId="0" applyFont="1" applyAlignment="1">
      <alignment horizontal="right"/>
    </xf>
    <xf numFmtId="2" fontId="132" fillId="0" borderId="0" xfId="0" applyNumberFormat="1" applyFont="1"/>
    <xf numFmtId="0" fontId="144" fillId="0" borderId="0" xfId="0" applyFont="1"/>
    <xf numFmtId="0" fontId="130" fillId="0" borderId="0" xfId="0" applyFont="1" applyAlignment="1">
      <alignment horizontal="center"/>
    </xf>
    <xf numFmtId="0" fontId="130" fillId="0" borderId="0" xfId="0" applyFont="1"/>
    <xf numFmtId="9" fontId="132" fillId="0" borderId="0" xfId="7" applyFont="1"/>
    <xf numFmtId="195" fontId="132" fillId="0" borderId="0" xfId="1" applyNumberFormat="1" applyFont="1"/>
    <xf numFmtId="195" fontId="132" fillId="0" borderId="0" xfId="1" applyNumberFormat="1" applyFont="1" applyAlignment="1">
      <alignment horizontal="right"/>
    </xf>
    <xf numFmtId="165" fontId="132" fillId="0" borderId="0" xfId="7" applyNumberFormat="1" applyFont="1"/>
    <xf numFmtId="166" fontId="132" fillId="0" borderId="0" xfId="0" applyNumberFormat="1" applyFont="1"/>
    <xf numFmtId="9" fontId="132" fillId="0" borderId="0" xfId="7" applyFont="1" applyAlignment="1">
      <alignment horizontal="right"/>
    </xf>
    <xf numFmtId="3" fontId="130" fillId="0" borderId="0" xfId="0" applyNumberFormat="1" applyFont="1"/>
    <xf numFmtId="195" fontId="130" fillId="21" borderId="29" xfId="0" applyNumberFormat="1" applyFont="1" applyFill="1" applyBorder="1" applyAlignment="1">
      <alignment horizontal="right"/>
    </xf>
    <xf numFmtId="9" fontId="130" fillId="0" borderId="0" xfId="7" applyFont="1"/>
    <xf numFmtId="195" fontId="130" fillId="0" borderId="0" xfId="1" applyNumberFormat="1" applyFont="1"/>
    <xf numFmtId="166" fontId="130" fillId="0" borderId="0" xfId="0" applyNumberFormat="1" applyFont="1"/>
    <xf numFmtId="195" fontId="132" fillId="0" borderId="0" xfId="0" applyNumberFormat="1" applyFont="1" applyAlignment="1">
      <alignment horizontal="right"/>
    </xf>
    <xf numFmtId="0" fontId="130" fillId="0" borderId="0" xfId="0" applyFont="1" applyAlignment="1">
      <alignment horizontal="right"/>
    </xf>
    <xf numFmtId="0" fontId="132" fillId="0" borderId="0" xfId="0" applyFont="1" applyAlignment="1">
      <alignment wrapText="1"/>
    </xf>
    <xf numFmtId="0" fontId="130" fillId="0" borderId="0" xfId="0" applyFont="1" applyAlignment="1">
      <alignment horizontal="right" wrapText="1"/>
    </xf>
    <xf numFmtId="0" fontId="146" fillId="0" borderId="0" xfId="0" applyFont="1"/>
    <xf numFmtId="3" fontId="132" fillId="0" borderId="0" xfId="0" applyNumberFormat="1" applyFont="1" applyAlignment="1">
      <alignment horizontal="right"/>
    </xf>
    <xf numFmtId="9" fontId="132" fillId="0" borderId="0" xfId="0" applyNumberFormat="1" applyFont="1"/>
    <xf numFmtId="0" fontId="130" fillId="26" borderId="0" xfId="0" applyFont="1" applyFill="1" applyAlignment="1">
      <alignment horizontal="right"/>
    </xf>
    <xf numFmtId="3" fontId="130" fillId="26" borderId="0" xfId="0" applyNumberFormat="1" applyFont="1" applyFill="1"/>
    <xf numFmtId="3" fontId="130" fillId="50" borderId="0" xfId="0" applyNumberFormat="1" applyFont="1" applyFill="1"/>
    <xf numFmtId="0" fontId="130" fillId="50" borderId="0" xfId="0" applyFont="1" applyFill="1"/>
    <xf numFmtId="0" fontId="132" fillId="50" borderId="0" xfId="0" applyFont="1" applyFill="1" applyAlignment="1">
      <alignment horizontal="right"/>
    </xf>
    <xf numFmtId="3" fontId="144" fillId="0" borderId="0" xfId="0" applyNumberFormat="1" applyFont="1"/>
    <xf numFmtId="0" fontId="130" fillId="0" borderId="0" xfId="0" applyFont="1" applyAlignment="1">
      <alignment horizontal="left" indent="1"/>
    </xf>
    <xf numFmtId="0" fontId="147" fillId="0" borderId="0" xfId="0" applyFont="1"/>
    <xf numFmtId="0" fontId="130" fillId="0" borderId="0" xfId="0" applyFont="1" applyAlignment="1">
      <alignment horizontal="left"/>
    </xf>
    <xf numFmtId="0" fontId="144" fillId="0" borderId="0" xfId="0" applyFont="1" applyAlignment="1">
      <alignment horizontal="left"/>
    </xf>
    <xf numFmtId="3" fontId="147" fillId="0" borderId="0" xfId="0" applyNumberFormat="1" applyFont="1"/>
    <xf numFmtId="3" fontId="147" fillId="0" borderId="0" xfId="0" applyNumberFormat="1" applyFont="1" applyAlignment="1">
      <alignment horizontal="right"/>
    </xf>
    <xf numFmtId="0" fontId="148" fillId="0" borderId="0" xfId="0" applyFont="1"/>
    <xf numFmtId="14" fontId="130" fillId="0" borderId="0" xfId="0" applyNumberFormat="1" applyFont="1"/>
    <xf numFmtId="0" fontId="0" fillId="0" borderId="0" xfId="0" applyAlignment="1">
      <alignment horizontal="left" vertical="center" wrapText="1" indent="1"/>
    </xf>
    <xf numFmtId="0" fontId="1" fillId="0" borderId="0" xfId="0" applyFont="1" applyAlignment="1">
      <alignment horizontal="center"/>
    </xf>
    <xf numFmtId="0" fontId="0" fillId="0" borderId="0" xfId="0" applyAlignment="1">
      <alignment horizontal="left" vertical="center" wrapText="1" indent="2"/>
    </xf>
    <xf numFmtId="0" fontId="0" fillId="0" borderId="0" xfId="0" applyAlignment="1">
      <alignment horizontal="left" wrapText="1" indent="1"/>
    </xf>
    <xf numFmtId="0" fontId="0" fillId="0" borderId="0" xfId="0" applyAlignment="1">
      <alignment horizontal="center"/>
    </xf>
    <xf numFmtId="0" fontId="0" fillId="0" borderId="17" xfId="0" applyBorder="1"/>
    <xf numFmtId="3" fontId="0" fillId="0" borderId="0" xfId="0" applyNumberFormat="1" applyBorder="1" applyAlignment="1">
      <alignment horizontal="center"/>
    </xf>
    <xf numFmtId="0" fontId="0" fillId="0" borderId="24" xfId="0" applyBorder="1"/>
    <xf numFmtId="0" fontId="0" fillId="0" borderId="0" xfId="0" applyAlignment="1">
      <alignment horizontal="left" vertical="center" wrapText="1" indent="2"/>
    </xf>
    <xf numFmtId="0" fontId="0" fillId="0" borderId="17" xfId="0" applyBorder="1"/>
    <xf numFmtId="0" fontId="0" fillId="0" borderId="25" xfId="0" applyBorder="1"/>
    <xf numFmtId="0" fontId="1" fillId="47" borderId="37" xfId="0" applyFont="1" applyFill="1" applyBorder="1" applyAlignment="1">
      <alignment horizontal="right"/>
    </xf>
    <xf numFmtId="7" fontId="1" fillId="0" borderId="29" xfId="2" applyNumberFormat="1" applyFont="1" applyBorder="1" applyAlignment="1">
      <alignment horizontal="center"/>
    </xf>
    <xf numFmtId="9" fontId="0" fillId="47" borderId="17" xfId="7" applyFont="1" applyFill="1" applyBorder="1" applyAlignment="1">
      <alignment horizontal="center"/>
    </xf>
    <xf numFmtId="9" fontId="0" fillId="47" borderId="24" xfId="7" applyFont="1" applyFill="1" applyBorder="1" applyAlignment="1">
      <alignment horizontal="center"/>
    </xf>
    <xf numFmtId="9" fontId="0" fillId="47" borderId="24" xfId="0" applyNumberFormat="1" applyFill="1" applyBorder="1" applyAlignment="1">
      <alignment horizontal="center"/>
    </xf>
    <xf numFmtId="0" fontId="0" fillId="47" borderId="31" xfId="0" applyFill="1" applyBorder="1"/>
    <xf numFmtId="9" fontId="0" fillId="47" borderId="37" xfId="0" applyNumberFormat="1" applyFill="1" applyBorder="1" applyAlignment="1">
      <alignment horizontal="center"/>
    </xf>
    <xf numFmtId="0" fontId="6" fillId="47" borderId="30" xfId="0" applyFont="1" applyFill="1" applyBorder="1" applyAlignment="1">
      <alignment horizontal="left" indent="1"/>
    </xf>
    <xf numFmtId="0" fontId="1" fillId="0" borderId="32" xfId="0" applyFont="1" applyBorder="1" applyAlignment="1">
      <alignment horizontal="left" indent="1"/>
    </xf>
    <xf numFmtId="3" fontId="0" fillId="0" borderId="24" xfId="0" applyNumberFormat="1" applyBorder="1" applyAlignment="1">
      <alignment horizontal="center"/>
    </xf>
    <xf numFmtId="0" fontId="1" fillId="0" borderId="42" xfId="0" applyFont="1" applyBorder="1" applyAlignment="1">
      <alignment horizontal="left" indent="1"/>
    </xf>
    <xf numFmtId="165" fontId="0" fillId="0" borderId="0" xfId="7" applyNumberFormat="1" applyFont="1" applyAlignment="1">
      <alignment horizontal="right" vertical="center" wrapText="1" indent="1"/>
    </xf>
    <xf numFmtId="167" fontId="0" fillId="0" borderId="37" xfId="2" applyNumberFormat="1" applyFont="1" applyBorder="1" applyAlignment="1">
      <alignment horizontal="center"/>
    </xf>
    <xf numFmtId="0" fontId="8" fillId="0" borderId="31" xfId="0" applyFont="1" applyBorder="1"/>
    <xf numFmtId="173" fontId="8" fillId="21" borderId="29" xfId="0" applyNumberFormat="1" applyFont="1" applyFill="1" applyBorder="1" applyAlignment="1">
      <alignment horizontal="center"/>
    </xf>
    <xf numFmtId="0" fontId="4" fillId="0" borderId="33" xfId="0" applyFont="1" applyBorder="1"/>
    <xf numFmtId="165" fontId="4" fillId="0" borderId="24" xfId="0" applyNumberFormat="1" applyFont="1" applyBorder="1" applyAlignment="1">
      <alignment horizontal="center"/>
    </xf>
    <xf numFmtId="165" fontId="4" fillId="0" borderId="24" xfId="7" applyNumberFormat="1" applyFont="1" applyBorder="1" applyAlignment="1">
      <alignment horizontal="center"/>
    </xf>
    <xf numFmtId="0" fontId="6" fillId="0" borderId="42" xfId="0" applyFont="1" applyBorder="1" applyAlignment="1">
      <alignment horizontal="left" indent="2"/>
    </xf>
    <xf numFmtId="173" fontId="1" fillId="0" borderId="29" xfId="0" applyNumberFormat="1" applyFont="1" applyBorder="1" applyAlignment="1">
      <alignment horizontal="center"/>
    </xf>
    <xf numFmtId="0" fontId="1" fillId="0" borderId="32" xfId="0" applyFont="1" applyBorder="1"/>
    <xf numFmtId="6" fontId="4" fillId="0" borderId="0" xfId="0" applyNumberFormat="1" applyFont="1"/>
    <xf numFmtId="0" fontId="1" fillId="0" borderId="42" xfId="0" applyFont="1" applyBorder="1"/>
    <xf numFmtId="0" fontId="6" fillId="0" borderId="0" xfId="0" applyFont="1" applyAlignment="1">
      <alignment horizontal="center"/>
    </xf>
    <xf numFmtId="0" fontId="0" fillId="0" borderId="0" xfId="0" applyAlignment="1">
      <alignment horizontal="left" vertical="center" wrapText="1" indent="1"/>
    </xf>
    <xf numFmtId="0" fontId="0" fillId="0" borderId="0" xfId="0" applyAlignment="1">
      <alignment horizontal="left" wrapText="1" indent="1"/>
    </xf>
    <xf numFmtId="0" fontId="30" fillId="0" borderId="0" xfId="0" quotePrefix="1" applyFont="1" applyAlignment="1">
      <alignment horizontal="center"/>
    </xf>
    <xf numFmtId="0" fontId="0" fillId="0" borderId="0" xfId="0" applyAlignment="1">
      <alignment horizontal="left" vertical="center" wrapText="1" indent="1"/>
    </xf>
    <xf numFmtId="3" fontId="1" fillId="0" borderId="0" xfId="0" applyNumberFormat="1" applyFont="1" applyAlignment="1">
      <alignment horizontal="right" vertical="center"/>
    </xf>
    <xf numFmtId="6" fontId="1" fillId="0" borderId="0" xfId="0" applyNumberFormat="1" applyFont="1"/>
    <xf numFmtId="8" fontId="4" fillId="0" borderId="0" xfId="0" applyNumberFormat="1" applyFont="1"/>
    <xf numFmtId="204" fontId="4" fillId="0" borderId="0" xfId="0" applyNumberFormat="1" applyFont="1"/>
    <xf numFmtId="0" fontId="65" fillId="0" borderId="0" xfId="0" applyFont="1"/>
    <xf numFmtId="3" fontId="5" fillId="0" borderId="0" xfId="0" applyNumberFormat="1" applyFont="1" applyAlignment="1">
      <alignment horizontal="right" indent="2"/>
    </xf>
    <xf numFmtId="1" fontId="0" fillId="0" borderId="0" xfId="0" applyNumberFormat="1" applyAlignment="1">
      <alignment horizontal="right" indent="1"/>
    </xf>
    <xf numFmtId="2" fontId="0" fillId="0" borderId="0" xfId="7" applyNumberFormat="1" applyFont="1" applyAlignment="1">
      <alignment horizontal="center"/>
    </xf>
    <xf numFmtId="3" fontId="5" fillId="51" borderId="0" xfId="0" applyNumberFormat="1" applyFont="1" applyFill="1"/>
    <xf numFmtId="165" fontId="5" fillId="51" borderId="0" xfId="7" applyNumberFormat="1" applyFont="1" applyFill="1"/>
    <xf numFmtId="43" fontId="8" fillId="0" borderId="0" xfId="1" applyNumberFormat="1" applyFont="1" applyAlignment="1">
      <alignment horizontal="center"/>
    </xf>
    <xf numFmtId="0" fontId="8" fillId="0" borderId="0" xfId="0" applyFont="1" applyBorder="1" applyAlignment="1">
      <alignment wrapText="1"/>
    </xf>
    <xf numFmtId="0" fontId="0" fillId="0" borderId="0" xfId="0" applyAlignment="1">
      <alignment horizontal="left" vertical="center" wrapText="1" indent="1"/>
    </xf>
    <xf numFmtId="0" fontId="0" fillId="0" borderId="0" xfId="0" applyAlignment="1">
      <alignment horizontal="left" vertical="center" wrapText="1" indent="1"/>
    </xf>
    <xf numFmtId="0" fontId="0" fillId="0" borderId="0" xfId="0" applyBorder="1" applyAlignment="1">
      <alignment vertical="center" wrapText="1"/>
    </xf>
    <xf numFmtId="0" fontId="7" fillId="0" borderId="0" xfId="0" applyFont="1" applyAlignment="1">
      <alignment horizontal="center"/>
    </xf>
    <xf numFmtId="0" fontId="0" fillId="0" borderId="0" xfId="0" applyAlignment="1">
      <alignment horizontal="left" vertical="center" wrapText="1" indent="2"/>
    </xf>
    <xf numFmtId="0" fontId="5" fillId="0" borderId="0" xfId="0" applyFont="1" applyAlignment="1">
      <alignment horizontal="center" vertical="center" wrapText="1"/>
    </xf>
    <xf numFmtId="0" fontId="0" fillId="0" borderId="0" xfId="0" applyBorder="1" applyAlignment="1">
      <alignment horizontal="left" vertical="center" wrapText="1" indent="2"/>
    </xf>
    <xf numFmtId="195" fontId="0" fillId="47" borderId="34" xfId="1" applyNumberFormat="1" applyFont="1" applyFill="1" applyBorder="1" applyAlignment="1">
      <alignment horizontal="left" vertical="center" wrapText="1" indent="1"/>
    </xf>
    <xf numFmtId="195" fontId="0" fillId="47" borderId="35" xfId="1" applyNumberFormat="1" applyFont="1" applyFill="1" applyBorder="1" applyAlignment="1">
      <alignment horizontal="left" vertical="center" wrapText="1" indent="1"/>
    </xf>
    <xf numFmtId="195" fontId="0" fillId="47" borderId="36" xfId="1" applyNumberFormat="1" applyFont="1" applyFill="1" applyBorder="1" applyAlignment="1">
      <alignment horizontal="left" vertical="center" wrapText="1" indent="1"/>
    </xf>
    <xf numFmtId="195" fontId="0" fillId="25" borderId="34" xfId="0" applyNumberFormat="1" applyFill="1" applyBorder="1" applyAlignment="1">
      <alignment horizontal="left" vertical="center" wrapText="1" indent="1"/>
    </xf>
    <xf numFmtId="195" fontId="0" fillId="25" borderId="35" xfId="0" applyNumberFormat="1" applyFill="1" applyBorder="1" applyAlignment="1">
      <alignment horizontal="left" vertical="center" wrapText="1" indent="1"/>
    </xf>
    <xf numFmtId="195" fontId="0" fillId="25" borderId="35" xfId="1" applyNumberFormat="1" applyFont="1" applyFill="1" applyBorder="1" applyAlignment="1">
      <alignment horizontal="left" vertical="center" wrapText="1" indent="1"/>
    </xf>
    <xf numFmtId="195" fontId="0" fillId="25" borderId="36" xfId="1" applyNumberFormat="1" applyFont="1" applyFill="1" applyBorder="1" applyAlignment="1">
      <alignment horizontal="left" vertical="center" wrapText="1" indent="1"/>
    </xf>
    <xf numFmtId="0" fontId="0" fillId="0" borderId="24" xfId="0" applyFill="1" applyBorder="1"/>
    <xf numFmtId="0" fontId="7" fillId="21" borderId="37" xfId="0" applyFont="1" applyFill="1" applyBorder="1" applyAlignment="1">
      <alignment horizontal="right" vertical="center"/>
    </xf>
    <xf numFmtId="165" fontId="4" fillId="21" borderId="31" xfId="7" applyNumberFormat="1" applyFont="1" applyFill="1" applyBorder="1" applyAlignment="1">
      <alignment horizontal="right" vertical="center" wrapText="1" indent="1"/>
    </xf>
    <xf numFmtId="165" fontId="0" fillId="25" borderId="35" xfId="7" applyNumberFormat="1" applyFont="1" applyFill="1" applyBorder="1" applyAlignment="1">
      <alignment horizontal="right" vertical="center" wrapText="1" indent="1"/>
    </xf>
    <xf numFmtId="7" fontId="0" fillId="0" borderId="0" xfId="0" applyNumberFormat="1" applyBorder="1" applyAlignment="1">
      <alignment horizontal="right"/>
    </xf>
    <xf numFmtId="7" fontId="6" fillId="0" borderId="0" xfId="0" applyNumberFormat="1" applyFont="1" applyBorder="1" applyAlignment="1">
      <alignment horizontal="left"/>
    </xf>
    <xf numFmtId="0" fontId="7" fillId="0" borderId="0" xfId="0" applyFont="1" applyFill="1" applyAlignment="1">
      <alignment horizontal="right" vertical="center" wrapText="1"/>
    </xf>
    <xf numFmtId="0" fontId="4" fillId="0" borderId="0" xfId="0" applyFont="1" applyFill="1" applyAlignment="1">
      <alignment horizontal="left" indent="1"/>
    </xf>
    <xf numFmtId="169" fontId="4" fillId="0" borderId="0" xfId="1" applyNumberFormat="1" applyFont="1"/>
    <xf numFmtId="165" fontId="1" fillId="0" borderId="0" xfId="0" applyNumberFormat="1" applyFont="1" applyBorder="1" applyAlignment="1">
      <alignment horizontal="center" vertical="center"/>
    </xf>
    <xf numFmtId="167" fontId="0" fillId="0" borderId="0" xfId="0" applyNumberFormat="1" applyAlignment="1">
      <alignment horizontal="right"/>
    </xf>
    <xf numFmtId="0" fontId="0" fillId="0" borderId="0" xfId="0" applyFill="1" applyBorder="1" applyAlignment="1">
      <alignment wrapText="1"/>
    </xf>
    <xf numFmtId="0" fontId="6" fillId="0" borderId="0" xfId="0" applyFont="1" applyFill="1" applyBorder="1" applyAlignment="1">
      <alignment horizontal="center" wrapText="1"/>
    </xf>
    <xf numFmtId="0" fontId="10" fillId="0" borderId="0" xfId="0" applyFont="1" applyAlignment="1">
      <alignment horizontal="left" wrapText="1" indent="1"/>
    </xf>
    <xf numFmtId="0" fontId="8" fillId="0" borderId="0" xfId="0" applyFont="1"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25" xfId="0" applyBorder="1"/>
    <xf numFmtId="0" fontId="9" fillId="0" borderId="18" xfId="0" applyFont="1" applyBorder="1" applyAlignment="1">
      <alignment horizontal="center"/>
    </xf>
    <xf numFmtId="0" fontId="1" fillId="0" borderId="0" xfId="0" applyFont="1" applyFill="1" applyBorder="1" applyAlignment="1">
      <alignment horizontal="left"/>
    </xf>
    <xf numFmtId="0" fontId="131" fillId="0" borderId="0" xfId="0" applyFont="1" applyAlignment="1">
      <alignment horizontal="left" wrapText="1" indent="1"/>
    </xf>
    <xf numFmtId="0" fontId="1" fillId="0" borderId="0" xfId="0" quotePrefix="1" applyFont="1"/>
    <xf numFmtId="10" fontId="125" fillId="0" borderId="0" xfId="7" applyNumberFormat="1" applyFont="1"/>
    <xf numFmtId="195" fontId="4" fillId="0" borderId="0" xfId="0" applyNumberFormat="1" applyFont="1"/>
    <xf numFmtId="0" fontId="0" fillId="0" borderId="0" xfId="0" applyAlignment="1">
      <alignment horizontal="left" vertical="center" wrapText="1" indent="2"/>
    </xf>
    <xf numFmtId="0" fontId="0" fillId="0" borderId="0" xfId="0" applyBorder="1" applyAlignment="1">
      <alignment wrapText="1"/>
    </xf>
    <xf numFmtId="173" fontId="1" fillId="0" borderId="0" xfId="0" applyNumberFormat="1" applyFont="1"/>
    <xf numFmtId="0" fontId="1" fillId="0" borderId="33" xfId="0" applyFont="1" applyBorder="1" applyAlignment="1">
      <alignment horizontal="left" indent="1"/>
    </xf>
    <xf numFmtId="10" fontId="1" fillId="0" borderId="17" xfId="7" applyNumberFormat="1" applyFont="1" applyBorder="1"/>
    <xf numFmtId="0" fontId="1" fillId="0" borderId="0" xfId="0" applyFont="1" applyAlignment="1">
      <alignment horizontal="right" indent="1"/>
    </xf>
    <xf numFmtId="167" fontId="1" fillId="0" borderId="29" xfId="0" applyNumberFormat="1" applyFont="1" applyBorder="1" applyAlignment="1">
      <alignment horizontal="center"/>
    </xf>
    <xf numFmtId="7" fontId="4" fillId="0" borderId="0" xfId="2" applyNumberFormat="1" applyFont="1" applyBorder="1" applyAlignment="1">
      <alignment horizontal="right" wrapText="1"/>
    </xf>
    <xf numFmtId="166" fontId="0" fillId="0" borderId="0" xfId="0" applyNumberFormat="1" applyBorder="1" applyAlignment="1">
      <alignment wrapText="1"/>
    </xf>
    <xf numFmtId="167" fontId="0" fillId="0" borderId="0" xfId="2" applyNumberFormat="1" applyFont="1" applyBorder="1" applyAlignment="1">
      <alignment horizontal="right" wrapText="1" indent="1"/>
    </xf>
    <xf numFmtId="0" fontId="6" fillId="0" borderId="32" xfId="0" applyFont="1" applyBorder="1" applyAlignment="1">
      <alignment horizontal="left" indent="2"/>
    </xf>
    <xf numFmtId="2" fontId="0" fillId="0" borderId="21" xfId="0" applyNumberFormat="1" applyBorder="1" applyAlignment="1">
      <alignment horizontal="center"/>
    </xf>
    <xf numFmtId="0" fontId="0" fillId="0" borderId="0" xfId="0" applyAlignment="1">
      <alignment horizontal="left" vertical="center" wrapText="1" indent="1"/>
    </xf>
    <xf numFmtId="0" fontId="0" fillId="0" borderId="0" xfId="0" applyAlignment="1">
      <alignment wrapText="1"/>
    </xf>
    <xf numFmtId="0" fontId="0" fillId="25" borderId="35" xfId="0" applyFill="1" applyBorder="1" applyAlignment="1">
      <alignment horizontal="left" vertical="center" wrapText="1" indent="1"/>
    </xf>
    <xf numFmtId="0" fontId="8" fillId="0" borderId="0" xfId="0" applyFont="1" applyBorder="1" applyAlignment="1">
      <alignment wrapText="1"/>
    </xf>
    <xf numFmtId="2" fontId="0" fillId="0" borderId="0" xfId="0" applyNumberFormat="1" applyBorder="1" applyAlignment="1">
      <alignment wrapText="1"/>
    </xf>
    <xf numFmtId="165" fontId="0" fillId="0" borderId="0" xfId="7" applyNumberFormat="1" applyFont="1" applyBorder="1" applyAlignment="1">
      <alignment horizontal="right"/>
    </xf>
    <xf numFmtId="0" fontId="4" fillId="0" borderId="0" xfId="0" applyFont="1" applyBorder="1" applyAlignment="1">
      <alignment wrapText="1"/>
    </xf>
    <xf numFmtId="169" fontId="4" fillId="0" borderId="0" xfId="0" applyNumberFormat="1" applyFont="1" applyBorder="1"/>
    <xf numFmtId="7" fontId="4" fillId="0" borderId="0" xfId="2" applyNumberFormat="1" applyFont="1" applyBorder="1" applyAlignment="1">
      <alignment horizontal="right" wrapText="1" indent="1"/>
    </xf>
    <xf numFmtId="2" fontId="4" fillId="0" borderId="0" xfId="0" applyNumberFormat="1" applyFont="1" applyBorder="1" applyAlignment="1">
      <alignment wrapText="1"/>
    </xf>
    <xf numFmtId="166" fontId="4" fillId="0" borderId="0" xfId="0" applyNumberFormat="1" applyFont="1" applyBorder="1" applyAlignment="1">
      <alignment wrapText="1"/>
    </xf>
    <xf numFmtId="175" fontId="0" fillId="0" borderId="0" xfId="0" applyNumberFormat="1" applyBorder="1" applyAlignment="1">
      <alignment wrapText="1"/>
    </xf>
    <xf numFmtId="9" fontId="0" fillId="0" borderId="0" xfId="7" applyNumberFormat="1" applyFont="1" applyBorder="1" applyAlignment="1">
      <alignment horizontal="right"/>
    </xf>
    <xf numFmtId="166" fontId="1" fillId="0" borderId="0" xfId="0" applyNumberFormat="1" applyFont="1" applyBorder="1" applyAlignment="1">
      <alignment wrapText="1"/>
    </xf>
    <xf numFmtId="0" fontId="4" fillId="0" borderId="0" xfId="0" applyFont="1" applyAlignment="1">
      <alignment horizontal="left" vertical="center" wrapText="1" indent="2"/>
    </xf>
    <xf numFmtId="175" fontId="4" fillId="0" borderId="0" xfId="0" applyNumberFormat="1" applyFont="1" applyBorder="1" applyAlignment="1">
      <alignment wrapText="1"/>
    </xf>
    <xf numFmtId="9" fontId="0" fillId="52" borderId="0" xfId="7" applyFont="1" applyFill="1"/>
    <xf numFmtId="9" fontId="4" fillId="0" borderId="0" xfId="7" applyFont="1" applyAlignment="1">
      <alignment horizontal="left" indent="1"/>
    </xf>
    <xf numFmtId="0" fontId="0" fillId="0" borderId="0" xfId="0" applyAlignment="1">
      <alignment horizontal="left" vertical="center" wrapText="1" indent="1"/>
    </xf>
    <xf numFmtId="0" fontId="10" fillId="0" borderId="0" xfId="0" applyFont="1" applyAlignment="1">
      <alignment horizontal="left" vertical="center" wrapText="1" indent="3"/>
    </xf>
    <xf numFmtId="9" fontId="1" fillId="0" borderId="0" xfId="7" applyFont="1" applyBorder="1" applyAlignment="1">
      <alignment horizontal="right" indent="1"/>
    </xf>
    <xf numFmtId="0" fontId="7" fillId="21" borderId="29" xfId="0" applyFont="1" applyFill="1" applyBorder="1" applyAlignment="1">
      <alignment horizontal="center"/>
    </xf>
    <xf numFmtId="168" fontId="4" fillId="21" borderId="34" xfId="0" applyNumberFormat="1" applyFont="1" applyFill="1" applyBorder="1" applyAlignment="1">
      <alignment horizontal="center"/>
    </xf>
    <xf numFmtId="168" fontId="4" fillId="21" borderId="36" xfId="0" applyNumberFormat="1" applyFont="1" applyFill="1" applyBorder="1" applyAlignment="1">
      <alignment horizontal="center"/>
    </xf>
    <xf numFmtId="165" fontId="1" fillId="0" borderId="0" xfId="7" applyNumberFormat="1" applyFont="1" applyFill="1" applyBorder="1" applyAlignment="1">
      <alignment horizontal="right" vertical="center" wrapText="1" indent="1"/>
    </xf>
    <xf numFmtId="195" fontId="0" fillId="25" borderId="35" xfId="0" applyNumberFormat="1" applyFill="1" applyBorder="1"/>
    <xf numFmtId="0" fontId="0" fillId="25" borderId="35" xfId="0" applyFill="1" applyBorder="1"/>
    <xf numFmtId="165" fontId="125" fillId="0" borderId="0" xfId="7" quotePrefix="1" applyNumberFormat="1" applyFont="1" applyAlignment="1">
      <alignment horizontal="center"/>
    </xf>
    <xf numFmtId="43" fontId="1" fillId="51" borderId="34" xfId="1" applyNumberFormat="1" applyFont="1" applyFill="1" applyBorder="1"/>
    <xf numFmtId="44" fontId="1" fillId="0" borderId="34" xfId="2" applyFont="1" applyBorder="1"/>
    <xf numFmtId="44" fontId="7" fillId="0" borderId="36" xfId="2" applyFont="1" applyBorder="1" applyAlignment="1">
      <alignment horizontal="center"/>
    </xf>
    <xf numFmtId="43" fontId="1" fillId="47" borderId="42" xfId="1" applyNumberFormat="1" applyFont="1" applyFill="1" applyBorder="1" applyAlignment="1">
      <alignment vertical="top"/>
    </xf>
    <xf numFmtId="43" fontId="1" fillId="21" borderId="33" xfId="1" applyNumberFormat="1" applyFont="1" applyFill="1" applyBorder="1"/>
    <xf numFmtId="43" fontId="1" fillId="51" borderId="35" xfId="1" applyNumberFormat="1" applyFont="1" applyFill="1" applyBorder="1"/>
    <xf numFmtId="43" fontId="1" fillId="54" borderId="35" xfId="1" applyNumberFormat="1" applyFont="1" applyFill="1" applyBorder="1"/>
    <xf numFmtId="44" fontId="1" fillId="54" borderId="35" xfId="2" applyFont="1" applyFill="1" applyBorder="1"/>
    <xf numFmtId="43" fontId="1" fillId="54" borderId="36" xfId="1" applyNumberFormat="1" applyFont="1" applyFill="1" applyBorder="1"/>
    <xf numFmtId="0" fontId="0" fillId="0" borderId="0" xfId="0" applyAlignment="1">
      <alignment vertical="center" wrapText="1"/>
    </xf>
    <xf numFmtId="0" fontId="0" fillId="0" borderId="0" xfId="0" applyAlignment="1">
      <alignment horizontal="left" wrapText="1" indent="1"/>
    </xf>
    <xf numFmtId="0" fontId="0" fillId="0" borderId="0" xfId="0" applyBorder="1" applyAlignment="1">
      <alignment wrapText="1"/>
    </xf>
    <xf numFmtId="0" fontId="10" fillId="0" borderId="0" xfId="0" applyFont="1" applyAlignment="1">
      <alignment horizontal="left" wrapText="1" indent="1"/>
    </xf>
    <xf numFmtId="0" fontId="0" fillId="0" borderId="45" xfId="0" applyBorder="1" applyAlignment="1">
      <alignment wrapText="1"/>
    </xf>
    <xf numFmtId="0" fontId="0" fillId="0" borderId="1" xfId="0" applyBorder="1" applyAlignment="1">
      <alignment wrapText="1"/>
    </xf>
    <xf numFmtId="194" fontId="8" fillId="0" borderId="0" xfId="2" applyNumberFormat="1" applyFont="1" applyBorder="1"/>
    <xf numFmtId="0" fontId="0" fillId="0" borderId="0" xfId="0" applyAlignment="1">
      <alignment wrapText="1"/>
    </xf>
    <xf numFmtId="0" fontId="1" fillId="0" borderId="0" xfId="0" applyFont="1" applyFill="1" applyBorder="1" applyAlignment="1">
      <alignment horizontal="center" wrapText="1"/>
    </xf>
    <xf numFmtId="0" fontId="8" fillId="47" borderId="44" xfId="0" applyFont="1" applyFill="1" applyBorder="1" applyAlignment="1">
      <alignment horizontal="center"/>
    </xf>
    <xf numFmtId="0" fontId="8" fillId="47" borderId="0" xfId="0" applyFont="1" applyFill="1" applyBorder="1" applyAlignment="1">
      <alignment horizontal="center"/>
    </xf>
    <xf numFmtId="0" fontId="3" fillId="47" borderId="44" xfId="0" applyFont="1" applyFill="1" applyBorder="1" applyAlignment="1">
      <alignment horizontal="center"/>
    </xf>
    <xf numFmtId="0" fontId="3" fillId="47" borderId="0" xfId="0" applyFont="1" applyFill="1" applyBorder="1" applyAlignment="1">
      <alignment horizontal="center"/>
    </xf>
    <xf numFmtId="0" fontId="60" fillId="47" borderId="0" xfId="0" applyFont="1" applyFill="1" applyBorder="1" applyAlignment="1">
      <alignment horizontal="center"/>
    </xf>
    <xf numFmtId="0" fontId="0" fillId="47" borderId="44" xfId="0" applyFill="1" applyBorder="1"/>
    <xf numFmtId="0" fontId="0" fillId="47" borderId="0" xfId="0" applyFill="1" applyBorder="1"/>
    <xf numFmtId="0" fontId="8" fillId="47" borderId="0" xfId="0" applyFont="1" applyFill="1" applyBorder="1"/>
    <xf numFmtId="5" fontId="0" fillId="47" borderId="44" xfId="2" applyNumberFormat="1" applyFont="1" applyFill="1" applyBorder="1" applyAlignment="1">
      <alignment horizontal="center"/>
    </xf>
    <xf numFmtId="5" fontId="0" fillId="47" borderId="0" xfId="2" applyNumberFormat="1" applyFont="1" applyFill="1" applyBorder="1" applyAlignment="1">
      <alignment horizontal="center"/>
    </xf>
    <xf numFmtId="5" fontId="8" fillId="47" borderId="0" xfId="2" applyNumberFormat="1" applyFont="1" applyFill="1" applyBorder="1" applyAlignment="1">
      <alignment horizontal="center"/>
    </xf>
    <xf numFmtId="173" fontId="0" fillId="47" borderId="44" xfId="2" applyNumberFormat="1" applyFont="1" applyFill="1" applyBorder="1" applyAlignment="1">
      <alignment horizontal="center"/>
    </xf>
    <xf numFmtId="173" fontId="0" fillId="47" borderId="0" xfId="2" applyNumberFormat="1" applyFont="1" applyFill="1" applyBorder="1" applyAlignment="1">
      <alignment horizontal="center"/>
    </xf>
    <xf numFmtId="173" fontId="8" fillId="47" borderId="0" xfId="2" applyNumberFormat="1" applyFont="1" applyFill="1" applyBorder="1" applyAlignment="1">
      <alignment horizontal="center"/>
    </xf>
    <xf numFmtId="5" fontId="0" fillId="47" borderId="45" xfId="2" applyNumberFormat="1" applyFont="1" applyFill="1" applyBorder="1" applyAlignment="1">
      <alignment horizontal="center"/>
    </xf>
    <xf numFmtId="5" fontId="0" fillId="47" borderId="1" xfId="2" applyNumberFormat="1" applyFont="1" applyFill="1" applyBorder="1" applyAlignment="1">
      <alignment horizontal="center"/>
    </xf>
    <xf numFmtId="5" fontId="4" fillId="47" borderId="1" xfId="2" applyNumberFormat="1" applyFont="1" applyFill="1" applyBorder="1" applyAlignment="1">
      <alignment horizontal="center"/>
    </xf>
    <xf numFmtId="0" fontId="0" fillId="48" borderId="0" xfId="0" applyFill="1" applyBorder="1"/>
    <xf numFmtId="0" fontId="8" fillId="48" borderId="32" xfId="0" applyFont="1" applyFill="1" applyBorder="1" applyAlignment="1">
      <alignment horizontal="center"/>
    </xf>
    <xf numFmtId="0" fontId="8" fillId="48" borderId="0" xfId="0" applyFont="1" applyFill="1" applyBorder="1" applyAlignment="1">
      <alignment horizontal="center"/>
    </xf>
    <xf numFmtId="0" fontId="8" fillId="48" borderId="24" xfId="0" applyFont="1" applyFill="1" applyBorder="1" applyAlignment="1">
      <alignment horizontal="center"/>
    </xf>
    <xf numFmtId="0" fontId="3" fillId="48" borderId="32" xfId="0" applyFont="1" applyFill="1" applyBorder="1" applyAlignment="1">
      <alignment horizontal="center"/>
    </xf>
    <xf numFmtId="0" fontId="3" fillId="48" borderId="0" xfId="0" applyFont="1" applyFill="1" applyBorder="1" applyAlignment="1">
      <alignment horizontal="center"/>
    </xf>
    <xf numFmtId="0" fontId="60" fillId="48" borderId="24" xfId="0" applyFont="1" applyFill="1" applyBorder="1" applyAlignment="1">
      <alignment horizontal="center"/>
    </xf>
    <xf numFmtId="0" fontId="0" fillId="48" borderId="32" xfId="0" applyFill="1" applyBorder="1"/>
    <xf numFmtId="0" fontId="8" fillId="48" borderId="24" xfId="0" applyFont="1" applyFill="1" applyBorder="1"/>
    <xf numFmtId="5" fontId="0" fillId="48" borderId="32" xfId="2" applyNumberFormat="1" applyFont="1" applyFill="1" applyBorder="1" applyAlignment="1">
      <alignment horizontal="center"/>
    </xf>
    <xf numFmtId="5" fontId="0" fillId="48" borderId="0" xfId="2" applyNumberFormat="1" applyFont="1" applyFill="1" applyBorder="1" applyAlignment="1">
      <alignment horizontal="center"/>
    </xf>
    <xf numFmtId="5" fontId="8" fillId="48" borderId="24" xfId="2" applyNumberFormat="1" applyFont="1" applyFill="1" applyBorder="1" applyAlignment="1">
      <alignment horizontal="center"/>
    </xf>
    <xf numFmtId="173" fontId="0" fillId="48" borderId="32" xfId="2" applyNumberFormat="1" applyFont="1" applyFill="1" applyBorder="1" applyAlignment="1">
      <alignment horizontal="center"/>
    </xf>
    <xf numFmtId="173" fontId="0" fillId="48" borderId="0" xfId="2" applyNumberFormat="1" applyFont="1" applyFill="1" applyBorder="1" applyAlignment="1">
      <alignment horizontal="center"/>
    </xf>
    <xf numFmtId="173" fontId="8" fillId="48" borderId="24" xfId="2" applyNumberFormat="1" applyFont="1" applyFill="1" applyBorder="1" applyAlignment="1">
      <alignment horizontal="center"/>
    </xf>
    <xf numFmtId="5" fontId="0" fillId="48" borderId="50" xfId="2" applyNumberFormat="1" applyFont="1" applyFill="1" applyBorder="1" applyAlignment="1">
      <alignment horizontal="center"/>
    </xf>
    <xf numFmtId="5" fontId="0" fillId="48" borderId="1" xfId="2" applyNumberFormat="1" applyFont="1" applyFill="1" applyBorder="1" applyAlignment="1">
      <alignment horizontal="center"/>
    </xf>
    <xf numFmtId="0" fontId="8" fillId="53" borderId="0" xfId="0" applyFont="1" applyFill="1" applyBorder="1" applyAlignment="1">
      <alignment horizontal="center"/>
    </xf>
    <xf numFmtId="0" fontId="8" fillId="53" borderId="10" xfId="0" applyFont="1" applyFill="1" applyBorder="1" applyAlignment="1">
      <alignment horizontal="center"/>
    </xf>
    <xf numFmtId="0" fontId="3" fillId="53" borderId="0" xfId="0" applyFont="1" applyFill="1" applyBorder="1" applyAlignment="1">
      <alignment horizontal="center"/>
    </xf>
    <xf numFmtId="0" fontId="60" fillId="53" borderId="10" xfId="0" applyFont="1" applyFill="1" applyBorder="1" applyAlignment="1">
      <alignment horizontal="center"/>
    </xf>
    <xf numFmtId="0" fontId="0" fillId="53" borderId="0" xfId="0" applyFill="1" applyBorder="1"/>
    <xf numFmtId="0" fontId="8" fillId="53" borderId="10" xfId="0" applyFont="1" applyFill="1" applyBorder="1"/>
    <xf numFmtId="5" fontId="0" fillId="53" borderId="0" xfId="2" applyNumberFormat="1" applyFont="1" applyFill="1" applyBorder="1" applyAlignment="1">
      <alignment horizontal="center"/>
    </xf>
    <xf numFmtId="173" fontId="8" fillId="53" borderId="10" xfId="2" applyNumberFormat="1" applyFont="1" applyFill="1" applyBorder="1" applyAlignment="1">
      <alignment horizontal="center"/>
    </xf>
    <xf numFmtId="173" fontId="0" fillId="53" borderId="0" xfId="2" applyNumberFormat="1" applyFont="1" applyFill="1" applyBorder="1" applyAlignment="1">
      <alignment horizontal="center"/>
    </xf>
    <xf numFmtId="5" fontId="0" fillId="53" borderId="1" xfId="2" applyNumberFormat="1" applyFont="1" applyFill="1" applyBorder="1" applyAlignment="1">
      <alignment horizontal="center"/>
    </xf>
    <xf numFmtId="5" fontId="4" fillId="53" borderId="11" xfId="2" applyNumberFormat="1" applyFont="1" applyFill="1" applyBorder="1" applyAlignment="1">
      <alignment horizontal="center"/>
    </xf>
    <xf numFmtId="0" fontId="3" fillId="21" borderId="0" xfId="0" applyFont="1" applyFill="1" applyBorder="1" applyAlignment="1">
      <alignment horizontal="center"/>
    </xf>
    <xf numFmtId="0" fontId="60" fillId="21" borderId="10" xfId="0" applyFont="1" applyFill="1" applyBorder="1" applyAlignment="1">
      <alignment horizontal="center"/>
    </xf>
    <xf numFmtId="0" fontId="3" fillId="55" borderId="44" xfId="0" applyFont="1" applyFill="1" applyBorder="1" applyAlignment="1">
      <alignment horizontal="center"/>
    </xf>
    <xf numFmtId="0" fontId="3" fillId="55" borderId="0" xfId="0" applyFont="1" applyFill="1" applyBorder="1" applyAlignment="1">
      <alignment horizontal="center"/>
    </xf>
    <xf numFmtId="0" fontId="60" fillId="55" borderId="10" xfId="0" applyFont="1" applyFill="1" applyBorder="1" applyAlignment="1">
      <alignment horizontal="center"/>
    </xf>
    <xf numFmtId="0" fontId="0" fillId="55" borderId="44" xfId="0" applyFill="1" applyBorder="1"/>
    <xf numFmtId="0" fontId="0" fillId="55" borderId="0" xfId="0" applyFill="1" applyBorder="1"/>
    <xf numFmtId="0" fontId="8" fillId="55" borderId="10" xfId="0" applyFont="1" applyFill="1" applyBorder="1"/>
    <xf numFmtId="173" fontId="0" fillId="55" borderId="44" xfId="2" applyNumberFormat="1" applyFont="1" applyFill="1" applyBorder="1" applyAlignment="1">
      <alignment horizontal="center"/>
    </xf>
    <xf numFmtId="173" fontId="0" fillId="55" borderId="0" xfId="2" applyNumberFormat="1" applyFont="1" applyFill="1" applyBorder="1" applyAlignment="1">
      <alignment horizontal="center"/>
    </xf>
    <xf numFmtId="173" fontId="8" fillId="55" borderId="10" xfId="2" applyNumberFormat="1" applyFont="1" applyFill="1" applyBorder="1" applyAlignment="1">
      <alignment horizontal="center"/>
    </xf>
    <xf numFmtId="173" fontId="4" fillId="55" borderId="45" xfId="2" applyNumberFormat="1" applyFont="1" applyFill="1" applyBorder="1" applyAlignment="1">
      <alignment horizontal="center"/>
    </xf>
    <xf numFmtId="173" fontId="4" fillId="55" borderId="1" xfId="2" applyNumberFormat="1" applyFont="1" applyFill="1" applyBorder="1" applyAlignment="1">
      <alignment horizontal="center"/>
    </xf>
    <xf numFmtId="173" fontId="8" fillId="55" borderId="11" xfId="2" applyNumberFormat="1" applyFont="1" applyFill="1" applyBorder="1" applyAlignment="1">
      <alignment horizontal="center"/>
    </xf>
    <xf numFmtId="0" fontId="5" fillId="21" borderId="0" xfId="0" applyFont="1" applyFill="1" applyBorder="1" applyAlignment="1">
      <alignment horizontal="left" indent="1"/>
    </xf>
    <xf numFmtId="166" fontId="0" fillId="21" borderId="0" xfId="0" applyNumberFormat="1" applyFill="1" applyBorder="1" applyAlignment="1">
      <alignment horizontal="center"/>
    </xf>
    <xf numFmtId="166" fontId="0" fillId="21" borderId="10" xfId="0" applyNumberFormat="1" applyFill="1" applyBorder="1" applyAlignment="1">
      <alignment horizontal="center"/>
    </xf>
    <xf numFmtId="2" fontId="0" fillId="21" borderId="0" xfId="0" applyNumberFormat="1" applyFill="1" applyBorder="1" applyAlignment="1">
      <alignment horizontal="center"/>
    </xf>
    <xf numFmtId="2" fontId="0" fillId="21" borderId="10" xfId="0" applyNumberFormat="1" applyFill="1" applyBorder="1" applyAlignment="1">
      <alignment horizontal="center"/>
    </xf>
    <xf numFmtId="0" fontId="0" fillId="21" borderId="0" xfId="0" applyFill="1" applyBorder="1" applyAlignment="1">
      <alignment horizontal="left" indent="1"/>
    </xf>
    <xf numFmtId="7" fontId="0" fillId="21" borderId="0" xfId="0" applyNumberFormat="1" applyFill="1" applyBorder="1" applyAlignment="1">
      <alignment horizontal="center"/>
    </xf>
    <xf numFmtId="0" fontId="0" fillId="21" borderId="10" xfId="0" applyFill="1" applyBorder="1"/>
    <xf numFmtId="0" fontId="6" fillId="21" borderId="0" xfId="0" applyFont="1" applyFill="1" applyBorder="1" applyAlignment="1">
      <alignment horizontal="left" indent="2"/>
    </xf>
    <xf numFmtId="0" fontId="4" fillId="21" borderId="1" xfId="0" applyFont="1" applyFill="1" applyBorder="1" applyAlignment="1">
      <alignment horizontal="left" indent="1"/>
    </xf>
    <xf numFmtId="0" fontId="0" fillId="21" borderId="1" xfId="0" applyFill="1" applyBorder="1"/>
    <xf numFmtId="5" fontId="4" fillId="21" borderId="1" xfId="0" applyNumberFormat="1" applyFont="1" applyFill="1" applyBorder="1" applyAlignment="1">
      <alignment horizontal="center"/>
    </xf>
    <xf numFmtId="5" fontId="8" fillId="21" borderId="11" xfId="0" applyNumberFormat="1" applyFont="1" applyFill="1" applyBorder="1" applyAlignment="1">
      <alignment horizontal="center"/>
    </xf>
    <xf numFmtId="2" fontId="8" fillId="0" borderId="0" xfId="7" applyNumberFormat="1" applyFont="1"/>
    <xf numFmtId="165" fontId="8" fillId="17" borderId="34" xfId="7" applyNumberFormat="1" applyFont="1" applyFill="1" applyBorder="1"/>
    <xf numFmtId="165" fontId="8" fillId="2" borderId="29" xfId="7" applyNumberFormat="1" applyFont="1" applyFill="1" applyBorder="1"/>
    <xf numFmtId="0" fontId="0" fillId="21" borderId="37" xfId="0" applyFill="1" applyBorder="1"/>
    <xf numFmtId="0" fontId="0" fillId="21" borderId="30" xfId="0" applyFill="1" applyBorder="1"/>
    <xf numFmtId="0" fontId="1" fillId="21" borderId="30" xfId="0" applyFont="1" applyFill="1" applyBorder="1" applyAlignment="1">
      <alignment horizontal="right" indent="1"/>
    </xf>
    <xf numFmtId="0" fontId="1" fillId="21" borderId="29" xfId="0" applyFont="1" applyFill="1" applyBorder="1" applyAlignment="1">
      <alignment horizontal="left" indent="1"/>
    </xf>
    <xf numFmtId="1" fontId="4" fillId="0" borderId="0" xfId="0" applyNumberFormat="1" applyFont="1" applyAlignment="1">
      <alignment horizontal="left"/>
    </xf>
    <xf numFmtId="3" fontId="1" fillId="0" borderId="0" xfId="0" applyNumberFormat="1" applyFont="1" applyFill="1" applyBorder="1" applyAlignment="1">
      <alignment horizontal="center"/>
    </xf>
    <xf numFmtId="1" fontId="4" fillId="47" borderId="37" xfId="0" applyNumberFormat="1" applyFont="1" applyFill="1" applyBorder="1" applyAlignment="1">
      <alignment horizontal="left"/>
    </xf>
    <xf numFmtId="0" fontId="1" fillId="47" borderId="30" xfId="0" applyFont="1" applyFill="1" applyBorder="1"/>
    <xf numFmtId="3" fontId="1" fillId="47" borderId="30" xfId="0" applyNumberFormat="1" applyFont="1" applyFill="1" applyBorder="1" applyAlignment="1">
      <alignment horizontal="center"/>
    </xf>
    <xf numFmtId="3" fontId="4" fillId="47" borderId="31" xfId="0" applyNumberFormat="1" applyFont="1" applyFill="1" applyBorder="1" applyAlignment="1">
      <alignment horizontal="center"/>
    </xf>
    <xf numFmtId="165" fontId="1" fillId="0" borderId="0" xfId="7" applyNumberFormat="1" applyFont="1"/>
    <xf numFmtId="195" fontId="1" fillId="0" borderId="0" xfId="0" applyNumberFormat="1" applyFont="1"/>
    <xf numFmtId="0" fontId="6" fillId="37" borderId="35" xfId="0" applyFont="1" applyFill="1" applyBorder="1" applyAlignment="1">
      <alignment horizontal="center"/>
    </xf>
    <xf numFmtId="165" fontId="4" fillId="47" borderId="86" xfId="0" applyNumberFormat="1" applyFont="1" applyFill="1" applyBorder="1"/>
    <xf numFmtId="0" fontId="0" fillId="47" borderId="24" xfId="0" applyFill="1" applyBorder="1" applyAlignment="1">
      <alignment horizontal="left"/>
    </xf>
    <xf numFmtId="0" fontId="0" fillId="47" borderId="25" xfId="0" applyFill="1" applyBorder="1" applyAlignment="1">
      <alignment horizontal="left"/>
    </xf>
    <xf numFmtId="0" fontId="0" fillId="53" borderId="33" xfId="0" applyFill="1" applyBorder="1"/>
    <xf numFmtId="0" fontId="0" fillId="53" borderId="18" xfId="0" applyFill="1" applyBorder="1"/>
    <xf numFmtId="0" fontId="0" fillId="53" borderId="17" xfId="0" applyFill="1" applyBorder="1"/>
    <xf numFmtId="0" fontId="0" fillId="53" borderId="32" xfId="0" applyFill="1" applyBorder="1"/>
    <xf numFmtId="0" fontId="0" fillId="53" borderId="24" xfId="0" applyFill="1" applyBorder="1"/>
    <xf numFmtId="0" fontId="0" fillId="53" borderId="42" xfId="0" applyFill="1" applyBorder="1"/>
    <xf numFmtId="0" fontId="0" fillId="53" borderId="21" xfId="0" applyFill="1" applyBorder="1"/>
    <xf numFmtId="0" fontId="0" fillId="53" borderId="25" xfId="0" applyFill="1" applyBorder="1"/>
    <xf numFmtId="173" fontId="4" fillId="53" borderId="87" xfId="0" applyNumberFormat="1" applyFont="1" applyFill="1" applyBorder="1"/>
    <xf numFmtId="0" fontId="4" fillId="53" borderId="49" xfId="0" applyFont="1" applyFill="1" applyBorder="1" applyAlignment="1">
      <alignment horizontal="right"/>
    </xf>
    <xf numFmtId="173" fontId="8" fillId="47" borderId="87" xfId="2" applyNumberFormat="1" applyFont="1" applyFill="1" applyBorder="1" applyAlignment="1">
      <alignment horizontal="right"/>
    </xf>
    <xf numFmtId="0" fontId="4" fillId="47" borderId="49" xfId="0" applyFont="1" applyFill="1" applyBorder="1" applyAlignment="1">
      <alignment horizontal="right"/>
    </xf>
    <xf numFmtId="173" fontId="6" fillId="47" borderId="42" xfId="2" applyNumberFormat="1" applyFont="1" applyFill="1" applyBorder="1" applyAlignment="1">
      <alignment horizontal="left"/>
    </xf>
    <xf numFmtId="0" fontId="0" fillId="47" borderId="21" xfId="0" applyFill="1" applyBorder="1"/>
    <xf numFmtId="0" fontId="0" fillId="47" borderId="25" xfId="0" applyFill="1" applyBorder="1"/>
    <xf numFmtId="165" fontId="4" fillId="21" borderId="29" xfId="7" applyNumberFormat="1" applyFont="1" applyFill="1" applyBorder="1"/>
    <xf numFmtId="165" fontId="1" fillId="47" borderId="29" xfId="7" applyNumberFormat="1" applyFont="1" applyFill="1" applyBorder="1"/>
    <xf numFmtId="0" fontId="0" fillId="0" borderId="44" xfId="0" applyBorder="1" applyAlignment="1">
      <alignment horizontal="left" indent="1"/>
    </xf>
    <xf numFmtId="0" fontId="4" fillId="2" borderId="45" xfId="0" applyFont="1" applyFill="1" applyBorder="1" applyAlignment="1">
      <alignment horizontal="left" indent="1"/>
    </xf>
    <xf numFmtId="165" fontId="8" fillId="47" borderId="29" xfId="7" applyNumberFormat="1" applyFont="1" applyFill="1" applyBorder="1" applyAlignment="1">
      <alignment horizontal="center"/>
    </xf>
    <xf numFmtId="0" fontId="48" fillId="0" borderId="0" xfId="0" applyFont="1" applyBorder="1" applyAlignment="1">
      <alignment horizontal="center"/>
    </xf>
    <xf numFmtId="0" fontId="0" fillId="0" borderId="0" xfId="0" applyAlignment="1">
      <alignment horizontal="left" vertical="center" wrapText="1" indent="2"/>
    </xf>
    <xf numFmtId="0" fontId="9" fillId="0" borderId="31" xfId="0" applyFont="1" applyBorder="1" applyAlignment="1">
      <alignment horizontal="center"/>
    </xf>
    <xf numFmtId="0" fontId="9" fillId="0" borderId="29" xfId="0" applyFont="1" applyBorder="1" applyAlignment="1">
      <alignment horizontal="center"/>
    </xf>
    <xf numFmtId="0" fontId="1" fillId="0" borderId="0" xfId="0" applyFont="1" applyFill="1" applyBorder="1" applyAlignment="1">
      <alignment horizontal="left" indent="2"/>
    </xf>
    <xf numFmtId="7" fontId="0" fillId="0" borderId="0" xfId="0" applyNumberFormat="1" applyBorder="1" applyAlignment="1">
      <alignment wrapText="1"/>
    </xf>
    <xf numFmtId="7" fontId="5" fillId="0" borderId="0" xfId="7" applyNumberFormat="1" applyFont="1" applyFill="1" applyBorder="1" applyAlignment="1">
      <alignment horizontal="right" indent="1"/>
    </xf>
    <xf numFmtId="9" fontId="100" fillId="0" borderId="0" xfId="7" applyNumberFormat="1" applyFont="1" applyFill="1" applyBorder="1" applyAlignment="1">
      <alignment horizontal="right" indent="1"/>
    </xf>
    <xf numFmtId="7" fontId="83" fillId="0" borderId="0" xfId="0" applyNumberFormat="1" applyFont="1" applyFill="1" applyAlignment="1">
      <alignment horizontal="right" indent="1"/>
    </xf>
    <xf numFmtId="9" fontId="8" fillId="0" borderId="0" xfId="7" applyNumberFormat="1" applyFont="1" applyFill="1" applyBorder="1" applyAlignment="1">
      <alignment horizontal="right" indent="2"/>
    </xf>
    <xf numFmtId="0" fontId="87" fillId="0" borderId="0" xfId="0" applyFont="1" applyFill="1" applyBorder="1" applyAlignment="1">
      <alignment horizontal="right" indent="2"/>
    </xf>
    <xf numFmtId="0" fontId="0" fillId="0" borderId="0" xfId="0" applyAlignment="1">
      <alignment horizontal="left" vertical="center" wrapText="1" indent="1"/>
    </xf>
    <xf numFmtId="0" fontId="4" fillId="0" borderId="0" xfId="0" applyFont="1" applyFill="1" applyBorder="1" applyAlignment="1">
      <alignment wrapText="1"/>
    </xf>
    <xf numFmtId="0" fontId="0" fillId="0" borderId="0" xfId="0" applyFill="1" applyBorder="1" applyAlignment="1">
      <alignment wrapText="1"/>
    </xf>
    <xf numFmtId="173" fontId="6" fillId="0" borderId="0" xfId="2" applyNumberFormat="1" applyFont="1" applyFill="1" applyBorder="1" applyAlignment="1">
      <alignment horizontal="left" indent="1"/>
    </xf>
    <xf numFmtId="0" fontId="0" fillId="0" borderId="0" xfId="0" applyAlignment="1">
      <alignment vertical="center" wrapText="1"/>
    </xf>
    <xf numFmtId="9" fontId="0" fillId="0" borderId="0" xfId="0" applyNumberFormat="1" applyAlignment="1">
      <alignment horizontal="center"/>
    </xf>
    <xf numFmtId="0" fontId="0" fillId="55" borderId="44" xfId="0" applyFill="1" applyBorder="1" applyAlignment="1">
      <alignment horizontal="center" vertical="center"/>
    </xf>
    <xf numFmtId="0" fontId="0" fillId="55" borderId="0" xfId="0" applyFill="1" applyBorder="1" applyAlignment="1">
      <alignment horizontal="center" vertical="center"/>
    </xf>
    <xf numFmtId="0" fontId="0" fillId="55" borderId="10" xfId="0" applyFill="1" applyBorder="1" applyAlignment="1">
      <alignment horizontal="center" vertical="center"/>
    </xf>
    <xf numFmtId="0" fontId="0" fillId="0" borderId="0" xfId="0" applyBorder="1"/>
    <xf numFmtId="42" fontId="0" fillId="0" borderId="0" xfId="0" applyNumberFormat="1" applyBorder="1"/>
    <xf numFmtId="167" fontId="5" fillId="0" borderId="24" xfId="0" applyNumberFormat="1" applyFont="1" applyBorder="1" applyAlignment="1">
      <alignment horizontal="center"/>
    </xf>
    <xf numFmtId="41" fontId="0" fillId="0" borderId="0" xfId="0" applyNumberFormat="1" applyBorder="1"/>
    <xf numFmtId="41" fontId="5" fillId="0" borderId="0" xfId="0" applyNumberFormat="1" applyFont="1" applyBorder="1"/>
    <xf numFmtId="41" fontId="3" fillId="0" borderId="0" xfId="0" applyNumberFormat="1" applyFont="1" applyBorder="1"/>
    <xf numFmtId="167" fontId="3" fillId="0" borderId="24" xfId="0" applyNumberFormat="1" applyFont="1" applyBorder="1" applyAlignment="1">
      <alignment horizontal="center"/>
    </xf>
    <xf numFmtId="167" fontId="1" fillId="0" borderId="24" xfId="0" applyNumberFormat="1" applyFont="1" applyBorder="1" applyAlignment="1">
      <alignment horizontal="center"/>
    </xf>
    <xf numFmtId="42" fontId="4" fillId="0" borderId="0" xfId="0" applyNumberFormat="1" applyFont="1"/>
    <xf numFmtId="6" fontId="9" fillId="0" borderId="0" xfId="0" applyNumberFormat="1" applyFont="1" applyBorder="1" applyAlignment="1">
      <alignment horizontal="center"/>
    </xf>
    <xf numFmtId="0" fontId="7" fillId="53" borderId="32" xfId="0" applyFont="1" applyFill="1" applyBorder="1" applyAlignment="1">
      <alignment horizontal="center"/>
    </xf>
    <xf numFmtId="0" fontId="7" fillId="53" borderId="0" xfId="0" applyFont="1" applyFill="1" applyBorder="1" applyAlignment="1">
      <alignment horizontal="center"/>
    </xf>
    <xf numFmtId="6" fontId="9" fillId="53" borderId="24" xfId="0" applyNumberFormat="1" applyFont="1" applyFill="1" applyBorder="1" applyAlignment="1">
      <alignment horizontal="center"/>
    </xf>
    <xf numFmtId="195" fontId="0" fillId="53" borderId="32" xfId="1" applyNumberFormat="1" applyFont="1" applyFill="1" applyBorder="1"/>
    <xf numFmtId="42" fontId="0" fillId="53" borderId="0" xfId="0" applyNumberFormat="1" applyFill="1" applyBorder="1"/>
    <xf numFmtId="167" fontId="5" fillId="53" borderId="0" xfId="0" applyNumberFormat="1" applyFont="1" applyFill="1" applyBorder="1" applyAlignment="1">
      <alignment horizontal="center"/>
    </xf>
    <xf numFmtId="42" fontId="0" fillId="53" borderId="24" xfId="0" applyNumberFormat="1" applyFill="1" applyBorder="1"/>
    <xf numFmtId="41" fontId="0" fillId="53" borderId="0" xfId="0" applyNumberFormat="1" applyFill="1" applyBorder="1"/>
    <xf numFmtId="195" fontId="5" fillId="53" borderId="32" xfId="1" applyNumberFormat="1" applyFont="1" applyFill="1" applyBorder="1"/>
    <xf numFmtId="41" fontId="5" fillId="53" borderId="0" xfId="0" applyNumberFormat="1" applyFont="1" applyFill="1" applyBorder="1"/>
    <xf numFmtId="195" fontId="1" fillId="53" borderId="32" xfId="1" applyNumberFormat="1" applyFont="1" applyFill="1" applyBorder="1"/>
    <xf numFmtId="41" fontId="3" fillId="53" borderId="32" xfId="0" applyNumberFormat="1" applyFont="1" applyFill="1" applyBorder="1"/>
    <xf numFmtId="41" fontId="3" fillId="53" borderId="0" xfId="0" applyNumberFormat="1" applyFont="1" applyFill="1" applyBorder="1"/>
    <xf numFmtId="167" fontId="3" fillId="53" borderId="0" xfId="0" applyNumberFormat="1" applyFont="1" applyFill="1" applyBorder="1" applyAlignment="1">
      <alignment horizontal="center"/>
    </xf>
    <xf numFmtId="41" fontId="0" fillId="53" borderId="32" xfId="0" applyNumberFormat="1" applyFont="1" applyFill="1" applyBorder="1"/>
    <xf numFmtId="167" fontId="1" fillId="53" borderId="0" xfId="0" applyNumberFormat="1" applyFont="1" applyFill="1" applyBorder="1" applyAlignment="1">
      <alignment horizontal="center"/>
    </xf>
    <xf numFmtId="0" fontId="7" fillId="0" borderId="36" xfId="0" applyFont="1" applyBorder="1" applyAlignment="1">
      <alignment horizontal="center"/>
    </xf>
    <xf numFmtId="42" fontId="0" fillId="53" borderId="32" xfId="0" applyNumberFormat="1" applyFill="1" applyBorder="1"/>
    <xf numFmtId="42" fontId="0" fillId="53" borderId="42" xfId="0" applyNumberFormat="1" applyFill="1" applyBorder="1"/>
    <xf numFmtId="41" fontId="4" fillId="0" borderId="0" xfId="0" applyNumberFormat="1" applyFont="1"/>
    <xf numFmtId="9" fontId="1" fillId="0" borderId="0" xfId="0" applyNumberFormat="1" applyFont="1" applyFill="1" applyBorder="1" applyAlignment="1">
      <alignment horizontal="center"/>
    </xf>
    <xf numFmtId="7" fontId="10" fillId="0" borderId="0" xfId="0" applyNumberFormat="1" applyFont="1" applyFill="1" applyAlignment="1">
      <alignment horizontal="right"/>
    </xf>
    <xf numFmtId="0" fontId="0" fillId="47" borderId="0" xfId="0" applyFill="1"/>
    <xf numFmtId="0" fontId="6" fillId="47" borderId="0" xfId="0" applyFont="1" applyFill="1" applyBorder="1" applyAlignment="1">
      <alignment horizontal="right"/>
    </xf>
    <xf numFmtId="0" fontId="16" fillId="17" borderId="29" xfId="0" applyFont="1" applyFill="1" applyBorder="1" applyAlignment="1">
      <alignment horizontal="right"/>
    </xf>
    <xf numFmtId="0" fontId="45" fillId="17" borderId="29" xfId="0" applyFont="1" applyFill="1" applyBorder="1" applyAlignment="1">
      <alignment horizontal="right"/>
    </xf>
    <xf numFmtId="8" fontId="0" fillId="17" borderId="29" xfId="0" applyNumberFormat="1" applyFill="1" applyBorder="1"/>
    <xf numFmtId="8" fontId="0" fillId="2" borderId="29" xfId="0" applyNumberFormat="1" applyFill="1" applyBorder="1" applyAlignment="1">
      <alignment horizontal="center"/>
    </xf>
    <xf numFmtId="0" fontId="4" fillId="0" borderId="0" xfId="0" applyFont="1" applyBorder="1" applyAlignment="1">
      <alignment horizontal="right" vertical="center"/>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24" xfId="0" applyBorder="1"/>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4" fillId="0" borderId="0" xfId="0" applyFont="1" applyFill="1" applyBorder="1" applyAlignment="1">
      <alignment horizontal="center"/>
    </xf>
    <xf numFmtId="0" fontId="4" fillId="28" borderId="14" xfId="0" applyFont="1" applyFill="1" applyBorder="1" applyAlignment="1">
      <alignment horizontal="center"/>
    </xf>
    <xf numFmtId="165" fontId="8" fillId="39" borderId="29" xfId="7" applyNumberFormat="1" applyFont="1" applyFill="1" applyBorder="1" applyAlignment="1">
      <alignment horizontal="center"/>
    </xf>
    <xf numFmtId="0" fontId="1" fillId="0" borderId="24" xfId="0" applyFont="1" applyFill="1" applyBorder="1" applyProtection="1">
      <protection locked="0"/>
    </xf>
    <xf numFmtId="0" fontId="1" fillId="0" borderId="25" xfId="0" applyFont="1" applyFill="1" applyBorder="1" applyProtection="1">
      <protection locked="0"/>
    </xf>
    <xf numFmtId="0" fontId="0" fillId="0" borderId="10" xfId="0" applyFill="1" applyBorder="1"/>
    <xf numFmtId="0" fontId="8" fillId="25" borderId="29" xfId="0" applyFont="1" applyFill="1" applyBorder="1" applyAlignment="1">
      <alignment horizontal="center"/>
    </xf>
    <xf numFmtId="0" fontId="153" fillId="0" borderId="42" xfId="0" applyFont="1" applyFill="1" applyBorder="1"/>
    <xf numFmtId="0" fontId="155" fillId="0" borderId="32" xfId="0" applyFont="1" applyFill="1" applyBorder="1"/>
    <xf numFmtId="8" fontId="154" fillId="0" borderId="32" xfId="0" applyNumberFormat="1" applyFont="1" applyFill="1" applyBorder="1" applyAlignment="1">
      <alignment horizontal="center"/>
    </xf>
    <xf numFmtId="0" fontId="155" fillId="0" borderId="32" xfId="0" applyFont="1" applyFill="1" applyBorder="1" applyAlignment="1">
      <alignment horizontal="center"/>
    </xf>
    <xf numFmtId="0" fontId="155" fillId="0" borderId="32" xfId="0" applyFont="1" applyFill="1" applyBorder="1" applyAlignment="1"/>
    <xf numFmtId="9" fontId="155" fillId="0" borderId="32" xfId="0" applyNumberFormat="1" applyFont="1" applyFill="1" applyBorder="1" applyAlignment="1">
      <alignment horizontal="center"/>
    </xf>
    <xf numFmtId="166" fontId="154" fillId="0" borderId="32" xfId="0" applyNumberFormat="1" applyFont="1" applyFill="1" applyBorder="1" applyAlignment="1">
      <alignment horizontal="center"/>
    </xf>
    <xf numFmtId="9" fontId="154" fillId="0" borderId="32" xfId="0" applyNumberFormat="1" applyFont="1" applyFill="1" applyBorder="1" applyAlignment="1">
      <alignment horizontal="center"/>
    </xf>
    <xf numFmtId="9" fontId="154" fillId="0" borderId="32" xfId="7" applyFont="1" applyFill="1" applyBorder="1" applyAlignment="1">
      <alignment horizontal="center"/>
    </xf>
    <xf numFmtId="1" fontId="154" fillId="0" borderId="32" xfId="0" applyNumberFormat="1" applyFont="1" applyFill="1" applyBorder="1" applyAlignment="1">
      <alignment horizontal="center"/>
    </xf>
    <xf numFmtId="5" fontId="154" fillId="0" borderId="32" xfId="2" applyNumberFormat="1" applyFont="1" applyFill="1" applyBorder="1" applyAlignment="1">
      <alignment horizontal="center"/>
    </xf>
    <xf numFmtId="0" fontId="154" fillId="0" borderId="32" xfId="0" applyFont="1" applyFill="1" applyBorder="1" applyAlignment="1">
      <alignment horizontal="center"/>
    </xf>
    <xf numFmtId="0" fontId="154" fillId="0" borderId="32" xfId="0" applyFont="1" applyFill="1" applyBorder="1"/>
    <xf numFmtId="167" fontId="154" fillId="0" borderId="32" xfId="0" applyNumberFormat="1" applyFont="1" applyFill="1" applyBorder="1" applyAlignment="1">
      <alignment horizontal="center"/>
    </xf>
    <xf numFmtId="2" fontId="154" fillId="0" borderId="32" xfId="0" applyNumberFormat="1" applyFont="1" applyFill="1" applyBorder="1" applyAlignment="1">
      <alignment horizontal="center"/>
    </xf>
    <xf numFmtId="0" fontId="4" fillId="29" borderId="32" xfId="0" applyFont="1" applyFill="1" applyBorder="1" applyAlignment="1">
      <alignment horizontal="left" vertical="center" indent="1"/>
    </xf>
    <xf numFmtId="0" fontId="4" fillId="29" borderId="0" xfId="0" applyFont="1" applyFill="1" applyBorder="1" applyAlignment="1">
      <alignment horizontal="left" vertical="center" indent="1"/>
    </xf>
    <xf numFmtId="0" fontId="0" fillId="29" borderId="24" xfId="0" applyFill="1" applyBorder="1" applyAlignment="1">
      <alignment horizontal="left" vertical="center" indent="1"/>
    </xf>
    <xf numFmtId="0" fontId="24" fillId="29" borderId="33" xfId="0" applyFont="1" applyFill="1" applyBorder="1" applyAlignment="1">
      <alignment horizontal="left" indent="1"/>
    </xf>
    <xf numFmtId="0" fontId="0" fillId="29" borderId="30" xfId="0" applyFill="1" applyBorder="1"/>
    <xf numFmtId="0" fontId="0" fillId="0" borderId="44" xfId="0" applyFill="1" applyBorder="1"/>
    <xf numFmtId="0" fontId="0" fillId="0" borderId="44" xfId="0" applyBorder="1" applyAlignment="1">
      <alignment horizontal="left"/>
    </xf>
    <xf numFmtId="5" fontId="4" fillId="29" borderId="89" xfId="0" applyNumberFormat="1" applyFont="1" applyFill="1" applyBorder="1" applyAlignment="1">
      <alignment horizontal="center"/>
    </xf>
    <xf numFmtId="0" fontId="4" fillId="29" borderId="51" xfId="0" applyFont="1" applyFill="1" applyBorder="1" applyAlignment="1">
      <alignment horizontal="center"/>
    </xf>
    <xf numFmtId="8" fontId="8" fillId="0" borderId="32" xfId="0" applyNumberFormat="1" applyFont="1" applyFill="1" applyBorder="1" applyAlignment="1">
      <alignment horizontal="center"/>
    </xf>
    <xf numFmtId="0" fontId="1" fillId="0" borderId="24" xfId="0" applyFont="1" applyFill="1" applyBorder="1"/>
    <xf numFmtId="0" fontId="0" fillId="0" borderId="32" xfId="0" applyFill="1" applyBorder="1" applyAlignment="1"/>
    <xf numFmtId="9" fontId="0" fillId="0" borderId="32" xfId="0" applyNumberFormat="1" applyFill="1" applyBorder="1" applyAlignment="1">
      <alignment horizontal="center"/>
    </xf>
    <xf numFmtId="9" fontId="1" fillId="0" borderId="32" xfId="0" applyNumberFormat="1" applyFont="1" applyFill="1" applyBorder="1" applyAlignment="1">
      <alignment horizontal="center"/>
    </xf>
    <xf numFmtId="165" fontId="0" fillId="0" borderId="32" xfId="0" applyNumberFormat="1" applyFill="1" applyBorder="1" applyAlignment="1">
      <alignment horizontal="center"/>
    </xf>
    <xf numFmtId="166" fontId="8" fillId="0" borderId="32" xfId="0" applyNumberFormat="1" applyFont="1" applyFill="1" applyBorder="1" applyAlignment="1">
      <alignment horizontal="center"/>
    </xf>
    <xf numFmtId="9" fontId="8" fillId="0" borderId="32" xfId="7" applyFont="1" applyFill="1" applyBorder="1" applyAlignment="1">
      <alignment horizontal="center"/>
    </xf>
    <xf numFmtId="1" fontId="8" fillId="0" borderId="32" xfId="0" applyNumberFormat="1" applyFont="1" applyFill="1" applyBorder="1" applyAlignment="1">
      <alignment horizontal="center"/>
    </xf>
    <xf numFmtId="5" fontId="8" fillId="0" borderId="32" xfId="2" applyNumberFormat="1" applyFont="1" applyFill="1" applyBorder="1" applyAlignment="1">
      <alignment horizontal="center"/>
    </xf>
    <xf numFmtId="0" fontId="4" fillId="0" borderId="32" xfId="0" applyFont="1" applyFill="1" applyBorder="1" applyAlignment="1">
      <alignment horizontal="center"/>
    </xf>
    <xf numFmtId="167" fontId="8" fillId="0" borderId="32" xfId="0" applyNumberFormat="1" applyFont="1" applyFill="1" applyBorder="1" applyAlignment="1">
      <alignment horizontal="center"/>
    </xf>
    <xf numFmtId="2" fontId="8" fillId="0" borderId="32" xfId="0" applyNumberFormat="1" applyFont="1" applyFill="1" applyBorder="1" applyAlignment="1">
      <alignment horizontal="center"/>
    </xf>
    <xf numFmtId="9" fontId="8" fillId="0" borderId="32" xfId="0" applyNumberFormat="1" applyFont="1" applyFill="1" applyBorder="1" applyAlignment="1">
      <alignment horizontal="center"/>
    </xf>
    <xf numFmtId="0" fontId="0" fillId="0" borderId="42" xfId="0" applyFill="1" applyBorder="1"/>
    <xf numFmtId="0" fontId="0" fillId="0" borderId="25" xfId="0" applyFill="1" applyBorder="1"/>
    <xf numFmtId="0" fontId="4" fillId="29" borderId="60" xfId="0" applyFont="1" applyFill="1" applyBorder="1" applyAlignment="1">
      <alignment horizontal="left" indent="1"/>
    </xf>
    <xf numFmtId="0" fontId="28" fillId="0" borderId="0" xfId="0" applyFont="1" applyAlignment="1">
      <alignment vertical="center"/>
    </xf>
    <xf numFmtId="9" fontId="0" fillId="57" borderId="0" xfId="0" applyNumberFormat="1" applyFill="1" applyAlignment="1">
      <alignment horizontal="center"/>
    </xf>
    <xf numFmtId="0" fontId="0" fillId="0" borderId="0" xfId="0" applyAlignment="1">
      <alignment vertical="center" wrapText="1"/>
    </xf>
    <xf numFmtId="43" fontId="125" fillId="0" borderId="0" xfId="0" applyNumberFormat="1" applyFont="1"/>
    <xf numFmtId="0" fontId="132" fillId="0" borderId="0" xfId="0" applyFont="1" applyAlignment="1">
      <alignment vertical="center" wrapText="1"/>
    </xf>
    <xf numFmtId="0" fontId="136" fillId="0" borderId="0" xfId="0" applyFont="1" applyAlignment="1">
      <alignment horizontal="right" wrapText="1"/>
    </xf>
    <xf numFmtId="0" fontId="156" fillId="0" borderId="0" xfId="0" applyFont="1" applyAlignment="1"/>
    <xf numFmtId="0" fontId="132" fillId="0" borderId="0" xfId="0" applyFont="1" applyAlignment="1"/>
    <xf numFmtId="0" fontId="132" fillId="0" borderId="0" xfId="0" applyFont="1" applyFill="1" applyBorder="1" applyAlignment="1"/>
    <xf numFmtId="166" fontId="132" fillId="0" borderId="0" xfId="0" applyNumberFormat="1" applyFont="1" applyFill="1" applyBorder="1" applyAlignment="1"/>
    <xf numFmtId="0" fontId="132" fillId="0" borderId="0" xfId="0" applyFont="1" applyAlignment="1">
      <alignment horizontal="left"/>
    </xf>
    <xf numFmtId="195" fontId="132" fillId="0" borderId="0" xfId="1" applyNumberFormat="1" applyFont="1" applyAlignment="1"/>
    <xf numFmtId="195" fontId="132" fillId="0" borderId="0" xfId="1" applyNumberFormat="1" applyFont="1" applyFill="1" applyBorder="1" applyAlignment="1"/>
    <xf numFmtId="0" fontId="130" fillId="0" borderId="0" xfId="0" applyFont="1" applyFill="1" applyBorder="1" applyAlignment="1">
      <alignment horizontal="right"/>
    </xf>
    <xf numFmtId="195" fontId="130" fillId="0" borderId="0" xfId="1" applyNumberFormat="1" applyFont="1" applyFill="1" applyBorder="1" applyAlignment="1">
      <alignment horizontal="right" indent="1"/>
    </xf>
    <xf numFmtId="43" fontId="130" fillId="0" borderId="0" xfId="0" applyNumberFormat="1" applyFont="1" applyFill="1" applyBorder="1" applyAlignment="1"/>
    <xf numFmtId="0" fontId="4" fillId="58" borderId="37" xfId="0" applyFont="1" applyFill="1" applyBorder="1"/>
    <xf numFmtId="43" fontId="130" fillId="58" borderId="30" xfId="0" applyNumberFormat="1" applyFont="1" applyFill="1" applyBorder="1"/>
    <xf numFmtId="0" fontId="132" fillId="58" borderId="30" xfId="0" applyFont="1" applyFill="1" applyBorder="1"/>
    <xf numFmtId="195" fontId="130" fillId="58" borderId="31" xfId="1" applyNumberFormat="1" applyFont="1" applyFill="1" applyBorder="1" applyAlignment="1"/>
    <xf numFmtId="0" fontId="130" fillId="21" borderId="12" xfId="0" applyFont="1" applyFill="1" applyBorder="1"/>
    <xf numFmtId="43" fontId="130" fillId="21" borderId="7" xfId="0" applyNumberFormat="1" applyFont="1" applyFill="1" applyBorder="1" applyAlignment="1"/>
    <xf numFmtId="0" fontId="132" fillId="21" borderId="7" xfId="0" applyFont="1" applyFill="1" applyBorder="1" applyAlignment="1"/>
    <xf numFmtId="195" fontId="130" fillId="21" borderId="16" xfId="0" applyNumberFormat="1" applyFont="1" applyFill="1" applyBorder="1" applyAlignment="1"/>
    <xf numFmtId="0" fontId="0" fillId="0" borderId="0" xfId="0" applyAlignment="1">
      <alignment vertical="center" wrapText="1"/>
    </xf>
    <xf numFmtId="0" fontId="132" fillId="0" borderId="0" xfId="0" applyFont="1" applyAlignment="1">
      <alignment vertical="center" wrapText="1"/>
    </xf>
    <xf numFmtId="0" fontId="147" fillId="0" borderId="0" xfId="0" applyFont="1" applyAlignment="1">
      <alignment vertical="center" wrapText="1"/>
    </xf>
    <xf numFmtId="2" fontId="157" fillId="0" borderId="0" xfId="0" applyNumberFormat="1" applyFont="1"/>
    <xf numFmtId="0" fontId="0" fillId="21" borderId="12" xfId="0" applyFill="1" applyBorder="1"/>
    <xf numFmtId="0" fontId="0" fillId="21" borderId="7" xfId="0" applyFill="1" applyBorder="1"/>
    <xf numFmtId="0" fontId="4" fillId="21" borderId="7" xfId="0" applyFont="1" applyFill="1" applyBorder="1" applyAlignment="1">
      <alignment horizontal="right"/>
    </xf>
    <xf numFmtId="2" fontId="157" fillId="21" borderId="16" xfId="0" applyNumberFormat="1" applyFont="1" applyFill="1" applyBorder="1"/>
    <xf numFmtId="0" fontId="157" fillId="47" borderId="0" xfId="0" applyFont="1" applyFill="1"/>
    <xf numFmtId="0" fontId="157" fillId="51" borderId="0" xfId="0" applyFont="1" applyFill="1"/>
    <xf numFmtId="2" fontId="0" fillId="0" borderId="0" xfId="7" applyNumberFormat="1" applyFont="1"/>
    <xf numFmtId="0" fontId="4" fillId="0" borderId="0" xfId="0" applyFont="1" applyAlignment="1"/>
    <xf numFmtId="165" fontId="8" fillId="2" borderId="11" xfId="0" applyNumberFormat="1" applyFont="1" applyFill="1" applyBorder="1"/>
    <xf numFmtId="0" fontId="4" fillId="59" borderId="42" xfId="0" applyFont="1" applyFill="1" applyBorder="1" applyAlignment="1">
      <alignment horizontal="right"/>
    </xf>
    <xf numFmtId="0" fontId="4" fillId="59" borderId="25" xfId="0" applyFont="1" applyFill="1" applyBorder="1" applyAlignment="1">
      <alignment horizontal="right"/>
    </xf>
    <xf numFmtId="7" fontId="0" fillId="59" borderId="0" xfId="2" applyNumberFormat="1" applyFont="1" applyFill="1"/>
    <xf numFmtId="2" fontId="0" fillId="59" borderId="0" xfId="0" applyNumberFormat="1" applyFill="1"/>
    <xf numFmtId="43" fontId="0" fillId="59" borderId="0" xfId="0" applyNumberFormat="1" applyFill="1"/>
    <xf numFmtId="169" fontId="0" fillId="59" borderId="0" xfId="0" applyNumberFormat="1" applyFill="1"/>
    <xf numFmtId="177" fontId="0" fillId="59" borderId="0" xfId="0" applyNumberFormat="1" applyFill="1"/>
    <xf numFmtId="165" fontId="0" fillId="59" borderId="0" xfId="7" applyNumberFormat="1" applyFont="1" applyFill="1"/>
    <xf numFmtId="0" fontId="4" fillId="26" borderId="42" xfId="0" applyFont="1" applyFill="1" applyBorder="1" applyAlignment="1">
      <alignment horizontal="right"/>
    </xf>
    <xf numFmtId="0" fontId="4" fillId="26" borderId="25" xfId="0" applyFont="1" applyFill="1" applyBorder="1" applyAlignment="1">
      <alignment horizontal="right"/>
    </xf>
    <xf numFmtId="7" fontId="0" fillId="26" borderId="0" xfId="0" applyNumberFormat="1" applyFill="1"/>
    <xf numFmtId="2" fontId="0" fillId="26" borderId="0" xfId="0" applyNumberFormat="1" applyFill="1"/>
    <xf numFmtId="43" fontId="0" fillId="26" borderId="0" xfId="0" applyNumberFormat="1" applyFill="1"/>
    <xf numFmtId="169" fontId="0" fillId="26" borderId="0" xfId="0" applyNumberFormat="1" applyFill="1"/>
    <xf numFmtId="177" fontId="0" fillId="26" borderId="0" xfId="0" applyNumberFormat="1" applyFill="1"/>
    <xf numFmtId="165" fontId="0" fillId="26" borderId="0" xfId="7" applyNumberFormat="1" applyFont="1" applyFill="1"/>
    <xf numFmtId="7" fontId="0" fillId="26" borderId="0" xfId="2" applyNumberFormat="1" applyFont="1" applyFill="1"/>
    <xf numFmtId="7" fontId="8" fillId="0" borderId="0" xfId="2" applyNumberFormat="1" applyFont="1" applyBorder="1" applyAlignment="1">
      <alignment horizontal="center"/>
    </xf>
    <xf numFmtId="0" fontId="0" fillId="0" borderId="0" xfId="0" applyBorder="1"/>
    <xf numFmtId="0" fontId="0" fillId="0" borderId="21" xfId="0" applyBorder="1"/>
    <xf numFmtId="0" fontId="8" fillId="0" borderId="0" xfId="0" applyFont="1" applyAlignment="1">
      <alignment horizontal="center"/>
    </xf>
    <xf numFmtId="165" fontId="4" fillId="29" borderId="61" xfId="7" applyNumberFormat="1" applyFont="1" applyFill="1" applyBorder="1" applyAlignment="1">
      <alignment horizontal="center" vertical="center"/>
    </xf>
    <xf numFmtId="14" fontId="0" fillId="0" borderId="0" xfId="0" applyNumberFormat="1" applyAlignment="1">
      <alignment horizontal="left"/>
    </xf>
    <xf numFmtId="166" fontId="4" fillId="0" borderId="0" xfId="0" applyNumberFormat="1" applyFont="1" applyFill="1" applyBorder="1" applyAlignment="1" applyProtection="1">
      <alignment horizontal="center"/>
      <protection locked="0"/>
    </xf>
    <xf numFmtId="14" fontId="132" fillId="0" borderId="0" xfId="0" applyNumberFormat="1" applyFont="1"/>
    <xf numFmtId="0" fontId="136" fillId="0" borderId="0" xfId="0" applyFont="1" applyAlignment="1">
      <alignment horizontal="left" indent="1"/>
    </xf>
    <xf numFmtId="2" fontId="125" fillId="0" borderId="0" xfId="0" applyNumberFormat="1" applyFont="1" applyAlignment="1">
      <alignment horizontal="center" vertical="center"/>
    </xf>
    <xf numFmtId="173" fontId="132" fillId="0" borderId="0" xfId="2" applyNumberFormat="1" applyFont="1" applyAlignment="1">
      <alignment horizontal="center"/>
    </xf>
    <xf numFmtId="173" fontId="132" fillId="0" borderId="0" xfId="0" applyNumberFormat="1" applyFont="1" applyAlignment="1">
      <alignment horizontal="center" wrapText="1"/>
    </xf>
    <xf numFmtId="0" fontId="158" fillId="0" borderId="0" xfId="0" applyFont="1" applyAlignment="1">
      <alignment horizontal="center" wrapText="1"/>
    </xf>
    <xf numFmtId="173" fontId="132" fillId="0" borderId="0" xfId="0" applyNumberFormat="1" applyFont="1" applyAlignment="1">
      <alignment horizontal="center"/>
    </xf>
    <xf numFmtId="0" fontId="158" fillId="0" borderId="0" xfId="0" applyFont="1" applyAlignment="1">
      <alignment horizontal="center"/>
    </xf>
    <xf numFmtId="167" fontId="132" fillId="0" borderId="0" xfId="0" applyNumberFormat="1" applyFont="1"/>
    <xf numFmtId="0" fontId="132" fillId="0" borderId="0" xfId="0" applyFont="1" applyAlignment="1">
      <alignment horizontal="left" indent="1"/>
    </xf>
    <xf numFmtId="9" fontId="132" fillId="0" borderId="0" xfId="7" applyFont="1" applyAlignment="1">
      <alignment horizontal="center"/>
    </xf>
    <xf numFmtId="0" fontId="125" fillId="0" borderId="0" xfId="0" applyFont="1" applyAlignment="1">
      <alignment horizontal="center" vertical="center"/>
    </xf>
    <xf numFmtId="173" fontId="130" fillId="0" borderId="0" xfId="0" applyNumberFormat="1" applyFont="1"/>
    <xf numFmtId="3" fontId="132" fillId="0" borderId="0" xfId="0" applyNumberFormat="1" applyFont="1" applyFill="1"/>
    <xf numFmtId="195" fontId="132" fillId="0" borderId="0" xfId="1" applyNumberFormat="1" applyFont="1" applyFill="1"/>
    <xf numFmtId="0" fontId="132" fillId="0" borderId="0" xfId="0" applyFont="1" applyFill="1"/>
    <xf numFmtId="10" fontId="132" fillId="0" borderId="0" xfId="7" applyNumberFormat="1" applyFont="1"/>
    <xf numFmtId="8" fontId="1" fillId="0" borderId="0" xfId="7" applyNumberFormat="1" applyFont="1"/>
    <xf numFmtId="195" fontId="132" fillId="0" borderId="0" xfId="7" applyNumberFormat="1" applyFont="1"/>
    <xf numFmtId="173" fontId="132" fillId="0" borderId="0" xfId="7" applyNumberFormat="1" applyFont="1"/>
    <xf numFmtId="9" fontId="4" fillId="0" borderId="0" xfId="0" applyNumberFormat="1" applyFont="1" applyFill="1" applyBorder="1" applyAlignment="1">
      <alignment horizontal="center"/>
    </xf>
    <xf numFmtId="0" fontId="130" fillId="0" borderId="33" xfId="0" applyFont="1" applyBorder="1"/>
    <xf numFmtId="0" fontId="132" fillId="0" borderId="18" xfId="0" applyFont="1" applyBorder="1"/>
    <xf numFmtId="0" fontId="132" fillId="0" borderId="17" xfId="0" applyFont="1" applyBorder="1"/>
    <xf numFmtId="0" fontId="132" fillId="0" borderId="32" xfId="0" applyFont="1" applyBorder="1"/>
    <xf numFmtId="0" fontId="132" fillId="0" borderId="24" xfId="0" applyFont="1" applyBorder="1" applyAlignment="1">
      <alignment horizontal="center"/>
    </xf>
    <xf numFmtId="0" fontId="132" fillId="0" borderId="42" xfId="0" applyFont="1" applyBorder="1"/>
    <xf numFmtId="0" fontId="132" fillId="0" borderId="25" xfId="0" applyFont="1" applyBorder="1" applyAlignment="1">
      <alignment horizontal="center"/>
    </xf>
    <xf numFmtId="0" fontId="0" fillId="0" borderId="0" xfId="0" applyAlignment="1">
      <alignment horizontal="left" vertical="center" wrapText="1" indent="1"/>
    </xf>
    <xf numFmtId="166" fontId="7" fillId="0" borderId="29" xfId="0" applyNumberFormat="1" applyFont="1" applyBorder="1" applyAlignment="1">
      <alignment horizontal="center"/>
    </xf>
    <xf numFmtId="0" fontId="0" fillId="0" borderId="0" xfId="0" applyBorder="1"/>
    <xf numFmtId="0" fontId="0" fillId="0" borderId="24" xfId="0" applyBorder="1"/>
    <xf numFmtId="0" fontId="0" fillId="0" borderId="21" xfId="0" applyBorder="1"/>
    <xf numFmtId="0" fontId="0" fillId="0" borderId="0" xfId="0" applyAlignment="1">
      <alignment horizontal="left" wrapText="1" indent="2"/>
    </xf>
    <xf numFmtId="0" fontId="0" fillId="0" borderId="32" xfId="0" applyBorder="1"/>
    <xf numFmtId="165" fontId="0" fillId="45" borderId="32" xfId="0" applyNumberFormat="1" applyFill="1" applyBorder="1"/>
    <xf numFmtId="165" fontId="0" fillId="45" borderId="42" xfId="0" applyNumberFormat="1" applyFill="1" applyBorder="1"/>
    <xf numFmtId="165" fontId="4" fillId="53" borderId="29" xfId="0" applyNumberFormat="1" applyFont="1" applyFill="1" applyBorder="1" applyAlignment="1">
      <alignment horizontal="center"/>
    </xf>
    <xf numFmtId="165" fontId="0" fillId="53" borderId="32" xfId="0" applyNumberFormat="1" applyFill="1" applyBorder="1"/>
    <xf numFmtId="165" fontId="0" fillId="53" borderId="42" xfId="0" applyNumberFormat="1" applyFill="1" applyBorder="1"/>
    <xf numFmtId="165" fontId="0" fillId="48" borderId="32" xfId="0" applyNumberFormat="1" applyFill="1" applyBorder="1"/>
    <xf numFmtId="165" fontId="4" fillId="48" borderId="29" xfId="0" applyNumberFormat="1" applyFont="1" applyFill="1" applyBorder="1" applyAlignment="1">
      <alignment horizontal="center"/>
    </xf>
    <xf numFmtId="165" fontId="0" fillId="48" borderId="42" xfId="0" applyNumberFormat="1" applyFill="1" applyBorder="1"/>
    <xf numFmtId="165" fontId="4" fillId="42" borderId="32" xfId="0" applyNumberFormat="1" applyFont="1" applyFill="1" applyBorder="1" applyAlignment="1">
      <alignment horizontal="center"/>
    </xf>
    <xf numFmtId="165" fontId="4" fillId="42" borderId="42" xfId="0" applyNumberFormat="1" applyFont="1" applyFill="1" applyBorder="1" applyAlignment="1">
      <alignment horizontal="center"/>
    </xf>
    <xf numFmtId="165" fontId="4" fillId="60" borderId="32" xfId="0" applyNumberFormat="1" applyFont="1" applyFill="1" applyBorder="1" applyAlignment="1">
      <alignment horizontal="center"/>
    </xf>
    <xf numFmtId="165" fontId="0" fillId="61" borderId="32" xfId="0" applyNumberFormat="1" applyFill="1" applyBorder="1"/>
    <xf numFmtId="165" fontId="0" fillId="62" borderId="32" xfId="0" applyNumberFormat="1" applyFill="1" applyBorder="1"/>
    <xf numFmtId="0" fontId="0" fillId="0" borderId="0" xfId="0" applyAlignment="1">
      <alignment vertical="center" wrapText="1"/>
    </xf>
    <xf numFmtId="0" fontId="1" fillId="0" borderId="0" xfId="0" applyFont="1" applyAlignment="1">
      <alignment horizontal="center"/>
    </xf>
    <xf numFmtId="0" fontId="4" fillId="0" borderId="32" xfId="0" applyFont="1" applyBorder="1" applyAlignment="1">
      <alignment horizontal="left" vertical="center" indent="2"/>
    </xf>
    <xf numFmtId="0" fontId="1" fillId="0" borderId="0" xfId="0" applyFont="1" applyBorder="1" applyAlignment="1">
      <alignment horizontal="left" vertical="center" indent="2"/>
    </xf>
    <xf numFmtId="0" fontId="0" fillId="0" borderId="0" xfId="0" applyBorder="1" applyAlignment="1">
      <alignment horizontal="left" vertical="center"/>
    </xf>
    <xf numFmtId="0" fontId="6" fillId="0" borderId="32" xfId="0" applyFont="1" applyBorder="1" applyAlignment="1">
      <alignment horizontal="left" indent="3"/>
    </xf>
    <xf numFmtId="165" fontId="2" fillId="0" borderId="25" xfId="7" applyNumberFormat="1" applyFont="1" applyBorder="1" applyAlignment="1">
      <alignment horizontal="right"/>
    </xf>
    <xf numFmtId="0" fontId="2" fillId="0" borderId="42" xfId="0" applyFont="1" applyBorder="1" applyAlignment="1">
      <alignment horizontal="left" indent="2"/>
    </xf>
    <xf numFmtId="0" fontId="2" fillId="0" borderId="32" xfId="0" applyFont="1" applyBorder="1" applyAlignment="1">
      <alignment horizontal="left" indent="1"/>
    </xf>
    <xf numFmtId="0" fontId="2" fillId="0" borderId="32" xfId="0" applyFont="1" applyBorder="1" applyAlignment="1">
      <alignment horizontal="left" indent="2"/>
    </xf>
    <xf numFmtId="0" fontId="24" fillId="0" borderId="32" xfId="0" applyFont="1" applyBorder="1" applyAlignment="1">
      <alignment horizontal="left" vertical="center" indent="2"/>
    </xf>
    <xf numFmtId="165" fontId="26" fillId="0" borderId="0" xfId="7" applyNumberFormat="1" applyFont="1" applyBorder="1" applyAlignment="1"/>
    <xf numFmtId="195" fontId="26" fillId="0" borderId="0" xfId="0" applyNumberFormat="1" applyFont="1" applyBorder="1"/>
    <xf numFmtId="0" fontId="0" fillId="0" borderId="0" xfId="0" applyAlignment="1">
      <alignment vertical="center" wrapText="1"/>
    </xf>
    <xf numFmtId="0" fontId="0" fillId="0" borderId="0" xfId="0" applyAlignment="1">
      <alignment horizontal="left" vertical="center" wrapText="1"/>
    </xf>
    <xf numFmtId="0" fontId="144" fillId="0" borderId="0" xfId="0" applyFont="1" applyAlignment="1">
      <alignment horizontal="center"/>
    </xf>
    <xf numFmtId="0" fontId="1" fillId="0" borderId="0" xfId="0" applyFont="1" applyAlignment="1"/>
    <xf numFmtId="165" fontId="4" fillId="0" borderId="0" xfId="7" applyNumberFormat="1" applyFont="1" applyAlignment="1">
      <alignment horizontal="right"/>
    </xf>
    <xf numFmtId="3" fontId="132" fillId="0" borderId="0" xfId="0" applyNumberFormat="1" applyFont="1" applyBorder="1"/>
    <xf numFmtId="165" fontId="4" fillId="21" borderId="0" xfId="7" applyNumberFormat="1" applyFont="1" applyFill="1" applyAlignment="1">
      <alignment horizontal="right"/>
    </xf>
    <xf numFmtId="10" fontId="4" fillId="0" borderId="0" xfId="7" applyNumberFormat="1" applyFont="1" applyAlignment="1">
      <alignment horizontal="right"/>
    </xf>
    <xf numFmtId="0" fontId="0" fillId="0" borderId="0" xfId="0" applyFill="1" applyBorder="1" applyAlignment="1">
      <alignment wrapText="1"/>
    </xf>
    <xf numFmtId="0" fontId="0" fillId="0" borderId="0" xfId="0" applyFill="1" applyAlignment="1">
      <alignment horizontal="center" vertical="center" wrapText="1"/>
    </xf>
    <xf numFmtId="0" fontId="0" fillId="0" borderId="0" xfId="0" applyBorder="1"/>
    <xf numFmtId="0" fontId="0" fillId="0" borderId="24" xfId="0" applyBorder="1"/>
    <xf numFmtId="0" fontId="0" fillId="0" borderId="21" xfId="0" applyBorder="1"/>
    <xf numFmtId="0" fontId="0" fillId="0" borderId="25" xfId="0" applyBorder="1"/>
    <xf numFmtId="0" fontId="0" fillId="0" borderId="0" xfId="0" applyAlignment="1">
      <alignment horizontal="center"/>
    </xf>
    <xf numFmtId="0" fontId="6" fillId="0" borderId="0" xfId="0" applyFont="1" applyAlignment="1">
      <alignment horizontal="left" wrapText="1" indent="3"/>
    </xf>
    <xf numFmtId="0" fontId="6" fillId="0" borderId="0" xfId="0" applyFont="1" applyAlignment="1">
      <alignment horizontal="left" vertical="center" wrapText="1" indent="3"/>
    </xf>
    <xf numFmtId="0" fontId="0" fillId="0" borderId="32" xfId="0" applyBorder="1"/>
    <xf numFmtId="0" fontId="4" fillId="47" borderId="0" xfId="0" applyFont="1" applyFill="1" applyAlignment="1">
      <alignment horizontal="right"/>
    </xf>
    <xf numFmtId="165" fontId="4" fillId="47" borderId="0" xfId="7" applyNumberFormat="1" applyFont="1" applyFill="1" applyAlignment="1">
      <alignment horizontal="right"/>
    </xf>
    <xf numFmtId="0" fontId="4" fillId="0" borderId="0" xfId="8" applyFont="1" applyFill="1" applyBorder="1" applyAlignment="1">
      <alignment horizontal="center" wrapText="1"/>
    </xf>
    <xf numFmtId="0" fontId="158" fillId="0" borderId="0" xfId="0" applyFont="1" applyAlignment="1">
      <alignment wrapText="1"/>
    </xf>
    <xf numFmtId="8" fontId="132" fillId="0" borderId="0" xfId="0" applyNumberFormat="1" applyFont="1" applyBorder="1"/>
    <xf numFmtId="0" fontId="135" fillId="0" borderId="0" xfId="0" applyFont="1" applyAlignment="1">
      <alignment horizontal="right"/>
    </xf>
    <xf numFmtId="0" fontId="1" fillId="0" borderId="0" xfId="8" applyFont="1" applyFill="1" applyBorder="1" applyAlignment="1">
      <alignment horizontal="right" wrapText="1"/>
    </xf>
    <xf numFmtId="2" fontId="1" fillId="0" borderId="0" xfId="8" applyNumberFormat="1" applyFont="1" applyFill="1" applyBorder="1" applyAlignment="1">
      <alignment horizontal="right" wrapText="1"/>
    </xf>
    <xf numFmtId="7" fontId="6" fillId="0" borderId="0" xfId="0" applyNumberFormat="1" applyFont="1" applyAlignment="1">
      <alignment horizontal="left" indent="1"/>
    </xf>
    <xf numFmtId="0" fontId="0" fillId="0" borderId="0" xfId="0" applyAlignment="1">
      <alignment horizontal="center"/>
    </xf>
    <xf numFmtId="0" fontId="7" fillId="0" borderId="24" xfId="0" applyFont="1" applyBorder="1" applyAlignment="1">
      <alignment horizontal="right"/>
    </xf>
    <xf numFmtId="0" fontId="4" fillId="0" borderId="32" xfId="0" applyFont="1" applyBorder="1" applyAlignment="1">
      <alignment horizontal="right"/>
    </xf>
    <xf numFmtId="9" fontId="0" fillId="0" borderId="0" xfId="7" applyFont="1" applyBorder="1"/>
    <xf numFmtId="9" fontId="0" fillId="0" borderId="24" xfId="7" applyFont="1" applyBorder="1"/>
    <xf numFmtId="9" fontId="0" fillId="0" borderId="24" xfId="0" applyNumberFormat="1" applyBorder="1"/>
    <xf numFmtId="8" fontId="0" fillId="0" borderId="0" xfId="0" applyNumberFormat="1" applyBorder="1"/>
    <xf numFmtId="8" fontId="0" fillId="0" borderId="24" xfId="0" applyNumberFormat="1" applyBorder="1"/>
    <xf numFmtId="8" fontId="0" fillId="0" borderId="0" xfId="0" applyNumberFormat="1" applyBorder="1" applyAlignment="1">
      <alignment horizontal="right" indent="1"/>
    </xf>
    <xf numFmtId="166" fontId="0" fillId="0" borderId="0" xfId="0" applyNumberFormat="1" applyBorder="1" applyAlignment="1">
      <alignment horizontal="right" indent="1"/>
    </xf>
    <xf numFmtId="165" fontId="0" fillId="47" borderId="34" xfId="7" applyNumberFormat="1" applyFont="1" applyFill="1" applyBorder="1"/>
    <xf numFmtId="165" fontId="0" fillId="47" borderId="36" xfId="7" applyNumberFormat="1" applyFont="1" applyFill="1" applyBorder="1"/>
    <xf numFmtId="175" fontId="0" fillId="0" borderId="29" xfId="2" applyNumberFormat="1" applyFont="1" applyBorder="1" applyAlignment="1">
      <alignment horizontal="center"/>
    </xf>
    <xf numFmtId="5" fontId="0" fillId="0" borderId="29" xfId="2" applyNumberFormat="1" applyFont="1" applyBorder="1" applyAlignment="1">
      <alignment horizontal="center"/>
    </xf>
    <xf numFmtId="0" fontId="1" fillId="53" borderId="29" xfId="0" applyFont="1" applyFill="1" applyBorder="1" applyAlignment="1">
      <alignment horizontal="center"/>
    </xf>
    <xf numFmtId="207" fontId="0" fillId="0" borderId="0" xfId="0" applyNumberFormat="1"/>
    <xf numFmtId="8" fontId="0" fillId="29" borderId="37" xfId="0" applyNumberFormat="1" applyFill="1" applyBorder="1"/>
    <xf numFmtId="8" fontId="4" fillId="0" borderId="0" xfId="7" applyNumberFormat="1" applyFont="1" applyFill="1" applyBorder="1" applyAlignment="1">
      <alignment horizontal="center"/>
    </xf>
    <xf numFmtId="8"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167" fontId="8" fillId="28" borderId="14" xfId="7" applyNumberFormat="1" applyFont="1" applyFill="1" applyBorder="1" applyAlignment="1">
      <alignment horizontal="center"/>
    </xf>
    <xf numFmtId="167" fontId="154" fillId="0" borderId="32" xfId="7" applyNumberFormat="1" applyFont="1" applyFill="1" applyBorder="1" applyAlignment="1">
      <alignment horizontal="center"/>
    </xf>
    <xf numFmtId="0" fontId="0" fillId="0" borderId="0" xfId="0" applyFill="1" applyBorder="1" applyAlignment="1">
      <alignment wrapText="1"/>
    </xf>
    <xf numFmtId="0" fontId="0" fillId="0" borderId="0" xfId="0" applyFill="1" applyBorder="1" applyAlignment="1">
      <alignment wrapText="1"/>
    </xf>
    <xf numFmtId="0" fontId="8" fillId="0" borderId="0" xfId="0" applyFont="1" applyFill="1" applyBorder="1" applyAlignment="1">
      <alignment wrapText="1"/>
    </xf>
    <xf numFmtId="165" fontId="0" fillId="0" borderId="0" xfId="7" applyNumberFormat="1" applyFont="1" applyAlignment="1">
      <alignment horizontal="center"/>
    </xf>
    <xf numFmtId="3" fontId="4"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left" vertical="center" wrapText="1" indent="2"/>
    </xf>
    <xf numFmtId="0" fontId="0" fillId="0" borderId="0" xfId="0" applyBorder="1"/>
    <xf numFmtId="0" fontId="0" fillId="0" borderId="0" xfId="0" applyBorder="1" applyAlignment="1">
      <alignment wrapText="1"/>
    </xf>
    <xf numFmtId="165" fontId="154" fillId="0" borderId="32" xfId="7" applyNumberFormat="1" applyFont="1" applyFill="1" applyBorder="1" applyAlignment="1">
      <alignment horizontal="center"/>
    </xf>
    <xf numFmtId="165" fontId="4" fillId="0" borderId="0" xfId="7" applyNumberFormat="1" applyFont="1" applyFill="1" applyBorder="1" applyAlignment="1">
      <alignment horizontal="center"/>
    </xf>
    <xf numFmtId="195" fontId="1" fillId="0" borderId="0" xfId="1" applyNumberFormat="1" applyFont="1" applyAlignment="1">
      <alignment horizontal="center"/>
    </xf>
    <xf numFmtId="195" fontId="5" fillId="0" borderId="0" xfId="0" applyNumberFormat="1" applyFont="1" applyAlignment="1">
      <alignment horizontal="center"/>
    </xf>
    <xf numFmtId="0" fontId="0" fillId="0" borderId="0" xfId="0" applyAlignment="1">
      <alignment horizontal="left" vertical="center" wrapText="1" indent="1"/>
    </xf>
    <xf numFmtId="0" fontId="0" fillId="0" borderId="0" xfId="0" applyFill="1" applyBorder="1" applyAlignment="1">
      <alignment wrapText="1"/>
    </xf>
    <xf numFmtId="0" fontId="158" fillId="0" borderId="0" xfId="0" applyFont="1" applyAlignment="1">
      <alignment horizontal="center"/>
    </xf>
    <xf numFmtId="173" fontId="132" fillId="0" borderId="0" xfId="2" applyNumberFormat="1" applyFont="1" applyAlignment="1">
      <alignment horizontal="center"/>
    </xf>
    <xf numFmtId="173" fontId="132" fillId="0" borderId="0" xfId="0" applyNumberFormat="1" applyFont="1" applyAlignment="1">
      <alignment horizontal="center" wrapText="1"/>
    </xf>
    <xf numFmtId="0" fontId="158" fillId="0" borderId="0" xfId="0" applyFont="1" applyAlignment="1">
      <alignment horizontal="center" wrapText="1"/>
    </xf>
    <xf numFmtId="173" fontId="132" fillId="0" borderId="0" xfId="0" applyNumberFormat="1" applyFont="1" applyAlignment="1">
      <alignment horizontal="center"/>
    </xf>
    <xf numFmtId="195" fontId="4" fillId="0" borderId="0" xfId="1" applyNumberFormat="1" applyFont="1" applyAlignment="1">
      <alignment horizontal="center"/>
    </xf>
    <xf numFmtId="165" fontId="1" fillId="0" borderId="0" xfId="0" quotePrefix="1" applyNumberFormat="1" applyFont="1"/>
    <xf numFmtId="0" fontId="7" fillId="0" borderId="0" xfId="0" applyFont="1" applyBorder="1" applyAlignment="1">
      <alignment horizontal="left" indent="2"/>
    </xf>
    <xf numFmtId="166" fontId="4" fillId="0" borderId="0" xfId="0" applyNumberFormat="1" applyFont="1" applyBorder="1"/>
    <xf numFmtId="169" fontId="1" fillId="0" borderId="0" xfId="0" applyNumberFormat="1" applyFont="1" applyBorder="1"/>
    <xf numFmtId="0" fontId="8" fillId="0" borderId="88" xfId="0" applyFont="1" applyFill="1" applyBorder="1" applyAlignment="1">
      <alignment horizontal="center"/>
    </xf>
    <xf numFmtId="173" fontId="4" fillId="48" borderId="27" xfId="2" applyNumberFormat="1" applyFont="1" applyFill="1" applyBorder="1" applyAlignment="1">
      <alignment horizontal="center"/>
    </xf>
    <xf numFmtId="0" fontId="10" fillId="0" borderId="0" xfId="0" applyFont="1" applyAlignment="1">
      <alignment horizontal="left" vertical="center" indent="1"/>
    </xf>
    <xf numFmtId="0" fontId="0" fillId="0" borderId="0" xfId="0" applyAlignment="1">
      <alignment horizontal="left" vertical="center" wrapText="1" indent="1"/>
    </xf>
    <xf numFmtId="0" fontId="4" fillId="0" borderId="0" xfId="0" applyFont="1" applyAlignment="1">
      <alignment horizontal="left" vertical="center" wrapText="1" indent="1"/>
    </xf>
    <xf numFmtId="0" fontId="0" fillId="0" borderId="0" xfId="0" applyAlignment="1">
      <alignment horizontal="left" vertical="center" wrapText="1" indent="1"/>
    </xf>
    <xf numFmtId="0" fontId="0" fillId="0" borderId="0" xfId="0" applyAlignment="1">
      <alignment vertical="center" wrapText="1"/>
    </xf>
    <xf numFmtId="0" fontId="1" fillId="0" borderId="0" xfId="0" applyFont="1" applyAlignment="1">
      <alignment vertical="center" wrapText="1"/>
    </xf>
    <xf numFmtId="0" fontId="4" fillId="0" borderId="0" xfId="0" applyFont="1" applyAlignment="1">
      <alignment horizontal="center"/>
    </xf>
    <xf numFmtId="0" fontId="4" fillId="0" borderId="0" xfId="0" applyFont="1" applyAlignment="1">
      <alignment horizontal="left" vertical="center" wrapText="1" indent="1"/>
    </xf>
    <xf numFmtId="0" fontId="9" fillId="0" borderId="0" xfId="0" applyFont="1" applyAlignment="1">
      <alignment horizontal="center"/>
    </xf>
    <xf numFmtId="166" fontId="0" fillId="57" borderId="42" xfId="0" applyNumberFormat="1" applyFill="1" applyBorder="1"/>
    <xf numFmtId="166" fontId="0" fillId="57" borderId="25" xfId="0" applyNumberFormat="1" applyFill="1" applyBorder="1"/>
    <xf numFmtId="0" fontId="1" fillId="29" borderId="34" xfId="0" applyFont="1" applyFill="1" applyBorder="1" applyAlignment="1">
      <alignment horizontal="right"/>
    </xf>
    <xf numFmtId="166" fontId="0" fillId="29" borderId="36" xfId="0" applyNumberFormat="1" applyFill="1" applyBorder="1"/>
    <xf numFmtId="166" fontId="0" fillId="63" borderId="0" xfId="0" applyNumberFormat="1" applyFill="1"/>
    <xf numFmtId="0" fontId="0" fillId="63" borderId="0" xfId="0" applyFill="1"/>
    <xf numFmtId="166" fontId="4" fillId="63" borderId="37" xfId="0" applyNumberFormat="1" applyFont="1" applyFill="1" applyBorder="1"/>
    <xf numFmtId="166" fontId="4" fillId="63" borderId="30" xfId="0" applyNumberFormat="1" applyFont="1" applyFill="1" applyBorder="1"/>
    <xf numFmtId="166" fontId="4" fillId="63" borderId="31" xfId="0" applyNumberFormat="1" applyFont="1" applyFill="1" applyBorder="1"/>
    <xf numFmtId="0" fontId="0" fillId="0" borderId="0" xfId="0" applyAlignment="1">
      <alignment horizontal="left" vertical="center" wrapText="1" indent="1"/>
    </xf>
    <xf numFmtId="0" fontId="1" fillId="0" borderId="0" xfId="0" applyFont="1" applyAlignment="1">
      <alignment horizontal="center" vertical="center" wrapText="1"/>
    </xf>
    <xf numFmtId="0" fontId="1" fillId="51" borderId="29" xfId="0" applyFont="1" applyFill="1" applyBorder="1" applyAlignment="1">
      <alignment horizontal="center" vertical="center" wrapText="1"/>
    </xf>
    <xf numFmtId="0" fontId="26" fillId="0" borderId="0" xfId="0" applyFont="1" applyAlignment="1">
      <alignment vertical="center"/>
    </xf>
    <xf numFmtId="1" fontId="1" fillId="0" borderId="0" xfId="0" applyNumberFormat="1" applyFont="1" applyAlignment="1">
      <alignment horizontal="right"/>
    </xf>
    <xf numFmtId="166" fontId="4" fillId="63" borderId="29" xfId="0" applyNumberFormat="1" applyFont="1" applyFill="1" applyBorder="1"/>
    <xf numFmtId="177" fontId="4" fillId="11" borderId="9" xfId="0" applyNumberFormat="1" applyFont="1" applyFill="1" applyBorder="1"/>
    <xf numFmtId="177" fontId="0" fillId="0" borderId="11" xfId="0" applyNumberFormat="1" applyBorder="1"/>
    <xf numFmtId="177" fontId="0" fillId="0" borderId="0" xfId="0" applyNumberFormat="1" applyBorder="1" applyAlignment="1">
      <alignment horizontal="left" indent="1"/>
    </xf>
    <xf numFmtId="177" fontId="0" fillId="0" borderId="0" xfId="0" applyNumberFormat="1" applyBorder="1"/>
    <xf numFmtId="188" fontId="1" fillId="0" borderId="0" xfId="0" quotePrefix="1" applyNumberFormat="1" applyFont="1"/>
    <xf numFmtId="2" fontId="8" fillId="16" borderId="15" xfId="0" applyNumberFormat="1" applyFont="1" applyFill="1" applyBorder="1" applyAlignment="1">
      <alignment horizontal="center"/>
    </xf>
    <xf numFmtId="0" fontId="0" fillId="0" borderId="0" xfId="0" applyAlignment="1">
      <alignment horizontal="left" wrapText="1" indent="2"/>
    </xf>
    <xf numFmtId="0" fontId="4" fillId="0" borderId="32" xfId="0" applyFont="1" applyFill="1" applyBorder="1"/>
    <xf numFmtId="0" fontId="0" fillId="0" borderId="0" xfId="0" applyBorder="1"/>
    <xf numFmtId="0" fontId="0" fillId="0" borderId="0" xfId="0" applyAlignment="1">
      <alignment horizontal="left" wrapText="1" indent="1"/>
    </xf>
    <xf numFmtId="0" fontId="9" fillId="0" borderId="0" xfId="0" applyFont="1" applyAlignment="1">
      <alignment horizontal="center"/>
    </xf>
    <xf numFmtId="0" fontId="7" fillId="0" borderId="0" xfId="0" applyFont="1" applyAlignment="1">
      <alignment horizontal="center"/>
    </xf>
    <xf numFmtId="0" fontId="4" fillId="47" borderId="0" xfId="0" applyFont="1" applyFill="1" applyAlignment="1">
      <alignment horizontal="left" indent="1"/>
    </xf>
    <xf numFmtId="0" fontId="1" fillId="0" borderId="29" xfId="0" applyFont="1" applyBorder="1" applyAlignment="1">
      <alignment horizontal="left" indent="1"/>
    </xf>
    <xf numFmtId="0" fontId="1" fillId="47" borderId="0" xfId="0" applyFont="1" applyFill="1"/>
    <xf numFmtId="0" fontId="0" fillId="0" borderId="0" xfId="0" applyAlignment="1">
      <alignment vertical="center" wrapText="1"/>
    </xf>
    <xf numFmtId="0" fontId="159" fillId="27" borderId="91" xfId="0" applyFont="1" applyFill="1" applyBorder="1" applyAlignment="1">
      <alignment horizontal="center" vertical="center"/>
    </xf>
    <xf numFmtId="0" fontId="0" fillId="0" borderId="0" xfId="0" applyAlignment="1">
      <alignment vertical="center" wrapText="1"/>
    </xf>
    <xf numFmtId="0" fontId="0" fillId="0" borderId="0" xfId="0" applyBorder="1"/>
    <xf numFmtId="0" fontId="8" fillId="0" borderId="0" xfId="0" applyFont="1" applyAlignment="1">
      <alignment horizontal="center"/>
    </xf>
    <xf numFmtId="0" fontId="7" fillId="47" borderId="29" xfId="0" applyFont="1" applyFill="1" applyBorder="1" applyAlignment="1">
      <alignment horizontal="right"/>
    </xf>
    <xf numFmtId="2" fontId="4" fillId="47" borderId="29" xfId="0" applyNumberFormat="1" applyFont="1" applyFill="1" applyBorder="1"/>
    <xf numFmtId="2" fontId="0" fillId="47" borderId="29" xfId="0" applyNumberFormat="1" applyFill="1" applyBorder="1"/>
    <xf numFmtId="0" fontId="0" fillId="0" borderId="0" xfId="0" applyBorder="1"/>
    <xf numFmtId="0" fontId="8" fillId="0" borderId="0" xfId="0" applyFont="1" applyAlignment="1">
      <alignment horizontal="center"/>
    </xf>
    <xf numFmtId="9" fontId="0" fillId="0" borderId="0" xfId="0" applyNumberFormat="1" applyAlignment="1">
      <alignment horizontal="center"/>
    </xf>
    <xf numFmtId="3" fontId="0" fillId="0" borderId="0" xfId="0" applyNumberFormat="1" applyBorder="1" applyAlignment="1">
      <alignment horizontal="center"/>
    </xf>
    <xf numFmtId="165" fontId="0" fillId="0" borderId="25" xfId="7" applyNumberFormat="1" applyFont="1" applyBorder="1" applyAlignment="1">
      <alignment horizontal="center"/>
    </xf>
    <xf numFmtId="165" fontId="132" fillId="64" borderId="29" xfId="7" applyNumberFormat="1" applyFont="1" applyFill="1" applyBorder="1" applyAlignment="1">
      <alignment horizontal="right" indent="1"/>
    </xf>
    <xf numFmtId="0" fontId="132" fillId="64" borderId="29" xfId="0" applyFont="1" applyFill="1" applyBorder="1" applyAlignment="1">
      <alignment horizontal="left" indent="1"/>
    </xf>
    <xf numFmtId="165" fontId="0" fillId="64" borderId="29" xfId="7" applyNumberFormat="1" applyFont="1" applyFill="1" applyBorder="1"/>
    <xf numFmtId="0" fontId="0" fillId="64" borderId="29" xfId="0" applyFill="1" applyBorder="1"/>
    <xf numFmtId="0" fontId="6" fillId="0" borderId="0" xfId="0" quotePrefix="1" applyFont="1" applyAlignment="1">
      <alignment horizontal="left" indent="1"/>
    </xf>
    <xf numFmtId="3" fontId="4" fillId="0" borderId="0" xfId="0" applyNumberFormat="1" applyFont="1" applyFill="1" applyBorder="1" applyAlignment="1">
      <alignment vertical="center"/>
    </xf>
    <xf numFmtId="0" fontId="132" fillId="47" borderId="37" xfId="0" applyFont="1" applyFill="1" applyBorder="1" applyAlignment="1">
      <alignment horizontal="left"/>
    </xf>
    <xf numFmtId="0" fontId="132" fillId="47" borderId="30" xfId="0" applyFont="1" applyFill="1" applyBorder="1" applyAlignment="1"/>
    <xf numFmtId="0" fontId="132" fillId="47" borderId="30" xfId="0" applyFont="1" applyFill="1" applyBorder="1"/>
    <xf numFmtId="195" fontId="132" fillId="47" borderId="31" xfId="1" applyNumberFormat="1" applyFont="1" applyFill="1" applyBorder="1" applyAlignment="1"/>
    <xf numFmtId="195" fontId="130" fillId="0" borderId="0" xfId="0" applyNumberFormat="1" applyFont="1" applyFill="1" applyBorder="1" applyAlignment="1"/>
    <xf numFmtId="0" fontId="136" fillId="0" borderId="0" xfId="0" applyFont="1" applyFill="1" applyBorder="1" applyAlignment="1"/>
    <xf numFmtId="166" fontId="130" fillId="0" borderId="0" xfId="0" applyNumberFormat="1" applyFont="1" applyFill="1" applyBorder="1" applyAlignment="1"/>
    <xf numFmtId="0" fontId="130" fillId="64" borderId="12" xfId="0" applyFont="1" applyFill="1" applyBorder="1" applyAlignment="1">
      <alignment horizontal="left"/>
    </xf>
    <xf numFmtId="195" fontId="130" fillId="64" borderId="7" xfId="0" applyNumberFormat="1" applyFont="1" applyFill="1" applyBorder="1" applyAlignment="1"/>
    <xf numFmtId="0" fontId="130" fillId="64" borderId="7" xfId="0" applyFont="1" applyFill="1" applyBorder="1" applyAlignment="1">
      <alignment horizontal="right"/>
    </xf>
    <xf numFmtId="195" fontId="130" fillId="64" borderId="16" xfId="1" applyNumberFormat="1" applyFont="1" applyFill="1" applyBorder="1" applyAlignment="1">
      <alignment horizontal="right" indent="1"/>
    </xf>
    <xf numFmtId="169" fontId="130" fillId="21" borderId="7" xfId="0" applyNumberFormat="1" applyFont="1" applyFill="1" applyBorder="1" applyAlignment="1"/>
    <xf numFmtId="195" fontId="132" fillId="47" borderId="30" xfId="1" applyNumberFormat="1" applyFont="1" applyFill="1" applyBorder="1" applyAlignment="1"/>
    <xf numFmtId="165" fontId="132" fillId="64" borderId="36" xfId="7" applyNumberFormat="1" applyFont="1" applyFill="1" applyBorder="1" applyAlignment="1">
      <alignment horizontal="right" indent="1"/>
    </xf>
    <xf numFmtId="0" fontId="132" fillId="64" borderId="36" xfId="0" applyFont="1" applyFill="1" applyBorder="1" applyAlignment="1">
      <alignment horizontal="left" indent="1"/>
    </xf>
    <xf numFmtId="0" fontId="132" fillId="64" borderId="36" xfId="0" applyFont="1" applyFill="1" applyBorder="1"/>
    <xf numFmtId="0" fontId="136" fillId="47" borderId="37" xfId="0" quotePrefix="1" applyFont="1" applyFill="1" applyBorder="1" applyAlignment="1">
      <alignment horizontal="left"/>
    </xf>
    <xf numFmtId="0" fontId="0" fillId="47" borderId="30" xfId="0" applyFill="1" applyBorder="1" applyAlignment="1">
      <alignment horizontal="left"/>
    </xf>
    <xf numFmtId="0" fontId="0" fillId="47" borderId="31" xfId="0" applyFill="1" applyBorder="1" applyAlignment="1">
      <alignment horizontal="left"/>
    </xf>
    <xf numFmtId="0" fontId="130" fillId="24" borderId="37" xfId="0" applyFont="1" applyFill="1" applyBorder="1" applyAlignment="1">
      <alignment horizontal="left"/>
    </xf>
    <xf numFmtId="195" fontId="130" fillId="24" borderId="30" xfId="0" applyNumberFormat="1" applyFont="1" applyFill="1" applyBorder="1" applyAlignment="1"/>
    <xf numFmtId="0" fontId="130" fillId="24" borderId="30" xfId="0" applyFont="1" applyFill="1" applyBorder="1" applyAlignment="1">
      <alignment horizontal="right"/>
    </xf>
    <xf numFmtId="195" fontId="130" fillId="24" borderId="31" xfId="1" applyNumberFormat="1" applyFont="1" applyFill="1" applyBorder="1" applyAlignment="1">
      <alignment horizontal="right" indent="1"/>
    </xf>
    <xf numFmtId="0" fontId="0" fillId="24" borderId="30" xfId="0" applyFill="1" applyBorder="1"/>
    <xf numFmtId="0" fontId="132" fillId="24" borderId="30" xfId="0" applyFont="1" applyFill="1" applyBorder="1"/>
    <xf numFmtId="0" fontId="132" fillId="24" borderId="31" xfId="0" applyFont="1" applyFill="1" applyBorder="1"/>
    <xf numFmtId="169" fontId="130" fillId="58" borderId="30" xfId="0" applyNumberFormat="1" applyFont="1" applyFill="1" applyBorder="1"/>
    <xf numFmtId="0" fontId="136" fillId="24" borderId="37" xfId="0" applyFont="1" applyFill="1" applyBorder="1" applyAlignment="1">
      <alignment horizontal="left"/>
    </xf>
    <xf numFmtId="195" fontId="132" fillId="0" borderId="0" xfId="0" applyNumberFormat="1" applyFont="1" applyFill="1" applyBorder="1" applyAlignment="1"/>
    <xf numFmtId="0" fontId="132" fillId="0" borderId="0" xfId="0" applyFont="1" applyFill="1" applyBorder="1" applyAlignment="1">
      <alignment horizontal="right"/>
    </xf>
    <xf numFmtId="195" fontId="132" fillId="0" borderId="0" xfId="1" applyNumberFormat="1" applyFont="1" applyFill="1" applyBorder="1" applyAlignment="1">
      <alignment horizontal="right" indent="1"/>
    </xf>
    <xf numFmtId="0" fontId="135" fillId="0" borderId="0" xfId="0" applyFont="1"/>
    <xf numFmtId="0" fontId="6" fillId="0" borderId="0" xfId="0" applyFont="1" applyAlignment="1">
      <alignment horizontal="center"/>
    </xf>
    <xf numFmtId="0" fontId="0" fillId="47" borderId="18" xfId="0" applyFill="1" applyBorder="1"/>
    <xf numFmtId="3" fontId="0" fillId="47" borderId="42" xfId="0" applyNumberFormat="1" applyFill="1" applyBorder="1"/>
    <xf numFmtId="0" fontId="6" fillId="47" borderId="21" xfId="0" applyFont="1" applyFill="1" applyBorder="1" applyAlignment="1">
      <alignment horizontal="right"/>
    </xf>
    <xf numFmtId="3" fontId="0" fillId="47" borderId="37" xfId="0" applyNumberFormat="1" applyFill="1" applyBorder="1"/>
    <xf numFmtId="9" fontId="0" fillId="47" borderId="31" xfId="0" applyNumberFormat="1" applyFill="1" applyBorder="1"/>
    <xf numFmtId="0" fontId="0" fillId="0" borderId="0" xfId="0" applyBorder="1" applyAlignment="1">
      <alignment horizontal="left" vertical="center" wrapText="1" indent="1"/>
    </xf>
    <xf numFmtId="3" fontId="4" fillId="2" borderId="0" xfId="0" applyNumberFormat="1" applyFont="1" applyFill="1"/>
    <xf numFmtId="0" fontId="6" fillId="65" borderId="0" xfId="0" applyFont="1" applyFill="1" applyAlignment="1">
      <alignment horizontal="right"/>
    </xf>
    <xf numFmtId="0" fontId="0" fillId="65" borderId="0" xfId="0" applyFill="1"/>
    <xf numFmtId="9" fontId="0" fillId="65" borderId="0" xfId="7" applyFont="1" applyFill="1"/>
    <xf numFmtId="9" fontId="0" fillId="65" borderId="0" xfId="0" applyNumberFormat="1" applyFill="1"/>
    <xf numFmtId="0" fontId="9" fillId="21" borderId="0" xfId="0" applyFont="1" applyFill="1" applyAlignment="1">
      <alignment horizontal="right"/>
    </xf>
    <xf numFmtId="9" fontId="7" fillId="0" borderId="0" xfId="7" applyFont="1" applyAlignment="1">
      <alignment horizontal="right"/>
    </xf>
    <xf numFmtId="9" fontId="7" fillId="21" borderId="0" xfId="7" applyFont="1" applyFill="1" applyAlignment="1">
      <alignment horizontal="right"/>
    </xf>
    <xf numFmtId="3" fontId="1" fillId="0" borderId="0" xfId="0" applyNumberFormat="1" applyFont="1" applyAlignment="1">
      <alignment horizontal="right"/>
    </xf>
    <xf numFmtId="165" fontId="4" fillId="2" borderId="0" xfId="7" applyNumberFormat="1" applyFont="1" applyFill="1"/>
    <xf numFmtId="165" fontId="4" fillId="0" borderId="0" xfId="7" applyNumberFormat="1" applyFont="1" applyFill="1" applyBorder="1" applyAlignment="1">
      <alignment vertical="center"/>
    </xf>
    <xf numFmtId="9" fontId="4" fillId="21" borderId="0" xfId="7" applyFont="1" applyFill="1"/>
    <xf numFmtId="7" fontId="4" fillId="21" borderId="0" xfId="2" applyNumberFormat="1" applyFont="1" applyFill="1"/>
    <xf numFmtId="175" fontId="4" fillId="21" borderId="0" xfId="2" applyNumberFormat="1" applyFont="1" applyFill="1"/>
    <xf numFmtId="175" fontId="4" fillId="0" borderId="0" xfId="2" applyNumberFormat="1" applyFont="1" applyFill="1"/>
    <xf numFmtId="0" fontId="0" fillId="0" borderId="0" xfId="0" applyBorder="1" applyAlignment="1">
      <alignment horizontal="left" vertical="center" wrapText="1" indent="1"/>
    </xf>
    <xf numFmtId="9" fontId="0" fillId="0" borderId="0" xfId="0" applyNumberFormat="1" applyAlignment="1">
      <alignment horizontal="center"/>
    </xf>
    <xf numFmtId="3" fontId="0" fillId="0" borderId="0" xfId="0" applyNumberFormat="1" applyBorder="1" applyAlignment="1">
      <alignment horizontal="center"/>
    </xf>
    <xf numFmtId="0" fontId="6" fillId="0" borderId="0" xfId="0" applyFont="1" applyAlignment="1">
      <alignment horizontal="center"/>
    </xf>
    <xf numFmtId="195" fontId="4" fillId="0" borderId="0" xfId="1" applyNumberFormat="1" applyFont="1" applyFill="1" applyBorder="1" applyAlignment="1">
      <alignment vertical="center"/>
    </xf>
    <xf numFmtId="0" fontId="0" fillId="47" borderId="18" xfId="0" applyFill="1" applyBorder="1" applyAlignment="1">
      <alignment horizontal="left" vertical="center" indent="1"/>
    </xf>
    <xf numFmtId="0" fontId="0" fillId="47" borderId="17" xfId="0" applyFill="1" applyBorder="1" applyAlignment="1">
      <alignment horizontal="left" vertical="center" indent="1"/>
    </xf>
    <xf numFmtId="0" fontId="6" fillId="47" borderId="33" xfId="0" applyFont="1" applyFill="1" applyBorder="1" applyAlignment="1">
      <alignment horizontal="left" vertical="center" indent="1"/>
    </xf>
    <xf numFmtId="3" fontId="8" fillId="21" borderId="0" xfId="0" applyNumberFormat="1" applyFont="1" applyFill="1"/>
    <xf numFmtId="0" fontId="0" fillId="0" borderId="0" xfId="0" applyBorder="1"/>
    <xf numFmtId="0" fontId="8" fillId="0" borderId="0" xfId="0" applyFont="1" applyAlignment="1">
      <alignment horizontal="center"/>
    </xf>
    <xf numFmtId="175" fontId="4" fillId="0" borderId="0" xfId="0" applyNumberFormat="1" applyFont="1"/>
    <xf numFmtId="3" fontId="0" fillId="47" borderId="29" xfId="0" applyNumberFormat="1" applyFill="1" applyBorder="1"/>
    <xf numFmtId="0" fontId="0" fillId="0" borderId="0" xfId="0" applyBorder="1"/>
    <xf numFmtId="0" fontId="8" fillId="0" borderId="0" xfId="0" applyFont="1" applyAlignment="1">
      <alignment horizontal="center"/>
    </xf>
    <xf numFmtId="9" fontId="0" fillId="0" borderId="0" xfId="0" applyNumberFormat="1" applyAlignment="1">
      <alignment horizontal="center"/>
    </xf>
    <xf numFmtId="3" fontId="0" fillId="0" borderId="0" xfId="0" applyNumberFormat="1" applyBorder="1" applyAlignment="1">
      <alignment horizontal="center"/>
    </xf>
    <xf numFmtId="3" fontId="0" fillId="21" borderId="29" xfId="0" applyNumberFormat="1" applyFill="1" applyBorder="1"/>
    <xf numFmtId="0" fontId="6" fillId="21" borderId="29" xfId="0" applyFont="1" applyFill="1" applyBorder="1" applyAlignment="1">
      <alignment horizontal="right"/>
    </xf>
    <xf numFmtId="0" fontId="4" fillId="0" borderId="43" xfId="0" applyFont="1" applyBorder="1" applyAlignment="1">
      <alignment horizontal="left" indent="1"/>
    </xf>
    <xf numFmtId="0" fontId="1" fillId="0" borderId="44" xfId="0" applyFont="1" applyBorder="1" applyAlignment="1">
      <alignment horizontal="left" indent="1"/>
    </xf>
    <xf numFmtId="3" fontId="0" fillId="0" borderId="10" xfId="0" applyNumberFormat="1" applyBorder="1"/>
    <xf numFmtId="0" fontId="1" fillId="0" borderId="45" xfId="0" applyFont="1" applyBorder="1" applyAlignment="1">
      <alignment horizontal="left" indent="1"/>
    </xf>
    <xf numFmtId="0" fontId="6" fillId="0" borderId="1" xfId="0" applyFont="1" applyBorder="1" applyAlignment="1">
      <alignment horizontal="left" indent="1"/>
    </xf>
    <xf numFmtId="3" fontId="0" fillId="0" borderId="1" xfId="0" applyNumberFormat="1" applyBorder="1"/>
    <xf numFmtId="3" fontId="0" fillId="0" borderId="11" xfId="0" applyNumberFormat="1" applyBorder="1"/>
    <xf numFmtId="3" fontId="7" fillId="0" borderId="8" xfId="0" applyNumberFormat="1" applyFont="1" applyBorder="1" applyAlignment="1">
      <alignment horizontal="right"/>
    </xf>
    <xf numFmtId="0" fontId="7" fillId="0" borderId="8" xfId="0" applyFont="1" applyBorder="1" applyAlignment="1">
      <alignment horizontal="left"/>
    </xf>
    <xf numFmtId="0" fontId="7" fillId="0" borderId="8" xfId="0" applyFont="1" applyBorder="1" applyAlignment="1">
      <alignment horizontal="left" indent="1"/>
    </xf>
    <xf numFmtId="3" fontId="7" fillId="0" borderId="9" xfId="0" applyNumberFormat="1" applyFont="1" applyBorder="1" applyAlignment="1">
      <alignment horizontal="right"/>
    </xf>
    <xf numFmtId="0" fontId="161" fillId="0" borderId="0" xfId="0" applyFont="1"/>
    <xf numFmtId="3" fontId="161" fillId="0" borderId="0" xfId="0" applyNumberFormat="1" applyFont="1"/>
    <xf numFmtId="9" fontId="161" fillId="0" borderId="0" xfId="0" applyNumberFormat="1" applyFont="1" applyBorder="1" applyAlignment="1">
      <alignment horizontal="center"/>
    </xf>
    <xf numFmtId="3" fontId="0" fillId="0" borderId="0" xfId="0" applyNumberFormat="1" applyBorder="1" applyAlignment="1">
      <alignment horizontal="center"/>
    </xf>
    <xf numFmtId="0" fontId="8" fillId="0" borderId="0" xfId="0" applyFont="1" applyAlignment="1">
      <alignment horizontal="center"/>
    </xf>
    <xf numFmtId="3" fontId="0" fillId="0" borderId="0" xfId="0" applyNumberFormat="1" applyBorder="1" applyAlignment="1">
      <alignment horizontal="center"/>
    </xf>
    <xf numFmtId="3" fontId="7" fillId="0" borderId="0" xfId="0" applyNumberFormat="1" applyFont="1" applyAlignment="1">
      <alignment horizontal="right"/>
    </xf>
    <xf numFmtId="0" fontId="0" fillId="0" borderId="0" xfId="0"/>
    <xf numFmtId="3" fontId="1" fillId="0" borderId="0" xfId="0" applyNumberFormat="1" applyFont="1" applyFill="1" applyBorder="1"/>
    <xf numFmtId="3" fontId="1" fillId="21" borderId="34" xfId="0" applyNumberFormat="1" applyFont="1" applyFill="1" applyBorder="1"/>
    <xf numFmtId="3" fontId="6" fillId="64" borderId="34" xfId="0" applyNumberFormat="1" applyFont="1" applyFill="1" applyBorder="1" applyAlignment="1">
      <alignment horizontal="right" indent="1"/>
    </xf>
    <xf numFmtId="9" fontId="0" fillId="64" borderId="36" xfId="7" applyFont="1" applyFill="1" applyBorder="1" applyAlignment="1">
      <alignment horizontal="right" indent="1"/>
    </xf>
    <xf numFmtId="3" fontId="6" fillId="64" borderId="29" xfId="0" applyNumberFormat="1" applyFont="1" applyFill="1" applyBorder="1" applyAlignment="1">
      <alignment horizontal="center"/>
    </xf>
    <xf numFmtId="0" fontId="0" fillId="0" borderId="0" xfId="0" applyBorder="1"/>
    <xf numFmtId="0" fontId="0" fillId="0" borderId="31" xfId="0" applyBorder="1" applyAlignment="1">
      <alignment horizontal="center"/>
    </xf>
    <xf numFmtId="0" fontId="0" fillId="0" borderId="0" xfId="0"/>
    <xf numFmtId="9" fontId="161" fillId="47" borderId="0" xfId="0" applyNumberFormat="1" applyFont="1" applyFill="1"/>
    <xf numFmtId="2" fontId="0" fillId="21" borderId="29" xfId="0" applyNumberFormat="1" applyFill="1" applyBorder="1"/>
    <xf numFmtId="0" fontId="4" fillId="66" borderId="0" xfId="0" applyFont="1" applyFill="1"/>
    <xf numFmtId="0" fontId="0" fillId="66" borderId="0" xfId="0" applyFill="1"/>
    <xf numFmtId="0" fontId="1" fillId="66" borderId="0" xfId="0" applyFont="1" applyFill="1"/>
    <xf numFmtId="2" fontId="0" fillId="67" borderId="0" xfId="0" applyNumberFormat="1" applyFill="1"/>
    <xf numFmtId="0" fontId="9" fillId="66" borderId="0" xfId="0" applyFont="1" applyFill="1" applyAlignment="1">
      <alignment horizontal="center"/>
    </xf>
    <xf numFmtId="195" fontId="0" fillId="66" borderId="0" xfId="1" applyNumberFormat="1" applyFont="1" applyFill="1"/>
    <xf numFmtId="0" fontId="6" fillId="66" borderId="0" xfId="0" applyFont="1" applyFill="1" applyAlignment="1">
      <alignment horizontal="left" indent="1"/>
    </xf>
    <xf numFmtId="43" fontId="0" fillId="66" borderId="0" xfId="1" applyFont="1" applyFill="1"/>
    <xf numFmtId="0" fontId="8" fillId="66" borderId="12" xfId="0" applyFont="1" applyFill="1" applyBorder="1"/>
    <xf numFmtId="0" fontId="0" fillId="66" borderId="7" xfId="0" applyFill="1" applyBorder="1"/>
    <xf numFmtId="3" fontId="8" fillId="66" borderId="16" xfId="0" applyNumberFormat="1" applyFont="1" applyFill="1" applyBorder="1"/>
    <xf numFmtId="0" fontId="8" fillId="66" borderId="0" xfId="0" applyFont="1" applyFill="1" applyBorder="1"/>
    <xf numFmtId="0" fontId="0" fillId="66" borderId="0" xfId="0" applyFill="1" applyBorder="1"/>
    <xf numFmtId="3" fontId="8" fillId="66" borderId="0" xfId="0" applyNumberFormat="1" applyFont="1" applyFill="1" applyBorder="1"/>
    <xf numFmtId="2" fontId="0" fillId="66" borderId="0" xfId="0" applyNumberFormat="1" applyFill="1"/>
    <xf numFmtId="43" fontId="0" fillId="66" borderId="0" xfId="0" applyNumberFormat="1" applyFill="1"/>
    <xf numFmtId="187" fontId="8" fillId="66" borderId="0" xfId="0" applyNumberFormat="1" applyFont="1" applyFill="1"/>
    <xf numFmtId="193" fontId="0" fillId="66" borderId="0" xfId="0" applyNumberFormat="1" applyFill="1"/>
    <xf numFmtId="11" fontId="0" fillId="66" borderId="0" xfId="0" applyNumberFormat="1" applyFill="1"/>
    <xf numFmtId="182" fontId="8" fillId="66" borderId="0" xfId="0" applyNumberFormat="1" applyFont="1" applyFill="1"/>
    <xf numFmtId="3" fontId="0" fillId="26" borderId="29" xfId="0" applyNumberFormat="1" applyFill="1" applyBorder="1"/>
    <xf numFmtId="9" fontId="0" fillId="55" borderId="29" xfId="7" applyFont="1" applyFill="1" applyBorder="1" applyAlignment="1">
      <alignment horizontal="right" indent="1"/>
    </xf>
    <xf numFmtId="0" fontId="1" fillId="21" borderId="0" xfId="0" applyFont="1" applyFill="1" applyAlignment="1">
      <alignment horizontal="right"/>
    </xf>
    <xf numFmtId="3" fontId="0" fillId="64" borderId="0" xfId="0" applyNumberFormat="1" applyFill="1"/>
    <xf numFmtId="0" fontId="1" fillId="0" borderId="43" xfId="0" applyFont="1" applyBorder="1"/>
    <xf numFmtId="0" fontId="7" fillId="0" borderId="8" xfId="0" applyFont="1" applyBorder="1" applyAlignment="1">
      <alignment horizontal="right"/>
    </xf>
    <xf numFmtId="0" fontId="4" fillId="0" borderId="44" xfId="0" applyFont="1" applyBorder="1"/>
    <xf numFmtId="0" fontId="1" fillId="0" borderId="44" xfId="0" applyFont="1" applyBorder="1"/>
    <xf numFmtId="195" fontId="0" fillId="0" borderId="0" xfId="1" applyNumberFormat="1" applyFont="1" applyBorder="1"/>
    <xf numFmtId="169" fontId="0" fillId="0" borderId="10" xfId="0" applyNumberFormat="1" applyBorder="1"/>
    <xf numFmtId="0" fontId="1" fillId="0" borderId="45" xfId="0" applyFont="1" applyBorder="1"/>
    <xf numFmtId="169" fontId="0" fillId="0" borderId="1" xfId="0" applyNumberFormat="1" applyBorder="1"/>
    <xf numFmtId="0" fontId="0" fillId="0" borderId="0" xfId="0"/>
    <xf numFmtId="8" fontId="8" fillId="28" borderId="92" xfId="0" applyNumberFormat="1" applyFont="1" applyFill="1" applyBorder="1" applyAlignment="1">
      <alignment horizontal="center"/>
    </xf>
    <xf numFmtId="37" fontId="0" fillId="0" borderId="33" xfId="1" applyNumberFormat="1" applyFont="1" applyFill="1" applyBorder="1" applyAlignment="1">
      <alignment horizontal="center"/>
    </xf>
    <xf numFmtId="187" fontId="0" fillId="47" borderId="30" xfId="0" applyNumberFormat="1" applyFill="1" applyBorder="1" applyAlignment="1">
      <alignment horizontal="center"/>
    </xf>
    <xf numFmtId="9" fontId="150" fillId="52" borderId="0" xfId="7" applyFont="1" applyFill="1" applyAlignment="1">
      <alignment horizontal="right" indent="1"/>
    </xf>
    <xf numFmtId="9" fontId="7" fillId="0" borderId="0" xfId="0" applyNumberFormat="1" applyFont="1" applyAlignment="1">
      <alignment horizontal="right"/>
    </xf>
    <xf numFmtId="3" fontId="7" fillId="21" borderId="0" xfId="0" applyNumberFormat="1" applyFont="1" applyFill="1" applyAlignment="1">
      <alignment horizontal="right"/>
    </xf>
    <xf numFmtId="0" fontId="6" fillId="21" borderId="0" xfId="0" applyFont="1" applyFill="1" applyAlignment="1">
      <alignment horizontal="left" indent="1"/>
    </xf>
    <xf numFmtId="7" fontId="0" fillId="21" borderId="0" xfId="2" applyNumberFormat="1" applyFont="1" applyFill="1"/>
    <xf numFmtId="0" fontId="154" fillId="0" borderId="0" xfId="0" applyFont="1"/>
    <xf numFmtId="0" fontId="0" fillId="0" borderId="0" xfId="0" applyAlignment="1">
      <alignment horizontal="right" wrapText="1"/>
    </xf>
    <xf numFmtId="0" fontId="7" fillId="0" borderId="0" xfId="0" applyFont="1" applyAlignment="1">
      <alignment horizontal="right" wrapText="1"/>
    </xf>
    <xf numFmtId="0" fontId="0" fillId="0" borderId="0" xfId="0"/>
    <xf numFmtId="0" fontId="9" fillId="0" borderId="0" xfId="0" applyFont="1" applyAlignment="1">
      <alignment horizontal="right" wrapText="1"/>
    </xf>
    <xf numFmtId="169" fontId="0" fillId="0" borderId="0" xfId="1" applyNumberFormat="1" applyFont="1" applyAlignment="1">
      <alignment horizontal="center"/>
    </xf>
    <xf numFmtId="0" fontId="7" fillId="0" borderId="0" xfId="0" applyFont="1" applyAlignment="1">
      <alignment horizontal="left" indent="2"/>
    </xf>
    <xf numFmtId="0" fontId="7" fillId="0" borderId="0" xfId="0" quotePrefix="1" applyFont="1" applyAlignment="1">
      <alignment horizontal="right" wrapText="1" indent="1"/>
    </xf>
    <xf numFmtId="176" fontId="0" fillId="0" borderId="0" xfId="0" applyNumberFormat="1"/>
    <xf numFmtId="0" fontId="6" fillId="0" borderId="0" xfId="0" applyFont="1" applyAlignment="1">
      <alignment horizontal="center"/>
    </xf>
    <xf numFmtId="0" fontId="0" fillId="0" borderId="0" xfId="0"/>
    <xf numFmtId="165" fontId="0" fillId="21" borderId="0" xfId="7" applyNumberFormat="1" applyFont="1" applyFill="1"/>
    <xf numFmtId="3" fontId="1" fillId="2" borderId="0" xfId="0" applyNumberFormat="1" applyFont="1" applyFill="1"/>
    <xf numFmtId="3" fontId="1" fillId="0" borderId="0" xfId="0" applyNumberFormat="1" applyFont="1" applyFill="1" applyBorder="1" applyAlignment="1">
      <alignment vertical="center"/>
    </xf>
    <xf numFmtId="0" fontId="0" fillId="0" borderId="0" xfId="0"/>
    <xf numFmtId="6" fontId="1" fillId="0" borderId="0" xfId="0" applyNumberFormat="1" applyFont="1" applyAlignment="1">
      <alignment horizontal="right" wrapText="1" indent="1"/>
    </xf>
    <xf numFmtId="9" fontId="7" fillId="21" borderId="0" xfId="0" applyNumberFormat="1" applyFont="1" applyFill="1" applyAlignment="1">
      <alignment horizontal="right"/>
    </xf>
    <xf numFmtId="37" fontId="4" fillId="21" borderId="0" xfId="2" applyNumberFormat="1" applyFont="1" applyFill="1"/>
    <xf numFmtId="0" fontId="0" fillId="0" borderId="0" xfId="0"/>
    <xf numFmtId="0" fontId="0" fillId="0" borderId="0" xfId="0" applyAlignment="1">
      <alignment horizontal="left" vertical="center" wrapText="1" indent="1"/>
    </xf>
    <xf numFmtId="0" fontId="0" fillId="0" borderId="0" xfId="0"/>
    <xf numFmtId="7" fontId="0" fillId="66" borderId="0" xfId="2" applyNumberFormat="1" applyFont="1" applyFill="1"/>
    <xf numFmtId="7" fontId="4" fillId="68" borderId="0" xfId="2" applyNumberFormat="1" applyFont="1" applyFill="1"/>
    <xf numFmtId="0" fontId="0" fillId="0" borderId="0" xfId="0"/>
    <xf numFmtId="0" fontId="7" fillId="0" borderId="9" xfId="0" applyFont="1" applyBorder="1" applyAlignment="1">
      <alignment horizontal="right"/>
    </xf>
    <xf numFmtId="165" fontId="4" fillId="21" borderId="0" xfId="7" applyNumberFormat="1" applyFont="1" applyFill="1"/>
    <xf numFmtId="3" fontId="4" fillId="21" borderId="0" xfId="0" applyNumberFormat="1" applyFont="1" applyFill="1"/>
    <xf numFmtId="37" fontId="1" fillId="21" borderId="0" xfId="2" applyNumberFormat="1" applyFont="1" applyFill="1"/>
    <xf numFmtId="37" fontId="7" fillId="21" borderId="0" xfId="2" applyNumberFormat="1" applyFont="1" applyFill="1"/>
    <xf numFmtId="166" fontId="0" fillId="21" borderId="0" xfId="0" applyNumberFormat="1" applyFill="1"/>
    <xf numFmtId="164" fontId="0" fillId="21" borderId="0" xfId="0" applyNumberFormat="1" applyFill="1"/>
    <xf numFmtId="0" fontId="4" fillId="65" borderId="0" xfId="0" applyFont="1" applyFill="1"/>
    <xf numFmtId="7" fontId="4" fillId="65" borderId="0" xfId="0" applyNumberFormat="1" applyFont="1" applyFill="1"/>
    <xf numFmtId="9" fontId="4" fillId="0" borderId="0" xfId="7" applyNumberFormat="1" applyFont="1"/>
    <xf numFmtId="0" fontId="0" fillId="0" borderId="0" xfId="0"/>
    <xf numFmtId="0" fontId="4" fillId="21" borderId="0" xfId="0" applyFont="1" applyFill="1" applyAlignment="1">
      <alignment horizontal="left" indent="1"/>
    </xf>
    <xf numFmtId="208" fontId="0" fillId="0" borderId="0" xfId="0" applyNumberFormat="1"/>
    <xf numFmtId="0" fontId="1" fillId="0" borderId="30" xfId="0" applyFont="1" applyBorder="1" applyAlignment="1">
      <alignment horizontal="right"/>
    </xf>
    <xf numFmtId="10" fontId="4" fillId="47" borderId="0" xfId="7" applyNumberFormat="1" applyFont="1" applyFill="1" applyAlignment="1">
      <alignment horizontal="right"/>
    </xf>
    <xf numFmtId="5" fontId="4" fillId="0" borderId="0" xfId="0" applyNumberFormat="1" applyFont="1" applyAlignment="1"/>
    <xf numFmtId="0" fontId="0" fillId="0" borderId="0" xfId="0" applyAlignment="1">
      <alignment horizontal="left" vertical="center" wrapText="1" indent="1"/>
    </xf>
    <xf numFmtId="0" fontId="0" fillId="0" borderId="0" xfId="0"/>
    <xf numFmtId="0" fontId="7" fillId="0" borderId="0" xfId="0" applyFont="1" applyAlignment="1">
      <alignment horizontal="center"/>
    </xf>
    <xf numFmtId="0" fontId="10" fillId="0" borderId="0" xfId="0" applyFont="1" applyFill="1" applyBorder="1" applyAlignment="1">
      <alignment horizontal="left"/>
    </xf>
    <xf numFmtId="0" fontId="6" fillId="0" borderId="0" xfId="0" applyFont="1" applyFill="1" applyBorder="1" applyAlignment="1">
      <alignment horizontal="left"/>
    </xf>
    <xf numFmtId="0" fontId="0" fillId="0" borderId="0" xfId="0"/>
    <xf numFmtId="0" fontId="1" fillId="0" borderId="0" xfId="0" applyFont="1" applyFill="1" applyBorder="1" applyAlignment="1">
      <alignment horizontal="center"/>
    </xf>
    <xf numFmtId="2" fontId="0" fillId="47" borderId="0" xfId="0" applyNumberFormat="1" applyFill="1"/>
    <xf numFmtId="0" fontId="4" fillId="17" borderId="37" xfId="0" applyFont="1" applyFill="1" applyBorder="1" applyAlignment="1">
      <alignment horizontal="left" indent="1"/>
    </xf>
    <xf numFmtId="5" fontId="5" fillId="0" borderId="0" xfId="0" applyNumberFormat="1" applyFont="1" applyAlignment="1"/>
    <xf numFmtId="173" fontId="4" fillId="0" borderId="0" xfId="0" applyNumberFormat="1" applyFont="1" applyAlignment="1">
      <alignment horizontal="right" indent="1"/>
    </xf>
    <xf numFmtId="173" fontId="4" fillId="0" borderId="0" xfId="0" applyNumberFormat="1" applyFont="1" applyAlignment="1">
      <alignment horizontal="right" indent="2"/>
    </xf>
    <xf numFmtId="173" fontId="0" fillId="0" borderId="0" xfId="0" applyNumberFormat="1" applyBorder="1"/>
    <xf numFmtId="173" fontId="0" fillId="0" borderId="21" xfId="0" applyNumberFormat="1" applyBorder="1"/>
    <xf numFmtId="173" fontId="5" fillId="0" borderId="0" xfId="0" applyNumberFormat="1" applyFont="1" applyFill="1"/>
    <xf numFmtId="173" fontId="4" fillId="21" borderId="0" xfId="2" applyNumberFormat="1" applyFont="1" applyFill="1"/>
    <xf numFmtId="0" fontId="7" fillId="0" borderId="0" xfId="0" applyFont="1" applyFill="1" applyAlignment="1">
      <alignment horizontal="center" vertical="center" wrapText="1"/>
    </xf>
    <xf numFmtId="0" fontId="0" fillId="0" borderId="0" xfId="0" applyAlignment="1">
      <alignment horizontal="left" vertical="center" wrapText="1" indent="1"/>
    </xf>
    <xf numFmtId="0" fontId="0" fillId="0" borderId="0" xfId="0"/>
    <xf numFmtId="9" fontId="154" fillId="0" borderId="32" xfId="7" applyNumberFormat="1" applyFont="1" applyFill="1" applyBorder="1" applyAlignment="1">
      <alignment horizontal="center"/>
    </xf>
    <xf numFmtId="0" fontId="0" fillId="0" borderId="0" xfId="0" applyAlignment="1">
      <alignment horizontal="left" vertical="center" wrapText="1" indent="1"/>
    </xf>
    <xf numFmtId="0" fontId="0" fillId="0" borderId="0" xfId="0" applyAlignment="1">
      <alignment vertical="center" wrapText="1"/>
    </xf>
    <xf numFmtId="0" fontId="0" fillId="0" borderId="0" xfId="0"/>
    <xf numFmtId="10" fontId="4" fillId="0" borderId="0" xfId="7" applyNumberFormat="1" applyFont="1"/>
    <xf numFmtId="0" fontId="0" fillId="0" borderId="0" xfId="0"/>
    <xf numFmtId="6" fontId="7" fillId="0" borderId="29" xfId="0" applyNumberFormat="1" applyFont="1" applyBorder="1" applyAlignment="1">
      <alignment horizontal="center"/>
    </xf>
    <xf numFmtId="9" fontId="0" fillId="53" borderId="0" xfId="0" applyNumberFormat="1" applyFill="1" applyBorder="1" applyAlignment="1">
      <alignment horizontal="center"/>
    </xf>
    <xf numFmtId="0" fontId="0" fillId="0" borderId="24" xfId="0" applyBorder="1" applyAlignment="1">
      <alignment horizontal="left" vertical="center" indent="1"/>
    </xf>
    <xf numFmtId="0" fontId="0" fillId="53" borderId="0" xfId="0" applyFill="1"/>
    <xf numFmtId="42" fontId="4" fillId="53" borderId="29" xfId="0" applyNumberFormat="1" applyFont="1" applyFill="1" applyBorder="1"/>
    <xf numFmtId="5" fontId="8" fillId="0" borderId="29" xfId="2" applyNumberFormat="1" applyFont="1" applyBorder="1" applyAlignment="1">
      <alignment horizontal="center"/>
    </xf>
    <xf numFmtId="9" fontId="6" fillId="53" borderId="29" xfId="0" applyNumberFormat="1" applyFont="1" applyFill="1" applyBorder="1" applyAlignment="1">
      <alignment horizontal="left" vertical="center" wrapText="1" indent="1"/>
    </xf>
    <xf numFmtId="0" fontId="4" fillId="0" borderId="1" xfId="0" applyFont="1" applyFill="1" applyBorder="1" applyAlignment="1">
      <alignment horizontal="right"/>
    </xf>
    <xf numFmtId="41" fontId="1" fillId="0" borderId="45" xfId="0" applyNumberFormat="1" applyFont="1" applyFill="1" applyBorder="1" applyAlignment="1">
      <alignment horizontal="right"/>
    </xf>
    <xf numFmtId="41" fontId="1" fillId="0" borderId="1" xfId="1" applyNumberFormat="1" applyFont="1" applyFill="1" applyBorder="1" applyAlignment="1">
      <alignment horizontal="right"/>
    </xf>
    <xf numFmtId="41" fontId="1" fillId="0" borderId="11" xfId="0" applyNumberFormat="1" applyFont="1" applyFill="1" applyBorder="1" applyAlignment="1">
      <alignment horizontal="right"/>
    </xf>
    <xf numFmtId="41" fontId="1" fillId="0" borderId="1" xfId="0" applyNumberFormat="1" applyFont="1" applyFill="1" applyBorder="1" applyAlignment="1">
      <alignment horizontal="right"/>
    </xf>
    <xf numFmtId="41" fontId="1" fillId="0" borderId="1" xfId="7" applyNumberFormat="1" applyFont="1" applyFill="1" applyBorder="1" applyAlignment="1">
      <alignment horizontal="right"/>
    </xf>
    <xf numFmtId="41" fontId="1" fillId="4" borderId="1" xfId="1" applyNumberFormat="1" applyFont="1" applyFill="1" applyBorder="1" applyAlignment="1">
      <alignment horizontal="right"/>
    </xf>
    <xf numFmtId="165" fontId="1" fillId="0" borderId="27" xfId="7" applyNumberFormat="1" applyFont="1" applyFill="1" applyBorder="1" applyAlignment="1">
      <alignment horizontal="right"/>
    </xf>
    <xf numFmtId="3" fontId="6" fillId="0" borderId="0" xfId="0" applyNumberFormat="1" applyFont="1" applyAlignment="1">
      <alignment horizontal="left" indent="2"/>
    </xf>
    <xf numFmtId="195" fontId="0" fillId="53" borderId="29" xfId="1" applyNumberFormat="1" applyFont="1" applyFill="1" applyBorder="1"/>
    <xf numFmtId="165" fontId="1" fillId="6" borderId="29" xfId="7" applyNumberFormat="1" applyFont="1" applyFill="1" applyBorder="1" applyAlignment="1">
      <alignment horizontal="center"/>
    </xf>
    <xf numFmtId="165" fontId="150" fillId="6" borderId="29" xfId="7" applyNumberFormat="1" applyFont="1" applyFill="1" applyBorder="1" applyAlignment="1">
      <alignment horizontal="center"/>
    </xf>
    <xf numFmtId="0" fontId="8" fillId="0" borderId="0" xfId="0" applyFont="1" applyFill="1" applyBorder="1" applyAlignment="1">
      <alignment wrapText="1"/>
    </xf>
    <xf numFmtId="0" fontId="0" fillId="0" borderId="0" xfId="0"/>
    <xf numFmtId="0" fontId="6" fillId="47" borderId="37" xfId="0" applyFont="1" applyFill="1" applyBorder="1" applyAlignment="1">
      <alignment horizontal="right"/>
    </xf>
    <xf numFmtId="0" fontId="4" fillId="0" borderId="0" xfId="0" applyFont="1" applyBorder="1" applyAlignment="1">
      <alignment horizontal="left"/>
    </xf>
    <xf numFmtId="165" fontId="5" fillId="0" borderId="0" xfId="0" applyNumberFormat="1" applyFont="1" applyFill="1" applyAlignment="1">
      <alignment vertical="center" wrapText="1"/>
    </xf>
    <xf numFmtId="0" fontId="7" fillId="0" borderId="0" xfId="0" applyFont="1"/>
    <xf numFmtId="0" fontId="26" fillId="21" borderId="0" xfId="0" applyFont="1" applyFill="1" applyBorder="1" applyAlignment="1"/>
    <xf numFmtId="0" fontId="0" fillId="21" borderId="0" xfId="0" applyFill="1" applyBorder="1" applyAlignment="1"/>
    <xf numFmtId="0" fontId="5" fillId="21" borderId="0" xfId="0" applyFont="1" applyFill="1" applyBorder="1" applyAlignment="1">
      <alignment horizontal="left"/>
    </xf>
    <xf numFmtId="0" fontId="0" fillId="21" borderId="0" xfId="0" applyFill="1" applyBorder="1" applyAlignment="1">
      <alignment horizontal="left"/>
    </xf>
    <xf numFmtId="0" fontId="5" fillId="5" borderId="0" xfId="0" applyNumberFormat="1" applyFont="1" applyFill="1" applyAlignment="1">
      <alignment horizontal="left" vertical="center" indent="1"/>
    </xf>
    <xf numFmtId="0" fontId="1" fillId="5" borderId="0" xfId="0" applyNumberFormat="1" applyFont="1" applyFill="1" applyAlignment="1">
      <alignment horizontal="left" vertical="center" indent="1"/>
    </xf>
    <xf numFmtId="0" fontId="1" fillId="0" borderId="0" xfId="0" applyFont="1" applyAlignment="1">
      <alignment horizontal="left" vertical="center" wrapText="1" indent="1"/>
    </xf>
    <xf numFmtId="49" fontId="130" fillId="28" borderId="37" xfId="0" applyNumberFormat="1" applyFont="1" applyFill="1" applyBorder="1" applyAlignment="1">
      <alignment horizontal="right" wrapText="1" indent="1"/>
    </xf>
    <xf numFmtId="0" fontId="6" fillId="0" borderId="0" xfId="0" applyFont="1" applyAlignment="1">
      <alignment horizontal="right" indent="2"/>
    </xf>
    <xf numFmtId="0" fontId="0" fillId="0" borderId="0" xfId="0" applyAlignment="1">
      <alignment horizontal="center" wrapText="1"/>
    </xf>
    <xf numFmtId="0" fontId="0" fillId="0" borderId="0" xfId="0"/>
    <xf numFmtId="0" fontId="6" fillId="0" borderId="0" xfId="0" applyFont="1" applyAlignment="1">
      <alignment horizontal="center" wrapText="1"/>
    </xf>
    <xf numFmtId="0" fontId="0" fillId="0" borderId="0" xfId="0"/>
    <xf numFmtId="195" fontId="6" fillId="0" borderId="0" xfId="0" applyNumberFormat="1" applyFont="1"/>
    <xf numFmtId="198" fontId="4" fillId="43" borderId="31" xfId="2" applyNumberFormat="1" applyFont="1" applyFill="1" applyBorder="1"/>
    <xf numFmtId="198" fontId="4" fillId="43" borderId="37" xfId="2" applyNumberFormat="1" applyFont="1" applyFill="1" applyBorder="1"/>
    <xf numFmtId="198" fontId="4" fillId="43" borderId="30" xfId="2" applyNumberFormat="1" applyFont="1" applyFill="1" applyBorder="1" applyAlignment="1">
      <alignment horizontal="right"/>
    </xf>
    <xf numFmtId="0" fontId="8" fillId="0" borderId="0" xfId="0" applyFont="1" applyFill="1" applyBorder="1" applyAlignment="1">
      <alignment wrapText="1"/>
    </xf>
    <xf numFmtId="9" fontId="4" fillId="0" borderId="0" xfId="7" applyFont="1" applyFill="1" applyBorder="1" applyAlignment="1">
      <alignment horizontal="center"/>
    </xf>
    <xf numFmtId="0" fontId="0" fillId="0" borderId="0" xfId="0" applyAlignment="1">
      <alignment horizontal="left" vertical="center" wrapText="1" indent="1"/>
    </xf>
    <xf numFmtId="0" fontId="0" fillId="0" borderId="0" xfId="0" applyAlignment="1">
      <alignment vertical="center" wrapText="1"/>
    </xf>
    <xf numFmtId="0" fontId="0" fillId="0" borderId="0" xfId="0" applyAlignment="1">
      <alignment wrapText="1"/>
    </xf>
    <xf numFmtId="0" fontId="1" fillId="0" borderId="0" xfId="0" applyFont="1" applyFill="1" applyBorder="1" applyAlignment="1">
      <alignment horizontal="center" wrapText="1"/>
    </xf>
    <xf numFmtId="0" fontId="0" fillId="0" borderId="0" xfId="0"/>
    <xf numFmtId="0" fontId="1" fillId="0" borderId="0" xfId="0" applyFont="1" applyFill="1" applyBorder="1" applyAlignment="1">
      <alignment horizontal="center" wrapText="1"/>
    </xf>
    <xf numFmtId="165" fontId="4" fillId="0" borderId="0" xfId="7" applyNumberFormat="1" applyFont="1" applyBorder="1" applyAlignment="1">
      <alignment horizontal="center"/>
    </xf>
    <xf numFmtId="0" fontId="11" fillId="0" borderId="0" xfId="0" applyFont="1" applyAlignment="1">
      <alignment horizontal="left" indent="3"/>
    </xf>
    <xf numFmtId="37" fontId="5" fillId="53" borderId="29" xfId="0" applyNumberFormat="1" applyFont="1" applyFill="1" applyBorder="1" applyAlignment="1">
      <alignment horizontal="center"/>
    </xf>
    <xf numFmtId="173" fontId="0" fillId="53" borderId="36" xfId="0" applyNumberFormat="1" applyFill="1" applyBorder="1"/>
    <xf numFmtId="173" fontId="0" fillId="47" borderId="36" xfId="0" applyNumberFormat="1" applyFill="1" applyBorder="1"/>
    <xf numFmtId="0" fontId="0" fillId="0" borderId="0" xfId="0" applyAlignment="1">
      <alignment vertical="center" wrapText="1"/>
    </xf>
    <xf numFmtId="0" fontId="0" fillId="0" borderId="0" xfId="0" applyAlignment="1">
      <alignment horizontal="left" vertical="center" wrapText="1" indent="2"/>
    </xf>
    <xf numFmtId="0" fontId="0" fillId="0" borderId="0" xfId="0"/>
    <xf numFmtId="0" fontId="2" fillId="0" borderId="0" xfId="0" applyFont="1" applyAlignment="1">
      <alignment vertical="center" wrapText="1"/>
    </xf>
    <xf numFmtId="165" fontId="5" fillId="0" borderId="0" xfId="7" applyNumberFormat="1" applyFont="1" applyFill="1" applyBorder="1"/>
    <xf numFmtId="165" fontId="4" fillId="0" borderId="0" xfId="7" applyNumberFormat="1" applyFont="1" applyFill="1" applyBorder="1"/>
    <xf numFmtId="0" fontId="83" fillId="32" borderId="29" xfId="0" applyFont="1" applyFill="1" applyBorder="1" applyAlignment="1">
      <alignment horizontal="left" vertical="center"/>
    </xf>
    <xf numFmtId="0" fontId="28" fillId="0" borderId="0" xfId="0" applyFont="1" applyAlignment="1">
      <alignment vertical="center" wrapText="1"/>
    </xf>
    <xf numFmtId="41" fontId="1" fillId="0" borderId="0" xfId="0" applyNumberFormat="1" applyFont="1" applyFill="1" applyAlignment="1"/>
    <xf numFmtId="0" fontId="6" fillId="0" borderId="0" xfId="0" applyFont="1" applyFill="1" applyBorder="1" applyAlignment="1">
      <alignment horizontal="right" wrapText="1"/>
    </xf>
    <xf numFmtId="0" fontId="0" fillId="0" borderId="0" xfId="0" applyFill="1" applyBorder="1" applyAlignment="1">
      <alignment horizontal="right" wrapText="1"/>
    </xf>
    <xf numFmtId="0" fontId="4" fillId="0" borderId="0" xfId="0" applyFont="1" applyFill="1" applyBorder="1" applyAlignment="1">
      <alignment horizontal="right" wrapText="1"/>
    </xf>
    <xf numFmtId="195" fontId="4" fillId="2" borderId="29" xfId="0" applyNumberFormat="1" applyFont="1" applyFill="1" applyBorder="1"/>
    <xf numFmtId="0" fontId="0" fillId="0" borderId="0" xfId="0"/>
    <xf numFmtId="0" fontId="0" fillId="21" borderId="0" xfId="0" applyFill="1" applyAlignment="1">
      <alignment vertical="center" wrapText="1"/>
    </xf>
    <xf numFmtId="0" fontId="1" fillId="2" borderId="0" xfId="0" applyFont="1" applyFill="1" applyAlignment="1">
      <alignment horizontal="left" indent="1"/>
    </xf>
    <xf numFmtId="0" fontId="0" fillId="0" borderId="0" xfId="0"/>
    <xf numFmtId="0" fontId="0" fillId="0" borderId="0" xfId="0" applyAlignment="1">
      <alignment horizontal="right" wrapText="1"/>
    </xf>
    <xf numFmtId="0" fontId="0" fillId="0" borderId="0" xfId="0"/>
    <xf numFmtId="0" fontId="0" fillId="0" borderId="0" xfId="0"/>
    <xf numFmtId="0" fontId="2" fillId="21" borderId="0" xfId="0" applyFont="1" applyFill="1"/>
    <xf numFmtId="195" fontId="4" fillId="21" borderId="0" xfId="0" applyNumberFormat="1" applyFont="1" applyFill="1"/>
    <xf numFmtId="0" fontId="0" fillId="0" borderId="0" xfId="0" applyFont="1"/>
    <xf numFmtId="9" fontId="0" fillId="47" borderId="29" xfId="0" applyNumberFormat="1" applyFill="1" applyBorder="1" applyAlignment="1">
      <alignment horizontal="center"/>
    </xf>
    <xf numFmtId="0" fontId="164" fillId="0" borderId="0" xfId="0" applyFont="1"/>
    <xf numFmtId="0" fontId="0" fillId="0" borderId="0" xfId="0" applyAlignment="1">
      <alignment vertical="center" wrapText="1"/>
    </xf>
    <xf numFmtId="0" fontId="0" fillId="0" borderId="0" xfId="0"/>
    <xf numFmtId="171" fontId="6" fillId="0" borderId="0" xfId="0" applyNumberFormat="1" applyFont="1" applyBorder="1" applyAlignment="1">
      <alignment horizontal="right" wrapText="1"/>
    </xf>
    <xf numFmtId="171" fontId="6" fillId="0" borderId="24" xfId="0" applyNumberFormat="1" applyFont="1" applyFill="1" applyBorder="1" applyAlignment="1">
      <alignment horizontal="right"/>
    </xf>
    <xf numFmtId="173" fontId="1" fillId="0" borderId="0" xfId="0" applyNumberFormat="1" applyFont="1" applyBorder="1" applyAlignment="1">
      <alignment horizontal="left"/>
    </xf>
    <xf numFmtId="9" fontId="7" fillId="0" borderId="29" xfId="0" applyNumberFormat="1" applyFont="1" applyBorder="1" applyAlignment="1">
      <alignment horizontal="center"/>
    </xf>
    <xf numFmtId="10" fontId="0" fillId="0" borderId="0" xfId="7" applyNumberFormat="1" applyFont="1" applyBorder="1" applyAlignment="1">
      <alignment horizontal="center"/>
    </xf>
    <xf numFmtId="0" fontId="0" fillId="0" borderId="0" xfId="0" applyFill="1" applyBorder="1" applyAlignment="1">
      <alignment wrapText="1"/>
    </xf>
    <xf numFmtId="6" fontId="0" fillId="0" borderId="24" xfId="0" applyNumberFormat="1" applyBorder="1"/>
    <xf numFmtId="0" fontId="1" fillId="0" borderId="0" xfId="0" applyFont="1" applyFill="1" applyBorder="1" applyAlignment="1">
      <alignment wrapText="1"/>
    </xf>
    <xf numFmtId="0" fontId="0" fillId="0" borderId="0" xfId="0" applyFill="1" applyBorder="1" applyAlignment="1">
      <alignment horizontal="left" wrapText="1"/>
    </xf>
    <xf numFmtId="0" fontId="6" fillId="35" borderId="32" xfId="0" applyFont="1" applyFill="1" applyBorder="1" applyAlignment="1">
      <alignment horizontal="center"/>
    </xf>
    <xf numFmtId="8" fontId="8" fillId="0" borderId="24" xfId="0" applyNumberFormat="1" applyFont="1" applyFill="1" applyBorder="1" applyAlignment="1">
      <alignment horizontal="center"/>
    </xf>
    <xf numFmtId="0" fontId="6" fillId="36" borderId="32" xfId="0" applyFont="1" applyFill="1" applyBorder="1" applyAlignment="1">
      <alignment horizontal="center"/>
    </xf>
    <xf numFmtId="0" fontId="6" fillId="37" borderId="32" xfId="0" applyFont="1" applyFill="1" applyBorder="1" applyAlignment="1">
      <alignment horizontal="center"/>
    </xf>
    <xf numFmtId="0" fontId="6" fillId="38" borderId="32" xfId="0" applyFont="1" applyFill="1" applyBorder="1" applyAlignment="1">
      <alignment horizontal="center"/>
    </xf>
    <xf numFmtId="0" fontId="6" fillId="25" borderId="50" xfId="0" applyFont="1" applyFill="1" applyBorder="1" applyAlignment="1">
      <alignment horizontal="center"/>
    </xf>
    <xf numFmtId="0" fontId="0" fillId="0" borderId="24" xfId="0" applyFill="1" applyBorder="1" applyAlignment="1">
      <alignment horizontal="center"/>
    </xf>
    <xf numFmtId="0" fontId="6" fillId="0" borderId="32" xfId="0" applyFont="1" applyFill="1" applyBorder="1" applyAlignment="1">
      <alignment horizontal="center"/>
    </xf>
    <xf numFmtId="0" fontId="0" fillId="0" borderId="24" xfId="0" applyFill="1" applyBorder="1" applyAlignment="1"/>
    <xf numFmtId="9" fontId="4" fillId="0" borderId="24" xfId="0" applyNumberFormat="1" applyFont="1" applyFill="1" applyBorder="1" applyAlignment="1">
      <alignment horizontal="center"/>
    </xf>
    <xf numFmtId="0" fontId="1" fillId="0" borderId="32" xfId="0" applyFont="1" applyFill="1" applyBorder="1" applyAlignment="1">
      <alignment horizontal="center"/>
    </xf>
    <xf numFmtId="0" fontId="4" fillId="0" borderId="24" xfId="0" applyFont="1" applyFill="1" applyBorder="1"/>
    <xf numFmtId="8" fontId="4" fillId="0" borderId="24" xfId="0" applyNumberFormat="1" applyFont="1" applyFill="1" applyBorder="1" applyAlignment="1">
      <alignment horizontal="center"/>
    </xf>
    <xf numFmtId="0" fontId="4" fillId="0" borderId="24" xfId="0" applyFont="1" applyFill="1" applyBorder="1" applyAlignment="1">
      <alignment horizontal="center"/>
    </xf>
    <xf numFmtId="0" fontId="6" fillId="0" borderId="32" xfId="0" quotePrefix="1" applyFont="1" applyFill="1" applyBorder="1" applyAlignment="1">
      <alignment horizontal="center"/>
    </xf>
    <xf numFmtId="165" fontId="4" fillId="0" borderId="24" xfId="0" applyNumberFormat="1" applyFont="1" applyFill="1" applyBorder="1" applyAlignment="1">
      <alignment horizontal="center"/>
    </xf>
    <xf numFmtId="8" fontId="4" fillId="0" borderId="24" xfId="7" applyNumberFormat="1" applyFont="1" applyFill="1" applyBorder="1" applyAlignment="1">
      <alignment horizontal="center"/>
    </xf>
    <xf numFmtId="0" fontId="1" fillId="0" borderId="32" xfId="0" quotePrefix="1" applyFont="1" applyFill="1" applyBorder="1"/>
    <xf numFmtId="166" fontId="8" fillId="0" borderId="24" xfId="0" applyNumberFormat="1" applyFont="1" applyFill="1" applyBorder="1" applyAlignment="1">
      <alignment horizontal="center"/>
    </xf>
    <xf numFmtId="9" fontId="8" fillId="0" borderId="24" xfId="7" applyFont="1" applyFill="1" applyBorder="1" applyAlignment="1">
      <alignment horizontal="center"/>
    </xf>
    <xf numFmtId="1" fontId="8" fillId="0" borderId="24" xfId="0" applyNumberFormat="1" applyFont="1" applyFill="1" applyBorder="1" applyAlignment="1">
      <alignment horizontal="center"/>
    </xf>
    <xf numFmtId="5" fontId="8" fillId="0" borderId="24" xfId="2" applyNumberFormat="1" applyFont="1" applyFill="1" applyBorder="1" applyAlignment="1">
      <alignment horizontal="center"/>
    </xf>
    <xf numFmtId="9" fontId="4" fillId="0" borderId="24" xfId="7" applyFont="1" applyFill="1" applyBorder="1" applyAlignment="1">
      <alignment horizontal="center"/>
    </xf>
    <xf numFmtId="0" fontId="8" fillId="0" borderId="24" xfId="0" applyFont="1" applyFill="1" applyBorder="1"/>
    <xf numFmtId="165" fontId="4" fillId="0" borderId="24" xfId="7" applyNumberFormat="1" applyFont="1" applyFill="1" applyBorder="1" applyAlignment="1">
      <alignment horizontal="center"/>
    </xf>
    <xf numFmtId="167" fontId="8" fillId="0" borderId="24" xfId="0" applyNumberFormat="1" applyFont="1" applyFill="1" applyBorder="1" applyAlignment="1">
      <alignment horizontal="center"/>
    </xf>
    <xf numFmtId="0" fontId="6" fillId="25" borderId="32" xfId="0" applyFont="1" applyFill="1" applyBorder="1" applyAlignment="1">
      <alignment horizontal="center"/>
    </xf>
    <xf numFmtId="0" fontId="6" fillId="21" borderId="50" xfId="0" applyFont="1" applyFill="1" applyBorder="1" applyAlignment="1">
      <alignment horizontal="center"/>
    </xf>
    <xf numFmtId="2" fontId="8" fillId="0" borderId="24" xfId="0" applyNumberFormat="1" applyFont="1" applyFill="1" applyBorder="1" applyAlignment="1">
      <alignment horizontal="center"/>
    </xf>
    <xf numFmtId="9" fontId="8" fillId="0" borderId="24" xfId="0" applyNumberFormat="1" applyFont="1" applyFill="1" applyBorder="1" applyAlignment="1">
      <alignment horizontal="center"/>
    </xf>
    <xf numFmtId="0" fontId="8" fillId="0" borderId="24" xfId="0" applyFont="1" applyFill="1" applyBorder="1" applyAlignment="1">
      <alignment horizontal="center"/>
    </xf>
    <xf numFmtId="0" fontId="10" fillId="0" borderId="32" xfId="0" applyFont="1" applyFill="1" applyBorder="1" applyAlignment="1">
      <alignment horizontal="center" wrapText="1"/>
    </xf>
    <xf numFmtId="0" fontId="0" fillId="0" borderId="0" xfId="0" applyBorder="1"/>
    <xf numFmtId="0" fontId="0" fillId="0" borderId="24" xfId="0" applyBorder="1"/>
    <xf numFmtId="0" fontId="10" fillId="0" borderId="0" xfId="0" applyFont="1" applyAlignment="1">
      <alignment horizontal="left" wrapText="1" indent="1"/>
    </xf>
    <xf numFmtId="0" fontId="0" fillId="0" borderId="0" xfId="0"/>
    <xf numFmtId="0" fontId="1" fillId="0" borderId="0" xfId="0" applyFont="1" applyFill="1" applyBorder="1" applyAlignment="1">
      <alignment horizontal="center"/>
    </xf>
    <xf numFmtId="9" fontId="8" fillId="0" borderId="24" xfId="0" applyNumberFormat="1" applyFont="1" applyFill="1" applyBorder="1" applyAlignment="1" applyProtection="1">
      <alignment horizontal="center"/>
    </xf>
    <xf numFmtId="7" fontId="0" fillId="47" borderId="32" xfId="2" applyNumberFormat="1" applyFont="1" applyFill="1" applyBorder="1" applyAlignment="1">
      <alignment horizontal="left"/>
    </xf>
    <xf numFmtId="7" fontId="0" fillId="47" borderId="0" xfId="2" applyNumberFormat="1" applyFont="1" applyFill="1" applyBorder="1" applyAlignment="1">
      <alignment horizontal="left"/>
    </xf>
    <xf numFmtId="7" fontId="3" fillId="47" borderId="32" xfId="2" applyNumberFormat="1" applyFont="1" applyFill="1" applyBorder="1" applyAlignment="1">
      <alignment horizontal="left"/>
    </xf>
    <xf numFmtId="0" fontId="7" fillId="47" borderId="32" xfId="0" applyFont="1" applyFill="1" applyBorder="1"/>
    <xf numFmtId="0" fontId="7" fillId="47" borderId="0" xfId="0" applyFont="1" applyFill="1" applyBorder="1"/>
    <xf numFmtId="0" fontId="7" fillId="47" borderId="24" xfId="0" applyFont="1" applyFill="1" applyBorder="1"/>
    <xf numFmtId="165" fontId="5" fillId="0" borderId="0" xfId="7" applyNumberFormat="1" applyFont="1" applyAlignment="1">
      <alignment horizontal="right" wrapText="1" indent="1"/>
    </xf>
    <xf numFmtId="6" fontId="4" fillId="0" borderId="0" xfId="0" applyNumberFormat="1" applyFont="1" applyAlignment="1">
      <alignment horizontal="right" wrapText="1" indent="1"/>
    </xf>
    <xf numFmtId="5" fontId="4" fillId="47" borderId="32" xfId="2" applyNumberFormat="1" applyFont="1" applyFill="1" applyBorder="1" applyAlignment="1">
      <alignment horizontal="left"/>
    </xf>
    <xf numFmtId="5" fontId="4" fillId="47" borderId="0" xfId="2" applyNumberFormat="1" applyFont="1" applyFill="1" applyBorder="1" applyAlignment="1">
      <alignment horizontal="left"/>
    </xf>
    <xf numFmtId="0" fontId="0" fillId="0" borderId="0" xfId="0" applyAlignment="1">
      <alignment horizontal="left" vertical="center" wrapText="1" indent="1"/>
    </xf>
    <xf numFmtId="0" fontId="7" fillId="0" borderId="0" xfId="0" applyFont="1" applyAlignment="1">
      <alignment horizontal="right" vertical="center" wrapText="1"/>
    </xf>
    <xf numFmtId="0" fontId="0" fillId="0" borderId="0" xfId="0"/>
    <xf numFmtId="3" fontId="160" fillId="0" borderId="0" xfId="0" applyNumberFormat="1" applyFont="1" applyAlignment="1">
      <alignment vertical="center"/>
    </xf>
    <xf numFmtId="3" fontId="165" fillId="0" borderId="0" xfId="0" applyNumberFormat="1" applyFont="1" applyAlignment="1">
      <alignment vertical="center"/>
    </xf>
    <xf numFmtId="165" fontId="4" fillId="0" borderId="0" xfId="7" applyNumberFormat="1" applyFont="1" applyAlignment="1">
      <alignment horizontal="right" vertical="center" wrapText="1" indent="1"/>
    </xf>
    <xf numFmtId="165" fontId="0" fillId="47" borderId="24" xfId="7" applyNumberFormat="1" applyFont="1" applyFill="1" applyBorder="1" applyAlignment="1">
      <alignment horizontal="left"/>
    </xf>
    <xf numFmtId="0" fontId="7" fillId="0" borderId="32" xfId="0" applyFont="1" applyBorder="1" applyAlignment="1">
      <alignment horizontal="center"/>
    </xf>
    <xf numFmtId="195" fontId="0" fillId="0" borderId="32" xfId="1" applyNumberFormat="1" applyFont="1" applyBorder="1"/>
    <xf numFmtId="195" fontId="5" fillId="0" borderId="32" xfId="1" applyNumberFormat="1" applyFont="1" applyBorder="1"/>
    <xf numFmtId="41" fontId="3" fillId="0" borderId="32" xfId="0" applyNumberFormat="1" applyFont="1" applyBorder="1"/>
    <xf numFmtId="41" fontId="0" fillId="0" borderId="32" xfId="0" applyNumberFormat="1" applyFont="1" applyFill="1" applyBorder="1"/>
    <xf numFmtId="165" fontId="3" fillId="47" borderId="24" xfId="7" applyNumberFormat="1" applyFont="1" applyFill="1" applyBorder="1" applyAlignment="1">
      <alignment horizontal="left"/>
    </xf>
    <xf numFmtId="165" fontId="4" fillId="47" borderId="24" xfId="7" applyNumberFormat="1" applyFont="1" applyFill="1" applyBorder="1" applyAlignment="1">
      <alignment horizontal="left"/>
    </xf>
    <xf numFmtId="0" fontId="0" fillId="0" borderId="0" xfId="0" applyAlignment="1">
      <alignment wrapText="1"/>
    </xf>
    <xf numFmtId="0" fontId="0" fillId="0" borderId="0" xfId="0" applyBorder="1"/>
    <xf numFmtId="0" fontId="0" fillId="0" borderId="21" xfId="0" applyBorder="1"/>
    <xf numFmtId="0" fontId="0" fillId="0" borderId="25" xfId="0" applyBorder="1"/>
    <xf numFmtId="0" fontId="0" fillId="0" borderId="0" xfId="0" applyAlignment="1">
      <alignment horizontal="left" wrapText="1" indent="1"/>
    </xf>
    <xf numFmtId="0" fontId="0" fillId="0" borderId="0" xfId="0"/>
    <xf numFmtId="0" fontId="0" fillId="0" borderId="32" xfId="0" applyBorder="1"/>
    <xf numFmtId="0" fontId="7" fillId="0" borderId="0" xfId="0" applyFont="1" applyAlignment="1">
      <alignment horizontal="right" wrapText="1"/>
    </xf>
    <xf numFmtId="0" fontId="10" fillId="0" borderId="0" xfId="0" applyFont="1" applyAlignment="1">
      <alignment horizontal="left" wrapText="1" indent="1"/>
    </xf>
    <xf numFmtId="0" fontId="0" fillId="0" borderId="0" xfId="0"/>
    <xf numFmtId="209" fontId="6" fillId="0" borderId="32" xfId="0" applyNumberFormat="1" applyFont="1" applyBorder="1" applyAlignment="1">
      <alignment horizontal="center"/>
    </xf>
    <xf numFmtId="165" fontId="6" fillId="0" borderId="24" xfId="7" applyNumberFormat="1" applyFont="1" applyBorder="1" applyAlignment="1">
      <alignment horizontal="center"/>
    </xf>
    <xf numFmtId="165" fontId="1" fillId="0" borderId="29" xfId="0" applyNumberFormat="1" applyFont="1" applyBorder="1" applyAlignment="1">
      <alignment horizontal="center"/>
    </xf>
    <xf numFmtId="176" fontId="6" fillId="0" borderId="32" xfId="2" applyNumberFormat="1" applyFont="1" applyBorder="1" applyAlignment="1">
      <alignment horizontal="center"/>
    </xf>
    <xf numFmtId="176" fontId="6" fillId="0" borderId="29" xfId="2" applyNumberFormat="1" applyFont="1" applyBorder="1" applyAlignment="1">
      <alignment horizontal="center"/>
    </xf>
    <xf numFmtId="0" fontId="0" fillId="0" borderId="0" xfId="0"/>
    <xf numFmtId="195" fontId="7" fillId="0" borderId="0" xfId="0" applyNumberFormat="1" applyFont="1"/>
    <xf numFmtId="165" fontId="7" fillId="0" borderId="0" xfId="7" applyNumberFormat="1" applyFont="1"/>
    <xf numFmtId="166" fontId="7" fillId="0" borderId="0" xfId="0" applyNumberFormat="1" applyFont="1"/>
    <xf numFmtId="166" fontId="7" fillId="21" borderId="34" xfId="0" applyNumberFormat="1" applyFont="1" applyFill="1" applyBorder="1"/>
    <xf numFmtId="0" fontId="10" fillId="21" borderId="37" xfId="0" applyFont="1" applyFill="1" applyBorder="1" applyAlignment="1">
      <alignment horizontal="left" indent="1"/>
    </xf>
    <xf numFmtId="0" fontId="8" fillId="21" borderId="30" xfId="0" applyFont="1" applyFill="1" applyBorder="1"/>
    <xf numFmtId="0" fontId="7" fillId="21" borderId="31" xfId="0" applyFont="1" applyFill="1" applyBorder="1" applyAlignment="1">
      <alignment horizontal="right"/>
    </xf>
    <xf numFmtId="166" fontId="1" fillId="0" borderId="0" xfId="0" applyNumberFormat="1" applyFont="1" applyAlignment="1">
      <alignment horizontal="right" wrapText="1" indent="1"/>
    </xf>
    <xf numFmtId="8" fontId="1" fillId="0" borderId="0" xfId="0" applyNumberFormat="1" applyFont="1" applyAlignment="1">
      <alignment horizontal="right" wrapText="1" indent="1"/>
    </xf>
    <xf numFmtId="0" fontId="0" fillId="0" borderId="0" xfId="0"/>
    <xf numFmtId="0" fontId="1" fillId="0" borderId="0" xfId="0" quotePrefix="1" applyFont="1" applyAlignment="1">
      <alignment horizontal="left" indent="1"/>
    </xf>
    <xf numFmtId="9" fontId="0" fillId="21" borderId="0" xfId="7" applyFont="1" applyFill="1"/>
    <xf numFmtId="171" fontId="0" fillId="0" borderId="0" xfId="0" applyNumberFormat="1"/>
    <xf numFmtId="171" fontId="4" fillId="0" borderId="0" xfId="0" applyNumberFormat="1" applyFont="1"/>
    <xf numFmtId="0" fontId="4" fillId="21" borderId="0" xfId="0" applyFont="1" applyFill="1"/>
    <xf numFmtId="0" fontId="0" fillId="0" borderId="0" xfId="0" applyAlignment="1">
      <alignment vertical="center" wrapText="1"/>
    </xf>
    <xf numFmtId="0" fontId="0" fillId="0" borderId="0" xfId="0"/>
    <xf numFmtId="0" fontId="0" fillId="0" borderId="0" xfId="0" applyBorder="1" applyAlignment="1">
      <alignment vertical="center" wrapText="1"/>
    </xf>
    <xf numFmtId="0" fontId="0" fillId="0" borderId="24" xfId="0" applyBorder="1" applyAlignment="1">
      <alignment horizontal="center" vertical="center" wrapText="1"/>
    </xf>
    <xf numFmtId="0" fontId="0" fillId="0" borderId="0" xfId="0" applyFill="1" applyAlignment="1">
      <alignment wrapText="1"/>
    </xf>
    <xf numFmtId="0" fontId="0" fillId="0" borderId="0" xfId="0" applyFill="1" applyBorder="1" applyAlignment="1">
      <alignment wrapText="1"/>
    </xf>
    <xf numFmtId="0" fontId="0" fillId="0" borderId="0" xfId="0"/>
    <xf numFmtId="0" fontId="0" fillId="45" borderId="33" xfId="0" applyFill="1" applyBorder="1"/>
    <xf numFmtId="0" fontId="0" fillId="45" borderId="18" xfId="0" applyFill="1" applyBorder="1"/>
    <xf numFmtId="0" fontId="0" fillId="45" borderId="42" xfId="0" applyFill="1" applyBorder="1"/>
    <xf numFmtId="0" fontId="0" fillId="45" borderId="21" xfId="0" applyFill="1" applyBorder="1"/>
    <xf numFmtId="0" fontId="6" fillId="45" borderId="21" xfId="0" applyFont="1" applyFill="1" applyBorder="1" applyAlignment="1">
      <alignment horizontal="right"/>
    </xf>
    <xf numFmtId="0" fontId="6" fillId="45" borderId="25" xfId="0" applyFont="1" applyFill="1" applyBorder="1"/>
    <xf numFmtId="0" fontId="4" fillId="45" borderId="18" xfId="0" applyFont="1" applyFill="1" applyBorder="1" applyAlignment="1">
      <alignment horizontal="right"/>
    </xf>
    <xf numFmtId="0" fontId="4" fillId="45" borderId="17" xfId="0" applyFont="1" applyFill="1" applyBorder="1" applyAlignment="1">
      <alignment horizontal="right" indent="1"/>
    </xf>
    <xf numFmtId="8" fontId="8" fillId="28" borderId="93" xfId="0" applyNumberFormat="1" applyFont="1" applyFill="1" applyBorder="1" applyAlignment="1">
      <alignment horizontal="center"/>
    </xf>
    <xf numFmtId="0" fontId="0" fillId="0" borderId="32" xfId="0" applyFill="1" applyBorder="1" applyAlignment="1">
      <alignment horizontal="center" vertical="center" wrapText="1"/>
    </xf>
    <xf numFmtId="0" fontId="0" fillId="0" borderId="0" xfId="0" applyAlignment="1">
      <alignment horizontal="left" vertical="center" wrapText="1" indent="1"/>
    </xf>
    <xf numFmtId="0" fontId="0" fillId="0" borderId="0" xfId="0"/>
    <xf numFmtId="165" fontId="8" fillId="0" borderId="24" xfId="7" applyNumberFormat="1" applyFont="1" applyFill="1" applyBorder="1" applyAlignment="1">
      <alignment horizontal="center"/>
    </xf>
    <xf numFmtId="42" fontId="6" fillId="0" borderId="0" xfId="0" applyNumberFormat="1" applyFont="1" applyAlignment="1">
      <alignment horizontal="left" vertical="center" indent="1"/>
    </xf>
    <xf numFmtId="6" fontId="1" fillId="51" borderId="29" xfId="0" applyNumberFormat="1" applyFont="1" applyFill="1" applyBorder="1" applyAlignment="1">
      <alignment horizontal="center" vertical="center" wrapText="1"/>
    </xf>
    <xf numFmtId="166" fontId="0" fillId="0" borderId="0" xfId="0" applyNumberFormat="1" applyAlignment="1">
      <alignment horizontal="left" vertical="center" wrapText="1" indent="1"/>
    </xf>
    <xf numFmtId="0" fontId="0" fillId="5" borderId="0" xfId="0" applyFill="1" applyBorder="1" applyAlignment="1">
      <alignment wrapText="1"/>
    </xf>
    <xf numFmtId="0" fontId="0" fillId="0" borderId="0" xfId="0" applyBorder="1"/>
    <xf numFmtId="0" fontId="0" fillId="0" borderId="0" xfId="0"/>
    <xf numFmtId="14" fontId="4" fillId="5" borderId="0" xfId="0" applyNumberFormat="1" applyFont="1" applyFill="1"/>
    <xf numFmtId="195" fontId="0" fillId="0" borderId="18" xfId="1" applyNumberFormat="1" applyFont="1" applyBorder="1"/>
    <xf numFmtId="0" fontId="4" fillId="0" borderId="18" xfId="0" applyFont="1" applyBorder="1" applyAlignment="1">
      <alignment horizontal="right"/>
    </xf>
    <xf numFmtId="3" fontId="6" fillId="0" borderId="25" xfId="0" applyNumberFormat="1" applyFont="1" applyBorder="1" applyAlignment="1">
      <alignment horizontal="right"/>
    </xf>
    <xf numFmtId="0" fontId="0" fillId="5" borderId="13" xfId="0" applyFill="1" applyBorder="1"/>
    <xf numFmtId="0" fontId="166" fillId="5" borderId="10" xfId="0" applyFont="1" applyFill="1" applyBorder="1"/>
    <xf numFmtId="0" fontId="8" fillId="5" borderId="0" xfId="0" applyFont="1" applyFill="1" applyBorder="1"/>
    <xf numFmtId="0" fontId="0" fillId="5" borderId="0" xfId="0" applyFill="1" applyBorder="1" applyAlignment="1">
      <alignment horizontal="left" vertical="center" indent="1"/>
    </xf>
    <xf numFmtId="0" fontId="4" fillId="5" borderId="29" xfId="0" applyFont="1" applyFill="1" applyBorder="1" applyAlignment="1">
      <alignment horizontal="left" indent="1"/>
    </xf>
    <xf numFmtId="0" fontId="0" fillId="5" borderId="29" xfId="0" applyFill="1" applyBorder="1"/>
    <xf numFmtId="0" fontId="0" fillId="5" borderId="8" xfId="0" applyFill="1" applyBorder="1" applyAlignment="1">
      <alignment horizontal="left" vertical="center" indent="3"/>
    </xf>
    <xf numFmtId="0" fontId="0" fillId="5" borderId="0" xfId="0" applyFill="1" applyBorder="1" applyAlignment="1">
      <alignment horizontal="left" vertical="center" indent="3"/>
    </xf>
    <xf numFmtId="0" fontId="0" fillId="0" borderId="0" xfId="0" applyBorder="1" applyAlignment="1">
      <alignment horizontal="left" vertical="center" indent="3"/>
    </xf>
    <xf numFmtId="0" fontId="0" fillId="0" borderId="1" xfId="0" applyBorder="1" applyAlignment="1">
      <alignment horizontal="left" vertical="center" indent="3"/>
    </xf>
    <xf numFmtId="0" fontId="0" fillId="0" borderId="0" xfId="0"/>
    <xf numFmtId="0" fontId="0" fillId="0" borderId="0" xfId="0"/>
    <xf numFmtId="167" fontId="4" fillId="0" borderId="0" xfId="0" applyNumberFormat="1" applyFont="1"/>
    <xf numFmtId="0" fontId="6" fillId="21" borderId="29" xfId="0" applyFont="1" applyFill="1" applyBorder="1" applyAlignment="1">
      <alignment horizontal="center" vertical="center"/>
    </xf>
    <xf numFmtId="0" fontId="0" fillId="0" borderId="0" xfId="0" applyAlignment="1">
      <alignment horizontal="left" vertical="center" wrapText="1" indent="1"/>
    </xf>
    <xf numFmtId="0" fontId="6" fillId="0" borderId="0" xfId="0" applyFont="1" applyAlignment="1">
      <alignment horizontal="left" vertical="center" wrapText="1" indent="1"/>
    </xf>
    <xf numFmtId="0" fontId="6" fillId="0" borderId="0" xfId="0" applyFont="1" applyAlignment="1">
      <alignment horizontal="left" vertical="center" wrapText="1" indent="2"/>
    </xf>
    <xf numFmtId="0" fontId="4" fillId="0" borderId="0" xfId="0" applyFont="1" applyAlignment="1">
      <alignment horizontal="center"/>
    </xf>
    <xf numFmtId="0" fontId="0" fillId="0" borderId="0" xfId="0" applyFill="1" applyAlignment="1">
      <alignment horizontal="center" wrapText="1"/>
    </xf>
    <xf numFmtId="0" fontId="8" fillId="0" borderId="0" xfId="0" applyFont="1" applyFill="1" applyBorder="1" applyAlignment="1">
      <alignment vertical="center" wrapText="1"/>
    </xf>
    <xf numFmtId="0" fontId="8" fillId="0" borderId="0" xfId="0" applyFont="1" applyAlignment="1">
      <alignment horizontal="center"/>
    </xf>
    <xf numFmtId="0" fontId="0" fillId="0" borderId="0" xfId="0"/>
    <xf numFmtId="0" fontId="1" fillId="0" borderId="0" xfId="0" applyFont="1" applyFill="1" applyBorder="1" applyAlignment="1">
      <alignment horizontal="center"/>
    </xf>
    <xf numFmtId="165" fontId="0" fillId="21" borderId="31" xfId="7" applyNumberFormat="1" applyFont="1" applyFill="1" applyBorder="1" applyAlignment="1">
      <alignment horizontal="center"/>
    </xf>
    <xf numFmtId="0" fontId="1" fillId="21" borderId="37" xfId="0" applyFont="1" applyFill="1" applyBorder="1" applyAlignment="1">
      <alignment horizontal="right"/>
    </xf>
    <xf numFmtId="165" fontId="0" fillId="21" borderId="17" xfId="7" applyNumberFormat="1" applyFont="1" applyFill="1" applyBorder="1" applyAlignment="1">
      <alignment horizontal="center"/>
    </xf>
    <xf numFmtId="0" fontId="0" fillId="47" borderId="37" xfId="0" applyFill="1" applyBorder="1"/>
    <xf numFmtId="9" fontId="4" fillId="47" borderId="31" xfId="7" applyNumberFormat="1" applyFont="1" applyFill="1" applyBorder="1" applyAlignment="1">
      <alignment horizontal="right"/>
    </xf>
    <xf numFmtId="9" fontId="4" fillId="47" borderId="29" xfId="7" applyNumberFormat="1" applyFont="1" applyFill="1" applyBorder="1" applyAlignment="1">
      <alignment horizontal="right"/>
    </xf>
    <xf numFmtId="0" fontId="10" fillId="7" borderId="0" xfId="0" applyFont="1" applyFill="1" applyBorder="1" applyAlignment="1"/>
    <xf numFmtId="0" fontId="10" fillId="7" borderId="0" xfId="0" applyFont="1" applyFill="1" applyBorder="1" applyAlignment="1">
      <alignment wrapText="1"/>
    </xf>
    <xf numFmtId="0" fontId="5" fillId="7" borderId="0" xfId="0" applyFont="1" applyFill="1" applyBorder="1"/>
    <xf numFmtId="38" fontId="154" fillId="0" borderId="32" xfId="0" applyNumberFormat="1" applyFont="1" applyFill="1" applyBorder="1" applyAlignment="1">
      <alignment horizontal="center"/>
    </xf>
    <xf numFmtId="38" fontId="8" fillId="0" borderId="0" xfId="0" applyNumberFormat="1" applyFont="1" applyFill="1" applyBorder="1" applyAlignment="1">
      <alignment horizontal="center"/>
    </xf>
    <xf numFmtId="38" fontId="8" fillId="0" borderId="24" xfId="0" applyNumberFormat="1" applyFont="1" applyFill="1" applyBorder="1" applyAlignment="1">
      <alignment horizontal="center"/>
    </xf>
    <xf numFmtId="37" fontId="8" fillId="28" borderId="14" xfId="2" applyNumberFormat="1" applyFont="1" applyFill="1" applyBorder="1" applyAlignment="1">
      <alignment horizontal="center"/>
    </xf>
    <xf numFmtId="9" fontId="1" fillId="0" borderId="0" xfId="0" applyNumberFormat="1" applyFont="1" applyAlignment="1">
      <alignment horizontal="center"/>
    </xf>
    <xf numFmtId="0" fontId="0" fillId="0" borderId="0" xfId="0"/>
    <xf numFmtId="0" fontId="0" fillId="0" borderId="0" xfId="0"/>
    <xf numFmtId="0" fontId="6" fillId="0" borderId="0" xfId="0" applyFont="1" applyAlignment="1">
      <alignment horizontal="center"/>
    </xf>
    <xf numFmtId="41" fontId="1" fillId="0" borderId="21" xfId="0" applyNumberFormat="1" applyFont="1" applyBorder="1"/>
    <xf numFmtId="9" fontId="1" fillId="53" borderId="0" xfId="0" applyNumberFormat="1" applyFont="1" applyFill="1" applyBorder="1" applyAlignment="1">
      <alignment horizontal="center"/>
    </xf>
    <xf numFmtId="0" fontId="7" fillId="24" borderId="37" xfId="0" applyFont="1" applyFill="1" applyBorder="1" applyAlignment="1">
      <alignment horizontal="right"/>
    </xf>
    <xf numFmtId="42" fontId="0" fillId="24" borderId="30" xfId="0" applyNumberFormat="1" applyFill="1" applyBorder="1"/>
    <xf numFmtId="42" fontId="0" fillId="24" borderId="31" xfId="0" applyNumberFormat="1" applyFill="1" applyBorder="1"/>
    <xf numFmtId="0" fontId="16" fillId="0" borderId="0" xfId="0" applyFont="1" applyFill="1" applyBorder="1" applyAlignment="1">
      <alignment horizontal="right"/>
    </xf>
    <xf numFmtId="0" fontId="45" fillId="0" borderId="0" xfId="0" applyFont="1" applyFill="1" applyBorder="1" applyAlignment="1">
      <alignment horizontal="right"/>
    </xf>
    <xf numFmtId="7" fontId="6" fillId="0" borderId="0" xfId="0" applyNumberFormat="1" applyFont="1" applyFill="1" applyAlignment="1">
      <alignment horizontal="right"/>
    </xf>
    <xf numFmtId="0" fontId="0" fillId="0" borderId="0" xfId="0" applyAlignment="1">
      <alignment horizontal="left" wrapText="1" indent="1"/>
    </xf>
    <xf numFmtId="0" fontId="7" fillId="0" borderId="0" xfId="0" applyFont="1" applyAlignment="1">
      <alignment horizontal="center" wrapText="1"/>
    </xf>
    <xf numFmtId="0" fontId="0" fillId="0" borderId="0" xfId="0"/>
    <xf numFmtId="0" fontId="0" fillId="0" borderId="0" xfId="0"/>
    <xf numFmtId="165" fontId="1" fillId="0" borderId="0" xfId="7" applyNumberFormat="1" applyFont="1" applyAlignment="1">
      <alignment horizontal="center"/>
    </xf>
    <xf numFmtId="165" fontId="4" fillId="0" borderId="0" xfId="7" applyNumberFormat="1" applyFont="1"/>
    <xf numFmtId="165" fontId="1" fillId="6" borderId="29" xfId="7" applyNumberFormat="1" applyFont="1" applyFill="1" applyBorder="1" applyAlignment="1">
      <alignment horizontal="center"/>
    </xf>
    <xf numFmtId="7" fontId="1" fillId="47" borderId="0" xfId="2" applyNumberFormat="1" applyFont="1" applyFill="1" applyBorder="1" applyAlignment="1">
      <alignment horizontal="left"/>
    </xf>
    <xf numFmtId="7" fontId="3" fillId="47" borderId="0" xfId="2" applyNumberFormat="1" applyFont="1" applyFill="1" applyBorder="1" applyAlignment="1">
      <alignment horizontal="left"/>
    </xf>
    <xf numFmtId="165" fontId="4" fillId="0" borderId="0" xfId="7" applyNumberFormat="1" applyFont="1" applyAlignment="1">
      <alignment horizontal="center"/>
    </xf>
    <xf numFmtId="8" fontId="0" fillId="0" borderId="0" xfId="0" applyNumberFormat="1" applyAlignment="1">
      <alignment horizontal="center" wrapText="1"/>
    </xf>
    <xf numFmtId="8" fontId="1" fillId="0" borderId="0" xfId="0" applyNumberFormat="1" applyFont="1" applyAlignment="1">
      <alignment horizontal="center" wrapText="1"/>
    </xf>
    <xf numFmtId="0" fontId="136" fillId="0" borderId="0" xfId="0" applyFont="1" applyAlignment="1">
      <alignment horizontal="left" indent="2"/>
    </xf>
    <xf numFmtId="9" fontId="0" fillId="0" borderId="0" xfId="7" applyFont="1" applyAlignment="1">
      <alignment horizontal="center" wrapText="1"/>
    </xf>
    <xf numFmtId="9" fontId="1" fillId="0" borderId="0" xfId="0" applyNumberFormat="1" applyFont="1" applyAlignment="1">
      <alignment horizontal="center" wrapText="1"/>
    </xf>
    <xf numFmtId="5" fontId="0" fillId="0" borderId="0" xfId="0" applyNumberFormat="1" applyAlignment="1">
      <alignment horizontal="center"/>
    </xf>
    <xf numFmtId="165" fontId="4" fillId="48" borderId="86" xfId="0" applyNumberFormat="1" applyFont="1" applyFill="1" applyBorder="1"/>
    <xf numFmtId="0" fontId="0" fillId="48" borderId="24" xfId="0" applyFill="1" applyBorder="1" applyAlignment="1">
      <alignment horizontal="left" indent="1"/>
    </xf>
    <xf numFmtId="0" fontId="0" fillId="48" borderId="25" xfId="0" applyFill="1" applyBorder="1" applyAlignment="1">
      <alignment horizontal="left" indent="1"/>
    </xf>
    <xf numFmtId="173" fontId="8" fillId="48" borderId="87" xfId="2" applyNumberFormat="1" applyFont="1" applyFill="1" applyBorder="1" applyAlignment="1">
      <alignment horizontal="right"/>
    </xf>
    <xf numFmtId="0" fontId="4" fillId="48" borderId="49" xfId="0" applyFont="1" applyFill="1" applyBorder="1" applyAlignment="1">
      <alignment horizontal="right"/>
    </xf>
    <xf numFmtId="0" fontId="0" fillId="48" borderId="42" xfId="0" applyFill="1" applyBorder="1"/>
    <xf numFmtId="0" fontId="0" fillId="48" borderId="21" xfId="0" applyFill="1" applyBorder="1"/>
    <xf numFmtId="0" fontId="0" fillId="48" borderId="25" xfId="0" applyFill="1" applyBorder="1"/>
    <xf numFmtId="173" fontId="4" fillId="47" borderId="34" xfId="0" applyNumberFormat="1" applyFont="1" applyFill="1" applyBorder="1" applyAlignment="1">
      <alignment horizontal="right" indent="1"/>
    </xf>
    <xf numFmtId="173" fontId="4" fillId="47" borderId="29" xfId="0" applyNumberFormat="1" applyFont="1" applyFill="1" applyBorder="1" applyAlignment="1">
      <alignment horizontal="right" indent="1"/>
    </xf>
    <xf numFmtId="0" fontId="26" fillId="29" borderId="30" xfId="0" applyFont="1" applyFill="1" applyBorder="1"/>
    <xf numFmtId="0" fontId="4" fillId="29" borderId="60" xfId="0" applyFont="1" applyFill="1" applyBorder="1" applyAlignment="1">
      <alignment horizontal="left" vertical="center" indent="1"/>
    </xf>
    <xf numFmtId="0" fontId="4" fillId="29" borderId="90" xfId="0" applyFont="1" applyFill="1" applyBorder="1" applyAlignment="1">
      <alignment horizontal="right" indent="1"/>
    </xf>
    <xf numFmtId="0" fontId="5" fillId="0" borderId="0" xfId="0" applyFont="1" applyAlignment="1">
      <alignment horizontal="center"/>
    </xf>
    <xf numFmtId="0" fontId="10" fillId="0" borderId="0" xfId="0" applyFont="1" applyAlignment="1">
      <alignment horizontal="left" wrapText="1" indent="1"/>
    </xf>
    <xf numFmtId="0" fontId="0" fillId="0" borderId="0" xfId="0"/>
    <xf numFmtId="0" fontId="0" fillId="28" borderId="10" xfId="0" applyFill="1" applyBorder="1"/>
    <xf numFmtId="0" fontId="0" fillId="0" borderId="0" xfId="0"/>
    <xf numFmtId="0" fontId="130" fillId="0" borderId="0" xfId="0" applyFont="1" applyAlignment="1">
      <alignment horizontal="center"/>
    </xf>
    <xf numFmtId="0" fontId="9" fillId="0" borderId="29" xfId="0" applyFont="1" applyBorder="1" applyAlignment="1">
      <alignment horizontal="center"/>
    </xf>
    <xf numFmtId="165" fontId="0" fillId="69" borderId="37" xfId="0" applyNumberFormat="1" applyFill="1" applyBorder="1" applyAlignment="1">
      <alignment horizontal="center"/>
    </xf>
    <xf numFmtId="0" fontId="6" fillId="0" borderId="0" xfId="0" applyFont="1" applyAlignment="1">
      <alignment horizontal="left" vertical="center" wrapText="1" indent="2"/>
    </xf>
    <xf numFmtId="0" fontId="0" fillId="0" borderId="0" xfId="0" applyAlignment="1">
      <alignment horizontal="left" vertical="center" wrapText="1" indent="2"/>
    </xf>
    <xf numFmtId="0" fontId="0" fillId="0" borderId="24" xfId="0" applyBorder="1"/>
    <xf numFmtId="0" fontId="0" fillId="0" borderId="0" xfId="0"/>
    <xf numFmtId="0" fontId="0" fillId="0" borderId="17" xfId="0" applyBorder="1"/>
    <xf numFmtId="0" fontId="0" fillId="0" borderId="32" xfId="0" applyBorder="1"/>
    <xf numFmtId="6" fontId="4" fillId="0" borderId="29" xfId="0" applyNumberFormat="1" applyFont="1" applyBorder="1" applyAlignment="1">
      <alignment horizontal="center"/>
    </xf>
    <xf numFmtId="173" fontId="8" fillId="0" borderId="0" xfId="0" applyNumberFormat="1" applyFont="1" applyBorder="1" applyAlignment="1">
      <alignment horizontal="center" vertical="center" wrapText="1"/>
    </xf>
    <xf numFmtId="6" fontId="8" fillId="0" borderId="0" xfId="0" applyNumberFormat="1" applyFont="1" applyBorder="1"/>
    <xf numFmtId="0" fontId="2" fillId="25" borderId="37" xfId="0" applyFont="1" applyFill="1" applyBorder="1" applyAlignment="1"/>
    <xf numFmtId="0" fontId="0" fillId="25" borderId="30" xfId="0" applyFill="1" applyBorder="1" applyAlignment="1"/>
    <xf numFmtId="0" fontId="4" fillId="25" borderId="30" xfId="0" applyFont="1" applyFill="1" applyBorder="1" applyAlignment="1"/>
    <xf numFmtId="6" fontId="0" fillId="0" borderId="25" xfId="0" applyNumberFormat="1" applyBorder="1"/>
    <xf numFmtId="0" fontId="0" fillId="0" borderId="0" xfId="0"/>
    <xf numFmtId="0" fontId="5" fillId="0" borderId="0" xfId="0" applyFont="1" applyAlignment="1">
      <alignment horizontal="left" vertical="center" wrapText="1" indent="1"/>
    </xf>
    <xf numFmtId="43" fontId="1" fillId="26" borderId="34" xfId="1" applyNumberFormat="1" applyFont="1" applyFill="1" applyBorder="1"/>
    <xf numFmtId="43" fontId="1" fillId="26" borderId="35" xfId="1" applyNumberFormat="1" applyFont="1" applyFill="1" applyBorder="1"/>
    <xf numFmtId="5" fontId="5" fillId="0" borderId="0" xfId="2" applyNumberFormat="1" applyFont="1" applyBorder="1" applyAlignment="1">
      <alignment horizontal="right"/>
    </xf>
    <xf numFmtId="44" fontId="6" fillId="0" borderId="0" xfId="2" applyFont="1" applyAlignment="1">
      <alignment horizontal="left" indent="1"/>
    </xf>
    <xf numFmtId="44" fontId="7" fillId="0" borderId="0" xfId="2" applyFont="1" applyAlignment="1">
      <alignment horizontal="right"/>
    </xf>
    <xf numFmtId="7" fontId="5" fillId="69" borderId="0" xfId="2" applyNumberFormat="1" applyFont="1" applyFill="1" applyBorder="1" applyAlignment="1">
      <alignment horizontal="right"/>
    </xf>
    <xf numFmtId="7" fontId="4" fillId="47" borderId="0" xfId="2" applyNumberFormat="1" applyFont="1" applyFill="1" applyBorder="1" applyAlignment="1">
      <alignment horizontal="right"/>
    </xf>
    <xf numFmtId="7" fontId="1" fillId="47" borderId="29" xfId="2" applyNumberFormat="1" applyFont="1" applyFill="1" applyBorder="1" applyAlignment="1">
      <alignment horizontal="right"/>
    </xf>
    <xf numFmtId="44" fontId="6" fillId="69" borderId="0" xfId="2" applyFont="1" applyFill="1" applyAlignment="1">
      <alignment horizontal="center"/>
    </xf>
    <xf numFmtId="44" fontId="6" fillId="70" borderId="0" xfId="2" applyFont="1" applyFill="1" applyAlignment="1">
      <alignment horizontal="left" indent="1"/>
    </xf>
    <xf numFmtId="44" fontId="6" fillId="0" borderId="0" xfId="2" applyFont="1" applyAlignment="1">
      <alignment horizontal="left"/>
    </xf>
    <xf numFmtId="44" fontId="6" fillId="0" borderId="0" xfId="2" applyFont="1" applyAlignment="1">
      <alignment horizontal="right" indent="1"/>
    </xf>
    <xf numFmtId="7" fontId="4" fillId="47" borderId="29" xfId="2" applyNumberFormat="1" applyFont="1" applyFill="1" applyBorder="1" applyAlignment="1">
      <alignment horizontal="right"/>
    </xf>
    <xf numFmtId="0" fontId="0" fillId="0" borderId="0" xfId="0"/>
    <xf numFmtId="0" fontId="7" fillId="0" borderId="18" xfId="0" applyFont="1" applyFill="1" applyBorder="1" applyAlignment="1">
      <alignment horizontal="right" wrapText="1"/>
    </xf>
    <xf numFmtId="0" fontId="7" fillId="0" borderId="17" xfId="0" applyFont="1" applyFill="1" applyBorder="1" applyAlignment="1">
      <alignment horizontal="right"/>
    </xf>
    <xf numFmtId="1" fontId="5" fillId="69" borderId="24" xfId="0" applyNumberFormat="1" applyFont="1" applyFill="1" applyBorder="1"/>
    <xf numFmtId="1" fontId="5" fillId="0" borderId="24" xfId="0" applyNumberFormat="1" applyFont="1" applyFill="1" applyBorder="1"/>
    <xf numFmtId="6" fontId="4" fillId="25" borderId="30" xfId="0" applyNumberFormat="1" applyFont="1" applyFill="1" applyBorder="1" applyAlignment="1">
      <alignment horizontal="right"/>
    </xf>
    <xf numFmtId="0" fontId="10" fillId="0" borderId="0" xfId="0" applyFont="1" applyAlignment="1">
      <alignment horizontal="left" wrapText="1" indent="1"/>
    </xf>
    <xf numFmtId="0" fontId="0" fillId="0" borderId="0" xfId="0"/>
    <xf numFmtId="0" fontId="0" fillId="0" borderId="0" xfId="0" applyAlignment="1">
      <alignment horizontal="left" vertical="center" wrapText="1" indent="1"/>
    </xf>
    <xf numFmtId="0" fontId="0" fillId="0" borderId="0" xfId="0"/>
    <xf numFmtId="177" fontId="0" fillId="0" borderId="0" xfId="1" applyNumberFormat="1" applyFont="1"/>
    <xf numFmtId="4" fontId="4" fillId="0" borderId="0" xfId="1" applyNumberFormat="1" applyFont="1"/>
    <xf numFmtId="15" fontId="1" fillId="0" borderId="0" xfId="0" applyNumberFormat="1" applyFont="1"/>
    <xf numFmtId="0" fontId="4" fillId="0" borderId="37" xfId="0" applyFont="1" applyBorder="1" applyAlignment="1">
      <alignment horizontal="left" indent="2"/>
    </xf>
    <xf numFmtId="10" fontId="8" fillId="0" borderId="0" xfId="7" applyNumberFormat="1" applyFont="1" applyBorder="1"/>
    <xf numFmtId="0" fontId="154" fillId="0" borderId="32" xfId="0" applyFont="1" applyFill="1" applyBorder="1" applyAlignment="1">
      <alignment horizontal="center" vertical="center"/>
    </xf>
    <xf numFmtId="0" fontId="154" fillId="0" borderId="32"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5" fontId="8" fillId="28" borderId="14" xfId="0" applyNumberFormat="1" applyFont="1" applyFill="1" applyBorder="1" applyAlignment="1">
      <alignment horizontal="center"/>
    </xf>
    <xf numFmtId="0" fontId="0" fillId="0" borderId="0" xfId="0" applyAlignment="1">
      <alignment horizontal="left" vertical="center" wrapText="1" indent="1"/>
    </xf>
    <xf numFmtId="0" fontId="0" fillId="0" borderId="0" xfId="0"/>
    <xf numFmtId="0" fontId="0" fillId="0" borderId="0" xfId="0"/>
    <xf numFmtId="5" fontId="4" fillId="0" borderId="0" xfId="0" applyNumberFormat="1" applyFont="1" applyBorder="1" applyAlignment="1">
      <alignment horizontal="right"/>
    </xf>
    <xf numFmtId="0" fontId="0" fillId="0" borderId="0" xfId="0" applyAlignment="1">
      <alignment horizontal="left" vertical="center" wrapText="1" indent="2"/>
    </xf>
    <xf numFmtId="0" fontId="0" fillId="0" borderId="0" xfId="0"/>
    <xf numFmtId="195" fontId="5" fillId="69" borderId="29" xfId="1" applyNumberFormat="1" applyFont="1" applyFill="1" applyBorder="1"/>
    <xf numFmtId="0" fontId="0" fillId="69" borderId="30" xfId="0" applyFill="1" applyBorder="1"/>
    <xf numFmtId="9" fontId="0" fillId="69" borderId="29" xfId="7" applyFont="1" applyFill="1" applyBorder="1"/>
    <xf numFmtId="195" fontId="5" fillId="69" borderId="36" xfId="1" applyNumberFormat="1" applyFont="1" applyFill="1" applyBorder="1"/>
    <xf numFmtId="0" fontId="0" fillId="0" borderId="0" xfId="0"/>
    <xf numFmtId="0" fontId="1" fillId="69" borderId="37" xfId="0" applyFont="1" applyFill="1" applyBorder="1" applyAlignment="1">
      <alignment horizontal="left" indent="1"/>
    </xf>
    <xf numFmtId="0" fontId="1" fillId="69" borderId="29" xfId="0" applyFont="1" applyFill="1" applyBorder="1" applyAlignment="1">
      <alignment horizontal="left" indent="1"/>
    </xf>
    <xf numFmtId="0" fontId="0" fillId="69" borderId="29" xfId="0" applyFill="1" applyBorder="1"/>
    <xf numFmtId="3" fontId="0" fillId="0" borderId="29" xfId="0" applyNumberFormat="1" applyBorder="1" applyAlignment="1">
      <alignment horizontal="center" vertical="center" wrapText="1"/>
    </xf>
    <xf numFmtId="0" fontId="4" fillId="21" borderId="37" xfId="0" applyFont="1" applyFill="1" applyBorder="1" applyAlignment="1">
      <alignment horizontal="left"/>
    </xf>
    <xf numFmtId="172" fontId="4" fillId="0" borderId="0" xfId="0" applyNumberFormat="1" applyFont="1"/>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165" fontId="130" fillId="0" borderId="0" xfId="7" applyNumberFormat="1" applyFont="1"/>
    <xf numFmtId="9" fontId="132" fillId="0" borderId="0" xfId="7" applyNumberFormat="1" applyFont="1"/>
    <xf numFmtId="2" fontId="135" fillId="0" borderId="0" xfId="0" applyNumberFormat="1" applyFont="1" applyFill="1"/>
    <xf numFmtId="0" fontId="0" fillId="47" borderId="0" xfId="0" applyFill="1" applyAlignment="1">
      <alignment horizontal="left" indent="2"/>
    </xf>
    <xf numFmtId="0" fontId="135" fillId="47" borderId="0" xfId="0" applyFont="1" applyFill="1" applyAlignment="1">
      <alignment horizontal="right"/>
    </xf>
    <xf numFmtId="0" fontId="0" fillId="69" borderId="0" xfId="0" applyFill="1" applyAlignment="1">
      <alignment horizontal="left" indent="2"/>
    </xf>
    <xf numFmtId="0" fontId="135" fillId="69" borderId="0" xfId="0" applyFont="1" applyFill="1" applyAlignment="1">
      <alignment horizontal="right"/>
    </xf>
    <xf numFmtId="0" fontId="6" fillId="0" borderId="0" xfId="0" applyFont="1" applyAlignment="1">
      <alignment horizontal="center"/>
    </xf>
    <xf numFmtId="0" fontId="0" fillId="0" borderId="0" xfId="0"/>
    <xf numFmtId="9" fontId="132" fillId="47" borderId="0" xfId="7" applyNumberFormat="1" applyFont="1" applyFill="1"/>
    <xf numFmtId="2" fontId="132" fillId="69" borderId="0" xfId="0" applyNumberFormat="1" applyFont="1" applyFill="1"/>
    <xf numFmtId="2" fontId="130" fillId="69" borderId="0" xfId="0" applyNumberFormat="1" applyFont="1" applyFill="1"/>
    <xf numFmtId="0" fontId="135" fillId="0" borderId="0" xfId="0" applyFont="1" applyFill="1" applyAlignment="1">
      <alignment horizontal="right"/>
    </xf>
    <xf numFmtId="0" fontId="6" fillId="0" borderId="0" xfId="0" applyFont="1" applyAlignment="1">
      <alignment horizontal="left" wrapText="1" indent="3"/>
    </xf>
    <xf numFmtId="165" fontId="130" fillId="47" borderId="0" xfId="7" applyNumberFormat="1" applyFont="1" applyFill="1"/>
    <xf numFmtId="4" fontId="132" fillId="0" borderId="0" xfId="0" applyNumberFormat="1" applyFont="1"/>
    <xf numFmtId="4" fontId="130" fillId="0" borderId="0" xfId="0" applyNumberFormat="1" applyFont="1"/>
    <xf numFmtId="9" fontId="0" fillId="0" borderId="0" xfId="7" applyFont="1" applyFill="1" applyBorder="1"/>
    <xf numFmtId="0" fontId="4" fillId="0" borderId="0" xfId="0" applyFont="1" applyAlignment="1">
      <alignment horizontal="right" indent="1"/>
    </xf>
    <xf numFmtId="0" fontId="4" fillId="69" borderId="33" xfId="0" applyFont="1" applyFill="1" applyBorder="1" applyAlignment="1">
      <alignment horizontal="left" indent="3"/>
    </xf>
    <xf numFmtId="0" fontId="4" fillId="69" borderId="32" xfId="0" applyFont="1" applyFill="1" applyBorder="1" applyAlignment="1">
      <alignment horizontal="left" indent="3"/>
    </xf>
    <xf numFmtId="0" fontId="8" fillId="69" borderId="0" xfId="0" applyFont="1" applyFill="1" applyBorder="1"/>
    <xf numFmtId="0" fontId="41" fillId="69" borderId="0" xfId="0" applyFont="1" applyFill="1" applyBorder="1" applyAlignment="1">
      <alignment horizontal="center"/>
    </xf>
    <xf numFmtId="178" fontId="8" fillId="69" borderId="0" xfId="0" applyNumberFormat="1" applyFont="1" applyFill="1" applyBorder="1" applyAlignment="1">
      <alignment horizontal="center"/>
    </xf>
    <xf numFmtId="165" fontId="8" fillId="69" borderId="0" xfId="7" applyNumberFormat="1" applyFont="1" applyFill="1" applyBorder="1" applyAlignment="1">
      <alignment horizontal="left" indent="1"/>
    </xf>
    <xf numFmtId="0" fontId="6" fillId="69" borderId="0" xfId="0" applyFont="1" applyFill="1" applyBorder="1" applyAlignment="1">
      <alignment horizontal="left"/>
    </xf>
    <xf numFmtId="9" fontId="8" fillId="69" borderId="24" xfId="7" applyFont="1" applyFill="1" applyBorder="1" applyAlignment="1">
      <alignment horizontal="center"/>
    </xf>
    <xf numFmtId="178" fontId="7" fillId="69" borderId="0" xfId="0" applyNumberFormat="1" applyFont="1" applyFill="1" applyBorder="1" applyAlignment="1">
      <alignment horizontal="right"/>
    </xf>
    <xf numFmtId="166" fontId="8" fillId="69" borderId="0" xfId="7" applyNumberFormat="1" applyFont="1" applyFill="1" applyBorder="1" applyAlignment="1">
      <alignment horizontal="left" indent="1"/>
    </xf>
    <xf numFmtId="166" fontId="8" fillId="69" borderId="0" xfId="0" applyNumberFormat="1" applyFont="1" applyFill="1" applyBorder="1" applyAlignment="1">
      <alignment horizontal="center"/>
    </xf>
    <xf numFmtId="0" fontId="4" fillId="69" borderId="42" xfId="0" applyFont="1" applyFill="1" applyBorder="1" applyAlignment="1">
      <alignment horizontal="left" indent="3"/>
    </xf>
    <xf numFmtId="0" fontId="8" fillId="69" borderId="21" xfId="0" applyFont="1" applyFill="1" applyBorder="1"/>
    <xf numFmtId="0" fontId="41" fillId="69" borderId="21" xfId="0" applyFont="1" applyFill="1" applyBorder="1" applyAlignment="1">
      <alignment horizontal="center"/>
    </xf>
    <xf numFmtId="178" fontId="7" fillId="69" borderId="21" xfId="0" applyNumberFormat="1" applyFont="1" applyFill="1" applyBorder="1" applyAlignment="1">
      <alignment horizontal="right"/>
    </xf>
    <xf numFmtId="9" fontId="8" fillId="69" borderId="21" xfId="7" applyFont="1" applyFill="1" applyBorder="1" applyAlignment="1">
      <alignment horizontal="center"/>
    </xf>
    <xf numFmtId="166" fontId="8" fillId="69" borderId="21" xfId="0" applyNumberFormat="1" applyFont="1" applyFill="1" applyBorder="1" applyAlignment="1">
      <alignment horizontal="center"/>
    </xf>
    <xf numFmtId="9" fontId="8" fillId="69" borderId="25" xfId="7" applyFont="1" applyFill="1" applyBorder="1" applyAlignment="1">
      <alignment horizontal="center"/>
    </xf>
    <xf numFmtId="169" fontId="8" fillId="69" borderId="21" xfId="1" applyNumberFormat="1" applyFont="1" applyFill="1" applyBorder="1"/>
    <xf numFmtId="169" fontId="8" fillId="69" borderId="21" xfId="1" applyNumberFormat="1" applyFont="1" applyFill="1" applyBorder="1" applyAlignment="1">
      <alignment horizontal="left" indent="1"/>
    </xf>
    <xf numFmtId="0" fontId="129" fillId="69" borderId="32" xfId="0" applyFont="1" applyFill="1" applyBorder="1" applyAlignment="1">
      <alignment horizontal="left" indent="3"/>
    </xf>
    <xf numFmtId="0" fontId="129" fillId="69" borderId="0" xfId="0" applyFont="1" applyFill="1" applyBorder="1"/>
    <xf numFmtId="0" fontId="129" fillId="69" borderId="0" xfId="0" applyFont="1" applyFill="1" applyBorder="1" applyAlignment="1">
      <alignment horizontal="center"/>
    </xf>
    <xf numFmtId="178" fontId="168" fillId="69" borderId="0" xfId="0" applyNumberFormat="1" applyFont="1" applyFill="1" applyBorder="1" applyAlignment="1">
      <alignment horizontal="right"/>
    </xf>
    <xf numFmtId="166" fontId="129" fillId="69" borderId="0" xfId="7" applyNumberFormat="1" applyFont="1" applyFill="1" applyBorder="1" applyAlignment="1">
      <alignment horizontal="left" indent="1"/>
    </xf>
    <xf numFmtId="9" fontId="129" fillId="69" borderId="0" xfId="7" applyFont="1" applyFill="1" applyBorder="1" applyAlignment="1">
      <alignment horizontal="center"/>
    </xf>
    <xf numFmtId="166" fontId="129" fillId="69" borderId="0" xfId="0" applyNumberFormat="1" applyFont="1" applyFill="1" applyBorder="1" applyAlignment="1">
      <alignment horizontal="center"/>
    </xf>
    <xf numFmtId="9" fontId="129" fillId="69" borderId="24" xfId="7" applyFont="1" applyFill="1" applyBorder="1" applyAlignment="1">
      <alignment horizontal="center"/>
    </xf>
    <xf numFmtId="0" fontId="5" fillId="5" borderId="0" xfId="0" applyFont="1" applyFill="1" applyAlignment="1">
      <alignment horizontal="left" vertical="center" wrapText="1" indent="1"/>
    </xf>
    <xf numFmtId="0" fontId="0" fillId="0" borderId="0" xfId="0" applyAlignment="1">
      <alignment horizontal="left" vertical="center" wrapText="1" indent="1"/>
    </xf>
    <xf numFmtId="0" fontId="5" fillId="5" borderId="0" xfId="0" applyNumberFormat="1" applyFont="1" applyFill="1" applyAlignment="1">
      <alignment horizontal="left" vertical="center" wrapText="1" indent="1"/>
    </xf>
    <xf numFmtId="0" fontId="7" fillId="44" borderId="33" xfId="0" applyFont="1" applyFill="1" applyBorder="1" applyAlignment="1">
      <alignment horizontal="left" vertical="center" wrapText="1" indent="1"/>
    </xf>
    <xf numFmtId="0" fontId="9" fillId="44" borderId="18" xfId="0" applyFont="1" applyFill="1" applyBorder="1" applyAlignment="1">
      <alignment horizontal="left" vertical="center" wrapText="1" indent="1"/>
    </xf>
    <xf numFmtId="0" fontId="9" fillId="44" borderId="17" xfId="0" applyFont="1" applyFill="1" applyBorder="1" applyAlignment="1">
      <alignment horizontal="left" vertical="center" wrapText="1" indent="1"/>
    </xf>
    <xf numFmtId="0" fontId="9" fillId="44" borderId="32" xfId="0" applyFont="1" applyFill="1" applyBorder="1" applyAlignment="1">
      <alignment horizontal="left" vertical="center" wrapText="1" indent="1"/>
    </xf>
    <xf numFmtId="0" fontId="9" fillId="44" borderId="0" xfId="0" applyFont="1" applyFill="1" applyBorder="1" applyAlignment="1">
      <alignment horizontal="left" vertical="center" wrapText="1" indent="1"/>
    </xf>
    <xf numFmtId="0" fontId="9" fillId="44" borderId="24" xfId="0" applyFont="1" applyFill="1" applyBorder="1" applyAlignment="1">
      <alignment horizontal="left" vertical="center" wrapText="1" indent="1"/>
    </xf>
    <xf numFmtId="0" fontId="0" fillId="44" borderId="32" xfId="0" applyFill="1" applyBorder="1" applyAlignment="1">
      <alignment horizontal="left" vertical="center" wrapText="1" indent="1"/>
    </xf>
    <xf numFmtId="0" fontId="0" fillId="44" borderId="0" xfId="0" applyFill="1" applyBorder="1" applyAlignment="1">
      <alignment horizontal="left" vertical="center" wrapText="1" indent="1"/>
    </xf>
    <xf numFmtId="0" fontId="0" fillId="44" borderId="24" xfId="0" applyFill="1" applyBorder="1" applyAlignment="1">
      <alignment horizontal="left" vertical="center" wrapText="1" indent="1"/>
    </xf>
    <xf numFmtId="0" fontId="0" fillId="44" borderId="42" xfId="0" applyFill="1" applyBorder="1" applyAlignment="1">
      <alignment horizontal="left" vertical="center" wrapText="1" indent="1"/>
    </xf>
    <xf numFmtId="0" fontId="0" fillId="44" borderId="21" xfId="0" applyFill="1" applyBorder="1" applyAlignment="1">
      <alignment horizontal="left" vertical="center" wrapText="1" indent="1"/>
    </xf>
    <xf numFmtId="0" fontId="0" fillId="44" borderId="25" xfId="0" applyFill="1" applyBorder="1" applyAlignment="1">
      <alignment horizontal="left" vertical="center" wrapText="1" indent="1"/>
    </xf>
    <xf numFmtId="0" fontId="0" fillId="44" borderId="42" xfId="0" applyFill="1" applyBorder="1" applyAlignment="1">
      <alignment horizontal="left" vertical="center" wrapText="1"/>
    </xf>
    <xf numFmtId="0" fontId="0" fillId="44" borderId="21" xfId="0" applyFill="1" applyBorder="1" applyAlignment="1">
      <alignment horizontal="left" vertical="center" wrapText="1"/>
    </xf>
    <xf numFmtId="0" fontId="0" fillId="44" borderId="25" xfId="0" applyFill="1" applyBorder="1" applyAlignment="1">
      <alignment horizontal="left" vertical="center" wrapText="1"/>
    </xf>
    <xf numFmtId="0" fontId="5" fillId="5" borderId="0" xfId="0" applyFont="1" applyFill="1" applyAlignment="1">
      <alignment horizontal="left" wrapText="1" indent="2"/>
    </xf>
    <xf numFmtId="0" fontId="21" fillId="5" borderId="33" xfId="0" applyFont="1" applyFill="1" applyBorder="1" applyAlignment="1">
      <alignment horizontal="left" vertical="center" wrapText="1" indent="1"/>
    </xf>
    <xf numFmtId="0" fontId="0" fillId="0" borderId="18" xfId="0" applyBorder="1" applyAlignment="1">
      <alignment horizontal="left" vertical="center" wrapText="1" indent="1"/>
    </xf>
    <xf numFmtId="0" fontId="0" fillId="0" borderId="17" xfId="0" applyBorder="1" applyAlignment="1">
      <alignment horizontal="left" vertical="center" wrapText="1" indent="1"/>
    </xf>
    <xf numFmtId="0" fontId="0" fillId="0" borderId="32" xfId="0" applyBorder="1" applyAlignment="1">
      <alignment horizontal="left" vertical="center" wrapText="1" indent="1"/>
    </xf>
    <xf numFmtId="0" fontId="0" fillId="0" borderId="0" xfId="0" applyBorder="1" applyAlignment="1">
      <alignment horizontal="left" vertical="center" wrapText="1" indent="1"/>
    </xf>
    <xf numFmtId="0" fontId="0" fillId="0" borderId="24" xfId="0" applyBorder="1" applyAlignment="1">
      <alignment horizontal="left" vertical="center" wrapText="1" indent="1"/>
    </xf>
    <xf numFmtId="0" fontId="0" fillId="0" borderId="42" xfId="0" applyBorder="1" applyAlignment="1">
      <alignment horizontal="left" vertical="center" wrapText="1" indent="1"/>
    </xf>
    <xf numFmtId="0" fontId="0" fillId="0" borderId="21" xfId="0" applyBorder="1" applyAlignment="1">
      <alignment horizontal="left" vertical="center" wrapText="1" indent="1"/>
    </xf>
    <xf numFmtId="0" fontId="0" fillId="0" borderId="25" xfId="0" applyBorder="1" applyAlignment="1">
      <alignment horizontal="left" vertical="center" wrapText="1" indent="1"/>
    </xf>
    <xf numFmtId="0" fontId="40" fillId="44" borderId="33" xfId="0" applyFont="1" applyFill="1" applyBorder="1" applyAlignment="1">
      <alignment horizontal="left" vertical="center" wrapText="1" indent="1"/>
    </xf>
    <xf numFmtId="0" fontId="0" fillId="5" borderId="0" xfId="0" applyFill="1" applyAlignment="1">
      <alignment horizontal="left" vertical="center" wrapText="1" indent="1"/>
    </xf>
    <xf numFmtId="0" fontId="5" fillId="5" borderId="0" xfId="0" applyFont="1" applyFill="1" applyAlignment="1">
      <alignment horizontal="left" wrapText="1" indent="1"/>
    </xf>
    <xf numFmtId="0" fontId="0" fillId="5" borderId="0" xfId="0" applyFill="1" applyAlignment="1">
      <alignment horizontal="left" wrapText="1" indent="1"/>
    </xf>
    <xf numFmtId="0" fontId="5" fillId="5" borderId="0" xfId="0" applyNumberFormat="1" applyFont="1" applyFill="1" applyAlignment="1">
      <alignment horizontal="left" wrapText="1" indent="1"/>
    </xf>
    <xf numFmtId="0" fontId="1" fillId="5" borderId="0" xfId="0" applyNumberFormat="1" applyFont="1" applyFill="1" applyAlignment="1">
      <alignment horizontal="left" vertical="center" wrapText="1" indent="1"/>
    </xf>
    <xf numFmtId="0" fontId="21" fillId="5" borderId="0" xfId="0" applyFont="1" applyFill="1" applyBorder="1" applyAlignment="1">
      <alignment horizontal="left" vertical="center" wrapText="1" indent="1"/>
    </xf>
    <xf numFmtId="0" fontId="6" fillId="44" borderId="33" xfId="0" applyFont="1" applyFill="1" applyBorder="1" applyAlignment="1">
      <alignment horizontal="left" vertical="center" wrapText="1" indent="1"/>
    </xf>
    <xf numFmtId="0" fontId="9" fillId="44" borderId="42" xfId="0" applyFont="1" applyFill="1" applyBorder="1" applyAlignment="1">
      <alignment horizontal="left" vertical="center" wrapText="1" indent="1"/>
    </xf>
    <xf numFmtId="0" fontId="9" fillId="44" borderId="21" xfId="0" applyFont="1" applyFill="1" applyBorder="1" applyAlignment="1">
      <alignment horizontal="left" vertical="center" wrapText="1" indent="1"/>
    </xf>
    <xf numFmtId="0" fontId="9" fillId="44" borderId="25" xfId="0" applyFont="1" applyFill="1" applyBorder="1" applyAlignment="1">
      <alignment horizontal="left" vertical="center" wrapText="1" indent="1"/>
    </xf>
    <xf numFmtId="0" fontId="0" fillId="21" borderId="33" xfId="0" applyNumberFormat="1" applyFill="1" applyBorder="1" applyAlignment="1">
      <alignment horizontal="left" vertical="center" wrapText="1" indent="1"/>
    </xf>
    <xf numFmtId="0" fontId="0" fillId="44" borderId="18" xfId="0" applyFill="1" applyBorder="1" applyAlignment="1">
      <alignment horizontal="left" vertical="center" wrapText="1" indent="1"/>
    </xf>
    <xf numFmtId="0" fontId="0" fillId="44" borderId="17" xfId="0" applyFill="1" applyBorder="1" applyAlignment="1">
      <alignment horizontal="left" vertical="center" wrapText="1" indent="1"/>
    </xf>
    <xf numFmtId="0" fontId="62" fillId="5" borderId="0" xfId="0" applyFont="1" applyFill="1" applyAlignment="1">
      <alignment horizontal="center"/>
    </xf>
    <xf numFmtId="0" fontId="66" fillId="5" borderId="0" xfId="0" applyFont="1" applyFill="1" applyAlignment="1">
      <alignment horizontal="center"/>
    </xf>
    <xf numFmtId="0" fontId="28" fillId="5" borderId="33" xfId="0" applyFont="1" applyFill="1" applyBorder="1" applyAlignment="1">
      <alignment horizontal="left" vertical="center" wrapText="1" indent="1"/>
    </xf>
    <xf numFmtId="0" fontId="65" fillId="0" borderId="18" xfId="0" applyFont="1" applyBorder="1" applyAlignment="1">
      <alignment horizontal="left" vertical="center" wrapText="1" indent="1"/>
    </xf>
    <xf numFmtId="0" fontId="65" fillId="0" borderId="17" xfId="0" applyFont="1" applyBorder="1" applyAlignment="1">
      <alignment horizontal="left" vertical="center" wrapText="1" indent="1"/>
    </xf>
    <xf numFmtId="0" fontId="65" fillId="0" borderId="32" xfId="0" applyFont="1" applyBorder="1" applyAlignment="1">
      <alignment horizontal="left" vertical="center" wrapText="1" indent="1"/>
    </xf>
    <xf numFmtId="0" fontId="65" fillId="0" borderId="0" xfId="0" applyFont="1" applyBorder="1" applyAlignment="1">
      <alignment horizontal="left" vertical="center" wrapText="1" indent="1"/>
    </xf>
    <xf numFmtId="0" fontId="65" fillId="0" borderId="24" xfId="0" applyFont="1" applyBorder="1" applyAlignment="1">
      <alignment horizontal="left" vertical="center" wrapText="1" indent="1"/>
    </xf>
    <xf numFmtId="0" fontId="65" fillId="0" borderId="42" xfId="0" applyFont="1" applyBorder="1" applyAlignment="1">
      <alignment horizontal="left" vertical="center" wrapText="1" indent="1"/>
    </xf>
    <xf numFmtId="0" fontId="65" fillId="0" borderId="21" xfId="0" applyFont="1" applyBorder="1" applyAlignment="1">
      <alignment horizontal="left" vertical="center" wrapText="1" indent="1"/>
    </xf>
    <xf numFmtId="0" fontId="65" fillId="0" borderId="25" xfId="0" applyFont="1" applyBorder="1" applyAlignment="1">
      <alignment horizontal="left" vertical="center" wrapText="1" indent="1"/>
    </xf>
    <xf numFmtId="0" fontId="4" fillId="5" borderId="0" xfId="0" applyFont="1" applyFill="1" applyAlignment="1">
      <alignment horizontal="center"/>
    </xf>
    <xf numFmtId="0" fontId="8" fillId="5" borderId="0" xfId="0" applyFont="1" applyFill="1" applyAlignment="1">
      <alignment horizontal="center"/>
    </xf>
    <xf numFmtId="0" fontId="162" fillId="21" borderId="37" xfId="0" applyFont="1" applyFill="1" applyBorder="1" applyAlignment="1">
      <alignment horizontal="center"/>
    </xf>
    <xf numFmtId="0" fontId="162" fillId="21" borderId="30" xfId="0" applyFont="1" applyFill="1" applyBorder="1" applyAlignment="1">
      <alignment horizontal="center"/>
    </xf>
    <xf numFmtId="0" fontId="162" fillId="21" borderId="31" xfId="0" applyFont="1" applyFill="1" applyBorder="1" applyAlignment="1">
      <alignment horizontal="center"/>
    </xf>
    <xf numFmtId="0" fontId="62" fillId="21" borderId="33" xfId="0" applyFont="1" applyFill="1" applyBorder="1" applyAlignment="1">
      <alignment horizontal="center" vertical="center" wrapText="1"/>
    </xf>
    <xf numFmtId="0" fontId="5" fillId="21" borderId="18" xfId="0" applyFont="1" applyFill="1" applyBorder="1" applyAlignment="1">
      <alignment horizontal="center" vertical="center" wrapText="1"/>
    </xf>
    <xf numFmtId="0" fontId="5" fillId="21" borderId="17"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5" fillId="21" borderId="21" xfId="0" applyFont="1" applyFill="1" applyBorder="1" applyAlignment="1">
      <alignment horizontal="center" vertical="center" wrapText="1"/>
    </xf>
    <xf numFmtId="0" fontId="5" fillId="21" borderId="25" xfId="0" applyFont="1" applyFill="1" applyBorder="1" applyAlignment="1">
      <alignment horizontal="center" vertical="center" wrapText="1"/>
    </xf>
    <xf numFmtId="0" fontId="1" fillId="5" borderId="0" xfId="0" applyFont="1" applyFill="1" applyAlignment="1">
      <alignment horizontal="left" vertical="center" wrapText="1" indent="1"/>
    </xf>
    <xf numFmtId="0" fontId="1" fillId="5" borderId="43" xfId="0" applyFont="1" applyFill="1" applyBorder="1" applyAlignment="1">
      <alignment horizontal="left" vertical="center" wrapText="1" indent="3"/>
    </xf>
    <xf numFmtId="0" fontId="0" fillId="0" borderId="8" xfId="0" applyBorder="1" applyAlignment="1">
      <alignment horizontal="left" vertical="center" wrapText="1" indent="3"/>
    </xf>
    <xf numFmtId="0" fontId="0" fillId="0" borderId="44" xfId="0" applyBorder="1" applyAlignment="1">
      <alignment horizontal="left" vertical="center" wrapText="1" indent="3"/>
    </xf>
    <xf numFmtId="0" fontId="0" fillId="0" borderId="0" xfId="0" applyAlignment="1">
      <alignment horizontal="left" vertical="center" wrapText="1" indent="3"/>
    </xf>
    <xf numFmtId="0" fontId="0" fillId="0" borderId="45" xfId="0" applyBorder="1" applyAlignment="1">
      <alignment horizontal="left" vertical="center" wrapText="1" indent="3"/>
    </xf>
    <xf numFmtId="0" fontId="0" fillId="0" borderId="1" xfId="0" applyBorder="1" applyAlignment="1">
      <alignment horizontal="left" vertical="center" wrapText="1" indent="3"/>
    </xf>
    <xf numFmtId="0" fontId="0" fillId="5" borderId="33" xfId="0" applyFill="1" applyBorder="1" applyAlignment="1">
      <alignment horizontal="left" wrapText="1" indent="1"/>
    </xf>
    <xf numFmtId="0" fontId="0" fillId="5" borderId="18" xfId="0" applyFill="1" applyBorder="1" applyAlignment="1">
      <alignment horizontal="left" wrapText="1" indent="1"/>
    </xf>
    <xf numFmtId="0" fontId="0" fillId="5" borderId="17" xfId="0" applyFill="1" applyBorder="1" applyAlignment="1">
      <alignment horizontal="left" wrapText="1" indent="1"/>
    </xf>
    <xf numFmtId="0" fontId="0" fillId="5" borderId="42" xfId="0" applyFill="1" applyBorder="1" applyAlignment="1">
      <alignment horizontal="left" wrapText="1" indent="1"/>
    </xf>
    <xf numFmtId="0" fontId="0" fillId="5" borderId="21" xfId="0" applyFill="1" applyBorder="1" applyAlignment="1">
      <alignment horizontal="left" wrapText="1" indent="1"/>
    </xf>
    <xf numFmtId="0" fontId="0" fillId="5" borderId="25" xfId="0" applyFill="1" applyBorder="1" applyAlignment="1">
      <alignment horizontal="left" wrapText="1" indent="1"/>
    </xf>
    <xf numFmtId="0" fontId="62" fillId="2" borderId="5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42"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28" fillId="64" borderId="54" xfId="0" applyFont="1" applyFill="1" applyBorder="1" applyAlignment="1">
      <alignment horizontal="center" vertical="center" wrapText="1"/>
    </xf>
    <xf numFmtId="0" fontId="65" fillId="64" borderId="8" xfId="0" applyFont="1" applyFill="1" applyBorder="1" applyAlignment="1">
      <alignment horizontal="center" vertical="center" wrapText="1"/>
    </xf>
    <xf numFmtId="0" fontId="65" fillId="64" borderId="9" xfId="0" applyFont="1" applyFill="1" applyBorder="1" applyAlignment="1">
      <alignment horizontal="center" vertical="center" wrapText="1"/>
    </xf>
    <xf numFmtId="0" fontId="65" fillId="64" borderId="32" xfId="0" applyFont="1" applyFill="1" applyBorder="1" applyAlignment="1">
      <alignment horizontal="center" vertical="center" wrapText="1"/>
    </xf>
    <xf numFmtId="0" fontId="65" fillId="64" borderId="0" xfId="0" applyFont="1" applyFill="1" applyBorder="1" applyAlignment="1">
      <alignment horizontal="center" vertical="center" wrapText="1"/>
    </xf>
    <xf numFmtId="0" fontId="65" fillId="64" borderId="10" xfId="0" applyFont="1" applyFill="1" applyBorder="1" applyAlignment="1">
      <alignment horizontal="center" vertical="center" wrapText="1"/>
    </xf>
    <xf numFmtId="0" fontId="65" fillId="64" borderId="50" xfId="0" applyFont="1" applyFill="1" applyBorder="1" applyAlignment="1">
      <alignment horizontal="center" vertical="center" wrapText="1"/>
    </xf>
    <xf numFmtId="0" fontId="65" fillId="64" borderId="1" xfId="0" applyFont="1" applyFill="1" applyBorder="1" applyAlignment="1">
      <alignment horizontal="center" vertical="center" wrapText="1"/>
    </xf>
    <xf numFmtId="0" fontId="65" fillId="64" borderId="11" xfId="0" applyFont="1" applyFill="1" applyBorder="1" applyAlignment="1">
      <alignment horizontal="center" vertical="center" wrapText="1"/>
    </xf>
    <xf numFmtId="0" fontId="7" fillId="5" borderId="32" xfId="0" applyFont="1" applyFill="1" applyBorder="1" applyAlignment="1">
      <alignment horizontal="left" vertical="center" wrapText="1" indent="1"/>
    </xf>
    <xf numFmtId="0" fontId="6" fillId="0" borderId="0" xfId="0" applyFont="1" applyAlignment="1">
      <alignment horizontal="left" vertical="center" wrapText="1" indent="1"/>
    </xf>
    <xf numFmtId="0" fontId="6" fillId="0" borderId="24" xfId="0" applyFont="1" applyBorder="1" applyAlignment="1">
      <alignment horizontal="left" vertical="center" wrapText="1" indent="1"/>
    </xf>
    <xf numFmtId="0" fontId="6" fillId="0" borderId="32" xfId="0" applyFont="1" applyBorder="1" applyAlignment="1">
      <alignment horizontal="left" vertical="center" wrapText="1" indent="1"/>
    </xf>
    <xf numFmtId="0" fontId="1" fillId="5" borderId="43" xfId="0" applyFont="1" applyFill="1" applyBorder="1" applyAlignment="1">
      <alignment horizontal="left" vertical="center" wrapText="1" indent="1"/>
    </xf>
    <xf numFmtId="0" fontId="0" fillId="5" borderId="8" xfId="0" applyFill="1" applyBorder="1" applyAlignment="1">
      <alignment horizontal="left" vertical="center" wrapText="1" indent="1"/>
    </xf>
    <xf numFmtId="0" fontId="0" fillId="5" borderId="44" xfId="0" applyFill="1" applyBorder="1" applyAlignment="1">
      <alignment horizontal="left" vertical="center" wrapText="1" indent="1"/>
    </xf>
    <xf numFmtId="0" fontId="0" fillId="5" borderId="0" xfId="0" applyFill="1" applyBorder="1" applyAlignment="1">
      <alignment horizontal="left" vertical="center" wrapText="1" indent="1"/>
    </xf>
    <xf numFmtId="0" fontId="0" fillId="0" borderId="44" xfId="0" applyBorder="1" applyAlignment="1">
      <alignment horizontal="left" vertical="center" wrapText="1" indent="1"/>
    </xf>
    <xf numFmtId="0" fontId="0" fillId="0" borderId="45" xfId="0" applyBorder="1" applyAlignment="1">
      <alignment horizontal="left" vertical="center" wrapText="1" indent="1"/>
    </xf>
    <xf numFmtId="0" fontId="0" fillId="0" borderId="1" xfId="0" applyBorder="1" applyAlignment="1">
      <alignment horizontal="left" vertical="center" wrapText="1" indent="1"/>
    </xf>
    <xf numFmtId="0" fontId="0" fillId="0" borderId="8" xfId="0" applyBorder="1" applyAlignment="1">
      <alignment horizontal="left" vertical="center" wrapText="1" indent="1"/>
    </xf>
    <xf numFmtId="0" fontId="2" fillId="64" borderId="33" xfId="0" applyFont="1" applyFill="1" applyBorder="1" applyAlignment="1">
      <alignment horizontal="center" vertical="center" wrapText="1"/>
    </xf>
    <xf numFmtId="0" fontId="2" fillId="64" borderId="18" xfId="0" applyFont="1" applyFill="1" applyBorder="1" applyAlignment="1">
      <alignment horizontal="center" vertical="center" wrapText="1"/>
    </xf>
    <xf numFmtId="0" fontId="2" fillId="64" borderId="17" xfId="0" applyFont="1" applyFill="1" applyBorder="1" applyAlignment="1">
      <alignment horizontal="center" vertical="center" wrapText="1"/>
    </xf>
    <xf numFmtId="0" fontId="2" fillId="64" borderId="32" xfId="0" applyFont="1" applyFill="1" applyBorder="1" applyAlignment="1">
      <alignment horizontal="center" vertical="center" wrapText="1"/>
    </xf>
    <xf numFmtId="0" fontId="2" fillId="64" borderId="0" xfId="0" applyFont="1" applyFill="1" applyBorder="1" applyAlignment="1">
      <alignment horizontal="center" vertical="center" wrapText="1"/>
    </xf>
    <xf numFmtId="0" fontId="2" fillId="64" borderId="24" xfId="0" applyFont="1" applyFill="1" applyBorder="1" applyAlignment="1">
      <alignment horizontal="center" vertical="center" wrapText="1"/>
    </xf>
    <xf numFmtId="0" fontId="2" fillId="64" borderId="42" xfId="0" applyFont="1" applyFill="1" applyBorder="1" applyAlignment="1">
      <alignment horizontal="center" vertical="center" wrapText="1"/>
    </xf>
    <xf numFmtId="0" fontId="2" fillId="64" borderId="21" xfId="0" applyFont="1" applyFill="1" applyBorder="1" applyAlignment="1">
      <alignment horizontal="center" vertical="center" wrapText="1"/>
    </xf>
    <xf numFmtId="0" fontId="2" fillId="64" borderId="25" xfId="0" applyFont="1" applyFill="1" applyBorder="1" applyAlignment="1">
      <alignment horizontal="center" vertical="center" wrapText="1"/>
    </xf>
    <xf numFmtId="0" fontId="62" fillId="2" borderId="33"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5" fillId="0" borderId="0" xfId="0" applyFont="1" applyAlignment="1">
      <alignment vertical="center" wrapText="1"/>
    </xf>
    <xf numFmtId="0" fontId="0" fillId="0" borderId="0" xfId="0" applyAlignment="1">
      <alignment vertical="center" wrapText="1"/>
    </xf>
    <xf numFmtId="0" fontId="8" fillId="0" borderId="0" xfId="0" applyFont="1" applyAlignment="1">
      <alignment wrapText="1"/>
    </xf>
    <xf numFmtId="0" fontId="0" fillId="0" borderId="0" xfId="0" applyAlignment="1">
      <alignment wrapText="1"/>
    </xf>
    <xf numFmtId="0" fontId="6" fillId="53" borderId="29" xfId="0" applyFont="1" applyFill="1" applyBorder="1" applyAlignment="1">
      <alignment horizontal="left" vertical="center" wrapText="1" indent="1"/>
    </xf>
    <xf numFmtId="0" fontId="0" fillId="53" borderId="29" xfId="0" applyFill="1" applyBorder="1" applyAlignment="1">
      <alignment horizontal="left" vertical="center" wrapText="1" indent="1"/>
    </xf>
    <xf numFmtId="0" fontId="4" fillId="0" borderId="0" xfId="0" applyFont="1" applyAlignment="1">
      <alignment horizontal="center"/>
    </xf>
    <xf numFmtId="0" fontId="6" fillId="0" borderId="0" xfId="0" applyFont="1" applyAlignment="1">
      <alignment horizontal="left" vertical="center" wrapText="1" indent="2"/>
    </xf>
    <xf numFmtId="0" fontId="0" fillId="0" borderId="0" xfId="0" applyAlignment="1">
      <alignment horizontal="left" vertical="center" wrapText="1" indent="2"/>
    </xf>
    <xf numFmtId="0" fontId="1" fillId="0" borderId="0" xfId="0" applyFont="1" applyAlignment="1">
      <alignment vertical="center" wrapText="1"/>
    </xf>
    <xf numFmtId="0" fontId="1" fillId="0" borderId="0" xfId="0" applyFont="1" applyAlignment="1">
      <alignment horizontal="left" vertical="center" wrapText="1"/>
    </xf>
    <xf numFmtId="0" fontId="6" fillId="0" borderId="0" xfId="0" applyNumberFormat="1" applyFont="1" applyAlignment="1">
      <alignment horizontal="left" vertical="center" wrapText="1" indent="1"/>
    </xf>
    <xf numFmtId="0" fontId="4" fillId="0" borderId="33" xfId="0" applyFont="1" applyBorder="1" applyAlignment="1">
      <alignment vertical="center" wrapText="1"/>
    </xf>
    <xf numFmtId="0" fontId="4" fillId="0" borderId="18" xfId="0" applyFont="1" applyBorder="1" applyAlignment="1">
      <alignment vertical="center" wrapText="1"/>
    </xf>
    <xf numFmtId="0" fontId="4" fillId="0" borderId="18" xfId="0" applyFont="1" applyBorder="1" applyAlignment="1">
      <alignment wrapText="1"/>
    </xf>
    <xf numFmtId="0" fontId="1" fillId="0" borderId="32"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wrapText="1"/>
    </xf>
    <xf numFmtId="0" fontId="0" fillId="0" borderId="0" xfId="0" applyBorder="1" applyAlignment="1">
      <alignment vertical="center" wrapText="1"/>
    </xf>
    <xf numFmtId="0" fontId="9" fillId="0" borderId="0" xfId="0" applyFont="1" applyBorder="1" applyAlignment="1">
      <alignment horizontal="center" wrapText="1"/>
    </xf>
    <xf numFmtId="0" fontId="6" fillId="53" borderId="33" xfId="0" applyFont="1" applyFill="1" applyBorder="1" applyAlignment="1">
      <alignment horizontal="left" vertical="center" wrapText="1" indent="1"/>
    </xf>
    <xf numFmtId="0" fontId="0" fillId="53" borderId="18" xfId="0" applyFill="1" applyBorder="1" applyAlignment="1">
      <alignment horizontal="left" vertical="center" wrapText="1" indent="1"/>
    </xf>
    <xf numFmtId="0" fontId="0" fillId="53" borderId="42" xfId="0" applyFill="1" applyBorder="1" applyAlignment="1">
      <alignment horizontal="left" vertical="center" wrapText="1" indent="1"/>
    </xf>
    <xf numFmtId="0" fontId="0" fillId="53" borderId="21" xfId="0" applyFill="1" applyBorder="1" applyAlignment="1">
      <alignment horizontal="left" vertical="center" wrapText="1" indent="1"/>
    </xf>
    <xf numFmtId="0" fontId="7" fillId="0" borderId="29" xfId="0" applyFont="1" applyBorder="1" applyAlignment="1">
      <alignment horizontal="center"/>
    </xf>
    <xf numFmtId="0" fontId="7" fillId="0" borderId="37" xfId="0" applyFont="1" applyBorder="1" applyAlignment="1">
      <alignment horizontal="center"/>
    </xf>
    <xf numFmtId="0" fontId="7" fillId="0" borderId="0" xfId="0" applyFont="1" applyAlignment="1">
      <alignment horizontal="right" wrapText="1"/>
    </xf>
    <xf numFmtId="0" fontId="6" fillId="0" borderId="0" xfId="0" applyFont="1" applyAlignment="1">
      <alignment horizontal="right" wrapText="1"/>
    </xf>
    <xf numFmtId="0" fontId="7" fillId="0" borderId="0" xfId="0" applyFont="1" applyBorder="1" applyAlignment="1">
      <alignment horizontal="right" wrapText="1"/>
    </xf>
    <xf numFmtId="0" fontId="0" fillId="0" borderId="0" xfId="0" applyAlignment="1">
      <alignment horizontal="right" wrapText="1"/>
    </xf>
    <xf numFmtId="0" fontId="7"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xf>
    <xf numFmtId="0" fontId="7" fillId="0" borderId="0" xfId="0" applyFont="1" applyAlignment="1">
      <alignment horizontal="right" vertical="center" wrapText="1"/>
    </xf>
    <xf numFmtId="0" fontId="0" fillId="0" borderId="0" xfId="0" applyAlignment="1">
      <alignment horizontal="right" vertical="center" wrapText="1"/>
    </xf>
    <xf numFmtId="0" fontId="4" fillId="0" borderId="37"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0" fontId="1" fillId="0" borderId="0" xfId="0" applyNumberFormat="1" applyFont="1" applyAlignment="1">
      <alignment vertical="center" wrapText="1"/>
    </xf>
    <xf numFmtId="0" fontId="6" fillId="0" borderId="0" xfId="0" quotePrefix="1" applyFont="1" applyBorder="1" applyAlignment="1">
      <alignment horizontal="left" vertical="center" wrapText="1" indent="1"/>
    </xf>
    <xf numFmtId="0" fontId="6" fillId="0" borderId="33" xfId="0" applyFont="1" applyBorder="1" applyAlignment="1">
      <alignment horizontal="left" vertical="center" wrapText="1" indent="1"/>
    </xf>
    <xf numFmtId="0" fontId="1" fillId="0" borderId="18" xfId="0" applyFont="1" applyBorder="1" applyAlignment="1">
      <alignment horizontal="left" vertical="center" wrapText="1" indent="1"/>
    </xf>
    <xf numFmtId="0" fontId="1" fillId="0" borderId="17" xfId="0" applyFont="1" applyBorder="1" applyAlignment="1">
      <alignment horizontal="left" vertical="center" wrapText="1" indent="1"/>
    </xf>
    <xf numFmtId="0" fontId="1" fillId="0" borderId="32"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24" xfId="0" applyFont="1" applyBorder="1" applyAlignment="1">
      <alignment horizontal="left" vertical="center" wrapText="1" indent="1"/>
    </xf>
    <xf numFmtId="0" fontId="1" fillId="0" borderId="42"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25" xfId="0" applyFont="1" applyBorder="1" applyAlignment="1">
      <alignment horizontal="left" vertical="center" wrapText="1" indent="1"/>
    </xf>
    <xf numFmtId="0" fontId="6" fillId="0" borderId="0" xfId="0" applyFont="1" applyBorder="1" applyAlignment="1">
      <alignment vertical="center" wrapText="1"/>
    </xf>
    <xf numFmtId="0" fontId="1" fillId="0" borderId="34" xfId="0" applyFont="1" applyBorder="1" applyAlignment="1">
      <alignment horizontal="right" vertical="center" wrapText="1" indent="1"/>
    </xf>
    <xf numFmtId="0" fontId="0" fillId="0" borderId="35" xfId="0" applyBorder="1" applyAlignment="1">
      <alignment horizontal="right" vertical="center" wrapText="1" indent="1"/>
    </xf>
    <xf numFmtId="0" fontId="0" fillId="0" borderId="36" xfId="0" applyBorder="1" applyAlignment="1">
      <alignment horizontal="right" vertical="center" wrapText="1" indent="1"/>
    </xf>
    <xf numFmtId="0" fontId="6" fillId="0" borderId="0" xfId="0" applyFont="1" applyAlignment="1">
      <alignment horizontal="center" vertical="center" wrapText="1"/>
    </xf>
    <xf numFmtId="0" fontId="0" fillId="0" borderId="0" xfId="0" applyAlignment="1">
      <alignment horizontal="center" vertical="center" wrapText="1"/>
    </xf>
    <xf numFmtId="0" fontId="6" fillId="0" borderId="32" xfId="0" applyNumberFormat="1" applyFont="1" applyBorder="1" applyAlignment="1">
      <alignment horizontal="left" vertical="center" wrapText="1" indent="1"/>
    </xf>
    <xf numFmtId="0" fontId="6" fillId="0" borderId="33"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 fillId="0" borderId="0" xfId="0" applyFont="1" applyFill="1" applyAlignment="1">
      <alignment vertical="center" wrapText="1"/>
    </xf>
    <xf numFmtId="0" fontId="5" fillId="0" borderId="0" xfId="0" applyFont="1" applyFill="1" applyAlignment="1">
      <alignment vertical="center" wrapText="1"/>
    </xf>
    <xf numFmtId="165" fontId="4" fillId="32" borderId="37" xfId="0" applyNumberFormat="1" applyFont="1" applyFill="1" applyBorder="1" applyAlignment="1">
      <alignment horizontal="center"/>
    </xf>
    <xf numFmtId="165" fontId="4" fillId="32" borderId="31" xfId="0" applyNumberFormat="1" applyFont="1" applyFill="1" applyBorder="1" applyAlignment="1">
      <alignment horizontal="center"/>
    </xf>
    <xf numFmtId="0" fontId="7" fillId="32" borderId="33" xfId="0" applyFont="1" applyFill="1" applyBorder="1" applyAlignment="1">
      <alignment horizontal="center" vertical="center" wrapText="1"/>
    </xf>
    <xf numFmtId="0" fontId="0" fillId="32" borderId="17" xfId="0" applyFill="1" applyBorder="1" applyAlignment="1">
      <alignment horizontal="center" vertical="center" wrapText="1"/>
    </xf>
    <xf numFmtId="0" fontId="0" fillId="32" borderId="42" xfId="0" applyFill="1" applyBorder="1" applyAlignment="1">
      <alignment horizontal="center" vertical="center" wrapText="1"/>
    </xf>
    <xf numFmtId="0" fontId="0" fillId="32" borderId="25" xfId="0" applyFill="1" applyBorder="1" applyAlignment="1">
      <alignment horizontal="center" vertical="center" wrapText="1"/>
    </xf>
    <xf numFmtId="0" fontId="6" fillId="32" borderId="33"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25" borderId="34" xfId="0" quotePrefix="1" applyFont="1" applyFill="1" applyBorder="1" applyAlignment="1">
      <alignment horizontal="right" vertical="center" wrapText="1"/>
    </xf>
    <xf numFmtId="0" fontId="0" fillId="25" borderId="36" xfId="0" applyFill="1" applyBorder="1" applyAlignment="1">
      <alignment horizontal="right" vertical="center" wrapText="1"/>
    </xf>
    <xf numFmtId="0" fontId="87" fillId="0" borderId="0" xfId="0" applyFont="1" applyFill="1" applyBorder="1" applyAlignment="1">
      <alignment horizontal="center" vertical="center" wrapText="1"/>
    </xf>
    <xf numFmtId="0" fontId="87" fillId="0" borderId="0" xfId="0" applyFont="1" applyFill="1" applyBorder="1" applyAlignment="1">
      <alignment horizontal="center"/>
    </xf>
    <xf numFmtId="0" fontId="7" fillId="47" borderId="34" xfId="0" applyFont="1" applyFill="1" applyBorder="1" applyAlignment="1">
      <alignment horizontal="right" wrapText="1"/>
    </xf>
    <xf numFmtId="0" fontId="0" fillId="47" borderId="35" xfId="0" applyFill="1" applyBorder="1" applyAlignment="1">
      <alignment horizontal="right" wrapText="1"/>
    </xf>
    <xf numFmtId="0" fontId="4" fillId="6" borderId="3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33" xfId="0" applyFont="1" applyFill="1" applyBorder="1" applyAlignment="1">
      <alignment horizontal="left" vertical="center" wrapText="1" indent="1"/>
    </xf>
    <xf numFmtId="0" fontId="5" fillId="0" borderId="18"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5" fillId="0" borderId="42" xfId="0" applyFont="1" applyFill="1" applyBorder="1" applyAlignment="1">
      <alignment horizontal="left" vertical="center" wrapText="1" indent="1"/>
    </xf>
    <xf numFmtId="0" fontId="5" fillId="0" borderId="21" xfId="0" applyFont="1" applyFill="1" applyBorder="1" applyAlignment="1">
      <alignment horizontal="left" vertical="center" wrapText="1" indent="1"/>
    </xf>
    <xf numFmtId="0" fontId="5" fillId="0" borderId="25" xfId="0" applyFont="1" applyFill="1" applyBorder="1" applyAlignment="1">
      <alignment horizontal="left" vertical="center" wrapText="1" indent="1"/>
    </xf>
    <xf numFmtId="0" fontId="8" fillId="0" borderId="0" xfId="0" applyFont="1" applyFill="1" applyBorder="1" applyAlignment="1">
      <alignment horizontal="left" wrapText="1"/>
    </xf>
    <xf numFmtId="0" fontId="1" fillId="0" borderId="0" xfId="0" applyFont="1" applyFill="1" applyBorder="1" applyAlignment="1">
      <alignment horizontal="center" vertical="center" wrapText="1"/>
    </xf>
    <xf numFmtId="0" fontId="88" fillId="57" borderId="0" xfId="0" applyFont="1" applyFill="1" applyBorder="1" applyAlignment="1">
      <alignment horizontal="right" vertical="center" wrapText="1" indent="1"/>
    </xf>
    <xf numFmtId="0" fontId="4" fillId="57" borderId="0" xfId="0" applyFont="1" applyFill="1" applyAlignment="1">
      <alignment horizontal="right" vertical="center" wrapText="1" indent="1"/>
    </xf>
    <xf numFmtId="0" fontId="1" fillId="0" borderId="0" xfId="0" applyFont="1" applyFill="1" applyAlignment="1">
      <alignment horizontal="left" vertical="center" wrapText="1"/>
    </xf>
    <xf numFmtId="0" fontId="4" fillId="0" borderId="0" xfId="0" applyFont="1" applyFill="1" applyBorder="1" applyAlignment="1">
      <alignment horizontal="right" wrapText="1" indent="1"/>
    </xf>
    <xf numFmtId="198" fontId="8" fillId="2" borderId="37" xfId="0" applyNumberFormat="1" applyFont="1" applyFill="1" applyBorder="1" applyAlignment="1">
      <alignment horizontal="center"/>
    </xf>
    <xf numFmtId="198" fontId="8" fillId="2" borderId="31" xfId="0" applyNumberFormat="1" applyFont="1" applyFill="1" applyBorder="1" applyAlignment="1">
      <alignment horizontal="center"/>
    </xf>
    <xf numFmtId="0" fontId="7" fillId="20" borderId="33" xfId="0" applyFont="1" applyFill="1" applyBorder="1" applyAlignment="1">
      <alignment horizontal="left" vertical="center" wrapText="1" indent="1"/>
    </xf>
    <xf numFmtId="0" fontId="6" fillId="0" borderId="17" xfId="0" applyFont="1" applyBorder="1"/>
    <xf numFmtId="0" fontId="6" fillId="0" borderId="32" xfId="0" applyFont="1" applyBorder="1"/>
    <xf numFmtId="0" fontId="6" fillId="0" borderId="24" xfId="0" applyFont="1" applyBorder="1"/>
    <xf numFmtId="0" fontId="6" fillId="0" borderId="42" xfId="0" applyFont="1" applyBorder="1"/>
    <xf numFmtId="0" fontId="6" fillId="0" borderId="25" xfId="0" applyFont="1" applyBorder="1"/>
    <xf numFmtId="0" fontId="6" fillId="0" borderId="0" xfId="0" applyFont="1" applyFill="1" applyBorder="1" applyAlignment="1">
      <alignment horizontal="left" wrapText="1"/>
    </xf>
    <xf numFmtId="0" fontId="10" fillId="0" borderId="0" xfId="0" applyFont="1" applyFill="1" applyBorder="1" applyAlignment="1">
      <alignment horizontal="left" wrapText="1"/>
    </xf>
    <xf numFmtId="0" fontId="133" fillId="27" borderId="34" xfId="0" applyFont="1" applyFill="1" applyBorder="1" applyAlignment="1" applyProtection="1">
      <alignment horizontal="center" vertical="center" wrapText="1"/>
      <protection locked="0"/>
    </xf>
    <xf numFmtId="0" fontId="134" fillId="27" borderId="35"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6" fillId="0" borderId="0" xfId="0" applyFont="1" applyFill="1" applyBorder="1" applyAlignment="1">
      <alignment horizontal="left"/>
    </xf>
    <xf numFmtId="0" fontId="10" fillId="0" borderId="0" xfId="0" applyFont="1" applyFill="1" applyBorder="1" applyAlignment="1">
      <alignment horizontal="left"/>
    </xf>
    <xf numFmtId="0" fontId="6" fillId="45" borderId="34" xfId="0" applyFont="1" applyFill="1" applyBorder="1" applyAlignment="1">
      <alignment horizontal="right" vertical="center" wrapText="1" indent="1"/>
    </xf>
    <xf numFmtId="0" fontId="6" fillId="45" borderId="35" xfId="0" applyFont="1" applyFill="1" applyBorder="1" applyAlignment="1">
      <alignment horizontal="right" vertical="center" wrapText="1" indent="1"/>
    </xf>
    <xf numFmtId="0" fontId="6" fillId="45" borderId="36" xfId="0" applyFont="1" applyFill="1" applyBorder="1" applyAlignment="1">
      <alignment horizontal="right" vertical="center" wrapText="1" indent="1"/>
    </xf>
    <xf numFmtId="0" fontId="6" fillId="0" borderId="0" xfId="0" applyFont="1" applyFill="1" applyBorder="1" applyAlignment="1">
      <alignment wrapText="1"/>
    </xf>
    <xf numFmtId="0" fontId="10" fillId="0" borderId="0" xfId="0" applyFont="1" applyFill="1" applyBorder="1" applyAlignment="1">
      <alignment wrapText="1"/>
    </xf>
    <xf numFmtId="0" fontId="6" fillId="0" borderId="33" xfId="0" applyFont="1" applyFill="1" applyBorder="1" applyAlignment="1">
      <alignment horizontal="left" vertical="center" wrapText="1" indent="1"/>
    </xf>
    <xf numFmtId="0" fontId="10" fillId="0" borderId="18" xfId="0" applyFont="1" applyFill="1" applyBorder="1" applyAlignment="1">
      <alignment horizontal="left" vertical="center" wrapText="1" indent="1"/>
    </xf>
    <xf numFmtId="0" fontId="10" fillId="0" borderId="17" xfId="0" applyFont="1" applyFill="1" applyBorder="1" applyAlignment="1">
      <alignment horizontal="left" vertical="center" wrapText="1" indent="1"/>
    </xf>
    <xf numFmtId="0" fontId="7" fillId="53" borderId="34" xfId="0" applyFont="1" applyFill="1" applyBorder="1" applyAlignment="1">
      <alignment horizontal="right" wrapText="1"/>
    </xf>
    <xf numFmtId="0" fontId="0" fillId="53" borderId="35" xfId="0" applyFill="1" applyBorder="1" applyAlignment="1">
      <alignment horizontal="right" wrapText="1"/>
    </xf>
    <xf numFmtId="2" fontId="4" fillId="0" borderId="0" xfId="2" applyNumberFormat="1" applyFont="1" applyFill="1" applyBorder="1" applyAlignment="1">
      <alignment horizontal="center" vertical="center" wrapText="1"/>
    </xf>
    <xf numFmtId="0" fontId="88" fillId="20" borderId="0" xfId="0" applyFont="1" applyFill="1" applyBorder="1" applyAlignment="1">
      <alignment horizontal="left" vertical="center" wrapText="1" indent="1"/>
    </xf>
    <xf numFmtId="0" fontId="5" fillId="0" borderId="0" xfId="0" applyFont="1" applyFill="1" applyBorder="1" applyAlignment="1">
      <alignment horizontal="center" vertical="center" wrapText="1"/>
    </xf>
    <xf numFmtId="197" fontId="5" fillId="0" borderId="21" xfId="0" applyNumberFormat="1" applyFont="1" applyBorder="1" applyAlignment="1">
      <alignment horizontal="center"/>
    </xf>
    <xf numFmtId="0" fontId="88" fillId="8" borderId="34" xfId="0" applyFont="1" applyFill="1" applyBorder="1" applyAlignment="1">
      <alignment horizontal="left" vertical="center" wrapText="1" indent="1"/>
    </xf>
    <xf numFmtId="0" fontId="0" fillId="0" borderId="35" xfId="0" applyBorder="1" applyAlignment="1">
      <alignment horizontal="left" vertical="center" wrapText="1" indent="1"/>
    </xf>
    <xf numFmtId="0" fontId="0" fillId="0" borderId="36" xfId="0" applyBorder="1" applyAlignment="1">
      <alignment horizontal="left" vertical="center" wrapText="1" indent="1"/>
    </xf>
    <xf numFmtId="0" fontId="4" fillId="57" borderId="34" xfId="0" applyFont="1" applyFill="1" applyBorder="1" applyAlignment="1">
      <alignment horizontal="center" wrapText="1"/>
    </xf>
    <xf numFmtId="0" fontId="0" fillId="57" borderId="36" xfId="0" applyFill="1" applyBorder="1" applyAlignment="1">
      <alignment horizontal="center"/>
    </xf>
    <xf numFmtId="0" fontId="152" fillId="27" borderId="24" xfId="0" applyFont="1" applyFill="1" applyBorder="1" applyAlignment="1">
      <alignment horizontal="center" vertical="center" wrapText="1"/>
    </xf>
    <xf numFmtId="0" fontId="75" fillId="27" borderId="24" xfId="0" applyFont="1" applyFill="1" applyBorder="1" applyAlignment="1">
      <alignment horizontal="center" vertical="center" wrapText="1"/>
    </xf>
    <xf numFmtId="0" fontId="0" fillId="27" borderId="24" xfId="0" applyFill="1" applyBorder="1" applyAlignment="1">
      <alignment horizontal="center" vertical="center" wrapText="1"/>
    </xf>
    <xf numFmtId="0" fontId="2" fillId="0" borderId="0" xfId="0" applyFont="1" applyFill="1" applyBorder="1" applyAlignment="1">
      <alignment vertical="center" wrapText="1"/>
    </xf>
    <xf numFmtId="0" fontId="6" fillId="69" borderId="33" xfId="0" applyFont="1" applyFill="1" applyBorder="1" applyAlignment="1">
      <alignment vertical="center" wrapText="1"/>
    </xf>
    <xf numFmtId="0" fontId="6" fillId="69" borderId="17" xfId="0" applyFont="1" applyFill="1" applyBorder="1" applyAlignment="1">
      <alignment vertical="center" wrapText="1"/>
    </xf>
    <xf numFmtId="0" fontId="6" fillId="69" borderId="32" xfId="0" applyFont="1" applyFill="1" applyBorder="1" applyAlignment="1">
      <alignment vertical="center" wrapText="1"/>
    </xf>
    <xf numFmtId="0" fontId="6" fillId="69" borderId="24" xfId="0" applyFont="1" applyFill="1" applyBorder="1" applyAlignment="1">
      <alignment vertical="center" wrapText="1"/>
    </xf>
    <xf numFmtId="0" fontId="0" fillId="69" borderId="32" xfId="0" applyFill="1" applyBorder="1" applyAlignment="1">
      <alignment vertical="center" wrapText="1"/>
    </xf>
    <xf numFmtId="0" fontId="0" fillId="69" borderId="24" xfId="0" applyFill="1" applyBorder="1" applyAlignment="1">
      <alignment vertical="center" wrapText="1"/>
    </xf>
    <xf numFmtId="0" fontId="0" fillId="69" borderId="42" xfId="0" applyFill="1" applyBorder="1" applyAlignment="1">
      <alignment vertical="center" wrapText="1"/>
    </xf>
    <xf numFmtId="0" fontId="0" fillId="69" borderId="25" xfId="0" applyFill="1" applyBorder="1" applyAlignment="1">
      <alignment vertical="center" wrapText="1"/>
    </xf>
    <xf numFmtId="0" fontId="6" fillId="47" borderId="33" xfId="0" applyFont="1" applyFill="1" applyBorder="1" applyAlignment="1">
      <alignment horizontal="left" vertical="center" wrapText="1" indent="1"/>
    </xf>
    <xf numFmtId="0" fontId="0" fillId="32" borderId="32" xfId="0" applyFill="1" applyBorder="1" applyAlignment="1">
      <alignment horizontal="center" vertical="center" wrapText="1"/>
    </xf>
    <xf numFmtId="0" fontId="0" fillId="32" borderId="24" xfId="0" applyFill="1" applyBorder="1" applyAlignment="1">
      <alignment horizontal="center" vertical="center" wrapText="1"/>
    </xf>
    <xf numFmtId="0" fontId="0" fillId="0" borderId="24" xfId="0" applyBorder="1" applyAlignment="1">
      <alignment horizontal="center" vertical="center" wrapText="1"/>
    </xf>
    <xf numFmtId="0" fontId="1" fillId="0" borderId="0" xfId="0" applyFont="1" applyFill="1" applyBorder="1" applyAlignment="1">
      <alignment horizontal="left" vertical="center" wrapText="1"/>
    </xf>
    <xf numFmtId="0" fontId="4" fillId="0" borderId="18" xfId="0" applyFont="1" applyFill="1" applyBorder="1" applyAlignment="1">
      <alignment horizontal="center" vertical="center"/>
    </xf>
    <xf numFmtId="0" fontId="7" fillId="0" borderId="0" xfId="0" applyFont="1" applyFill="1" applyBorder="1" applyAlignment="1">
      <alignment horizontal="right" wrapText="1"/>
    </xf>
    <xf numFmtId="0" fontId="6" fillId="0" borderId="0" xfId="0" applyFont="1" applyFill="1" applyBorder="1" applyAlignment="1">
      <alignment horizontal="left" vertical="center" wrapText="1" indent="1"/>
    </xf>
    <xf numFmtId="0" fontId="86" fillId="32" borderId="37" xfId="0" applyFont="1" applyFill="1" applyBorder="1" applyAlignment="1">
      <alignment horizontal="center" vertical="center"/>
    </xf>
    <xf numFmtId="0" fontId="86" fillId="32" borderId="31" xfId="0" applyFont="1" applyFill="1" applyBorder="1" applyAlignment="1">
      <alignment horizontal="center" vertical="center"/>
    </xf>
    <xf numFmtId="0" fontId="1" fillId="25" borderId="32" xfId="0" applyFont="1" applyFill="1" applyBorder="1" applyAlignment="1">
      <alignment horizontal="center" vertical="center"/>
    </xf>
    <xf numFmtId="0" fontId="1" fillId="25" borderId="0" xfId="0" applyFont="1" applyFill="1" applyBorder="1" applyAlignment="1">
      <alignment horizontal="center" vertical="center"/>
    </xf>
    <xf numFmtId="0" fontId="1" fillId="25" borderId="10" xfId="0" applyFont="1" applyFill="1" applyBorder="1" applyAlignment="1">
      <alignment horizontal="center" vertical="center"/>
    </xf>
    <xf numFmtId="9" fontId="6" fillId="39" borderId="34" xfId="7" applyFont="1" applyFill="1" applyBorder="1" applyAlignment="1">
      <alignment horizontal="right" vertical="center" wrapText="1"/>
    </xf>
    <xf numFmtId="0" fontId="0" fillId="39" borderId="35" xfId="0" applyFill="1" applyBorder="1" applyAlignment="1">
      <alignment horizontal="right" vertical="center" wrapText="1"/>
    </xf>
    <xf numFmtId="0" fontId="0" fillId="39" borderId="36" xfId="0" applyFill="1" applyBorder="1" applyAlignment="1">
      <alignment horizontal="right" vertical="center" wrapText="1"/>
    </xf>
    <xf numFmtId="0" fontId="6" fillId="3" borderId="33" xfId="0" applyFont="1" applyFill="1" applyBorder="1" applyAlignment="1">
      <alignment horizontal="center" vertical="center" wrapText="1"/>
    </xf>
    <xf numFmtId="0" fontId="0" fillId="3" borderId="18"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21" xfId="0" applyFill="1" applyBorder="1" applyAlignment="1">
      <alignment horizontal="center" vertical="center" wrapText="1"/>
    </xf>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1" fillId="0" borderId="0" xfId="0" quotePrefix="1" applyFont="1" applyFill="1" applyBorder="1" applyAlignment="1">
      <alignment horizontal="center" wrapText="1"/>
    </xf>
    <xf numFmtId="0" fontId="1" fillId="0" borderId="0" xfId="0" applyFont="1" applyFill="1" applyBorder="1" applyAlignment="1">
      <alignment horizontal="center" wrapText="1"/>
    </xf>
    <xf numFmtId="0" fontId="6" fillId="69" borderId="37" xfId="0" applyFont="1" applyFill="1" applyBorder="1" applyAlignment="1">
      <alignment horizontal="center" vertical="center" wrapText="1"/>
    </xf>
    <xf numFmtId="0" fontId="6" fillId="69" borderId="30" xfId="0" applyFont="1" applyFill="1" applyBorder="1" applyAlignment="1">
      <alignment horizontal="center" vertical="center" wrapText="1"/>
    </xf>
    <xf numFmtId="0" fontId="6" fillId="69" borderId="31"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vertical="center" wrapText="1"/>
    </xf>
    <xf numFmtId="0" fontId="4" fillId="0" borderId="29"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0" fillId="0" borderId="29" xfId="0"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7" fillId="28" borderId="13" xfId="0" applyFont="1" applyFill="1" applyBorder="1" applyAlignment="1">
      <alignment horizontal="center" vertical="center" wrapText="1"/>
    </xf>
    <xf numFmtId="0" fontId="7" fillId="28" borderId="14" xfId="0" applyFont="1" applyFill="1" applyBorder="1" applyAlignment="1">
      <alignment horizontal="center" vertical="center" wrapText="1"/>
    </xf>
    <xf numFmtId="0" fontId="6" fillId="28" borderId="14" xfId="0" applyFont="1" applyFill="1" applyBorder="1" applyAlignment="1">
      <alignment horizontal="center" vertical="center" wrapText="1"/>
    </xf>
    <xf numFmtId="0" fontId="6" fillId="28"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4" fillId="56" borderId="34" xfId="0" applyFont="1" applyFill="1" applyBorder="1" applyAlignment="1">
      <alignment horizontal="center" vertical="center" wrapText="1"/>
    </xf>
    <xf numFmtId="0" fontId="0" fillId="0" borderId="35" xfId="0" applyBorder="1"/>
    <xf numFmtId="0" fontId="0" fillId="0" borderId="36" xfId="0" applyBorder="1"/>
    <xf numFmtId="0" fontId="7" fillId="56" borderId="29" xfId="0" applyFont="1" applyFill="1" applyBorder="1" applyAlignment="1">
      <alignment horizontal="center" vertical="center" wrapText="1"/>
    </xf>
    <xf numFmtId="0" fontId="6" fillId="56" borderId="29" xfId="0" applyFont="1" applyFill="1" applyBorder="1" applyAlignment="1">
      <alignment horizontal="center" vertical="center" wrapText="1"/>
    </xf>
    <xf numFmtId="0" fontId="4" fillId="56" borderId="34" xfId="0" applyFont="1" applyFill="1" applyBorder="1" applyAlignment="1">
      <alignment horizontal="center" vertical="top" wrapText="1"/>
    </xf>
    <xf numFmtId="0" fontId="8" fillId="56" borderId="35" xfId="0" applyFont="1" applyFill="1" applyBorder="1" applyAlignment="1">
      <alignment horizontal="center" vertical="top" wrapText="1"/>
    </xf>
    <xf numFmtId="0" fontId="0" fillId="56" borderId="36" xfId="0" applyFill="1" applyBorder="1" applyAlignment="1">
      <alignment horizontal="center" vertical="top" wrapText="1"/>
    </xf>
    <xf numFmtId="0" fontId="2" fillId="0" borderId="37"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7" xfId="0" applyFill="1" applyBorder="1" applyAlignment="1">
      <alignment horizontal="center" vertical="center" wrapText="1"/>
    </xf>
    <xf numFmtId="0" fontId="0" fillId="0" borderId="30" xfId="0" applyFill="1" applyBorder="1" applyAlignment="1">
      <alignment horizontal="center" vertical="center" wrapText="1"/>
    </xf>
    <xf numFmtId="0" fontId="4" fillId="56" borderId="29" xfId="0" applyFont="1" applyFill="1" applyBorder="1" applyAlignment="1">
      <alignment horizontal="center" vertical="center" wrapText="1"/>
    </xf>
    <xf numFmtId="0" fontId="4" fillId="0" borderId="29" xfId="0" applyFont="1" applyFill="1" applyBorder="1" applyAlignment="1">
      <alignment horizontal="center" wrapText="1"/>
    </xf>
    <xf numFmtId="0" fontId="1" fillId="0" borderId="29" xfId="0" applyFont="1" applyBorder="1" applyAlignment="1">
      <alignment horizontal="center" wrapText="1"/>
    </xf>
    <xf numFmtId="0" fontId="1" fillId="25" borderId="33" xfId="0" applyFont="1" applyFill="1" applyBorder="1" applyAlignment="1">
      <alignment horizontal="left" vertical="center" wrapText="1" indent="2"/>
    </xf>
    <xf numFmtId="0" fontId="1" fillId="25" borderId="18" xfId="0" applyFont="1" applyFill="1" applyBorder="1" applyAlignment="1">
      <alignment horizontal="left" vertical="center" wrapText="1" indent="2"/>
    </xf>
    <xf numFmtId="0" fontId="1" fillId="25" borderId="17" xfId="0" applyFont="1" applyFill="1" applyBorder="1" applyAlignment="1">
      <alignment horizontal="left" vertical="center" wrapText="1" indent="2"/>
    </xf>
    <xf numFmtId="0" fontId="1" fillId="25" borderId="42" xfId="0" applyFont="1" applyFill="1" applyBorder="1" applyAlignment="1">
      <alignment horizontal="left" vertical="center" wrapText="1" indent="2"/>
    </xf>
    <xf numFmtId="0" fontId="1" fillId="25" borderId="21" xfId="0" applyFont="1" applyFill="1" applyBorder="1" applyAlignment="1">
      <alignment horizontal="left" vertical="center" wrapText="1" indent="2"/>
    </xf>
    <xf numFmtId="0" fontId="1" fillId="25" borderId="25" xfId="0" applyFont="1" applyFill="1" applyBorder="1" applyAlignment="1">
      <alignment horizontal="left" vertical="center" wrapText="1" indent="2"/>
    </xf>
    <xf numFmtId="0" fontId="4" fillId="0" borderId="0" xfId="0" applyFont="1" applyFill="1" applyBorder="1" applyAlignment="1">
      <alignment vertical="center" wrapText="1"/>
    </xf>
    <xf numFmtId="0" fontId="4" fillId="29" borderId="32" xfId="0" applyFont="1" applyFill="1" applyBorder="1" applyAlignment="1">
      <alignment horizontal="left" vertical="center" wrapText="1" indent="1"/>
    </xf>
    <xf numFmtId="0" fontId="0" fillId="29" borderId="0" xfId="0" applyFill="1" applyBorder="1" applyAlignment="1">
      <alignment horizontal="left" vertical="center" wrapText="1" indent="1"/>
    </xf>
    <xf numFmtId="0" fontId="0" fillId="29" borderId="24" xfId="0" applyFill="1" applyBorder="1" applyAlignment="1">
      <alignment horizontal="left" vertical="center" wrapText="1" indent="1"/>
    </xf>
    <xf numFmtId="0" fontId="0" fillId="29" borderId="32" xfId="0" applyFill="1" applyBorder="1" applyAlignment="1">
      <alignment horizontal="left" vertical="center" wrapText="1" indent="1"/>
    </xf>
    <xf numFmtId="0" fontId="28" fillId="56" borderId="33" xfId="0"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32" xfId="0" applyFill="1" applyBorder="1" applyAlignment="1">
      <alignment horizontal="center" vertical="center" wrapText="1"/>
    </xf>
    <xf numFmtId="0" fontId="0" fillId="56" borderId="24" xfId="0" applyFill="1" applyBorder="1" applyAlignment="1">
      <alignment horizontal="center" vertical="center" wrapText="1"/>
    </xf>
    <xf numFmtId="0" fontId="0" fillId="56" borderId="42" xfId="0" applyFill="1" applyBorder="1" applyAlignment="1">
      <alignment horizontal="center" vertical="center" wrapText="1"/>
    </xf>
    <xf numFmtId="0" fontId="0" fillId="56" borderId="25" xfId="0" applyFill="1" applyBorder="1" applyAlignment="1">
      <alignment horizontal="center" vertical="center" wrapText="1"/>
    </xf>
    <xf numFmtId="0" fontId="154" fillId="56" borderId="29" xfId="0" applyFont="1" applyFill="1" applyBorder="1" applyAlignment="1">
      <alignment horizontal="center" vertical="center" wrapText="1"/>
    </xf>
    <xf numFmtId="0" fontId="155" fillId="56" borderId="29" xfId="0" applyFont="1" applyFill="1" applyBorder="1" applyAlignment="1">
      <alignment horizontal="center" vertical="center" wrapText="1"/>
    </xf>
    <xf numFmtId="0" fontId="6" fillId="0" borderId="29" xfId="0" applyFont="1" applyBorder="1" applyAlignment="1">
      <alignment horizontal="center" vertical="center" wrapText="1"/>
    </xf>
    <xf numFmtId="0" fontId="8" fillId="56" borderId="29" xfId="0" applyFont="1" applyFill="1" applyBorder="1" applyAlignment="1">
      <alignment horizontal="center" vertical="center" wrapText="1"/>
    </xf>
    <xf numFmtId="0" fontId="4" fillId="56" borderId="33" xfId="0" applyFont="1" applyFill="1" applyBorder="1" applyAlignment="1">
      <alignment horizontal="center" vertical="center" wrapText="1"/>
    </xf>
    <xf numFmtId="0" fontId="41" fillId="29" borderId="32" xfId="0" applyFont="1" applyFill="1" applyBorder="1" applyAlignment="1">
      <alignment horizontal="left" vertical="center" wrapText="1" indent="1"/>
    </xf>
    <xf numFmtId="0" fontId="4" fillId="29" borderId="77" xfId="0" applyFont="1" applyFill="1" applyBorder="1" applyAlignment="1">
      <alignment horizontal="left" vertical="center" wrapText="1" indent="1"/>
    </xf>
    <xf numFmtId="0" fontId="1" fillId="29" borderId="18" xfId="0" applyFont="1" applyFill="1" applyBorder="1" applyAlignment="1">
      <alignment horizontal="left" vertical="center" wrapText="1" indent="1"/>
    </xf>
    <xf numFmtId="0" fontId="1" fillId="29" borderId="17" xfId="0" applyFont="1" applyFill="1" applyBorder="1" applyAlignment="1">
      <alignment horizontal="left" vertical="center" wrapText="1" indent="1"/>
    </xf>
    <xf numFmtId="0" fontId="1" fillId="29" borderId="45" xfId="0" applyFont="1" applyFill="1" applyBorder="1" applyAlignment="1">
      <alignment horizontal="left" vertical="center" wrapText="1" indent="1"/>
    </xf>
    <xf numFmtId="0" fontId="1" fillId="29" borderId="1" xfId="0" applyFont="1" applyFill="1" applyBorder="1" applyAlignment="1">
      <alignment horizontal="left" vertical="center" wrapText="1" indent="1"/>
    </xf>
    <xf numFmtId="0" fontId="1" fillId="29" borderId="27" xfId="0" applyFont="1" applyFill="1" applyBorder="1" applyAlignment="1">
      <alignment horizontal="left" vertical="center" wrapText="1" indent="1"/>
    </xf>
    <xf numFmtId="0" fontId="4" fillId="29" borderId="55" xfId="0" applyFont="1" applyFill="1" applyBorder="1" applyAlignment="1">
      <alignment horizontal="center"/>
    </xf>
    <xf numFmtId="0" fontId="4" fillId="29" borderId="2" xfId="0" applyFont="1" applyFill="1" applyBorder="1" applyAlignment="1">
      <alignment horizontal="center"/>
    </xf>
    <xf numFmtId="0" fontId="4" fillId="29" borderId="56" xfId="0" applyFont="1" applyFill="1" applyBorder="1" applyAlignment="1">
      <alignment horizontal="center"/>
    </xf>
    <xf numFmtId="0" fontId="6" fillId="0" borderId="0" xfId="0" applyFont="1" applyFill="1" applyAlignment="1">
      <alignment horizontal="left" vertical="center" wrapText="1" indent="1"/>
    </xf>
    <xf numFmtId="0" fontId="6" fillId="25" borderId="33" xfId="0" applyFont="1" applyFill="1" applyBorder="1" applyAlignment="1">
      <alignment horizontal="left" vertical="center" wrapText="1" indent="2"/>
    </xf>
    <xf numFmtId="0" fontId="6" fillId="25" borderId="18" xfId="0" applyFont="1" applyFill="1" applyBorder="1" applyAlignment="1">
      <alignment horizontal="left" vertical="center" wrapText="1" indent="2"/>
    </xf>
    <xf numFmtId="0" fontId="6" fillId="25" borderId="17" xfId="0" applyFont="1" applyFill="1" applyBorder="1" applyAlignment="1">
      <alignment horizontal="left" vertical="center" wrapText="1" indent="2"/>
    </xf>
    <xf numFmtId="0" fontId="6" fillId="25" borderId="42" xfId="0" applyFont="1" applyFill="1" applyBorder="1" applyAlignment="1">
      <alignment horizontal="left" vertical="center" wrapText="1" indent="2"/>
    </xf>
    <xf numFmtId="0" fontId="6" fillId="25" borderId="21" xfId="0" applyFont="1" applyFill="1" applyBorder="1" applyAlignment="1">
      <alignment horizontal="left" vertical="center" wrapText="1" indent="2"/>
    </xf>
    <xf numFmtId="0" fontId="6" fillId="25" borderId="25" xfId="0" applyFont="1" applyFill="1" applyBorder="1" applyAlignment="1">
      <alignment horizontal="left" vertical="center" wrapText="1" indent="2"/>
    </xf>
    <xf numFmtId="0" fontId="4" fillId="0" borderId="30" xfId="0" applyFont="1" applyFill="1" applyBorder="1" applyAlignment="1">
      <alignment horizontal="center"/>
    </xf>
    <xf numFmtId="0" fontId="4" fillId="0" borderId="31" xfId="0" applyFont="1" applyFill="1" applyBorder="1" applyAlignment="1">
      <alignment horizontal="center"/>
    </xf>
    <xf numFmtId="0" fontId="0" fillId="0" borderId="0" xfId="0" applyFill="1" applyBorder="1" applyAlignment="1">
      <alignment horizontal="center" wrapText="1"/>
    </xf>
    <xf numFmtId="0" fontId="0" fillId="0" borderId="0" xfId="0" applyFill="1" applyAlignment="1">
      <alignment horizontal="center" wrapText="1"/>
    </xf>
    <xf numFmtId="0" fontId="8" fillId="0" borderId="0" xfId="0" applyFont="1" applyFill="1" applyBorder="1" applyAlignment="1">
      <alignment vertical="center" wrapText="1"/>
    </xf>
    <xf numFmtId="0" fontId="6" fillId="7" borderId="32" xfId="0" applyFont="1" applyFill="1" applyBorder="1" applyAlignment="1">
      <alignment horizontal="left" vertical="center" wrapText="1" indent="1"/>
    </xf>
    <xf numFmtId="0" fontId="0" fillId="7" borderId="0" xfId="0" applyFill="1" applyBorder="1" applyAlignment="1">
      <alignment horizontal="left" vertical="center" wrapText="1" indent="1"/>
    </xf>
    <xf numFmtId="0" fontId="0" fillId="7" borderId="24" xfId="0" applyFill="1" applyBorder="1" applyAlignment="1">
      <alignment horizontal="left" vertical="center" wrapText="1" indent="1"/>
    </xf>
    <xf numFmtId="0" fontId="0" fillId="7" borderId="32" xfId="0" applyFill="1" applyBorder="1" applyAlignment="1">
      <alignment horizontal="left" vertical="center" wrapText="1" indent="1"/>
    </xf>
    <xf numFmtId="0" fontId="0" fillId="0" borderId="21" xfId="0" applyFill="1" applyBorder="1" applyAlignment="1">
      <alignment vertical="center" wrapText="1"/>
    </xf>
    <xf numFmtId="0" fontId="4" fillId="0" borderId="0" xfId="0" applyFont="1" applyFill="1" applyBorder="1" applyAlignment="1">
      <alignment wrapText="1"/>
    </xf>
    <xf numFmtId="0" fontId="0" fillId="0" borderId="0" xfId="0" applyFill="1" applyBorder="1" applyAlignment="1">
      <alignment wrapText="1"/>
    </xf>
    <xf numFmtId="0" fontId="131" fillId="0" borderId="0" xfId="0" quotePrefix="1" applyFont="1" applyFill="1" applyBorder="1" applyAlignment="1">
      <alignment horizontal="center" wrapText="1"/>
    </xf>
    <xf numFmtId="0" fontId="131" fillId="0" borderId="0" xfId="0" applyFont="1" applyFill="1" applyBorder="1" applyAlignment="1">
      <alignment horizontal="center" wrapText="1"/>
    </xf>
    <xf numFmtId="0" fontId="1" fillId="53" borderId="0" xfId="0" applyFont="1" applyFill="1" applyBorder="1" applyAlignment="1">
      <alignment horizontal="center" vertical="center" wrapText="1"/>
    </xf>
    <xf numFmtId="0" fontId="0" fillId="53" borderId="0" xfId="0" applyFill="1" applyBorder="1" applyAlignment="1">
      <alignment horizontal="center" vertical="center" wrapText="1"/>
    </xf>
    <xf numFmtId="0" fontId="0" fillId="0" borderId="0" xfId="0" quotePrefix="1" applyFill="1" applyBorder="1" applyAlignment="1">
      <alignment horizontal="center" wrapText="1"/>
    </xf>
    <xf numFmtId="0" fontId="0" fillId="0" borderId="0" xfId="0" applyFill="1" applyAlignment="1">
      <alignment wrapText="1"/>
    </xf>
    <xf numFmtId="0" fontId="4" fillId="0" borderId="24" xfId="0" applyFont="1" applyFill="1" applyBorder="1" applyAlignment="1">
      <alignment vertical="center" wrapText="1"/>
    </xf>
    <xf numFmtId="0" fontId="4" fillId="0" borderId="0" xfId="0" applyFont="1" applyAlignment="1">
      <alignment wrapText="1"/>
    </xf>
    <xf numFmtId="0" fontId="7" fillId="53" borderId="33" xfId="0" applyFont="1" applyFill="1" applyBorder="1" applyAlignment="1">
      <alignment horizontal="center"/>
    </xf>
    <xf numFmtId="0" fontId="7" fillId="53" borderId="18" xfId="0" applyFont="1" applyFill="1" applyBorder="1" applyAlignment="1">
      <alignment horizontal="center"/>
    </xf>
    <xf numFmtId="0" fontId="7" fillId="53" borderId="17" xfId="0" applyFont="1" applyFill="1" applyBorder="1" applyAlignment="1">
      <alignment horizontal="center"/>
    </xf>
    <xf numFmtId="0" fontId="7" fillId="53" borderId="0" xfId="0" applyFont="1" applyFill="1" applyBorder="1" applyAlignment="1">
      <alignment horizontal="center" wrapText="1"/>
    </xf>
    <xf numFmtId="0" fontId="0" fillId="53" borderId="0" xfId="0" applyFill="1" applyBorder="1" applyAlignment="1">
      <alignment horizontal="center" wrapText="1"/>
    </xf>
    <xf numFmtId="0" fontId="4" fillId="53" borderId="37" xfId="0" applyFont="1" applyFill="1" applyBorder="1" applyAlignment="1">
      <alignment horizontal="center"/>
    </xf>
    <xf numFmtId="0" fontId="4" fillId="53" borderId="30" xfId="0" applyFont="1" applyFill="1" applyBorder="1" applyAlignment="1">
      <alignment horizontal="center"/>
    </xf>
    <xf numFmtId="0" fontId="4" fillId="53" borderId="31" xfId="0" applyFont="1" applyFill="1" applyBorder="1" applyAlignment="1">
      <alignment horizontal="center"/>
    </xf>
    <xf numFmtId="0" fontId="7" fillId="53" borderId="24" xfId="0" applyFont="1" applyFill="1" applyBorder="1" applyAlignment="1">
      <alignment horizontal="center" wrapText="1"/>
    </xf>
    <xf numFmtId="0" fontId="0" fillId="53" borderId="24" xfId="0" applyFill="1" applyBorder="1" applyAlignment="1">
      <alignment horizontal="center" wrapText="1"/>
    </xf>
    <xf numFmtId="0" fontId="136" fillId="53" borderId="32" xfId="0" applyFont="1" applyFill="1" applyBorder="1" applyAlignment="1">
      <alignment horizontal="left" vertical="center" wrapText="1" indent="1"/>
    </xf>
    <xf numFmtId="0" fontId="0" fillId="53" borderId="0" xfId="0" applyFill="1" applyAlignment="1">
      <alignment horizontal="left" vertical="center" wrapText="1" indent="1"/>
    </xf>
    <xf numFmtId="0" fontId="0" fillId="53" borderId="24" xfId="0" applyFill="1" applyBorder="1" applyAlignment="1">
      <alignment horizontal="left" vertical="center" wrapText="1" indent="1"/>
    </xf>
    <xf numFmtId="0" fontId="0" fillId="53" borderId="32" xfId="0" applyFill="1" applyBorder="1" applyAlignment="1">
      <alignment horizontal="left" vertical="center" wrapText="1" indent="1"/>
    </xf>
    <xf numFmtId="0" fontId="7" fillId="53" borderId="34" xfId="0" applyFont="1" applyFill="1" applyBorder="1" applyAlignment="1">
      <alignment horizontal="right" vertical="center" wrapText="1" indent="1"/>
    </xf>
    <xf numFmtId="0" fontId="0" fillId="53" borderId="35" xfId="0" applyFill="1" applyBorder="1" applyAlignment="1">
      <alignment horizontal="right" vertical="center" wrapText="1" indent="1"/>
    </xf>
    <xf numFmtId="0" fontId="0" fillId="53" borderId="36" xfId="0" applyFill="1" applyBorder="1" applyAlignment="1">
      <alignment horizontal="right" vertical="center" wrapText="1" indent="1"/>
    </xf>
    <xf numFmtId="0" fontId="7" fillId="53" borderId="29" xfId="0" applyFont="1" applyFill="1" applyBorder="1" applyAlignment="1">
      <alignment horizontal="right" vertical="center" wrapText="1" indent="1"/>
    </xf>
    <xf numFmtId="0" fontId="0" fillId="53" borderId="29" xfId="0" applyFill="1" applyBorder="1" applyAlignment="1">
      <alignment horizontal="right" vertical="center" wrapText="1" indent="1"/>
    </xf>
    <xf numFmtId="0" fontId="130" fillId="0" borderId="0" xfId="0" applyFont="1" applyAlignment="1">
      <alignment horizontal="right" wrapText="1"/>
    </xf>
    <xf numFmtId="9" fontId="132" fillId="0" borderId="0" xfId="7" applyFont="1" applyAlignment="1">
      <alignment horizontal="center"/>
    </xf>
    <xf numFmtId="0" fontId="158" fillId="0" borderId="0" xfId="0" applyFont="1" applyAlignment="1">
      <alignment horizontal="center"/>
    </xf>
    <xf numFmtId="173" fontId="132" fillId="0" borderId="0" xfId="2" applyNumberFormat="1" applyFont="1" applyAlignment="1">
      <alignment horizontal="center"/>
    </xf>
    <xf numFmtId="173" fontId="130" fillId="0" borderId="0" xfId="2" applyNumberFormat="1" applyFont="1" applyAlignment="1">
      <alignment horizontal="center"/>
    </xf>
    <xf numFmtId="0" fontId="130" fillId="0" borderId="0" xfId="0" applyFont="1" applyAlignment="1">
      <alignment horizontal="center"/>
    </xf>
    <xf numFmtId="165" fontId="132" fillId="0" borderId="0" xfId="7" applyNumberFormat="1" applyFont="1" applyAlignment="1">
      <alignment horizontal="center"/>
    </xf>
    <xf numFmtId="0" fontId="0" fillId="0" borderId="0" xfId="0" applyAlignment="1">
      <alignment horizontal="center"/>
    </xf>
    <xf numFmtId="0" fontId="136" fillId="0" borderId="0" xfId="0" applyFont="1" applyAlignment="1">
      <alignment horizontal="left" vertical="center" wrapText="1" indent="1"/>
    </xf>
    <xf numFmtId="0" fontId="156" fillId="0" borderId="0" xfId="0" applyFont="1" applyAlignment="1">
      <alignment horizontal="left" vertical="center" wrapText="1" indent="1"/>
    </xf>
    <xf numFmtId="3" fontId="132" fillId="0" borderId="0" xfId="2" applyNumberFormat="1" applyFont="1" applyAlignment="1">
      <alignment horizontal="center"/>
    </xf>
    <xf numFmtId="165" fontId="0" fillId="0" borderId="0" xfId="7" applyNumberFormat="1" applyFont="1" applyAlignment="1">
      <alignment horizontal="center"/>
    </xf>
    <xf numFmtId="173" fontId="132" fillId="0" borderId="0" xfId="7" applyNumberFormat="1" applyFont="1" applyAlignment="1">
      <alignment horizontal="center"/>
    </xf>
    <xf numFmtId="173" fontId="0" fillId="0" borderId="0" xfId="0" applyNumberFormat="1" applyAlignment="1">
      <alignment horizontal="center"/>
    </xf>
    <xf numFmtId="173" fontId="132" fillId="0" borderId="0" xfId="0" applyNumberFormat="1" applyFont="1" applyAlignment="1">
      <alignment horizontal="center" wrapText="1"/>
    </xf>
    <xf numFmtId="0" fontId="158" fillId="0" borderId="0" xfId="0" applyFont="1" applyAlignment="1">
      <alignment horizontal="center" wrapText="1"/>
    </xf>
    <xf numFmtId="0" fontId="1" fillId="0" borderId="0" xfId="0" applyFont="1" applyAlignment="1">
      <alignment horizontal="left" vertical="center" wrapText="1" indent="1"/>
    </xf>
    <xf numFmtId="173" fontId="132" fillId="0" borderId="0" xfId="0" applyNumberFormat="1" applyFont="1" applyAlignment="1">
      <alignment horizontal="center"/>
    </xf>
    <xf numFmtId="0" fontId="7" fillId="0" borderId="42" xfId="0" applyFont="1" applyBorder="1" applyAlignment="1">
      <alignment horizontal="center"/>
    </xf>
    <xf numFmtId="0" fontId="9" fillId="0" borderId="21" xfId="0" applyFont="1" applyBorder="1" applyAlignment="1">
      <alignment horizontal="center"/>
    </xf>
    <xf numFmtId="0" fontId="2" fillId="0" borderId="12" xfId="0" applyFont="1" applyBorder="1" applyAlignment="1">
      <alignment horizontal="center"/>
    </xf>
    <xf numFmtId="0" fontId="2" fillId="0" borderId="7" xfId="0" applyFont="1" applyBorder="1" applyAlignment="1">
      <alignment horizontal="center"/>
    </xf>
    <xf numFmtId="0" fontId="2" fillId="0" borderId="16" xfId="0" applyFont="1" applyBorder="1" applyAlignment="1">
      <alignment horizontal="center"/>
    </xf>
    <xf numFmtId="0" fontId="5" fillId="0" borderId="0" xfId="0" applyFont="1" applyAlignment="1">
      <alignment horizontal="center"/>
    </xf>
    <xf numFmtId="0" fontId="8" fillId="47" borderId="44" xfId="0" applyFont="1" applyFill="1" applyBorder="1" applyAlignment="1">
      <alignment horizontal="center"/>
    </xf>
    <xf numFmtId="0" fontId="8" fillId="47" borderId="0" xfId="0" applyFont="1" applyFill="1" applyBorder="1" applyAlignment="1">
      <alignment horizontal="center"/>
    </xf>
    <xf numFmtId="0" fontId="8" fillId="48" borderId="32" xfId="0" applyFont="1" applyFill="1" applyBorder="1" applyAlignment="1">
      <alignment horizontal="center"/>
    </xf>
    <xf numFmtId="0" fontId="8" fillId="48" borderId="0" xfId="0" applyFont="1" applyFill="1" applyBorder="1" applyAlignment="1">
      <alignment horizontal="center"/>
    </xf>
    <xf numFmtId="0" fontId="8" fillId="48" borderId="24" xfId="0" applyFont="1" applyFill="1" applyBorder="1" applyAlignment="1">
      <alignment horizontal="center"/>
    </xf>
    <xf numFmtId="0" fontId="8" fillId="53" borderId="0" xfId="0" applyFont="1" applyFill="1" applyBorder="1" applyAlignment="1">
      <alignment horizontal="center"/>
    </xf>
    <xf numFmtId="0" fontId="8" fillId="53" borderId="10" xfId="0" applyFont="1" applyFill="1" applyBorder="1" applyAlignment="1">
      <alignment horizontal="center"/>
    </xf>
    <xf numFmtId="0" fontId="8" fillId="21" borderId="32" xfId="0" applyFont="1" applyFill="1" applyBorder="1" applyAlignment="1">
      <alignment horizontal="center" vertical="center" wrapText="1"/>
    </xf>
    <xf numFmtId="0" fontId="8" fillId="21" borderId="0" xfId="0" applyFont="1" applyFill="1" applyBorder="1" applyAlignment="1">
      <alignment horizontal="center" vertical="center" wrapText="1"/>
    </xf>
    <xf numFmtId="0" fontId="8" fillId="21" borderId="24" xfId="0" applyFont="1" applyFill="1" applyBorder="1" applyAlignment="1">
      <alignment horizontal="center" vertical="center" wrapText="1"/>
    </xf>
    <xf numFmtId="0" fontId="0" fillId="21" borderId="42" xfId="0" applyFill="1" applyBorder="1" applyAlignment="1">
      <alignment horizontal="center" vertical="center" wrapText="1"/>
    </xf>
    <xf numFmtId="0" fontId="0" fillId="21" borderId="21" xfId="0" applyFill="1" applyBorder="1" applyAlignment="1">
      <alignment horizontal="center" vertical="center" wrapText="1"/>
    </xf>
    <xf numFmtId="0" fontId="0" fillId="21" borderId="25" xfId="0" applyFill="1" applyBorder="1" applyAlignment="1">
      <alignment horizontal="center" vertical="center" wrapText="1"/>
    </xf>
    <xf numFmtId="0" fontId="7" fillId="0" borderId="25" xfId="0" applyFont="1" applyBorder="1" applyAlignment="1">
      <alignment horizontal="center"/>
    </xf>
    <xf numFmtId="0" fontId="4" fillId="53" borderId="33" xfId="0" applyFont="1" applyFill="1" applyBorder="1" applyAlignment="1">
      <alignment horizontal="center" wrapText="1"/>
    </xf>
    <xf numFmtId="0" fontId="0" fillId="53" borderId="18" xfId="0" applyFill="1" applyBorder="1" applyAlignment="1">
      <alignment horizontal="center" wrapText="1"/>
    </xf>
    <xf numFmtId="0" fontId="0" fillId="53" borderId="17" xfId="0" applyFill="1" applyBorder="1" applyAlignment="1">
      <alignment horizontal="center" wrapText="1"/>
    </xf>
    <xf numFmtId="0" fontId="6" fillId="53" borderId="32" xfId="0" applyFont="1" applyFill="1" applyBorder="1" applyAlignment="1">
      <alignment horizontal="left" vertical="center" wrapText="1" indent="1"/>
    </xf>
    <xf numFmtId="0" fontId="0" fillId="53" borderId="0" xfId="0" applyFill="1" applyBorder="1" applyAlignment="1">
      <alignment horizontal="left" vertical="center" wrapText="1" indent="1"/>
    </xf>
    <xf numFmtId="0" fontId="0" fillId="53" borderId="25" xfId="0" applyFill="1" applyBorder="1" applyAlignment="1">
      <alignment horizontal="left" vertical="center" wrapText="1" indent="1"/>
    </xf>
    <xf numFmtId="0" fontId="7" fillId="0" borderId="36" xfId="0" applyFont="1" applyBorder="1" applyAlignment="1">
      <alignment horizontal="center"/>
    </xf>
    <xf numFmtId="0" fontId="9" fillId="0" borderId="36" xfId="0" applyFont="1" applyBorder="1" applyAlignment="1">
      <alignment horizontal="center"/>
    </xf>
    <xf numFmtId="0" fontId="10" fillId="0" borderId="0" xfId="0" applyFont="1" applyAlignment="1">
      <alignment horizontal="left" vertical="center" wrapText="1" indent="1"/>
    </xf>
    <xf numFmtId="0" fontId="6" fillId="47" borderId="32" xfId="0" applyFont="1" applyFill="1" applyBorder="1" applyAlignment="1">
      <alignment horizontal="left" vertical="center" wrapText="1" indent="1"/>
    </xf>
    <xf numFmtId="0" fontId="4" fillId="0" borderId="33"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0" fontId="1" fillId="0" borderId="33" xfId="0" applyFont="1" applyBorder="1" applyAlignment="1">
      <alignment horizontal="center" vertical="center" wrapText="1"/>
    </xf>
    <xf numFmtId="0" fontId="5" fillId="0" borderId="18" xfId="0" applyFont="1" applyBorder="1" applyAlignment="1">
      <alignment horizontal="center" vertical="center" wrapText="1"/>
    </xf>
    <xf numFmtId="173" fontId="6" fillId="47" borderId="33" xfId="2" applyNumberFormat="1" applyFont="1" applyFill="1" applyBorder="1" applyAlignment="1">
      <alignment horizontal="left" vertical="center" wrapText="1" indent="1"/>
    </xf>
    <xf numFmtId="0" fontId="0" fillId="47" borderId="18" xfId="0" applyFill="1" applyBorder="1" applyAlignment="1">
      <alignment horizontal="left" vertical="center" wrapText="1" indent="1"/>
    </xf>
    <xf numFmtId="0" fontId="0" fillId="47" borderId="32" xfId="0" applyFill="1" applyBorder="1" applyAlignment="1">
      <alignment horizontal="left" vertical="center" wrapText="1" indent="1"/>
    </xf>
    <xf numFmtId="0" fontId="0" fillId="47" borderId="0" xfId="0" applyFill="1" applyBorder="1" applyAlignment="1">
      <alignment horizontal="left" vertical="center" wrapText="1" indent="1"/>
    </xf>
    <xf numFmtId="0" fontId="0" fillId="47" borderId="42" xfId="0" applyFill="1" applyBorder="1" applyAlignment="1">
      <alignment horizontal="left" vertical="center" wrapText="1" indent="1"/>
    </xf>
    <xf numFmtId="0" fontId="0" fillId="47" borderId="21" xfId="0" applyFill="1" applyBorder="1" applyAlignment="1">
      <alignment horizontal="left" vertical="center" wrapText="1" indent="1"/>
    </xf>
    <xf numFmtId="173" fontId="6" fillId="48" borderId="33" xfId="2" applyNumberFormat="1" applyFont="1" applyFill="1" applyBorder="1" applyAlignment="1">
      <alignment horizontal="left" vertical="center" wrapText="1" indent="1"/>
    </xf>
    <xf numFmtId="0" fontId="0" fillId="48" borderId="18" xfId="0" applyFill="1" applyBorder="1" applyAlignment="1">
      <alignment horizontal="left" vertical="center" wrapText="1"/>
    </xf>
    <xf numFmtId="0" fontId="0" fillId="48" borderId="32" xfId="0" applyFill="1" applyBorder="1" applyAlignment="1">
      <alignment horizontal="left" vertical="center" wrapText="1"/>
    </xf>
    <xf numFmtId="0" fontId="0" fillId="48" borderId="0" xfId="0" applyFill="1" applyBorder="1" applyAlignment="1">
      <alignment horizontal="left" vertical="center" wrapText="1"/>
    </xf>
    <xf numFmtId="0" fontId="0" fillId="48" borderId="42" xfId="0" applyFill="1" applyBorder="1" applyAlignment="1">
      <alignment horizontal="left" vertical="center" wrapText="1"/>
    </xf>
    <xf numFmtId="0" fontId="0" fillId="48" borderId="21" xfId="0" applyFill="1" applyBorder="1" applyAlignment="1">
      <alignment horizontal="left" vertical="center" wrapText="1"/>
    </xf>
    <xf numFmtId="173" fontId="6" fillId="0" borderId="0" xfId="2" applyNumberFormat="1" applyFont="1" applyBorder="1" applyAlignment="1">
      <alignment horizontal="left" vertical="center" wrapText="1" indent="1"/>
    </xf>
    <xf numFmtId="0" fontId="6" fillId="55" borderId="33" xfId="0" applyFont="1" applyFill="1" applyBorder="1" applyAlignment="1">
      <alignment horizontal="center" vertical="center" wrapText="1"/>
    </xf>
    <xf numFmtId="0" fontId="6" fillId="21" borderId="0" xfId="0" applyFont="1" applyFill="1" applyBorder="1" applyAlignment="1">
      <alignment horizontal="center" vertical="center" wrapText="1"/>
    </xf>
    <xf numFmtId="0" fontId="0" fillId="21" borderId="0" xfId="0" applyFill="1" applyBorder="1" applyAlignment="1">
      <alignment horizontal="center" vertical="center" wrapText="1"/>
    </xf>
    <xf numFmtId="0" fontId="0" fillId="21" borderId="24" xfId="0" applyFill="1" applyBorder="1" applyAlignment="1">
      <alignment horizontal="center" vertical="center" wrapText="1"/>
    </xf>
    <xf numFmtId="0" fontId="4" fillId="55" borderId="54" xfId="0" applyFont="1" applyFill="1" applyBorder="1" applyAlignment="1">
      <alignment horizontal="center" vertical="center" wrapText="1"/>
    </xf>
    <xf numFmtId="0" fontId="0" fillId="0" borderId="8" xfId="0" applyBorder="1" applyAlignment="1">
      <alignment vertical="center"/>
    </xf>
    <xf numFmtId="0" fontId="0" fillId="0" borderId="23" xfId="0" applyBorder="1" applyAlignment="1">
      <alignment vertical="center"/>
    </xf>
    <xf numFmtId="0" fontId="0" fillId="0" borderId="42" xfId="0" applyBorder="1" applyAlignment="1">
      <alignment vertical="center"/>
    </xf>
    <xf numFmtId="0" fontId="0" fillId="0" borderId="21" xfId="0" applyBorder="1" applyAlignment="1">
      <alignment vertical="center"/>
    </xf>
    <xf numFmtId="0" fontId="0" fillId="0" borderId="25" xfId="0" applyBorder="1" applyAlignment="1">
      <alignment vertical="center"/>
    </xf>
    <xf numFmtId="0" fontId="0" fillId="47" borderId="59" xfId="0" applyFill="1" applyBorder="1" applyAlignment="1">
      <alignment horizontal="left" vertical="center" wrapText="1" indent="1"/>
    </xf>
    <xf numFmtId="0" fontId="0" fillId="47" borderId="10" xfId="0" applyFill="1" applyBorder="1" applyAlignment="1">
      <alignment horizontal="left" vertical="center" wrapText="1" indent="1"/>
    </xf>
    <xf numFmtId="0" fontId="0" fillId="48" borderId="59" xfId="0" applyFill="1" applyBorder="1" applyAlignment="1">
      <alignment horizontal="left" vertical="center" wrapText="1" indent="1"/>
    </xf>
    <xf numFmtId="0" fontId="0" fillId="48" borderId="32" xfId="0" applyFill="1" applyBorder="1" applyAlignment="1">
      <alignment horizontal="left" vertical="center" wrapText="1" indent="1"/>
    </xf>
    <xf numFmtId="0" fontId="0" fillId="48" borderId="10" xfId="0" applyFill="1" applyBorder="1" applyAlignment="1">
      <alignment horizontal="left" vertical="center" wrapText="1" indent="1"/>
    </xf>
    <xf numFmtId="0" fontId="4" fillId="0" borderId="43" xfId="0" applyFont="1" applyBorder="1" applyAlignment="1">
      <alignment wrapText="1"/>
    </xf>
    <xf numFmtId="0" fontId="0" fillId="0" borderId="8" xfId="0" applyBorder="1" applyAlignment="1">
      <alignment wrapText="1"/>
    </xf>
    <xf numFmtId="0" fontId="0" fillId="0" borderId="44" xfId="0" applyBorder="1" applyAlignment="1">
      <alignment wrapText="1"/>
    </xf>
    <xf numFmtId="0" fontId="0" fillId="0" borderId="0" xfId="0" applyBorder="1" applyAlignment="1">
      <alignment wrapText="1"/>
    </xf>
    <xf numFmtId="0" fontId="1" fillId="47" borderId="33" xfId="0" applyFont="1" applyFill="1" applyBorder="1" applyAlignment="1">
      <alignment horizontal="center" vertical="center" wrapText="1"/>
    </xf>
    <xf numFmtId="0" fontId="0" fillId="47" borderId="18" xfId="0" applyFill="1" applyBorder="1" applyAlignment="1">
      <alignment horizontal="center" vertical="center" wrapText="1"/>
    </xf>
    <xf numFmtId="0" fontId="0" fillId="47" borderId="17" xfId="0" applyFill="1" applyBorder="1" applyAlignment="1">
      <alignment horizontal="center" vertical="center" wrapText="1"/>
    </xf>
    <xf numFmtId="0" fontId="0" fillId="47" borderId="32" xfId="0" applyFill="1" applyBorder="1" applyAlignment="1">
      <alignment horizontal="center" vertical="center" wrapText="1"/>
    </xf>
    <xf numFmtId="0" fontId="0" fillId="47" borderId="0" xfId="0" applyFill="1" applyBorder="1" applyAlignment="1">
      <alignment horizontal="center" vertical="center" wrapText="1"/>
    </xf>
    <xf numFmtId="0" fontId="0" fillId="47" borderId="24" xfId="0" applyFill="1" applyBorder="1" applyAlignment="1">
      <alignment horizontal="center" vertical="center" wrapText="1"/>
    </xf>
    <xf numFmtId="0" fontId="1" fillId="47" borderId="32" xfId="0" applyFont="1" applyFill="1" applyBorder="1" applyAlignment="1">
      <alignment horizontal="left" vertical="center" wrapText="1" indent="1"/>
    </xf>
    <xf numFmtId="0" fontId="8" fillId="0" borderId="0" xfId="0" applyFont="1" applyAlignment="1">
      <alignment horizontal="center"/>
    </xf>
    <xf numFmtId="0" fontId="6" fillId="0" borderId="0" xfId="0" applyFont="1" applyAlignment="1">
      <alignment vertical="center" wrapText="1"/>
    </xf>
    <xf numFmtId="0" fontId="10" fillId="0" borderId="0" xfId="0" applyFont="1" applyAlignment="1">
      <alignment horizontal="left" vertical="center" wrapText="1" indent="2"/>
    </xf>
    <xf numFmtId="0" fontId="6" fillId="2" borderId="33" xfId="0" applyFont="1" applyFill="1"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32" xfId="0" applyBorder="1" applyAlignment="1">
      <alignment horizontal="left" vertical="center" wrapText="1"/>
    </xf>
    <xf numFmtId="0" fontId="0" fillId="0" borderId="24" xfId="0" applyBorder="1" applyAlignment="1">
      <alignment horizontal="left" vertical="center" wrapText="1"/>
    </xf>
    <xf numFmtId="0" fontId="5" fillId="0" borderId="32" xfId="0" applyFont="1" applyBorder="1" applyAlignment="1">
      <alignment horizontal="left" vertical="center" wrapText="1" indent="1"/>
    </xf>
    <xf numFmtId="0" fontId="0" fillId="0" borderId="32" xfId="0" applyBorder="1" applyAlignment="1">
      <alignment horizontal="left" wrapText="1" indent="1"/>
    </xf>
    <xf numFmtId="0" fontId="0" fillId="0" borderId="0" xfId="0" applyBorder="1" applyAlignment="1">
      <alignment horizontal="left" wrapText="1" indent="1"/>
    </xf>
    <xf numFmtId="0" fontId="0" fillId="0" borderId="24" xfId="0" applyBorder="1" applyAlignment="1">
      <alignment horizontal="left" wrapText="1" indent="1"/>
    </xf>
    <xf numFmtId="0" fontId="0" fillId="0" borderId="42" xfId="0" applyBorder="1" applyAlignment="1">
      <alignment horizontal="left" wrapText="1" indent="1"/>
    </xf>
    <xf numFmtId="0" fontId="0" fillId="0" borderId="21" xfId="0" applyBorder="1" applyAlignment="1">
      <alignment horizontal="left" wrapText="1" indent="1"/>
    </xf>
    <xf numFmtId="0" fontId="0" fillId="0" borderId="25" xfId="0" applyBorder="1" applyAlignment="1">
      <alignment horizontal="left" wrapText="1" indent="1"/>
    </xf>
    <xf numFmtId="0" fontId="22" fillId="0" borderId="0" xfId="0" applyFont="1" applyAlignment="1">
      <alignment horizontal="left" vertical="center" wrapText="1" indent="2"/>
    </xf>
    <xf numFmtId="0" fontId="6" fillId="8" borderId="32" xfId="0" applyFont="1" applyFill="1" applyBorder="1" applyAlignment="1">
      <alignment horizontal="left" vertical="center" wrapText="1"/>
    </xf>
    <xf numFmtId="0" fontId="0" fillId="0" borderId="42"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horizontal="left" vertical="center" wrapText="1"/>
    </xf>
    <xf numFmtId="0" fontId="6" fillId="0" borderId="0" xfId="0" applyFont="1" applyAlignment="1">
      <alignment horizontal="left" wrapText="1" indent="3"/>
    </xf>
    <xf numFmtId="0" fontId="0" fillId="0" borderId="0" xfId="0" applyAlignment="1">
      <alignment horizontal="left" wrapText="1" indent="3"/>
    </xf>
    <xf numFmtId="0" fontId="9" fillId="8" borderId="33" xfId="0" applyFont="1" applyFill="1" applyBorder="1" applyAlignment="1">
      <alignment horizontal="center" vertical="center" wrapText="1"/>
    </xf>
    <xf numFmtId="0" fontId="0" fillId="8" borderId="17" xfId="0" applyFill="1" applyBorder="1" applyAlignment="1">
      <alignment horizontal="center" vertical="center" wrapText="1"/>
    </xf>
    <xf numFmtId="0" fontId="0" fillId="8" borderId="32" xfId="0" applyFill="1" applyBorder="1" applyAlignment="1">
      <alignment horizontal="center" vertical="center" wrapText="1"/>
    </xf>
    <xf numFmtId="0" fontId="0" fillId="8" borderId="24" xfId="0"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7" fillId="2" borderId="34" xfId="0" applyFont="1" applyFill="1" applyBorder="1" applyAlignment="1">
      <alignment horizontal="right" vertical="center" wrapText="1"/>
    </xf>
    <xf numFmtId="0" fontId="7" fillId="2" borderId="35" xfId="0" applyFont="1" applyFill="1" applyBorder="1" applyAlignment="1">
      <alignment horizontal="right" vertical="center" wrapText="1"/>
    </xf>
    <xf numFmtId="0" fontId="7" fillId="2" borderId="36" xfId="0" applyFont="1" applyFill="1" applyBorder="1" applyAlignment="1">
      <alignment horizontal="right" vertical="center" wrapText="1"/>
    </xf>
    <xf numFmtId="0" fontId="11" fillId="0" borderId="0" xfId="0" applyFont="1" applyAlignment="1">
      <alignment horizontal="left" vertical="center" wrapText="1" indent="2"/>
    </xf>
    <xf numFmtId="0" fontId="0" fillId="0" borderId="33" xfId="0" applyBorder="1" applyAlignment="1">
      <alignment horizontal="left" vertical="center" wrapText="1" indent="1"/>
    </xf>
    <xf numFmtId="0" fontId="10" fillId="0" borderId="0" xfId="0" applyFont="1" applyAlignment="1">
      <alignment horizontal="left" vertical="center" wrapText="1" indent="3"/>
    </xf>
    <xf numFmtId="0" fontId="6" fillId="0" borderId="0" xfId="0" applyFont="1" applyAlignment="1">
      <alignment horizontal="left" vertical="center" wrapText="1" indent="3"/>
    </xf>
    <xf numFmtId="0" fontId="11" fillId="0" borderId="0" xfId="0" applyFont="1" applyAlignment="1">
      <alignment horizontal="left" wrapText="1" indent="2"/>
    </xf>
    <xf numFmtId="0" fontId="0" fillId="0" borderId="0" xfId="0" applyAlignment="1">
      <alignment horizontal="left" wrapText="1" indent="2"/>
    </xf>
    <xf numFmtId="0" fontId="8" fillId="0" borderId="0" xfId="0" applyFont="1" applyAlignment="1">
      <alignment horizontal="left" vertical="center" wrapText="1"/>
    </xf>
    <xf numFmtId="0" fontId="11" fillId="0" borderId="0" xfId="0" applyFont="1" applyAlignment="1">
      <alignment horizontal="left" wrapText="1" indent="1"/>
    </xf>
    <xf numFmtId="0" fontId="0" fillId="0" borderId="0" xfId="0" applyAlignment="1">
      <alignment horizontal="left" wrapText="1" indent="1"/>
    </xf>
    <xf numFmtId="0" fontId="11" fillId="0" borderId="0" xfId="0" applyFont="1" applyAlignment="1">
      <alignment horizontal="left" vertical="center" wrapText="1" indent="1"/>
    </xf>
    <xf numFmtId="0" fontId="8" fillId="0" borderId="33" xfId="0" applyFont="1" applyBorder="1" applyAlignment="1">
      <alignment horizontal="center"/>
    </xf>
    <xf numFmtId="0" fontId="8" fillId="0" borderId="18" xfId="0" applyFont="1" applyBorder="1" applyAlignment="1">
      <alignment horizontal="center"/>
    </xf>
    <xf numFmtId="0" fontId="7" fillId="0" borderId="29" xfId="0" applyFont="1" applyBorder="1" applyAlignment="1">
      <alignment horizontal="center" wrapText="1"/>
    </xf>
    <xf numFmtId="0" fontId="0" fillId="0" borderId="29" xfId="0" applyBorder="1" applyAlignment="1">
      <alignment horizontal="center" wrapText="1"/>
    </xf>
    <xf numFmtId="0" fontId="1" fillId="0" borderId="29" xfId="0" applyFont="1" applyBorder="1" applyAlignment="1">
      <alignment horizontal="center"/>
    </xf>
    <xf numFmtId="0" fontId="22" fillId="0" borderId="0" xfId="0" applyFont="1" applyAlignment="1">
      <alignment horizontal="left" vertical="center" wrapText="1" indent="1"/>
    </xf>
    <xf numFmtId="0" fontId="10" fillId="2" borderId="33" xfId="0" applyFont="1" applyFill="1" applyBorder="1" applyAlignment="1">
      <alignment horizontal="left" vertical="center" wrapText="1" indent="1"/>
    </xf>
    <xf numFmtId="0" fontId="10" fillId="2" borderId="17" xfId="0" applyFont="1" applyFill="1" applyBorder="1" applyAlignment="1">
      <alignment horizontal="left" vertical="center" wrapText="1" indent="1"/>
    </xf>
    <xf numFmtId="0" fontId="10" fillId="2" borderId="32" xfId="0" applyFont="1" applyFill="1" applyBorder="1" applyAlignment="1">
      <alignment horizontal="left" vertical="center" wrapText="1" indent="1"/>
    </xf>
    <xf numFmtId="0" fontId="10" fillId="2" borderId="24" xfId="0" applyFont="1" applyFill="1" applyBorder="1" applyAlignment="1">
      <alignment horizontal="left" vertical="center" wrapText="1" indent="1"/>
    </xf>
    <xf numFmtId="0" fontId="10" fillId="2" borderId="42" xfId="0" applyFont="1" applyFill="1" applyBorder="1" applyAlignment="1">
      <alignment horizontal="left" vertical="center" wrapText="1" indent="1"/>
    </xf>
    <xf numFmtId="0" fontId="10" fillId="2" borderId="25" xfId="0" applyFont="1" applyFill="1" applyBorder="1" applyAlignment="1">
      <alignment horizontal="left" vertical="center" wrapText="1" indent="1"/>
    </xf>
    <xf numFmtId="0" fontId="1" fillId="0" borderId="0" xfId="0" applyFont="1" applyBorder="1" applyAlignment="1">
      <alignment horizontal="left" vertical="center" wrapText="1" indent="2"/>
    </xf>
    <xf numFmtId="0" fontId="7" fillId="2" borderId="34" xfId="0" applyFont="1" applyFill="1" applyBorder="1" applyAlignment="1">
      <alignment horizontal="right" vertical="center" wrapText="1" indent="1"/>
    </xf>
    <xf numFmtId="173" fontId="6" fillId="21" borderId="33" xfId="0" applyNumberFormat="1" applyFont="1" applyFill="1" applyBorder="1" applyAlignment="1">
      <alignment horizontal="center" vertical="center" wrapText="1"/>
    </xf>
    <xf numFmtId="0" fontId="0" fillId="21" borderId="17" xfId="0" applyFill="1" applyBorder="1" applyAlignment="1">
      <alignment horizontal="center" vertical="center" wrapText="1"/>
    </xf>
    <xf numFmtId="0" fontId="0" fillId="21" borderId="32" xfId="0" applyFill="1" applyBorder="1" applyAlignment="1">
      <alignment horizontal="center" vertical="center" wrapText="1"/>
    </xf>
    <xf numFmtId="9" fontId="0" fillId="0" borderId="37" xfId="0" applyNumberFormat="1" applyBorder="1" applyAlignment="1">
      <alignment horizontal="center" wrapText="1"/>
    </xf>
    <xf numFmtId="9" fontId="0" fillId="0" borderId="31" xfId="0" applyNumberFormat="1" applyBorder="1" applyAlignment="1">
      <alignment horizontal="center" wrapText="1"/>
    </xf>
    <xf numFmtId="0" fontId="6" fillId="25" borderId="33" xfId="0" applyFont="1" applyFill="1" applyBorder="1" applyAlignment="1">
      <alignment horizontal="left" vertical="center" wrapText="1" indent="1"/>
    </xf>
    <xf numFmtId="0" fontId="0" fillId="25" borderId="18" xfId="0" applyFill="1" applyBorder="1" applyAlignment="1">
      <alignment horizontal="left" vertical="center" wrapText="1" indent="1"/>
    </xf>
    <xf numFmtId="0" fontId="0" fillId="25" borderId="17" xfId="0" applyFill="1" applyBorder="1" applyAlignment="1">
      <alignment horizontal="left" vertical="center" wrapText="1" indent="1"/>
    </xf>
    <xf numFmtId="0" fontId="0" fillId="25" borderId="32" xfId="0" applyFill="1" applyBorder="1" applyAlignment="1">
      <alignment horizontal="left" vertical="center" wrapText="1" indent="1"/>
    </xf>
    <xf numFmtId="0" fontId="0" fillId="25" borderId="0" xfId="0" applyFill="1" applyBorder="1" applyAlignment="1">
      <alignment horizontal="left" vertical="center" wrapText="1" indent="1"/>
    </xf>
    <xf numFmtId="0" fontId="0" fillId="25" borderId="24" xfId="0" applyFill="1" applyBorder="1" applyAlignment="1">
      <alignment horizontal="left" vertical="center" wrapText="1" indent="1"/>
    </xf>
    <xf numFmtId="0" fontId="0" fillId="25" borderId="42" xfId="0" applyFill="1" applyBorder="1" applyAlignment="1">
      <alignment horizontal="left" vertical="center" wrapText="1" indent="1"/>
    </xf>
    <xf numFmtId="0" fontId="0" fillId="25" borderId="21" xfId="0" applyFill="1" applyBorder="1" applyAlignment="1">
      <alignment horizontal="left" vertical="center" wrapText="1" indent="1"/>
    </xf>
    <xf numFmtId="0" fontId="0" fillId="25" borderId="25" xfId="0" applyFill="1" applyBorder="1" applyAlignment="1">
      <alignment horizontal="left" vertical="center" wrapText="1" indent="1"/>
    </xf>
    <xf numFmtId="0" fontId="0" fillId="53" borderId="17" xfId="0" applyFill="1" applyBorder="1" applyAlignment="1">
      <alignment horizontal="left" vertical="center" wrapText="1" indent="1"/>
    </xf>
    <xf numFmtId="0" fontId="6" fillId="0" borderId="0" xfId="0" applyFont="1" applyAlignment="1">
      <alignment horizontal="left" wrapText="1" indent="2"/>
    </xf>
    <xf numFmtId="0" fontId="5" fillId="0" borderId="0" xfId="0" applyFont="1" applyAlignment="1">
      <alignment horizontal="left" vertical="center" wrapText="1" indent="3"/>
    </xf>
    <xf numFmtId="0" fontId="22" fillId="0" borderId="0" xfId="0" applyFont="1" applyAlignment="1">
      <alignment horizontal="left" wrapText="1" indent="2"/>
    </xf>
    <xf numFmtId="0" fontId="0" fillId="0" borderId="0" xfId="0" applyFill="1" applyBorder="1" applyAlignment="1">
      <alignment horizontal="left" wrapText="1" indent="1"/>
    </xf>
    <xf numFmtId="0" fontId="1" fillId="47" borderId="0" xfId="0" applyFont="1" applyFill="1" applyAlignment="1">
      <alignment vertical="center" wrapText="1"/>
    </xf>
    <xf numFmtId="0" fontId="0" fillId="47" borderId="0" xfId="0" applyFill="1" applyAlignment="1">
      <alignment vertical="center" wrapText="1"/>
    </xf>
    <xf numFmtId="0" fontId="1" fillId="47" borderId="29" xfId="0" applyFont="1" applyFill="1" applyBorder="1" applyAlignment="1">
      <alignment horizontal="right" vertical="center" wrapText="1"/>
    </xf>
    <xf numFmtId="0" fontId="0" fillId="47" borderId="29" xfId="0" applyFill="1" applyBorder="1" applyAlignment="1">
      <alignment horizontal="right" vertical="center" wrapText="1"/>
    </xf>
    <xf numFmtId="0" fontId="6" fillId="21" borderId="33" xfId="0" applyFont="1" applyFill="1" applyBorder="1" applyAlignment="1">
      <alignment horizontal="right" wrapText="1"/>
    </xf>
    <xf numFmtId="0" fontId="0" fillId="0" borderId="17" xfId="0" applyBorder="1" applyAlignment="1">
      <alignment horizontal="right" wrapText="1"/>
    </xf>
    <xf numFmtId="0" fontId="0" fillId="0" borderId="32" xfId="0" applyBorder="1" applyAlignment="1">
      <alignment horizontal="right" wrapText="1"/>
    </xf>
    <xf numFmtId="0" fontId="0" fillId="0" borderId="24" xfId="0" applyBorder="1" applyAlignment="1">
      <alignment horizontal="right" wrapText="1"/>
    </xf>
    <xf numFmtId="0" fontId="0" fillId="0" borderId="42" xfId="0" applyBorder="1" applyAlignment="1">
      <alignment horizontal="right" wrapText="1"/>
    </xf>
    <xf numFmtId="0" fontId="0" fillId="0" borderId="25" xfId="0" applyBorder="1" applyAlignment="1">
      <alignment horizontal="right" wrapText="1"/>
    </xf>
    <xf numFmtId="0" fontId="4" fillId="0" borderId="0" xfId="0" applyFont="1" applyAlignment="1">
      <alignment horizontal="right" wrapText="1"/>
    </xf>
    <xf numFmtId="0" fontId="6" fillId="21" borderId="33" xfId="0" applyFont="1" applyFill="1" applyBorder="1" applyAlignment="1">
      <alignment horizontal="right" vertical="center" wrapText="1"/>
    </xf>
    <xf numFmtId="0" fontId="0" fillId="0" borderId="17" xfId="0" applyBorder="1" applyAlignment="1">
      <alignment horizontal="right" vertical="center" wrapText="1"/>
    </xf>
    <xf numFmtId="0" fontId="0" fillId="0" borderId="32" xfId="0" applyBorder="1" applyAlignment="1">
      <alignment horizontal="right" vertical="center" wrapText="1"/>
    </xf>
    <xf numFmtId="0" fontId="0" fillId="0" borderId="24" xfId="0" applyBorder="1" applyAlignment="1">
      <alignment horizontal="right" vertical="center" wrapText="1"/>
    </xf>
    <xf numFmtId="0" fontId="0" fillId="0" borderId="42" xfId="0" applyBorder="1" applyAlignment="1">
      <alignment horizontal="right" vertical="center" wrapText="1"/>
    </xf>
    <xf numFmtId="0" fontId="0" fillId="0" borderId="25" xfId="0" applyBorder="1" applyAlignment="1">
      <alignment horizontal="right" vertical="center" wrapText="1"/>
    </xf>
    <xf numFmtId="0" fontId="10" fillId="0" borderId="0" xfId="0" applyFont="1" applyAlignment="1">
      <alignment vertical="center" wrapText="1"/>
    </xf>
    <xf numFmtId="0" fontId="7" fillId="21" borderId="33" xfId="0" applyFont="1" applyFill="1" applyBorder="1" applyAlignment="1">
      <alignment horizontal="right" wrapText="1"/>
    </xf>
    <xf numFmtId="0" fontId="4" fillId="21" borderId="17" xfId="0" applyFont="1" applyFill="1" applyBorder="1" applyAlignment="1">
      <alignment horizontal="right" wrapText="1"/>
    </xf>
    <xf numFmtId="0" fontId="4" fillId="21" borderId="42" xfId="0" applyFont="1" applyFill="1" applyBorder="1" applyAlignment="1">
      <alignment horizontal="right" wrapText="1"/>
    </xf>
    <xf numFmtId="0" fontId="4" fillId="21" borderId="25" xfId="0" applyFont="1" applyFill="1" applyBorder="1" applyAlignment="1">
      <alignment horizontal="right" wrapText="1"/>
    </xf>
    <xf numFmtId="0" fontId="0" fillId="21" borderId="17" xfId="0" applyFill="1" applyBorder="1" applyAlignment="1">
      <alignment horizontal="right" wrapText="1"/>
    </xf>
    <xf numFmtId="0" fontId="0" fillId="21" borderId="42" xfId="0" applyFill="1" applyBorder="1" applyAlignment="1">
      <alignment horizontal="right" wrapText="1"/>
    </xf>
    <xf numFmtId="0" fontId="0" fillId="21" borderId="25" xfId="0" applyFill="1" applyBorder="1" applyAlignment="1">
      <alignment horizontal="right" wrapText="1"/>
    </xf>
    <xf numFmtId="0" fontId="4" fillId="0" borderId="0" xfId="0" applyFont="1" applyAlignment="1">
      <alignment horizontal="left" vertical="center" wrapText="1" indent="1"/>
    </xf>
    <xf numFmtId="0" fontId="0" fillId="21" borderId="17" xfId="0" applyFill="1" applyBorder="1" applyAlignment="1">
      <alignment horizontal="right" vertical="center" wrapText="1"/>
    </xf>
    <xf numFmtId="0" fontId="0" fillId="21" borderId="32" xfId="0" applyFill="1" applyBorder="1" applyAlignment="1">
      <alignment horizontal="right" vertical="center" wrapText="1"/>
    </xf>
    <xf numFmtId="0" fontId="0" fillId="21" borderId="24" xfId="0" applyFill="1" applyBorder="1" applyAlignment="1">
      <alignment horizontal="right" vertical="center" wrapText="1"/>
    </xf>
    <xf numFmtId="0" fontId="0" fillId="21" borderId="42" xfId="0" applyFill="1" applyBorder="1" applyAlignment="1">
      <alignment horizontal="right" vertical="center" wrapText="1"/>
    </xf>
    <xf numFmtId="0" fontId="0" fillId="21" borderId="25" xfId="0" applyFill="1" applyBorder="1" applyAlignment="1">
      <alignment horizontal="right" vertical="center" wrapText="1"/>
    </xf>
    <xf numFmtId="0" fontId="7" fillId="0" borderId="0" xfId="0" applyFont="1" applyAlignment="1">
      <alignment horizontal="center" wrapText="1"/>
    </xf>
    <xf numFmtId="0" fontId="0" fillId="0" borderId="0" xfId="0" applyAlignment="1">
      <alignment horizontal="center" wrapText="1"/>
    </xf>
    <xf numFmtId="0" fontId="8" fillId="8" borderId="43" xfId="0" applyFont="1"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0" fillId="8" borderId="45" xfId="0" applyFill="1" applyBorder="1" applyAlignment="1">
      <alignment horizontal="center" vertical="center" wrapText="1"/>
    </xf>
    <xf numFmtId="0" fontId="0" fillId="8" borderId="1" xfId="0" applyFill="1" applyBorder="1" applyAlignment="1">
      <alignment horizontal="center" vertical="center" wrapText="1"/>
    </xf>
    <xf numFmtId="0" fontId="0" fillId="8" borderId="11" xfId="0" applyFill="1" applyBorder="1" applyAlignment="1">
      <alignment horizontal="center" vertical="center" wrapText="1"/>
    </xf>
    <xf numFmtId="0" fontId="31" fillId="0" borderId="0" xfId="0" applyFont="1" applyAlignment="1">
      <alignment horizontal="left" vertical="center" wrapText="1" indent="1"/>
    </xf>
    <xf numFmtId="9" fontId="0" fillId="0" borderId="0" xfId="7" applyFont="1" applyAlignment="1">
      <alignment horizontal="left" vertical="center" wrapText="1" indent="1"/>
    </xf>
    <xf numFmtId="49" fontId="4" fillId="0" borderId="0" xfId="0" applyNumberFormat="1" applyFont="1" applyAlignment="1">
      <alignment horizontal="center"/>
    </xf>
    <xf numFmtId="49" fontId="8" fillId="0" borderId="0" xfId="0" applyNumberFormat="1" applyFont="1" applyAlignment="1">
      <alignment horizontal="center"/>
    </xf>
    <xf numFmtId="2" fontId="5" fillId="0" borderId="0" xfId="0" applyNumberFormat="1" applyFont="1" applyAlignment="1">
      <alignment horizontal="center"/>
    </xf>
    <xf numFmtId="2" fontId="0" fillId="0" borderId="0" xfId="0" applyNumberFormat="1" applyAlignment="1">
      <alignment horizontal="center"/>
    </xf>
    <xf numFmtId="2" fontId="6" fillId="0" borderId="0" xfId="0" applyNumberFormat="1" applyFont="1" applyAlignment="1">
      <alignment horizontal="left" wrapText="1" indent="1"/>
    </xf>
    <xf numFmtId="0" fontId="6" fillId="0" borderId="33" xfId="0" applyFont="1" applyBorder="1" applyAlignment="1">
      <alignment horizontal="center" wrapText="1"/>
    </xf>
    <xf numFmtId="0" fontId="6" fillId="0" borderId="17" xfId="0" applyFont="1" applyBorder="1" applyAlignment="1">
      <alignment horizontal="center" wrapText="1"/>
    </xf>
    <xf numFmtId="0" fontId="6" fillId="0" borderId="42" xfId="0" applyFont="1" applyBorder="1" applyAlignment="1">
      <alignment horizontal="center" wrapText="1"/>
    </xf>
    <xf numFmtId="0" fontId="6" fillId="0" borderId="25" xfId="0" applyFont="1" applyBorder="1" applyAlignment="1">
      <alignment horizontal="center" wrapText="1"/>
    </xf>
    <xf numFmtId="0" fontId="6" fillId="0" borderId="34" xfId="0" applyFont="1" applyBorder="1" applyAlignment="1">
      <alignment horizontal="right" wrapText="1"/>
    </xf>
    <xf numFmtId="0" fontId="0" fillId="0" borderId="35" xfId="0" applyBorder="1" applyAlignment="1">
      <alignment wrapText="1"/>
    </xf>
    <xf numFmtId="0" fontId="6" fillId="0" borderId="0" xfId="0" applyFont="1" applyAlignment="1">
      <alignment horizontal="right" vertical="center" wrapText="1"/>
    </xf>
    <xf numFmtId="0" fontId="10" fillId="11" borderId="0" xfId="0" applyFont="1" applyFill="1" applyAlignment="1">
      <alignment horizontal="left" vertical="center" wrapText="1" indent="1"/>
    </xf>
    <xf numFmtId="0" fontId="30" fillId="0" borderId="0" xfId="0" applyFont="1" applyAlignment="1">
      <alignment horizontal="left" vertical="center" wrapText="1" indent="1"/>
    </xf>
    <xf numFmtId="0" fontId="0" fillId="0" borderId="0" xfId="0" applyBorder="1" applyAlignment="1">
      <alignment horizontal="center" wrapText="1"/>
    </xf>
    <xf numFmtId="0" fontId="9" fillId="0" borderId="0" xfId="0" applyFont="1" applyBorder="1" applyAlignment="1">
      <alignment horizontal="center"/>
    </xf>
    <xf numFmtId="0" fontId="9" fillId="0" borderId="10" xfId="0" applyFont="1" applyBorder="1" applyAlignment="1">
      <alignment horizontal="center"/>
    </xf>
    <xf numFmtId="0" fontId="8" fillId="0" borderId="43" xfId="0" applyFont="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44" xfId="0" applyBorder="1" applyAlignment="1">
      <alignment horizontal="center" wrapText="1"/>
    </xf>
    <xf numFmtId="0" fontId="0" fillId="0" borderId="10" xfId="0" applyBorder="1" applyAlignment="1">
      <alignment horizontal="center" wrapText="1"/>
    </xf>
    <xf numFmtId="0" fontId="9" fillId="0" borderId="37" xfId="0" applyFont="1" applyBorder="1" applyAlignment="1">
      <alignment horizontal="center" vertical="center" wrapText="1"/>
    </xf>
    <xf numFmtId="0" fontId="9" fillId="0" borderId="33" xfId="0" applyFont="1" applyFill="1" applyBorder="1" applyAlignment="1">
      <alignment horizontal="center" vertical="center" wrapText="1"/>
    </xf>
    <xf numFmtId="9" fontId="0" fillId="0" borderId="0" xfId="0" applyNumberFormat="1" applyAlignment="1">
      <alignment horizontal="center"/>
    </xf>
    <xf numFmtId="0" fontId="5" fillId="0" borderId="33" xfId="0" applyFont="1" applyBorder="1" applyAlignment="1">
      <alignment horizontal="left" vertical="center" wrapText="1" indent="1"/>
    </xf>
    <xf numFmtId="0" fontId="5" fillId="0" borderId="18" xfId="0" applyFont="1" applyBorder="1" applyAlignment="1">
      <alignment horizontal="left" vertical="center" wrapText="1" indent="1"/>
    </xf>
    <xf numFmtId="0" fontId="5" fillId="0" borderId="17"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24" xfId="0" applyFont="1" applyBorder="1" applyAlignment="1">
      <alignment horizontal="left" vertical="center" wrapText="1" indent="1"/>
    </xf>
    <xf numFmtId="0" fontId="5" fillId="0" borderId="42"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25" xfId="0" applyFont="1" applyBorder="1" applyAlignment="1">
      <alignment horizontal="left" vertical="center" wrapText="1" indent="1"/>
    </xf>
    <xf numFmtId="166" fontId="8" fillId="0" borderId="0" xfId="0" applyNumberFormat="1" applyFont="1" applyAlignment="1">
      <alignment horizontal="center"/>
    </xf>
    <xf numFmtId="0" fontId="6" fillId="0" borderId="33" xfId="0" applyFont="1" applyBorder="1" applyAlignment="1">
      <alignment vertical="center" wrapText="1"/>
    </xf>
    <xf numFmtId="0" fontId="0" fillId="0" borderId="18" xfId="0" applyBorder="1" applyAlignment="1">
      <alignment vertical="center" wrapText="1"/>
    </xf>
    <xf numFmtId="0" fontId="0" fillId="0" borderId="17" xfId="0" applyBorder="1" applyAlignment="1">
      <alignment vertical="center" wrapText="1"/>
    </xf>
    <xf numFmtId="0" fontId="0" fillId="0" borderId="32" xfId="0" applyBorder="1" applyAlignment="1">
      <alignment vertical="center" wrapText="1"/>
    </xf>
    <xf numFmtId="0" fontId="0" fillId="0" borderId="24" xfId="0" applyBorder="1" applyAlignment="1">
      <alignment vertical="center" wrapText="1"/>
    </xf>
    <xf numFmtId="0" fontId="0" fillId="0" borderId="42" xfId="0" applyBorder="1" applyAlignment="1">
      <alignment vertical="center" wrapText="1"/>
    </xf>
    <xf numFmtId="0" fontId="0" fillId="0" borderId="21" xfId="0" applyBorder="1" applyAlignment="1">
      <alignment vertical="center" wrapText="1"/>
    </xf>
    <xf numFmtId="0" fontId="0" fillId="0" borderId="25" xfId="0" applyBorder="1" applyAlignment="1">
      <alignment vertical="center" wrapText="1"/>
    </xf>
    <xf numFmtId="0" fontId="48" fillId="0" borderId="33" xfId="0" applyFont="1" applyBorder="1" applyAlignment="1">
      <alignment horizontal="left" vertical="center" wrapText="1" indent="1"/>
    </xf>
    <xf numFmtId="7" fontId="8" fillId="0" borderId="29" xfId="0" applyNumberFormat="1" applyFont="1" applyBorder="1" applyAlignment="1">
      <alignment horizontal="center" vertical="center" wrapText="1"/>
    </xf>
    <xf numFmtId="0" fontId="10" fillId="11" borderId="0" xfId="0" applyFont="1" applyFill="1" applyAlignment="1">
      <alignment horizontal="left" vertical="center" wrapText="1" indent="2"/>
    </xf>
    <xf numFmtId="0" fontId="7" fillId="47" borderId="33" xfId="0" applyFont="1" applyFill="1" applyBorder="1" applyAlignment="1">
      <alignment horizontal="right" vertical="center" wrapText="1"/>
    </xf>
    <xf numFmtId="0" fontId="7" fillId="47" borderId="17" xfId="0" applyFont="1" applyFill="1" applyBorder="1" applyAlignment="1">
      <alignment horizontal="right" vertical="center" wrapText="1"/>
    </xf>
    <xf numFmtId="0" fontId="7" fillId="47" borderId="32" xfId="0" applyFont="1" applyFill="1" applyBorder="1" applyAlignment="1">
      <alignment horizontal="right" vertical="center" wrapText="1"/>
    </xf>
    <xf numFmtId="0" fontId="7" fillId="47" borderId="24" xfId="0" applyFont="1" applyFill="1" applyBorder="1" applyAlignment="1">
      <alignment horizontal="right" vertical="center" wrapText="1"/>
    </xf>
    <xf numFmtId="0" fontId="4" fillId="47" borderId="42" xfId="0" applyFont="1" applyFill="1" applyBorder="1" applyAlignment="1">
      <alignment horizontal="right" vertical="center" wrapText="1"/>
    </xf>
    <xf numFmtId="0" fontId="4" fillId="47" borderId="25" xfId="0" applyFont="1" applyFill="1" applyBorder="1" applyAlignment="1">
      <alignment horizontal="right" vertical="center" wrapText="1"/>
    </xf>
    <xf numFmtId="0" fontId="6" fillId="0" borderId="33" xfId="0" applyFont="1" applyFill="1" applyBorder="1" applyAlignment="1">
      <alignment horizontal="center" wrapText="1"/>
    </xf>
    <xf numFmtId="0" fontId="6" fillId="0" borderId="18" xfId="0" applyFont="1" applyFill="1" applyBorder="1" applyAlignment="1">
      <alignment horizontal="center" wrapText="1"/>
    </xf>
    <xf numFmtId="0" fontId="0" fillId="0" borderId="17" xfId="0" applyFill="1" applyBorder="1" applyAlignment="1">
      <alignment wrapText="1"/>
    </xf>
    <xf numFmtId="0" fontId="6" fillId="0" borderId="42" xfId="0" applyFont="1" applyFill="1" applyBorder="1" applyAlignment="1">
      <alignment horizontal="center" wrapText="1"/>
    </xf>
    <xf numFmtId="0" fontId="6" fillId="0" borderId="21" xfId="0" applyFont="1" applyFill="1" applyBorder="1" applyAlignment="1">
      <alignment horizontal="center" wrapText="1"/>
    </xf>
    <xf numFmtId="0" fontId="0" fillId="0" borderId="25" xfId="0" applyFill="1" applyBorder="1" applyAlignment="1">
      <alignment wrapText="1"/>
    </xf>
    <xf numFmtId="0" fontId="4" fillId="0" borderId="0" xfId="0" applyFont="1" applyBorder="1" applyAlignment="1">
      <alignment horizontal="right" vertical="center" wrapText="1"/>
    </xf>
    <xf numFmtId="0" fontId="9" fillId="0" borderId="3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4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horizontal="center" vertical="center" wrapText="1"/>
    </xf>
    <xf numFmtId="0" fontId="6" fillId="33" borderId="42" xfId="0" applyFont="1" applyFill="1" applyBorder="1" applyAlignment="1">
      <alignment horizontal="center" vertical="center"/>
    </xf>
    <xf numFmtId="0" fontId="6" fillId="33" borderId="21" xfId="0" applyFont="1" applyFill="1" applyBorder="1" applyAlignment="1">
      <alignment horizontal="center" vertical="center"/>
    </xf>
    <xf numFmtId="0" fontId="6" fillId="33" borderId="25" xfId="0" applyFont="1" applyFill="1" applyBorder="1" applyAlignment="1">
      <alignment horizontal="center" vertical="center"/>
    </xf>
    <xf numFmtId="0" fontId="6" fillId="33" borderId="33" xfId="0" applyFont="1" applyFill="1" applyBorder="1" applyAlignment="1">
      <alignment horizontal="center" vertical="center" wrapText="1"/>
    </xf>
    <xf numFmtId="0" fontId="0" fillId="33" borderId="18" xfId="0" applyFill="1" applyBorder="1" applyAlignment="1">
      <alignment horizontal="center" vertical="center" wrapText="1"/>
    </xf>
    <xf numFmtId="0" fontId="0" fillId="33" borderId="17"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0" xfId="0" applyFill="1" applyBorder="1" applyAlignment="1">
      <alignment horizontal="center" vertical="center" wrapText="1"/>
    </xf>
    <xf numFmtId="0" fontId="0" fillId="33" borderId="24" xfId="0" applyFill="1" applyBorder="1" applyAlignment="1">
      <alignment horizontal="center" vertical="center" wrapText="1"/>
    </xf>
    <xf numFmtId="0" fontId="0" fillId="0" borderId="36" xfId="0" applyBorder="1" applyAlignment="1">
      <alignment wrapText="1"/>
    </xf>
    <xf numFmtId="0" fontId="6" fillId="0" borderId="35" xfId="0" applyFont="1" applyBorder="1" applyAlignment="1">
      <alignment horizontal="right" wrapText="1"/>
    </xf>
    <xf numFmtId="0" fontId="6" fillId="0" borderId="36" xfId="0" applyFont="1" applyBorder="1" applyAlignment="1">
      <alignment horizontal="right" wrapText="1"/>
    </xf>
    <xf numFmtId="0" fontId="0" fillId="0" borderId="3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25" xfId="0" applyFill="1" applyBorder="1" applyAlignment="1">
      <alignment horizontal="center" vertical="center" wrapText="1"/>
    </xf>
    <xf numFmtId="7" fontId="10" fillId="0" borderId="0" xfId="0" applyNumberFormat="1" applyFont="1" applyAlignment="1">
      <alignment horizontal="center"/>
    </xf>
    <xf numFmtId="0" fontId="8" fillId="0" borderId="0" xfId="0" applyFont="1" applyAlignment="1">
      <alignment vertical="center" wrapText="1"/>
    </xf>
    <xf numFmtId="0" fontId="99" fillId="2" borderId="33" xfId="0" applyFont="1" applyFill="1" applyBorder="1" applyAlignment="1">
      <alignment horizontal="left" vertical="center" wrapText="1" indent="1"/>
    </xf>
    <xf numFmtId="0" fontId="6" fillId="0" borderId="33" xfId="0" applyFont="1" applyBorder="1" applyAlignment="1">
      <alignment horizontal="left" vertical="center" wrapText="1" indent="2"/>
    </xf>
    <xf numFmtId="0" fontId="6" fillId="0" borderId="18" xfId="0" applyFont="1" applyBorder="1" applyAlignment="1">
      <alignment horizontal="left" vertical="center" wrapText="1" indent="2"/>
    </xf>
    <xf numFmtId="0" fontId="6" fillId="0" borderId="17" xfId="0" applyFont="1" applyBorder="1" applyAlignment="1">
      <alignment horizontal="left" vertical="center" wrapText="1" indent="2"/>
    </xf>
    <xf numFmtId="0" fontId="6" fillId="0" borderId="32" xfId="0" applyFont="1" applyBorder="1" applyAlignment="1">
      <alignment horizontal="left" vertical="center" wrapText="1" indent="2"/>
    </xf>
    <xf numFmtId="0" fontId="6" fillId="0" borderId="0" xfId="0" applyFont="1" applyBorder="1" applyAlignment="1">
      <alignment horizontal="left" vertical="center" wrapText="1" indent="2"/>
    </xf>
    <xf numFmtId="0" fontId="6" fillId="0" borderId="24" xfId="0" applyFont="1" applyBorder="1" applyAlignment="1">
      <alignment horizontal="left" vertical="center" wrapText="1" indent="2"/>
    </xf>
    <xf numFmtId="0" fontId="6" fillId="0" borderId="42" xfId="0" applyFont="1" applyBorder="1" applyAlignment="1">
      <alignment horizontal="left" vertical="center" wrapText="1" indent="2"/>
    </xf>
    <xf numFmtId="0" fontId="6" fillId="0" borderId="21" xfId="0" applyFont="1" applyBorder="1" applyAlignment="1">
      <alignment horizontal="left" vertical="center" wrapText="1" indent="2"/>
    </xf>
    <xf numFmtId="0" fontId="6" fillId="0" borderId="25" xfId="0" applyFont="1" applyBorder="1" applyAlignment="1">
      <alignment horizontal="left" vertical="center" wrapText="1" indent="2"/>
    </xf>
    <xf numFmtId="0" fontId="10" fillId="0" borderId="33" xfId="0" applyFont="1" applyBorder="1" applyAlignment="1">
      <alignment horizontal="left" vertical="center" wrapText="1" indent="2"/>
    </xf>
    <xf numFmtId="0" fontId="6" fillId="0" borderId="34" xfId="0" applyFont="1" applyBorder="1" applyAlignment="1">
      <alignment horizontal="right" vertical="center" wrapText="1"/>
    </xf>
    <xf numFmtId="0" fontId="0" fillId="0" borderId="35" xfId="0" applyBorder="1" applyAlignment="1">
      <alignment horizontal="right" vertical="center" wrapText="1"/>
    </xf>
    <xf numFmtId="0" fontId="0" fillId="0" borderId="36" xfId="0" applyBorder="1" applyAlignment="1">
      <alignment horizontal="right" vertical="center" wrapText="1"/>
    </xf>
    <xf numFmtId="0" fontId="56" fillId="0" borderId="0" xfId="0" applyFont="1" applyAlignment="1">
      <alignment horizontal="center"/>
    </xf>
    <xf numFmtId="0" fontId="46" fillId="0" borderId="0" xfId="0" applyFont="1" applyAlignment="1">
      <alignment horizontal="left" wrapText="1" indent="1"/>
    </xf>
    <xf numFmtId="0" fontId="10" fillId="0" borderId="0" xfId="0" applyFont="1" applyAlignment="1">
      <alignment horizontal="left" wrapText="1" indent="1"/>
    </xf>
    <xf numFmtId="37" fontId="5" fillId="0" borderId="33" xfId="0" applyNumberFormat="1" applyFont="1" applyBorder="1" applyAlignment="1">
      <alignment horizontal="center" vertical="center" wrapText="1"/>
    </xf>
    <xf numFmtId="3" fontId="0" fillId="0" borderId="37" xfId="0" applyNumberFormat="1" applyBorder="1" applyAlignment="1">
      <alignment horizontal="center"/>
    </xf>
    <xf numFmtId="3" fontId="0" fillId="0" borderId="31" xfId="0" applyNumberFormat="1" applyBorder="1" applyAlignment="1">
      <alignment horizontal="center"/>
    </xf>
    <xf numFmtId="0" fontId="6" fillId="64" borderId="34" xfId="0" applyFont="1" applyFill="1" applyBorder="1" applyAlignment="1">
      <alignment horizontal="center" vertical="center" wrapText="1"/>
    </xf>
    <xf numFmtId="0" fontId="0" fillId="64" borderId="36" xfId="0" applyFill="1" applyBorder="1" applyAlignment="1">
      <alignment horizontal="center" vertical="center" wrapText="1"/>
    </xf>
    <xf numFmtId="0" fontId="154" fillId="0" borderId="0" xfId="0" applyFont="1" applyAlignment="1">
      <alignment horizontal="right" vertical="center" wrapText="1"/>
    </xf>
    <xf numFmtId="3" fontId="1" fillId="64" borderId="29" xfId="0" applyNumberFormat="1" applyFont="1" applyFill="1" applyBorder="1" applyAlignment="1">
      <alignment horizontal="left" vertical="center" wrapText="1" indent="1"/>
    </xf>
    <xf numFmtId="0" fontId="0" fillId="64" borderId="29" xfId="0" applyFill="1" applyBorder="1" applyAlignment="1">
      <alignment horizontal="left" vertical="center" wrapText="1" indent="1"/>
    </xf>
    <xf numFmtId="0" fontId="0" fillId="64" borderId="34" xfId="0" applyFill="1" applyBorder="1" applyAlignment="1">
      <alignment horizontal="left" vertical="center" wrapText="1" indent="1"/>
    </xf>
    <xf numFmtId="9" fontId="0" fillId="0" borderId="37" xfId="0" applyNumberFormat="1" applyBorder="1" applyAlignment="1">
      <alignment horizontal="center"/>
    </xf>
    <xf numFmtId="9" fontId="0" fillId="0" borderId="31" xfId="0" applyNumberFormat="1" applyBorder="1" applyAlignment="1">
      <alignment horizontal="center"/>
    </xf>
    <xf numFmtId="3" fontId="0" fillId="0" borderId="30" xfId="0" applyNumberFormat="1" applyBorder="1" applyAlignment="1">
      <alignment horizontal="center"/>
    </xf>
    <xf numFmtId="3" fontId="6" fillId="47" borderId="37" xfId="0" applyNumberFormat="1" applyFont="1" applyFill="1" applyBorder="1" applyAlignment="1">
      <alignment horizontal="center"/>
    </xf>
    <xf numFmtId="3" fontId="6" fillId="47" borderId="31" xfId="0" applyNumberFormat="1" applyFont="1" applyFill="1" applyBorder="1" applyAlignment="1">
      <alignment horizontal="center"/>
    </xf>
    <xf numFmtId="0" fontId="0" fillId="0" borderId="0" xfId="0"/>
    <xf numFmtId="9" fontId="1" fillId="0" borderId="37" xfId="0" applyNumberFormat="1" applyFont="1" applyBorder="1" applyAlignment="1">
      <alignment horizontal="center"/>
    </xf>
    <xf numFmtId="3" fontId="0" fillId="47" borderId="37" xfId="0" applyNumberFormat="1" applyFill="1" applyBorder="1" applyAlignment="1">
      <alignment horizontal="center"/>
    </xf>
    <xf numFmtId="3" fontId="0" fillId="47" borderId="31" xfId="0" applyNumberFormat="1" applyFill="1" applyBorder="1" applyAlignment="1">
      <alignment horizontal="center"/>
    </xf>
    <xf numFmtId="0" fontId="0" fillId="0" borderId="42" xfId="0" applyBorder="1" applyAlignment="1">
      <alignment horizontal="center" wrapText="1"/>
    </xf>
    <xf numFmtId="0" fontId="0" fillId="0" borderId="25" xfId="0" applyBorder="1" applyAlignment="1">
      <alignment horizontal="center" wrapText="1"/>
    </xf>
    <xf numFmtId="0" fontId="6" fillId="0" borderId="29" xfId="0" applyFont="1" applyBorder="1" applyAlignment="1">
      <alignment horizontal="right" vertical="center" wrapText="1"/>
    </xf>
    <xf numFmtId="0" fontId="1" fillId="0" borderId="29" xfId="0" applyFont="1" applyBorder="1" applyAlignment="1">
      <alignment horizontal="right" vertical="center" wrapText="1"/>
    </xf>
    <xf numFmtId="0" fontId="55" fillId="0" borderId="34" xfId="0" applyFont="1" applyFill="1" applyBorder="1" applyAlignment="1">
      <alignment horizontal="right" vertical="center" wrapText="1"/>
    </xf>
    <xf numFmtId="0" fontId="55" fillId="0" borderId="35" xfId="0" applyFont="1" applyBorder="1" applyAlignment="1">
      <alignment horizontal="right" vertical="center" wrapText="1"/>
    </xf>
    <xf numFmtId="165" fontId="0" fillId="0" borderId="33" xfId="7" applyNumberFormat="1" applyFont="1" applyBorder="1" applyAlignment="1">
      <alignment horizontal="center" vertical="center" wrapText="1"/>
    </xf>
    <xf numFmtId="165" fontId="0" fillId="0" borderId="18" xfId="7" applyNumberFormat="1" applyFont="1" applyBorder="1" applyAlignment="1">
      <alignment horizontal="center" vertical="center" wrapText="1"/>
    </xf>
    <xf numFmtId="165" fontId="0" fillId="0" borderId="17" xfId="7" applyNumberFormat="1" applyFont="1" applyBorder="1" applyAlignment="1">
      <alignment horizontal="center" vertical="center" wrapText="1"/>
    </xf>
    <xf numFmtId="165" fontId="0" fillId="0" borderId="42" xfId="7" applyNumberFormat="1" applyFont="1" applyBorder="1" applyAlignment="1">
      <alignment horizontal="center" vertical="center" wrapText="1"/>
    </xf>
    <xf numFmtId="165" fontId="0" fillId="0" borderId="21" xfId="7" applyNumberFormat="1" applyFont="1" applyBorder="1" applyAlignment="1">
      <alignment horizontal="center" vertical="center" wrapText="1"/>
    </xf>
    <xf numFmtId="165" fontId="0" fillId="0" borderId="25" xfId="7" applyNumberFormat="1" applyFont="1" applyBorder="1" applyAlignment="1">
      <alignment horizontal="center" vertical="center" wrapText="1"/>
    </xf>
    <xf numFmtId="0" fontId="6" fillId="0" borderId="18" xfId="0" applyFont="1" applyBorder="1" applyAlignment="1">
      <alignment horizontal="left" vertical="center" wrapText="1" indent="1"/>
    </xf>
    <xf numFmtId="0" fontId="6" fillId="69" borderId="33" xfId="0" applyFont="1" applyFill="1" applyBorder="1" applyAlignment="1">
      <alignment horizontal="left" vertical="center" wrapText="1" indent="1"/>
    </xf>
    <xf numFmtId="0" fontId="0" fillId="69" borderId="18" xfId="0" applyFill="1" applyBorder="1" applyAlignment="1">
      <alignment horizontal="left" vertical="center" wrapText="1" indent="1"/>
    </xf>
    <xf numFmtId="0" fontId="0" fillId="69" borderId="17" xfId="0" applyFill="1" applyBorder="1" applyAlignment="1">
      <alignment horizontal="left" vertical="center" wrapText="1" indent="1"/>
    </xf>
    <xf numFmtId="0" fontId="0" fillId="69" borderId="32" xfId="0" applyFill="1" applyBorder="1" applyAlignment="1">
      <alignment horizontal="left" vertical="center" wrapText="1" indent="1"/>
    </xf>
    <xf numFmtId="0" fontId="0" fillId="69" borderId="0" xfId="0" applyFill="1" applyBorder="1" applyAlignment="1">
      <alignment horizontal="left" vertical="center" wrapText="1" indent="1"/>
    </xf>
    <xf numFmtId="0" fontId="0" fillId="69" borderId="24" xfId="0" applyFill="1" applyBorder="1" applyAlignment="1">
      <alignment horizontal="left" vertical="center" wrapText="1" indent="1"/>
    </xf>
    <xf numFmtId="0" fontId="0" fillId="69" borderId="42" xfId="0" applyFill="1" applyBorder="1" applyAlignment="1">
      <alignment horizontal="left" vertical="center" wrapText="1" indent="1"/>
    </xf>
    <xf numFmtId="0" fontId="0" fillId="69" borderId="21" xfId="0" applyFill="1" applyBorder="1" applyAlignment="1">
      <alignment horizontal="left" vertical="center" wrapText="1" indent="1"/>
    </xf>
    <xf numFmtId="0" fontId="0" fillId="69" borderId="25" xfId="0" applyFill="1" applyBorder="1" applyAlignment="1">
      <alignment horizontal="left" vertical="center" wrapText="1" indent="1"/>
    </xf>
    <xf numFmtId="7" fontId="6" fillId="0" borderId="0" xfId="0" applyNumberFormat="1" applyFont="1" applyAlignment="1">
      <alignment horizontal="center" vertical="center" wrapText="1"/>
    </xf>
    <xf numFmtId="9" fontId="0" fillId="64" borderId="29" xfId="7" applyFont="1" applyFill="1" applyBorder="1" applyAlignment="1">
      <alignment horizontal="center" vertical="center" wrapText="1"/>
    </xf>
    <xf numFmtId="0" fontId="0" fillId="64" borderId="34" xfId="0" applyFill="1" applyBorder="1" applyAlignment="1">
      <alignment horizontal="center" vertical="center" wrapText="1"/>
    </xf>
    <xf numFmtId="9" fontId="1" fillId="0" borderId="0" xfId="0" applyNumberFormat="1" applyFont="1" applyAlignment="1">
      <alignment horizontal="center"/>
    </xf>
    <xf numFmtId="3" fontId="6" fillId="47" borderId="30" xfId="0" applyNumberFormat="1" applyFont="1" applyFill="1" applyBorder="1" applyAlignment="1">
      <alignment horizontal="center"/>
    </xf>
    <xf numFmtId="0" fontId="0" fillId="0" borderId="33" xfId="0" applyBorder="1" applyAlignment="1">
      <alignment vertical="center" wrapText="1"/>
    </xf>
    <xf numFmtId="0" fontId="9" fillId="0" borderId="0" xfId="0" applyFont="1" applyAlignment="1">
      <alignment horizontal="center"/>
    </xf>
    <xf numFmtId="0" fontId="6" fillId="0" borderId="0" xfId="0" applyFont="1" applyAlignment="1">
      <alignment horizontal="center"/>
    </xf>
    <xf numFmtId="0" fontId="6" fillId="69" borderId="18" xfId="0" applyFont="1" applyFill="1" applyBorder="1" applyAlignment="1">
      <alignment horizontal="left" vertical="center" wrapText="1" indent="1"/>
    </xf>
    <xf numFmtId="0" fontId="6" fillId="69" borderId="17" xfId="0" applyFont="1" applyFill="1" applyBorder="1" applyAlignment="1">
      <alignment horizontal="left" vertical="center" wrapText="1" indent="1"/>
    </xf>
    <xf numFmtId="0" fontId="6" fillId="69" borderId="32" xfId="0" applyFont="1" applyFill="1" applyBorder="1" applyAlignment="1">
      <alignment horizontal="left" vertical="center" wrapText="1" indent="1"/>
    </xf>
    <xf numFmtId="0" fontId="6" fillId="69" borderId="0" xfId="0" applyFont="1" applyFill="1" applyBorder="1" applyAlignment="1">
      <alignment horizontal="left" vertical="center" wrapText="1" indent="1"/>
    </xf>
    <xf numFmtId="0" fontId="6" fillId="69" borderId="24" xfId="0" applyFont="1" applyFill="1" applyBorder="1" applyAlignment="1">
      <alignment horizontal="left" vertical="center" wrapText="1" indent="1"/>
    </xf>
    <xf numFmtId="0" fontId="6" fillId="69" borderId="42" xfId="0" applyFont="1" applyFill="1" applyBorder="1" applyAlignment="1">
      <alignment horizontal="left" vertical="center" wrapText="1" indent="1"/>
    </xf>
    <xf numFmtId="0" fontId="6" fillId="69" borderId="21" xfId="0" applyFont="1" applyFill="1" applyBorder="1" applyAlignment="1">
      <alignment horizontal="left" vertical="center" wrapText="1" indent="1"/>
    </xf>
    <xf numFmtId="0" fontId="6" fillId="69" borderId="25" xfId="0" applyFont="1" applyFill="1" applyBorder="1" applyAlignment="1">
      <alignment horizontal="left" vertical="center" wrapText="1" indent="1"/>
    </xf>
    <xf numFmtId="0" fontId="1" fillId="21" borderId="33" xfId="0" applyFont="1" applyFill="1" applyBorder="1" applyAlignment="1">
      <alignment horizontal="right" vertical="center" wrapText="1"/>
    </xf>
    <xf numFmtId="0" fontId="0" fillId="21" borderId="18" xfId="0" applyFill="1" applyBorder="1" applyAlignment="1">
      <alignment horizontal="right" vertical="center" wrapText="1"/>
    </xf>
    <xf numFmtId="0" fontId="0" fillId="21" borderId="0" xfId="0" applyFill="1" applyBorder="1" applyAlignment="1">
      <alignment horizontal="right" vertical="center" wrapText="1"/>
    </xf>
    <xf numFmtId="0" fontId="0" fillId="21" borderId="21" xfId="0" applyFill="1" applyBorder="1" applyAlignment="1">
      <alignment horizontal="right" vertical="center" wrapText="1"/>
    </xf>
    <xf numFmtId="9" fontId="0" fillId="21" borderId="29" xfId="0" applyNumberFormat="1" applyFill="1" applyBorder="1" applyAlignment="1">
      <alignment horizontal="center" vertical="center" wrapText="1"/>
    </xf>
    <xf numFmtId="0" fontId="6" fillId="26" borderId="29" xfId="0" applyFont="1" applyFill="1" applyBorder="1" applyAlignment="1">
      <alignment horizontal="right" vertical="center" wrapText="1"/>
    </xf>
    <xf numFmtId="0" fontId="0" fillId="26" borderId="29" xfId="0" applyFill="1" applyBorder="1" applyAlignment="1">
      <alignment horizontal="right" vertical="center" wrapText="1"/>
    </xf>
    <xf numFmtId="0" fontId="7" fillId="55" borderId="29" xfId="0" applyFont="1" applyFill="1" applyBorder="1" applyAlignment="1">
      <alignment horizontal="center"/>
    </xf>
    <xf numFmtId="0" fontId="6" fillId="55" borderId="29" xfId="0" applyFont="1" applyFill="1" applyBorder="1" applyAlignment="1">
      <alignment horizontal="center" vertical="center" wrapText="1"/>
    </xf>
    <xf numFmtId="0" fontId="0" fillId="55" borderId="29" xfId="0" applyFill="1" applyBorder="1" applyAlignment="1">
      <alignment horizontal="center" vertical="center" wrapText="1"/>
    </xf>
    <xf numFmtId="0" fontId="6" fillId="0" borderId="0" xfId="0" applyFont="1" applyFill="1" applyAlignment="1">
      <alignment horizontal="left" wrapText="1" indent="1"/>
    </xf>
    <xf numFmtId="3" fontId="6" fillId="64" borderId="37" xfId="0" applyNumberFormat="1" applyFont="1" applyFill="1" applyBorder="1" applyAlignment="1">
      <alignment horizontal="center"/>
    </xf>
    <xf numFmtId="3" fontId="6" fillId="64" borderId="31" xfId="0" applyNumberFormat="1" applyFont="1" applyFill="1" applyBorder="1" applyAlignment="1">
      <alignment horizontal="center"/>
    </xf>
    <xf numFmtId="0" fontId="6" fillId="21" borderId="33" xfId="0" applyFont="1" applyFill="1" applyBorder="1" applyAlignment="1">
      <alignment horizontal="left" vertical="center" wrapText="1" indent="1"/>
    </xf>
    <xf numFmtId="0" fontId="0" fillId="21" borderId="18" xfId="0" applyFill="1" applyBorder="1" applyAlignment="1">
      <alignment horizontal="left" vertical="center" wrapText="1" indent="1"/>
    </xf>
    <xf numFmtId="0" fontId="0" fillId="21" borderId="17" xfId="0" applyFill="1" applyBorder="1" applyAlignment="1">
      <alignment horizontal="left" vertical="center" wrapText="1" indent="1"/>
    </xf>
    <xf numFmtId="0" fontId="0" fillId="21" borderId="32" xfId="0" applyFill="1" applyBorder="1" applyAlignment="1">
      <alignment horizontal="left" vertical="center" wrapText="1" indent="1"/>
    </xf>
    <xf numFmtId="0" fontId="0" fillId="21" borderId="0" xfId="0" applyFill="1" applyBorder="1" applyAlignment="1">
      <alignment horizontal="left" vertical="center" wrapText="1" indent="1"/>
    </xf>
    <xf numFmtId="0" fontId="0" fillId="21" borderId="24" xfId="0" applyFill="1" applyBorder="1" applyAlignment="1">
      <alignment horizontal="left" vertical="center" wrapText="1" indent="1"/>
    </xf>
    <xf numFmtId="0" fontId="0" fillId="21" borderId="42" xfId="0" applyFill="1" applyBorder="1" applyAlignment="1">
      <alignment horizontal="left" vertical="center" wrapText="1" indent="1"/>
    </xf>
    <xf numFmtId="0" fontId="0" fillId="21" borderId="21" xfId="0" applyFill="1" applyBorder="1" applyAlignment="1">
      <alignment horizontal="left" vertical="center" wrapText="1" indent="1"/>
    </xf>
    <xf numFmtId="0" fontId="0" fillId="21" borderId="25" xfId="0" applyFill="1" applyBorder="1" applyAlignment="1">
      <alignment horizontal="left" vertical="center" wrapText="1" indent="1"/>
    </xf>
    <xf numFmtId="0" fontId="1" fillId="64" borderId="0" xfId="0" applyFont="1" applyFill="1" applyAlignment="1">
      <alignment horizontal="center" vertical="center" wrapText="1"/>
    </xf>
    <xf numFmtId="0" fontId="0" fillId="64" borderId="0" xfId="0" applyFill="1" applyAlignment="1">
      <alignment horizontal="center" vertical="center" wrapText="1"/>
    </xf>
    <xf numFmtId="0" fontId="0" fillId="64" borderId="24" xfId="0" applyFill="1" applyBorder="1" applyAlignment="1">
      <alignment horizontal="center" vertical="center" wrapText="1"/>
    </xf>
    <xf numFmtId="166" fontId="6" fillId="2" borderId="0" xfId="0" applyNumberFormat="1" applyFont="1" applyFill="1" applyAlignment="1">
      <alignment horizontal="left" vertical="center" wrapText="1" indent="1"/>
    </xf>
    <xf numFmtId="0" fontId="0" fillId="2" borderId="0" xfId="0" applyFill="1" applyAlignment="1">
      <alignment horizontal="left" vertical="center" wrapText="1" indent="1"/>
    </xf>
    <xf numFmtId="0" fontId="32" fillId="0" borderId="33" xfId="0" applyFont="1" applyBorder="1" applyAlignment="1">
      <alignment horizontal="left" vertical="center" wrapText="1" indent="1"/>
    </xf>
    <xf numFmtId="0" fontId="32" fillId="0" borderId="18" xfId="0" applyFont="1" applyBorder="1" applyAlignment="1">
      <alignment horizontal="left" vertical="center" wrapText="1" indent="1"/>
    </xf>
    <xf numFmtId="0" fontId="32" fillId="0" borderId="17" xfId="0" applyFont="1" applyBorder="1" applyAlignment="1">
      <alignment horizontal="left" vertical="center" wrapText="1" indent="1"/>
    </xf>
    <xf numFmtId="0" fontId="32" fillId="0" borderId="32" xfId="0" applyFont="1" applyBorder="1" applyAlignment="1">
      <alignment horizontal="left" vertical="center" wrapText="1" indent="1"/>
    </xf>
    <xf numFmtId="0" fontId="32" fillId="0" borderId="0" xfId="0" applyFont="1" applyBorder="1" applyAlignment="1">
      <alignment horizontal="left" vertical="center" wrapText="1" indent="1"/>
    </xf>
    <xf numFmtId="0" fontId="32" fillId="0" borderId="24" xfId="0" applyFont="1" applyBorder="1" applyAlignment="1">
      <alignment horizontal="left" vertical="center" wrapText="1" indent="1"/>
    </xf>
    <xf numFmtId="0" fontId="32" fillId="0" borderId="42" xfId="0" applyFont="1" applyBorder="1" applyAlignment="1">
      <alignment horizontal="left" vertical="center" wrapText="1" indent="1"/>
    </xf>
    <xf numFmtId="0" fontId="32" fillId="0" borderId="21" xfId="0" applyFont="1" applyBorder="1" applyAlignment="1">
      <alignment horizontal="left" vertical="center" wrapText="1" indent="1"/>
    </xf>
    <xf numFmtId="0" fontId="32" fillId="0" borderId="25" xfId="0" applyFont="1" applyBorder="1" applyAlignment="1">
      <alignment horizontal="left" vertical="center" wrapText="1" indent="1"/>
    </xf>
    <xf numFmtId="0" fontId="31" fillId="0" borderId="33" xfId="0" applyFont="1" applyBorder="1" applyAlignment="1">
      <alignment horizontal="left" vertical="center" wrapText="1" indent="1"/>
    </xf>
    <xf numFmtId="0" fontId="6" fillId="2" borderId="33" xfId="0" applyFont="1" applyFill="1" applyBorder="1" applyAlignment="1">
      <alignment horizontal="left" vertical="center" wrapText="1" indent="1"/>
    </xf>
    <xf numFmtId="0" fontId="45" fillId="2" borderId="29" xfId="0" applyFont="1" applyFill="1" applyBorder="1" applyAlignment="1">
      <alignment horizontal="center" wrapText="1"/>
    </xf>
    <xf numFmtId="0" fontId="43" fillId="2" borderId="29" xfId="0" applyFont="1" applyFill="1" applyBorder="1" applyAlignment="1">
      <alignment horizontal="center" wrapText="1"/>
    </xf>
    <xf numFmtId="0" fontId="0" fillId="47" borderId="17" xfId="0" applyFill="1" applyBorder="1" applyAlignment="1">
      <alignment horizontal="left" vertical="center" wrapText="1" indent="1"/>
    </xf>
    <xf numFmtId="0" fontId="0" fillId="47" borderId="24" xfId="0" applyFill="1" applyBorder="1" applyAlignment="1">
      <alignment horizontal="left" vertical="center" wrapText="1" indent="1"/>
    </xf>
    <xf numFmtId="0" fontId="0" fillId="47" borderId="25" xfId="0" applyFill="1" applyBorder="1" applyAlignment="1">
      <alignment horizontal="left" vertical="center" wrapText="1" indent="1"/>
    </xf>
    <xf numFmtId="0" fontId="7" fillId="21" borderId="33" xfId="0" applyFont="1" applyFill="1" applyBorder="1" applyAlignment="1">
      <alignment horizontal="left" vertical="center" wrapText="1" indent="1"/>
    </xf>
    <xf numFmtId="0" fontId="4" fillId="21" borderId="17" xfId="0" applyFont="1" applyFill="1" applyBorder="1" applyAlignment="1">
      <alignment horizontal="left" vertical="center" wrapText="1" indent="1"/>
    </xf>
    <xf numFmtId="0" fontId="4" fillId="21" borderId="32" xfId="0" applyFont="1" applyFill="1" applyBorder="1" applyAlignment="1">
      <alignment horizontal="left" vertical="center" wrapText="1" indent="1"/>
    </xf>
    <xf numFmtId="0" fontId="4" fillId="21" borderId="0" xfId="0" applyFont="1" applyFill="1" applyBorder="1" applyAlignment="1">
      <alignment horizontal="left" vertical="center" wrapText="1" indent="1"/>
    </xf>
    <xf numFmtId="0" fontId="4" fillId="21" borderId="42" xfId="0" applyFont="1" applyFill="1" applyBorder="1" applyAlignment="1">
      <alignment horizontal="left" vertical="center" wrapText="1" indent="1"/>
    </xf>
    <xf numFmtId="0" fontId="4" fillId="21" borderId="21" xfId="0" applyFont="1" applyFill="1" applyBorder="1" applyAlignment="1">
      <alignment horizontal="left" vertical="center" wrapText="1" indent="1"/>
    </xf>
    <xf numFmtId="0" fontId="7" fillId="47" borderId="34" xfId="0" applyFont="1" applyFill="1" applyBorder="1" applyAlignment="1">
      <alignment horizontal="right" vertical="center" wrapText="1"/>
    </xf>
    <xf numFmtId="0" fontId="7" fillId="47" borderId="35" xfId="0" applyFont="1" applyFill="1" applyBorder="1" applyAlignment="1">
      <alignment horizontal="right" vertical="center" wrapText="1"/>
    </xf>
    <xf numFmtId="0" fontId="7" fillId="47" borderId="36" xfId="0" applyFont="1" applyFill="1" applyBorder="1" applyAlignment="1">
      <alignment horizontal="right" vertical="center" wrapText="1"/>
    </xf>
    <xf numFmtId="0" fontId="0" fillId="2" borderId="17" xfId="0" applyFill="1" applyBorder="1" applyAlignment="1">
      <alignment horizontal="left" vertical="center" wrapText="1" indent="1"/>
    </xf>
    <xf numFmtId="0" fontId="0" fillId="2" borderId="42" xfId="0" applyFill="1" applyBorder="1" applyAlignment="1">
      <alignment horizontal="left" vertical="center" wrapText="1" indent="1"/>
    </xf>
    <xf numFmtId="0" fontId="0" fillId="2" borderId="25" xfId="0" applyFill="1" applyBorder="1" applyAlignment="1">
      <alignment horizontal="left" vertical="center" wrapText="1" indent="1"/>
    </xf>
    <xf numFmtId="0" fontId="1" fillId="64" borderId="0" xfId="0" applyFont="1" applyFill="1" applyBorder="1" applyAlignment="1">
      <alignment horizontal="center" vertical="center" wrapText="1"/>
    </xf>
    <xf numFmtId="0" fontId="0" fillId="64" borderId="0" xfId="0" applyFill="1" applyBorder="1" applyAlignment="1">
      <alignment horizontal="center" vertical="center" wrapText="1"/>
    </xf>
    <xf numFmtId="9" fontId="1" fillId="0" borderId="0" xfId="7" applyFont="1" applyAlignment="1">
      <alignment horizontal="left" wrapText="1" indent="1"/>
    </xf>
    <xf numFmtId="0" fontId="6" fillId="0" borderId="0" xfId="0" applyFont="1" applyBorder="1" applyAlignment="1">
      <alignment horizontal="left" vertical="center" wrapText="1" indent="1"/>
    </xf>
    <xf numFmtId="0" fontId="0" fillId="0" borderId="32" xfId="0" applyBorder="1" applyAlignment="1">
      <alignment wrapText="1"/>
    </xf>
    <xf numFmtId="0" fontId="0" fillId="0" borderId="24" xfId="0" applyBorder="1" applyAlignment="1">
      <alignment wrapText="1"/>
    </xf>
    <xf numFmtId="0" fontId="0" fillId="0" borderId="42" xfId="0" applyBorder="1" applyAlignment="1">
      <alignment wrapText="1"/>
    </xf>
    <xf numFmtId="0" fontId="0" fillId="0" borderId="21" xfId="0" applyBorder="1" applyAlignment="1">
      <alignment wrapText="1"/>
    </xf>
    <xf numFmtId="0" fontId="0" fillId="0" borderId="25" xfId="0" applyBorder="1" applyAlignment="1">
      <alignment wrapText="1"/>
    </xf>
    <xf numFmtId="0" fontId="6" fillId="8" borderId="33" xfId="0" applyFont="1" applyFill="1" applyBorder="1" applyAlignment="1">
      <alignment vertical="center" wrapText="1"/>
    </xf>
    <xf numFmtId="0" fontId="0" fillId="8" borderId="17" xfId="0" applyFill="1" applyBorder="1" applyAlignment="1">
      <alignment vertical="center" wrapText="1"/>
    </xf>
    <xf numFmtId="0" fontId="0" fillId="8" borderId="32" xfId="0" applyFill="1" applyBorder="1" applyAlignment="1">
      <alignment vertical="center" wrapText="1"/>
    </xf>
    <xf numFmtId="0" fontId="0" fillId="8" borderId="24" xfId="0" applyFill="1" applyBorder="1" applyAlignment="1">
      <alignment vertical="center" wrapText="1"/>
    </xf>
    <xf numFmtId="0" fontId="0" fillId="8" borderId="42" xfId="0" applyFill="1" applyBorder="1" applyAlignment="1">
      <alignment vertical="center" wrapText="1"/>
    </xf>
    <xf numFmtId="0" fontId="0" fillId="8" borderId="25" xfId="0" applyFill="1" applyBorder="1" applyAlignment="1">
      <alignment vertical="center" wrapText="1"/>
    </xf>
    <xf numFmtId="9" fontId="161" fillId="0" borderId="37" xfId="0" applyNumberFormat="1" applyFont="1" applyBorder="1" applyAlignment="1">
      <alignment horizontal="center"/>
    </xf>
    <xf numFmtId="9" fontId="161" fillId="0" borderId="31" xfId="0" applyNumberFormat="1" applyFont="1" applyBorder="1" applyAlignment="1">
      <alignment horizontal="center"/>
    </xf>
    <xf numFmtId="0" fontId="6" fillId="2" borderId="0" xfId="0" applyFont="1" applyFill="1" applyAlignment="1">
      <alignment horizontal="left" vertical="center" wrapText="1" indent="2"/>
    </xf>
    <xf numFmtId="0" fontId="0" fillId="2" borderId="0" xfId="0" applyFill="1" applyAlignment="1">
      <alignment horizontal="left" vertical="center" wrapText="1" indent="2"/>
    </xf>
    <xf numFmtId="0" fontId="99" fillId="2" borderId="17" xfId="0" applyFont="1" applyFill="1" applyBorder="1" applyAlignment="1">
      <alignment horizontal="left" vertical="center" wrapText="1" indent="1"/>
    </xf>
    <xf numFmtId="0" fontId="99" fillId="2" borderId="42" xfId="0" applyFont="1" applyFill="1" applyBorder="1" applyAlignment="1">
      <alignment horizontal="left" vertical="center" wrapText="1" indent="1"/>
    </xf>
    <xf numFmtId="0" fontId="99" fillId="2" borderId="25" xfId="0" applyFont="1" applyFill="1" applyBorder="1" applyAlignment="1">
      <alignment horizontal="left" vertical="center" wrapText="1" indent="1"/>
    </xf>
    <xf numFmtId="0" fontId="147" fillId="0" borderId="0" xfId="0" applyFont="1" applyAlignment="1">
      <alignment vertical="center" wrapText="1"/>
    </xf>
    <xf numFmtId="0" fontId="4" fillId="47" borderId="0" xfId="0" applyFont="1" applyFill="1" applyAlignment="1">
      <alignment horizontal="center"/>
    </xf>
    <xf numFmtId="0" fontId="4" fillId="51" borderId="0" xfId="0" applyFont="1" applyFill="1" applyAlignment="1">
      <alignment horizontal="right" wrapText="1"/>
    </xf>
    <xf numFmtId="0" fontId="0" fillId="51" borderId="0" xfId="0" applyFill="1" applyAlignment="1">
      <alignment horizontal="right" wrapText="1"/>
    </xf>
    <xf numFmtId="0" fontId="132" fillId="0" borderId="0" xfId="0" applyFont="1" applyAlignment="1">
      <alignment vertical="center" wrapText="1"/>
    </xf>
    <xf numFmtId="0" fontId="130" fillId="0" borderId="0" xfId="0" applyFont="1" applyAlignment="1">
      <alignment wrapText="1"/>
    </xf>
    <xf numFmtId="0" fontId="136" fillId="47" borderId="33" xfId="0" applyFont="1" applyFill="1" applyBorder="1" applyAlignment="1">
      <alignment horizontal="left" vertical="center" wrapText="1"/>
    </xf>
    <xf numFmtId="0" fontId="136" fillId="47" borderId="18" xfId="0" applyFont="1" applyFill="1" applyBorder="1" applyAlignment="1">
      <alignment horizontal="left" vertical="center" wrapText="1"/>
    </xf>
    <xf numFmtId="0" fontId="136" fillId="47" borderId="17" xfId="0" applyFont="1" applyFill="1" applyBorder="1" applyAlignment="1">
      <alignment horizontal="left" vertical="center" wrapText="1"/>
    </xf>
    <xf numFmtId="0" fontId="136" fillId="47" borderId="42" xfId="0" applyFont="1" applyFill="1" applyBorder="1" applyAlignment="1">
      <alignment horizontal="left" vertical="center" wrapText="1"/>
    </xf>
    <xf numFmtId="0" fontId="136" fillId="47" borderId="21" xfId="0" applyFont="1" applyFill="1" applyBorder="1" applyAlignment="1">
      <alignment horizontal="left" vertical="center" wrapText="1"/>
    </xf>
    <xf numFmtId="0" fontId="136" fillId="47" borderId="25" xfId="0" applyFont="1" applyFill="1" applyBorder="1" applyAlignment="1">
      <alignment horizontal="left" vertical="center" wrapText="1"/>
    </xf>
    <xf numFmtId="0" fontId="9" fillId="2" borderId="0" xfId="0" applyFont="1" applyFill="1" applyAlignment="1">
      <alignment horizontal="left" vertical="center" wrapText="1"/>
    </xf>
    <xf numFmtId="0" fontId="4" fillId="0" borderId="33" xfId="0" applyFont="1" applyBorder="1" applyAlignment="1">
      <alignment horizontal="left" vertical="center" wrapText="1" indent="1"/>
    </xf>
    <xf numFmtId="0" fontId="8" fillId="0" borderId="55" xfId="0" applyFont="1" applyBorder="1" applyAlignment="1">
      <alignment horizontal="center"/>
    </xf>
    <xf numFmtId="0" fontId="8" fillId="0" borderId="2" xfId="0" applyFont="1" applyBorder="1" applyAlignment="1">
      <alignment horizontal="center"/>
    </xf>
    <xf numFmtId="0" fontId="8" fillId="0" borderId="56" xfId="0" applyFont="1" applyBorder="1" applyAlignment="1">
      <alignment horizontal="center"/>
    </xf>
    <xf numFmtId="0" fontId="9" fillId="0" borderId="0" xfId="0" applyFont="1" applyBorder="1" applyAlignment="1">
      <alignment horizontal="right" wrapText="1"/>
    </xf>
    <xf numFmtId="0" fontId="0" fillId="0" borderId="0" xfId="0" applyBorder="1" applyAlignment="1">
      <alignment horizontal="right" wrapText="1"/>
    </xf>
    <xf numFmtId="0" fontId="9" fillId="0" borderId="10" xfId="0" applyFont="1" applyBorder="1" applyAlignment="1">
      <alignment horizontal="right" wrapText="1"/>
    </xf>
    <xf numFmtId="0" fontId="0" fillId="0" borderId="10" xfId="0" applyBorder="1" applyAlignment="1">
      <alignment horizontal="right" wrapText="1"/>
    </xf>
    <xf numFmtId="0" fontId="49" fillId="0" borderId="0" xfId="0" applyFont="1" applyFill="1" applyBorder="1" applyAlignment="1">
      <alignment horizontal="center" wrapText="1"/>
    </xf>
    <xf numFmtId="0" fontId="0" fillId="0" borderId="21" xfId="0" applyBorder="1" applyAlignment="1">
      <alignment horizontal="center" wrapText="1"/>
    </xf>
    <xf numFmtId="0" fontId="48" fillId="0" borderId="33" xfId="0" applyFont="1" applyBorder="1" applyAlignment="1">
      <alignment wrapText="1"/>
    </xf>
    <xf numFmtId="0" fontId="0" fillId="0" borderId="18" xfId="0" applyBorder="1" applyAlignment="1">
      <alignment wrapText="1"/>
    </xf>
    <xf numFmtId="166" fontId="4" fillId="47" borderId="34" xfId="0" applyNumberFormat="1" applyFont="1" applyFill="1" applyBorder="1" applyAlignment="1">
      <alignment horizontal="center" vertical="center" wrapText="1"/>
    </xf>
    <xf numFmtId="166" fontId="4" fillId="47" borderId="36" xfId="0" applyNumberFormat="1" applyFont="1" applyFill="1" applyBorder="1" applyAlignment="1">
      <alignment horizontal="center" vertical="center" wrapText="1"/>
    </xf>
    <xf numFmtId="0" fontId="2" fillId="42" borderId="33" xfId="0" applyFont="1" applyFill="1" applyBorder="1" applyAlignment="1">
      <alignment horizontal="center"/>
    </xf>
    <xf numFmtId="0" fontId="2" fillId="42" borderId="17" xfId="0" applyFont="1" applyFill="1" applyBorder="1" applyAlignment="1">
      <alignment horizontal="center"/>
    </xf>
    <xf numFmtId="0" fontId="7" fillId="42" borderId="32" xfId="0" applyFont="1" applyFill="1" applyBorder="1" applyAlignment="1">
      <alignment horizontal="center" vertical="center" wrapText="1"/>
    </xf>
    <xf numFmtId="0" fontId="0" fillId="42" borderId="24" xfId="0" applyFill="1" applyBorder="1" applyAlignment="1">
      <alignment horizontal="center" vertical="center" wrapText="1"/>
    </xf>
    <xf numFmtId="0" fontId="0" fillId="42" borderId="42" xfId="0" applyFill="1" applyBorder="1" applyAlignment="1">
      <alignment horizontal="center" vertical="center" wrapText="1"/>
    </xf>
    <xf numFmtId="0" fontId="0" fillId="42" borderId="25" xfId="0" applyFill="1" applyBorder="1" applyAlignment="1">
      <alignment horizontal="center" vertical="center" wrapText="1"/>
    </xf>
    <xf numFmtId="0" fontId="6" fillId="42" borderId="34" xfId="0" applyFont="1" applyFill="1" applyBorder="1" applyAlignment="1">
      <alignment horizontal="left" vertical="center" wrapText="1" indent="1"/>
    </xf>
    <xf numFmtId="0" fontId="0" fillId="42" borderId="35" xfId="0" applyFill="1" applyBorder="1" applyAlignment="1">
      <alignment horizontal="left" vertical="center" wrapText="1" indent="1"/>
    </xf>
    <xf numFmtId="0" fontId="0" fillId="42" borderId="36" xfId="0" applyFill="1" applyBorder="1" applyAlignment="1">
      <alignment horizontal="left" vertical="center" wrapText="1" indent="1"/>
    </xf>
    <xf numFmtId="0" fontId="7" fillId="48" borderId="32" xfId="0" applyFont="1" applyFill="1" applyBorder="1" applyAlignment="1">
      <alignment horizontal="center" vertical="center" wrapText="1"/>
    </xf>
    <xf numFmtId="0" fontId="0" fillId="48" borderId="24" xfId="0" applyFill="1" applyBorder="1" applyAlignment="1">
      <alignment horizontal="center" vertical="center" wrapText="1"/>
    </xf>
    <xf numFmtId="0" fontId="0" fillId="48" borderId="42" xfId="0" applyFill="1" applyBorder="1" applyAlignment="1">
      <alignment horizontal="center" vertical="center" wrapText="1"/>
    </xf>
    <xf numFmtId="0" fontId="0" fillId="48" borderId="25" xfId="0" applyFill="1" applyBorder="1" applyAlignment="1">
      <alignment horizontal="center" vertical="center" wrapText="1"/>
    </xf>
    <xf numFmtId="0" fontId="6" fillId="48" borderId="34" xfId="0" applyFont="1" applyFill="1" applyBorder="1" applyAlignment="1">
      <alignment horizontal="left" vertical="center" wrapText="1" indent="1"/>
    </xf>
    <xf numFmtId="0" fontId="0" fillId="48" borderId="35" xfId="0" applyFill="1" applyBorder="1" applyAlignment="1">
      <alignment horizontal="left" vertical="center" wrapText="1" indent="1"/>
    </xf>
    <xf numFmtId="0" fontId="0" fillId="48" borderId="36" xfId="0" applyFill="1" applyBorder="1" applyAlignment="1">
      <alignment horizontal="left" vertical="center" wrapText="1" indent="1"/>
    </xf>
    <xf numFmtId="0" fontId="2" fillId="45" borderId="33" xfId="0" applyFont="1" applyFill="1" applyBorder="1" applyAlignment="1">
      <alignment horizontal="center"/>
    </xf>
    <xf numFmtId="0" fontId="2" fillId="45" borderId="17" xfId="0" applyFont="1" applyFill="1" applyBorder="1" applyAlignment="1">
      <alignment horizontal="center"/>
    </xf>
    <xf numFmtId="0" fontId="2" fillId="53" borderId="33" xfId="0" applyFont="1" applyFill="1" applyBorder="1" applyAlignment="1">
      <alignment horizontal="center"/>
    </xf>
    <xf numFmtId="0" fontId="2" fillId="53" borderId="17" xfId="0" applyFont="1" applyFill="1" applyBorder="1" applyAlignment="1">
      <alignment horizontal="center"/>
    </xf>
    <xf numFmtId="0" fontId="2" fillId="48" borderId="33" xfId="0" applyFont="1" applyFill="1" applyBorder="1" applyAlignment="1">
      <alignment horizontal="center"/>
    </xf>
    <xf numFmtId="0" fontId="2" fillId="48" borderId="17" xfId="0" applyFont="1" applyFill="1" applyBorder="1" applyAlignment="1">
      <alignment horizontal="center"/>
    </xf>
    <xf numFmtId="0" fontId="6" fillId="45" borderId="35" xfId="0" applyFont="1" applyFill="1" applyBorder="1" applyAlignment="1">
      <alignment horizontal="left" vertical="center" wrapText="1" indent="1"/>
    </xf>
    <xf numFmtId="0" fontId="0" fillId="45" borderId="35" xfId="0" applyFill="1" applyBorder="1" applyAlignment="1">
      <alignment horizontal="left" vertical="center" wrapText="1" indent="1"/>
    </xf>
    <xf numFmtId="0" fontId="0" fillId="45" borderId="36" xfId="0" applyFill="1" applyBorder="1" applyAlignment="1">
      <alignment horizontal="left" vertical="center" wrapText="1" indent="1"/>
    </xf>
    <xf numFmtId="0" fontId="6" fillId="53" borderId="34" xfId="0" applyFont="1" applyFill="1" applyBorder="1" applyAlignment="1">
      <alignment horizontal="left" vertical="center" wrapText="1" indent="1"/>
    </xf>
    <xf numFmtId="0" fontId="0" fillId="53" borderId="35" xfId="0" applyFill="1" applyBorder="1" applyAlignment="1">
      <alignment horizontal="left" vertical="center" wrapText="1" indent="1"/>
    </xf>
    <xf numFmtId="0" fontId="0" fillId="53" borderId="36" xfId="0" applyFill="1" applyBorder="1" applyAlignment="1">
      <alignment horizontal="left" vertical="center" wrapText="1" indent="1"/>
    </xf>
    <xf numFmtId="0" fontId="7" fillId="45" borderId="32" xfId="0" applyFont="1" applyFill="1" applyBorder="1" applyAlignment="1">
      <alignment horizontal="center" vertical="center" wrapText="1"/>
    </xf>
    <xf numFmtId="0" fontId="0" fillId="45" borderId="24" xfId="0" applyFill="1" applyBorder="1" applyAlignment="1">
      <alignment horizontal="center" vertical="center" wrapText="1"/>
    </xf>
    <xf numFmtId="0" fontId="0" fillId="45" borderId="42" xfId="0" applyFill="1" applyBorder="1" applyAlignment="1">
      <alignment horizontal="center" vertical="center" wrapText="1"/>
    </xf>
    <xf numFmtId="0" fontId="0" fillId="45" borderId="25" xfId="0" applyFill="1" applyBorder="1" applyAlignment="1">
      <alignment horizontal="center" vertical="center" wrapText="1"/>
    </xf>
    <xf numFmtId="0" fontId="7" fillId="53" borderId="32" xfId="0" applyFont="1" applyFill="1" applyBorder="1" applyAlignment="1">
      <alignment horizontal="center" vertical="center" wrapText="1"/>
    </xf>
    <xf numFmtId="0" fontId="0" fillId="53" borderId="24" xfId="0" applyFill="1" applyBorder="1" applyAlignment="1">
      <alignment horizontal="center" vertical="center" wrapText="1"/>
    </xf>
    <xf numFmtId="0" fontId="0" fillId="53" borderId="42" xfId="0" applyFill="1" applyBorder="1" applyAlignment="1">
      <alignment horizontal="center" vertical="center" wrapText="1"/>
    </xf>
    <xf numFmtId="0" fontId="0" fillId="53" borderId="25" xfId="0" applyFill="1" applyBorder="1" applyAlignment="1">
      <alignment horizontal="center" vertical="center" wrapText="1"/>
    </xf>
    <xf numFmtId="0" fontId="4" fillId="0" borderId="0" xfId="0" applyFont="1" applyAlignment="1">
      <alignment vertical="center" wrapText="1"/>
    </xf>
    <xf numFmtId="0" fontId="26" fillId="0" borderId="0" xfId="0" applyFont="1" applyAlignment="1">
      <alignment vertical="center" wrapText="1"/>
    </xf>
    <xf numFmtId="0" fontId="7" fillId="59" borderId="33" xfId="0" applyFont="1" applyFill="1" applyBorder="1" applyAlignment="1">
      <alignment horizontal="center"/>
    </xf>
    <xf numFmtId="0" fontId="7" fillId="59" borderId="17" xfId="0" applyFont="1" applyFill="1" applyBorder="1" applyAlignment="1">
      <alignment horizontal="center"/>
    </xf>
    <xf numFmtId="0" fontId="7" fillId="26" borderId="33" xfId="0" applyFont="1" applyFill="1" applyBorder="1" applyAlignment="1">
      <alignment horizontal="center"/>
    </xf>
    <xf numFmtId="0" fontId="7" fillId="26" borderId="17" xfId="0" applyFont="1" applyFill="1" applyBorder="1" applyAlignment="1">
      <alignment horizontal="center"/>
    </xf>
    <xf numFmtId="0" fontId="1" fillId="26" borderId="33" xfId="0" applyFont="1" applyFill="1" applyBorder="1" applyAlignment="1">
      <alignment horizontal="left" vertical="center" wrapText="1" indent="3"/>
    </xf>
    <xf numFmtId="0" fontId="0" fillId="26" borderId="18" xfId="0" applyFill="1" applyBorder="1" applyAlignment="1">
      <alignment horizontal="left" vertical="center" wrapText="1" indent="3"/>
    </xf>
    <xf numFmtId="0" fontId="0" fillId="26" borderId="17" xfId="0" applyFill="1" applyBorder="1" applyAlignment="1">
      <alignment horizontal="left" vertical="center" wrapText="1" indent="3"/>
    </xf>
    <xf numFmtId="0" fontId="0" fillId="26" borderId="32" xfId="0" applyFill="1" applyBorder="1" applyAlignment="1">
      <alignment horizontal="left" vertical="center" wrapText="1" indent="3"/>
    </xf>
    <xf numFmtId="0" fontId="0" fillId="26" borderId="0" xfId="0" applyFill="1" applyBorder="1" applyAlignment="1">
      <alignment horizontal="left" vertical="center" wrapText="1" indent="3"/>
    </xf>
    <xf numFmtId="0" fontId="0" fillId="26" borderId="24" xfId="0" applyFill="1" applyBorder="1" applyAlignment="1">
      <alignment horizontal="left" vertical="center" wrapText="1" indent="3"/>
    </xf>
    <xf numFmtId="0" fontId="0" fillId="26" borderId="42" xfId="0" applyFill="1" applyBorder="1" applyAlignment="1">
      <alignment horizontal="left" vertical="center" wrapText="1" indent="3"/>
    </xf>
    <xf numFmtId="0" fontId="0" fillId="26" borderId="21" xfId="0" applyFill="1" applyBorder="1" applyAlignment="1">
      <alignment horizontal="left" vertical="center" wrapText="1" indent="3"/>
    </xf>
    <xf numFmtId="0" fontId="0" fillId="26" borderId="25" xfId="0" applyFill="1" applyBorder="1" applyAlignment="1">
      <alignment horizontal="left" vertical="center" wrapText="1" indent="3"/>
    </xf>
    <xf numFmtId="9" fontId="0" fillId="47" borderId="37" xfId="0" applyNumberFormat="1" applyFill="1" applyBorder="1" applyAlignment="1">
      <alignment horizontal="center" vertical="center" wrapText="1"/>
    </xf>
    <xf numFmtId="0" fontId="6" fillId="47" borderId="18" xfId="0" applyFont="1" applyFill="1" applyBorder="1" applyAlignment="1">
      <alignment horizontal="left" vertical="center" wrapText="1" indent="1"/>
    </xf>
    <xf numFmtId="3" fontId="6" fillId="0" borderId="0" xfId="0" applyNumberFormat="1" applyFont="1" applyAlignment="1">
      <alignment horizontal="right" wrapText="1"/>
    </xf>
    <xf numFmtId="0" fontId="4" fillId="65" borderId="0" xfId="0" applyFont="1" applyFill="1" applyAlignment="1">
      <alignment horizontal="center"/>
    </xf>
    <xf numFmtId="0" fontId="6" fillId="0" borderId="0" xfId="0" applyFont="1" applyAlignment="1">
      <alignment horizontal="left" wrapText="1" indent="1"/>
    </xf>
    <xf numFmtId="0" fontId="6" fillId="64" borderId="0" xfId="0" applyFont="1" applyFill="1" applyAlignment="1">
      <alignment horizontal="left" vertical="center" wrapText="1" indent="1"/>
    </xf>
    <xf numFmtId="0" fontId="0" fillId="64" borderId="0" xfId="0" applyFill="1" applyAlignment="1">
      <alignment horizontal="left" vertical="center" wrapText="1" indent="1"/>
    </xf>
    <xf numFmtId="0" fontId="7" fillId="0" borderId="0" xfId="0" applyFont="1" applyFill="1" applyBorder="1" applyAlignment="1">
      <alignment horizontal="right" vertical="center" wrapText="1"/>
    </xf>
    <xf numFmtId="3" fontId="6" fillId="0" borderId="0" xfId="0" applyNumberFormat="1" applyFont="1" applyAlignment="1">
      <alignment horizontal="center" vertical="center" wrapText="1"/>
    </xf>
    <xf numFmtId="9" fontId="6" fillId="0" borderId="0" xfId="7" applyFont="1" applyAlignment="1">
      <alignment horizontal="center" vertical="center" wrapText="1"/>
    </xf>
    <xf numFmtId="9" fontId="1" fillId="47" borderId="33" xfId="7" applyFont="1" applyFill="1" applyBorder="1" applyAlignment="1">
      <alignment horizontal="center" vertical="center" wrapText="1"/>
    </xf>
    <xf numFmtId="0" fontId="0" fillId="47" borderId="42" xfId="0" applyFill="1" applyBorder="1" applyAlignment="1">
      <alignment horizontal="center" vertical="center" wrapText="1"/>
    </xf>
    <xf numFmtId="0" fontId="0" fillId="47" borderId="21" xfId="0" applyFill="1" applyBorder="1" applyAlignment="1">
      <alignment horizontal="center" vertical="center" wrapText="1"/>
    </xf>
    <xf numFmtId="0" fontId="0" fillId="47" borderId="25" xfId="0" applyFill="1" applyBorder="1" applyAlignment="1">
      <alignment horizontal="center" vertical="center" wrapText="1"/>
    </xf>
    <xf numFmtId="0" fontId="7" fillId="0" borderId="0" xfId="0" applyFont="1" applyAlignment="1">
      <alignment horizontal="center"/>
    </xf>
    <xf numFmtId="0" fontId="4" fillId="47" borderId="33" xfId="0" applyFont="1" applyFill="1" applyBorder="1" applyAlignment="1">
      <alignment horizontal="right" vertical="center" wrapText="1"/>
    </xf>
    <xf numFmtId="0" fontId="0" fillId="47" borderId="17" xfId="0" applyFill="1" applyBorder="1" applyAlignment="1">
      <alignment horizontal="right" vertical="center" wrapText="1"/>
    </xf>
    <xf numFmtId="0" fontId="0" fillId="47" borderId="42" xfId="0" applyFill="1" applyBorder="1" applyAlignment="1">
      <alignment horizontal="right" vertical="center" wrapText="1"/>
    </xf>
    <xf numFmtId="0" fontId="0" fillId="47" borderId="25" xfId="0" applyFill="1" applyBorder="1" applyAlignment="1">
      <alignment horizontal="right" vertical="center" wrapText="1"/>
    </xf>
    <xf numFmtId="3" fontId="4" fillId="0" borderId="0" xfId="0" applyNumberFormat="1" applyFont="1" applyAlignment="1">
      <alignment horizontal="center"/>
    </xf>
    <xf numFmtId="165" fontId="4" fillId="0" borderId="0" xfId="7" applyNumberFormat="1" applyFont="1" applyAlignment="1">
      <alignment horizontal="center"/>
    </xf>
    <xf numFmtId="0" fontId="135" fillId="0" borderId="0" xfId="0" applyFont="1" applyAlignment="1">
      <alignment horizontal="right" wrapText="1"/>
    </xf>
    <xf numFmtId="0" fontId="7" fillId="0" borderId="0" xfId="8" applyFont="1" applyFill="1" applyBorder="1" applyAlignment="1">
      <alignment horizontal="center"/>
    </xf>
    <xf numFmtId="0" fontId="1" fillId="0" borderId="0" xfId="0" applyFont="1" applyFill="1" applyBorder="1" applyAlignment="1">
      <alignment horizontal="center"/>
    </xf>
    <xf numFmtId="0" fontId="144" fillId="0" borderId="0" xfId="0" applyFont="1" applyAlignment="1">
      <alignment horizontal="center"/>
    </xf>
    <xf numFmtId="0" fontId="1" fillId="21" borderId="0" xfId="0" applyFont="1" applyFill="1" applyAlignment="1">
      <alignment vertical="center" wrapText="1"/>
    </xf>
    <xf numFmtId="0" fontId="0" fillId="21" borderId="0" xfId="0" applyFill="1" applyAlignment="1">
      <alignment vertical="center" wrapText="1"/>
    </xf>
    <xf numFmtId="0" fontId="6" fillId="0" borderId="0" xfId="0" applyFont="1" applyAlignment="1">
      <alignment horizontal="left" vertical="center" wrapText="1"/>
    </xf>
    <xf numFmtId="0" fontId="5" fillId="0" borderId="0" xfId="0" applyFont="1" applyAlignment="1">
      <alignment horizontal="left" vertical="center" wrapText="1" indent="1"/>
    </xf>
    <xf numFmtId="0" fontId="9" fillId="0" borderId="0" xfId="0" applyFont="1" applyAlignment="1">
      <alignment horizontal="right" wrapText="1"/>
    </xf>
    <xf numFmtId="0" fontId="4" fillId="0" borderId="21" xfId="0" applyFont="1" applyBorder="1" applyAlignment="1">
      <alignment horizontal="center"/>
    </xf>
    <xf numFmtId="0" fontId="6" fillId="24" borderId="33" xfId="0" applyFont="1" applyFill="1" applyBorder="1" applyAlignment="1">
      <alignment horizontal="right" vertical="center" wrapText="1" indent="1"/>
    </xf>
    <xf numFmtId="0" fontId="0" fillId="24" borderId="18" xfId="0" applyFill="1" applyBorder="1" applyAlignment="1">
      <alignment horizontal="right" vertical="center" wrapText="1" indent="1"/>
    </xf>
    <xf numFmtId="0" fontId="0" fillId="24" borderId="17" xfId="0" applyFill="1" applyBorder="1" applyAlignment="1">
      <alignment horizontal="right" vertical="center" wrapText="1" indent="1"/>
    </xf>
    <xf numFmtId="0" fontId="0" fillId="24" borderId="32" xfId="0" applyFill="1" applyBorder="1" applyAlignment="1">
      <alignment horizontal="right" vertical="center" wrapText="1" indent="1"/>
    </xf>
    <xf numFmtId="0" fontId="0" fillId="24" borderId="0" xfId="0" applyFill="1" applyBorder="1" applyAlignment="1">
      <alignment horizontal="right" vertical="center" wrapText="1" indent="1"/>
    </xf>
    <xf numFmtId="0" fontId="0" fillId="24" borderId="24" xfId="0" applyFill="1" applyBorder="1" applyAlignment="1">
      <alignment horizontal="right" vertical="center" wrapText="1" indent="1"/>
    </xf>
    <xf numFmtId="0" fontId="0" fillId="24" borderId="42" xfId="0" applyFill="1" applyBorder="1" applyAlignment="1">
      <alignment horizontal="right" vertical="center" wrapText="1" indent="1"/>
    </xf>
    <xf numFmtId="0" fontId="0" fillId="24" borderId="21" xfId="0" applyFill="1" applyBorder="1" applyAlignment="1">
      <alignment horizontal="right" vertical="center" wrapText="1" indent="1"/>
    </xf>
    <xf numFmtId="0" fontId="0" fillId="24" borderId="25" xfId="0" applyFill="1" applyBorder="1" applyAlignment="1">
      <alignment horizontal="right" vertical="center" wrapText="1" indent="1"/>
    </xf>
    <xf numFmtId="0" fontId="1" fillId="0" borderId="0" xfId="0" applyFont="1" applyAlignment="1">
      <alignment horizontal="left" vertical="center" wrapText="1" indent="2"/>
    </xf>
    <xf numFmtId="0" fontId="0" fillId="0" borderId="10" xfId="0" applyBorder="1" applyAlignment="1">
      <alignment horizontal="left" vertical="center" wrapText="1" indent="2"/>
    </xf>
    <xf numFmtId="7" fontId="77" fillId="0" borderId="34" xfId="2" applyNumberFormat="1" applyFont="1" applyBorder="1" applyAlignment="1">
      <alignment horizontal="right" vertical="center" wrapText="1" indent="1"/>
    </xf>
    <xf numFmtId="7" fontId="77" fillId="0" borderId="35" xfId="2" applyNumberFormat="1" applyFont="1" applyBorder="1" applyAlignment="1">
      <alignment horizontal="right" vertical="center" wrapText="1" indent="1"/>
    </xf>
    <xf numFmtId="7" fontId="77" fillId="0" borderId="36" xfId="2" applyNumberFormat="1" applyFont="1" applyBorder="1" applyAlignment="1">
      <alignment horizontal="right" vertical="center" wrapText="1" indent="1"/>
    </xf>
    <xf numFmtId="0" fontId="6" fillId="24" borderId="34" xfId="0" applyFont="1" applyFill="1" applyBorder="1" applyAlignment="1">
      <alignment horizontal="right" vertical="center" wrapText="1"/>
    </xf>
    <xf numFmtId="0" fontId="0" fillId="24" borderId="35" xfId="0" applyFill="1" applyBorder="1" applyAlignment="1">
      <alignment horizontal="right" vertical="center" wrapText="1"/>
    </xf>
    <xf numFmtId="0" fontId="0" fillId="24" borderId="36" xfId="0" applyFill="1" applyBorder="1" applyAlignment="1">
      <alignment horizontal="right" vertical="center" wrapText="1"/>
    </xf>
    <xf numFmtId="0" fontId="7" fillId="0" borderId="21" xfId="0" applyFont="1" applyBorder="1" applyAlignment="1">
      <alignment horizontal="center"/>
    </xf>
    <xf numFmtId="0" fontId="0" fillId="24" borderId="18" xfId="0" applyFill="1" applyBorder="1" applyAlignment="1">
      <alignment horizontal="right" vertical="center" wrapText="1"/>
    </xf>
    <xf numFmtId="0" fontId="0" fillId="24" borderId="17" xfId="0" applyFill="1" applyBorder="1" applyAlignment="1">
      <alignment horizontal="right" vertical="center" wrapText="1"/>
    </xf>
    <xf numFmtId="0" fontId="0" fillId="24" borderId="32" xfId="0" applyFill="1" applyBorder="1" applyAlignment="1">
      <alignment horizontal="right" vertical="center" wrapText="1"/>
    </xf>
    <xf numFmtId="0" fontId="0" fillId="24" borderId="0" xfId="0" applyFill="1" applyBorder="1" applyAlignment="1">
      <alignment horizontal="right" vertical="center" wrapText="1"/>
    </xf>
    <xf numFmtId="0" fontId="0" fillId="24" borderId="24" xfId="0" applyFill="1" applyBorder="1" applyAlignment="1">
      <alignment horizontal="right" vertical="center" wrapText="1"/>
    </xf>
    <xf numFmtId="0" fontId="0" fillId="24" borderId="42" xfId="0" applyFill="1" applyBorder="1" applyAlignment="1">
      <alignment horizontal="right" vertical="center" wrapText="1"/>
    </xf>
    <xf numFmtId="0" fontId="0" fillId="24" borderId="21" xfId="0" applyFill="1" applyBorder="1" applyAlignment="1">
      <alignment horizontal="right" vertical="center" wrapText="1"/>
    </xf>
    <xf numFmtId="0" fontId="0" fillId="24" borderId="25" xfId="0" applyFill="1" applyBorder="1" applyAlignment="1">
      <alignment horizontal="right" vertical="center" wrapText="1"/>
    </xf>
    <xf numFmtId="0" fontId="30" fillId="0" borderId="0" xfId="0" applyFont="1" applyAlignment="1">
      <alignment horizontal="right" wrapText="1"/>
    </xf>
    <xf numFmtId="0" fontId="5" fillId="0" borderId="0" xfId="0" applyFont="1" applyAlignment="1">
      <alignment horizontal="left" wrapText="1" indent="2"/>
    </xf>
    <xf numFmtId="0" fontId="5" fillId="0" borderId="0" xfId="0" applyFont="1" applyAlignment="1">
      <alignment horizontal="left" vertical="center" wrapText="1" indent="2"/>
    </xf>
    <xf numFmtId="0" fontId="4" fillId="8" borderId="33" xfId="0" applyFont="1" applyFill="1" applyBorder="1" applyAlignment="1">
      <alignment horizontal="right" wrapText="1"/>
    </xf>
    <xf numFmtId="166" fontId="8" fillId="8" borderId="34" xfId="0" applyNumberFormat="1" applyFont="1" applyFill="1" applyBorder="1" applyAlignment="1">
      <alignment horizontal="center" vertical="center" wrapText="1"/>
    </xf>
    <xf numFmtId="0" fontId="104" fillId="8" borderId="0" xfId="0" applyFont="1" applyFill="1" applyAlignment="1">
      <alignment horizontal="left" wrapText="1" indent="2"/>
    </xf>
    <xf numFmtId="0" fontId="0" fillId="8" borderId="0" xfId="0" applyFill="1" applyAlignment="1">
      <alignment horizontal="left" wrapText="1" indent="2"/>
    </xf>
    <xf numFmtId="0" fontId="104" fillId="17" borderId="0" xfId="0" applyFont="1" applyFill="1" applyAlignment="1">
      <alignment horizontal="left" vertical="center" wrapText="1" indent="2"/>
    </xf>
    <xf numFmtId="0" fontId="0" fillId="17" borderId="0" xfId="0" applyFill="1" applyAlignment="1">
      <alignment horizontal="left" vertical="center" wrapText="1" indent="2"/>
    </xf>
    <xf numFmtId="0" fontId="4" fillId="0" borderId="0" xfId="0" applyFont="1" applyBorder="1" applyAlignment="1">
      <alignment horizontal="center"/>
    </xf>
    <xf numFmtId="9" fontId="125" fillId="21" borderId="33" xfId="7" applyFont="1" applyFill="1" applyBorder="1" applyAlignment="1">
      <alignment horizontal="center" vertical="center" wrapText="1"/>
    </xf>
    <xf numFmtId="0" fontId="125" fillId="21" borderId="17" xfId="0" applyFont="1" applyFill="1" applyBorder="1" applyAlignment="1">
      <alignment horizontal="center" vertical="center" wrapText="1"/>
    </xf>
    <xf numFmtId="0" fontId="125" fillId="21" borderId="32" xfId="0" applyFont="1" applyFill="1" applyBorder="1" applyAlignment="1">
      <alignment horizontal="center" vertical="center" wrapText="1"/>
    </xf>
    <xf numFmtId="0" fontId="125" fillId="21" borderId="24" xfId="0" applyFont="1" applyFill="1" applyBorder="1" applyAlignment="1">
      <alignment horizontal="center" vertical="center" wrapText="1"/>
    </xf>
    <xf numFmtId="0" fontId="125" fillId="21" borderId="42" xfId="0" applyFont="1" applyFill="1" applyBorder="1" applyAlignment="1">
      <alignment horizontal="center" vertical="center" wrapText="1"/>
    </xf>
    <xf numFmtId="0" fontId="125" fillId="21" borderId="25" xfId="0" applyFont="1" applyFill="1" applyBorder="1" applyAlignment="1">
      <alignment horizontal="center" vertical="center" wrapText="1"/>
    </xf>
    <xf numFmtId="0" fontId="5" fillId="0" borderId="0" xfId="0" applyFont="1" applyAlignment="1">
      <alignment horizontal="left" vertical="top" wrapText="1" indent="2"/>
    </xf>
    <xf numFmtId="0" fontId="9" fillId="7" borderId="0" xfId="0" applyFont="1" applyFill="1" applyAlignment="1">
      <alignment horizontal="center" wrapText="1"/>
    </xf>
    <xf numFmtId="0" fontId="7" fillId="0" borderId="13" xfId="0" applyFont="1" applyBorder="1" applyAlignment="1">
      <alignment horizontal="right" vertical="center" wrapText="1"/>
    </xf>
    <xf numFmtId="0" fontId="0" fillId="0" borderId="14" xfId="0" applyBorder="1" applyAlignment="1">
      <alignment horizontal="right" vertical="center" wrapText="1"/>
    </xf>
    <xf numFmtId="0" fontId="0" fillId="0" borderId="53" xfId="0" applyBorder="1" applyAlignment="1">
      <alignment horizontal="right" vertical="center" wrapText="1"/>
    </xf>
    <xf numFmtId="0" fontId="6" fillId="47" borderId="0" xfId="0" applyFont="1" applyFill="1" applyAlignment="1">
      <alignment horizontal="right" vertical="center" wrapText="1"/>
    </xf>
    <xf numFmtId="0" fontId="0" fillId="47" borderId="0" xfId="0" applyFill="1" applyAlignment="1">
      <alignment horizontal="right" vertical="center" wrapText="1"/>
    </xf>
    <xf numFmtId="0" fontId="6" fillId="69" borderId="0" xfId="0" applyFont="1" applyFill="1" applyAlignment="1">
      <alignment horizontal="right" vertical="center" wrapText="1"/>
    </xf>
    <xf numFmtId="0" fontId="0" fillId="69" borderId="0" xfId="0" applyFill="1" applyAlignment="1">
      <alignment horizontal="right" vertical="center" wrapText="1"/>
    </xf>
    <xf numFmtId="0" fontId="136" fillId="55" borderId="33" xfId="0" applyFont="1" applyFill="1" applyBorder="1" applyAlignment="1">
      <alignment horizontal="left" vertical="center" wrapText="1" indent="1"/>
    </xf>
    <xf numFmtId="0" fontId="0" fillId="55" borderId="17" xfId="0" applyFill="1" applyBorder="1" applyAlignment="1">
      <alignment horizontal="left" vertical="center" wrapText="1" indent="1"/>
    </xf>
    <xf numFmtId="0" fontId="0" fillId="55" borderId="32" xfId="0" applyFill="1" applyBorder="1" applyAlignment="1">
      <alignment horizontal="left" vertical="center" wrapText="1" indent="1"/>
    </xf>
    <xf numFmtId="0" fontId="0" fillId="55" borderId="24" xfId="0" applyFill="1" applyBorder="1" applyAlignment="1">
      <alignment horizontal="left" vertical="center" wrapText="1" indent="1"/>
    </xf>
    <xf numFmtId="0" fontId="0" fillId="55" borderId="42" xfId="0" applyFill="1" applyBorder="1" applyAlignment="1">
      <alignment horizontal="left" vertical="center" wrapText="1" indent="1"/>
    </xf>
    <xf numFmtId="0" fontId="0" fillId="55" borderId="25" xfId="0" applyFill="1" applyBorder="1" applyAlignment="1">
      <alignment horizontal="left" vertical="center" wrapText="1" indent="1"/>
    </xf>
    <xf numFmtId="0" fontId="132" fillId="55" borderId="37" xfId="0" applyFont="1" applyFill="1" applyBorder="1" applyAlignment="1">
      <alignment horizontal="center"/>
    </xf>
    <xf numFmtId="0" fontId="132" fillId="55" borderId="31" xfId="0" applyFont="1" applyFill="1" applyBorder="1" applyAlignment="1">
      <alignment horizontal="center"/>
    </xf>
    <xf numFmtId="0" fontId="1" fillId="57" borderId="33" xfId="0" applyFont="1" applyFill="1" applyBorder="1" applyAlignment="1">
      <alignment horizontal="left" vertical="center" wrapText="1" indent="1"/>
    </xf>
    <xf numFmtId="0" fontId="0" fillId="57" borderId="17" xfId="0" applyFill="1" applyBorder="1" applyAlignment="1">
      <alignment horizontal="left" vertical="center" wrapText="1" indent="1"/>
    </xf>
    <xf numFmtId="0" fontId="0" fillId="57" borderId="32" xfId="0" applyFill="1" applyBorder="1" applyAlignment="1">
      <alignment horizontal="left" vertical="center" wrapText="1" indent="1"/>
    </xf>
    <xf numFmtId="0" fontId="0" fillId="57" borderId="24" xfId="0" applyFill="1" applyBorder="1" applyAlignment="1">
      <alignment horizontal="left" vertical="center" wrapText="1" indent="1"/>
    </xf>
    <xf numFmtId="0" fontId="0" fillId="57" borderId="42" xfId="0" applyFill="1" applyBorder="1" applyAlignment="1">
      <alignment horizontal="left" vertical="center" wrapText="1" indent="1"/>
    </xf>
    <xf numFmtId="0" fontId="0" fillId="57" borderId="25" xfId="0" applyFill="1" applyBorder="1" applyAlignment="1">
      <alignment horizontal="left" vertical="center" wrapText="1" indent="1"/>
    </xf>
    <xf numFmtId="0" fontId="0" fillId="0" borderId="0" xfId="0" applyBorder="1" applyAlignment="1">
      <alignment horizontal="left" vertical="center" wrapText="1" indent="2"/>
    </xf>
    <xf numFmtId="8" fontId="4" fillId="21" borderId="30" xfId="0" applyNumberFormat="1" applyFont="1" applyFill="1" applyBorder="1" applyAlignment="1">
      <alignment horizontal="center"/>
    </xf>
    <xf numFmtId="8" fontId="4" fillId="21" borderId="31" xfId="0" applyNumberFormat="1" applyFont="1" applyFill="1" applyBorder="1" applyAlignment="1">
      <alignment horizontal="center"/>
    </xf>
    <xf numFmtId="0" fontId="4" fillId="21" borderId="37" xfId="0" applyFont="1" applyFill="1" applyBorder="1" applyAlignment="1">
      <alignment horizontal="center"/>
    </xf>
    <xf numFmtId="0" fontId="4" fillId="21" borderId="30" xfId="0" applyFont="1" applyFill="1" applyBorder="1" applyAlignment="1">
      <alignment horizontal="center"/>
    </xf>
    <xf numFmtId="0" fontId="4" fillId="21" borderId="31" xfId="0" applyFont="1" applyFill="1" applyBorder="1" applyAlignment="1">
      <alignment horizontal="center"/>
    </xf>
    <xf numFmtId="0" fontId="6" fillId="29" borderId="33" xfId="0" applyFont="1" applyFill="1" applyBorder="1" applyAlignment="1">
      <alignment horizontal="left" vertical="center" wrapText="1" indent="1"/>
    </xf>
    <xf numFmtId="0" fontId="0" fillId="29" borderId="18" xfId="0" applyFill="1" applyBorder="1" applyAlignment="1">
      <alignment horizontal="left" vertical="center" wrapText="1" indent="1"/>
    </xf>
    <xf numFmtId="0" fontId="0" fillId="29" borderId="17" xfId="0" applyFill="1" applyBorder="1" applyAlignment="1">
      <alignment horizontal="left" vertical="center" wrapText="1" indent="1"/>
    </xf>
    <xf numFmtId="0" fontId="0" fillId="29" borderId="42" xfId="0" applyFill="1" applyBorder="1" applyAlignment="1">
      <alignment horizontal="left" vertical="center" wrapText="1" indent="1"/>
    </xf>
    <xf numFmtId="0" fontId="0" fillId="29" borderId="21" xfId="0" applyFill="1" applyBorder="1" applyAlignment="1">
      <alignment horizontal="left" vertical="center" wrapText="1" indent="1"/>
    </xf>
    <xf numFmtId="0" fontId="0" fillId="29" borderId="25" xfId="0" applyFill="1" applyBorder="1" applyAlignment="1">
      <alignment horizontal="left" vertical="center" wrapText="1" indent="1"/>
    </xf>
    <xf numFmtId="0" fontId="104" fillId="7" borderId="0" xfId="0" applyFont="1" applyFill="1" applyAlignment="1">
      <alignment horizontal="left" vertical="center" wrapText="1" indent="2"/>
    </xf>
    <xf numFmtId="0" fontId="0" fillId="7" borderId="0" xfId="0" applyFill="1" applyAlignment="1">
      <alignment horizontal="left" vertical="center" wrapText="1" indent="2"/>
    </xf>
    <xf numFmtId="0" fontId="7" fillId="17" borderId="0" xfId="0" applyFont="1" applyFill="1" applyAlignment="1">
      <alignment horizontal="center" wrapText="1"/>
    </xf>
    <xf numFmtId="0" fontId="9" fillId="17" borderId="0" xfId="0" applyFont="1" applyFill="1" applyAlignment="1">
      <alignment horizontal="center" wrapText="1"/>
    </xf>
    <xf numFmtId="0" fontId="5" fillId="0" borderId="33" xfId="0" applyFont="1" applyBorder="1" applyAlignment="1">
      <alignment horizontal="left" vertical="center" wrapText="1" indent="2"/>
    </xf>
    <xf numFmtId="0" fontId="0" fillId="0" borderId="18" xfId="0" applyBorder="1" applyAlignment="1">
      <alignment horizontal="left" vertical="center" wrapText="1" indent="2"/>
    </xf>
    <xf numFmtId="0" fontId="0" fillId="0" borderId="17" xfId="0" applyBorder="1" applyAlignment="1">
      <alignment horizontal="left" vertical="center" wrapText="1" indent="2"/>
    </xf>
    <xf numFmtId="0" fontId="0" fillId="0" borderId="32" xfId="0" applyBorder="1" applyAlignment="1">
      <alignment horizontal="left" vertical="center" wrapText="1" indent="2"/>
    </xf>
    <xf numFmtId="0" fontId="0" fillId="0" borderId="24" xfId="0" applyBorder="1" applyAlignment="1">
      <alignment horizontal="left" vertical="center" wrapText="1" indent="2"/>
    </xf>
    <xf numFmtId="0" fontId="0" fillId="0" borderId="42" xfId="0" applyBorder="1" applyAlignment="1">
      <alignment horizontal="left" vertical="center" wrapText="1" indent="2"/>
    </xf>
    <xf numFmtId="0" fontId="0" fillId="0" borderId="21" xfId="0" applyBorder="1" applyAlignment="1">
      <alignment horizontal="left" vertical="center" wrapText="1" indent="2"/>
    </xf>
    <xf numFmtId="0" fontId="0" fillId="0" borderId="25" xfId="0" applyBorder="1" applyAlignment="1">
      <alignment horizontal="left" vertical="center" wrapText="1" indent="2"/>
    </xf>
    <xf numFmtId="0" fontId="4" fillId="69" borderId="18" xfId="0" applyFont="1" applyFill="1" applyBorder="1" applyAlignment="1">
      <alignment horizontal="left" vertical="center" wrapText="1"/>
    </xf>
    <xf numFmtId="0" fontId="0" fillId="69" borderId="18" xfId="0" applyFill="1" applyBorder="1" applyAlignment="1">
      <alignment horizontal="left" vertical="center" wrapText="1"/>
    </xf>
    <xf numFmtId="0" fontId="0" fillId="69" borderId="17" xfId="0" applyFill="1" applyBorder="1" applyAlignment="1">
      <alignment horizontal="left" vertical="center" wrapText="1"/>
    </xf>
    <xf numFmtId="0" fontId="0" fillId="69" borderId="0" xfId="0" applyFill="1" applyBorder="1" applyAlignment="1">
      <alignment horizontal="left" vertical="center" wrapText="1"/>
    </xf>
    <xf numFmtId="0" fontId="0" fillId="69" borderId="24" xfId="0" applyFill="1" applyBorder="1" applyAlignment="1">
      <alignment horizontal="left" vertical="center" wrapText="1"/>
    </xf>
    <xf numFmtId="0" fontId="6" fillId="0" borderId="0" xfId="0" applyFont="1" applyAlignment="1">
      <alignment horizontal="left" vertical="center" wrapText="1" indent="4"/>
    </xf>
    <xf numFmtId="0" fontId="0" fillId="0" borderId="0" xfId="0" applyAlignment="1">
      <alignment horizontal="left" vertical="center" wrapText="1" indent="4"/>
    </xf>
    <xf numFmtId="187" fontId="0" fillId="0" borderId="0" xfId="0" applyNumberFormat="1" applyAlignment="1">
      <alignment horizontal="center"/>
    </xf>
    <xf numFmtId="0" fontId="10" fillId="0" borderId="0" xfId="0" applyFont="1" applyBorder="1" applyAlignment="1">
      <alignment horizontal="right" wrapText="1"/>
    </xf>
    <xf numFmtId="0" fontId="7" fillId="0" borderId="33" xfId="0" applyFont="1" applyBorder="1" applyAlignment="1">
      <alignment horizontal="center" vertical="center" wrapText="1"/>
    </xf>
    <xf numFmtId="0" fontId="5" fillId="0" borderId="0" xfId="0" applyFont="1" applyBorder="1" applyAlignment="1">
      <alignment vertical="center" wrapText="1"/>
    </xf>
    <xf numFmtId="0" fontId="6" fillId="0" borderId="0" xfId="0" applyNumberFormat="1" applyFont="1" applyAlignment="1">
      <alignment horizontal="left" vertical="center" wrapText="1" indent="3"/>
    </xf>
    <xf numFmtId="0" fontId="7" fillId="3" borderId="33" xfId="0" applyFont="1" applyFill="1" applyBorder="1" applyAlignment="1">
      <alignment horizontal="left" vertical="center" wrapText="1" indent="1"/>
    </xf>
    <xf numFmtId="0" fontId="9" fillId="3" borderId="18"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9" fillId="3" borderId="32" xfId="0" applyFont="1" applyFill="1" applyBorder="1" applyAlignment="1">
      <alignment horizontal="left" vertical="center" wrapText="1" indent="1"/>
    </xf>
    <xf numFmtId="0" fontId="9" fillId="3" borderId="0" xfId="0" applyFont="1" applyFill="1" applyBorder="1" applyAlignment="1">
      <alignment horizontal="left" vertical="center" wrapText="1" indent="1"/>
    </xf>
    <xf numFmtId="0" fontId="9" fillId="3" borderId="24" xfId="0" applyFont="1" applyFill="1" applyBorder="1" applyAlignment="1">
      <alignment horizontal="left" vertical="center" wrapText="1" indent="1"/>
    </xf>
    <xf numFmtId="0" fontId="9" fillId="3" borderId="42" xfId="0" applyFont="1" applyFill="1" applyBorder="1" applyAlignment="1">
      <alignment horizontal="left" vertical="center" wrapText="1" indent="1"/>
    </xf>
    <xf numFmtId="0" fontId="9" fillId="3" borderId="21" xfId="0" applyFont="1" applyFill="1" applyBorder="1" applyAlignment="1">
      <alignment horizontal="left" vertical="center" wrapText="1" indent="1"/>
    </xf>
    <xf numFmtId="0" fontId="9" fillId="3" borderId="25" xfId="0" applyFont="1" applyFill="1" applyBorder="1" applyAlignment="1">
      <alignment horizontal="left" vertical="center" wrapText="1" indent="1"/>
    </xf>
    <xf numFmtId="0" fontId="1" fillId="21" borderId="18" xfId="0" applyFont="1" applyFill="1" applyBorder="1" applyAlignment="1">
      <alignment horizontal="left" vertical="center" wrapText="1" indent="1"/>
    </xf>
    <xf numFmtId="0" fontId="1" fillId="47" borderId="18" xfId="0" applyFont="1" applyFill="1" applyBorder="1" applyAlignment="1">
      <alignment horizontal="left" vertical="center" wrapText="1" indent="1"/>
    </xf>
    <xf numFmtId="0" fontId="6" fillId="26" borderId="33" xfId="0" applyFont="1" applyFill="1" applyBorder="1" applyAlignment="1">
      <alignment horizontal="left" vertical="center" wrapText="1" indent="1"/>
    </xf>
    <xf numFmtId="0" fontId="0" fillId="26" borderId="18" xfId="0" applyFill="1" applyBorder="1" applyAlignment="1">
      <alignment horizontal="left" vertical="center" wrapText="1" indent="1"/>
    </xf>
    <xf numFmtId="0" fontId="0" fillId="26" borderId="17" xfId="0" applyFill="1" applyBorder="1" applyAlignment="1">
      <alignment horizontal="left" vertical="center" wrapText="1" indent="1"/>
    </xf>
    <xf numFmtId="0" fontId="0" fillId="26" borderId="32" xfId="0" applyFill="1" applyBorder="1" applyAlignment="1">
      <alignment horizontal="left" vertical="center" wrapText="1" indent="1"/>
    </xf>
    <xf numFmtId="0" fontId="0" fillId="26" borderId="0" xfId="0" applyFill="1" applyBorder="1" applyAlignment="1">
      <alignment horizontal="left" vertical="center" wrapText="1" indent="1"/>
    </xf>
    <xf numFmtId="0" fontId="0" fillId="26" borderId="24" xfId="0" applyFill="1" applyBorder="1" applyAlignment="1">
      <alignment horizontal="left" vertical="center" wrapText="1" indent="1"/>
    </xf>
    <xf numFmtId="0" fontId="5" fillId="0" borderId="0" xfId="0" applyFont="1" applyAlignment="1">
      <alignment horizontal="center" wrapText="1"/>
    </xf>
    <xf numFmtId="0" fontId="6" fillId="53" borderId="33" xfId="0" applyFont="1" applyFill="1" applyBorder="1" applyAlignment="1">
      <alignment horizontal="center" vertical="center" wrapText="1"/>
    </xf>
    <xf numFmtId="0" fontId="0" fillId="53" borderId="18" xfId="0" applyFill="1" applyBorder="1" applyAlignment="1">
      <alignment horizontal="center" vertical="center" wrapText="1"/>
    </xf>
    <xf numFmtId="0" fontId="0" fillId="53" borderId="17" xfId="0" applyFill="1" applyBorder="1" applyAlignment="1">
      <alignment horizontal="center" vertical="center" wrapText="1"/>
    </xf>
    <xf numFmtId="0" fontId="0" fillId="53" borderId="21" xfId="0" applyFill="1" applyBorder="1" applyAlignment="1">
      <alignment horizontal="center" vertical="center" wrapText="1"/>
    </xf>
    <xf numFmtId="2" fontId="4" fillId="53" borderId="37" xfId="0" applyNumberFormat="1" applyFont="1" applyFill="1" applyBorder="1" applyAlignment="1">
      <alignment horizontal="center"/>
    </xf>
    <xf numFmtId="2" fontId="4" fillId="53" borderId="30" xfId="0" applyNumberFormat="1" applyFont="1" applyFill="1" applyBorder="1" applyAlignment="1">
      <alignment horizontal="center"/>
    </xf>
    <xf numFmtId="2" fontId="4" fillId="53" borderId="31" xfId="0" applyNumberFormat="1" applyFont="1" applyFill="1" applyBorder="1" applyAlignment="1">
      <alignment horizontal="center"/>
    </xf>
    <xf numFmtId="0" fontId="1" fillId="25" borderId="34" xfId="0" applyFont="1" applyFill="1" applyBorder="1" applyAlignment="1">
      <alignment horizontal="right" vertical="center" wrapText="1" indent="2"/>
    </xf>
    <xf numFmtId="0" fontId="0" fillId="0" borderId="35" xfId="0" applyBorder="1" applyAlignment="1">
      <alignment horizontal="right" vertical="center" wrapText="1" indent="2"/>
    </xf>
    <xf numFmtId="0" fontId="0" fillId="0" borderId="36" xfId="0" applyBorder="1" applyAlignment="1">
      <alignment horizontal="right" vertical="center" wrapText="1" indent="2"/>
    </xf>
    <xf numFmtId="0" fontId="1" fillId="47" borderId="33" xfId="0" applyFont="1" applyFill="1" applyBorder="1" applyAlignment="1">
      <alignment horizontal="left" vertical="center" wrapText="1" indent="2"/>
    </xf>
    <xf numFmtId="0" fontId="0" fillId="47" borderId="18" xfId="0" applyFill="1" applyBorder="1" applyAlignment="1">
      <alignment horizontal="left" vertical="center" wrapText="1" indent="2"/>
    </xf>
    <xf numFmtId="0" fontId="0" fillId="47" borderId="17" xfId="0" applyFill="1" applyBorder="1" applyAlignment="1">
      <alignment horizontal="left" vertical="center" wrapText="1" indent="2"/>
    </xf>
    <xf numFmtId="0" fontId="0" fillId="47" borderId="32" xfId="0" applyFill="1" applyBorder="1" applyAlignment="1">
      <alignment horizontal="left" vertical="center" wrapText="1" indent="2"/>
    </xf>
    <xf numFmtId="0" fontId="0" fillId="47" borderId="0" xfId="0" applyFill="1" applyBorder="1" applyAlignment="1">
      <alignment horizontal="left" vertical="center" wrapText="1" indent="2"/>
    </xf>
    <xf numFmtId="0" fontId="0" fillId="47" borderId="24" xfId="0" applyFill="1" applyBorder="1" applyAlignment="1">
      <alignment horizontal="left" vertical="center" wrapText="1" indent="2"/>
    </xf>
    <xf numFmtId="0" fontId="0" fillId="47" borderId="42" xfId="0" applyFill="1" applyBorder="1" applyAlignment="1">
      <alignment horizontal="left" vertical="center" wrapText="1" indent="2"/>
    </xf>
    <xf numFmtId="0" fontId="0" fillId="47" borderId="21" xfId="0" applyFill="1" applyBorder="1" applyAlignment="1">
      <alignment horizontal="left" vertical="center" wrapText="1" indent="2"/>
    </xf>
    <xf numFmtId="0" fontId="0" fillId="47" borderId="25" xfId="0" applyFill="1" applyBorder="1" applyAlignment="1">
      <alignment horizontal="left" vertical="center" wrapText="1" indent="2"/>
    </xf>
    <xf numFmtId="0" fontId="6" fillId="0" borderId="0" xfId="0" applyFont="1" applyAlignment="1">
      <alignment horizontal="right" vertical="center" wrapText="1" indent="1"/>
    </xf>
    <xf numFmtId="0" fontId="0" fillId="0" borderId="0" xfId="0" applyAlignment="1">
      <alignment horizontal="right" vertical="center" wrapText="1" indent="1"/>
    </xf>
    <xf numFmtId="195" fontId="5" fillId="0" borderId="37" xfId="1" applyNumberFormat="1" applyFont="1" applyBorder="1" applyAlignment="1">
      <alignment horizontal="center"/>
    </xf>
    <xf numFmtId="195" fontId="5" fillId="0" borderId="30" xfId="1" applyNumberFormat="1" applyFont="1" applyBorder="1" applyAlignment="1">
      <alignment horizontal="center"/>
    </xf>
    <xf numFmtId="195" fontId="5" fillId="0" borderId="31" xfId="1" applyNumberFormat="1" applyFont="1" applyBorder="1" applyAlignment="1">
      <alignment horizontal="center"/>
    </xf>
    <xf numFmtId="0" fontId="6" fillId="21" borderId="33" xfId="0" applyFont="1" applyFill="1" applyBorder="1" applyAlignment="1">
      <alignment vertical="center" wrapText="1"/>
    </xf>
    <xf numFmtId="0" fontId="0" fillId="21" borderId="17" xfId="0" applyFill="1" applyBorder="1" applyAlignment="1">
      <alignment vertical="center" wrapText="1"/>
    </xf>
    <xf numFmtId="0" fontId="0" fillId="21" borderId="32" xfId="0" applyFill="1" applyBorder="1" applyAlignment="1">
      <alignment vertical="center" wrapText="1"/>
    </xf>
    <xf numFmtId="0" fontId="0" fillId="21" borderId="24" xfId="0" applyFill="1" applyBorder="1" applyAlignment="1">
      <alignment vertical="center" wrapText="1"/>
    </xf>
    <xf numFmtId="0" fontId="0" fillId="21" borderId="42" xfId="0" applyFill="1" applyBorder="1" applyAlignment="1">
      <alignment vertical="center" wrapText="1"/>
    </xf>
    <xf numFmtId="0" fontId="0" fillId="21" borderId="25" xfId="0" applyFill="1" applyBorder="1" applyAlignment="1">
      <alignment vertical="center" wrapText="1"/>
    </xf>
    <xf numFmtId="0" fontId="6" fillId="26" borderId="34" xfId="0" applyFont="1" applyFill="1" applyBorder="1" applyAlignment="1">
      <alignment horizontal="right" vertical="center" wrapText="1"/>
    </xf>
    <xf numFmtId="0" fontId="0" fillId="26" borderId="35" xfId="0" applyFill="1" applyBorder="1" applyAlignment="1">
      <alignment horizontal="right" vertical="center" wrapText="1"/>
    </xf>
    <xf numFmtId="0" fontId="0" fillId="26" borderId="36" xfId="0" applyFill="1" applyBorder="1" applyAlignment="1">
      <alignment horizontal="right" vertical="center" wrapText="1"/>
    </xf>
    <xf numFmtId="43" fontId="10" fillId="0" borderId="33" xfId="1" applyFont="1" applyBorder="1" applyAlignment="1">
      <alignment horizontal="left" wrapText="1"/>
    </xf>
    <xf numFmtId="0" fontId="0" fillId="0" borderId="17" xfId="0" applyBorder="1" applyAlignment="1">
      <alignment wrapText="1"/>
    </xf>
    <xf numFmtId="0" fontId="7" fillId="0" borderId="29" xfId="0" applyFont="1" applyBorder="1" applyAlignment="1">
      <alignment horizontal="right" wrapText="1"/>
    </xf>
    <xf numFmtId="0" fontId="4" fillId="0" borderId="29" xfId="0" applyFont="1" applyBorder="1" applyAlignment="1">
      <alignment horizontal="right" wrapText="1"/>
    </xf>
    <xf numFmtId="0" fontId="20" fillId="0" borderId="34" xfId="0" applyFont="1" applyBorder="1" applyAlignment="1">
      <alignment horizontal="left" vertical="center" wrapText="1" indent="1"/>
    </xf>
    <xf numFmtId="0" fontId="16" fillId="0" borderId="35" xfId="0" applyFont="1" applyBorder="1" applyAlignment="1">
      <alignment horizontal="left" vertical="center" wrapText="1" indent="1"/>
    </xf>
    <xf numFmtId="0" fontId="16" fillId="0" borderId="36" xfId="0" applyFont="1" applyBorder="1" applyAlignment="1">
      <alignment horizontal="left" vertical="center" wrapText="1" indent="1"/>
    </xf>
    <xf numFmtId="0" fontId="9" fillId="0" borderId="33" xfId="0" applyFont="1" applyBorder="1" applyAlignment="1">
      <alignment horizontal="left" vertical="center" wrapText="1" indent="1"/>
    </xf>
    <xf numFmtId="0" fontId="6" fillId="0" borderId="43"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7" fillId="47" borderId="33" xfId="0" applyFont="1" applyFill="1" applyBorder="1" applyAlignment="1">
      <alignment horizontal="left" vertical="center" wrapText="1" indent="2"/>
    </xf>
    <xf numFmtId="0" fontId="4" fillId="47" borderId="18" xfId="0" applyFont="1" applyFill="1" applyBorder="1" applyAlignment="1">
      <alignment horizontal="left" vertical="center" wrapText="1" indent="2"/>
    </xf>
    <xf numFmtId="0" fontId="4" fillId="47" borderId="17" xfId="0" applyFont="1" applyFill="1" applyBorder="1" applyAlignment="1">
      <alignment horizontal="left" vertical="center" wrapText="1" indent="2"/>
    </xf>
    <xf numFmtId="0" fontId="4" fillId="47" borderId="32" xfId="0" applyFont="1" applyFill="1" applyBorder="1" applyAlignment="1">
      <alignment horizontal="left" vertical="center" wrapText="1" indent="2"/>
    </xf>
    <xf numFmtId="0" fontId="4" fillId="47" borderId="0" xfId="0" applyFont="1" applyFill="1" applyBorder="1" applyAlignment="1">
      <alignment horizontal="left" vertical="center" wrapText="1" indent="2"/>
    </xf>
    <xf numFmtId="0" fontId="4" fillId="47" borderId="24" xfId="0" applyFont="1" applyFill="1" applyBorder="1" applyAlignment="1">
      <alignment horizontal="left" vertical="center" wrapText="1" indent="2"/>
    </xf>
    <xf numFmtId="0" fontId="4" fillId="47" borderId="42" xfId="0" applyFont="1" applyFill="1" applyBorder="1" applyAlignment="1">
      <alignment horizontal="left" vertical="center" wrapText="1" indent="2"/>
    </xf>
    <xf numFmtId="0" fontId="4" fillId="47" borderId="21" xfId="0" applyFont="1" applyFill="1" applyBorder="1" applyAlignment="1">
      <alignment horizontal="left" vertical="center" wrapText="1" indent="2"/>
    </xf>
    <xf numFmtId="0" fontId="4" fillId="47" borderId="25" xfId="0" applyFont="1" applyFill="1" applyBorder="1" applyAlignment="1">
      <alignment horizontal="left" vertical="center" wrapText="1" indent="2"/>
    </xf>
    <xf numFmtId="49" fontId="4" fillId="0" borderId="0" xfId="0" applyNumberFormat="1" applyFont="1" applyAlignment="1">
      <alignment horizontal="center" vertical="center"/>
    </xf>
    <xf numFmtId="0" fontId="4" fillId="0" borderId="0" xfId="0" applyFont="1" applyAlignment="1">
      <alignment horizontal="center" wrapText="1"/>
    </xf>
    <xf numFmtId="0" fontId="7" fillId="0" borderId="36" xfId="0" applyFont="1" applyBorder="1" applyAlignment="1">
      <alignment horizontal="center" wrapText="1"/>
    </xf>
    <xf numFmtId="0" fontId="0" fillId="0" borderId="36" xfId="0" applyBorder="1" applyAlignment="1">
      <alignment horizontal="center" wrapText="1"/>
    </xf>
    <xf numFmtId="0" fontId="6" fillId="0" borderId="29" xfId="0" applyFont="1" applyBorder="1" applyAlignment="1">
      <alignment horizontal="left" vertical="center" wrapText="1" indent="2"/>
    </xf>
    <xf numFmtId="0" fontId="0" fillId="0" borderId="29" xfId="0" applyBorder="1" applyAlignment="1">
      <alignment horizontal="left" vertical="center" wrapText="1" indent="2"/>
    </xf>
    <xf numFmtId="0" fontId="0" fillId="0" borderId="37" xfId="0" applyBorder="1" applyAlignment="1">
      <alignment horizontal="left" vertical="center" wrapText="1" indent="2"/>
    </xf>
    <xf numFmtId="0" fontId="5" fillId="0" borderId="0" xfId="0" applyFont="1" applyAlignment="1">
      <alignment horizontal="left" wrapText="1"/>
    </xf>
    <xf numFmtId="0" fontId="9" fillId="0" borderId="18" xfId="0" applyFont="1" applyBorder="1" applyAlignment="1">
      <alignment horizontal="left" vertical="center" wrapText="1" indent="1"/>
    </xf>
    <xf numFmtId="0" fontId="9" fillId="0" borderId="17" xfId="0" applyFont="1" applyBorder="1" applyAlignment="1">
      <alignment horizontal="left" vertical="center" wrapText="1" indent="1"/>
    </xf>
    <xf numFmtId="0" fontId="9" fillId="0" borderId="32"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0" borderId="42" xfId="0" applyFont="1" applyBorder="1" applyAlignment="1">
      <alignment horizontal="left" vertical="center" wrapText="1" indent="1"/>
    </xf>
    <xf numFmtId="0" fontId="9" fillId="0" borderId="21" xfId="0" applyFont="1" applyBorder="1" applyAlignment="1">
      <alignment horizontal="left" vertical="center" wrapText="1" indent="1"/>
    </xf>
    <xf numFmtId="0" fontId="9" fillId="0" borderId="25" xfId="0" applyFont="1" applyBorder="1" applyAlignment="1">
      <alignment horizontal="left" vertical="center" wrapText="1" indent="1"/>
    </xf>
    <xf numFmtId="0" fontId="6" fillId="2" borderId="33" xfId="0" applyFont="1" applyFill="1" applyBorder="1" applyAlignment="1">
      <alignment vertical="center" wrapText="1"/>
    </xf>
    <xf numFmtId="0" fontId="0" fillId="2" borderId="18" xfId="0" applyFill="1" applyBorder="1" applyAlignment="1">
      <alignment vertical="center" wrapText="1"/>
    </xf>
    <xf numFmtId="0" fontId="0" fillId="2" borderId="17" xfId="0" applyFill="1" applyBorder="1" applyAlignment="1">
      <alignment vertical="center" wrapText="1"/>
    </xf>
    <xf numFmtId="0" fontId="0" fillId="2" borderId="32" xfId="0" applyFill="1" applyBorder="1" applyAlignment="1">
      <alignment vertical="center" wrapText="1"/>
    </xf>
    <xf numFmtId="0" fontId="0" fillId="2" borderId="0" xfId="0" applyFill="1" applyBorder="1" applyAlignment="1">
      <alignment vertical="center" wrapText="1"/>
    </xf>
    <xf numFmtId="0" fontId="0" fillId="2" borderId="24" xfId="0" applyFill="1" applyBorder="1" applyAlignment="1">
      <alignment vertical="center" wrapText="1"/>
    </xf>
    <xf numFmtId="0" fontId="0" fillId="2" borderId="42" xfId="0" applyFill="1" applyBorder="1" applyAlignment="1">
      <alignment vertical="center" wrapText="1"/>
    </xf>
    <xf numFmtId="0" fontId="0" fillId="2" borderId="21" xfId="0" applyFill="1" applyBorder="1" applyAlignment="1">
      <alignment vertical="center" wrapText="1"/>
    </xf>
    <xf numFmtId="0" fontId="0" fillId="2" borderId="25" xfId="0" applyFill="1" applyBorder="1" applyAlignment="1">
      <alignment vertical="center" wrapText="1"/>
    </xf>
    <xf numFmtId="0" fontId="6" fillId="8" borderId="34" xfId="0" applyFont="1" applyFill="1" applyBorder="1" applyAlignment="1">
      <alignment horizontal="left" vertical="center" wrapText="1" indent="1"/>
    </xf>
    <xf numFmtId="0" fontId="0" fillId="8" borderId="35" xfId="0" applyFill="1" applyBorder="1" applyAlignment="1">
      <alignment horizontal="left" vertical="center" wrapText="1" indent="1"/>
    </xf>
    <xf numFmtId="0" fontId="7" fillId="2" borderId="43" xfId="0" applyFont="1" applyFill="1" applyBorder="1" applyAlignment="1">
      <alignment horizontal="left" wrapText="1"/>
    </xf>
    <xf numFmtId="0" fontId="7" fillId="2" borderId="9" xfId="0" applyFont="1" applyFill="1" applyBorder="1" applyAlignment="1">
      <alignment horizontal="left" wrapText="1"/>
    </xf>
    <xf numFmtId="0" fontId="7" fillId="2" borderId="44" xfId="0" applyFont="1" applyFill="1" applyBorder="1" applyAlignment="1">
      <alignment horizontal="left" wrapText="1"/>
    </xf>
    <xf numFmtId="0" fontId="7" fillId="2" borderId="10" xfId="0" applyFont="1" applyFill="1" applyBorder="1" applyAlignment="1">
      <alignment horizontal="left" wrapText="1"/>
    </xf>
    <xf numFmtId="0" fontId="7" fillId="2" borderId="45" xfId="0" applyFont="1" applyFill="1" applyBorder="1" applyAlignment="1">
      <alignment horizontal="left" wrapText="1"/>
    </xf>
    <xf numFmtId="0" fontId="7" fillId="2" borderId="11" xfId="0" applyFont="1" applyFill="1" applyBorder="1" applyAlignment="1">
      <alignment horizontal="left" wrapText="1"/>
    </xf>
    <xf numFmtId="0" fontId="8" fillId="8" borderId="43" xfId="0" applyFont="1" applyFill="1" applyBorder="1" applyAlignment="1">
      <alignment horizontal="center"/>
    </xf>
    <xf numFmtId="0" fontId="8" fillId="8" borderId="8" xfId="0" applyFont="1" applyFill="1" applyBorder="1" applyAlignment="1">
      <alignment horizontal="center"/>
    </xf>
    <xf numFmtId="0" fontId="6" fillId="17" borderId="0" xfId="0" applyFont="1" applyFill="1" applyAlignment="1">
      <alignment vertical="center" wrapText="1"/>
    </xf>
    <xf numFmtId="0" fontId="0" fillId="17" borderId="0" xfId="0" applyFill="1" applyAlignment="1">
      <alignment vertical="center" wrapText="1"/>
    </xf>
    <xf numFmtId="0" fontId="10" fillId="0" borderId="0" xfId="0" applyFont="1" applyAlignment="1">
      <alignment horizontal="left" wrapText="1" indent="2"/>
    </xf>
    <xf numFmtId="0" fontId="9" fillId="2" borderId="33" xfId="0" applyFont="1" applyFill="1" applyBorder="1" applyAlignment="1">
      <alignment vertical="center" wrapText="1"/>
    </xf>
    <xf numFmtId="0" fontId="4" fillId="0" borderId="0" xfId="0" applyFont="1" applyAlignment="1">
      <alignment horizontal="center" vertical="center"/>
    </xf>
    <xf numFmtId="0" fontId="1" fillId="57" borderId="33" xfId="0" applyFont="1" applyFill="1" applyBorder="1" applyAlignment="1">
      <alignment horizontal="center"/>
    </xf>
    <xf numFmtId="0" fontId="1" fillId="57" borderId="17" xfId="0" applyFont="1" applyFill="1" applyBorder="1" applyAlignment="1">
      <alignment horizontal="center"/>
    </xf>
    <xf numFmtId="9" fontId="4" fillId="0" borderId="0" xfId="7" applyFont="1" applyAlignment="1">
      <alignment horizontal="center"/>
    </xf>
    <xf numFmtId="7" fontId="1" fillId="0" borderId="0" xfId="2" applyNumberFormat="1" applyFont="1" applyAlignment="1">
      <alignment horizontal="center"/>
    </xf>
    <xf numFmtId="0" fontId="1" fillId="47" borderId="33" xfId="0" applyFont="1" applyFill="1" applyBorder="1" applyAlignment="1">
      <alignment horizontal="left" vertical="center" wrapText="1" indent="1"/>
    </xf>
    <xf numFmtId="9" fontId="2" fillId="47" borderId="29" xfId="0" applyNumberFormat="1" applyFont="1" applyFill="1" applyBorder="1" applyAlignment="1">
      <alignment horizontal="center" vertical="center" wrapText="1"/>
    </xf>
    <xf numFmtId="0" fontId="6" fillId="0" borderId="0" xfId="0" quotePrefix="1" applyFont="1" applyAlignment="1">
      <alignment horizontal="left" vertical="center" wrapText="1" indent="1"/>
    </xf>
    <xf numFmtId="9" fontId="0" fillId="0" borderId="29" xfId="0" applyNumberFormat="1" applyBorder="1" applyAlignment="1">
      <alignment horizontal="center" vertical="center" wrapText="1"/>
    </xf>
    <xf numFmtId="0" fontId="26" fillId="0" borderId="0" xfId="0" applyFont="1" applyAlignment="1">
      <alignment wrapText="1"/>
    </xf>
    <xf numFmtId="0" fontId="67" fillId="0" borderId="0" xfId="0" applyFont="1" applyAlignment="1">
      <alignment wrapText="1"/>
    </xf>
    <xf numFmtId="0" fontId="26" fillId="0" borderId="0" xfId="0" applyFont="1" applyBorder="1" applyAlignment="1">
      <alignment vertical="center" wrapText="1"/>
    </xf>
    <xf numFmtId="0" fontId="26" fillId="0" borderId="44" xfId="0" applyFont="1" applyBorder="1" applyAlignment="1">
      <alignment vertical="center" wrapText="1"/>
    </xf>
    <xf numFmtId="0" fontId="67" fillId="0" borderId="0" xfId="0" applyFont="1" applyAlignment="1">
      <alignment horizontal="left" vertical="center" wrapText="1" indent="1"/>
    </xf>
    <xf numFmtId="15" fontId="67" fillId="0" borderId="33" xfId="0" applyNumberFormat="1" applyFont="1" applyBorder="1" applyAlignment="1">
      <alignment wrapText="1"/>
    </xf>
    <xf numFmtId="0" fontId="2" fillId="0" borderId="43"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wrapText="1"/>
    </xf>
    <xf numFmtId="0" fontId="2" fillId="0" borderId="8" xfId="0" applyFont="1" applyBorder="1" applyAlignment="1">
      <alignment vertical="center" wrapText="1"/>
    </xf>
    <xf numFmtId="0" fontId="6" fillId="0" borderId="0" xfId="0" applyFont="1" applyAlignment="1">
      <alignment horizontal="center" wrapText="1"/>
    </xf>
    <xf numFmtId="7" fontId="7" fillId="21" borderId="34" xfId="2" applyNumberFormat="1" applyFont="1" applyFill="1" applyBorder="1" applyAlignment="1">
      <alignment horizontal="center" vertical="center" wrapText="1"/>
    </xf>
    <xf numFmtId="0" fontId="6" fillId="21" borderId="36" xfId="0" applyFont="1" applyFill="1" applyBorder="1" applyAlignment="1">
      <alignment horizontal="center" vertical="center" wrapText="1"/>
    </xf>
    <xf numFmtId="0" fontId="6" fillId="0" borderId="21" xfId="0" applyFont="1" applyBorder="1" applyAlignment="1">
      <alignment horizontal="left" vertical="center" wrapText="1" indent="1"/>
    </xf>
    <xf numFmtId="0" fontId="135" fillId="0" borderId="0" xfId="0" applyFont="1" applyFill="1" applyAlignment="1">
      <alignment horizontal="right" wrapText="1"/>
    </xf>
    <xf numFmtId="0" fontId="0" fillId="0" borderId="0" xfId="0" applyFill="1" applyAlignment="1">
      <alignment horizontal="right" wrapText="1"/>
    </xf>
    <xf numFmtId="0" fontId="6" fillId="0" borderId="17" xfId="0" applyFont="1" applyBorder="1" applyAlignment="1">
      <alignment horizontal="left" vertical="center" wrapText="1" indent="1"/>
    </xf>
    <xf numFmtId="0" fontId="6" fillId="0" borderId="42" xfId="0" applyFont="1" applyBorder="1" applyAlignment="1">
      <alignment horizontal="left" vertical="center" wrapText="1" indent="1"/>
    </xf>
    <xf numFmtId="0" fontId="6" fillId="0" borderId="25" xfId="0" applyFont="1" applyBorder="1" applyAlignment="1">
      <alignment horizontal="left" vertical="center" wrapText="1" indent="1"/>
    </xf>
    <xf numFmtId="0" fontId="132" fillId="0" borderId="0" xfId="0" applyFont="1" applyAlignment="1">
      <alignment horizontal="left" vertical="center" wrapText="1"/>
    </xf>
    <xf numFmtId="195" fontId="136" fillId="21" borderId="33" xfId="0" applyNumberFormat="1" applyFont="1" applyFill="1" applyBorder="1" applyAlignment="1">
      <alignment horizontal="center" vertical="center" wrapText="1"/>
    </xf>
    <xf numFmtId="0" fontId="0" fillId="21" borderId="18" xfId="0" applyFill="1" applyBorder="1" applyAlignment="1">
      <alignment horizontal="center" vertical="center" wrapText="1"/>
    </xf>
    <xf numFmtId="0" fontId="132" fillId="0" borderId="33" xfId="0" applyFont="1" applyBorder="1" applyAlignment="1">
      <alignment horizontal="left" vertical="center" wrapText="1" indent="1"/>
    </xf>
    <xf numFmtId="0" fontId="132" fillId="0" borderId="18" xfId="0" applyFont="1" applyBorder="1" applyAlignment="1">
      <alignment horizontal="left" vertical="center" wrapText="1" indent="1"/>
    </xf>
    <xf numFmtId="0" fontId="132" fillId="0" borderId="17" xfId="0" applyFont="1" applyBorder="1" applyAlignment="1">
      <alignment horizontal="left" vertical="center" wrapText="1" indent="1"/>
    </xf>
    <xf numFmtId="0" fontId="132" fillId="0" borderId="32" xfId="0" applyFont="1" applyBorder="1" applyAlignment="1">
      <alignment horizontal="left" vertical="center" wrapText="1" indent="1"/>
    </xf>
    <xf numFmtId="0" fontId="132" fillId="0" borderId="0" xfId="0" applyFont="1" applyBorder="1" applyAlignment="1">
      <alignment horizontal="left" vertical="center" wrapText="1" indent="1"/>
    </xf>
    <xf numFmtId="0" fontId="132" fillId="0" borderId="24" xfId="0" applyFont="1" applyBorder="1" applyAlignment="1">
      <alignment horizontal="left" vertical="center" wrapText="1" indent="1"/>
    </xf>
    <xf numFmtId="0" fontId="132" fillId="0" borderId="42" xfId="0" applyFont="1" applyBorder="1" applyAlignment="1">
      <alignment horizontal="left" vertical="center" wrapText="1" indent="1"/>
    </xf>
    <xf numFmtId="0" fontId="132" fillId="0" borderId="21" xfId="0" applyFont="1" applyBorder="1" applyAlignment="1">
      <alignment horizontal="left" vertical="center" wrapText="1" indent="1"/>
    </xf>
    <xf numFmtId="0" fontId="132" fillId="0" borderId="25" xfId="0" applyFont="1" applyBorder="1" applyAlignment="1">
      <alignment horizontal="left" vertical="center" wrapText="1" indent="1"/>
    </xf>
    <xf numFmtId="3" fontId="130" fillId="0" borderId="0" xfId="0" applyNumberFormat="1" applyFont="1" applyAlignment="1">
      <alignment horizontal="right" wrapText="1"/>
    </xf>
    <xf numFmtId="0" fontId="6" fillId="2" borderId="0" xfId="0" applyFont="1" applyFill="1" applyBorder="1" applyAlignment="1">
      <alignment horizontal="center" vertical="center" wrapText="1"/>
    </xf>
    <xf numFmtId="0" fontId="6" fillId="0" borderId="12" xfId="0" applyFont="1" applyBorder="1" applyAlignment="1">
      <alignment horizontal="center"/>
    </xf>
    <xf numFmtId="0" fontId="6" fillId="0" borderId="7" xfId="0" applyFont="1" applyBorder="1" applyAlignment="1">
      <alignment horizontal="center"/>
    </xf>
    <xf numFmtId="0" fontId="6" fillId="0" borderId="16" xfId="0" applyFont="1" applyBorder="1" applyAlignment="1">
      <alignment horizontal="center"/>
    </xf>
    <xf numFmtId="0" fontId="6" fillId="2" borderId="12" xfId="0" applyFont="1" applyFill="1" applyBorder="1" applyAlignment="1">
      <alignment horizontal="center"/>
    </xf>
    <xf numFmtId="0" fontId="6" fillId="2" borderId="7" xfId="0" applyFont="1" applyFill="1" applyBorder="1" applyAlignment="1">
      <alignment horizontal="center"/>
    </xf>
    <xf numFmtId="0" fontId="6" fillId="2" borderId="16" xfId="0" applyFont="1" applyFill="1" applyBorder="1" applyAlignment="1">
      <alignment horizontal="center"/>
    </xf>
    <xf numFmtId="0" fontId="9" fillId="0" borderId="78" xfId="0" applyFont="1" applyFill="1" applyBorder="1" applyAlignment="1">
      <alignment horizontal="center" vertical="top" wrapText="1"/>
    </xf>
    <xf numFmtId="0" fontId="10" fillId="0" borderId="79" xfId="0" applyFont="1" applyBorder="1" applyAlignment="1">
      <alignment horizontal="center" vertical="top" wrapText="1"/>
    </xf>
    <xf numFmtId="0" fontId="10" fillId="0" borderId="80" xfId="0" applyFont="1" applyBorder="1" applyAlignment="1">
      <alignment horizontal="center" vertical="top" wrapText="1"/>
    </xf>
    <xf numFmtId="0" fontId="6" fillId="0" borderId="0" xfId="0" applyFont="1" applyBorder="1" applyAlignment="1">
      <alignment horizontal="left" vertical="center" wrapText="1"/>
    </xf>
    <xf numFmtId="0" fontId="6" fillId="0" borderId="0" xfId="0" applyNumberFormat="1" applyFont="1" applyBorder="1" applyAlignment="1">
      <alignment vertical="center" wrapText="1"/>
    </xf>
    <xf numFmtId="0" fontId="10" fillId="3" borderId="34" xfId="0" applyFont="1" applyFill="1" applyBorder="1" applyAlignment="1">
      <alignment horizontal="right" vertical="center" wrapText="1"/>
    </xf>
    <xf numFmtId="0" fontId="10" fillId="3" borderId="35" xfId="0" applyFont="1" applyFill="1" applyBorder="1" applyAlignment="1">
      <alignment horizontal="right" vertical="center" wrapText="1"/>
    </xf>
    <xf numFmtId="0" fontId="10" fillId="3" borderId="36" xfId="0" applyFont="1" applyFill="1" applyBorder="1" applyAlignment="1">
      <alignment horizontal="right" vertical="center" wrapText="1"/>
    </xf>
    <xf numFmtId="0" fontId="6" fillId="17" borderId="34" xfId="0" applyFont="1" applyFill="1" applyBorder="1" applyAlignment="1">
      <alignment horizontal="center" vertical="center" wrapText="1"/>
    </xf>
    <xf numFmtId="0" fontId="0" fillId="17" borderId="35" xfId="0" applyFill="1" applyBorder="1" applyAlignment="1">
      <alignment horizontal="center" vertical="center" wrapText="1"/>
    </xf>
    <xf numFmtId="0" fontId="0" fillId="17" borderId="36" xfId="0" applyFill="1" applyBorder="1" applyAlignment="1">
      <alignment horizontal="center" vertical="center" wrapText="1"/>
    </xf>
    <xf numFmtId="0" fontId="10" fillId="3" borderId="33"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9" fillId="2" borderId="0" xfId="0" applyFont="1" applyFill="1" applyAlignment="1">
      <alignment horizontal="center"/>
    </xf>
    <xf numFmtId="0" fontId="9" fillId="0" borderId="78" xfId="0" applyFont="1" applyFill="1" applyBorder="1" applyAlignment="1">
      <alignment horizontal="center" vertical="top"/>
    </xf>
    <xf numFmtId="0" fontId="9" fillId="0" borderId="79" xfId="0" applyFont="1" applyFill="1" applyBorder="1" applyAlignment="1">
      <alignment horizontal="center" vertical="top"/>
    </xf>
    <xf numFmtId="0" fontId="10" fillId="0" borderId="79" xfId="0" applyFont="1" applyBorder="1" applyAlignment="1">
      <alignment horizontal="center" vertical="top"/>
    </xf>
    <xf numFmtId="0" fontId="10" fillId="0" borderId="80" xfId="0" applyFont="1" applyBorder="1" applyAlignment="1">
      <alignment horizontal="center" vertical="top"/>
    </xf>
    <xf numFmtId="0" fontId="7" fillId="0" borderId="60" xfId="0" applyFont="1" applyBorder="1" applyAlignment="1">
      <alignment horizontal="left" indent="1"/>
    </xf>
    <xf numFmtId="0" fontId="6" fillId="0" borderId="30" xfId="0" applyFont="1" applyBorder="1" applyAlignment="1">
      <alignment horizontal="left" indent="1"/>
    </xf>
    <xf numFmtId="0" fontId="8" fillId="6" borderId="77" xfId="0" applyFont="1" applyFill="1" applyBorder="1" applyAlignment="1">
      <alignment horizontal="center"/>
    </xf>
    <xf numFmtId="0" fontId="5" fillId="6" borderId="18" xfId="0" applyFont="1" applyFill="1" applyBorder="1" applyAlignment="1">
      <alignment horizontal="center"/>
    </xf>
    <xf numFmtId="0" fontId="5" fillId="6" borderId="59" xfId="0" applyFont="1" applyFill="1" applyBorder="1" applyAlignment="1">
      <alignment horizontal="center"/>
    </xf>
    <xf numFmtId="0" fontId="5" fillId="0" borderId="0" xfId="0" applyFont="1" applyAlignment="1">
      <alignment horizontal="left" vertical="center" wrapText="1"/>
    </xf>
    <xf numFmtId="0" fontId="9" fillId="6" borderId="60" xfId="0" applyFont="1" applyFill="1" applyBorder="1" applyAlignment="1">
      <alignment horizontal="center"/>
    </xf>
    <xf numFmtId="0" fontId="9" fillId="6" borderId="30" xfId="0" applyFont="1" applyFill="1" applyBorder="1" applyAlignment="1">
      <alignment horizontal="center"/>
    </xf>
    <xf numFmtId="0" fontId="9" fillId="6" borderId="57" xfId="0" applyFont="1" applyFill="1" applyBorder="1" applyAlignment="1">
      <alignment horizontal="center" wrapText="1"/>
    </xf>
    <xf numFmtId="0" fontId="9" fillId="6" borderId="29" xfId="0" applyFont="1" applyFill="1" applyBorder="1" applyAlignment="1">
      <alignment horizontal="center" wrapText="1"/>
    </xf>
    <xf numFmtId="0" fontId="9" fillId="6" borderId="61" xfId="0" applyFont="1" applyFill="1" applyBorder="1" applyAlignment="1">
      <alignment horizontal="center" wrapText="1"/>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83" xfId="0" applyFont="1" applyBorder="1" applyAlignment="1">
      <alignment horizontal="center"/>
    </xf>
    <xf numFmtId="0" fontId="10" fillId="0" borderId="44" xfId="0" applyFont="1" applyBorder="1" applyAlignment="1">
      <alignment horizontal="center" vertical="center" wrapText="1"/>
    </xf>
    <xf numFmtId="0" fontId="9" fillId="0" borderId="33" xfId="0" applyFont="1" applyBorder="1" applyAlignment="1">
      <alignment horizontal="left" wrapText="1" indent="1"/>
    </xf>
    <xf numFmtId="0" fontId="0" fillId="0" borderId="18" xfId="0" applyBorder="1" applyAlignment="1">
      <alignment horizontal="left" wrapText="1" indent="1"/>
    </xf>
    <xf numFmtId="0" fontId="0" fillId="0" borderId="17" xfId="0" applyBorder="1" applyAlignment="1">
      <alignment horizontal="left" wrapText="1" indent="1"/>
    </xf>
    <xf numFmtId="0" fontId="77" fillId="0" borderId="32" xfId="0" applyFont="1" applyBorder="1" applyAlignment="1">
      <alignment horizontal="left" vertical="center" wrapText="1" indent="1"/>
    </xf>
    <xf numFmtId="0" fontId="77" fillId="0" borderId="0" xfId="0" applyFont="1" applyAlignment="1">
      <alignment horizontal="left" vertical="center" wrapText="1" indent="1"/>
    </xf>
    <xf numFmtId="0" fontId="6" fillId="0" borderId="0" xfId="0" applyFont="1" applyAlignment="1">
      <alignment wrapText="1"/>
    </xf>
    <xf numFmtId="0" fontId="8" fillId="0" borderId="0" xfId="0" applyFont="1" applyFill="1" applyAlignment="1">
      <alignment horizontal="center"/>
    </xf>
    <xf numFmtId="0" fontId="8" fillId="0" borderId="17" xfId="0" applyFont="1" applyBorder="1" applyAlignment="1">
      <alignment horizontal="center"/>
    </xf>
    <xf numFmtId="0" fontId="9" fillId="0" borderId="0" xfId="0" applyFont="1" applyAlignment="1">
      <alignment horizontal="center" wrapText="1"/>
    </xf>
    <xf numFmtId="0" fontId="8" fillId="0" borderId="0" xfId="0" applyFont="1" applyAlignment="1">
      <alignment horizontal="center" wrapText="1"/>
    </xf>
    <xf numFmtId="14" fontId="9" fillId="0" borderId="0" xfId="0" applyNumberFormat="1" applyFont="1" applyBorder="1" applyAlignment="1">
      <alignment horizontal="center" wrapText="1"/>
    </xf>
    <xf numFmtId="0" fontId="10" fillId="0" borderId="0" xfId="0" applyFont="1" applyAlignment="1">
      <alignment horizontal="left" vertical="center" wrapText="1" indent="4"/>
    </xf>
    <xf numFmtId="0" fontId="7"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9" fillId="0" borderId="33" xfId="5" applyFont="1" applyBorder="1" applyAlignment="1">
      <alignment wrapText="1"/>
    </xf>
    <xf numFmtId="0" fontId="9" fillId="0" borderId="17" xfId="0" applyFont="1" applyBorder="1" applyAlignment="1">
      <alignment wrapText="1"/>
    </xf>
    <xf numFmtId="0" fontId="9" fillId="0" borderId="32" xfId="0" applyFont="1" applyBorder="1" applyAlignment="1">
      <alignment wrapText="1"/>
    </xf>
    <xf numFmtId="0" fontId="9" fillId="0" borderId="24" xfId="0" applyFont="1" applyBorder="1" applyAlignment="1">
      <alignment wrapText="1"/>
    </xf>
    <xf numFmtId="0" fontId="9" fillId="0" borderId="42" xfId="0" applyFont="1" applyBorder="1" applyAlignment="1">
      <alignment wrapText="1"/>
    </xf>
    <xf numFmtId="0" fontId="9" fillId="0" borderId="25" xfId="0" applyFont="1" applyBorder="1" applyAlignment="1">
      <alignment wrapText="1"/>
    </xf>
    <xf numFmtId="0" fontId="27" fillId="0" borderId="0" xfId="0" applyFont="1" applyAlignment="1">
      <alignment horizontal="right" wrapText="1" indent="1"/>
    </xf>
    <xf numFmtId="0" fontId="0" fillId="0" borderId="24" xfId="0" applyBorder="1" applyAlignment="1">
      <alignment horizontal="right" wrapText="1" indent="1"/>
    </xf>
    <xf numFmtId="0" fontId="0" fillId="0" borderId="0" xfId="0" applyAlignment="1">
      <alignment horizontal="right" wrapText="1" indent="1"/>
    </xf>
    <xf numFmtId="0" fontId="1" fillId="0" borderId="0" xfId="5" applyFont="1" applyAlignment="1">
      <alignment horizontal="left" vertical="center" wrapText="1" indent="1"/>
    </xf>
    <xf numFmtId="0" fontId="6" fillId="0" borderId="18" xfId="0" applyFont="1" applyFill="1" applyBorder="1" applyAlignment="1">
      <alignment horizontal="left" vertical="center" wrapText="1" indent="1"/>
    </xf>
    <xf numFmtId="0" fontId="6" fillId="0" borderId="17" xfId="0" applyFont="1" applyFill="1" applyBorder="1" applyAlignment="1">
      <alignment horizontal="left" vertical="center" wrapText="1" indent="1"/>
    </xf>
    <xf numFmtId="0" fontId="6" fillId="0" borderId="32" xfId="0" applyFont="1" applyFill="1" applyBorder="1" applyAlignment="1">
      <alignment horizontal="left" vertical="center" wrapText="1" indent="1"/>
    </xf>
    <xf numFmtId="0" fontId="6" fillId="0" borderId="24" xfId="0" applyFont="1" applyFill="1" applyBorder="1" applyAlignment="1">
      <alignment horizontal="left" vertical="center" wrapText="1" indent="1"/>
    </xf>
    <xf numFmtId="0" fontId="6" fillId="0" borderId="42" xfId="0" applyFont="1" applyFill="1" applyBorder="1" applyAlignment="1">
      <alignment horizontal="left" vertical="center" wrapText="1" indent="1"/>
    </xf>
    <xf numFmtId="0" fontId="6" fillId="0" borderId="21" xfId="0" applyFont="1" applyFill="1" applyBorder="1" applyAlignment="1">
      <alignment horizontal="left" vertical="center" wrapText="1" indent="1"/>
    </xf>
    <xf numFmtId="0" fontId="6" fillId="0" borderId="25" xfId="0" applyFont="1" applyFill="1" applyBorder="1" applyAlignment="1">
      <alignment horizontal="left" vertical="center" wrapText="1" indent="1"/>
    </xf>
    <xf numFmtId="0" fontId="10" fillId="0" borderId="0" xfId="0" applyFont="1" applyAlignment="1">
      <alignment horizontal="left" vertical="center" wrapText="1"/>
    </xf>
    <xf numFmtId="0" fontId="6" fillId="0" borderId="33" xfId="0" applyFont="1" applyBorder="1" applyAlignment="1">
      <alignment horizontal="left" vertical="center" wrapText="1"/>
    </xf>
    <xf numFmtId="0" fontId="9" fillId="0" borderId="33" xfId="0" applyFont="1" applyBorder="1" applyAlignment="1">
      <alignment horizontal="right" vertical="center" wrapText="1" indent="1"/>
    </xf>
    <xf numFmtId="0" fontId="0" fillId="0" borderId="17" xfId="0" applyBorder="1" applyAlignment="1">
      <alignment horizontal="right" vertical="center" wrapText="1" indent="1"/>
    </xf>
    <xf numFmtId="0" fontId="0" fillId="0" borderId="32" xfId="0" applyBorder="1" applyAlignment="1">
      <alignment horizontal="right" vertical="center" wrapText="1" indent="1"/>
    </xf>
    <xf numFmtId="0" fontId="0" fillId="0" borderId="24" xfId="0" applyBorder="1" applyAlignment="1">
      <alignment horizontal="right" vertical="center" wrapText="1" indent="1"/>
    </xf>
    <xf numFmtId="0" fontId="0" fillId="0" borderId="42" xfId="0" applyBorder="1" applyAlignment="1">
      <alignment horizontal="right" vertical="center" wrapText="1" indent="1"/>
    </xf>
    <xf numFmtId="0" fontId="0" fillId="0" borderId="25" xfId="0" applyBorder="1" applyAlignment="1">
      <alignment horizontal="right" vertical="center" wrapText="1" indent="1"/>
    </xf>
    <xf numFmtId="16" fontId="8" fillId="0" borderId="0" xfId="0" quotePrefix="1" applyNumberFormat="1" applyFont="1" applyAlignment="1">
      <alignment horizontal="center"/>
    </xf>
    <xf numFmtId="16" fontId="9" fillId="0" borderId="0" xfId="0" applyNumberFormat="1" applyFont="1" applyAlignment="1">
      <alignment horizontal="center"/>
    </xf>
    <xf numFmtId="16" fontId="8" fillId="0" borderId="0" xfId="0" applyNumberFormat="1" applyFont="1" applyAlignment="1">
      <alignment horizontal="center"/>
    </xf>
    <xf numFmtId="0" fontId="9" fillId="0" borderId="0" xfId="0" applyFont="1" applyAlignment="1">
      <alignment horizontal="right" vertical="center" wrapText="1"/>
    </xf>
    <xf numFmtId="0" fontId="0" fillId="0" borderId="17" xfId="0" applyBorder="1"/>
    <xf numFmtId="0" fontId="0" fillId="0" borderId="32" xfId="0" applyBorder="1"/>
    <xf numFmtId="0" fontId="0" fillId="0" borderId="24" xfId="0" applyBorder="1"/>
    <xf numFmtId="0" fontId="0" fillId="0" borderId="42" xfId="0" applyBorder="1"/>
    <xf numFmtId="0" fontId="0" fillId="0" borderId="25" xfId="0" applyBorder="1"/>
    <xf numFmtId="0" fontId="2" fillId="0" borderId="0" xfId="0" applyFont="1" applyAlignment="1">
      <alignment horizontal="center"/>
    </xf>
    <xf numFmtId="0" fontId="1" fillId="17" borderId="0" xfId="0" applyFont="1" applyFill="1" applyBorder="1" applyAlignment="1">
      <alignment horizontal="left" vertical="center" wrapText="1" indent="1"/>
    </xf>
    <xf numFmtId="0" fontId="0" fillId="17" borderId="0" xfId="0" applyFill="1" applyBorder="1" applyAlignment="1">
      <alignment horizontal="left" vertical="center" wrapText="1" indent="1"/>
    </xf>
    <xf numFmtId="49" fontId="10" fillId="2" borderId="34" xfId="0" applyNumberFormat="1" applyFont="1" applyFill="1" applyBorder="1" applyAlignment="1">
      <alignment horizontal="center" vertical="center" wrapText="1"/>
    </xf>
    <xf numFmtId="49" fontId="10" fillId="2" borderId="35" xfId="0" applyNumberFormat="1" applyFont="1" applyFill="1" applyBorder="1" applyAlignment="1">
      <alignment horizontal="center" vertical="center" wrapText="1"/>
    </xf>
    <xf numFmtId="49" fontId="10" fillId="2" borderId="36" xfId="0" applyNumberFormat="1" applyFont="1" applyFill="1" applyBorder="1" applyAlignment="1">
      <alignment horizontal="center" vertical="center" wrapText="1"/>
    </xf>
    <xf numFmtId="3" fontId="8" fillId="13" borderId="37" xfId="0" applyNumberFormat="1" applyFont="1" applyFill="1" applyBorder="1" applyAlignment="1">
      <alignment horizontal="center"/>
    </xf>
    <xf numFmtId="3" fontId="8" fillId="13" borderId="31" xfId="0" applyNumberFormat="1" applyFont="1" applyFill="1" applyBorder="1" applyAlignment="1">
      <alignment horizontal="center"/>
    </xf>
    <xf numFmtId="49" fontId="6" fillId="0" borderId="0" xfId="0" applyNumberFormat="1" applyFont="1" applyAlignment="1">
      <alignment horizontal="left" vertical="center" wrapText="1" indent="1"/>
    </xf>
    <xf numFmtId="3" fontId="0" fillId="0" borderId="0" xfId="0" applyNumberFormat="1" applyBorder="1" applyAlignment="1">
      <alignment horizontal="center"/>
    </xf>
    <xf numFmtId="189" fontId="2" fillId="14" borderId="30" xfId="0" applyNumberFormat="1" applyFont="1" applyFill="1" applyBorder="1" applyAlignment="1">
      <alignment horizontal="center"/>
    </xf>
    <xf numFmtId="189" fontId="2" fillId="14" borderId="31" xfId="0" applyNumberFormat="1" applyFont="1" applyFill="1" applyBorder="1" applyAlignment="1">
      <alignment horizontal="center"/>
    </xf>
    <xf numFmtId="0" fontId="94" fillId="0" borderId="0" xfId="0" applyFont="1" applyAlignment="1">
      <alignment horizontal="center"/>
    </xf>
    <xf numFmtId="0" fontId="9" fillId="11" borderId="0" xfId="0" applyFont="1" applyFill="1" applyAlignment="1">
      <alignment horizontal="left" vertical="center" wrapText="1"/>
    </xf>
    <xf numFmtId="0" fontId="0" fillId="11" borderId="0" xfId="0" applyFill="1" applyAlignment="1">
      <alignment horizontal="left" vertical="center" wrapText="1"/>
    </xf>
    <xf numFmtId="166" fontId="5" fillId="0" borderId="33" xfId="0" applyNumberFormat="1" applyFont="1" applyBorder="1" applyAlignment="1">
      <alignment horizontal="center"/>
    </xf>
    <xf numFmtId="166" fontId="5" fillId="0" borderId="17" xfId="0" applyNumberFormat="1" applyFont="1" applyBorder="1" applyAlignment="1">
      <alignment horizontal="center"/>
    </xf>
    <xf numFmtId="166" fontId="5" fillId="0" borderId="18" xfId="0" applyNumberFormat="1" applyFont="1" applyBorder="1" applyAlignment="1">
      <alignment horizontal="center"/>
    </xf>
    <xf numFmtId="168" fontId="5" fillId="0" borderId="42" xfId="0" applyNumberFormat="1" applyFont="1" applyBorder="1" applyAlignment="1">
      <alignment horizontal="center"/>
    </xf>
    <xf numFmtId="168" fontId="5" fillId="0" borderId="25" xfId="0" applyNumberFormat="1" applyFont="1" applyBorder="1" applyAlignment="1">
      <alignment horizontal="center"/>
    </xf>
    <xf numFmtId="0" fontId="8" fillId="6" borderId="0" xfId="0" applyFont="1" applyFill="1" applyAlignment="1">
      <alignment horizontal="center"/>
    </xf>
    <xf numFmtId="0" fontId="9" fillId="0" borderId="32" xfId="0" applyFont="1" applyBorder="1" applyAlignment="1">
      <alignment horizontal="center"/>
    </xf>
    <xf numFmtId="0" fontId="9" fillId="0" borderId="18" xfId="0" applyFont="1" applyBorder="1" applyAlignment="1">
      <alignment horizontal="center"/>
    </xf>
    <xf numFmtId="0" fontId="9" fillId="0" borderId="17" xfId="0" applyFont="1" applyBorder="1" applyAlignment="1">
      <alignment horizontal="center"/>
    </xf>
    <xf numFmtId="0" fontId="6" fillId="17" borderId="33" xfId="0" applyFont="1" applyFill="1" applyBorder="1" applyAlignment="1">
      <alignment horizontal="left" vertical="center" wrapText="1" indent="1"/>
    </xf>
    <xf numFmtId="0" fontId="0" fillId="17" borderId="18" xfId="0" applyFill="1" applyBorder="1" applyAlignment="1">
      <alignment horizontal="left" vertical="center" wrapText="1" indent="1"/>
    </xf>
    <xf numFmtId="0" fontId="0" fillId="17" borderId="17" xfId="0" applyFill="1" applyBorder="1" applyAlignment="1">
      <alignment horizontal="left" vertical="center" wrapText="1" indent="1"/>
    </xf>
    <xf numFmtId="0" fontId="0" fillId="17" borderId="32" xfId="0" applyFill="1" applyBorder="1" applyAlignment="1">
      <alignment horizontal="left" vertical="center" wrapText="1" indent="1"/>
    </xf>
    <xf numFmtId="0" fontId="0" fillId="17" borderId="24" xfId="0" applyFill="1" applyBorder="1" applyAlignment="1">
      <alignment horizontal="left" vertical="center" wrapText="1" indent="1"/>
    </xf>
    <xf numFmtId="0" fontId="0" fillId="17" borderId="42" xfId="0" applyFill="1" applyBorder="1" applyAlignment="1">
      <alignment horizontal="left" vertical="center" wrapText="1" indent="1"/>
    </xf>
    <xf numFmtId="0" fontId="0" fillId="17" borderId="21" xfId="0" applyFill="1" applyBorder="1" applyAlignment="1">
      <alignment horizontal="left" vertical="center" wrapText="1" indent="1"/>
    </xf>
    <xf numFmtId="0" fontId="0" fillId="17" borderId="25" xfId="0" applyFill="1" applyBorder="1" applyAlignment="1">
      <alignment horizontal="left" vertical="center" wrapText="1" indent="1"/>
    </xf>
    <xf numFmtId="0" fontId="0" fillId="8" borderId="35" xfId="0" applyFill="1" applyBorder="1" applyAlignment="1">
      <alignment horizontal="center" vertical="center" wrapText="1"/>
    </xf>
    <xf numFmtId="0" fontId="0" fillId="8" borderId="36" xfId="0" applyFill="1" applyBorder="1" applyAlignment="1">
      <alignment horizontal="center" vertical="center" wrapText="1"/>
    </xf>
    <xf numFmtId="0" fontId="9" fillId="17" borderId="34" xfId="0" applyFont="1" applyFill="1" applyBorder="1" applyAlignment="1">
      <alignment horizontal="center" vertical="center" wrapText="1"/>
    </xf>
    <xf numFmtId="0" fontId="9" fillId="0" borderId="33" xfId="0" applyFont="1" applyBorder="1" applyAlignment="1">
      <alignment horizontal="center"/>
    </xf>
    <xf numFmtId="168" fontId="5" fillId="0" borderId="21" xfId="0" applyNumberFormat="1" applyFont="1" applyBorder="1" applyAlignment="1">
      <alignment horizontal="center"/>
    </xf>
    <xf numFmtId="0" fontId="9" fillId="19" borderId="55" xfId="0" applyFont="1" applyFill="1" applyBorder="1" applyAlignment="1">
      <alignment horizontal="center"/>
    </xf>
    <xf numFmtId="0" fontId="9" fillId="19" borderId="2" xfId="0" applyFont="1" applyFill="1" applyBorder="1" applyAlignment="1">
      <alignment horizontal="center"/>
    </xf>
    <xf numFmtId="0" fontId="9" fillId="19" borderId="31" xfId="0" applyFont="1" applyFill="1" applyBorder="1" applyAlignment="1">
      <alignment horizontal="center"/>
    </xf>
    <xf numFmtId="0" fontId="9" fillId="7" borderId="0" xfId="0" applyFont="1" applyFill="1" applyAlignment="1">
      <alignment horizontal="center" vertical="center" wrapText="1"/>
    </xf>
    <xf numFmtId="0" fontId="9" fillId="7" borderId="0" xfId="0" applyFont="1" applyFill="1" applyAlignment="1">
      <alignment horizontal="left" wrapText="1" indent="1"/>
    </xf>
    <xf numFmtId="0" fontId="0" fillId="7" borderId="0" xfId="0" applyFill="1" applyAlignment="1">
      <alignment horizontal="left" wrapText="1" indent="1"/>
    </xf>
    <xf numFmtId="0" fontId="9" fillId="0" borderId="34" xfId="0" applyFont="1"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9" fillId="17" borderId="0" xfId="0" applyFont="1" applyFill="1" applyAlignment="1">
      <alignment horizontal="center" vertical="center" wrapText="1"/>
    </xf>
    <xf numFmtId="0" fontId="0" fillId="17" borderId="0" xfId="0" applyFill="1" applyAlignment="1">
      <alignment horizontal="center" vertical="center" wrapText="1"/>
    </xf>
    <xf numFmtId="190" fontId="2" fillId="14" borderId="37" xfId="0" applyNumberFormat="1" applyFont="1" applyFill="1" applyBorder="1" applyAlignment="1">
      <alignment horizontal="center"/>
    </xf>
    <xf numFmtId="190" fontId="2" fillId="14" borderId="31" xfId="0" applyNumberFormat="1" applyFont="1" applyFill="1" applyBorder="1" applyAlignment="1">
      <alignment horizontal="center"/>
    </xf>
    <xf numFmtId="0" fontId="9" fillId="0" borderId="0" xfId="0" applyFont="1" applyAlignment="1">
      <alignment horizontal="left" vertical="center" wrapText="1"/>
    </xf>
    <xf numFmtId="0" fontId="8" fillId="0" borderId="32" xfId="0" applyFont="1" applyBorder="1" applyAlignment="1">
      <alignment horizontal="center"/>
    </xf>
    <xf numFmtId="0" fontId="8" fillId="0" borderId="0" xfId="0" applyFont="1" applyAlignment="1">
      <alignment horizontal="right" wrapText="1"/>
    </xf>
    <xf numFmtId="0" fontId="5" fillId="17" borderId="0" xfId="0" applyFont="1" applyFill="1" applyBorder="1" applyAlignment="1">
      <alignment horizontal="left" vertical="center" wrapText="1" indent="1"/>
    </xf>
    <xf numFmtId="0" fontId="6" fillId="6" borderId="18" xfId="0" applyFont="1" applyFill="1" applyBorder="1" applyAlignment="1">
      <alignment horizontal="left" wrapText="1" indent="1"/>
    </xf>
    <xf numFmtId="0" fontId="0" fillId="6" borderId="17" xfId="0" applyFill="1" applyBorder="1" applyAlignment="1">
      <alignment horizontal="left" wrapText="1" indent="1"/>
    </xf>
    <xf numFmtId="0" fontId="0" fillId="6" borderId="21" xfId="0" applyFill="1" applyBorder="1" applyAlignment="1">
      <alignment horizontal="left" wrapText="1" indent="1"/>
    </xf>
    <xf numFmtId="0" fontId="0" fillId="6" borderId="25" xfId="0" applyFill="1" applyBorder="1" applyAlignment="1">
      <alignment horizontal="left" wrapText="1" indent="1"/>
    </xf>
    <xf numFmtId="0" fontId="4" fillId="0" borderId="13" xfId="0" applyFont="1" applyBorder="1" applyAlignment="1">
      <alignment horizontal="right" wrapText="1"/>
    </xf>
    <xf numFmtId="0" fontId="8" fillId="0" borderId="14" xfId="0" applyFont="1" applyBorder="1" applyAlignment="1">
      <alignment horizontal="right" wrapText="1"/>
    </xf>
    <xf numFmtId="0" fontId="0" fillId="17" borderId="34" xfId="0" applyFill="1" applyBorder="1" applyAlignment="1">
      <alignment horizontal="right" vertical="center" wrapText="1"/>
    </xf>
    <xf numFmtId="0" fontId="0" fillId="17" borderId="35" xfId="0" applyFill="1" applyBorder="1" applyAlignment="1">
      <alignment horizontal="right" vertical="center" wrapText="1"/>
    </xf>
    <xf numFmtId="0" fontId="0" fillId="17" borderId="36" xfId="0" applyFill="1" applyBorder="1" applyAlignment="1">
      <alignment horizontal="right" vertical="center" wrapText="1"/>
    </xf>
    <xf numFmtId="0" fontId="1" fillId="0" borderId="0" xfId="0" applyFont="1" applyAlignment="1">
      <alignment wrapText="1"/>
    </xf>
    <xf numFmtId="0" fontId="0" fillId="0" borderId="44" xfId="0" applyBorder="1" applyAlignment="1">
      <alignment vertical="center" wrapText="1"/>
    </xf>
    <xf numFmtId="0" fontId="0" fillId="0" borderId="10" xfId="0" applyBorder="1" applyAlignment="1">
      <alignment vertical="center" wrapText="1"/>
    </xf>
    <xf numFmtId="0" fontId="0" fillId="0" borderId="45"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6" fillId="66" borderId="0" xfId="0" applyFont="1" applyFill="1" applyAlignment="1">
      <alignment horizontal="left" wrapText="1" indent="1"/>
    </xf>
    <xf numFmtId="0" fontId="0" fillId="66" borderId="0" xfId="0" applyFill="1" applyAlignment="1">
      <alignment horizontal="left" wrapText="1" indent="1"/>
    </xf>
    <xf numFmtId="0" fontId="1" fillId="0" borderId="0" xfId="0" applyFont="1" applyAlignment="1">
      <alignment horizontal="left" wrapText="1"/>
    </xf>
    <xf numFmtId="0" fontId="0" fillId="0" borderId="0" xfId="0" applyAlignment="1">
      <alignment horizontal="left" wrapText="1"/>
    </xf>
    <xf numFmtId="0" fontId="8" fillId="0" borderId="33" xfId="0" applyFont="1" applyBorder="1" applyAlignment="1">
      <alignment wrapText="1"/>
    </xf>
    <xf numFmtId="0" fontId="8" fillId="0" borderId="18" xfId="0" applyFont="1" applyBorder="1" applyAlignment="1">
      <alignment wrapText="1"/>
    </xf>
    <xf numFmtId="0" fontId="8" fillId="0" borderId="17" xfId="0" applyFont="1" applyBorder="1" applyAlignment="1">
      <alignment wrapText="1"/>
    </xf>
    <xf numFmtId="0" fontId="8" fillId="0" borderId="42" xfId="0" applyFont="1" applyBorder="1" applyAlignment="1">
      <alignment wrapText="1"/>
    </xf>
    <xf numFmtId="0" fontId="8" fillId="0" borderId="21" xfId="0" applyFont="1" applyBorder="1" applyAlignment="1">
      <alignment wrapText="1"/>
    </xf>
    <xf numFmtId="0" fontId="8" fillId="0" borderId="25" xfId="0" applyFont="1" applyBorder="1" applyAlignment="1">
      <alignment wrapText="1"/>
    </xf>
    <xf numFmtId="0" fontId="2" fillId="0" borderId="0" xfId="0" applyFont="1" applyFill="1" applyBorder="1" applyAlignment="1">
      <alignment horizontal="center" vertical="center"/>
    </xf>
    <xf numFmtId="0" fontId="8" fillId="0" borderId="0" xfId="0" applyFont="1" applyBorder="1" applyAlignment="1">
      <alignment horizontal="center" wrapText="1"/>
    </xf>
    <xf numFmtId="166" fontId="9" fillId="0" borderId="0" xfId="0" applyNumberFormat="1" applyFont="1" applyFill="1" applyAlignment="1">
      <alignment horizontal="center"/>
    </xf>
    <xf numFmtId="0" fontId="9" fillId="0" borderId="0" xfId="0" applyFont="1" applyFill="1" applyAlignment="1">
      <alignment horizontal="center" wrapText="1"/>
    </xf>
    <xf numFmtId="0" fontId="4" fillId="0" borderId="24" xfId="0" applyFont="1" applyBorder="1" applyAlignment="1">
      <alignment horizontal="center"/>
    </xf>
    <xf numFmtId="0" fontId="0" fillId="46" borderId="32" xfId="0" applyFill="1" applyBorder="1" applyAlignment="1">
      <alignment horizontal="left" vertical="center" wrapText="1" indent="1"/>
    </xf>
    <xf numFmtId="0" fontId="0" fillId="46" borderId="0" xfId="0" applyFill="1" applyBorder="1" applyAlignment="1">
      <alignment horizontal="left" vertical="center" wrapText="1" indent="1"/>
    </xf>
    <xf numFmtId="0" fontId="0" fillId="46" borderId="24" xfId="0" applyFill="1" applyBorder="1" applyAlignment="1">
      <alignment horizontal="left" vertical="center" wrapText="1" indent="1"/>
    </xf>
    <xf numFmtId="0" fontId="1" fillId="46" borderId="32" xfId="0" applyFont="1" applyFill="1" applyBorder="1" applyAlignment="1">
      <alignment horizontal="left" vertical="center" wrapText="1" indent="1"/>
    </xf>
    <xf numFmtId="0" fontId="0" fillId="46" borderId="42" xfId="0" applyFill="1" applyBorder="1" applyAlignment="1">
      <alignment horizontal="left" vertical="center" wrapText="1" indent="1"/>
    </xf>
    <xf numFmtId="0" fontId="0" fillId="46" borderId="21" xfId="0" applyFill="1" applyBorder="1" applyAlignment="1">
      <alignment horizontal="left" vertical="center" wrapText="1" indent="1"/>
    </xf>
    <xf numFmtId="0" fontId="0" fillId="46" borderId="25" xfId="0" applyFill="1" applyBorder="1" applyAlignment="1">
      <alignment horizontal="left" vertical="center" wrapText="1" indent="1"/>
    </xf>
    <xf numFmtId="166" fontId="0" fillId="0" borderId="37" xfId="0" applyNumberFormat="1" applyBorder="1" applyAlignment="1">
      <alignment horizontal="center"/>
    </xf>
    <xf numFmtId="166" fontId="0" fillId="0" borderId="31" xfId="0" applyNumberFormat="1" applyBorder="1" applyAlignment="1">
      <alignment horizontal="center"/>
    </xf>
    <xf numFmtId="0" fontId="8" fillId="6" borderId="42" xfId="0" applyFont="1" applyFill="1" applyBorder="1" applyAlignment="1">
      <alignment horizontal="center"/>
    </xf>
    <xf numFmtId="0" fontId="8" fillId="6" borderId="21" xfId="0" applyFont="1" applyFill="1" applyBorder="1" applyAlignment="1">
      <alignment horizontal="center"/>
    </xf>
    <xf numFmtId="0" fontId="8" fillId="6" borderId="25" xfId="0" applyFont="1" applyFill="1" applyBorder="1" applyAlignment="1">
      <alignment horizontal="center"/>
    </xf>
    <xf numFmtId="0" fontId="7" fillId="0" borderId="0" xfId="0" applyFont="1" applyBorder="1" applyAlignment="1">
      <alignment horizontal="right" vertical="center" wrapText="1"/>
    </xf>
    <xf numFmtId="0" fontId="6" fillId="0" borderId="0" xfId="0" applyFont="1" applyBorder="1" applyAlignment="1">
      <alignment horizontal="right" vertical="center" wrapText="1"/>
    </xf>
    <xf numFmtId="0" fontId="6" fillId="0" borderId="0" xfId="0" applyFont="1" applyBorder="1" applyAlignment="1">
      <alignment horizontal="left" vertical="center" wrapText="1" indent="3"/>
    </xf>
    <xf numFmtId="0" fontId="8" fillId="6" borderId="33" xfId="0" applyFont="1" applyFill="1" applyBorder="1" applyAlignment="1">
      <alignment horizontal="center"/>
    </xf>
    <xf numFmtId="0" fontId="8" fillId="6" borderId="18" xfId="0" applyFont="1" applyFill="1" applyBorder="1" applyAlignment="1">
      <alignment horizontal="center"/>
    </xf>
    <xf numFmtId="0" fontId="8" fillId="6" borderId="17" xfId="0" applyFont="1" applyFill="1" applyBorder="1" applyAlignment="1">
      <alignment horizontal="center"/>
    </xf>
    <xf numFmtId="0" fontId="7" fillId="0" borderId="0" xfId="0" applyNumberFormat="1" applyFont="1" applyAlignment="1">
      <alignment horizontal="left" vertical="center" wrapText="1" indent="3"/>
    </xf>
    <xf numFmtId="0" fontId="7" fillId="0" borderId="24" xfId="0" applyFont="1" applyBorder="1" applyAlignment="1">
      <alignment horizontal="right" vertical="center" wrapText="1"/>
    </xf>
    <xf numFmtId="0" fontId="6" fillId="0" borderId="24" xfId="0" applyFont="1" applyBorder="1" applyAlignment="1">
      <alignment horizontal="right" vertical="center" wrapText="1"/>
    </xf>
    <xf numFmtId="0" fontId="129" fillId="21" borderId="33" xfId="0" applyFont="1" applyFill="1" applyBorder="1" applyAlignment="1">
      <alignment horizontal="center" vertical="center" wrapText="1"/>
    </xf>
    <xf numFmtId="0" fontId="5" fillId="0" borderId="33" xfId="0" applyFont="1" applyBorder="1" applyAlignment="1">
      <alignment horizontal="center" wrapText="1"/>
    </xf>
    <xf numFmtId="0" fontId="0" fillId="0" borderId="18" xfId="0" applyBorder="1" applyAlignment="1">
      <alignment horizontal="center" wrapText="1"/>
    </xf>
    <xf numFmtId="0" fontId="0" fillId="0" borderId="17" xfId="0" applyBorder="1" applyAlignment="1">
      <alignment horizontal="center" wrapText="1"/>
    </xf>
    <xf numFmtId="0" fontId="26" fillId="0" borderId="0" xfId="0" applyFont="1" applyAlignment="1">
      <alignment horizontal="left" vertical="center" wrapText="1" indent="1"/>
    </xf>
    <xf numFmtId="165" fontId="7" fillId="0" borderId="34" xfId="7" applyNumberFormat="1" applyFont="1" applyBorder="1" applyAlignment="1">
      <alignment horizontal="right" vertical="center" wrapText="1" indent="1"/>
    </xf>
    <xf numFmtId="0" fontId="4" fillId="0" borderId="35" xfId="0" applyFont="1" applyBorder="1" applyAlignment="1">
      <alignment horizontal="right" vertical="center" wrapText="1" indent="1"/>
    </xf>
    <xf numFmtId="0" fontId="4" fillId="0" borderId="36" xfId="0" applyFont="1" applyBorder="1" applyAlignment="1">
      <alignment horizontal="right" vertical="center" wrapText="1" indent="1"/>
    </xf>
    <xf numFmtId="0" fontId="2" fillId="0" borderId="33" xfId="0" applyFont="1" applyBorder="1" applyAlignment="1">
      <alignment horizontal="center"/>
    </xf>
    <xf numFmtId="0" fontId="2" fillId="0" borderId="18" xfId="0" applyFont="1" applyBorder="1" applyAlignment="1">
      <alignment horizontal="center"/>
    </xf>
    <xf numFmtId="0" fontId="2" fillId="0" borderId="17" xfId="0" applyFont="1" applyBorder="1" applyAlignment="1">
      <alignment horizontal="center"/>
    </xf>
    <xf numFmtId="0" fontId="4" fillId="0" borderId="0" xfId="0" applyFont="1" applyBorder="1" applyAlignment="1">
      <alignment horizontal="center" vertical="center" wrapText="1"/>
    </xf>
    <xf numFmtId="0" fontId="4" fillId="0" borderId="24" xfId="0" applyFont="1" applyBorder="1" applyAlignment="1">
      <alignment horizontal="center" vertical="center" wrapText="1"/>
    </xf>
    <xf numFmtId="0" fontId="151" fillId="47" borderId="0" xfId="0" applyFont="1" applyFill="1" applyAlignment="1">
      <alignment horizontal="left" vertical="center" wrapText="1" indent="1"/>
    </xf>
    <xf numFmtId="165" fontId="0" fillId="2" borderId="37" xfId="7" applyNumberFormat="1" applyFont="1" applyFill="1" applyBorder="1" applyAlignment="1">
      <alignment horizontal="center"/>
    </xf>
    <xf numFmtId="165" fontId="0" fillId="2" borderId="30" xfId="7" applyNumberFormat="1" applyFont="1" applyFill="1" applyBorder="1" applyAlignment="1">
      <alignment horizontal="center"/>
    </xf>
    <xf numFmtId="165" fontId="0" fillId="2" borderId="31" xfId="7" applyNumberFormat="1" applyFont="1" applyFill="1" applyBorder="1" applyAlignment="1">
      <alignment horizontal="center"/>
    </xf>
    <xf numFmtId="165" fontId="0" fillId="2" borderId="42" xfId="7" applyNumberFormat="1" applyFont="1" applyFill="1" applyBorder="1" applyAlignment="1">
      <alignment horizontal="center"/>
    </xf>
    <xf numFmtId="165" fontId="0" fillId="2" borderId="21" xfId="7" applyNumberFormat="1" applyFont="1" applyFill="1" applyBorder="1" applyAlignment="1">
      <alignment horizontal="center"/>
    </xf>
    <xf numFmtId="165" fontId="0" fillId="2" borderId="25" xfId="7" applyNumberFormat="1" applyFont="1" applyFill="1" applyBorder="1" applyAlignment="1">
      <alignment horizontal="center"/>
    </xf>
    <xf numFmtId="0" fontId="9" fillId="0" borderId="0" xfId="0" applyFont="1" applyFill="1" applyAlignment="1">
      <alignment horizontal="center" vertical="center" wrapText="1"/>
    </xf>
    <xf numFmtId="165" fontId="6" fillId="0" borderId="0" xfId="7" applyNumberFormat="1" applyFont="1" applyAlignment="1">
      <alignment horizontal="left" vertical="center" wrapText="1" indent="1"/>
    </xf>
    <xf numFmtId="9" fontId="0" fillId="0" borderId="0" xfId="7" applyFont="1" applyAlignment="1">
      <alignment horizontal="left" wrapText="1" indent="1"/>
    </xf>
    <xf numFmtId="9" fontId="9" fillId="2" borderId="34" xfId="7" applyFont="1" applyFill="1" applyBorder="1" applyAlignment="1">
      <alignment horizontal="center" vertical="center" wrapText="1"/>
    </xf>
    <xf numFmtId="0" fontId="0" fillId="2" borderId="36" xfId="0" applyFill="1" applyBorder="1" applyAlignment="1">
      <alignment horizontal="center" vertical="center" wrapText="1"/>
    </xf>
    <xf numFmtId="0" fontId="6" fillId="0" borderId="33" xfId="0" applyFont="1" applyBorder="1" applyAlignment="1">
      <alignment horizontal="center" vertical="center" wrapText="1"/>
    </xf>
    <xf numFmtId="9" fontId="6" fillId="0" borderId="0" xfId="7" applyFont="1" applyAlignment="1">
      <alignment horizontal="left" vertical="center" wrapText="1" indent="1"/>
    </xf>
    <xf numFmtId="0" fontId="7" fillId="47" borderId="33" xfId="0" applyFont="1" applyFill="1" applyBorder="1" applyAlignment="1">
      <alignment horizontal="center" vertical="center" wrapText="1"/>
    </xf>
    <xf numFmtId="0" fontId="136" fillId="0" borderId="33" xfId="0" applyFont="1" applyBorder="1" applyAlignment="1">
      <alignment horizontal="center" vertical="center" wrapText="1"/>
    </xf>
    <xf numFmtId="0" fontId="132" fillId="0" borderId="17" xfId="0" applyFont="1" applyBorder="1" applyAlignment="1">
      <alignment horizontal="center" vertical="center" wrapText="1"/>
    </xf>
    <xf numFmtId="0" fontId="132" fillId="0" borderId="42" xfId="0" applyFont="1" applyBorder="1" applyAlignment="1">
      <alignment horizontal="center" vertical="center" wrapText="1"/>
    </xf>
    <xf numFmtId="0" fontId="132" fillId="0" borderId="25" xfId="0" applyFont="1" applyBorder="1" applyAlignment="1">
      <alignment horizontal="center" vertical="center" wrapText="1"/>
    </xf>
    <xf numFmtId="9" fontId="6" fillId="0" borderId="0" xfId="7" applyNumberFormat="1" applyFont="1" applyBorder="1" applyAlignment="1">
      <alignment horizontal="center" vertical="center" wrapText="1"/>
    </xf>
    <xf numFmtId="9" fontId="9" fillId="6" borderId="33" xfId="7" applyFont="1" applyFill="1" applyBorder="1" applyAlignment="1">
      <alignment horizontal="center" vertical="center" wrapText="1"/>
    </xf>
    <xf numFmtId="0" fontId="0" fillId="6" borderId="42" xfId="0" applyFill="1" applyBorder="1" applyAlignment="1">
      <alignment horizontal="center" vertical="center" wrapText="1"/>
    </xf>
    <xf numFmtId="0" fontId="9" fillId="0" borderId="34" xfId="0" applyFont="1" applyBorder="1" applyAlignment="1">
      <alignment horizontal="center" wrapText="1"/>
    </xf>
    <xf numFmtId="9" fontId="22" fillId="0" borderId="0" xfId="7" applyFont="1" applyAlignment="1">
      <alignment horizontal="left" wrapText="1" indent="1"/>
    </xf>
    <xf numFmtId="9" fontId="1" fillId="0" borderId="0" xfId="7" applyFont="1" applyAlignment="1">
      <alignment horizontal="left" vertical="center" wrapText="1" indent="1"/>
    </xf>
    <xf numFmtId="0" fontId="7" fillId="0" borderId="34" xfId="0" applyFont="1" applyBorder="1" applyAlignment="1">
      <alignment horizontal="center" wrapText="1"/>
    </xf>
    <xf numFmtId="0" fontId="132" fillId="0" borderId="18" xfId="0" applyFont="1" applyBorder="1" applyAlignment="1">
      <alignment horizontal="center" vertical="center" wrapText="1"/>
    </xf>
    <xf numFmtId="0" fontId="132" fillId="0" borderId="21" xfId="0" applyFont="1" applyBorder="1" applyAlignment="1">
      <alignment horizontal="center" vertical="center" wrapText="1"/>
    </xf>
    <xf numFmtId="0" fontId="8" fillId="0" borderId="0" xfId="0" applyFont="1" applyAlignment="1">
      <alignment horizontal="left" wrapText="1" indent="1"/>
    </xf>
    <xf numFmtId="0" fontId="5" fillId="0" borderId="0" xfId="0" applyNumberFormat="1" applyFont="1" applyAlignment="1">
      <alignment horizontal="left" vertical="center" wrapText="1" indent="1"/>
    </xf>
    <xf numFmtId="0" fontId="1" fillId="0" borderId="0" xfId="0" applyFont="1" applyAlignment="1">
      <alignment horizontal="left" wrapText="1" indent="1"/>
    </xf>
    <xf numFmtId="0" fontId="5" fillId="0" borderId="0" xfId="0" applyFont="1" applyAlignment="1">
      <alignment wrapText="1"/>
    </xf>
    <xf numFmtId="0" fontId="5" fillId="0" borderId="0" xfId="0" applyFont="1" applyAlignment="1">
      <alignment horizontal="left" wrapText="1" indent="1"/>
    </xf>
    <xf numFmtId="6" fontId="8" fillId="0" borderId="37" xfId="0" applyNumberFormat="1" applyFont="1" applyBorder="1" applyAlignment="1">
      <alignment horizontal="center"/>
    </xf>
    <xf numFmtId="6" fontId="8" fillId="0" borderId="30" xfId="0" applyNumberFormat="1" applyFont="1" applyBorder="1" applyAlignment="1">
      <alignment horizontal="center"/>
    </xf>
    <xf numFmtId="6" fontId="8" fillId="0" borderId="31" xfId="0" applyNumberFormat="1" applyFont="1" applyBorder="1" applyAlignment="1">
      <alignment horizontal="center"/>
    </xf>
    <xf numFmtId="0" fontId="8" fillId="15" borderId="0" xfId="0" applyFont="1" applyFill="1" applyAlignment="1">
      <alignment horizontal="center" vertical="center" wrapText="1"/>
    </xf>
    <xf numFmtId="0" fontId="8" fillId="15" borderId="0" xfId="0" applyFont="1" applyFill="1" applyAlignment="1">
      <alignment horizontal="center"/>
    </xf>
    <xf numFmtId="0" fontId="5" fillId="0" borderId="0" xfId="0" applyFont="1" applyFill="1" applyAlignment="1">
      <alignment horizontal="left" vertical="center" wrapText="1"/>
    </xf>
    <xf numFmtId="0" fontId="8" fillId="0" borderId="0" xfId="0" applyFont="1" applyFill="1" applyAlignment="1">
      <alignment horizontal="left" wrapText="1"/>
    </xf>
    <xf numFmtId="0" fontId="8" fillId="0" borderId="37" xfId="0" applyFont="1" applyFill="1" applyBorder="1" applyAlignment="1">
      <alignment horizontal="center"/>
    </xf>
    <xf numFmtId="0" fontId="8" fillId="0" borderId="31" xfId="0" applyFont="1" applyFill="1" applyBorder="1" applyAlignment="1">
      <alignment horizontal="center"/>
    </xf>
    <xf numFmtId="0" fontId="4" fillId="0" borderId="37" xfId="0" applyFont="1" applyFill="1" applyBorder="1" applyAlignment="1">
      <alignment horizontal="center"/>
    </xf>
    <xf numFmtId="0" fontId="139" fillId="0" borderId="0" xfId="0" applyFont="1" applyFill="1" applyAlignment="1">
      <alignment horizontal="center" vertical="center" wrapText="1"/>
    </xf>
    <xf numFmtId="0" fontId="139" fillId="0" borderId="0" xfId="0" applyFont="1" applyAlignment="1">
      <alignment horizontal="center" vertical="center" wrapText="1"/>
    </xf>
    <xf numFmtId="0" fontId="6" fillId="0" borderId="0" xfId="0" applyFont="1" applyFill="1" applyBorder="1" applyAlignment="1">
      <alignment horizontal="left" wrapText="1" indent="1"/>
    </xf>
    <xf numFmtId="0" fontId="8" fillId="0" borderId="0" xfId="0" applyFont="1" applyBorder="1" applyAlignment="1">
      <alignment horizontal="center"/>
    </xf>
    <xf numFmtId="0" fontId="8" fillId="0" borderId="0" xfId="0" applyFont="1" applyAlignment="1">
      <alignment horizontal="left" wrapText="1"/>
    </xf>
    <xf numFmtId="0" fontId="8" fillId="0" borderId="84" xfId="0" applyFont="1" applyBorder="1" applyAlignment="1">
      <alignment horizontal="center"/>
    </xf>
    <xf numFmtId="0" fontId="7" fillId="0" borderId="0" xfId="0" applyFont="1" applyBorder="1" applyAlignment="1">
      <alignment horizontal="center" wrapText="1"/>
    </xf>
    <xf numFmtId="0" fontId="6" fillId="0" borderId="44" xfId="0" applyFont="1" applyBorder="1" applyAlignment="1">
      <alignment horizontal="left" wrapText="1" indent="1"/>
    </xf>
    <xf numFmtId="0" fontId="0" fillId="0" borderId="10" xfId="0" applyBorder="1" applyAlignment="1">
      <alignment horizontal="left" wrapText="1" indent="1"/>
    </xf>
    <xf numFmtId="0" fontId="0" fillId="0" borderId="44" xfId="0" applyBorder="1" applyAlignment="1">
      <alignment horizontal="left" wrapText="1" indent="1"/>
    </xf>
    <xf numFmtId="0" fontId="4" fillId="0" borderId="43"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131" fillId="0" borderId="33" xfId="0" applyFont="1" applyBorder="1" applyAlignment="1">
      <alignment horizontal="center" vertical="center" wrapText="1"/>
    </xf>
    <xf numFmtId="0" fontId="0" fillId="0" borderId="32" xfId="0" applyBorder="1" applyAlignment="1">
      <alignment horizontal="center" wrapText="1"/>
    </xf>
    <xf numFmtId="0" fontId="0" fillId="0" borderId="24" xfId="0" applyBorder="1" applyAlignment="1">
      <alignment horizontal="center" wrapText="1"/>
    </xf>
    <xf numFmtId="0" fontId="5" fillId="26" borderId="33" xfId="0" applyFont="1" applyFill="1" applyBorder="1" applyAlignment="1">
      <alignment horizontal="left" vertical="center" wrapText="1" indent="1"/>
    </xf>
    <xf numFmtId="0" fontId="0" fillId="26" borderId="42" xfId="0" applyFill="1" applyBorder="1" applyAlignment="1">
      <alignment horizontal="left" vertical="center" wrapText="1" indent="1"/>
    </xf>
    <xf numFmtId="0" fontId="0" fillId="26" borderId="21" xfId="0" applyFill="1" applyBorder="1" applyAlignment="1">
      <alignment horizontal="left" vertical="center" wrapText="1" indent="1"/>
    </xf>
    <xf numFmtId="0" fontId="0" fillId="26" borderId="25" xfId="0" applyFill="1" applyBorder="1" applyAlignment="1">
      <alignment horizontal="left" vertical="center" wrapText="1" indent="1"/>
    </xf>
    <xf numFmtId="0" fontId="0" fillId="0" borderId="85" xfId="0" applyBorder="1" applyAlignment="1">
      <alignment horizontal="center" wrapText="1"/>
    </xf>
    <xf numFmtId="0" fontId="0" fillId="0" borderId="67" xfId="0" applyBorder="1" applyAlignment="1">
      <alignment horizont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0" xfId="0" applyFont="1" applyBorder="1" applyAlignment="1">
      <alignment horizontal="left" vertical="center" wrapText="1" indent="1"/>
    </xf>
    <xf numFmtId="0" fontId="0" fillId="21" borderId="37" xfId="0" applyFill="1" applyBorder="1" applyAlignment="1">
      <alignment horizontal="center"/>
    </xf>
    <xf numFmtId="0" fontId="0" fillId="21" borderId="30" xfId="0" applyFill="1" applyBorder="1" applyAlignment="1">
      <alignment horizontal="center"/>
    </xf>
    <xf numFmtId="0" fontId="0" fillId="21" borderId="31" xfId="0" applyFill="1" applyBorder="1" applyAlignment="1">
      <alignment horizontal="center"/>
    </xf>
    <xf numFmtId="0" fontId="22" fillId="0" borderId="0" xfId="0" applyFont="1" applyAlignment="1">
      <alignment vertical="center" wrapText="1"/>
    </xf>
    <xf numFmtId="0" fontId="2" fillId="0" borderId="0" xfId="0" applyFont="1" applyAlignment="1">
      <alignment vertical="center" wrapText="1"/>
    </xf>
    <xf numFmtId="0" fontId="0" fillId="0" borderId="0" xfId="0" applyBorder="1" applyAlignment="1">
      <alignment horizontal="left" vertical="center" wrapText="1" indent="3"/>
    </xf>
    <xf numFmtId="0" fontId="2" fillId="3" borderId="43" xfId="0" applyFont="1" applyFill="1" applyBorder="1" applyAlignment="1">
      <alignment horizontal="center"/>
    </xf>
    <xf numFmtId="0" fontId="0" fillId="0" borderId="9" xfId="0"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5" fillId="0" borderId="12" xfId="0" applyFont="1" applyBorder="1" applyAlignment="1">
      <alignment horizontal="center"/>
    </xf>
    <xf numFmtId="0" fontId="5" fillId="0" borderId="16" xfId="0" applyFont="1" applyBorder="1" applyAlignment="1">
      <alignment horizontal="center"/>
    </xf>
    <xf numFmtId="0" fontId="5" fillId="0" borderId="7" xfId="0" applyFont="1" applyBorder="1" applyAlignment="1">
      <alignment horizontal="center"/>
    </xf>
    <xf numFmtId="0" fontId="5" fillId="0" borderId="43" xfId="0" applyFont="1" applyBorder="1" applyAlignment="1">
      <alignment horizontal="center"/>
    </xf>
    <xf numFmtId="0" fontId="5" fillId="0" borderId="9" xfId="0" applyFont="1" applyBorder="1" applyAlignment="1">
      <alignment horizontal="center"/>
    </xf>
    <xf numFmtId="0" fontId="2" fillId="3" borderId="13" xfId="0" applyFont="1" applyFill="1" applyBorder="1" applyAlignment="1">
      <alignment horizontal="center" vertical="center" textRotation="90"/>
    </xf>
    <xf numFmtId="0" fontId="2" fillId="3" borderId="14" xfId="0" applyFont="1" applyFill="1" applyBorder="1" applyAlignment="1">
      <alignment horizontal="center" vertical="center" textRotation="90"/>
    </xf>
    <xf numFmtId="0" fontId="0" fillId="0" borderId="14" xfId="0" applyBorder="1" applyAlignment="1">
      <alignment horizontal="center" vertical="center" textRotation="90"/>
    </xf>
    <xf numFmtId="0" fontId="0" fillId="0" borderId="53" xfId="0" applyBorder="1" applyAlignment="1">
      <alignment horizontal="center" vertical="center" textRotation="90"/>
    </xf>
    <xf numFmtId="0" fontId="2" fillId="3" borderId="33" xfId="0" applyFont="1" applyFill="1" applyBorder="1" applyAlignment="1">
      <alignment horizontal="center" vertical="center"/>
    </xf>
    <xf numFmtId="0" fontId="2" fillId="3" borderId="18" xfId="0" applyFont="1" applyFill="1" applyBorder="1" applyAlignment="1">
      <alignment horizontal="center" vertical="center"/>
    </xf>
    <xf numFmtId="0" fontId="6" fillId="17" borderId="33" xfId="0" applyFont="1" applyFill="1" applyBorder="1" applyAlignment="1">
      <alignment horizontal="center" vertical="center" wrapText="1"/>
    </xf>
    <xf numFmtId="0" fontId="0" fillId="17" borderId="18" xfId="0" applyFill="1" applyBorder="1" applyAlignment="1">
      <alignment horizontal="center" vertical="center" wrapText="1"/>
    </xf>
    <xf numFmtId="0" fontId="0" fillId="17" borderId="17" xfId="0" applyFill="1" applyBorder="1" applyAlignment="1">
      <alignment horizontal="center" vertical="center" wrapText="1"/>
    </xf>
    <xf numFmtId="0" fontId="0" fillId="17" borderId="32"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24" xfId="0" applyFill="1" applyBorder="1" applyAlignment="1">
      <alignment horizontal="center" vertical="center" wrapText="1"/>
    </xf>
    <xf numFmtId="0" fontId="0" fillId="17" borderId="42" xfId="0" applyFill="1" applyBorder="1" applyAlignment="1">
      <alignment horizontal="center" vertical="center" wrapText="1"/>
    </xf>
    <xf numFmtId="0" fontId="0" fillId="17" borderId="21" xfId="0" applyFill="1" applyBorder="1" applyAlignment="1">
      <alignment horizontal="center" vertical="center" wrapText="1"/>
    </xf>
    <xf numFmtId="0" fontId="0" fillId="17" borderId="25" xfId="0" applyFill="1" applyBorder="1" applyAlignment="1">
      <alignment horizontal="center" vertical="center" wrapText="1"/>
    </xf>
    <xf numFmtId="0" fontId="7" fillId="21" borderId="29" xfId="0" applyFont="1" applyFill="1" applyBorder="1" applyAlignment="1">
      <alignment horizontal="right" vertical="center" wrapText="1"/>
    </xf>
    <xf numFmtId="0" fontId="4" fillId="21" borderId="29" xfId="0" applyFont="1" applyFill="1" applyBorder="1" applyAlignment="1">
      <alignment horizontal="right" vertical="center" wrapText="1"/>
    </xf>
    <xf numFmtId="0" fontId="4" fillId="21" borderId="29" xfId="0" applyFont="1" applyFill="1" applyBorder="1" applyAlignment="1">
      <alignment wrapText="1"/>
    </xf>
    <xf numFmtId="0" fontId="6" fillId="47" borderId="29" xfId="0" applyFont="1" applyFill="1" applyBorder="1" applyAlignment="1">
      <alignment horizontal="right" vertical="center" wrapText="1"/>
    </xf>
    <xf numFmtId="0" fontId="0" fillId="47" borderId="29" xfId="0" applyFill="1" applyBorder="1" applyAlignment="1">
      <alignment wrapText="1"/>
    </xf>
    <xf numFmtId="44" fontId="6" fillId="69" borderId="0" xfId="2" applyFont="1" applyFill="1" applyAlignment="1">
      <alignment horizontal="center"/>
    </xf>
    <xf numFmtId="44" fontId="7" fillId="0" borderId="0" xfId="2" applyFont="1" applyAlignment="1">
      <alignment horizontal="center"/>
    </xf>
    <xf numFmtId="44" fontId="6" fillId="69" borderId="0" xfId="2" applyFont="1" applyFill="1" applyAlignment="1">
      <alignment horizontal="left" vertical="center" wrapText="1" indent="1"/>
    </xf>
    <xf numFmtId="44" fontId="9" fillId="8" borderId="34" xfId="2" applyFont="1" applyFill="1" applyBorder="1" applyAlignment="1">
      <alignment horizontal="right" wrapText="1"/>
    </xf>
    <xf numFmtId="0" fontId="0" fillId="8" borderId="36" xfId="0" applyFill="1" applyBorder="1" applyAlignment="1">
      <alignment horizontal="right" wrapText="1"/>
    </xf>
    <xf numFmtId="44" fontId="7" fillId="21" borderId="34" xfId="2" applyFont="1" applyFill="1" applyBorder="1" applyAlignment="1">
      <alignment horizontal="right" wrapText="1"/>
    </xf>
    <xf numFmtId="0" fontId="7" fillId="21" borderId="35" xfId="0" applyFont="1" applyFill="1" applyBorder="1" applyAlignment="1">
      <alignment horizontal="right" wrapText="1"/>
    </xf>
    <xf numFmtId="0" fontId="7" fillId="21" borderId="36" xfId="0" applyFont="1" applyFill="1" applyBorder="1" applyAlignment="1">
      <alignment horizontal="right" wrapText="1"/>
    </xf>
    <xf numFmtId="44" fontId="9" fillId="0" borderId="0" xfId="2" applyFont="1" applyAlignment="1">
      <alignment horizontal="right" wrapText="1"/>
    </xf>
    <xf numFmtId="44" fontId="7" fillId="0" borderId="0" xfId="2" applyFont="1" applyAlignment="1">
      <alignment horizontal="right" wrapText="1"/>
    </xf>
    <xf numFmtId="43" fontId="6" fillId="21" borderId="32" xfId="1" applyNumberFormat="1" applyFont="1" applyFill="1" applyBorder="1" applyAlignment="1">
      <alignment horizontal="right" vertical="top" wrapText="1"/>
    </xf>
    <xf numFmtId="0" fontId="0" fillId="21" borderId="42" xfId="0" applyFill="1" applyBorder="1" applyAlignment="1">
      <alignment horizontal="right" vertical="top" wrapText="1"/>
    </xf>
    <xf numFmtId="44" fontId="9" fillId="30" borderId="34" xfId="2" applyFont="1" applyFill="1" applyBorder="1" applyAlignment="1">
      <alignment horizontal="right" wrapText="1" indent="1"/>
    </xf>
    <xf numFmtId="0" fontId="0" fillId="30" borderId="36" xfId="0" applyFill="1" applyBorder="1" applyAlignment="1">
      <alignment horizontal="right" wrapText="1" indent="1"/>
    </xf>
    <xf numFmtId="43" fontId="6" fillId="47" borderId="34" xfId="1" applyNumberFormat="1" applyFont="1" applyFill="1" applyBorder="1" applyAlignment="1">
      <alignment horizontal="right" vertical="center" wrapText="1"/>
    </xf>
    <xf numFmtId="0" fontId="1" fillId="47" borderId="35" xfId="0" applyFont="1" applyFill="1" applyBorder="1" applyAlignment="1">
      <alignment horizontal="right" vertical="center" wrapText="1"/>
    </xf>
    <xf numFmtId="44" fontId="6" fillId="0" borderId="33" xfId="2" applyFont="1" applyBorder="1" applyAlignment="1">
      <alignment horizontal="left" vertical="center" wrapText="1" indent="1"/>
    </xf>
    <xf numFmtId="195" fontId="1" fillId="0" borderId="32" xfId="1" applyNumberFormat="1" applyFont="1" applyBorder="1" applyAlignment="1">
      <alignment horizontal="right" vertical="center" wrapText="1" indent="1"/>
    </xf>
    <xf numFmtId="9" fontId="1" fillId="0" borderId="24" xfId="7" applyFont="1" applyBorder="1" applyAlignment="1">
      <alignment horizontal="right" vertical="center" wrapText="1" indent="1"/>
    </xf>
    <xf numFmtId="44" fontId="9" fillId="0" borderId="34" xfId="2" applyFont="1" applyBorder="1" applyAlignment="1">
      <alignment horizontal="right" wrapText="1"/>
    </xf>
    <xf numFmtId="0" fontId="0" fillId="0" borderId="35" xfId="0" applyBorder="1" applyAlignment="1">
      <alignment horizontal="right" wrapText="1"/>
    </xf>
    <xf numFmtId="44" fontId="7" fillId="0" borderId="34" xfId="2" applyFont="1" applyBorder="1" applyAlignment="1">
      <alignment horizontal="center" wrapText="1"/>
    </xf>
    <xf numFmtId="44" fontId="7" fillId="0" borderId="36" xfId="2" applyFont="1" applyBorder="1" applyAlignment="1">
      <alignment horizontal="center" wrapText="1"/>
    </xf>
    <xf numFmtId="44" fontId="6" fillId="0" borderId="33" xfId="2" applyFont="1" applyBorder="1" applyAlignment="1">
      <alignment horizontal="left" wrapText="1" indent="1"/>
    </xf>
    <xf numFmtId="43" fontId="6" fillId="47" borderId="33" xfId="1" applyNumberFormat="1" applyFont="1" applyFill="1" applyBorder="1" applyAlignment="1">
      <alignment horizontal="right" wrapText="1"/>
    </xf>
    <xf numFmtId="0" fontId="1" fillId="47" borderId="32" xfId="0" applyFont="1" applyFill="1" applyBorder="1" applyAlignment="1">
      <alignment horizontal="right" wrapText="1"/>
    </xf>
    <xf numFmtId="44" fontId="6" fillId="51" borderId="35" xfId="2" applyFont="1" applyFill="1" applyBorder="1" applyAlignment="1">
      <alignment horizontal="right" vertical="center" wrapText="1"/>
    </xf>
    <xf numFmtId="0" fontId="0" fillId="51" borderId="35" xfId="0" applyFill="1" applyBorder="1" applyAlignment="1">
      <alignment horizontal="right" vertical="center" wrapText="1"/>
    </xf>
    <xf numFmtId="0" fontId="0" fillId="51" borderId="36" xfId="0" applyFill="1" applyBorder="1" applyAlignment="1">
      <alignment horizontal="right" vertical="center" wrapText="1"/>
    </xf>
    <xf numFmtId="44" fontId="6" fillId="21" borderId="34" xfId="2" applyFont="1" applyFill="1" applyBorder="1" applyAlignment="1">
      <alignment horizontal="right" vertical="center" wrapText="1"/>
    </xf>
    <xf numFmtId="0" fontId="6" fillId="21" borderId="35" xfId="0" applyFont="1" applyFill="1" applyBorder="1" applyAlignment="1">
      <alignment horizontal="right" vertical="center" wrapText="1"/>
    </xf>
    <xf numFmtId="0" fontId="6" fillId="21" borderId="36" xfId="0" applyFont="1" applyFill="1" applyBorder="1" applyAlignment="1">
      <alignment horizontal="right" vertical="center" wrapText="1"/>
    </xf>
    <xf numFmtId="44" fontId="7" fillId="54" borderId="34" xfId="2" applyFont="1" applyFill="1" applyBorder="1" applyAlignment="1">
      <alignment horizontal="right" wrapText="1"/>
    </xf>
    <xf numFmtId="0" fontId="0" fillId="54" borderId="35" xfId="0" applyFill="1" applyBorder="1" applyAlignment="1">
      <alignment horizontal="right" wrapText="1"/>
    </xf>
    <xf numFmtId="43" fontId="6" fillId="26" borderId="34" xfId="1" applyNumberFormat="1" applyFont="1" applyFill="1" applyBorder="1" applyAlignment="1">
      <alignment horizontal="right" vertical="center" wrapText="1"/>
    </xf>
    <xf numFmtId="0" fontId="9" fillId="0" borderId="29" xfId="0" applyFont="1" applyBorder="1" applyAlignment="1">
      <alignment horizontal="center"/>
    </xf>
    <xf numFmtId="0" fontId="9" fillId="0" borderId="34" xfId="0" applyFont="1" applyBorder="1" applyAlignment="1">
      <alignment horizontal="center"/>
    </xf>
    <xf numFmtId="0" fontId="7" fillId="0" borderId="18" xfId="0" applyFont="1" applyBorder="1" applyAlignment="1">
      <alignment horizontal="center"/>
    </xf>
    <xf numFmtId="0" fontId="8" fillId="0" borderId="37" xfId="0" applyFont="1" applyBorder="1" applyAlignment="1">
      <alignment horizontal="center"/>
    </xf>
    <xf numFmtId="0" fontId="8" fillId="0" borderId="30" xfId="0" applyFont="1" applyBorder="1" applyAlignment="1">
      <alignment horizontal="center"/>
    </xf>
    <xf numFmtId="0" fontId="8" fillId="0" borderId="31" xfId="0" applyFont="1" applyBorder="1" applyAlignment="1">
      <alignment horizontal="center"/>
    </xf>
    <xf numFmtId="0" fontId="50" fillId="0" borderId="0" xfId="4" applyFont="1" applyAlignment="1">
      <alignment horizontal="left" vertical="center" wrapText="1" indent="1"/>
    </xf>
    <xf numFmtId="0" fontId="10" fillId="0" borderId="0" xfId="4" applyFont="1" applyAlignment="1">
      <alignment horizontal="left" vertical="center" wrapText="1" indent="1"/>
    </xf>
    <xf numFmtId="3" fontId="5" fillId="0" borderId="37" xfId="0" applyNumberFormat="1" applyFont="1" applyFill="1" applyBorder="1" applyAlignment="1">
      <alignment horizontal="center"/>
    </xf>
    <xf numFmtId="3" fontId="5" fillId="0" borderId="31" xfId="0" applyNumberFormat="1" applyFont="1" applyFill="1" applyBorder="1" applyAlignment="1">
      <alignment horizontal="center"/>
    </xf>
    <xf numFmtId="0" fontId="50" fillId="0" borderId="0" xfId="4" applyFont="1" applyAlignment="1">
      <alignment horizontal="left" wrapText="1" indent="1"/>
    </xf>
    <xf numFmtId="0" fontId="46" fillId="0" borderId="0" xfId="0" applyFont="1" applyAlignment="1">
      <alignment horizontal="left" vertical="center" wrapText="1" indent="2"/>
    </xf>
    <xf numFmtId="0" fontId="43" fillId="0" borderId="0" xfId="0" applyFont="1" applyAlignment="1">
      <alignment horizontal="left" vertical="center" wrapText="1" indent="2"/>
    </xf>
    <xf numFmtId="199" fontId="2" fillId="14" borderId="30" xfId="0" applyNumberFormat="1" applyFont="1" applyFill="1" applyBorder="1" applyAlignment="1">
      <alignment horizontal="center"/>
    </xf>
    <xf numFmtId="199" fontId="2" fillId="14" borderId="31" xfId="0" applyNumberFormat="1" applyFont="1" applyFill="1" applyBorder="1" applyAlignment="1">
      <alignment horizontal="center"/>
    </xf>
    <xf numFmtId="0" fontId="4" fillId="0" borderId="0" xfId="0" applyFont="1" applyBorder="1" applyAlignment="1">
      <alignment vertical="center" wrapText="1"/>
    </xf>
    <xf numFmtId="0" fontId="22" fillId="0" borderId="0" xfId="0" applyFont="1" applyAlignment="1">
      <alignment horizontal="left" vertical="center" wrapText="1"/>
    </xf>
    <xf numFmtId="0" fontId="22" fillId="0" borderId="0" xfId="0" applyFont="1" applyAlignment="1">
      <alignment wrapText="1"/>
    </xf>
    <xf numFmtId="0" fontId="8" fillId="0" borderId="0" xfId="0" applyFont="1" applyBorder="1" applyAlignment="1">
      <alignment vertical="center" wrapText="1"/>
    </xf>
    <xf numFmtId="0" fontId="6" fillId="69" borderId="0" xfId="0" applyFont="1" applyFill="1" applyAlignment="1">
      <alignment horizontal="left" vertical="center" wrapText="1" indent="1"/>
    </xf>
    <xf numFmtId="0" fontId="0" fillId="69" borderId="0" xfId="0" applyFill="1" applyAlignment="1">
      <alignment horizontal="left" vertical="center" wrapText="1" indent="1"/>
    </xf>
  </cellXfs>
  <cellStyles count="9">
    <cellStyle name="Comma" xfId="1" builtinId="3"/>
    <cellStyle name="Currency" xfId="2" builtinId="4"/>
    <cellStyle name="Hyperlink" xfId="3" builtinId="8"/>
    <cellStyle name="Normal" xfId="0" builtinId="0"/>
    <cellStyle name="Normal 3" xfId="8"/>
    <cellStyle name="Normal_BTA_1.1_22_June_2009_REPAIRS" xfId="4"/>
    <cellStyle name="Normal_By Hour" xfId="5"/>
    <cellStyle name="Normal_Sheet1" xfId="6"/>
    <cellStyle name="Percent" xfId="7" builtinId="5"/>
  </cellStyles>
  <dxfs count="17">
    <dxf>
      <fill>
        <patternFill>
          <bgColor indexed="22"/>
        </patternFill>
      </fill>
    </dxf>
    <dxf>
      <font>
        <condense val="0"/>
        <extend val="0"/>
        <color auto="1"/>
      </font>
      <fill>
        <patternFill patternType="solid">
          <fgColor indexed="11"/>
          <bgColor indexed="42"/>
        </patternFill>
      </fill>
    </dxf>
    <dxf>
      <fill>
        <patternFill>
          <bgColor indexed="22"/>
        </patternFill>
      </fill>
    </dxf>
    <dxf>
      <font>
        <condense val="0"/>
        <extend val="0"/>
        <color auto="1"/>
      </font>
      <fill>
        <patternFill patternType="solid">
          <fgColor indexed="11"/>
          <bgColor indexed="42"/>
        </patternFill>
      </fill>
    </dxf>
    <dxf>
      <fill>
        <patternFill>
          <bgColor indexed="22"/>
        </patternFill>
      </fill>
    </dxf>
    <dxf>
      <font>
        <condense val="0"/>
        <extend val="0"/>
        <color auto="1"/>
      </font>
      <fill>
        <patternFill patternType="solid">
          <fgColor indexed="11"/>
          <bgColor indexed="42"/>
        </patternFill>
      </fill>
    </dxf>
    <dxf>
      <font>
        <condense val="0"/>
        <extend val="0"/>
        <color indexed="15"/>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ill>
        <patternFill>
          <bgColor rgb="FF92D050"/>
        </patternFill>
      </fill>
    </dxf>
    <dxf>
      <font>
        <color rgb="FF92D050"/>
      </font>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indexed="42"/>
        </patternFill>
      </fill>
    </dxf>
  </dxfs>
  <tableStyles count="0" defaultTableStyle="TableStyleMedium9" defaultPivotStyle="PivotStyleLight16"/>
  <colors>
    <mruColors>
      <color rgb="FFCCECFF"/>
      <color rgb="FFFFCC00"/>
      <color rgb="FFCCFFCC"/>
      <color rgb="FF00CCFF"/>
      <color rgb="FF00FFFF"/>
      <color rgb="FF66FFFF"/>
      <color rgb="FF99FF66"/>
      <color rgb="FF66FF99"/>
      <color rgb="FF0000FF"/>
      <color rgb="FF6666FF"/>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5.xml.rels><?xml version="1.0" encoding="UTF-8" standalone="yes"?>
<Relationships xmlns="http://schemas.openxmlformats.org/package/2006/relationships"><Relationship Id="rId1" Type="http://schemas.openxmlformats.org/officeDocument/2006/relationships/image" Target="../media/image2.jpeg"/></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openxmlformats.org/officeDocument/2006/relationships/image" Target="../media/image4.jpeg"/><Relationship Id="rId1" Type="http://schemas.openxmlformats.org/officeDocument/2006/relationships/image" Target="../media/image3.jpeg"/></Relationships>
</file>

<file path=xl/charts/_rels/chart18.xml.rels><?xml version="1.0" encoding="UTF-8" standalone="yes"?>
<Relationships xmlns="http://schemas.openxmlformats.org/package/2006/relationships"><Relationship Id="rId1" Type="http://schemas.openxmlformats.org/officeDocument/2006/relationships/image" Target="../media/image2.jpe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6.xml"/><Relationship Id="rId2" Type="http://schemas.openxmlformats.org/officeDocument/2006/relationships/image" Target="../media/image4.jpeg"/><Relationship Id="rId1" Type="http://schemas.openxmlformats.org/officeDocument/2006/relationships/image" Target="../media/image3.jpeg"/></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25" b="1" i="0" u="none" strike="noStrike" baseline="0">
                <a:solidFill>
                  <a:srgbClr val="000000"/>
                </a:solidFill>
                <a:latin typeface="Arial"/>
                <a:ea typeface="Arial"/>
                <a:cs typeface="Arial"/>
              </a:defRPr>
            </a:pPr>
            <a:r>
              <a:rPr lang="en-US"/>
              <a:t>Weekday Auto Toll to Enter CBD</a:t>
            </a:r>
          </a:p>
        </c:rich>
      </c:tx>
      <c:layout>
        <c:manualLayout>
          <c:xMode val="edge"/>
          <c:yMode val="edge"/>
          <c:x val="0.24311676281107344"/>
          <c:y val="4.0797900262467192E-2"/>
        </c:manualLayout>
      </c:layout>
      <c:spPr>
        <a:noFill/>
        <a:ln w="25400">
          <a:noFill/>
        </a:ln>
      </c:spPr>
    </c:title>
    <c:plotArea>
      <c:layout>
        <c:manualLayout>
          <c:layoutTarget val="inner"/>
          <c:xMode val="edge"/>
          <c:yMode val="edge"/>
          <c:x val="0.14059757976049544"/>
          <c:y val="0.24932158145670741"/>
          <c:w val="0.81429431611285674"/>
          <c:h val="0.4895769235877418"/>
        </c:manualLayout>
      </c:layout>
      <c:barChart>
        <c:barDir val="col"/>
        <c:grouping val="clustered"/>
        <c:ser>
          <c:idx val="0"/>
          <c:order val="0"/>
          <c:tx>
            <c:v>Kheel II</c:v>
          </c:tx>
          <c:spPr>
            <a:solidFill>
              <a:srgbClr val="9999FF"/>
            </a:solidFill>
            <a:ln w="12700">
              <a:solidFill>
                <a:srgbClr val="000000"/>
              </a:solidFill>
              <a:prstDash val="solid"/>
            </a:ln>
          </c:spPr>
          <c:cat>
            <c:multiLvlStrRef>
              <c:f>('Weekday Hours'!$B$54,'Weekday Hours'!$B$31:$B$53)</c:f>
              <c:multiLvlStrCache>
                <c:ptCount val="2"/>
                <c:lvl>
                  <c:pt idx="0">
                    <c:v>11 p.m.</c:v>
                  </c:pt>
                  <c:pt idx="1">
                    <c:v>10 p.m.</c:v>
                  </c:pt>
                </c:lvl>
                <c:lvl>
                  <c:pt idx="1">
                    <c:v>9 p.m.</c:v>
                  </c:pt>
                </c:lvl>
                <c:lvl>
                  <c:pt idx="1">
                    <c:v>8 p.m.</c:v>
                  </c:pt>
                </c:lvl>
                <c:lvl>
                  <c:pt idx="1">
                    <c:v>7 p.m.</c:v>
                  </c:pt>
                </c:lvl>
                <c:lvl>
                  <c:pt idx="1">
                    <c:v>6 p.m.</c:v>
                  </c:pt>
                </c:lvl>
                <c:lvl>
                  <c:pt idx="1">
                    <c:v>5 p.m.</c:v>
                  </c:pt>
                </c:lvl>
                <c:lvl>
                  <c:pt idx="1">
                    <c:v>4 p.m.</c:v>
                  </c:pt>
                </c:lvl>
                <c:lvl>
                  <c:pt idx="1">
                    <c:v>3 p.m.</c:v>
                  </c:pt>
                </c:lvl>
                <c:lvl>
                  <c:pt idx="1">
                    <c:v>2 p.m.</c:v>
                  </c:pt>
                </c:lvl>
                <c:lvl>
                  <c:pt idx="1">
                    <c:v>1 p.m.</c:v>
                  </c:pt>
                </c:lvl>
                <c:lvl>
                  <c:pt idx="1">
                    <c:v>12 noon</c:v>
                  </c:pt>
                </c:lvl>
                <c:lvl>
                  <c:pt idx="1">
                    <c:v>11 a.m.</c:v>
                  </c:pt>
                </c:lvl>
                <c:lvl>
                  <c:pt idx="1">
                    <c:v>10 a.m.</c:v>
                  </c:pt>
                </c:lvl>
                <c:lvl>
                  <c:pt idx="1">
                    <c:v>9 a.m.</c:v>
                  </c:pt>
                </c:lvl>
                <c:lvl>
                  <c:pt idx="1">
                    <c:v>8 a.m.</c:v>
                  </c:pt>
                </c:lvl>
                <c:lvl>
                  <c:pt idx="1">
                    <c:v>7 a.m.</c:v>
                  </c:pt>
                </c:lvl>
                <c:lvl>
                  <c:pt idx="1">
                    <c:v>6 a.m.</c:v>
                  </c:pt>
                </c:lvl>
                <c:lvl>
                  <c:pt idx="1">
                    <c:v>5 a.m.</c:v>
                  </c:pt>
                </c:lvl>
                <c:lvl>
                  <c:pt idx="1">
                    <c:v>4 a.m.</c:v>
                  </c:pt>
                </c:lvl>
                <c:lvl>
                  <c:pt idx="1">
                    <c:v>3 a.m.</c:v>
                  </c:pt>
                </c:lvl>
                <c:lvl>
                  <c:pt idx="1">
                    <c:v>2 a.m.</c:v>
                  </c:pt>
                </c:lvl>
                <c:lvl>
                  <c:pt idx="1">
                    <c:v>1 a.m.</c:v>
                  </c:pt>
                </c:lvl>
                <c:lvl>
                  <c:pt idx="1">
                    <c:v>Midnight</c:v>
                  </c:pt>
                </c:lvl>
              </c:multiLvlStrCache>
            </c:multiLvlStrRef>
          </c:cat>
          <c:val>
            <c:numRef>
              <c:f>'Traffic Plans'!#REF!</c:f>
              <c:numCache>
                <c:formatCode>General</c:formatCode>
                <c:ptCount val="1"/>
                <c:pt idx="0">
                  <c:v>1</c:v>
                </c:pt>
              </c:numCache>
            </c:numRef>
          </c:val>
        </c:ser>
        <c:axId val="204374784"/>
        <c:axId val="204376320"/>
      </c:barChart>
      <c:catAx>
        <c:axId val="204374784"/>
        <c:scaling>
          <c:orientation val="minMax"/>
        </c:scaling>
        <c:axPos val="b"/>
        <c:numFmt formatCode="@"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204376320"/>
        <c:crosses val="autoZero"/>
        <c:auto val="1"/>
        <c:lblAlgn val="ctr"/>
        <c:lblOffset val="0"/>
        <c:tickLblSkip val="1"/>
        <c:tickMarkSkip val="1"/>
      </c:catAx>
      <c:valAx>
        <c:axId val="204376320"/>
        <c:scaling>
          <c:orientation val="minMax"/>
          <c:max val="3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4374784"/>
        <c:crosses val="autoZero"/>
        <c:crossBetween val="between"/>
        <c:majorUnit val="10"/>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Weekend Auto Toll to Enter CBD</a:t>
            </a:r>
          </a:p>
        </c:rich>
      </c:tx>
      <c:layout>
        <c:manualLayout>
          <c:xMode val="edge"/>
          <c:yMode val="edge"/>
          <c:x val="0.23710775342271403"/>
          <c:y val="4.0797900262467192E-2"/>
        </c:manualLayout>
      </c:layout>
      <c:spPr>
        <a:noFill/>
        <a:ln w="25400">
          <a:noFill/>
        </a:ln>
      </c:spPr>
    </c:title>
    <c:plotArea>
      <c:layout>
        <c:manualLayout>
          <c:layoutTarget val="inner"/>
          <c:xMode val="edge"/>
          <c:yMode val="edge"/>
          <c:x val="0.14226462168991338"/>
          <c:y val="0.24025534213102237"/>
          <c:w val="0.81209388214660005"/>
          <c:h val="0.4895769235877418"/>
        </c:manualLayout>
      </c:layout>
      <c:barChart>
        <c:barDir val="col"/>
        <c:grouping val="clustered"/>
        <c:ser>
          <c:idx val="0"/>
          <c:order val="0"/>
          <c:tx>
            <c:v>Kheel II</c:v>
          </c:tx>
          <c:spPr>
            <a:solidFill>
              <a:srgbClr val="9999FF"/>
            </a:solidFill>
            <a:ln w="12700">
              <a:solidFill>
                <a:srgbClr val="000000"/>
              </a:solidFill>
              <a:prstDash val="solid"/>
            </a:ln>
          </c:spPr>
          <c:cat>
            <c:strRef>
              <c:f>'Weekend Hours'!$B$31:$B$54</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'Traffic Plans'!#REF!</c:f>
              <c:numCache>
                <c:formatCode>General</c:formatCode>
                <c:ptCount val="1"/>
                <c:pt idx="0">
                  <c:v>1</c:v>
                </c:pt>
              </c:numCache>
            </c:numRef>
          </c:val>
        </c:ser>
        <c:axId val="107812352"/>
        <c:axId val="107813888"/>
      </c:barChart>
      <c:catAx>
        <c:axId val="107812352"/>
        <c:scaling>
          <c:orientation val="minMax"/>
        </c:scaling>
        <c:axPos val="b"/>
        <c:numFmt formatCode="General"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7813888"/>
        <c:crosses val="autoZero"/>
        <c:auto val="1"/>
        <c:lblAlgn val="ctr"/>
        <c:lblOffset val="0"/>
        <c:tickLblSkip val="1"/>
        <c:tickMarkSkip val="1"/>
      </c:catAx>
      <c:valAx>
        <c:axId val="107813888"/>
        <c:scaling>
          <c:orientation val="minMax"/>
          <c:max val="3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812352"/>
        <c:crosses val="autoZero"/>
        <c:crossBetween val="between"/>
        <c:majorUnit val="10"/>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25" b="1" i="0" u="none" strike="noStrike" baseline="0">
                <a:solidFill>
                  <a:srgbClr val="000000"/>
                </a:solidFill>
                <a:latin typeface="Arial"/>
                <a:ea typeface="Arial"/>
                <a:cs typeface="Arial"/>
              </a:defRPr>
            </a:pPr>
            <a:r>
              <a:rPr lang="en-US"/>
              <a:t>Weekday Auto Toll to Enter CBD</a:t>
            </a:r>
          </a:p>
        </c:rich>
      </c:tx>
      <c:layout>
        <c:manualLayout>
          <c:xMode val="edge"/>
          <c:yMode val="edge"/>
          <c:x val="0.24489836376835891"/>
          <c:y val="3.8961395919930614E-2"/>
        </c:manualLayout>
      </c:layout>
      <c:spPr>
        <a:noFill/>
        <a:ln w="25400">
          <a:noFill/>
        </a:ln>
      </c:spPr>
    </c:title>
    <c:plotArea>
      <c:layout>
        <c:manualLayout>
          <c:layoutTarget val="inner"/>
          <c:xMode val="edge"/>
          <c:yMode val="edge"/>
          <c:x val="0.12244915390561679"/>
          <c:y val="0.19590459564458368"/>
          <c:w val="0.8367358850217026"/>
          <c:h val="0.54764239237012879"/>
        </c:manualLayout>
      </c:layout>
      <c:barChart>
        <c:barDir val="col"/>
        <c:grouping val="clustered"/>
        <c:ser>
          <c:idx val="0"/>
          <c:order val="0"/>
          <c:tx>
            <c:v>Kheel II</c:v>
          </c:tx>
          <c:spPr>
            <a:solidFill>
              <a:srgbClr val="9999FF"/>
            </a:solidFill>
            <a:ln w="12700">
              <a:solidFill>
                <a:srgbClr val="000000"/>
              </a:solidFill>
              <a:prstDash val="solid"/>
            </a:ln>
          </c:spPr>
          <c:cat>
            <c:multiLvlStrRef>
              <c:f>('Weekday Hours'!$B$54,'Weekday Hours'!$B$31:$B$53)</c:f>
              <c:multiLvlStrCache>
                <c:ptCount val="2"/>
                <c:lvl>
                  <c:pt idx="0">
                    <c:v>11 p.m.</c:v>
                  </c:pt>
                  <c:pt idx="1">
                    <c:v>10 p.m.</c:v>
                  </c:pt>
                </c:lvl>
                <c:lvl>
                  <c:pt idx="1">
                    <c:v>9 p.m.</c:v>
                  </c:pt>
                </c:lvl>
                <c:lvl>
                  <c:pt idx="1">
                    <c:v>8 p.m.</c:v>
                  </c:pt>
                </c:lvl>
                <c:lvl>
                  <c:pt idx="1">
                    <c:v>7 p.m.</c:v>
                  </c:pt>
                </c:lvl>
                <c:lvl>
                  <c:pt idx="1">
                    <c:v>6 p.m.</c:v>
                  </c:pt>
                </c:lvl>
                <c:lvl>
                  <c:pt idx="1">
                    <c:v>5 p.m.</c:v>
                  </c:pt>
                </c:lvl>
                <c:lvl>
                  <c:pt idx="1">
                    <c:v>4 p.m.</c:v>
                  </c:pt>
                </c:lvl>
                <c:lvl>
                  <c:pt idx="1">
                    <c:v>3 p.m.</c:v>
                  </c:pt>
                </c:lvl>
                <c:lvl>
                  <c:pt idx="1">
                    <c:v>2 p.m.</c:v>
                  </c:pt>
                </c:lvl>
                <c:lvl>
                  <c:pt idx="1">
                    <c:v>1 p.m.</c:v>
                  </c:pt>
                </c:lvl>
                <c:lvl>
                  <c:pt idx="1">
                    <c:v>12 noon</c:v>
                  </c:pt>
                </c:lvl>
                <c:lvl>
                  <c:pt idx="1">
                    <c:v>11 a.m.</c:v>
                  </c:pt>
                </c:lvl>
                <c:lvl>
                  <c:pt idx="1">
                    <c:v>10 a.m.</c:v>
                  </c:pt>
                </c:lvl>
                <c:lvl>
                  <c:pt idx="1">
                    <c:v>9 a.m.</c:v>
                  </c:pt>
                </c:lvl>
                <c:lvl>
                  <c:pt idx="1">
                    <c:v>8 a.m.</c:v>
                  </c:pt>
                </c:lvl>
                <c:lvl>
                  <c:pt idx="1">
                    <c:v>7 a.m.</c:v>
                  </c:pt>
                </c:lvl>
                <c:lvl>
                  <c:pt idx="1">
                    <c:v>6 a.m.</c:v>
                  </c:pt>
                </c:lvl>
                <c:lvl>
                  <c:pt idx="1">
                    <c:v>5 a.m.</c:v>
                  </c:pt>
                </c:lvl>
                <c:lvl>
                  <c:pt idx="1">
                    <c:v>4 a.m.</c:v>
                  </c:pt>
                </c:lvl>
                <c:lvl>
                  <c:pt idx="1">
                    <c:v>3 a.m.</c:v>
                  </c:pt>
                </c:lvl>
                <c:lvl>
                  <c:pt idx="1">
                    <c:v>2 a.m.</c:v>
                  </c:pt>
                </c:lvl>
                <c:lvl>
                  <c:pt idx="1">
                    <c:v>1 a.m.</c:v>
                  </c:pt>
                </c:lvl>
                <c:lvl>
                  <c:pt idx="1">
                    <c:v>Midnight</c:v>
                  </c:pt>
                </c:lvl>
              </c:multiLvlStrCache>
            </c:multiLvlStrRef>
          </c:cat>
          <c:val>
            <c:numRef>
              <c:f>'Traffic Plans'!#REF!</c:f>
              <c:numCache>
                <c:formatCode>General</c:formatCode>
                <c:ptCount val="1"/>
                <c:pt idx="0">
                  <c:v>1</c:v>
                </c:pt>
              </c:numCache>
            </c:numRef>
          </c:val>
        </c:ser>
        <c:axId val="107829504"/>
        <c:axId val="107835392"/>
      </c:barChart>
      <c:catAx>
        <c:axId val="107829504"/>
        <c:scaling>
          <c:orientation val="minMax"/>
        </c:scaling>
        <c:axPos val="b"/>
        <c:numFmt formatCode="@"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7835392"/>
        <c:crosses val="autoZero"/>
        <c:auto val="1"/>
        <c:lblAlgn val="ctr"/>
        <c:lblOffset val="0"/>
        <c:tickLblSkip val="1"/>
        <c:tickMarkSkip val="1"/>
      </c:catAx>
      <c:valAx>
        <c:axId val="107835392"/>
        <c:scaling>
          <c:orientation val="minMax"/>
          <c:max val="10"/>
          <c:min val="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829504"/>
        <c:crosses val="autoZero"/>
        <c:crossBetween val="between"/>
        <c:majorUnit val="2"/>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25" b="1" i="0" u="none" strike="noStrike" baseline="0">
                <a:solidFill>
                  <a:srgbClr val="000000"/>
                </a:solidFill>
                <a:latin typeface="Arial"/>
                <a:ea typeface="Arial"/>
                <a:cs typeface="Arial"/>
              </a:defRPr>
            </a:pPr>
            <a:r>
              <a:rPr lang="en-US"/>
              <a:t>Weekend Auto Toll to Enter CBD</a:t>
            </a:r>
          </a:p>
        </c:rich>
      </c:tx>
      <c:layout>
        <c:manualLayout>
          <c:xMode val="edge"/>
          <c:yMode val="edge"/>
          <c:x val="0.23893884232214438"/>
          <c:y val="3.8961395919930614E-2"/>
        </c:manualLayout>
      </c:layout>
      <c:spPr>
        <a:noFill/>
        <a:ln w="25400">
          <a:noFill/>
        </a:ln>
      </c:spPr>
    </c:title>
    <c:plotArea>
      <c:layout>
        <c:manualLayout>
          <c:layoutTarget val="inner"/>
          <c:xMode val="edge"/>
          <c:yMode val="edge"/>
          <c:x val="0.12389416221354822"/>
          <c:y val="0.19590459564458368"/>
          <c:w val="0.8377605254439916"/>
          <c:h val="0.5298328836751246"/>
        </c:manualLayout>
      </c:layout>
      <c:barChart>
        <c:barDir val="col"/>
        <c:grouping val="clustered"/>
        <c:ser>
          <c:idx val="0"/>
          <c:order val="0"/>
          <c:tx>
            <c:v>Kheel II</c:v>
          </c:tx>
          <c:spPr>
            <a:solidFill>
              <a:srgbClr val="9999FF"/>
            </a:solidFill>
            <a:ln w="12700">
              <a:solidFill>
                <a:srgbClr val="000000"/>
              </a:solidFill>
              <a:prstDash val="solid"/>
            </a:ln>
          </c:spPr>
          <c:cat>
            <c:strRef>
              <c:f>'Weekend Hours'!$B$31:$B$54</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'Traffic Plans'!#REF!</c:f>
              <c:numCache>
                <c:formatCode>General</c:formatCode>
                <c:ptCount val="1"/>
                <c:pt idx="0">
                  <c:v>1</c:v>
                </c:pt>
              </c:numCache>
            </c:numRef>
          </c:val>
        </c:ser>
        <c:axId val="107850752"/>
        <c:axId val="107852544"/>
      </c:barChart>
      <c:catAx>
        <c:axId val="107850752"/>
        <c:scaling>
          <c:orientation val="minMax"/>
        </c:scaling>
        <c:axPos val="b"/>
        <c:numFmt formatCode="General"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7852544"/>
        <c:crosses val="autoZero"/>
        <c:auto val="1"/>
        <c:lblAlgn val="ctr"/>
        <c:lblOffset val="0"/>
        <c:tickLblSkip val="1"/>
        <c:tickMarkSkip val="1"/>
      </c:catAx>
      <c:valAx>
        <c:axId val="107852544"/>
        <c:scaling>
          <c:orientation val="minMax"/>
          <c:max val="10"/>
          <c:min val="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7850752"/>
        <c:crosses val="autoZero"/>
        <c:crossBetween val="between"/>
        <c:majorUnit val="2"/>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25" b="1" i="0" u="none" strike="noStrike" baseline="0">
                <a:solidFill>
                  <a:srgbClr val="000000"/>
                </a:solidFill>
                <a:latin typeface="Arial"/>
                <a:ea typeface="Arial"/>
                <a:cs typeface="Arial"/>
              </a:defRPr>
            </a:pPr>
            <a:r>
              <a:rPr lang="en-US"/>
              <a:t>Weekday Auto Toll to Enter CBD</a:t>
            </a:r>
          </a:p>
        </c:rich>
      </c:tx>
      <c:layout>
        <c:manualLayout>
          <c:xMode val="edge"/>
          <c:yMode val="edge"/>
          <c:x val="0.24254846316800974"/>
          <c:y val="3.9788184371690377E-2"/>
        </c:manualLayout>
      </c:layout>
      <c:spPr>
        <a:noFill/>
        <a:ln w="25400">
          <a:noFill/>
        </a:ln>
      </c:spPr>
    </c:title>
    <c:plotArea>
      <c:layout>
        <c:manualLayout>
          <c:layoutTarget val="inner"/>
          <c:xMode val="edge"/>
          <c:yMode val="edge"/>
          <c:x val="0.14026896871544794"/>
          <c:y val="0.18372734806865854"/>
          <c:w val="0.81531338065850967"/>
          <c:h val="0.56430542621090063"/>
        </c:manualLayout>
      </c:layout>
      <c:barChart>
        <c:barDir val="col"/>
        <c:grouping val="clustered"/>
        <c:ser>
          <c:idx val="0"/>
          <c:order val="0"/>
          <c:spPr>
            <a:solidFill>
              <a:srgbClr val="9999FF"/>
            </a:solidFill>
            <a:ln w="12700">
              <a:solidFill>
                <a:srgbClr val="000000"/>
              </a:solidFill>
              <a:prstDash val="solid"/>
            </a:ln>
          </c:spPr>
          <c:cat>
            <c:strRef>
              <c:f>('Weekday Hours'!$B$54,'Weekday Hours'!$B$31:$B$53)</c:f>
              <c:strCache>
                <c:ptCount val="24"/>
                <c:pt idx="0">
                  <c:v>11 p.m.</c:v>
                </c:pt>
                <c:pt idx="1">
                  <c:v>Midnight</c:v>
                </c:pt>
                <c:pt idx="2">
                  <c:v>1 a.m.</c:v>
                </c:pt>
                <c:pt idx="3">
                  <c:v>2 a.m.</c:v>
                </c:pt>
                <c:pt idx="4">
                  <c:v>3 a.m.</c:v>
                </c:pt>
                <c:pt idx="5">
                  <c:v>4 a.m.</c:v>
                </c:pt>
                <c:pt idx="6">
                  <c:v>5 a.m.</c:v>
                </c:pt>
                <c:pt idx="7">
                  <c:v>6 a.m.</c:v>
                </c:pt>
                <c:pt idx="8">
                  <c:v>7 a.m.</c:v>
                </c:pt>
                <c:pt idx="9">
                  <c:v>8 a.m.</c:v>
                </c:pt>
                <c:pt idx="10">
                  <c:v>9 a.m.</c:v>
                </c:pt>
                <c:pt idx="11">
                  <c:v>10 a.m.</c:v>
                </c:pt>
                <c:pt idx="12">
                  <c:v>11 a.m.</c:v>
                </c:pt>
                <c:pt idx="13">
                  <c:v>12 noon</c:v>
                </c:pt>
                <c:pt idx="14">
                  <c:v>1 p.m.</c:v>
                </c:pt>
                <c:pt idx="15">
                  <c:v>2 p.m.</c:v>
                </c:pt>
                <c:pt idx="16">
                  <c:v>3 p.m.</c:v>
                </c:pt>
                <c:pt idx="17">
                  <c:v>4 p.m.</c:v>
                </c:pt>
                <c:pt idx="18">
                  <c:v>5 p.m.</c:v>
                </c:pt>
                <c:pt idx="19">
                  <c:v>6 p.m.</c:v>
                </c:pt>
                <c:pt idx="20">
                  <c:v>7 p.m.</c:v>
                </c:pt>
                <c:pt idx="21">
                  <c:v>8 p.m.</c:v>
                </c:pt>
                <c:pt idx="22">
                  <c:v>9 p.m.</c:v>
                </c:pt>
                <c:pt idx="23">
                  <c:v>10 p.m.</c:v>
                </c:pt>
              </c:strCache>
            </c:strRef>
          </c:cat>
          <c:val>
            <c:numRef>
              <c:f>'Traffic Plans'!$AL$44:$AL$67</c:f>
              <c:numCache>
                <c:formatCode>"$"#,##0.00_);[Red]\("$"#,##0.00\)</c:formatCode>
                <c:ptCount val="24"/>
                <c:pt idx="0">
                  <c:v>3</c:v>
                </c:pt>
                <c:pt idx="1">
                  <c:v>3</c:v>
                </c:pt>
                <c:pt idx="2">
                  <c:v>3</c:v>
                </c:pt>
                <c:pt idx="3">
                  <c:v>3</c:v>
                </c:pt>
                <c:pt idx="4">
                  <c:v>3</c:v>
                </c:pt>
                <c:pt idx="5">
                  <c:v>3</c:v>
                </c:pt>
                <c:pt idx="6">
                  <c:v>7</c:v>
                </c:pt>
                <c:pt idx="7">
                  <c:v>9.5</c:v>
                </c:pt>
                <c:pt idx="8">
                  <c:v>9.5</c:v>
                </c:pt>
                <c:pt idx="9">
                  <c:v>9.5</c:v>
                </c:pt>
                <c:pt idx="10">
                  <c:v>9.5</c:v>
                </c:pt>
                <c:pt idx="11">
                  <c:v>7</c:v>
                </c:pt>
                <c:pt idx="12">
                  <c:v>7</c:v>
                </c:pt>
                <c:pt idx="13">
                  <c:v>7</c:v>
                </c:pt>
                <c:pt idx="14">
                  <c:v>7</c:v>
                </c:pt>
                <c:pt idx="15">
                  <c:v>9.5</c:v>
                </c:pt>
                <c:pt idx="16">
                  <c:v>9.5</c:v>
                </c:pt>
                <c:pt idx="17">
                  <c:v>9.5</c:v>
                </c:pt>
                <c:pt idx="18">
                  <c:v>9.5</c:v>
                </c:pt>
                <c:pt idx="19">
                  <c:v>9.5</c:v>
                </c:pt>
                <c:pt idx="20">
                  <c:v>9.5</c:v>
                </c:pt>
                <c:pt idx="21">
                  <c:v>7</c:v>
                </c:pt>
                <c:pt idx="22">
                  <c:v>7</c:v>
                </c:pt>
                <c:pt idx="23">
                  <c:v>7</c:v>
                </c:pt>
              </c:numCache>
            </c:numRef>
          </c:val>
        </c:ser>
        <c:axId val="108069248"/>
        <c:axId val="108070784"/>
      </c:barChart>
      <c:catAx>
        <c:axId val="108069248"/>
        <c:scaling>
          <c:orientation val="minMax"/>
        </c:scaling>
        <c:axPos val="b"/>
        <c:numFmt formatCode="@"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8070784"/>
        <c:crosses val="autoZero"/>
        <c:auto val="1"/>
        <c:lblAlgn val="ctr"/>
        <c:lblOffset val="0"/>
        <c:tickLblSkip val="1"/>
        <c:tickMarkSkip val="1"/>
      </c:catAx>
      <c:valAx>
        <c:axId val="108070784"/>
        <c:scaling>
          <c:orientation val="minMax"/>
          <c:max val="15"/>
        </c:scaling>
        <c:axPos val="l"/>
        <c:majorGridlines>
          <c:spPr>
            <a:ln w="3175">
              <a:solidFill>
                <a:srgbClr val="000000"/>
              </a:solidFill>
              <a:prstDash val="solid"/>
            </a:ln>
          </c:spPr>
        </c:majorGridlines>
        <c:numFmt formatCode="&quot;$&quot;#,##0.00_);[Red]\(&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069248"/>
        <c:crosses val="autoZero"/>
        <c:crossBetween val="between"/>
        <c:majorUnit val="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Weekend Auto Toll to Enter CBD</a:t>
            </a:r>
          </a:p>
        </c:rich>
      </c:tx>
      <c:layout>
        <c:manualLayout>
          <c:xMode val="edge"/>
          <c:yMode val="edge"/>
          <c:x val="0.23654703539417496"/>
          <c:y val="3.9788184371690377E-2"/>
        </c:manualLayout>
      </c:layout>
      <c:spPr>
        <a:noFill/>
        <a:ln w="25400">
          <a:noFill/>
        </a:ln>
      </c:spPr>
    </c:title>
    <c:plotArea>
      <c:layout>
        <c:manualLayout>
          <c:layoutTarget val="inner"/>
          <c:xMode val="edge"/>
          <c:yMode val="edge"/>
          <c:x val="0.13601450698206274"/>
          <c:y val="0.17998259505203473"/>
          <c:w val="0.80721653056745857"/>
          <c:h val="0.54872742393912755"/>
        </c:manualLayout>
      </c:layout>
      <c:barChart>
        <c:barDir val="col"/>
        <c:grouping val="clustered"/>
        <c:ser>
          <c:idx val="0"/>
          <c:order val="0"/>
          <c:spPr>
            <a:solidFill>
              <a:srgbClr val="9999FF"/>
            </a:solidFill>
            <a:ln w="12700">
              <a:solidFill>
                <a:srgbClr val="000000"/>
              </a:solidFill>
              <a:prstDash val="solid"/>
            </a:ln>
          </c:spPr>
          <c:cat>
            <c:strRef>
              <c:f>'Weekend Hours'!$B$31:$B$54</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'Traffic Plans'!$AL$69:$AL$92</c:f>
              <c:numCache>
                <c:formatCode>"$"#,##0.00_);[Red]\("$"#,##0.00\)</c:formatCode>
                <c:ptCount val="24"/>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numCache>
            </c:numRef>
          </c:val>
        </c:ser>
        <c:axId val="108078208"/>
        <c:axId val="108079744"/>
      </c:barChart>
      <c:catAx>
        <c:axId val="108078208"/>
        <c:scaling>
          <c:orientation val="minMax"/>
        </c:scaling>
        <c:axPos val="b"/>
        <c:numFmt formatCode="General"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8079744"/>
        <c:crosses val="autoZero"/>
        <c:auto val="1"/>
        <c:lblAlgn val="ctr"/>
        <c:lblOffset val="0"/>
        <c:tickLblSkip val="1"/>
        <c:tickMarkSkip val="1"/>
      </c:catAx>
      <c:valAx>
        <c:axId val="108079744"/>
        <c:scaling>
          <c:orientation val="minMax"/>
          <c:max val="15"/>
        </c:scaling>
        <c:axPos val="l"/>
        <c:majorGridlines>
          <c:spPr>
            <a:ln w="3175">
              <a:solidFill>
                <a:srgbClr val="000000"/>
              </a:solidFill>
              <a:prstDash val="solid"/>
            </a:ln>
          </c:spPr>
        </c:majorGridlines>
        <c:numFmt formatCode="&quot;$&quot;#,##0.00_);[Red]\(&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078208"/>
        <c:crosses val="autoZero"/>
        <c:crossBetween val="between"/>
        <c:majorUnit val="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Weekday Subway Fare</a:t>
            </a:r>
          </a:p>
          <a:p>
            <a:pPr>
              <a:defRPr sz="900" b="1" i="0" u="none" strike="noStrike" baseline="0">
                <a:solidFill>
                  <a:srgbClr val="000000"/>
                </a:solidFill>
                <a:latin typeface="Arial"/>
                <a:ea typeface="Arial"/>
                <a:cs typeface="Arial"/>
              </a:defRPr>
            </a:pPr>
            <a:r>
              <a:rPr lang="en-US" sz="800" b="0"/>
              <a:t>(doesn't</a:t>
            </a:r>
            <a:r>
              <a:rPr lang="en-US" sz="800" b="0" baseline="0"/>
              <a:t> reflect unlimited and bulk-purchase discounts)</a:t>
            </a:r>
            <a:endParaRPr lang="en-US" sz="800" b="0"/>
          </a:p>
        </c:rich>
      </c:tx>
      <c:layout>
        <c:manualLayout>
          <c:xMode val="edge"/>
          <c:yMode val="edge"/>
          <c:x val="0.19003623188405799"/>
          <c:y val="4.7075136250170561E-2"/>
        </c:manualLayout>
      </c:layout>
      <c:spPr>
        <a:noFill/>
        <a:ln w="25400">
          <a:noFill/>
        </a:ln>
      </c:spPr>
    </c:title>
    <c:plotArea>
      <c:layout>
        <c:manualLayout>
          <c:layoutTarget val="inner"/>
          <c:xMode val="edge"/>
          <c:yMode val="edge"/>
          <c:x val="0.17533621089431375"/>
          <c:y val="0.19823788546255541"/>
          <c:w val="0.78024613847964897"/>
          <c:h val="0.52863436123348062"/>
        </c:manualLayout>
      </c:layout>
      <c:barChart>
        <c:barDir val="col"/>
        <c:grouping val="clustered"/>
        <c:ser>
          <c:idx val="0"/>
          <c:order val="0"/>
          <c:tx>
            <c:v>Kheel II</c:v>
          </c:tx>
          <c:spPr>
            <a:solidFill>
              <a:srgbClr val="9999FF"/>
            </a:solidFill>
            <a:ln w="12700">
              <a:solidFill>
                <a:srgbClr val="000000"/>
              </a:solidFill>
              <a:prstDash val="solid"/>
            </a:ln>
          </c:spPr>
          <c:cat>
            <c:strRef>
              <c:f>Subways!$B$74:$B$97</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'Traffic Plans'!$AM$10:$AM$32</c:f>
              <c:numCache>
                <c:formatCode>"$"#,##0.00_);[Red]\("$"#,##0.00\)</c:formatCode>
                <c:ptCount val="23"/>
                <c:pt idx="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numCache>
            </c:numRef>
          </c:val>
        </c:ser>
        <c:axId val="108091264"/>
        <c:axId val="108092800"/>
      </c:barChart>
      <c:catAx>
        <c:axId val="108091264"/>
        <c:scaling>
          <c:orientation val="minMax"/>
        </c:scaling>
        <c:axPos val="b"/>
        <c:numFmt formatCode="@"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8092800"/>
        <c:crosses val="autoZero"/>
        <c:auto val="1"/>
        <c:lblAlgn val="ctr"/>
        <c:lblOffset val="0"/>
        <c:tickLblSkip val="1"/>
        <c:tickMarkSkip val="1"/>
      </c:catAx>
      <c:valAx>
        <c:axId val="108092800"/>
        <c:scaling>
          <c:orientation val="minMax"/>
        </c:scaling>
        <c:axPos val="l"/>
        <c:majorGridlines>
          <c:spPr>
            <a:ln w="3175">
              <a:solidFill>
                <a:srgbClr val="000000"/>
              </a:solidFill>
              <a:prstDash val="solid"/>
            </a:ln>
          </c:spPr>
        </c:majorGridlines>
        <c:numFmt formatCode="&quot;$&quot;#,##0.00_);[Red]\(&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091264"/>
        <c:crosses val="autoZero"/>
        <c:crossBetween val="between"/>
        <c:majorUnit val="0.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25" b="1" i="0" u="none" strike="noStrike" baseline="0">
                <a:solidFill>
                  <a:srgbClr val="000000"/>
                </a:solidFill>
                <a:latin typeface="Arial"/>
                <a:ea typeface="Arial"/>
                <a:cs typeface="Arial"/>
              </a:defRPr>
            </a:pPr>
            <a:r>
              <a:rPr lang="en-US"/>
              <a:t>Weekday Auto Toll to Enter CBD</a:t>
            </a:r>
          </a:p>
        </c:rich>
      </c:tx>
      <c:layout>
        <c:manualLayout>
          <c:xMode val="edge"/>
          <c:yMode val="edge"/>
          <c:x val="0.24254846316800974"/>
          <c:y val="3.9788200387995E-2"/>
        </c:manualLayout>
      </c:layout>
      <c:spPr>
        <a:noFill/>
        <a:ln w="25400">
          <a:noFill/>
        </a:ln>
      </c:spPr>
    </c:title>
    <c:plotArea>
      <c:layout>
        <c:manualLayout>
          <c:layoutTarget val="inner"/>
          <c:xMode val="edge"/>
          <c:yMode val="edge"/>
          <c:x val="0.15042114659527062"/>
          <c:y val="0.18372749058544072"/>
          <c:w val="0.81531338065850967"/>
          <c:h val="0.56430542621090063"/>
        </c:manualLayout>
      </c:layout>
      <c:barChart>
        <c:barDir val="col"/>
        <c:grouping val="clustered"/>
        <c:ser>
          <c:idx val="0"/>
          <c:order val="0"/>
          <c:spPr>
            <a:solidFill>
              <a:srgbClr val="9999FF"/>
            </a:solidFill>
            <a:ln w="12700">
              <a:solidFill>
                <a:srgbClr val="000000"/>
              </a:solidFill>
              <a:prstDash val="solid"/>
            </a:ln>
          </c:spPr>
          <c:cat>
            <c:strRef>
              <c:f>('Weekday Hours'!$B$54,'Weekday Hours'!$B$31:$B$53)</c:f>
              <c:strCache>
                <c:ptCount val="24"/>
                <c:pt idx="0">
                  <c:v>11 p.m.</c:v>
                </c:pt>
                <c:pt idx="1">
                  <c:v>Midnight</c:v>
                </c:pt>
                <c:pt idx="2">
                  <c:v>1 a.m.</c:v>
                </c:pt>
                <c:pt idx="3">
                  <c:v>2 a.m.</c:v>
                </c:pt>
                <c:pt idx="4">
                  <c:v>3 a.m.</c:v>
                </c:pt>
                <c:pt idx="5">
                  <c:v>4 a.m.</c:v>
                </c:pt>
                <c:pt idx="6">
                  <c:v>5 a.m.</c:v>
                </c:pt>
                <c:pt idx="7">
                  <c:v>6 a.m.</c:v>
                </c:pt>
                <c:pt idx="8">
                  <c:v>7 a.m.</c:v>
                </c:pt>
                <c:pt idx="9">
                  <c:v>8 a.m.</c:v>
                </c:pt>
                <c:pt idx="10">
                  <c:v>9 a.m.</c:v>
                </c:pt>
                <c:pt idx="11">
                  <c:v>10 a.m.</c:v>
                </c:pt>
                <c:pt idx="12">
                  <c:v>11 a.m.</c:v>
                </c:pt>
                <c:pt idx="13">
                  <c:v>12 noon</c:v>
                </c:pt>
                <c:pt idx="14">
                  <c:v>1 p.m.</c:v>
                </c:pt>
                <c:pt idx="15">
                  <c:v>2 p.m.</c:v>
                </c:pt>
                <c:pt idx="16">
                  <c:v>3 p.m.</c:v>
                </c:pt>
                <c:pt idx="17">
                  <c:v>4 p.m.</c:v>
                </c:pt>
                <c:pt idx="18">
                  <c:v>5 p.m.</c:v>
                </c:pt>
                <c:pt idx="19">
                  <c:v>6 p.m.</c:v>
                </c:pt>
                <c:pt idx="20">
                  <c:v>7 p.m.</c:v>
                </c:pt>
                <c:pt idx="21">
                  <c:v>8 p.m.</c:v>
                </c:pt>
                <c:pt idx="22">
                  <c:v>9 p.m.</c:v>
                </c:pt>
                <c:pt idx="23">
                  <c:v>10 p.m.</c:v>
                </c:pt>
              </c:strCache>
            </c:strRef>
          </c:cat>
          <c:val>
            <c:numRef>
              <c:f>'Traffic Plans'!$AM$44:$AM$67</c:f>
              <c:numCache>
                <c:formatCode>"$"#,##0.00_);[Red]\("$"#,##0.00\)</c:formatCode>
                <c:ptCount val="24"/>
                <c:pt idx="0">
                  <c:v>3</c:v>
                </c:pt>
                <c:pt idx="1">
                  <c:v>3</c:v>
                </c:pt>
                <c:pt idx="2">
                  <c:v>3</c:v>
                </c:pt>
                <c:pt idx="3">
                  <c:v>3</c:v>
                </c:pt>
                <c:pt idx="4">
                  <c:v>3</c:v>
                </c:pt>
                <c:pt idx="5">
                  <c:v>3</c:v>
                </c:pt>
                <c:pt idx="6">
                  <c:v>7</c:v>
                </c:pt>
                <c:pt idx="7">
                  <c:v>9.5</c:v>
                </c:pt>
                <c:pt idx="8">
                  <c:v>9.5</c:v>
                </c:pt>
                <c:pt idx="9">
                  <c:v>9.5</c:v>
                </c:pt>
                <c:pt idx="10">
                  <c:v>9.5</c:v>
                </c:pt>
                <c:pt idx="11">
                  <c:v>7</c:v>
                </c:pt>
                <c:pt idx="12">
                  <c:v>7</c:v>
                </c:pt>
                <c:pt idx="13">
                  <c:v>7</c:v>
                </c:pt>
                <c:pt idx="14">
                  <c:v>7</c:v>
                </c:pt>
                <c:pt idx="15">
                  <c:v>9.5</c:v>
                </c:pt>
                <c:pt idx="16">
                  <c:v>9.5</c:v>
                </c:pt>
                <c:pt idx="17">
                  <c:v>9.5</c:v>
                </c:pt>
                <c:pt idx="18">
                  <c:v>9.5</c:v>
                </c:pt>
                <c:pt idx="19">
                  <c:v>9.5</c:v>
                </c:pt>
                <c:pt idx="20">
                  <c:v>9.5</c:v>
                </c:pt>
                <c:pt idx="21">
                  <c:v>7</c:v>
                </c:pt>
                <c:pt idx="22">
                  <c:v>7</c:v>
                </c:pt>
                <c:pt idx="23">
                  <c:v>7</c:v>
                </c:pt>
              </c:numCache>
            </c:numRef>
          </c:val>
        </c:ser>
        <c:axId val="108104320"/>
        <c:axId val="108106112"/>
      </c:barChart>
      <c:catAx>
        <c:axId val="108104320"/>
        <c:scaling>
          <c:orientation val="minMax"/>
        </c:scaling>
        <c:axPos val="b"/>
        <c:numFmt formatCode="@"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8106112"/>
        <c:crosses val="autoZero"/>
        <c:auto val="1"/>
        <c:lblAlgn val="ctr"/>
        <c:lblOffset val="0"/>
        <c:tickLblSkip val="1"/>
        <c:tickMarkSkip val="1"/>
      </c:catAx>
      <c:valAx>
        <c:axId val="108106112"/>
        <c:scaling>
          <c:orientation val="minMax"/>
          <c:max val="15"/>
        </c:scaling>
        <c:axPos val="l"/>
        <c:majorGridlines>
          <c:spPr>
            <a:ln w="3175">
              <a:solidFill>
                <a:srgbClr val="000000"/>
              </a:solidFill>
              <a:prstDash val="solid"/>
            </a:ln>
          </c:spPr>
        </c:majorGridlines>
        <c:numFmt formatCode="&quot;$&quot;#,##0.00_);[Red]\(&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104320"/>
        <c:crosses val="autoZero"/>
        <c:crossBetween val="between"/>
        <c:majorUnit val="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Weekend Auto Toll to Enter CBD</a:t>
            </a:r>
          </a:p>
        </c:rich>
      </c:tx>
      <c:layout>
        <c:manualLayout>
          <c:xMode val="edge"/>
          <c:yMode val="edge"/>
          <c:x val="0.23654703539417496"/>
          <c:y val="3.9788200387995E-2"/>
        </c:manualLayout>
      </c:layout>
      <c:spPr>
        <a:noFill/>
        <a:ln w="25400">
          <a:noFill/>
        </a:ln>
      </c:spPr>
    </c:title>
    <c:plotArea>
      <c:layout>
        <c:manualLayout>
          <c:layoutTarget val="inner"/>
          <c:xMode val="edge"/>
          <c:yMode val="edge"/>
          <c:x val="0.13601450698206274"/>
          <c:y val="0.17998259505203479"/>
          <c:w val="0.80721653056745857"/>
          <c:h val="0.54872742393912777"/>
        </c:manualLayout>
      </c:layout>
      <c:barChart>
        <c:barDir val="col"/>
        <c:grouping val="clustered"/>
        <c:ser>
          <c:idx val="0"/>
          <c:order val="0"/>
          <c:spPr>
            <a:solidFill>
              <a:srgbClr val="9999FF"/>
            </a:solidFill>
            <a:ln w="12700">
              <a:solidFill>
                <a:srgbClr val="000000"/>
              </a:solidFill>
              <a:prstDash val="solid"/>
            </a:ln>
          </c:spPr>
          <c:cat>
            <c:strRef>
              <c:f>('Weekday Hours'!$B$54,'Weekday Hours'!$B$31:$B$53)</c:f>
              <c:strCache>
                <c:ptCount val="24"/>
                <c:pt idx="0">
                  <c:v>11 p.m.</c:v>
                </c:pt>
                <c:pt idx="1">
                  <c:v>Midnight</c:v>
                </c:pt>
                <c:pt idx="2">
                  <c:v>1 a.m.</c:v>
                </c:pt>
                <c:pt idx="3">
                  <c:v>2 a.m.</c:v>
                </c:pt>
                <c:pt idx="4">
                  <c:v>3 a.m.</c:v>
                </c:pt>
                <c:pt idx="5">
                  <c:v>4 a.m.</c:v>
                </c:pt>
                <c:pt idx="6">
                  <c:v>5 a.m.</c:v>
                </c:pt>
                <c:pt idx="7">
                  <c:v>6 a.m.</c:v>
                </c:pt>
                <c:pt idx="8">
                  <c:v>7 a.m.</c:v>
                </c:pt>
                <c:pt idx="9">
                  <c:v>8 a.m.</c:v>
                </c:pt>
                <c:pt idx="10">
                  <c:v>9 a.m.</c:v>
                </c:pt>
                <c:pt idx="11">
                  <c:v>10 a.m.</c:v>
                </c:pt>
                <c:pt idx="12">
                  <c:v>11 a.m.</c:v>
                </c:pt>
                <c:pt idx="13">
                  <c:v>12 noon</c:v>
                </c:pt>
                <c:pt idx="14">
                  <c:v>1 p.m.</c:v>
                </c:pt>
                <c:pt idx="15">
                  <c:v>2 p.m.</c:v>
                </c:pt>
                <c:pt idx="16">
                  <c:v>3 p.m.</c:v>
                </c:pt>
                <c:pt idx="17">
                  <c:v>4 p.m.</c:v>
                </c:pt>
                <c:pt idx="18">
                  <c:v>5 p.m.</c:v>
                </c:pt>
                <c:pt idx="19">
                  <c:v>6 p.m.</c:v>
                </c:pt>
                <c:pt idx="20">
                  <c:v>7 p.m.</c:v>
                </c:pt>
                <c:pt idx="21">
                  <c:v>8 p.m.</c:v>
                </c:pt>
                <c:pt idx="22">
                  <c:v>9 p.m.</c:v>
                </c:pt>
                <c:pt idx="23">
                  <c:v>10 p.m.</c:v>
                </c:pt>
              </c:strCache>
            </c:strRef>
          </c:cat>
          <c:val>
            <c:numRef>
              <c:f>'Traffic Plans'!$AM$69:$AM$92</c:f>
              <c:numCache>
                <c:formatCode>"$"#,##0.00_);[Red]\("$"#,##0.00\)</c:formatCode>
                <c:ptCount val="24"/>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numCache>
            </c:numRef>
          </c:val>
        </c:ser>
        <c:axId val="108121472"/>
        <c:axId val="108123264"/>
      </c:barChart>
      <c:catAx>
        <c:axId val="108121472"/>
        <c:scaling>
          <c:orientation val="minMax"/>
        </c:scaling>
        <c:axPos val="b"/>
        <c:numFmt formatCode="@"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8123264"/>
        <c:crosses val="autoZero"/>
        <c:auto val="1"/>
        <c:lblAlgn val="ctr"/>
        <c:lblOffset val="0"/>
        <c:tickLblSkip val="1"/>
        <c:tickMarkSkip val="1"/>
      </c:catAx>
      <c:valAx>
        <c:axId val="108123264"/>
        <c:scaling>
          <c:orientation val="minMax"/>
          <c:max val="15"/>
        </c:scaling>
        <c:axPos val="l"/>
        <c:majorGridlines>
          <c:spPr>
            <a:ln w="3175">
              <a:solidFill>
                <a:srgbClr val="000000"/>
              </a:solidFill>
              <a:prstDash val="solid"/>
            </a:ln>
          </c:spPr>
        </c:majorGridlines>
        <c:numFmt formatCode="&quot;$&quot;#,##0.00_);[Red]\(&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121472"/>
        <c:crosses val="autoZero"/>
        <c:crossBetween val="between"/>
        <c:majorUnit val="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7533621089431381"/>
          <c:y val="0.19823788546255541"/>
          <c:w val="0.78024613847964897"/>
          <c:h val="0.52863436123348062"/>
        </c:manualLayout>
      </c:layout>
      <c:barChart>
        <c:barDir val="col"/>
        <c:grouping val="clustered"/>
        <c:ser>
          <c:idx val="0"/>
          <c:order val="0"/>
          <c:tx>
            <c:v>Kheel II</c:v>
          </c:tx>
          <c:spPr>
            <a:solidFill>
              <a:srgbClr val="9999FF"/>
            </a:solidFill>
            <a:ln w="12700">
              <a:solidFill>
                <a:srgbClr val="000000"/>
              </a:solidFill>
              <a:prstDash val="solid"/>
            </a:ln>
          </c:spPr>
          <c:cat>
            <c:strRef>
              <c:f>Subways!$B$74:$B$97</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'Traffic Plans'!$AM$10:$AM$32</c:f>
              <c:numCache>
                <c:formatCode>"$"#,##0.00_);[Red]\("$"#,##0.00\)</c:formatCode>
                <c:ptCount val="23"/>
                <c:pt idx="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numCache>
            </c:numRef>
          </c:val>
        </c:ser>
        <c:axId val="108138880"/>
        <c:axId val="108140416"/>
      </c:barChart>
      <c:catAx>
        <c:axId val="108138880"/>
        <c:scaling>
          <c:orientation val="minMax"/>
        </c:scaling>
        <c:axPos val="b"/>
        <c:numFmt formatCode="@"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8140416"/>
        <c:crosses val="autoZero"/>
        <c:auto val="1"/>
        <c:lblAlgn val="ctr"/>
        <c:lblOffset val="0"/>
        <c:tickLblSkip val="1"/>
        <c:tickMarkSkip val="1"/>
      </c:catAx>
      <c:valAx>
        <c:axId val="108140416"/>
        <c:scaling>
          <c:orientation val="minMax"/>
        </c:scaling>
        <c:axPos val="l"/>
        <c:majorGridlines>
          <c:spPr>
            <a:ln w="3175">
              <a:solidFill>
                <a:srgbClr val="000000"/>
              </a:solidFill>
              <a:prstDash val="solid"/>
            </a:ln>
          </c:spPr>
        </c:majorGridlines>
        <c:numFmt formatCode="&quot;$&quot;#,##0.00_);[Red]\(&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138880"/>
        <c:crosses val="autoZero"/>
        <c:crossBetween val="between"/>
        <c:majorUnit val="0.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25" b="1" i="0" u="none" strike="noStrike" baseline="0">
                <a:solidFill>
                  <a:srgbClr val="000000"/>
                </a:solidFill>
                <a:latin typeface="Arial"/>
                <a:ea typeface="Arial"/>
                <a:cs typeface="Arial"/>
              </a:defRPr>
            </a:pPr>
            <a:r>
              <a:rPr lang="en-US"/>
              <a:t>Weekday Auto Toll to Enter CBD</a:t>
            </a:r>
          </a:p>
        </c:rich>
      </c:tx>
      <c:layout>
        <c:manualLayout>
          <c:xMode val="edge"/>
          <c:yMode val="edge"/>
          <c:x val="0.24254846316800979"/>
          <c:y val="3.9788184371690377E-2"/>
        </c:manualLayout>
      </c:layout>
      <c:spPr>
        <a:noFill/>
        <a:ln w="25400">
          <a:noFill/>
        </a:ln>
      </c:spPr>
    </c:title>
    <c:plotArea>
      <c:layout>
        <c:manualLayout>
          <c:layoutTarget val="inner"/>
          <c:xMode val="edge"/>
          <c:yMode val="edge"/>
          <c:x val="0.14026896871544794"/>
          <c:y val="0.18372734806865854"/>
          <c:w val="0.81531338065850967"/>
          <c:h val="0.56430542621090063"/>
        </c:manualLayout>
      </c:layout>
      <c:barChart>
        <c:barDir val="col"/>
        <c:grouping val="clustered"/>
        <c:ser>
          <c:idx val="0"/>
          <c:order val="0"/>
          <c:spPr>
            <a:solidFill>
              <a:srgbClr val="9999FF"/>
            </a:solidFill>
            <a:ln w="12700">
              <a:solidFill>
                <a:srgbClr val="000000"/>
              </a:solidFill>
              <a:prstDash val="solid"/>
            </a:ln>
          </c:spPr>
          <c:cat>
            <c:strRef>
              <c:f>('Weekday Hours'!$B$54,'Weekday Hours'!$B$31:$B$53)</c:f>
              <c:strCache>
                <c:ptCount val="24"/>
                <c:pt idx="0">
                  <c:v>11 p.m.</c:v>
                </c:pt>
                <c:pt idx="1">
                  <c:v>Midnight</c:v>
                </c:pt>
                <c:pt idx="2">
                  <c:v>1 a.m.</c:v>
                </c:pt>
                <c:pt idx="3">
                  <c:v>2 a.m.</c:v>
                </c:pt>
                <c:pt idx="4">
                  <c:v>3 a.m.</c:v>
                </c:pt>
                <c:pt idx="5">
                  <c:v>4 a.m.</c:v>
                </c:pt>
                <c:pt idx="6">
                  <c:v>5 a.m.</c:v>
                </c:pt>
                <c:pt idx="7">
                  <c:v>6 a.m.</c:v>
                </c:pt>
                <c:pt idx="8">
                  <c:v>7 a.m.</c:v>
                </c:pt>
                <c:pt idx="9">
                  <c:v>8 a.m.</c:v>
                </c:pt>
                <c:pt idx="10">
                  <c:v>9 a.m.</c:v>
                </c:pt>
                <c:pt idx="11">
                  <c:v>10 a.m.</c:v>
                </c:pt>
                <c:pt idx="12">
                  <c:v>11 a.m.</c:v>
                </c:pt>
                <c:pt idx="13">
                  <c:v>12 noon</c:v>
                </c:pt>
                <c:pt idx="14">
                  <c:v>1 p.m.</c:v>
                </c:pt>
                <c:pt idx="15">
                  <c:v>2 p.m.</c:v>
                </c:pt>
                <c:pt idx="16">
                  <c:v>3 p.m.</c:v>
                </c:pt>
                <c:pt idx="17">
                  <c:v>4 p.m.</c:v>
                </c:pt>
                <c:pt idx="18">
                  <c:v>5 p.m.</c:v>
                </c:pt>
                <c:pt idx="19">
                  <c:v>6 p.m.</c:v>
                </c:pt>
                <c:pt idx="20">
                  <c:v>7 p.m.</c:v>
                </c:pt>
                <c:pt idx="21">
                  <c:v>8 p.m.</c:v>
                </c:pt>
                <c:pt idx="22">
                  <c:v>9 p.m.</c:v>
                </c:pt>
                <c:pt idx="23">
                  <c:v>10 p.m.</c:v>
                </c:pt>
              </c:strCache>
            </c:strRef>
          </c:cat>
          <c:val>
            <c:numRef>
              <c:f>'Traffic Plans'!$AN$44:$AN$67</c:f>
              <c:numCache>
                <c:formatCode>"$"#,##0.00_);[Red]\("$"#,##0.00\)</c:formatCode>
                <c:ptCount val="2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numCache>
            </c:numRef>
          </c:val>
        </c:ser>
        <c:axId val="108151936"/>
        <c:axId val="108153472"/>
      </c:barChart>
      <c:catAx>
        <c:axId val="108151936"/>
        <c:scaling>
          <c:orientation val="minMax"/>
        </c:scaling>
        <c:axPos val="b"/>
        <c:numFmt formatCode="@"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8153472"/>
        <c:crosses val="autoZero"/>
        <c:auto val="1"/>
        <c:lblAlgn val="ctr"/>
        <c:lblOffset val="0"/>
        <c:tickLblSkip val="1"/>
        <c:tickMarkSkip val="1"/>
      </c:catAx>
      <c:valAx>
        <c:axId val="108153472"/>
        <c:scaling>
          <c:orientation val="minMax"/>
          <c:max val="15"/>
        </c:scaling>
        <c:axPos val="l"/>
        <c:majorGridlines>
          <c:spPr>
            <a:ln w="3175">
              <a:solidFill>
                <a:srgbClr val="000000"/>
              </a:solidFill>
              <a:prstDash val="solid"/>
            </a:ln>
          </c:spPr>
        </c:majorGridlines>
        <c:numFmt formatCode="&quot;$&quot;#,##0.00_);[Red]\(&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151936"/>
        <c:crosses val="autoZero"/>
        <c:crossBetween val="between"/>
        <c:majorUnit val="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Weekend Auto Toll to Enter CBD</a:t>
            </a:r>
          </a:p>
        </c:rich>
      </c:tx>
      <c:layout>
        <c:manualLayout>
          <c:xMode val="edge"/>
          <c:yMode val="edge"/>
          <c:x val="0.23654703539417501"/>
          <c:y val="3.9788184371690377E-2"/>
        </c:manualLayout>
      </c:layout>
      <c:spPr>
        <a:noFill/>
        <a:ln w="25400">
          <a:noFill/>
        </a:ln>
      </c:spPr>
    </c:title>
    <c:plotArea>
      <c:layout>
        <c:manualLayout>
          <c:layoutTarget val="inner"/>
          <c:xMode val="edge"/>
          <c:yMode val="edge"/>
          <c:x val="0.13601450698206274"/>
          <c:y val="0.17998259505203479"/>
          <c:w val="0.80721653056745857"/>
          <c:h val="0.54872742393912777"/>
        </c:manualLayout>
      </c:layout>
      <c:barChart>
        <c:barDir val="col"/>
        <c:grouping val="clustered"/>
        <c:ser>
          <c:idx val="0"/>
          <c:order val="0"/>
          <c:spPr>
            <a:solidFill>
              <a:srgbClr val="9999FF"/>
            </a:solidFill>
            <a:ln w="12700">
              <a:solidFill>
                <a:srgbClr val="000000"/>
              </a:solidFill>
              <a:prstDash val="solid"/>
            </a:ln>
          </c:spPr>
          <c:cat>
            <c:strRef>
              <c:f>'Weekend Hours'!$B$31:$B$54</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'Traffic Plans'!$AN$69:$AN$92</c:f>
              <c:numCache>
                <c:formatCode>"$"#,##0.00_);[Red]\("$"#,##0.00\)</c:formatCode>
                <c:ptCount val="2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numCache>
            </c:numRef>
          </c:val>
        </c:ser>
        <c:axId val="108169088"/>
        <c:axId val="108170624"/>
      </c:barChart>
      <c:catAx>
        <c:axId val="108169088"/>
        <c:scaling>
          <c:orientation val="minMax"/>
        </c:scaling>
        <c:axPos val="b"/>
        <c:numFmt formatCode="General"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8170624"/>
        <c:crosses val="autoZero"/>
        <c:auto val="1"/>
        <c:lblAlgn val="ctr"/>
        <c:lblOffset val="0"/>
        <c:tickLblSkip val="1"/>
        <c:tickMarkSkip val="1"/>
      </c:catAx>
      <c:valAx>
        <c:axId val="108170624"/>
        <c:scaling>
          <c:orientation val="minMax"/>
          <c:max val="15"/>
        </c:scaling>
        <c:axPos val="l"/>
        <c:majorGridlines>
          <c:spPr>
            <a:ln w="3175">
              <a:solidFill>
                <a:srgbClr val="000000"/>
              </a:solidFill>
              <a:prstDash val="solid"/>
            </a:ln>
          </c:spPr>
        </c:majorGridlines>
        <c:numFmt formatCode="&quot;$&quot;#,##0.00_);[Red]\(&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169088"/>
        <c:crosses val="autoZero"/>
        <c:crossBetween val="between"/>
        <c:majorUnit val="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Weekday Subway Fare</a:t>
            </a:r>
          </a:p>
          <a:p>
            <a:pPr>
              <a:defRPr sz="900" b="1" i="0" u="none" strike="noStrike" baseline="0">
                <a:solidFill>
                  <a:srgbClr val="000000"/>
                </a:solidFill>
                <a:latin typeface="Arial"/>
                <a:ea typeface="Arial"/>
                <a:cs typeface="Arial"/>
              </a:defRPr>
            </a:pPr>
            <a:r>
              <a:rPr lang="en-US" sz="800" b="0"/>
              <a:t>(doesn't</a:t>
            </a:r>
            <a:r>
              <a:rPr lang="en-US" sz="800" b="0" baseline="0"/>
              <a:t> reflect unlimited and bulk-purchase discounts)</a:t>
            </a:r>
            <a:endParaRPr lang="en-US" sz="800" b="0"/>
          </a:p>
        </c:rich>
      </c:tx>
      <c:layout>
        <c:manualLayout>
          <c:xMode val="edge"/>
          <c:yMode val="edge"/>
          <c:x val="0.19003623188405799"/>
          <c:y val="4.7075136250170561E-2"/>
        </c:manualLayout>
      </c:layout>
      <c:spPr>
        <a:noFill/>
        <a:ln w="25400">
          <a:noFill/>
        </a:ln>
      </c:spPr>
    </c:title>
    <c:plotArea>
      <c:layout>
        <c:manualLayout>
          <c:layoutTarget val="inner"/>
          <c:xMode val="edge"/>
          <c:yMode val="edge"/>
          <c:x val="0.17533621089431381"/>
          <c:y val="0.19823788546255541"/>
          <c:w val="0.78024613847964897"/>
          <c:h val="0.52863436123348062"/>
        </c:manualLayout>
      </c:layout>
      <c:barChart>
        <c:barDir val="col"/>
        <c:grouping val="clustered"/>
        <c:ser>
          <c:idx val="0"/>
          <c:order val="0"/>
          <c:tx>
            <c:v>Kheel II</c:v>
          </c:tx>
          <c:spPr>
            <a:solidFill>
              <a:srgbClr val="9999FF"/>
            </a:solidFill>
            <a:ln w="12700">
              <a:solidFill>
                <a:srgbClr val="000000"/>
              </a:solidFill>
              <a:prstDash val="solid"/>
            </a:ln>
          </c:spPr>
          <c:cat>
            <c:strRef>
              <c:f>Subways!$B$74:$B$97</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'Traffic Plans'!$AM$10:$AM$32</c:f>
              <c:numCache>
                <c:formatCode>"$"#,##0.00_);[Red]\("$"#,##0.00\)</c:formatCode>
                <c:ptCount val="23"/>
                <c:pt idx="0">
                  <c:v>2.25</c:v>
                </c:pt>
                <c:pt idx="1">
                  <c:v>2.25</c:v>
                </c:pt>
                <c:pt idx="2">
                  <c:v>2.25</c:v>
                </c:pt>
                <c:pt idx="3">
                  <c:v>2.25</c:v>
                </c:pt>
                <c:pt idx="4">
                  <c:v>2.25</c:v>
                </c:pt>
                <c:pt idx="5">
                  <c:v>2.25</c:v>
                </c:pt>
                <c:pt idx="6">
                  <c:v>2.25</c:v>
                </c:pt>
                <c:pt idx="7">
                  <c:v>2.25</c:v>
                </c:pt>
                <c:pt idx="8">
                  <c:v>2.25</c:v>
                </c:pt>
                <c:pt idx="9">
                  <c:v>2.25</c:v>
                </c:pt>
                <c:pt idx="10">
                  <c:v>2.25</c:v>
                </c:pt>
                <c:pt idx="11">
                  <c:v>2.25</c:v>
                </c:pt>
                <c:pt idx="12">
                  <c:v>2.25</c:v>
                </c:pt>
                <c:pt idx="13">
                  <c:v>2.25</c:v>
                </c:pt>
                <c:pt idx="14">
                  <c:v>2.25</c:v>
                </c:pt>
                <c:pt idx="15">
                  <c:v>2.25</c:v>
                </c:pt>
                <c:pt idx="16">
                  <c:v>2.25</c:v>
                </c:pt>
                <c:pt idx="17">
                  <c:v>2.25</c:v>
                </c:pt>
                <c:pt idx="18">
                  <c:v>2.25</c:v>
                </c:pt>
                <c:pt idx="19">
                  <c:v>2.25</c:v>
                </c:pt>
                <c:pt idx="20">
                  <c:v>2.25</c:v>
                </c:pt>
                <c:pt idx="21">
                  <c:v>2.25</c:v>
                </c:pt>
                <c:pt idx="22">
                  <c:v>2.25</c:v>
                </c:pt>
              </c:numCache>
            </c:numRef>
          </c:val>
        </c:ser>
        <c:axId val="108186240"/>
        <c:axId val="108192128"/>
      </c:barChart>
      <c:catAx>
        <c:axId val="108186240"/>
        <c:scaling>
          <c:orientation val="minMax"/>
        </c:scaling>
        <c:axPos val="b"/>
        <c:numFmt formatCode="@" sourceLinked="1"/>
        <c:tickLblPos val="nextTo"/>
        <c:spPr>
          <a:ln w="3175">
            <a:solidFill>
              <a:srgbClr val="000000"/>
            </a:solidFill>
            <a:prstDash val="solid"/>
          </a:ln>
        </c:spPr>
        <c:txPr>
          <a:bodyPr rot="-5400000" vert="horz"/>
          <a:lstStyle/>
          <a:p>
            <a:pPr rtl="0">
              <a:defRPr sz="800" b="0" i="0" u="none" strike="noStrike" baseline="0">
                <a:solidFill>
                  <a:srgbClr val="000000"/>
                </a:solidFill>
                <a:latin typeface="Arial"/>
                <a:ea typeface="Arial"/>
                <a:cs typeface="Arial"/>
              </a:defRPr>
            </a:pPr>
            <a:endParaRPr lang="en-US"/>
          </a:p>
        </c:txPr>
        <c:crossAx val="108192128"/>
        <c:crosses val="autoZero"/>
        <c:auto val="1"/>
        <c:lblAlgn val="ctr"/>
        <c:lblOffset val="0"/>
        <c:tickLblSkip val="1"/>
        <c:tickMarkSkip val="1"/>
      </c:catAx>
      <c:valAx>
        <c:axId val="108192128"/>
        <c:scaling>
          <c:orientation val="minMax"/>
        </c:scaling>
        <c:axPos val="l"/>
        <c:majorGridlines>
          <c:spPr>
            <a:ln w="3175">
              <a:solidFill>
                <a:srgbClr val="000000"/>
              </a:solidFill>
              <a:prstDash val="solid"/>
            </a:ln>
          </c:spPr>
        </c:majorGridlines>
        <c:numFmt formatCode="&quot;$&quot;#,##0.00_);[Red]\(&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186240"/>
        <c:crosses val="autoZero"/>
        <c:crossBetween val="between"/>
        <c:majorUnit val="0.5"/>
      </c:valAx>
      <c:spPr>
        <a:solidFill>
          <a:srgbClr val="C0C0C0"/>
        </a:solidFill>
        <a:ln w="12700">
          <a:solidFill>
            <a:srgbClr val="808080"/>
          </a:solidFill>
          <a:prstDash val="solid"/>
        </a:ln>
      </c:spPr>
    </c:plotArea>
    <c:plotVisOnly val="1"/>
    <c:dispBlanksAs val="gap"/>
  </c:chart>
  <c:spPr>
    <a:solidFill>
      <a:srgbClr val="FFFFFF"/>
    </a:solidFill>
    <a:ln w="12700">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sz="1100"/>
              <a:t>Changes in Vehicle Speeds in CBD (Weekdays)</a:t>
            </a:r>
          </a:p>
        </c:rich>
      </c:tx>
      <c:layout>
        <c:manualLayout>
          <c:xMode val="edge"/>
          <c:yMode val="edge"/>
          <c:x val="0.12719887702813917"/>
          <c:y val="2.9999908548016891E-2"/>
        </c:manualLayout>
      </c:layout>
      <c:spPr>
        <a:noFill/>
        <a:ln w="25400">
          <a:noFill/>
        </a:ln>
      </c:spPr>
    </c:title>
    <c:plotArea>
      <c:layout>
        <c:manualLayout>
          <c:layoutTarget val="inner"/>
          <c:xMode val="edge"/>
          <c:yMode val="edge"/>
          <c:x val="8.1349363973687264E-2"/>
          <c:y val="0.11666704644220872"/>
          <c:w val="0.89682713453920004"/>
          <c:h val="0.83000270183169556"/>
        </c:manualLayout>
      </c:layout>
      <c:barChart>
        <c:barDir val="col"/>
        <c:grouping val="clustered"/>
        <c:ser>
          <c:idx val="0"/>
          <c:order val="0"/>
          <c:spPr>
            <a:solidFill>
              <a:srgbClr val="9999FF"/>
            </a:solidFill>
            <a:ln w="12700">
              <a:solidFill>
                <a:srgbClr val="000000"/>
              </a:solidFill>
              <a:prstDash val="solid"/>
            </a:ln>
          </c:spPr>
          <c:dLbls>
            <c:numFmt formatCode="0%" sourceLinked="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cat>
            <c:strRef>
              <c:f>'Motor Vs'!$G$881:$M$881</c:f>
              <c:strCache>
                <c:ptCount val="7"/>
                <c:pt idx="0">
                  <c:v>11 pm - 5 am</c:v>
                </c:pt>
                <c:pt idx="1">
                  <c:v>5 am - 6 am</c:v>
                </c:pt>
                <c:pt idx="2">
                  <c:v>6 am - 9 am</c:v>
                </c:pt>
                <c:pt idx="3">
                  <c:v>9 am - 10 am</c:v>
                </c:pt>
                <c:pt idx="4">
                  <c:v>10 am - 2 pm</c:v>
                </c:pt>
                <c:pt idx="5">
                  <c:v>2 pm - 8 pm </c:v>
                </c:pt>
                <c:pt idx="6">
                  <c:v>8 pm - 11 pm</c:v>
                </c:pt>
              </c:strCache>
            </c:strRef>
          </c:cat>
          <c:val>
            <c:numRef>
              <c:f>'Motor Vs'!$G$921:$M$921</c:f>
              <c:numCache>
                <c:formatCode>0%</c:formatCode>
                <c:ptCount val="7"/>
                <c:pt idx="0">
                  <c:v>6.6683450481090922E-3</c:v>
                </c:pt>
                <c:pt idx="1">
                  <c:v>3.7163897413387881E-2</c:v>
                </c:pt>
                <c:pt idx="2">
                  <c:v>0.19382910849872093</c:v>
                </c:pt>
                <c:pt idx="3">
                  <c:v>0.17031911970303404</c:v>
                </c:pt>
                <c:pt idx="4">
                  <c:v>0.10780709837297509</c:v>
                </c:pt>
                <c:pt idx="5">
                  <c:v>0.20892229591518463</c:v>
                </c:pt>
                <c:pt idx="6">
                  <c:v>0.1382833125068319</c:v>
                </c:pt>
              </c:numCache>
            </c:numRef>
          </c:val>
        </c:ser>
        <c:axId val="108685568"/>
        <c:axId val="108691456"/>
      </c:barChart>
      <c:catAx>
        <c:axId val="108685568"/>
        <c:scaling>
          <c:orientation val="minMax"/>
        </c:scaling>
        <c:axPos val="b"/>
        <c:numFmt formatCode="General" sourceLinked="1"/>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n-US"/>
          </a:p>
        </c:txPr>
        <c:crossAx val="108691456"/>
        <c:crosses val="autoZero"/>
        <c:auto val="1"/>
        <c:lblAlgn val="ctr"/>
        <c:lblOffset val="100"/>
        <c:tickLblSkip val="1"/>
        <c:tickMarkSkip val="1"/>
      </c:catAx>
      <c:valAx>
        <c:axId val="108691456"/>
        <c:scaling>
          <c:orientation val="minMax"/>
          <c:max val="0.5"/>
          <c:min val="-0.2"/>
        </c:scaling>
        <c:axPos val="l"/>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8685568"/>
        <c:crosses val="autoZero"/>
        <c:crossBetween val="between"/>
      </c:valAx>
      <c:spPr>
        <a:gradFill rotWithShape="0">
          <a:gsLst>
            <a:gs pos="0">
              <a:srgbClr val="DDEBCF"/>
            </a:gs>
            <a:gs pos="50000">
              <a:srgbClr val="9CB86E"/>
            </a:gs>
            <a:gs pos="100000">
              <a:srgbClr val="156B13"/>
            </a:gs>
          </a:gsLst>
          <a:lin ang="5400000"/>
        </a:gradFill>
        <a:ln w="12700">
          <a:solidFill>
            <a:srgbClr val="808080"/>
          </a:solidFill>
          <a:prstDash val="solid"/>
        </a:ln>
      </c:spPr>
    </c:plotArea>
    <c:plotVisOnly val="1"/>
    <c:dispBlanksAs val="gap"/>
  </c:chart>
  <c:spPr>
    <a:gradFill rotWithShape="0">
      <a:gsLst>
        <a:gs pos="0">
          <a:srgbClr val="FFFFFF"/>
        </a:gs>
        <a:gs pos="7001">
          <a:srgbClr val="E6E6E6"/>
        </a:gs>
        <a:gs pos="32001">
          <a:srgbClr val="7D8496"/>
        </a:gs>
        <a:gs pos="47000">
          <a:srgbClr val="E6E6E6"/>
        </a:gs>
        <a:gs pos="85001">
          <a:srgbClr val="7D8496"/>
        </a:gs>
        <a:gs pos="100000">
          <a:srgbClr val="E6E6E6"/>
        </a:gs>
      </a:gsLst>
      <a:lin ang="5400000"/>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sz="1300"/>
              <a:t>Where the Revenues Will Come</a:t>
            </a:r>
            <a:r>
              <a:rPr lang="en-US" sz="1300" baseline="0"/>
              <a:t> </a:t>
            </a:r>
            <a:r>
              <a:rPr lang="en-US" sz="1300"/>
              <a:t>From</a:t>
            </a:r>
          </a:p>
        </c:rich>
      </c:tx>
      <c:layout>
        <c:manualLayout>
          <c:xMode val="edge"/>
          <c:yMode val="edge"/>
          <c:x val="0.11724493342441802"/>
          <c:y val="2.2459295125320002E-2"/>
        </c:manualLayout>
      </c:layout>
      <c:spPr>
        <a:noFill/>
        <a:ln w="25400">
          <a:noFill/>
        </a:ln>
      </c:spPr>
    </c:title>
    <c:plotArea>
      <c:layout>
        <c:manualLayout>
          <c:layoutTarget val="inner"/>
          <c:xMode val="edge"/>
          <c:yMode val="edge"/>
          <c:x val="0.14607745114251691"/>
          <c:y val="0.12890002386065377"/>
          <c:w val="0.82432488064976162"/>
          <c:h val="0.70300284509834421"/>
        </c:manualLayout>
      </c:layout>
      <c:barChart>
        <c:barDir val="col"/>
        <c:grouping val="clustered"/>
        <c:ser>
          <c:idx val="0"/>
          <c:order val="0"/>
          <c:tx>
            <c:v>$ millions</c:v>
          </c:tx>
          <c:spPr>
            <a:solidFill>
              <a:srgbClr val="9999FF"/>
            </a:solidFill>
            <a:ln w="12700">
              <a:solidFill>
                <a:srgbClr val="000000"/>
              </a:solidFill>
              <a:prstDash val="solid"/>
            </a:ln>
          </c:spPr>
          <c:cat>
            <c:strLit>
              <c:ptCount val="4"/>
              <c:pt idx="0">
                <c:v>Farebox Windfall from Increased Ridership</c:v>
              </c:pt>
              <c:pt idx="1">
                <c:v>Cordon Toll</c:v>
              </c:pt>
              <c:pt idx="2">
                <c:v>Outer-Boro Toll Relief</c:v>
              </c:pt>
              <c:pt idx="3">
                <c:v>Taxi Surcharge</c:v>
              </c:pt>
            </c:strLit>
          </c:cat>
          <c:val>
            <c:numRef>
              <c:f>Results!$Q$81:$Q$84</c:f>
              <c:numCache>
                <c:formatCode>"$"#,##0</c:formatCode>
                <c:ptCount val="4"/>
                <c:pt idx="0">
                  <c:v>200</c:v>
                </c:pt>
                <c:pt idx="1">
                  <c:v>1040</c:v>
                </c:pt>
                <c:pt idx="2">
                  <c:v>-150</c:v>
                </c:pt>
                <c:pt idx="3">
                  <c:v>160</c:v>
                </c:pt>
              </c:numCache>
            </c:numRef>
          </c:val>
        </c:ser>
        <c:axId val="108706816"/>
        <c:axId val="108708608"/>
      </c:barChart>
      <c:catAx>
        <c:axId val="108706816"/>
        <c:scaling>
          <c:orientation val="minMax"/>
        </c:scaling>
        <c:axPos val="b"/>
        <c:majorGridlines>
          <c:spPr>
            <a:ln w="3175">
              <a:solidFill>
                <a:srgbClr val="000000"/>
              </a:solidFill>
              <a:prstDash val="solid"/>
            </a:ln>
          </c:spPr>
        </c:majorGridlines>
        <c:numFmt formatCode="General" sourceLinked="1"/>
        <c:majorTickMark val="none"/>
        <c:tickLblPos val="nextTo"/>
        <c:spPr>
          <a:ln w="3175">
            <a:solidFill>
              <a:srgbClr val="000000"/>
            </a:solidFill>
            <a:prstDash val="solid"/>
          </a:ln>
        </c:spPr>
        <c:txPr>
          <a:bodyPr rot="-5400000" vert="horz"/>
          <a:lstStyle/>
          <a:p>
            <a:pPr>
              <a:defRPr sz="950" b="1" i="0" u="none" strike="noStrike" baseline="0">
                <a:solidFill>
                  <a:srgbClr val="000000"/>
                </a:solidFill>
                <a:latin typeface="Arial"/>
                <a:ea typeface="Arial"/>
                <a:cs typeface="Arial"/>
              </a:defRPr>
            </a:pPr>
            <a:endParaRPr lang="en-US"/>
          </a:p>
        </c:txPr>
        <c:crossAx val="108708608"/>
        <c:crossesAt val="0"/>
        <c:auto val="1"/>
        <c:lblAlgn val="ctr"/>
        <c:lblOffset val="100"/>
        <c:tickMarkSkip val="1"/>
      </c:catAx>
      <c:valAx>
        <c:axId val="108708608"/>
        <c:scaling>
          <c:orientation val="minMax"/>
        </c:scaling>
        <c:axPos val="l"/>
        <c:title>
          <c:tx>
            <c:rich>
              <a:bodyPr/>
              <a:lstStyle/>
              <a:p>
                <a:pPr>
                  <a:defRPr sz="975" b="1" i="0" u="none" strike="noStrike" baseline="0">
                    <a:solidFill>
                      <a:srgbClr val="000000"/>
                    </a:solidFill>
                    <a:latin typeface="Arial"/>
                    <a:ea typeface="Arial"/>
                    <a:cs typeface="Arial"/>
                  </a:defRPr>
                </a:pPr>
                <a:r>
                  <a:rPr lang="en-US"/>
                  <a:t>$ millions per year</a:t>
                </a:r>
              </a:p>
            </c:rich>
          </c:tx>
          <c:layout>
            <c:manualLayout>
              <c:xMode val="edge"/>
              <c:yMode val="edge"/>
              <c:x val="1.1197295990175139E-2"/>
              <c:y val="0.35620019719758927"/>
            </c:manualLayout>
          </c:layout>
          <c:spPr>
            <a:noFill/>
            <a:ln w="25400">
              <a:noFill/>
            </a:ln>
          </c:spPr>
        </c:title>
        <c:numFmt formatCode="&quot;$&quot;#,##0" sourceLinked="1"/>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08706816"/>
        <c:crosses val="autoZero"/>
        <c:crossBetween val="between"/>
      </c:valAx>
      <c:dTable>
        <c:showHorzBorder val="1"/>
        <c:showVertBorder val="1"/>
        <c:showOutline val="1"/>
        <c:spPr>
          <a:ln w="3175">
            <a:solidFill>
              <a:srgbClr val="000000"/>
            </a:solidFill>
            <a:prstDash val="solid"/>
          </a:ln>
        </c:spPr>
        <c:txPr>
          <a:bodyPr/>
          <a:lstStyle/>
          <a:p>
            <a:pPr rtl="0">
              <a:defRPr sz="800" b="1" i="0" u="none" strike="noStrike" baseline="0">
                <a:solidFill>
                  <a:srgbClr val="000000"/>
                </a:solidFill>
                <a:latin typeface="Arial"/>
                <a:ea typeface="Arial"/>
                <a:cs typeface="Arial"/>
              </a:defRPr>
            </a:pPr>
            <a:endParaRPr lang="en-US"/>
          </a:p>
        </c:txPr>
      </c:dTable>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808080"/>
          </a:solidFill>
          <a:prstDash val="solid"/>
        </a:ln>
      </c:spPr>
    </c:plotArea>
    <c:plotVisOnly val="1"/>
    <c:dispBlanksAs val="gap"/>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1200"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25"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Value of Time Savings to Travelers</a:t>
            </a:r>
          </a:p>
          <a:p>
            <a:pPr>
              <a:defRPr sz="825" b="0" i="0" u="none" strike="noStrike" baseline="0">
                <a:solidFill>
                  <a:srgbClr val="000000"/>
                </a:solidFill>
                <a:latin typeface="Arial"/>
                <a:ea typeface="Arial"/>
                <a:cs typeface="Arial"/>
              </a:defRPr>
            </a:pPr>
            <a:endParaRPr lang="en-US" sz="1050" b="1" i="0" u="none" strike="noStrike" baseline="0">
              <a:solidFill>
                <a:srgbClr val="000000"/>
              </a:solidFill>
              <a:latin typeface="Arial"/>
              <a:cs typeface="Arial"/>
            </a:endParaRPr>
          </a:p>
        </c:rich>
      </c:tx>
      <c:layout>
        <c:manualLayout>
          <c:xMode val="edge"/>
          <c:yMode val="edge"/>
          <c:x val="0.19137499828228277"/>
          <c:y val="1.6255662210610401E-2"/>
        </c:manualLayout>
      </c:layout>
      <c:spPr>
        <a:noFill/>
        <a:ln w="25400">
          <a:noFill/>
        </a:ln>
      </c:spPr>
    </c:title>
    <c:plotArea>
      <c:layout>
        <c:manualLayout>
          <c:layoutTarget val="inner"/>
          <c:xMode val="edge"/>
          <c:yMode val="edge"/>
          <c:x val="0.17857142857144112"/>
          <c:y val="0.18667099106890814"/>
          <c:w val="0.79411764705882371"/>
          <c:h val="0.55685303639105665"/>
        </c:manualLayout>
      </c:layout>
      <c:barChart>
        <c:barDir val="col"/>
        <c:grouping val="clustered"/>
        <c:ser>
          <c:idx val="0"/>
          <c:order val="0"/>
          <c:tx>
            <c:v>$ millions</c:v>
          </c:tx>
          <c:spPr>
            <a:solidFill>
              <a:srgbClr val="9999FF"/>
            </a:solidFill>
            <a:ln w="12700">
              <a:solidFill>
                <a:srgbClr val="000000"/>
              </a:solidFill>
              <a:prstDash val="solid"/>
            </a:ln>
          </c:spPr>
          <c:dPt>
            <c:idx val="3"/>
            <c:spPr>
              <a:solidFill>
                <a:srgbClr val="000080"/>
              </a:solidFill>
              <a:ln w="12700">
                <a:solidFill>
                  <a:srgbClr val="000000"/>
                </a:solidFill>
                <a:prstDash val="solid"/>
              </a:ln>
            </c:spPr>
          </c:dPt>
          <c:cat>
            <c:strLit>
              <c:ptCount val="4"/>
              <c:pt idx="0">
                <c:v>Driver &amp; Passenger Time Savings on Trips to/in/thru CBD</c:v>
              </c:pt>
              <c:pt idx="1">
                <c:v>Driver &amp; Passenger Time Saving on Other Trips</c:v>
              </c:pt>
              <c:pt idx="2">
                <c:v>Bus &amp; Subway Rider Time Savings from Faster Traffic &amp; Enhanced Service</c:v>
              </c:pt>
              <c:pt idx="3">
                <c:v>Total Time Savings</c:v>
              </c:pt>
            </c:strLit>
          </c:cat>
          <c:val>
            <c:numRef>
              <c:f>Results!$S$81:$S$84</c:f>
              <c:numCache>
                <c:formatCode>"$"#,##0</c:formatCode>
                <c:ptCount val="4"/>
                <c:pt idx="0">
                  <c:v>1100</c:v>
                </c:pt>
                <c:pt idx="1">
                  <c:v>1040</c:v>
                </c:pt>
                <c:pt idx="2">
                  <c:v>730</c:v>
                </c:pt>
                <c:pt idx="3">
                  <c:v>2870</c:v>
                </c:pt>
              </c:numCache>
            </c:numRef>
          </c:val>
        </c:ser>
        <c:axId val="109066496"/>
        <c:axId val="109068288"/>
      </c:barChart>
      <c:catAx>
        <c:axId val="109066496"/>
        <c:scaling>
          <c:orientation val="minMax"/>
        </c:scaling>
        <c:axPos val="b"/>
        <c:majorGridlines>
          <c:spPr>
            <a:ln w="3175">
              <a:solidFill>
                <a:srgbClr val="000000"/>
              </a:solidFill>
              <a:prstDash val="solid"/>
            </a:ln>
          </c:spPr>
        </c:majorGridlines>
        <c:numFmt formatCode="General" sourceLinked="1"/>
        <c:majorTickMark val="none"/>
        <c:tickLblPos val="nextTo"/>
        <c:spPr>
          <a:ln w="3175">
            <a:solidFill>
              <a:srgbClr val="000000"/>
            </a:solidFill>
            <a:prstDash val="solid"/>
          </a:ln>
        </c:spPr>
        <c:txPr>
          <a:bodyPr rot="-5400000" vert="horz"/>
          <a:lstStyle/>
          <a:p>
            <a:pPr>
              <a:defRPr sz="950" b="1" i="0" u="none" strike="noStrike" baseline="0">
                <a:solidFill>
                  <a:srgbClr val="000000"/>
                </a:solidFill>
                <a:latin typeface="Arial"/>
                <a:ea typeface="Arial"/>
                <a:cs typeface="Arial"/>
              </a:defRPr>
            </a:pPr>
            <a:endParaRPr lang="en-US"/>
          </a:p>
        </c:txPr>
        <c:crossAx val="109068288"/>
        <c:crosses val="autoZero"/>
        <c:auto val="1"/>
        <c:lblAlgn val="ctr"/>
        <c:lblOffset val="100"/>
        <c:tickMarkSkip val="1"/>
      </c:catAx>
      <c:valAx>
        <c:axId val="109068288"/>
        <c:scaling>
          <c:orientation val="minMax"/>
        </c:scaling>
        <c:axPos val="l"/>
        <c:title>
          <c:tx>
            <c:rich>
              <a:bodyPr/>
              <a:lstStyle/>
              <a:p>
                <a:pPr>
                  <a:defRPr sz="1000" b="1" i="0" u="none" strike="noStrike" baseline="0">
                    <a:solidFill>
                      <a:srgbClr val="000000"/>
                    </a:solidFill>
                    <a:latin typeface="Arial"/>
                    <a:ea typeface="Arial"/>
                    <a:cs typeface="Arial"/>
                  </a:defRPr>
                </a:pPr>
                <a:r>
                  <a:rPr lang="en-US" sz="1000"/>
                  <a:t>$ millions per year</a:t>
                </a:r>
              </a:p>
            </c:rich>
          </c:tx>
          <c:layout>
            <c:manualLayout>
              <c:xMode val="edge"/>
              <c:yMode val="edge"/>
              <c:x val="2.5272174311544392E-2"/>
              <c:y val="0.33515049424794857"/>
            </c:manualLayout>
          </c:layout>
          <c:spPr>
            <a:noFill/>
            <a:ln w="25400">
              <a:noFill/>
            </a:ln>
          </c:spPr>
        </c:title>
        <c:numFmt formatCode="&quot;$&quot;#,##0" sourceLinked="1"/>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9066496"/>
        <c:crosses val="autoZero"/>
        <c:crossBetween val="between"/>
        <c:majorUnit val="1000"/>
        <c:minorUnit val="1000"/>
      </c:valAx>
      <c:dTable>
        <c:showHorzBorder val="1"/>
        <c:showVertBorder val="1"/>
        <c:showOutline val="1"/>
        <c:spPr>
          <a:ln w="3175">
            <a:solidFill>
              <a:srgbClr val="000000"/>
            </a:solidFill>
            <a:prstDash val="solid"/>
          </a:ln>
        </c:spPr>
        <c:txPr>
          <a:bodyPr/>
          <a:lstStyle/>
          <a:p>
            <a:pPr rtl="0">
              <a:defRPr sz="800" b="1" i="0" u="none" strike="noStrike" baseline="0">
                <a:solidFill>
                  <a:srgbClr val="000000"/>
                </a:solidFill>
                <a:latin typeface="Arial"/>
                <a:ea typeface="Arial"/>
                <a:cs typeface="Arial"/>
              </a:defRPr>
            </a:pPr>
            <a:endParaRPr lang="en-US"/>
          </a:p>
        </c:txPr>
      </c:dTable>
      <c:spPr>
        <a:blipFill dpi="0" rotWithShape="0">
          <a:blip xmlns:r="http://schemas.openxmlformats.org/officeDocument/2006/relationships" r:embed="rId1"/>
          <a:srcRect/>
          <a:tile tx="0" ty="0" sx="100000" sy="100000" flip="none" algn="tl"/>
        </a:blipFill>
        <a:ln w="12700">
          <a:solidFill>
            <a:srgbClr val="808080"/>
          </a:solidFill>
          <a:prstDash val="solid"/>
        </a:ln>
      </c:spPr>
    </c:plotArea>
    <c:plotVisOnly val="1"/>
    <c:dispBlanksAs val="gap"/>
  </c:chart>
  <c:spPr>
    <a:blipFill dpi="0" rotWithShape="0">
      <a:blip xmlns:r="http://schemas.openxmlformats.org/officeDocument/2006/relationships" r:embed="rId2"/>
      <a:srcRect/>
      <a:tile tx="0" ty="0" sx="100000" sy="100000" flip="none" algn="tl"/>
    </a:blip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1200" verticalDpi="1200"/>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sz="1100"/>
              <a:t>Changes in Vehicle Speeds in CBD (Weekends) </a:t>
            </a:r>
          </a:p>
        </c:rich>
      </c:tx>
      <c:layout>
        <c:manualLayout>
          <c:xMode val="edge"/>
          <c:yMode val="edge"/>
          <c:x val="0.13739993730730762"/>
          <c:y val="2.501968503937008E-2"/>
        </c:manualLayout>
      </c:layout>
      <c:spPr>
        <a:noFill/>
        <a:ln w="25400">
          <a:noFill/>
        </a:ln>
      </c:spPr>
    </c:title>
    <c:plotArea>
      <c:layout>
        <c:manualLayout>
          <c:layoutTarget val="inner"/>
          <c:xMode val="edge"/>
          <c:yMode val="edge"/>
          <c:x val="9.2024539877300623E-2"/>
          <c:y val="0.11371237458194022"/>
          <c:w val="0.9079754601226997"/>
          <c:h val="0.83612040133779264"/>
        </c:manualLayout>
      </c:layout>
      <c:barChart>
        <c:barDir val="col"/>
        <c:grouping val="clustered"/>
        <c:ser>
          <c:idx val="0"/>
          <c:order val="0"/>
          <c:spPr>
            <a:solidFill>
              <a:srgbClr val="9999FF"/>
            </a:solidFill>
            <a:ln w="12700">
              <a:solidFill>
                <a:srgbClr val="000000"/>
              </a:solidFill>
              <a:prstDash val="solid"/>
            </a:ln>
          </c:spPr>
          <c:dLbls>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en-US"/>
              </a:p>
            </c:txPr>
            <c:showVal val="1"/>
          </c:dLbls>
          <c:cat>
            <c:strRef>
              <c:f>'Motor Vs Weekends'!$G$881:$L$881</c:f>
              <c:strCache>
                <c:ptCount val="6"/>
                <c:pt idx="0">
                  <c:v>Midnight-10 am</c:v>
                </c:pt>
                <c:pt idx="1">
                  <c:v>10 am-Noon</c:v>
                </c:pt>
                <c:pt idx="2">
                  <c:v>Noon-5 pm</c:v>
                </c:pt>
                <c:pt idx="3">
                  <c:v>5 pm-8 pm</c:v>
                </c:pt>
                <c:pt idx="4">
                  <c:v>8 pm-10 pm</c:v>
                </c:pt>
                <c:pt idx="5">
                  <c:v>10 pm-Midnight</c:v>
                </c:pt>
              </c:strCache>
            </c:strRef>
          </c:cat>
          <c:val>
            <c:numRef>
              <c:f>'Motor Vs Weekends'!$G$921:$L$921</c:f>
              <c:numCache>
                <c:formatCode>0%</c:formatCode>
                <c:ptCount val="6"/>
                <c:pt idx="0">
                  <c:v>3.0980507371932031E-2</c:v>
                </c:pt>
                <c:pt idx="1">
                  <c:v>9.3828201488022955E-2</c:v>
                </c:pt>
                <c:pt idx="2">
                  <c:v>0.12813936669253345</c:v>
                </c:pt>
                <c:pt idx="3">
                  <c:v>0.13091674586277868</c:v>
                </c:pt>
                <c:pt idx="4">
                  <c:v>0.13360269107512268</c:v>
                </c:pt>
                <c:pt idx="5">
                  <c:v>0.14095691159159141</c:v>
                </c:pt>
              </c:numCache>
            </c:numRef>
          </c:val>
        </c:ser>
        <c:axId val="109090304"/>
        <c:axId val="109091840"/>
      </c:barChart>
      <c:catAx>
        <c:axId val="109090304"/>
        <c:scaling>
          <c:orientation val="minMax"/>
        </c:scaling>
        <c:axPos val="b"/>
        <c:numFmt formatCode="General" sourceLinked="1"/>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en-US"/>
          </a:p>
        </c:txPr>
        <c:crossAx val="109091840"/>
        <c:crosses val="autoZero"/>
        <c:auto val="1"/>
        <c:lblAlgn val="ctr"/>
        <c:lblOffset val="100"/>
        <c:tickLblSkip val="1"/>
        <c:tickMarkSkip val="1"/>
      </c:catAx>
      <c:valAx>
        <c:axId val="109091840"/>
        <c:scaling>
          <c:orientation val="minMax"/>
          <c:max val="0.5"/>
          <c:min val="-0.2"/>
        </c:scaling>
        <c:axPos val="l"/>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9090304"/>
        <c:crosses val="autoZero"/>
        <c:crossBetween val="between"/>
      </c:valAx>
      <c:spPr>
        <a:gradFill rotWithShape="0">
          <a:gsLst>
            <a:gs pos="0">
              <a:srgbClr val="DDEBCF"/>
            </a:gs>
            <a:gs pos="50000">
              <a:srgbClr val="9CB86E"/>
            </a:gs>
            <a:gs pos="100000">
              <a:srgbClr val="156B13"/>
            </a:gs>
          </a:gsLst>
          <a:lin ang="5400000"/>
        </a:gradFill>
        <a:ln w="12700">
          <a:solidFill>
            <a:srgbClr val="808080"/>
          </a:solidFill>
          <a:prstDash val="solid"/>
        </a:ln>
      </c:spPr>
    </c:plotArea>
    <c:plotVisOnly val="1"/>
    <c:dispBlanksAs val="gap"/>
  </c:chart>
  <c:spPr>
    <a:gradFill rotWithShape="0">
      <a:gsLst>
        <a:gs pos="0">
          <a:srgbClr val="FFFFFF"/>
        </a:gs>
        <a:gs pos="7001">
          <a:srgbClr val="E6E6E6"/>
        </a:gs>
        <a:gs pos="32001">
          <a:srgbClr val="7D8496"/>
        </a:gs>
        <a:gs pos="47000">
          <a:srgbClr val="E6E6E6"/>
        </a:gs>
        <a:gs pos="85001">
          <a:srgbClr val="7D8496"/>
        </a:gs>
        <a:gs pos="100000">
          <a:srgbClr val="E6E6E6"/>
        </a:gs>
      </a:gsLst>
      <a:lin ang="5400000"/>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How the Revenues Might Be Invested</a:t>
            </a:r>
          </a:p>
        </c:rich>
      </c:tx>
      <c:layout>
        <c:manualLayout>
          <c:xMode val="edge"/>
          <c:yMode val="edge"/>
          <c:x val="0.29226317345676156"/>
          <c:y val="1.8975890477033481E-2"/>
        </c:manualLayout>
      </c:layout>
      <c:spPr>
        <a:noFill/>
        <a:ln w="25400">
          <a:noFill/>
        </a:ln>
      </c:spPr>
    </c:title>
    <c:plotArea>
      <c:layout>
        <c:manualLayout>
          <c:layoutTarget val="inner"/>
          <c:xMode val="edge"/>
          <c:yMode val="edge"/>
          <c:x val="9.6072562358278268E-2"/>
          <c:y val="0.11121220958491312"/>
          <c:w val="0.90169543092832016"/>
          <c:h val="0.65714757877490004"/>
        </c:manualLayout>
      </c:layout>
      <c:barChart>
        <c:barDir val="col"/>
        <c:grouping val="clustered"/>
        <c:ser>
          <c:idx val="0"/>
          <c:order val="0"/>
          <c:tx>
            <c:v>$ Millions</c:v>
          </c:tx>
          <c:spPr>
            <a:solidFill>
              <a:srgbClr val="9999FF"/>
            </a:solidFill>
            <a:ln w="12700">
              <a:solidFill>
                <a:srgbClr val="000000"/>
              </a:solidFill>
              <a:prstDash val="solid"/>
            </a:ln>
          </c:spPr>
          <c:cat>
            <c:strLit>
              <c:ptCount val="11"/>
              <c:pt idx="0">
                <c:v>Cordon Toll Admin</c:v>
              </c:pt>
              <c:pt idx="1">
                <c:v>Taxi Surcharge Kept by Drivers &amp; Owners</c:v>
              </c:pt>
              <c:pt idx="2">
                <c:v>Capital Plan Contribs</c:v>
              </c:pt>
              <c:pt idx="3">
                <c:v>Immediate Transit Imprvmnts</c:v>
              </c:pt>
              <c:pt idx="4">
                <c:v>Subway Fare Discounts</c:v>
              </c:pt>
              <c:pt idx="5">
                <c:v>Bus Fare Discounts</c:v>
              </c:pt>
              <c:pt idx="6">
                <c:v>Commuter Rail Discounts</c:v>
              </c:pt>
              <c:pt idx="7">
                <c:v>Intra-City Commuter Rail Discounts</c:v>
              </c:pt>
              <c:pt idx="8">
                <c:v>Express Bus Discounts</c:v>
              </c:pt>
              <c:pt idx="9">
                <c:v>Payments to PANYNJ &amp; MTA</c:v>
              </c:pt>
              <c:pt idx="10">
                <c:v>Reserve</c:v>
              </c:pt>
            </c:strLit>
          </c:cat>
          <c:val>
            <c:numRef>
              <c:f>Results!$R$81:$R$91</c:f>
              <c:numCache>
                <c:formatCode>"$"#,##0</c:formatCode>
                <c:ptCount val="11"/>
                <c:pt idx="0">
                  <c:v>120</c:v>
                </c:pt>
                <c:pt idx="1">
                  <c:v>20</c:v>
                </c:pt>
                <c:pt idx="2">
                  <c:v>490</c:v>
                </c:pt>
                <c:pt idx="3">
                  <c:v>490</c:v>
                </c:pt>
                <c:pt idx="4">
                  <c:v>10</c:v>
                </c:pt>
                <c:pt idx="5">
                  <c:v>0</c:v>
                </c:pt>
                <c:pt idx="6">
                  <c:v>0</c:v>
                </c:pt>
                <c:pt idx="7">
                  <c:v>40</c:v>
                </c:pt>
                <c:pt idx="8">
                  <c:v>20</c:v>
                </c:pt>
                <c:pt idx="9">
                  <c:v>60</c:v>
                </c:pt>
                <c:pt idx="10">
                  <c:v>0</c:v>
                </c:pt>
              </c:numCache>
            </c:numRef>
          </c:val>
        </c:ser>
        <c:axId val="109111552"/>
        <c:axId val="109117440"/>
      </c:barChart>
      <c:catAx>
        <c:axId val="109111552"/>
        <c:scaling>
          <c:orientation val="minMax"/>
        </c:scaling>
        <c:axPos val="b"/>
        <c:majorGridlines>
          <c:spPr>
            <a:ln w="3175">
              <a:solidFill>
                <a:srgbClr val="000000"/>
              </a:solidFill>
              <a:prstDash val="solid"/>
            </a:ln>
          </c:spPr>
        </c:majorGridlines>
        <c:numFmt formatCode="General" sourceLinked="1"/>
        <c:majorTickMark val="none"/>
        <c:tickLblPos val="nextTo"/>
        <c:spPr>
          <a:ln w="3175">
            <a:solidFill>
              <a:srgbClr val="000000"/>
            </a:solidFill>
            <a:prstDash val="solid"/>
          </a:ln>
        </c:spPr>
        <c:txPr>
          <a:bodyPr rot="-5400000" vert="horz"/>
          <a:lstStyle/>
          <a:p>
            <a:pPr>
              <a:defRPr sz="950" b="1" i="0" u="none" strike="noStrike" baseline="0">
                <a:solidFill>
                  <a:srgbClr val="000000"/>
                </a:solidFill>
                <a:latin typeface="Arial"/>
                <a:ea typeface="Arial"/>
                <a:cs typeface="Arial"/>
              </a:defRPr>
            </a:pPr>
            <a:endParaRPr lang="en-US"/>
          </a:p>
        </c:txPr>
        <c:crossAx val="109117440"/>
        <c:crossesAt val="0"/>
        <c:auto val="1"/>
        <c:lblAlgn val="ctr"/>
        <c:lblOffset val="100"/>
        <c:tickMarkSkip val="1"/>
      </c:catAx>
      <c:valAx>
        <c:axId val="109117440"/>
        <c:scaling>
          <c:orientation val="minMax"/>
        </c:scaling>
        <c:axPos val="l"/>
        <c:title>
          <c:tx>
            <c:rich>
              <a:bodyPr/>
              <a:lstStyle/>
              <a:p>
                <a:pPr>
                  <a:defRPr sz="1050" b="1" i="0" u="none" strike="noStrike" baseline="0">
                    <a:solidFill>
                      <a:srgbClr val="000000"/>
                    </a:solidFill>
                    <a:latin typeface="Arial"/>
                    <a:ea typeface="Arial"/>
                    <a:cs typeface="Arial"/>
                  </a:defRPr>
                </a:pPr>
                <a:r>
                  <a:rPr lang="en-US" sz="1050"/>
                  <a:t>$ millions per year</a:t>
                </a:r>
              </a:p>
            </c:rich>
          </c:tx>
          <c:layout>
            <c:manualLayout>
              <c:xMode val="edge"/>
              <c:yMode val="edge"/>
              <c:x val="2.1371757101790852E-2"/>
              <c:y val="0.31034481800888575"/>
            </c:manualLayout>
          </c:layout>
          <c:spPr>
            <a:noFill/>
            <a:ln w="25400">
              <a:noFill/>
            </a:ln>
          </c:spPr>
        </c:title>
        <c:numFmt formatCode="&quot;$&quot;#,##0" sourceLinked="1"/>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09111552"/>
        <c:crosses val="autoZero"/>
        <c:crossBetween val="between"/>
        <c:majorUnit val="200"/>
      </c:valAx>
      <c:dTable>
        <c:showHorzBorder val="1"/>
        <c:showVertBorder val="1"/>
        <c:showOutline val="1"/>
        <c:spPr>
          <a:ln w="3175">
            <a:solidFill>
              <a:srgbClr val="000000"/>
            </a:solidFill>
            <a:prstDash val="solid"/>
          </a:ln>
        </c:spPr>
        <c:txPr>
          <a:bodyPr/>
          <a:lstStyle/>
          <a:p>
            <a:pPr rtl="0">
              <a:defRPr sz="800" b="1" i="0" u="none" strike="noStrike" baseline="0">
                <a:solidFill>
                  <a:srgbClr val="000000"/>
                </a:solidFill>
                <a:latin typeface="Arial"/>
                <a:ea typeface="Arial"/>
                <a:cs typeface="Arial"/>
              </a:defRPr>
            </a:pPr>
            <a:endParaRPr lang="en-US"/>
          </a:p>
        </c:txPr>
      </c:dTable>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808080"/>
          </a:solidFill>
          <a:prstDash val="solid"/>
        </a:ln>
      </c:spPr>
    </c:plotArea>
    <c:plotVisOnly val="1"/>
    <c:dispBlanksAs val="gap"/>
  </c:chart>
  <c:spPr>
    <a:blipFill>
      <a:blip xmlns:r="http://schemas.openxmlformats.org/officeDocument/2006/relationships" r:embed="rId1"/>
      <a:tile tx="0" ty="0" sx="100000" sy="100000" flip="none" algn="tl"/>
    </a:blip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1200" verticalDpi="120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7724126589441164"/>
          <c:y val="0.12369401585099422"/>
          <c:w val="0.69060090443843725"/>
          <c:h val="0.63470255160290001"/>
        </c:manualLayout>
      </c:layout>
      <c:lineChart>
        <c:grouping val="stacked"/>
        <c:ser>
          <c:idx val="0"/>
          <c:order val="0"/>
          <c:tx>
            <c:v>Net Revenue</c:v>
          </c:tx>
          <c:marker>
            <c:symbol val="none"/>
          </c:marker>
          <c:val>
            <c:numRef>
              <c:f>Results!$Q$42:$Q$60</c:f>
              <c:numCache>
                <c:formatCode>"$"#,##0_);[Red]\("$"#,##0\)</c:formatCode>
                <c:ptCount val="19"/>
                <c:pt idx="0">
                  <c:v>1690</c:v>
                </c:pt>
                <c:pt idx="1">
                  <c:v>1620</c:v>
                </c:pt>
                <c:pt idx="2">
                  <c:v>1810</c:v>
                </c:pt>
                <c:pt idx="3">
                  <c:v>1750</c:v>
                </c:pt>
                <c:pt idx="4">
                  <c:v>1740</c:v>
                </c:pt>
                <c:pt idx="5">
                  <c:v>1780</c:v>
                </c:pt>
                <c:pt idx="6">
                  <c:v>1660</c:v>
                </c:pt>
                <c:pt idx="7">
                  <c:v>1810</c:v>
                </c:pt>
                <c:pt idx="8">
                  <c:v>1920</c:v>
                </c:pt>
                <c:pt idx="9">
                  <c:v>1710</c:v>
                </c:pt>
                <c:pt idx="10">
                  <c:v>1730</c:v>
                </c:pt>
                <c:pt idx="11">
                  <c:v>1700</c:v>
                </c:pt>
                <c:pt idx="12">
                  <c:v>1840</c:v>
                </c:pt>
                <c:pt idx="13">
                  <c:v>1740</c:v>
                </c:pt>
                <c:pt idx="14">
                  <c:v>1710</c:v>
                </c:pt>
                <c:pt idx="15">
                  <c:v>1720</c:v>
                </c:pt>
                <c:pt idx="16">
                  <c:v>1650</c:v>
                </c:pt>
                <c:pt idx="17">
                  <c:v>1730</c:v>
                </c:pt>
                <c:pt idx="18">
                  <c:v>1620</c:v>
                </c:pt>
              </c:numCache>
            </c:numRef>
          </c:val>
        </c:ser>
        <c:marker val="1"/>
        <c:axId val="109137920"/>
        <c:axId val="109139456"/>
      </c:lineChart>
      <c:lineChart>
        <c:grouping val="stacked"/>
        <c:ser>
          <c:idx val="1"/>
          <c:order val="1"/>
          <c:tx>
            <c:v>CBD Speed Gain</c:v>
          </c:tx>
          <c:marker>
            <c:symbol val="none"/>
          </c:marker>
          <c:val>
            <c:numRef>
              <c:f>Results!$S$42:$S$60</c:f>
              <c:numCache>
                <c:formatCode>0.0%</c:formatCode>
                <c:ptCount val="19"/>
                <c:pt idx="0">
                  <c:v>0.19500000000000001</c:v>
                </c:pt>
                <c:pt idx="1">
                  <c:v>0.253</c:v>
                </c:pt>
                <c:pt idx="2">
                  <c:v>0.152</c:v>
                </c:pt>
                <c:pt idx="3">
                  <c:v>0.13800000000000001</c:v>
                </c:pt>
                <c:pt idx="4">
                  <c:v>0.159</c:v>
                </c:pt>
                <c:pt idx="5">
                  <c:v>0.16500000000000001</c:v>
                </c:pt>
                <c:pt idx="6">
                  <c:v>0.19</c:v>
                </c:pt>
                <c:pt idx="7">
                  <c:v>0.17799999999999999</c:v>
                </c:pt>
                <c:pt idx="8">
                  <c:v>0.20699999999999999</c:v>
                </c:pt>
                <c:pt idx="9">
                  <c:v>0.17699999999999999</c:v>
                </c:pt>
                <c:pt idx="10">
                  <c:v>0.222</c:v>
                </c:pt>
                <c:pt idx="11">
                  <c:v>0.16300000000000001</c:v>
                </c:pt>
                <c:pt idx="12">
                  <c:v>0.159</c:v>
                </c:pt>
                <c:pt idx="13">
                  <c:v>0.161</c:v>
                </c:pt>
                <c:pt idx="14">
                  <c:v>0.20100000000000001</c:v>
                </c:pt>
                <c:pt idx="15">
                  <c:v>0.157</c:v>
                </c:pt>
                <c:pt idx="16">
                  <c:v>0.215</c:v>
                </c:pt>
                <c:pt idx="17">
                  <c:v>0.155</c:v>
                </c:pt>
                <c:pt idx="18">
                  <c:v>0.23899999999999999</c:v>
                </c:pt>
              </c:numCache>
            </c:numRef>
          </c:val>
        </c:ser>
        <c:marker val="1"/>
        <c:axId val="109142784"/>
        <c:axId val="109140992"/>
      </c:lineChart>
      <c:catAx>
        <c:axId val="109137920"/>
        <c:scaling>
          <c:orientation val="minMax"/>
        </c:scaling>
        <c:axPos val="b"/>
        <c:majorTickMark val="none"/>
        <c:tickLblPos val="nextTo"/>
        <c:crossAx val="109139456"/>
        <c:crosses val="autoZero"/>
        <c:auto val="1"/>
        <c:lblAlgn val="ctr"/>
        <c:lblOffset val="100"/>
        <c:tickLblSkip val="2"/>
      </c:catAx>
      <c:valAx>
        <c:axId val="109139456"/>
        <c:scaling>
          <c:orientation val="minMax"/>
          <c:max val="2400"/>
          <c:min val="1200"/>
        </c:scaling>
        <c:axPos val="l"/>
        <c:majorGridlines/>
        <c:numFmt formatCode="&quot;$&quot;#,##0_);[Red]\(&quot;$&quot;#,##0\)" sourceLinked="1"/>
        <c:majorTickMark val="none"/>
        <c:tickLblPos val="nextTo"/>
        <c:txPr>
          <a:bodyPr/>
          <a:lstStyle/>
          <a:p>
            <a:pPr>
              <a:defRPr sz="900" baseline="0">
                <a:solidFill>
                  <a:srgbClr val="0070C0"/>
                </a:solidFill>
              </a:defRPr>
            </a:pPr>
            <a:endParaRPr lang="en-US"/>
          </a:p>
        </c:txPr>
        <c:crossAx val="109137920"/>
        <c:crosses val="autoZero"/>
        <c:crossBetween val="between"/>
        <c:majorUnit val="200"/>
      </c:valAx>
      <c:valAx>
        <c:axId val="109140992"/>
        <c:scaling>
          <c:orientation val="minMax"/>
          <c:max val="0.26"/>
          <c:min val="0.12000000000000002"/>
        </c:scaling>
        <c:axPos val="r"/>
        <c:numFmt formatCode="0%" sourceLinked="0"/>
        <c:tickLblPos val="nextTo"/>
        <c:txPr>
          <a:bodyPr/>
          <a:lstStyle/>
          <a:p>
            <a:pPr>
              <a:defRPr baseline="0">
                <a:solidFill>
                  <a:srgbClr val="C00000"/>
                </a:solidFill>
              </a:defRPr>
            </a:pPr>
            <a:endParaRPr lang="en-US"/>
          </a:p>
        </c:txPr>
        <c:crossAx val="109142784"/>
        <c:crosses val="max"/>
        <c:crossBetween val="between"/>
        <c:majorUnit val="2.0000000000000011E-2"/>
      </c:valAx>
      <c:catAx>
        <c:axId val="109142784"/>
        <c:scaling>
          <c:orientation val="minMax"/>
        </c:scaling>
        <c:delete val="1"/>
        <c:axPos val="b"/>
        <c:tickLblPos val="none"/>
        <c:crossAx val="109140992"/>
        <c:crosses val="autoZero"/>
        <c:auto val="1"/>
        <c:lblAlgn val="ctr"/>
        <c:lblOffset val="100"/>
      </c:catAx>
    </c:plotArea>
    <c:plotVisOnly val="1"/>
    <c:dispBlanksAs val="zero"/>
  </c:chart>
  <c:printSettings>
    <c:headerFooter/>
    <c:pageMargins b="0.75000000000001465" l="0.70000000000000062" r="0.70000000000000062" t="0.75000000000001465"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25"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Travelers Time Savings </a:t>
            </a:r>
            <a:r>
              <a:rPr lang="en-US" sz="1200" b="0" i="0" u="none" strike="noStrike" baseline="0">
                <a:solidFill>
                  <a:srgbClr val="000000"/>
                </a:solidFill>
                <a:latin typeface="Arial"/>
                <a:cs typeface="Arial"/>
              </a:rPr>
              <a:t>(in hours)</a:t>
            </a:r>
            <a:endParaRPr lang="en-US" sz="1200" b="1" i="0" u="none" strike="noStrike" baseline="0">
              <a:solidFill>
                <a:srgbClr val="000000"/>
              </a:solidFill>
              <a:latin typeface="Arial"/>
              <a:cs typeface="Arial"/>
            </a:endParaRPr>
          </a:p>
          <a:p>
            <a:pPr>
              <a:defRPr sz="825" b="0" i="0" u="none" strike="noStrike" baseline="0">
                <a:solidFill>
                  <a:srgbClr val="000000"/>
                </a:solidFill>
                <a:latin typeface="Arial"/>
                <a:ea typeface="Arial"/>
                <a:cs typeface="Arial"/>
              </a:defRPr>
            </a:pPr>
            <a:endParaRPr lang="en-US" sz="1050" b="1" i="0" u="none" strike="noStrike" baseline="0">
              <a:solidFill>
                <a:srgbClr val="000000"/>
              </a:solidFill>
              <a:latin typeface="Arial"/>
              <a:cs typeface="Arial"/>
            </a:endParaRPr>
          </a:p>
        </c:rich>
      </c:tx>
      <c:layout>
        <c:manualLayout>
          <c:xMode val="edge"/>
          <c:yMode val="edge"/>
          <c:x val="0.22341160894711171"/>
          <c:y val="2.9243702962544225E-2"/>
        </c:manualLayout>
      </c:layout>
      <c:spPr>
        <a:noFill/>
        <a:ln w="25400">
          <a:noFill/>
        </a:ln>
      </c:spPr>
    </c:title>
    <c:plotArea>
      <c:layout>
        <c:manualLayout>
          <c:layoutTarget val="inner"/>
          <c:xMode val="edge"/>
          <c:yMode val="edge"/>
          <c:x val="0.17982300884955738"/>
          <c:y val="0.11908361247661797"/>
          <c:w val="0.82017699115044251"/>
          <c:h val="0.50429771900059461"/>
        </c:manualLayout>
      </c:layout>
      <c:barChart>
        <c:barDir val="col"/>
        <c:grouping val="clustered"/>
        <c:ser>
          <c:idx val="0"/>
          <c:order val="0"/>
          <c:tx>
            <c:v>Million hrs</c:v>
          </c:tx>
          <c:spPr>
            <a:solidFill>
              <a:srgbClr val="9999FF"/>
            </a:solidFill>
            <a:ln w="12700">
              <a:solidFill>
                <a:srgbClr val="000000"/>
              </a:solidFill>
              <a:prstDash val="solid"/>
            </a:ln>
          </c:spPr>
          <c:dPt>
            <c:idx val="3"/>
            <c:spPr>
              <a:solidFill>
                <a:srgbClr val="000080"/>
              </a:solidFill>
              <a:ln w="12700">
                <a:solidFill>
                  <a:srgbClr val="000000"/>
                </a:solidFill>
                <a:prstDash val="solid"/>
              </a:ln>
            </c:spPr>
          </c:dPt>
          <c:cat>
            <c:strLit>
              <c:ptCount val="4"/>
              <c:pt idx="0">
                <c:v>Driver &amp; Passenger Time Savings on Trips to/in/thru CBD</c:v>
              </c:pt>
              <c:pt idx="1">
                <c:v>Driver &amp; Passenger Time Saving on Other Trips</c:v>
              </c:pt>
              <c:pt idx="2">
                <c:v>Bus &amp; Subway Rider Time Savings from Faster Traffic &amp; Enhanced Service</c:v>
              </c:pt>
              <c:pt idx="3">
                <c:v>Total Time Savings</c:v>
              </c:pt>
            </c:strLit>
          </c:cat>
          <c:val>
            <c:numRef>
              <c:f>Results!$T$81:$T$84</c:f>
              <c:numCache>
                <c:formatCode>0</c:formatCode>
                <c:ptCount val="4"/>
                <c:pt idx="0">
                  <c:v>40.551951402418247</c:v>
                </c:pt>
                <c:pt idx="1">
                  <c:v>54.753604394821949</c:v>
                </c:pt>
                <c:pt idx="2">
                  <c:v>52.465101999091551</c:v>
                </c:pt>
                <c:pt idx="3">
                  <c:v>147.77065779633176</c:v>
                </c:pt>
              </c:numCache>
            </c:numRef>
          </c:val>
        </c:ser>
        <c:axId val="109171072"/>
        <c:axId val="109172608"/>
      </c:barChart>
      <c:catAx>
        <c:axId val="109171072"/>
        <c:scaling>
          <c:orientation val="minMax"/>
        </c:scaling>
        <c:axPos val="b"/>
        <c:majorGridlines>
          <c:spPr>
            <a:ln w="3175">
              <a:solidFill>
                <a:srgbClr val="000000"/>
              </a:solidFill>
              <a:prstDash val="solid"/>
            </a:ln>
          </c:spPr>
        </c:majorGridlines>
        <c:numFmt formatCode="General" sourceLinked="1"/>
        <c:majorTickMark val="none"/>
        <c:tickLblPos val="nextTo"/>
        <c:spPr>
          <a:ln w="3175">
            <a:solidFill>
              <a:srgbClr val="000000"/>
            </a:solidFill>
            <a:prstDash val="solid"/>
          </a:ln>
        </c:spPr>
        <c:txPr>
          <a:bodyPr rot="-5400000" vert="horz"/>
          <a:lstStyle/>
          <a:p>
            <a:pPr>
              <a:defRPr sz="950" b="1" i="0" u="none" strike="noStrike" baseline="0">
                <a:solidFill>
                  <a:srgbClr val="000000"/>
                </a:solidFill>
                <a:latin typeface="Arial"/>
                <a:ea typeface="Arial"/>
                <a:cs typeface="Arial"/>
              </a:defRPr>
            </a:pPr>
            <a:endParaRPr lang="en-US"/>
          </a:p>
        </c:txPr>
        <c:crossAx val="109172608"/>
        <c:crosses val="autoZero"/>
        <c:auto val="1"/>
        <c:lblAlgn val="ctr"/>
        <c:lblOffset val="100"/>
        <c:tickMarkSkip val="1"/>
      </c:catAx>
      <c:valAx>
        <c:axId val="109172608"/>
        <c:scaling>
          <c:orientation val="minMax"/>
        </c:scaling>
        <c:axPos val="l"/>
        <c:title>
          <c:tx>
            <c:rich>
              <a:bodyPr/>
              <a:lstStyle/>
              <a:p>
                <a:pPr>
                  <a:defRPr sz="1000" b="1" i="0" u="none" strike="noStrike" baseline="0">
                    <a:solidFill>
                      <a:srgbClr val="000000"/>
                    </a:solidFill>
                    <a:latin typeface="Arial"/>
                    <a:ea typeface="Arial"/>
                    <a:cs typeface="Arial"/>
                  </a:defRPr>
                </a:pPr>
                <a:r>
                  <a:rPr lang="en-US" sz="900" baseline="0"/>
                  <a:t> millions of hours per year</a:t>
                </a:r>
              </a:p>
            </c:rich>
          </c:tx>
          <c:layout>
            <c:manualLayout>
              <c:xMode val="edge"/>
              <c:yMode val="edge"/>
              <c:x val="2.8180868752662465E-2"/>
              <c:y val="0.24093790193614739"/>
            </c:manualLayout>
          </c:layout>
          <c:spPr>
            <a:noFill/>
            <a:ln w="25400">
              <a:noFill/>
            </a:ln>
          </c:spPr>
        </c:title>
        <c:numFmt formatCode="0" sourceLinked="0"/>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9171072"/>
        <c:crosses val="autoZero"/>
        <c:crossBetween val="between"/>
      </c:valAx>
      <c:dTable>
        <c:showHorzBorder val="1"/>
        <c:showVertBorder val="1"/>
        <c:showOutline val="1"/>
        <c:spPr>
          <a:ln w="3175">
            <a:solidFill>
              <a:srgbClr val="000000"/>
            </a:solidFill>
            <a:prstDash val="solid"/>
          </a:ln>
        </c:spPr>
        <c:txPr>
          <a:bodyPr/>
          <a:lstStyle/>
          <a:p>
            <a:pPr rtl="0">
              <a:defRPr sz="800" b="1" i="0" u="none" strike="noStrike" baseline="0">
                <a:solidFill>
                  <a:srgbClr val="000000"/>
                </a:solidFill>
                <a:latin typeface="Arial"/>
                <a:ea typeface="Arial"/>
                <a:cs typeface="Arial"/>
              </a:defRPr>
            </a:pPr>
            <a:endParaRPr lang="en-US"/>
          </a:p>
        </c:txPr>
      </c:dTable>
      <c:spPr>
        <a:blipFill dpi="0" rotWithShape="0">
          <a:blip xmlns:r="http://schemas.openxmlformats.org/officeDocument/2006/relationships" r:embed="rId1"/>
          <a:srcRect/>
          <a:tile tx="0" ty="0" sx="100000" sy="100000" flip="none" algn="tl"/>
        </a:blipFill>
        <a:ln w="12700">
          <a:solidFill>
            <a:srgbClr val="808080"/>
          </a:solidFill>
          <a:prstDash val="solid"/>
        </a:ln>
      </c:spPr>
    </c:plotArea>
    <c:plotVisOnly val="1"/>
    <c:dispBlanksAs val="gap"/>
  </c:chart>
  <c:spPr>
    <a:blipFill dpi="0" rotWithShape="0">
      <a:blip xmlns:r="http://schemas.openxmlformats.org/officeDocument/2006/relationships" r:embed="rId2"/>
      <a:srcRect/>
      <a:tile tx="0" ty="0" sx="100000" sy="100000" flip="none" algn="tl"/>
    </a:blip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1200" verticalDpi="1200"/>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700" b="1" i="0" u="none" strike="noStrike" baseline="0">
                <a:solidFill>
                  <a:srgbClr val="000000"/>
                </a:solidFill>
                <a:latin typeface="Arial"/>
                <a:ea typeface="Arial"/>
                <a:cs typeface="Arial"/>
              </a:defRPr>
            </a:pPr>
            <a:r>
              <a:rPr lang="en-US"/>
              <a:t>Traffic Pricing Benefits and Costs</a:t>
            </a:r>
          </a:p>
        </c:rich>
      </c:tx>
      <c:layout>
        <c:manualLayout>
          <c:xMode val="edge"/>
          <c:yMode val="edge"/>
          <c:x val="0.26564618007874696"/>
          <c:y val="1.9390548669454683E-2"/>
        </c:manualLayout>
      </c:layout>
      <c:spPr>
        <a:noFill/>
        <a:ln w="25400">
          <a:noFill/>
        </a:ln>
      </c:spPr>
    </c:title>
    <c:plotArea>
      <c:layout>
        <c:manualLayout>
          <c:layoutTarget val="inner"/>
          <c:xMode val="edge"/>
          <c:yMode val="edge"/>
          <c:x val="0.1244078164756485"/>
          <c:y val="9.3048596198203534E-2"/>
          <c:w val="0.81307275693932923"/>
          <c:h val="0.80749789649500003"/>
        </c:manualLayout>
      </c:layout>
      <c:barChart>
        <c:barDir val="col"/>
        <c:grouping val="stacked"/>
        <c:ser>
          <c:idx val="0"/>
          <c:order val="0"/>
          <c:tx>
            <c:strRef>
              <c:f>'Cost-Benefit'!$D$79</c:f>
              <c:strCache>
                <c:ptCount val="1"/>
                <c:pt idx="0">
                  <c:v>Enviro ▪ Crashes</c:v>
                </c:pt>
              </c:strCache>
            </c:strRef>
          </c:tx>
          <c:spPr>
            <a:solidFill>
              <a:srgbClr val="FF0000"/>
            </a:solidFill>
            <a:ln w="25400">
              <a:noFill/>
            </a:ln>
          </c:spPr>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'Cost-Benefit'!$F$79:$L$79</c:f>
              <c:numCache>
                <c:formatCode>"$"#,##0_);[Red]\("$"#,##0\)</c:formatCode>
                <c:ptCount val="7"/>
                <c:pt idx="0">
                  <c:v>-134.10022035299164</c:v>
                </c:pt>
                <c:pt idx="1">
                  <c:v>-120</c:v>
                </c:pt>
                <c:pt idx="3">
                  <c:v>127.18588671921609</c:v>
                </c:pt>
              </c:numCache>
            </c:numRef>
          </c:val>
        </c:ser>
        <c:ser>
          <c:idx val="1"/>
          <c:order val="1"/>
          <c:tx>
            <c:strRef>
              <c:f>'Cost-Benefit'!$D$80</c:f>
              <c:strCache>
                <c:ptCount val="1"/>
                <c:pt idx="0">
                  <c:v>Enviro ▪ Climate</c:v>
                </c:pt>
              </c:strCache>
            </c:strRef>
          </c:tx>
          <c:spPr>
            <a:solidFill>
              <a:srgbClr val="00FF00"/>
            </a:solidFill>
            <a:ln w="25400">
              <a:noFill/>
            </a:ln>
          </c:spPr>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'Cost-Benefit'!$F$80:$L$80</c:f>
              <c:numCache>
                <c:formatCode>"$"#,##0_);\("$"#,##0\)</c:formatCode>
                <c:ptCount val="7"/>
                <c:pt idx="3" formatCode="&quot;$&quot;#,##0_);[Red]\(&quot;$&quot;#,##0\)">
                  <c:v>50.608693931959401</c:v>
                </c:pt>
              </c:numCache>
            </c:numRef>
          </c:val>
        </c:ser>
        <c:ser>
          <c:idx val="7"/>
          <c:order val="2"/>
          <c:tx>
            <c:strRef>
              <c:f>'Cost-Benefit'!$D$81</c:f>
              <c:strCache>
                <c:ptCount val="1"/>
                <c:pt idx="0">
                  <c:v>Enviro ▪ Petroleum</c:v>
                </c:pt>
              </c:strCache>
            </c:strRef>
          </c:tx>
          <c:spPr>
            <a:solidFill>
              <a:srgbClr val="000000"/>
            </a:solidFill>
            <a:ln w="12700">
              <a:solidFill>
                <a:srgbClr val="000000"/>
              </a:solidFill>
              <a:prstDash val="solid"/>
            </a:ln>
          </c:spPr>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'Cost-Benefit'!$F$81:$L$81</c:f>
              <c:numCache>
                <c:formatCode>"$"#,##0_);\("$"#,##0\)</c:formatCode>
                <c:ptCount val="7"/>
                <c:pt idx="3" formatCode="&quot;$&quot;#,##0_);[Red]\(&quot;$&quot;#,##0\)">
                  <c:v>23.124082745545124</c:v>
                </c:pt>
              </c:numCache>
            </c:numRef>
          </c:val>
        </c:ser>
        <c:ser>
          <c:idx val="2"/>
          <c:order val="3"/>
          <c:tx>
            <c:strRef>
              <c:f>'Cost-Benefit'!$D$82</c:f>
              <c:strCache>
                <c:ptCount val="1"/>
                <c:pt idx="0">
                  <c:v>Enviro ▪ Air Quality</c:v>
                </c:pt>
              </c:strCache>
            </c:strRef>
          </c:tx>
          <c:spPr>
            <a:solidFill>
              <a:srgbClr val="00FFFF"/>
            </a:solidFill>
            <a:ln w="25400">
              <a:noFill/>
            </a:ln>
          </c:spPr>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'Cost-Benefit'!$F$82:$L$82</c:f>
              <c:numCache>
                <c:formatCode>"$"#,##0.0</c:formatCode>
                <c:ptCount val="7"/>
                <c:pt idx="3" formatCode="&quot;$&quot;#,##0_);[Red]\(&quot;$&quot;#,##0\)">
                  <c:v>222.33248662475839</c:v>
                </c:pt>
              </c:numCache>
            </c:numRef>
          </c:val>
        </c:ser>
        <c:ser>
          <c:idx val="3"/>
          <c:order val="4"/>
          <c:tx>
            <c:strRef>
              <c:f>'Cost-Benefit'!$D$83</c:f>
              <c:strCache>
                <c:ptCount val="1"/>
                <c:pt idx="0">
                  <c:v>Enviro ▪ Noise</c:v>
                </c:pt>
              </c:strCache>
            </c:strRef>
          </c:tx>
          <c:spPr>
            <a:solidFill>
              <a:srgbClr val="FFCC00"/>
            </a:solidFill>
            <a:ln w="25400">
              <a:noFill/>
            </a:ln>
          </c:spPr>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'Cost-Benefit'!$F$83:$L$83</c:f>
              <c:numCache>
                <c:formatCode>"$"#,##0_);\("$"#,##0\)</c:formatCode>
                <c:ptCount val="7"/>
                <c:pt idx="3" formatCode="&quot;$&quot;#,##0_);[Red]\(&quot;$&quot;#,##0\)">
                  <c:v>80</c:v>
                </c:pt>
              </c:numCache>
            </c:numRef>
          </c:val>
        </c:ser>
        <c:ser>
          <c:idx val="4"/>
          <c:order val="5"/>
          <c:tx>
            <c:strRef>
              <c:f>'Cost-Benefit'!$D$84</c:f>
              <c:strCache>
                <c:ptCount val="1"/>
                <c:pt idx="0">
                  <c:v>Time ▪ CBD Trips</c:v>
                </c:pt>
              </c:strCache>
            </c:strRef>
          </c:tx>
          <c:spPr>
            <a:solidFill>
              <a:srgbClr val="FF00FF"/>
            </a:solidFill>
            <a:ln w="25400">
              <a:noFill/>
            </a:ln>
          </c:spPr>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'Cost-Benefit'!$F$84:$L$84</c:f>
              <c:numCache>
                <c:formatCode>"$"#,##0_);\("$"#,##0\)</c:formatCode>
                <c:ptCount val="7"/>
                <c:pt idx="5">
                  <c:v>1101.093998701235</c:v>
                </c:pt>
              </c:numCache>
            </c:numRef>
          </c:val>
        </c:ser>
        <c:ser>
          <c:idx val="5"/>
          <c:order val="6"/>
          <c:tx>
            <c:strRef>
              <c:f>'Cost-Benefit'!$D$85</c:f>
              <c:strCache>
                <c:ptCount val="1"/>
                <c:pt idx="0">
                  <c:v>Time ▪ Non-CBD Trips</c:v>
                </c:pt>
              </c:strCache>
            </c:strRef>
          </c:tx>
          <c:spPr>
            <a:solidFill>
              <a:srgbClr val="FF8080"/>
            </a:solidFill>
            <a:ln w="25400">
              <a:noFill/>
            </a:ln>
          </c:spPr>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'Cost-Benefit'!$F$85:$L$85</c:f>
              <c:numCache>
                <c:formatCode>"$"#,##0_);\("$"#,##0\)</c:formatCode>
                <c:ptCount val="7"/>
                <c:pt idx="5">
                  <c:v>1044.9173286034606</c:v>
                </c:pt>
              </c:numCache>
            </c:numRef>
          </c:val>
        </c:ser>
        <c:ser>
          <c:idx val="6"/>
          <c:order val="7"/>
          <c:tx>
            <c:strRef>
              <c:f>'Cost-Benefit'!$D$86</c:f>
              <c:strCache>
                <c:ptCount val="1"/>
                <c:pt idx="0">
                  <c:v>Time ▪ Bus Boarding</c:v>
                </c:pt>
              </c:strCache>
            </c:strRef>
          </c:tx>
          <c:spPr>
            <a:solidFill>
              <a:srgbClr val="0066CC"/>
            </a:solidFill>
            <a:ln w="25400">
              <a:noFill/>
            </a:ln>
          </c:spPr>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'Cost-Benefit'!$F$86:$L$86</c:f>
              <c:numCache>
                <c:formatCode>"$"#,##0_);\("$"#,##0\)</c:formatCode>
                <c:ptCount val="7"/>
                <c:pt idx="5">
                  <c:v>0</c:v>
                </c:pt>
              </c:numCache>
            </c:numRef>
          </c:val>
        </c:ser>
        <c:ser>
          <c:idx val="8"/>
          <c:order val="8"/>
          <c:tx>
            <c:strRef>
              <c:f>'Cost-Benefit'!$D$87</c:f>
              <c:strCache>
                <c:ptCount val="1"/>
                <c:pt idx="0">
                  <c:v>Time ▪ Bus Riders</c:v>
                </c:pt>
              </c:strCache>
            </c:strRef>
          </c:tx>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'Cost-Benefit'!$F$87:$L$87</c:f>
              <c:numCache>
                <c:formatCode>"$"#,##0_);\("$"#,##0\)</c:formatCode>
                <c:ptCount val="7"/>
                <c:pt idx="4">
                  <c:v>101.14487551731725</c:v>
                </c:pt>
              </c:numCache>
            </c:numRef>
          </c:val>
        </c:ser>
        <c:ser>
          <c:idx val="9"/>
          <c:order val="9"/>
          <c:tx>
            <c:strRef>
              <c:f>'Cost-Benefit'!$D$88</c:f>
              <c:strCache>
                <c:ptCount val="1"/>
                <c:pt idx="0">
                  <c:v>Time ▪ Subway Riders</c:v>
                </c:pt>
              </c:strCache>
            </c:strRef>
          </c:tx>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'Cost-Benefit'!$F$88:$L$88</c:f>
              <c:numCache>
                <c:formatCode>"$"#,##0_);\("$"#,##0\)</c:formatCode>
                <c:ptCount val="7"/>
                <c:pt idx="4">
                  <c:v>626.18053769078062</c:v>
                </c:pt>
              </c:numCache>
            </c:numRef>
          </c:val>
        </c:ser>
        <c:ser>
          <c:idx val="10"/>
          <c:order val="10"/>
          <c:tx>
            <c:strRef>
              <c:f>'Cost-Benefit'!$D$89</c:f>
              <c:strCache>
                <c:ptCount val="1"/>
                <c:pt idx="0">
                  <c:v>Wellness ▪ More Biking</c:v>
                </c:pt>
              </c:strCache>
            </c:strRef>
          </c:tx>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'Cost-Benefit'!$F$89:$L$89</c:f>
              <c:numCache>
                <c:formatCode>"$"#,##0_);\("$"#,##0\)</c:formatCode>
                <c:ptCount val="7"/>
                <c:pt idx="2">
                  <c:v>188</c:v>
                </c:pt>
              </c:numCache>
            </c:numRef>
          </c:val>
        </c:ser>
        <c:ser>
          <c:idx val="11"/>
          <c:order val="11"/>
          <c:tx>
            <c:strRef>
              <c:f>'Cost-Benefit'!$D$90</c:f>
              <c:strCache>
                <c:ptCount val="1"/>
                <c:pt idx="0">
                  <c:v>Wellness ▪ More Walking</c:v>
                </c:pt>
              </c:strCache>
            </c:strRef>
          </c:tx>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'Cost-Benefit'!$F$90:$L$90</c:f>
              <c:numCache>
                <c:formatCode>"$"#,##0_);\("$"#,##0\)</c:formatCode>
                <c:ptCount val="7"/>
                <c:pt idx="2">
                  <c:v>188</c:v>
                </c:pt>
              </c:numCache>
            </c:numRef>
          </c:val>
        </c:ser>
        <c:ser>
          <c:idx val="12"/>
          <c:order val="12"/>
          <c:tx>
            <c:strRef>
              <c:f>'Cost-Benefit'!$D$91</c:f>
              <c:strCache>
                <c:ptCount val="1"/>
                <c:pt idx="0">
                  <c:v>Wellness ▪ Cabbies' Health Plan</c:v>
                </c:pt>
              </c:strCache>
            </c:strRef>
          </c:tx>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'Cost-Benefit'!$F$91:$L$91</c:f>
              <c:numCache>
                <c:formatCode>"$"#,##0_);\("$"#,##0\)</c:formatCode>
                <c:ptCount val="7"/>
                <c:pt idx="2">
                  <c:v>20</c:v>
                </c:pt>
              </c:numCache>
            </c:numRef>
          </c:val>
        </c:ser>
        <c:ser>
          <c:idx val="13"/>
          <c:order val="13"/>
          <c:tx>
            <c:strRef>
              <c:f>'Cost-Benefit'!$D$92</c:f>
              <c:strCache>
                <c:ptCount val="1"/>
                <c:pt idx="0">
                  <c:v>User Fees ▪ Driver Tolls</c:v>
                </c:pt>
              </c:strCache>
            </c:strRef>
          </c:tx>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'Cost-Benefit'!$F$92:$L$92</c:f>
              <c:numCache>
                <c:formatCode>"$"#,##0_);\("$"#,##0\)</c:formatCode>
                <c:ptCount val="7"/>
                <c:pt idx="6" formatCode="&quot;$&quot;#,##0_);[Red]\(&quot;$&quot;#,##0\)">
                  <c:v>-890</c:v>
                </c:pt>
              </c:numCache>
            </c:numRef>
          </c:val>
        </c:ser>
        <c:ser>
          <c:idx val="14"/>
          <c:order val="14"/>
          <c:tx>
            <c:strRef>
              <c:f>'Cost-Benefit'!$D$93</c:f>
              <c:strCache>
                <c:ptCount val="1"/>
                <c:pt idx="0">
                  <c:v>User Fees ▪ Taxi Fares</c:v>
                </c:pt>
              </c:strCache>
            </c:strRef>
          </c:tx>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'Cost-Benefit'!$F$93:$L$93</c:f>
              <c:numCache>
                <c:formatCode>"$"#,##0_);\("$"#,##0\)</c:formatCode>
                <c:ptCount val="7"/>
                <c:pt idx="6" formatCode="&quot;$&quot;#,##0_);[Red]\(&quot;$&quot;#,##0\)">
                  <c:v>-160</c:v>
                </c:pt>
              </c:numCache>
            </c:numRef>
          </c:val>
        </c:ser>
        <c:ser>
          <c:idx val="15"/>
          <c:order val="15"/>
          <c:tx>
            <c:strRef>
              <c:f>'Cost-Benefit'!$D$94</c:f>
              <c:strCache>
                <c:ptCount val="1"/>
                <c:pt idx="0">
                  <c:v>User Fees ▪ Transit Fares</c:v>
                </c:pt>
              </c:strCache>
            </c:strRef>
          </c:tx>
          <c:cat>
            <c:strRef>
              <c:f>'Cost-Benefit'!$F$78:$L$78</c:f>
              <c:strCache>
                <c:ptCount val="7"/>
                <c:pt idx="0">
                  <c:v>Travelers'
Amenity</c:v>
                </c:pt>
                <c:pt idx="1">
                  <c:v>Toll &amp; Fare Admin.</c:v>
                </c:pt>
                <c:pt idx="2">
                  <c:v>Wellness</c:v>
                </c:pt>
                <c:pt idx="3">
                  <c:v>Environment</c:v>
                </c:pt>
                <c:pt idx="4">
                  <c:v>Saved Time
(Transit)</c:v>
                </c:pt>
                <c:pt idx="5">
                  <c:v>Saved Time (Drivers)</c:v>
                </c:pt>
                <c:pt idx="6">
                  <c:v>User Fees</c:v>
                </c:pt>
              </c:strCache>
            </c:strRef>
          </c:cat>
          <c:val>
            <c:numRef>
              <c:f>'Cost-Benefit'!$F$94:$L$94</c:f>
              <c:numCache>
                <c:formatCode>"$"#,##0_);\("$"#,##0\)</c:formatCode>
                <c:ptCount val="7"/>
                <c:pt idx="6" formatCode="&quot;$&quot;#,##0_);[Red]\(&quot;$&quot;#,##0\)">
                  <c:v>-130</c:v>
                </c:pt>
              </c:numCache>
            </c:numRef>
          </c:val>
        </c:ser>
        <c:overlap val="100"/>
        <c:axId val="109426176"/>
        <c:axId val="109427712"/>
      </c:barChart>
      <c:catAx>
        <c:axId val="109426176"/>
        <c:scaling>
          <c:orientation val="minMax"/>
        </c:scaling>
        <c:axPos val="b"/>
        <c:numFmt formatCode="General" sourceLinked="1"/>
        <c:tickLblPos val="nextTo"/>
        <c:spPr>
          <a:ln w="3175">
            <a:solidFill>
              <a:srgbClr val="000000"/>
            </a:solidFill>
            <a:prstDash val="solid"/>
          </a:ln>
        </c:spPr>
        <c:txPr>
          <a:bodyPr rot="0" vert="horz"/>
          <a:lstStyle/>
          <a:p>
            <a:pPr>
              <a:defRPr sz="850" b="1" i="0" u="none" strike="noStrike" baseline="0">
                <a:solidFill>
                  <a:srgbClr val="000000"/>
                </a:solidFill>
                <a:latin typeface="Arial"/>
                <a:ea typeface="Arial"/>
                <a:cs typeface="Arial"/>
              </a:defRPr>
            </a:pPr>
            <a:endParaRPr lang="en-US"/>
          </a:p>
        </c:txPr>
        <c:crossAx val="109427712"/>
        <c:crosses val="autoZero"/>
        <c:auto val="1"/>
        <c:lblAlgn val="ctr"/>
        <c:lblOffset val="100"/>
        <c:tickLblSkip val="1"/>
        <c:tickMarkSkip val="1"/>
      </c:catAx>
      <c:valAx>
        <c:axId val="109427712"/>
        <c:scaling>
          <c:orientation val="minMax"/>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 Million per Year</a:t>
                </a:r>
              </a:p>
            </c:rich>
          </c:tx>
          <c:layout>
            <c:manualLayout>
              <c:xMode val="edge"/>
              <c:yMode val="edge"/>
              <c:x val="1.6859344894026976E-2"/>
              <c:y val="0.38337240699124747"/>
            </c:manualLayout>
          </c:layout>
          <c:spPr>
            <a:noFill/>
            <a:ln w="25400">
              <a:noFill/>
            </a:ln>
          </c:spPr>
        </c:title>
        <c:numFmt formatCode="#,##0_);\(#,##0\)"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9426176"/>
        <c:crosses val="autoZero"/>
        <c:crossBetween val="between"/>
        <c:majorUnit val="1000"/>
      </c:valAx>
      <c:spPr>
        <a:solidFill>
          <a:srgbClr val="FFFFCC"/>
        </a:solidFill>
        <a:ln w="3175">
          <a:solidFill>
            <a:srgbClr val="000000"/>
          </a:solidFill>
          <a:prstDash val="solid"/>
        </a:ln>
      </c:spPr>
    </c:plotArea>
    <c:legend>
      <c:legendPos val="r"/>
      <c:layout>
        <c:manualLayout>
          <c:xMode val="edge"/>
          <c:yMode val="edge"/>
          <c:x val="0.15898016634938086"/>
          <c:y val="0.12715698217148694"/>
          <c:w val="0.41630479657262565"/>
          <c:h val="0.30474094446328176"/>
        </c:manualLayout>
      </c:layout>
      <c:spPr>
        <a:solidFill>
          <a:srgbClr val="FFFF00"/>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300"/>
              <a:t>How</a:t>
            </a:r>
            <a:r>
              <a:rPr lang="en-US" sz="1300" baseline="0"/>
              <a:t> People Reach the CBD: Baseline</a:t>
            </a:r>
            <a:endParaRPr lang="en-US" sz="1300"/>
          </a:p>
        </c:rich>
      </c:tx>
      <c:layout>
        <c:manualLayout>
          <c:xMode val="edge"/>
          <c:yMode val="edge"/>
          <c:x val="0.16052950277767003"/>
          <c:y val="2.2779043280182251E-2"/>
        </c:manualLayout>
      </c:layout>
    </c:title>
    <c:plotArea>
      <c:layout/>
      <c:pieChart>
        <c:varyColors val="1"/>
        <c:ser>
          <c:idx val="0"/>
          <c:order val="0"/>
          <c:tx>
            <c:strRef>
              <c:f>Travel!$G$126</c:f>
              <c:strCache>
                <c:ptCount val="1"/>
                <c:pt idx="0">
                  <c:v>Share of Total</c:v>
                </c:pt>
              </c:strCache>
            </c:strRef>
          </c:tx>
          <c:dLbls>
            <c:dLbl>
              <c:idx val="0"/>
              <c:layout>
                <c:manualLayout>
                  <c:x val="-6.8454349621060076E-2"/>
                  <c:y val="0.13207746442053309"/>
                </c:manualLayout>
              </c:layout>
              <c:showCatName val="1"/>
              <c:showPercent val="1"/>
            </c:dLbl>
            <c:dLbl>
              <c:idx val="3"/>
              <c:layout>
                <c:manualLayout>
                  <c:x val="2.0627545678056129E-2"/>
                  <c:y val="-0.23952667022199914"/>
                </c:manualLayout>
              </c:layout>
              <c:showCatName val="1"/>
              <c:showPercent val="1"/>
            </c:dLbl>
            <c:dLbl>
              <c:idx val="7"/>
              <c:layout>
                <c:manualLayout>
                  <c:x val="4.2764119356442788E-2"/>
                  <c:y val="3.1609255057807296E-2"/>
                </c:manualLayout>
              </c:layout>
              <c:showCatName val="1"/>
              <c:showPercent val="1"/>
            </c:dLbl>
            <c:txPr>
              <a:bodyPr/>
              <a:lstStyle/>
              <a:p>
                <a:pPr>
                  <a:defRPr sz="900" b="1" i="0" baseline="0"/>
                </a:pPr>
                <a:endParaRPr lang="en-US"/>
              </a:p>
            </c:txPr>
            <c:showCatName val="1"/>
            <c:showPercent val="1"/>
            <c:showLeaderLines val="1"/>
          </c:dLbls>
          <c:cat>
            <c:strRef>
              <c:f>Travel!$B$127:$B$134</c:f>
              <c:strCache>
                <c:ptCount val="8"/>
                <c:pt idx="0">
                  <c:v>Auto</c:v>
                </c:pt>
                <c:pt idx="1">
                  <c:v>Taxi</c:v>
                </c:pt>
                <c:pt idx="2">
                  <c:v>Truck</c:v>
                </c:pt>
                <c:pt idx="3">
                  <c:v>Subway</c:v>
                </c:pt>
                <c:pt idx="4">
                  <c:v>Commuter Rail</c:v>
                </c:pt>
                <c:pt idx="5">
                  <c:v>NYC Bus</c:v>
                </c:pt>
                <c:pt idx="6">
                  <c:v>NJ Transit Bus</c:v>
                </c:pt>
                <c:pt idx="7">
                  <c:v>Bicycle or Ferry</c:v>
                </c:pt>
              </c:strCache>
            </c:strRef>
          </c:cat>
          <c:val>
            <c:numRef>
              <c:f>Travel!$G$127:$G$134</c:f>
              <c:numCache>
                <c:formatCode>0.0%</c:formatCode>
                <c:ptCount val="8"/>
                <c:pt idx="0">
                  <c:v>0.16507582054129263</c:v>
                </c:pt>
                <c:pt idx="1">
                  <c:v>1.4203973300728784E-2</c:v>
                </c:pt>
                <c:pt idx="2">
                  <c:v>1.2789777074692118E-2</c:v>
                </c:pt>
                <c:pt idx="3">
                  <c:v>0.6205253194706063</c:v>
                </c:pt>
                <c:pt idx="4">
                  <c:v>8.4623366230199282E-2</c:v>
                </c:pt>
                <c:pt idx="5">
                  <c:v>2.9277186359733916E-2</c:v>
                </c:pt>
                <c:pt idx="6">
                  <c:v>5.2566196222215485E-2</c:v>
                </c:pt>
                <c:pt idx="7">
                  <c:v>2.0938360800531589E-2</c:v>
                </c:pt>
              </c:numCache>
            </c:numRef>
          </c:val>
        </c:ser>
        <c:firstSliceAng val="0"/>
      </c:pieChart>
    </c:plotArea>
    <c:plotVisOnly val="1"/>
  </c:chart>
  <c:printSettings>
    <c:headerFooter/>
    <c:pageMargins b="0.7500000000000091" l="0.70000000000000062" r="0.70000000000000062" t="0.750000000000009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300"/>
              <a:t>How</a:t>
            </a:r>
            <a:r>
              <a:rPr lang="en-US" sz="1300" baseline="0"/>
              <a:t> People Will Reach the CBD: Plan Shown</a:t>
            </a:r>
            <a:endParaRPr lang="en-US" sz="1300"/>
          </a:p>
        </c:rich>
      </c:tx>
      <c:layout>
        <c:manualLayout>
          <c:xMode val="edge"/>
          <c:yMode val="edge"/>
          <c:x val="9.8277029887393244E-2"/>
          <c:y val="3.0372057706909691E-2"/>
        </c:manualLayout>
      </c:layout>
    </c:title>
    <c:plotArea>
      <c:layout/>
      <c:pieChart>
        <c:varyColors val="1"/>
        <c:ser>
          <c:idx val="0"/>
          <c:order val="0"/>
          <c:tx>
            <c:strRef>
              <c:f>Travel!$K$126</c:f>
              <c:strCache>
                <c:ptCount val="1"/>
                <c:pt idx="0">
                  <c:v>Share of Total</c:v>
                </c:pt>
              </c:strCache>
            </c:strRef>
          </c:tx>
          <c:dLbls>
            <c:dLbl>
              <c:idx val="0"/>
              <c:layout>
                <c:manualLayout>
                  <c:x val="-6.8454349621060076E-2"/>
                  <c:y val="0.13207746442053309"/>
                </c:manualLayout>
              </c:layout>
              <c:showCatName val="1"/>
              <c:showPercent val="1"/>
            </c:dLbl>
            <c:dLbl>
              <c:idx val="3"/>
              <c:layout>
                <c:manualLayout>
                  <c:x val="2.0627545678056147E-2"/>
                  <c:y val="-0.23952667022199914"/>
                </c:manualLayout>
              </c:layout>
              <c:showCatName val="1"/>
              <c:showPercent val="1"/>
            </c:dLbl>
            <c:txPr>
              <a:bodyPr/>
              <a:lstStyle/>
              <a:p>
                <a:pPr>
                  <a:defRPr sz="900" b="1" i="0" baseline="0"/>
                </a:pPr>
                <a:endParaRPr lang="en-US"/>
              </a:p>
            </c:txPr>
            <c:showCatName val="1"/>
            <c:showPercent val="1"/>
            <c:showLeaderLines val="1"/>
          </c:dLbls>
          <c:cat>
            <c:strRef>
              <c:f>Travel!$B$127:$B$134</c:f>
              <c:strCache>
                <c:ptCount val="8"/>
                <c:pt idx="0">
                  <c:v>Auto</c:v>
                </c:pt>
                <c:pt idx="1">
                  <c:v>Taxi</c:v>
                </c:pt>
                <c:pt idx="2">
                  <c:v>Truck</c:v>
                </c:pt>
                <c:pt idx="3">
                  <c:v>Subway</c:v>
                </c:pt>
                <c:pt idx="4">
                  <c:v>Commuter Rail</c:v>
                </c:pt>
                <c:pt idx="5">
                  <c:v>NYC Bus</c:v>
                </c:pt>
                <c:pt idx="6">
                  <c:v>NJ Transit Bus</c:v>
                </c:pt>
                <c:pt idx="7">
                  <c:v>Bicycle or Ferry</c:v>
                </c:pt>
              </c:strCache>
            </c:strRef>
          </c:cat>
          <c:val>
            <c:numRef>
              <c:f>Travel!$K$127:$K$134</c:f>
              <c:numCache>
                <c:formatCode>0.0%</c:formatCode>
                <c:ptCount val="8"/>
                <c:pt idx="0">
                  <c:v>0.14155702500225592</c:v>
                </c:pt>
                <c:pt idx="1">
                  <c:v>1.4775581052537894E-2</c:v>
                </c:pt>
                <c:pt idx="2">
                  <c:v>1.1990069500166421E-2</c:v>
                </c:pt>
                <c:pt idx="3">
                  <c:v>0.6487167681612086</c:v>
                </c:pt>
                <c:pt idx="4">
                  <c:v>8.2327400252147978E-2</c:v>
                </c:pt>
                <c:pt idx="5">
                  <c:v>2.9122894079837525E-2</c:v>
                </c:pt>
                <c:pt idx="6">
                  <c:v>5.1139992048376964E-2</c:v>
                </c:pt>
                <c:pt idx="7">
                  <c:v>2.0370269903468834E-2</c:v>
                </c:pt>
              </c:numCache>
            </c:numRef>
          </c:val>
        </c:ser>
        <c:firstSliceAng val="0"/>
      </c:pieChart>
    </c:plotArea>
    <c:plotVisOnly val="1"/>
  </c:chart>
  <c:printSettings>
    <c:headerFooter/>
    <c:pageMargins b="0.75000000000000933" l="0.70000000000000062" r="0.70000000000000062" t="0.750000000000009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00"/>
            </a:pPr>
            <a:r>
              <a:rPr lang="en-US" sz="1300"/>
              <a:t>How</a:t>
            </a:r>
            <a:r>
              <a:rPr lang="en-US" sz="1300" baseline="0"/>
              <a:t> People Reach the CBD: Baseline</a:t>
            </a:r>
            <a:endParaRPr lang="en-US" sz="1300"/>
          </a:p>
        </c:rich>
      </c:tx>
      <c:layout>
        <c:manualLayout>
          <c:xMode val="edge"/>
          <c:yMode val="edge"/>
          <c:x val="0.16370550155742469"/>
          <c:y val="3.2422164683609492E-2"/>
        </c:manualLayout>
      </c:layout>
    </c:title>
    <c:plotArea>
      <c:layout/>
      <c:pieChart>
        <c:varyColors val="1"/>
        <c:ser>
          <c:idx val="0"/>
          <c:order val="0"/>
          <c:dLbls>
            <c:dLbl>
              <c:idx val="0"/>
              <c:layout>
                <c:manualLayout>
                  <c:x val="-0.15055618047744579"/>
                  <c:y val="0.16032593383454186"/>
                </c:manualLayout>
              </c:layout>
              <c:showCatName val="1"/>
              <c:showPercent val="1"/>
            </c:dLbl>
            <c:dLbl>
              <c:idx val="1"/>
              <c:layout>
                <c:manualLayout>
                  <c:x val="0.21506794409319893"/>
                  <c:y val="-0.22233887430737825"/>
                </c:manualLayout>
              </c:layout>
              <c:showCatName val="1"/>
              <c:showPercent val="1"/>
            </c:dLbl>
            <c:dLbl>
              <c:idx val="3"/>
              <c:layout>
                <c:manualLayout>
                  <c:x val="2.0627545678056147E-2"/>
                  <c:y val="-0.23952667022199914"/>
                </c:manualLayout>
              </c:layout>
              <c:showCatName val="1"/>
              <c:showPercent val="1"/>
            </c:dLbl>
            <c:numFmt formatCode="0.0%" sourceLinked="0"/>
            <c:txPr>
              <a:bodyPr/>
              <a:lstStyle/>
              <a:p>
                <a:pPr>
                  <a:defRPr sz="900" b="1" i="0" baseline="0"/>
                </a:pPr>
                <a:endParaRPr lang="en-US"/>
              </a:p>
            </c:txPr>
            <c:showCatName val="1"/>
            <c:showPercent val="1"/>
            <c:showLeaderLines val="1"/>
          </c:dLbls>
          <c:cat>
            <c:strRef>
              <c:f>Travel!$B$167:$B$168</c:f>
              <c:strCache>
                <c:ptCount val="2"/>
                <c:pt idx="0">
                  <c:v>Motor Vehicle</c:v>
                </c:pt>
                <c:pt idx="1">
                  <c:v>Transit</c:v>
                </c:pt>
              </c:strCache>
            </c:strRef>
          </c:cat>
          <c:val>
            <c:numRef>
              <c:f>Travel!$G$167:$G$168</c:f>
              <c:numCache>
                <c:formatCode>0.0%</c:formatCode>
                <c:ptCount val="2"/>
                <c:pt idx="0">
                  <c:v>0.19206957091671353</c:v>
                </c:pt>
                <c:pt idx="1">
                  <c:v>0.80793042908328649</c:v>
                </c:pt>
              </c:numCache>
            </c:numRef>
          </c:val>
        </c:ser>
        <c:firstSliceAng val="0"/>
      </c:pieChart>
    </c:plotArea>
    <c:plotVisOnly val="1"/>
  </c:chart>
  <c:printSettings>
    <c:headerFooter/>
    <c:pageMargins b="0.75000000000000933" l="0.70000000000000062" r="0.70000000000000062" t="0.750000000000009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00"/>
            </a:pPr>
            <a:r>
              <a:rPr lang="en-US" sz="1300"/>
              <a:t>How</a:t>
            </a:r>
            <a:r>
              <a:rPr lang="en-US" sz="1300" baseline="0"/>
              <a:t> People Will Reach the CBD: Plan Shown</a:t>
            </a:r>
          </a:p>
        </c:rich>
      </c:tx>
      <c:layout>
        <c:manualLayout>
          <c:xMode val="edge"/>
          <c:yMode val="edge"/>
          <c:x val="9.7958488977275243E-2"/>
          <c:y val="2.9056502118026212E-2"/>
        </c:manualLayout>
      </c:layout>
    </c:title>
    <c:plotArea>
      <c:layout/>
      <c:pieChart>
        <c:varyColors val="1"/>
        <c:ser>
          <c:idx val="0"/>
          <c:order val="0"/>
          <c:dLbls>
            <c:dLbl>
              <c:idx val="0"/>
              <c:layout>
                <c:manualLayout>
                  <c:x val="-0.1505561804774459"/>
                  <c:y val="0.16032593383454186"/>
                </c:manualLayout>
              </c:layout>
              <c:showCatName val="1"/>
              <c:showPercent val="1"/>
            </c:dLbl>
            <c:dLbl>
              <c:idx val="1"/>
              <c:layout>
                <c:manualLayout>
                  <c:x val="0.21506794409319899"/>
                  <c:y val="-0.22233887430737825"/>
                </c:manualLayout>
              </c:layout>
              <c:showCatName val="1"/>
              <c:showPercent val="1"/>
            </c:dLbl>
            <c:dLbl>
              <c:idx val="3"/>
              <c:layout>
                <c:manualLayout>
                  <c:x val="2.0627545678056164E-2"/>
                  <c:y val="-0.23952667022199914"/>
                </c:manualLayout>
              </c:layout>
              <c:showCatName val="1"/>
              <c:showPercent val="1"/>
            </c:dLbl>
            <c:numFmt formatCode="0.0%" sourceLinked="0"/>
            <c:txPr>
              <a:bodyPr/>
              <a:lstStyle/>
              <a:p>
                <a:pPr>
                  <a:defRPr sz="900" b="1" i="0" baseline="0"/>
                </a:pPr>
                <a:endParaRPr lang="en-US"/>
              </a:p>
            </c:txPr>
            <c:showCatName val="1"/>
            <c:showPercent val="1"/>
            <c:showLeaderLines val="1"/>
          </c:dLbls>
          <c:cat>
            <c:strRef>
              <c:f>Travel!$B$167:$B$168</c:f>
              <c:strCache>
                <c:ptCount val="2"/>
                <c:pt idx="0">
                  <c:v>Motor Vehicle</c:v>
                </c:pt>
                <c:pt idx="1">
                  <c:v>Transit</c:v>
                </c:pt>
              </c:strCache>
            </c:strRef>
          </c:cat>
          <c:val>
            <c:numRef>
              <c:f>Travel!$K$167:$K$168</c:f>
              <c:numCache>
                <c:formatCode>0.0%</c:formatCode>
                <c:ptCount val="2"/>
                <c:pt idx="0">
                  <c:v>0.16832267555496019</c:v>
                </c:pt>
                <c:pt idx="1">
                  <c:v>0.83167732444503983</c:v>
                </c:pt>
              </c:numCache>
            </c:numRef>
          </c:val>
        </c:ser>
        <c:firstSliceAng val="0"/>
      </c:pieChart>
    </c:plotArea>
    <c:plotVisOnly val="1"/>
  </c:chart>
  <c:printSettings>
    <c:headerFooter/>
    <c:pageMargins b="0.75000000000000955" l="0.70000000000000062" r="0.70000000000000062" t="0.750000000000009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a:t>How</a:t>
            </a:r>
            <a:r>
              <a:rPr lang="en-US" sz="1400" baseline="0"/>
              <a:t> People Reach the CBD: Full Breakout</a:t>
            </a:r>
            <a:endParaRPr lang="en-US" sz="1400"/>
          </a:p>
        </c:rich>
      </c:tx>
      <c:layout>
        <c:manualLayout>
          <c:xMode val="edge"/>
          <c:yMode val="edge"/>
          <c:x val="0.11002448451654452"/>
          <c:y val="2.2779114185680092E-2"/>
        </c:manualLayout>
      </c:layout>
    </c:title>
    <c:plotArea>
      <c:layout/>
      <c:pieChart>
        <c:varyColors val="1"/>
        <c:ser>
          <c:idx val="0"/>
          <c:order val="0"/>
          <c:tx>
            <c:strRef>
              <c:f>Travel!$G$126</c:f>
              <c:strCache>
                <c:ptCount val="1"/>
                <c:pt idx="0">
                  <c:v>Share of Total</c:v>
                </c:pt>
              </c:strCache>
            </c:strRef>
          </c:tx>
          <c:dLbls>
            <c:dLbl>
              <c:idx val="0"/>
              <c:layout>
                <c:manualLayout>
                  <c:x val="-6.8454349621060076E-2"/>
                  <c:y val="0.13207746442053309"/>
                </c:manualLayout>
              </c:layout>
              <c:showCatName val="1"/>
              <c:showPercent val="1"/>
            </c:dLbl>
            <c:dLbl>
              <c:idx val="3"/>
              <c:layout>
                <c:manualLayout>
                  <c:x val="2.0627545678056147E-2"/>
                  <c:y val="-0.23952667022199914"/>
                </c:manualLayout>
              </c:layout>
              <c:showCatName val="1"/>
              <c:showPercent val="1"/>
            </c:dLbl>
            <c:dLbl>
              <c:idx val="7"/>
              <c:layout>
                <c:manualLayout>
                  <c:x val="2.7019960187495737E-2"/>
                  <c:y val="1.7789747344200583E-2"/>
                </c:manualLayout>
              </c:layout>
              <c:showCatName val="1"/>
              <c:showPercent val="1"/>
            </c:dLbl>
            <c:txPr>
              <a:bodyPr/>
              <a:lstStyle/>
              <a:p>
                <a:pPr>
                  <a:defRPr sz="900" b="1" i="0" baseline="0"/>
                </a:pPr>
                <a:endParaRPr lang="en-US"/>
              </a:p>
            </c:txPr>
            <c:showCatName val="1"/>
            <c:showPercent val="1"/>
            <c:showLeaderLines val="1"/>
          </c:dLbls>
          <c:cat>
            <c:strRef>
              <c:f>Travel!$B$127:$B$134</c:f>
              <c:strCache>
                <c:ptCount val="8"/>
                <c:pt idx="0">
                  <c:v>Auto</c:v>
                </c:pt>
                <c:pt idx="1">
                  <c:v>Taxi</c:v>
                </c:pt>
                <c:pt idx="2">
                  <c:v>Truck</c:v>
                </c:pt>
                <c:pt idx="3">
                  <c:v>Subway</c:v>
                </c:pt>
                <c:pt idx="4">
                  <c:v>Commuter Rail</c:v>
                </c:pt>
                <c:pt idx="5">
                  <c:v>NYC Bus</c:v>
                </c:pt>
                <c:pt idx="6">
                  <c:v>NJ Transit Bus</c:v>
                </c:pt>
                <c:pt idx="7">
                  <c:v>Bicycle or Ferry</c:v>
                </c:pt>
              </c:strCache>
            </c:strRef>
          </c:cat>
          <c:val>
            <c:numRef>
              <c:f>Travel!$G$127:$G$134</c:f>
              <c:numCache>
                <c:formatCode>0.0%</c:formatCode>
                <c:ptCount val="8"/>
                <c:pt idx="0">
                  <c:v>0.16507582054129263</c:v>
                </c:pt>
                <c:pt idx="1">
                  <c:v>1.4203973300728784E-2</c:v>
                </c:pt>
                <c:pt idx="2">
                  <c:v>1.2789777074692118E-2</c:v>
                </c:pt>
                <c:pt idx="3">
                  <c:v>0.6205253194706063</c:v>
                </c:pt>
                <c:pt idx="4">
                  <c:v>8.4623366230199282E-2</c:v>
                </c:pt>
                <c:pt idx="5">
                  <c:v>2.9277186359733916E-2</c:v>
                </c:pt>
                <c:pt idx="6">
                  <c:v>5.2566196222215485E-2</c:v>
                </c:pt>
                <c:pt idx="7">
                  <c:v>2.0938360800531589E-2</c:v>
                </c:pt>
              </c:numCache>
            </c:numRef>
          </c:val>
        </c:ser>
        <c:firstSliceAng val="0"/>
      </c:pieChart>
    </c:plotArea>
    <c:plotVisOnly val="1"/>
  </c:chart>
  <c:printSettings>
    <c:headerFooter/>
    <c:pageMargins b="0.75000000000000933" l="0.70000000000000062" r="0.70000000000000062" t="0.750000000000009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300"/>
              <a:t>How</a:t>
            </a:r>
            <a:r>
              <a:rPr lang="en-US" sz="1300" baseline="0"/>
              <a:t> People Reach the CBD: Coarse Breakout</a:t>
            </a:r>
            <a:endParaRPr lang="en-US" sz="1300"/>
          </a:p>
        </c:rich>
      </c:tx>
      <c:layout>
        <c:manualLayout>
          <c:xMode val="edge"/>
          <c:yMode val="edge"/>
          <c:x val="0.11272840416936385"/>
          <c:y val="2.6035924796161611E-2"/>
        </c:manualLayout>
      </c:layout>
    </c:title>
    <c:plotArea>
      <c:layout/>
      <c:pieChart>
        <c:varyColors val="1"/>
        <c:ser>
          <c:idx val="0"/>
          <c:order val="0"/>
          <c:dLbls>
            <c:dLbl>
              <c:idx val="0"/>
              <c:layout>
                <c:manualLayout>
                  <c:x val="-0.17605024515339363"/>
                  <c:y val="0.16032603887386573"/>
                </c:manualLayout>
              </c:layout>
              <c:showCatName val="1"/>
              <c:showPercent val="1"/>
            </c:dLbl>
            <c:dLbl>
              <c:idx val="1"/>
              <c:layout>
                <c:manualLayout>
                  <c:x val="0.21506794409319899"/>
                  <c:y val="-0.22233887430737825"/>
                </c:manualLayout>
              </c:layout>
              <c:showCatName val="1"/>
              <c:showPercent val="1"/>
            </c:dLbl>
            <c:dLbl>
              <c:idx val="3"/>
              <c:layout>
                <c:manualLayout>
                  <c:x val="2.0627545678056164E-2"/>
                  <c:y val="-0.23952667022199914"/>
                </c:manualLayout>
              </c:layout>
              <c:showCatName val="1"/>
              <c:showPercent val="1"/>
            </c:dLbl>
            <c:txPr>
              <a:bodyPr/>
              <a:lstStyle/>
              <a:p>
                <a:pPr>
                  <a:defRPr sz="900" b="1" i="0" baseline="0"/>
                </a:pPr>
                <a:endParaRPr lang="en-US"/>
              </a:p>
            </c:txPr>
            <c:showCatName val="1"/>
            <c:showPercent val="1"/>
            <c:showLeaderLines val="1"/>
          </c:dLbls>
          <c:cat>
            <c:strRef>
              <c:f>Travel!$B$167:$B$168</c:f>
              <c:strCache>
                <c:ptCount val="2"/>
                <c:pt idx="0">
                  <c:v>Motor Vehicle</c:v>
                </c:pt>
                <c:pt idx="1">
                  <c:v>Transit</c:v>
                </c:pt>
              </c:strCache>
            </c:strRef>
          </c:cat>
          <c:val>
            <c:numRef>
              <c:f>Travel!$G$167:$G$168</c:f>
              <c:numCache>
                <c:formatCode>0.0%</c:formatCode>
                <c:ptCount val="2"/>
                <c:pt idx="0">
                  <c:v>0.19206957091671353</c:v>
                </c:pt>
                <c:pt idx="1">
                  <c:v>0.80793042908328649</c:v>
                </c:pt>
              </c:numCache>
            </c:numRef>
          </c:val>
        </c:ser>
        <c:firstSliceAng val="0"/>
      </c:pieChart>
    </c:plotArea>
    <c:plotVisOnly val="1"/>
  </c:chart>
  <c:printSettings>
    <c:headerFooter/>
    <c:pageMargins b="0.75000000000000955" l="0.70000000000000062" r="0.70000000000000062" t="0.750000000000009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75" b="1" i="0" u="none" strike="noStrike" baseline="0">
                <a:solidFill>
                  <a:srgbClr val="000000"/>
                </a:solidFill>
                <a:latin typeface="Arial"/>
                <a:ea typeface="Arial"/>
                <a:cs typeface="Arial"/>
              </a:defRPr>
            </a:pPr>
            <a:r>
              <a:rPr lang="en-US"/>
              <a:t>Delta (from prior # cordon entries)</a:t>
            </a:r>
          </a:p>
        </c:rich>
      </c:tx>
      <c:layout>
        <c:manualLayout>
          <c:xMode val="edge"/>
          <c:yMode val="edge"/>
          <c:x val="0.14545445064400594"/>
          <c:y val="5.5325040891627694E-2"/>
        </c:manualLayout>
      </c:layout>
      <c:spPr>
        <a:noFill/>
        <a:ln w="25400">
          <a:noFill/>
        </a:ln>
      </c:spPr>
    </c:title>
    <c:plotArea>
      <c:layout>
        <c:manualLayout>
          <c:layoutTarget val="inner"/>
          <c:xMode val="edge"/>
          <c:yMode val="edge"/>
          <c:x val="5.4545454545454515E-2"/>
          <c:y val="0.28354156817721382"/>
          <c:w val="0.89454545454545464"/>
          <c:h val="0.61549267238473171"/>
        </c:manualLayout>
      </c:layout>
      <c:barChart>
        <c:barDir val="col"/>
        <c:grouping val="clustered"/>
        <c:ser>
          <c:idx val="0"/>
          <c:order val="0"/>
          <c:spPr>
            <a:solidFill>
              <a:srgbClr val="9999FF"/>
            </a:solidFill>
            <a:ln w="12700">
              <a:solidFill>
                <a:srgbClr val="000000"/>
              </a:solidFill>
              <a:prstDash val="solid"/>
            </a:ln>
          </c:spPr>
          <c:val>
            <c:numRef>
              <c:f>'Motor Vs'!$L$934:$L$943</c:f>
              <c:numCache>
                <c:formatCode>#,##0</c:formatCode>
                <c:ptCount val="10"/>
                <c:pt idx="0">
                  <c:v>-147518.26180425752</c:v>
                </c:pt>
                <c:pt idx="1">
                  <c:v>85204.739315971849</c:v>
                </c:pt>
                <c:pt idx="2">
                  <c:v>-71072.497875822708</c:v>
                </c:pt>
                <c:pt idx="3">
                  <c:v>53113.67623854999</c:v>
                </c:pt>
                <c:pt idx="4">
                  <c:v>-31605.872546838596</c:v>
                </c:pt>
                <c:pt idx="5">
                  <c:v>3062.6993278136943</c:v>
                </c:pt>
                <c:pt idx="6">
                  <c:v>-355.18256393936463</c:v>
                </c:pt>
                <c:pt idx="7">
                  <c:v>8.1693011537427083</c:v>
                </c:pt>
                <c:pt idx="8">
                  <c:v>7.9625871883472428</c:v>
                </c:pt>
                <c:pt idx="9">
                  <c:v>-11.805744831683114</c:v>
                </c:pt>
              </c:numCache>
            </c:numRef>
          </c:val>
        </c:ser>
        <c:axId val="113836800"/>
        <c:axId val="113838336"/>
      </c:barChart>
      <c:catAx>
        <c:axId val="113836800"/>
        <c:scaling>
          <c:orientation val="minMax"/>
        </c:scaling>
        <c:axPos val="b"/>
        <c:numFmt formatCode="General" sourceLinked="1"/>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13838336"/>
        <c:crosses val="autoZero"/>
        <c:auto val="1"/>
        <c:lblAlgn val="ctr"/>
        <c:lblOffset val="100"/>
        <c:tickLblSkip val="1"/>
        <c:tickMarkSkip val="1"/>
      </c:catAx>
      <c:valAx>
        <c:axId val="113838336"/>
        <c:scaling>
          <c:orientation val="minMax"/>
        </c:scaling>
        <c:delete val="1"/>
        <c:axPos val="l"/>
        <c:majorGridlines>
          <c:spPr>
            <a:ln w="3175">
              <a:solidFill>
                <a:srgbClr val="000000"/>
              </a:solidFill>
              <a:prstDash val="solid"/>
            </a:ln>
          </c:spPr>
        </c:majorGridlines>
        <c:numFmt formatCode="#,##0" sourceLinked="1"/>
        <c:tickLblPos val="none"/>
        <c:crossAx val="113836800"/>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00" b="1" i="0" u="none" strike="noStrike" baseline="0">
                <a:solidFill>
                  <a:srgbClr val="000000"/>
                </a:solidFill>
                <a:latin typeface="Arial"/>
                <a:ea typeface="Arial"/>
                <a:cs typeface="Arial"/>
              </a:defRPr>
            </a:pPr>
            <a:r>
              <a:rPr lang="en-US"/>
              <a:t>Speed Increase due to Toll</a:t>
            </a:r>
          </a:p>
        </c:rich>
      </c:tx>
      <c:layout>
        <c:manualLayout>
          <c:xMode val="edge"/>
          <c:yMode val="edge"/>
          <c:x val="0.33961113217790334"/>
          <c:y val="1.553606070980258E-2"/>
        </c:manualLayout>
      </c:layout>
      <c:spPr>
        <a:noFill/>
        <a:ln w="25400">
          <a:noFill/>
        </a:ln>
      </c:spPr>
    </c:title>
    <c:plotArea>
      <c:layout>
        <c:manualLayout>
          <c:layoutTarget val="inner"/>
          <c:xMode val="edge"/>
          <c:yMode val="edge"/>
          <c:x val="9.4164894090121798E-2"/>
          <c:y val="8.0269452901372565E-2"/>
          <c:w val="0.88144515615510965"/>
          <c:h val="0.84930259844032896"/>
        </c:manualLayout>
      </c:layout>
      <c:barChart>
        <c:barDir val="col"/>
        <c:grouping val="clustered"/>
        <c:ser>
          <c:idx val="0"/>
          <c:order val="0"/>
          <c:tx>
            <c:v>Cordon</c:v>
          </c:tx>
          <c:spPr>
            <a:solidFill>
              <a:srgbClr val="9999FF"/>
            </a:solidFill>
            <a:ln w="12700">
              <a:solidFill>
                <a:srgbClr val="000000"/>
              </a:solidFill>
              <a:prstDash val="solid"/>
            </a:ln>
          </c:spPr>
          <c:dLbls>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('Motor Vs'!$G$881:$M$881,'Motor Vs'!$G$931)</c:f>
              <c:strCache>
                <c:ptCount val="8"/>
                <c:pt idx="0">
                  <c:v>11 pm - 5 am</c:v>
                </c:pt>
                <c:pt idx="1">
                  <c:v>5 am - 6 am</c:v>
                </c:pt>
                <c:pt idx="2">
                  <c:v>6 am - 9 am</c:v>
                </c:pt>
                <c:pt idx="3">
                  <c:v>9 am - 10 am</c:v>
                </c:pt>
                <c:pt idx="4">
                  <c:v>10 am - 2 pm</c:v>
                </c:pt>
                <c:pt idx="5">
                  <c:v>2 pm - 8 pm </c:v>
                </c:pt>
                <c:pt idx="6">
                  <c:v>8 pm - 11 pm</c:v>
                </c:pt>
                <c:pt idx="7">
                  <c:v>6 a.m. - 6 p.m.</c:v>
                </c:pt>
              </c:strCache>
            </c:strRef>
          </c:cat>
          <c:val>
            <c:numRef>
              <c:f>('Motor Vs'!$G$921:$M$921,'Motor Vs'!$G$936)</c:f>
              <c:numCache>
                <c:formatCode>0%</c:formatCode>
                <c:ptCount val="8"/>
                <c:pt idx="0">
                  <c:v>6.6683450481090922E-3</c:v>
                </c:pt>
                <c:pt idx="1">
                  <c:v>3.7163897413387881E-2</c:v>
                </c:pt>
                <c:pt idx="2">
                  <c:v>0.19382910849872093</c:v>
                </c:pt>
                <c:pt idx="3">
                  <c:v>0.17031911970303404</c:v>
                </c:pt>
                <c:pt idx="4">
                  <c:v>0.10780709837297509</c:v>
                </c:pt>
                <c:pt idx="5">
                  <c:v>0.20892229591518463</c:v>
                </c:pt>
                <c:pt idx="6">
                  <c:v>0.1382833125068319</c:v>
                </c:pt>
                <c:pt idx="7">
                  <c:v>0.18</c:v>
                </c:pt>
              </c:numCache>
            </c:numRef>
          </c:val>
        </c:ser>
        <c:ser>
          <c:idx val="1"/>
          <c:order val="1"/>
          <c:tx>
            <c:v>Non-cordon</c:v>
          </c:tx>
          <c:spPr>
            <a:solidFill>
              <a:srgbClr val="993366"/>
            </a:solidFill>
            <a:ln w="12700">
              <a:solidFill>
                <a:srgbClr val="000000"/>
              </a:solidFill>
              <a:prstDash val="solid"/>
            </a:ln>
          </c:spPr>
          <c:cat>
            <c:strRef>
              <c:f>('Motor Vs'!$G$881:$M$881,'Motor Vs'!$G$931)</c:f>
              <c:strCache>
                <c:ptCount val="8"/>
                <c:pt idx="0">
                  <c:v>11 pm - 5 am</c:v>
                </c:pt>
                <c:pt idx="1">
                  <c:v>5 am - 6 am</c:v>
                </c:pt>
                <c:pt idx="2">
                  <c:v>6 am - 9 am</c:v>
                </c:pt>
                <c:pt idx="3">
                  <c:v>9 am - 10 am</c:v>
                </c:pt>
                <c:pt idx="4">
                  <c:v>10 am - 2 pm</c:v>
                </c:pt>
                <c:pt idx="5">
                  <c:v>2 pm - 8 pm </c:v>
                </c:pt>
                <c:pt idx="6">
                  <c:v>8 pm - 11 pm</c:v>
                </c:pt>
                <c:pt idx="7">
                  <c:v>6 a.m. - 6 p.m.</c:v>
                </c:pt>
              </c:strCache>
            </c:strRef>
          </c:cat>
          <c:val>
            <c:numRef>
              <c:f>('Motor Vs'!$G$924:$M$924,'Motor Vs'!$G$941)</c:f>
              <c:numCache>
                <c:formatCode>0%</c:formatCode>
                <c:ptCount val="8"/>
                <c:pt idx="0">
                  <c:v>-1.1227770316135643E-4</c:v>
                </c:pt>
                <c:pt idx="1">
                  <c:v>7.6516396041002244E-2</c:v>
                </c:pt>
                <c:pt idx="2">
                  <c:v>6.9894130301266788E-2</c:v>
                </c:pt>
                <c:pt idx="3">
                  <c:v>6.6568392732790693E-2</c:v>
                </c:pt>
                <c:pt idx="4">
                  <c:v>5.0719186885740619E-2</c:v>
                </c:pt>
                <c:pt idx="5">
                  <c:v>6.2784952081883949E-2</c:v>
                </c:pt>
                <c:pt idx="6">
                  <c:v>6.288157103835279E-2</c:v>
                </c:pt>
                <c:pt idx="7">
                  <c:v>0.06</c:v>
                </c:pt>
              </c:numCache>
            </c:numRef>
          </c:val>
        </c:ser>
        <c:axId val="113859200"/>
        <c:axId val="113869184"/>
      </c:barChart>
      <c:catAx>
        <c:axId val="113859200"/>
        <c:scaling>
          <c:orientation val="minMax"/>
        </c:scaling>
        <c:axPos val="b"/>
        <c:numFmt formatCode="General"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13869184"/>
        <c:crosses val="autoZero"/>
        <c:auto val="1"/>
        <c:lblAlgn val="ctr"/>
        <c:lblOffset val="100"/>
        <c:tickLblSkip val="1"/>
        <c:tickMarkSkip val="1"/>
      </c:catAx>
      <c:valAx>
        <c:axId val="113869184"/>
        <c:scaling>
          <c:orientation val="minMax"/>
        </c:scaling>
        <c:axPos val="l"/>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13859200"/>
        <c:crosses val="autoZero"/>
        <c:crossBetween val="between"/>
      </c:valAx>
      <c:spPr>
        <a:solidFill>
          <a:srgbClr val="FFFFFF"/>
        </a:solidFill>
        <a:ln w="12700">
          <a:solidFill>
            <a:srgbClr val="808080"/>
          </a:solidFill>
          <a:prstDash val="solid"/>
        </a:ln>
      </c:spPr>
    </c:plotArea>
    <c:legend>
      <c:legendPos val="r"/>
      <c:layout>
        <c:manualLayout>
          <c:xMode val="edge"/>
          <c:yMode val="edge"/>
          <c:x val="0.13031176343750231"/>
          <c:y val="5.1630434782608724E-2"/>
          <c:w val="0.16430609771512344"/>
          <c:h val="0.11141304347826129"/>
        </c:manualLayout>
      </c:layout>
      <c:spPr>
        <a:solidFill>
          <a:srgbClr val="FFFFFF"/>
        </a:solidFill>
        <a:ln w="3175">
          <a:solidFill>
            <a:srgbClr val="000000"/>
          </a:solidFill>
          <a:prstDash val="solid"/>
        </a:ln>
      </c:spPr>
      <c:txPr>
        <a:bodyPr/>
        <a:lstStyle/>
        <a:p>
          <a:pPr>
            <a:defRPr sz="7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00" b="1" i="0" u="none" strike="noStrike" baseline="0">
                <a:solidFill>
                  <a:srgbClr val="000000"/>
                </a:solidFill>
                <a:latin typeface="Arial"/>
                <a:ea typeface="Arial"/>
                <a:cs typeface="Arial"/>
              </a:defRPr>
            </a:pPr>
            <a:r>
              <a:rPr lang="en-US"/>
              <a:t>Time Saved - motor-vehicle hours (per day, within cordon)</a:t>
            </a:r>
          </a:p>
        </c:rich>
      </c:tx>
      <c:layout>
        <c:manualLayout>
          <c:xMode val="edge"/>
          <c:yMode val="edge"/>
          <c:x val="0.14117300060109839"/>
          <c:y val="3.3639308599938592E-2"/>
        </c:manualLayout>
      </c:layout>
      <c:spPr>
        <a:noFill/>
        <a:ln w="25400">
          <a:noFill/>
        </a:ln>
      </c:spPr>
    </c:title>
    <c:plotArea>
      <c:layout>
        <c:manualLayout>
          <c:layoutTarget val="inner"/>
          <c:xMode val="edge"/>
          <c:yMode val="edge"/>
          <c:x val="0.13798018118512936"/>
          <c:y val="0.18018070858175142"/>
          <c:w val="0.83783841977356532"/>
          <c:h val="0.62762946822648491"/>
        </c:manualLayout>
      </c:layout>
      <c:barChart>
        <c:barDir val="col"/>
        <c:grouping val="clustered"/>
        <c:ser>
          <c:idx val="0"/>
          <c:order val="0"/>
          <c:tx>
            <c:v>Cordon</c:v>
          </c:tx>
          <c:spPr>
            <a:solidFill>
              <a:srgbClr val="9999FF"/>
            </a:solidFill>
            <a:ln w="12700">
              <a:solidFill>
                <a:srgbClr val="000000"/>
              </a:solidFill>
              <a:prstDash val="solid"/>
            </a:ln>
          </c:spPr>
          <c:dPt>
            <c:idx val="7"/>
            <c:spPr>
              <a:solidFill>
                <a:srgbClr val="000080"/>
              </a:solidFill>
              <a:ln w="12700">
                <a:solidFill>
                  <a:srgbClr val="000000"/>
                </a:solidFill>
                <a:prstDash val="solid"/>
              </a:ln>
            </c:spPr>
          </c:dPt>
          <c:dLbls>
            <c:spPr>
              <a:solidFill>
                <a:srgbClr val="FFFFFF"/>
              </a:solidFill>
              <a:ln w="25400">
                <a:noFill/>
              </a:ln>
            </c:spPr>
            <c:txPr>
              <a:bodyPr/>
              <a:lstStyle/>
              <a:p>
                <a:pPr>
                  <a:defRPr sz="925" b="1" i="0" u="none" strike="noStrike" baseline="0">
                    <a:solidFill>
                      <a:srgbClr val="000000"/>
                    </a:solidFill>
                    <a:latin typeface="Arial"/>
                    <a:ea typeface="Arial"/>
                    <a:cs typeface="Arial"/>
                  </a:defRPr>
                </a:pPr>
                <a:endParaRPr lang="en-US"/>
              </a:p>
            </c:txPr>
            <c:showVal val="1"/>
          </c:dLbls>
          <c:cat>
            <c:strRef>
              <c:f>'Motor Vs'!$G$881:$N$881</c:f>
              <c:strCache>
                <c:ptCount val="8"/>
                <c:pt idx="0">
                  <c:v>11 pm - 5 am</c:v>
                </c:pt>
                <c:pt idx="1">
                  <c:v>5 am - 6 am</c:v>
                </c:pt>
                <c:pt idx="2">
                  <c:v>6 am - 9 am</c:v>
                </c:pt>
                <c:pt idx="3">
                  <c:v>9 am - 10 am</c:v>
                </c:pt>
                <c:pt idx="4">
                  <c:v>10 am - 2 pm</c:v>
                </c:pt>
                <c:pt idx="5">
                  <c:v>2 pm - 8 pm </c:v>
                </c:pt>
                <c:pt idx="6">
                  <c:v>8 pm - 11 pm</c:v>
                </c:pt>
                <c:pt idx="7">
                  <c:v>Total</c:v>
                </c:pt>
              </c:strCache>
            </c:strRef>
          </c:cat>
          <c:val>
            <c:numRef>
              <c:f>'Motor Vs'!$G$963:$N$963</c:f>
              <c:numCache>
                <c:formatCode>_(* #,##0_);_(* \(#,##0\);_(* "-"??_);_(@_)</c:formatCode>
                <c:ptCount val="8"/>
                <c:pt idx="0">
                  <c:v>134.61853595159118</c:v>
                </c:pt>
                <c:pt idx="1">
                  <c:v>136.39169721830922</c:v>
                </c:pt>
                <c:pt idx="2">
                  <c:v>8629.9486951517829</c:v>
                </c:pt>
                <c:pt idx="3">
                  <c:v>2363.7720169827644</c:v>
                </c:pt>
                <c:pt idx="4">
                  <c:v>4683.4274665047778</c:v>
                </c:pt>
                <c:pt idx="5">
                  <c:v>21661.632839107639</c:v>
                </c:pt>
                <c:pt idx="6">
                  <c:v>4408.5537685072959</c:v>
                </c:pt>
                <c:pt idx="7">
                  <c:v>42018.34501942416</c:v>
                </c:pt>
              </c:numCache>
            </c:numRef>
          </c:val>
        </c:ser>
        <c:axId val="113918720"/>
        <c:axId val="113920256"/>
      </c:barChart>
      <c:catAx>
        <c:axId val="113918720"/>
        <c:scaling>
          <c:orientation val="minMax"/>
        </c:scaling>
        <c:axPos val="b"/>
        <c:numFmt formatCode="General"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13920256"/>
        <c:crosses val="autoZero"/>
        <c:auto val="1"/>
        <c:lblAlgn val="ctr"/>
        <c:lblOffset val="100"/>
        <c:tickLblSkip val="1"/>
        <c:tickMarkSkip val="1"/>
      </c:catAx>
      <c:valAx>
        <c:axId val="113920256"/>
        <c:scaling>
          <c:orientation val="minMax"/>
        </c:scaling>
        <c:axPos val="l"/>
        <c:majorGridlines>
          <c:spPr>
            <a:ln w="3175">
              <a:solidFill>
                <a:srgbClr val="C0C0C0"/>
              </a:solidFill>
              <a:prstDash val="solid"/>
            </a:ln>
          </c:spPr>
        </c:majorGridlines>
        <c:numFmt formatCode="_(* #,##0_);_(* \(#,##0\);_(* &quot;-&quot;??_);_(@_)" sourceLinked="1"/>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13918720"/>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1" i="0" u="none" strike="noStrike" baseline="0">
                <a:solidFill>
                  <a:srgbClr val="000000"/>
                </a:solidFill>
                <a:latin typeface="Arial"/>
                <a:ea typeface="Arial"/>
                <a:cs typeface="Arial"/>
              </a:defRPr>
            </a:pPr>
            <a:r>
              <a:rPr lang="en-US"/>
              <a:t>Rebound Effect</a:t>
            </a:r>
          </a:p>
        </c:rich>
      </c:tx>
      <c:layout>
        <c:manualLayout>
          <c:xMode val="edge"/>
          <c:yMode val="edge"/>
          <c:x val="0.3628620102214859"/>
          <c:y val="2.3640661938534268E-2"/>
        </c:manualLayout>
      </c:layout>
      <c:spPr>
        <a:noFill/>
        <a:ln w="25400">
          <a:noFill/>
        </a:ln>
      </c:spPr>
    </c:title>
    <c:plotArea>
      <c:layout>
        <c:manualLayout>
          <c:layoutTarget val="inner"/>
          <c:xMode val="edge"/>
          <c:yMode val="edge"/>
          <c:x val="0.16315240906343881"/>
          <c:y val="9.8279557500426523E-2"/>
          <c:w val="0.81631364488781011"/>
          <c:h val="0.79905621827030293"/>
        </c:manualLayout>
      </c:layout>
      <c:barChart>
        <c:barDir val="col"/>
        <c:grouping val="clustered"/>
        <c:ser>
          <c:idx val="0"/>
          <c:order val="0"/>
          <c:spPr>
            <a:solidFill>
              <a:srgbClr val="9999FF"/>
            </a:solidFill>
            <a:ln w="12700">
              <a:solidFill>
                <a:srgbClr val="000000"/>
              </a:solidFill>
              <a:prstDash val="solid"/>
            </a:ln>
          </c:spPr>
          <c:val>
            <c:numRef>
              <c:f>'Motor Vs'!$C$1011:$C$1020</c:f>
              <c:numCache>
                <c:formatCode>#,##0</c:formatCode>
                <c:ptCount val="10"/>
                <c:pt idx="0">
                  <c:v>-147518.26180425752</c:v>
                </c:pt>
                <c:pt idx="1">
                  <c:v>85204.739315971849</c:v>
                </c:pt>
                <c:pt idx="2">
                  <c:v>-71072.497875822708</c:v>
                </c:pt>
                <c:pt idx="3">
                  <c:v>53113.67623854999</c:v>
                </c:pt>
                <c:pt idx="4">
                  <c:v>-31605.872546838596</c:v>
                </c:pt>
                <c:pt idx="5">
                  <c:v>3062.6993278136943</c:v>
                </c:pt>
                <c:pt idx="6">
                  <c:v>-355.18256393936463</c:v>
                </c:pt>
                <c:pt idx="7">
                  <c:v>8.1693011537427083</c:v>
                </c:pt>
                <c:pt idx="8">
                  <c:v>7.9625871883472428</c:v>
                </c:pt>
                <c:pt idx="9">
                  <c:v>-11.805744831683114</c:v>
                </c:pt>
              </c:numCache>
            </c:numRef>
          </c:val>
        </c:ser>
        <c:axId val="114098944"/>
        <c:axId val="114100864"/>
      </c:barChart>
      <c:catAx>
        <c:axId val="114098944"/>
        <c:scaling>
          <c:orientation val="minMax"/>
        </c:scaling>
        <c:axPos val="b"/>
        <c:title>
          <c:tx>
            <c:rich>
              <a:bodyPr/>
              <a:lstStyle/>
              <a:p>
                <a:pPr>
                  <a:defRPr sz="1100" b="1" i="0" u="none" strike="noStrike" baseline="0">
                    <a:solidFill>
                      <a:srgbClr val="000000"/>
                    </a:solidFill>
                    <a:latin typeface="Arial"/>
                    <a:ea typeface="Arial"/>
                    <a:cs typeface="Arial"/>
                  </a:defRPr>
                </a:pPr>
                <a:r>
                  <a:rPr lang="en-US"/>
                  <a:t>Time-Volume Iteration</a:t>
                </a:r>
              </a:p>
            </c:rich>
          </c:tx>
          <c:layout>
            <c:manualLayout>
              <c:xMode val="edge"/>
              <c:yMode val="edge"/>
              <c:x val="0.32197614991487"/>
              <c:y val="0.92435211556002306"/>
            </c:manualLayout>
          </c:layout>
          <c:spPr>
            <a:noFill/>
            <a:ln w="25400">
              <a:noFill/>
            </a:ln>
          </c:spPr>
        </c:title>
        <c:numFmt formatCode="General" sourceLinked="1"/>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14100864"/>
        <c:crosses val="autoZero"/>
        <c:auto val="1"/>
        <c:lblAlgn val="ctr"/>
        <c:lblOffset val="100"/>
        <c:tickLblSkip val="1"/>
        <c:tickMarkSkip val="1"/>
      </c:catAx>
      <c:valAx>
        <c:axId val="114100864"/>
        <c:scaling>
          <c:orientation val="minMax"/>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Cordon Entries, Change from Previous</a:t>
                </a:r>
              </a:p>
            </c:rich>
          </c:tx>
          <c:layout>
            <c:manualLayout>
              <c:xMode val="edge"/>
              <c:yMode val="edge"/>
              <c:x val="1.840540232804604E-2"/>
              <c:y val="0.25768380329989277"/>
            </c:manualLayout>
          </c:layout>
          <c:spPr>
            <a:noFill/>
            <a:ln w="25400">
              <a:noFill/>
            </a:ln>
          </c:spPr>
        </c:title>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098944"/>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1" i="0" u="none" strike="noStrike" baseline="0">
                <a:solidFill>
                  <a:srgbClr val="000000"/>
                </a:solidFill>
                <a:latin typeface="Arial"/>
                <a:ea typeface="Arial"/>
                <a:cs typeface="Arial"/>
              </a:defRPr>
            </a:pPr>
            <a:r>
              <a:rPr lang="en-US"/>
              <a:t>Time-Shifting of Cordon Trips</a:t>
            </a:r>
          </a:p>
        </c:rich>
      </c:tx>
      <c:layout>
        <c:manualLayout>
          <c:xMode val="edge"/>
          <c:yMode val="edge"/>
          <c:x val="0.23546236952940719"/>
          <c:y val="4.5140884107043873E-2"/>
        </c:manualLayout>
      </c:layout>
      <c:spPr>
        <a:noFill/>
        <a:ln w="25400">
          <a:noFill/>
        </a:ln>
      </c:spPr>
    </c:title>
    <c:plotArea>
      <c:layout>
        <c:manualLayout>
          <c:layoutTarget val="inner"/>
          <c:xMode val="edge"/>
          <c:yMode val="edge"/>
          <c:x val="0.2176243155036944"/>
          <c:y val="0.15135477145605838"/>
          <c:w val="0.73671182215595465"/>
          <c:h val="0.70101157305963901"/>
        </c:manualLayout>
      </c:layout>
      <c:barChart>
        <c:barDir val="col"/>
        <c:grouping val="stacked"/>
        <c:ser>
          <c:idx val="2"/>
          <c:order val="0"/>
          <c:tx>
            <c:v>Losses to Other Periods</c:v>
          </c:tx>
          <c:spPr>
            <a:solidFill>
              <a:srgbClr val="FFFFCC"/>
            </a:solidFill>
            <a:ln w="12700">
              <a:solidFill>
                <a:srgbClr val="000000"/>
              </a:solidFill>
              <a:prstDash val="solid"/>
            </a:ln>
          </c:spPr>
          <c:cat>
            <c:strRef>
              <c:f>'Motor Vs'!$G$1037:$M$1037</c:f>
              <c:strCache>
                <c:ptCount val="7"/>
                <c:pt idx="0">
                  <c:v>Graveyard</c:v>
                </c:pt>
                <c:pt idx="1">
                  <c:v>A.M. Pre-pk</c:v>
                </c:pt>
                <c:pt idx="2">
                  <c:v>A.M. Peak</c:v>
                </c:pt>
                <c:pt idx="3">
                  <c:v>A.M. Post-pk</c:v>
                </c:pt>
                <c:pt idx="4">
                  <c:v>Midday Pk</c:v>
                </c:pt>
                <c:pt idx="5">
                  <c:v>P.M. Peak</c:v>
                </c:pt>
                <c:pt idx="6">
                  <c:v>P.M. Post-pk</c:v>
                </c:pt>
              </c:strCache>
            </c:strRef>
          </c:cat>
          <c:val>
            <c:numRef>
              <c:f>'Motor Vs'!$G$1040:$M$1040</c:f>
              <c:numCache>
                <c:formatCode>_(* #,##0_);_(* \(#,##0\);_(* "-"??_);_(@_)</c:formatCode>
                <c:ptCount val="7"/>
                <c:pt idx="0">
                  <c:v>-6.1001202118043304E-13</c:v>
                </c:pt>
                <c:pt idx="1">
                  <c:v>-4076.8908368677389</c:v>
                </c:pt>
                <c:pt idx="2">
                  <c:v>-2570.8720663786771</c:v>
                </c:pt>
                <c:pt idx="3">
                  <c:v>-1122.729046652647</c:v>
                </c:pt>
                <c:pt idx="4">
                  <c:v>-2.5139707572302016E-12</c:v>
                </c:pt>
                <c:pt idx="5">
                  <c:v>-2428.1734076611892</c:v>
                </c:pt>
                <c:pt idx="6">
                  <c:v>-1566.4749501793042</c:v>
                </c:pt>
              </c:numCache>
            </c:numRef>
          </c:val>
        </c:ser>
        <c:ser>
          <c:idx val="0"/>
          <c:order val="1"/>
          <c:tx>
            <c:v>Baseline Trip Volumes</c:v>
          </c:tx>
          <c:spPr>
            <a:solidFill>
              <a:srgbClr val="9999FF"/>
            </a:solidFill>
            <a:ln w="12700">
              <a:solidFill>
                <a:srgbClr val="000000"/>
              </a:solidFill>
              <a:prstDash val="solid"/>
            </a:ln>
          </c:spPr>
          <c:cat>
            <c:strRef>
              <c:f>'Motor Vs'!$G$1037:$M$1037</c:f>
              <c:strCache>
                <c:ptCount val="7"/>
                <c:pt idx="0">
                  <c:v>Graveyard</c:v>
                </c:pt>
                <c:pt idx="1">
                  <c:v>A.M. Pre-pk</c:v>
                </c:pt>
                <c:pt idx="2">
                  <c:v>A.M. Peak</c:v>
                </c:pt>
                <c:pt idx="3">
                  <c:v>A.M. Post-pk</c:v>
                </c:pt>
                <c:pt idx="4">
                  <c:v>Midday Pk</c:v>
                </c:pt>
                <c:pt idx="5">
                  <c:v>P.M. Peak</c:v>
                </c:pt>
                <c:pt idx="6">
                  <c:v>P.M. Post-pk</c:v>
                </c:pt>
              </c:strCache>
            </c:strRef>
          </c:cat>
          <c:val>
            <c:numRef>
              <c:f>'Motor Vs'!$G$1039:$M$1039</c:f>
              <c:numCache>
                <c:formatCode>_(* #,##0_);_(* \(#,##0\);_(* "-"??_);_(@_)</c:formatCode>
                <c:ptCount val="7"/>
                <c:pt idx="0">
                  <c:v>59816.389783210681</c:v>
                </c:pt>
                <c:pt idx="1">
                  <c:v>24061.208416006182</c:v>
                </c:pt>
                <c:pt idx="2">
                  <c:v>138773.65063043591</c:v>
                </c:pt>
                <c:pt idx="3">
                  <c:v>41059.235442521305</c:v>
                </c:pt>
                <c:pt idx="4">
                  <c:v>132453.98342495839</c:v>
                </c:pt>
                <c:pt idx="5">
                  <c:v>215013.46225259535</c:v>
                </c:pt>
                <c:pt idx="6">
                  <c:v>74755.871219862805</c:v>
                </c:pt>
              </c:numCache>
            </c:numRef>
          </c:val>
        </c:ser>
        <c:ser>
          <c:idx val="1"/>
          <c:order val="2"/>
          <c:tx>
            <c:v>Gains from Other Periods</c:v>
          </c:tx>
          <c:spPr>
            <a:solidFill>
              <a:srgbClr val="993366"/>
            </a:solidFill>
            <a:ln w="12700">
              <a:solidFill>
                <a:srgbClr val="000000"/>
              </a:solidFill>
              <a:prstDash val="solid"/>
            </a:ln>
          </c:spPr>
          <c:cat>
            <c:strRef>
              <c:f>'Motor Vs'!$G$1037:$M$1037</c:f>
              <c:strCache>
                <c:ptCount val="7"/>
                <c:pt idx="0">
                  <c:v>Graveyard</c:v>
                </c:pt>
                <c:pt idx="1">
                  <c:v>A.M. Pre-pk</c:v>
                </c:pt>
                <c:pt idx="2">
                  <c:v>A.M. Peak</c:v>
                </c:pt>
                <c:pt idx="3">
                  <c:v>A.M. Post-pk</c:v>
                </c:pt>
                <c:pt idx="4">
                  <c:v>Midday Pk</c:v>
                </c:pt>
                <c:pt idx="5">
                  <c:v>P.M. Peak</c:v>
                </c:pt>
                <c:pt idx="6">
                  <c:v>P.M. Post-pk</c:v>
                </c:pt>
              </c:strCache>
            </c:strRef>
          </c:cat>
          <c:val>
            <c:numRef>
              <c:f>'Motor Vs'!$G$1041:$M$1041</c:f>
              <c:numCache>
                <c:formatCode>_(* #,##0_);_(* \(#,##0\);_(* "-"??_);_(@_)</c:formatCode>
                <c:ptCount val="7"/>
                <c:pt idx="0">
                  <c:v>5643.3657870470433</c:v>
                </c:pt>
                <c:pt idx="1">
                  <c:v>2570.8720663786776</c:v>
                </c:pt>
                <c:pt idx="2">
                  <c:v>-4.8445193819636507E-14</c:v>
                </c:pt>
                <c:pt idx="3">
                  <c:v>1.9512855026332662E-12</c:v>
                </c:pt>
                <c:pt idx="4">
                  <c:v>3019.8318438667093</c:v>
                </c:pt>
                <c:pt idx="5">
                  <c:v>5.6268525459693547E-13</c:v>
                </c:pt>
                <c:pt idx="6">
                  <c:v>531.07061044712668</c:v>
                </c:pt>
              </c:numCache>
            </c:numRef>
          </c:val>
        </c:ser>
        <c:overlap val="100"/>
        <c:axId val="114151424"/>
        <c:axId val="114152960"/>
      </c:barChart>
      <c:catAx>
        <c:axId val="114151424"/>
        <c:scaling>
          <c:orientation val="minMax"/>
        </c:scaling>
        <c:axPos val="b"/>
        <c:numFmt formatCode="General" sourceLinked="1"/>
        <c:tickLblPos val="nextTo"/>
        <c:spPr>
          <a:ln w="3175">
            <a:solidFill>
              <a:srgbClr val="000000"/>
            </a:solidFill>
            <a:prstDash val="solid"/>
          </a:ln>
        </c:spPr>
        <c:txPr>
          <a:bodyPr rot="-4320000" vert="horz"/>
          <a:lstStyle/>
          <a:p>
            <a:pPr>
              <a:defRPr sz="900" b="1" i="0" u="none" strike="noStrike" baseline="0">
                <a:solidFill>
                  <a:srgbClr val="000000"/>
                </a:solidFill>
                <a:latin typeface="Arial"/>
                <a:ea typeface="Arial"/>
                <a:cs typeface="Arial"/>
              </a:defRPr>
            </a:pPr>
            <a:endParaRPr lang="en-US"/>
          </a:p>
        </c:txPr>
        <c:crossAx val="114152960"/>
        <c:crosses val="autoZero"/>
        <c:auto val="1"/>
        <c:lblAlgn val="ctr"/>
        <c:lblOffset val="100"/>
        <c:tickLblSkip val="1"/>
        <c:tickMarkSkip val="1"/>
      </c:catAx>
      <c:valAx>
        <c:axId val="114152960"/>
        <c:scaling>
          <c:orientation val="minMax"/>
        </c:scaling>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Weekday Vehicle Entries</a:t>
                </a:r>
              </a:p>
            </c:rich>
          </c:tx>
          <c:layout>
            <c:manualLayout>
              <c:xMode val="edge"/>
              <c:yMode val="edge"/>
              <c:x val="3.9243641056495845E-2"/>
              <c:y val="0.32660749467387407"/>
            </c:manualLayout>
          </c:layout>
          <c:spPr>
            <a:noFill/>
            <a:ln w="25400">
              <a:noFill/>
            </a:ln>
          </c:spPr>
        </c:title>
        <c:numFmt formatCode="#,##0" sourceLinked="0"/>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14151424"/>
        <c:crosses val="autoZero"/>
        <c:crossBetween val="between"/>
      </c:valAx>
      <c:spPr>
        <a:solidFill>
          <a:srgbClr val="C0C0C0"/>
        </a:solidFill>
        <a:ln w="12700">
          <a:solidFill>
            <a:srgbClr val="808080"/>
          </a:solidFill>
          <a:prstDash val="solid"/>
        </a:ln>
      </c:spPr>
    </c:plotArea>
    <c:legend>
      <c:legendPos val="r"/>
      <c:layout>
        <c:manualLayout>
          <c:xMode val="edge"/>
          <c:yMode val="edge"/>
          <c:x val="0.81596096999500956"/>
          <c:y val="0.15365270180922044"/>
          <c:w val="0.14983720058250813"/>
          <c:h val="0.25188942985182045"/>
        </c:manualLayout>
      </c:layou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50" b="1" i="0" u="none" strike="noStrike" baseline="0">
                <a:solidFill>
                  <a:srgbClr val="000000"/>
                </a:solidFill>
                <a:latin typeface="Arial"/>
                <a:ea typeface="Arial"/>
                <a:cs typeface="Arial"/>
              </a:defRPr>
            </a:pPr>
            <a:r>
              <a:rPr lang="en-US"/>
              <a:t>Delta (from prior # cordon entries)</a:t>
            </a:r>
          </a:p>
        </c:rich>
      </c:tx>
      <c:layout>
        <c:manualLayout>
          <c:xMode val="edge"/>
          <c:yMode val="edge"/>
          <c:x val="0.15272739914135103"/>
          <c:y val="5.6577816661806155E-2"/>
        </c:manualLayout>
      </c:layout>
      <c:spPr>
        <a:noFill/>
        <a:ln w="25400">
          <a:noFill/>
        </a:ln>
      </c:spPr>
    </c:title>
    <c:plotArea>
      <c:layout>
        <c:manualLayout>
          <c:layoutTarget val="inner"/>
          <c:xMode val="edge"/>
          <c:yMode val="edge"/>
          <c:x val="5.4545454545454515E-2"/>
          <c:y val="0.31117633855346138"/>
          <c:w val="0.89454545454545464"/>
          <c:h val="0.58699172954400269"/>
        </c:manualLayout>
      </c:layout>
      <c:barChart>
        <c:barDir val="col"/>
        <c:grouping val="clustered"/>
        <c:ser>
          <c:idx val="0"/>
          <c:order val="0"/>
          <c:spPr>
            <a:solidFill>
              <a:srgbClr val="9999FF"/>
            </a:solidFill>
            <a:ln w="12700">
              <a:solidFill>
                <a:srgbClr val="000000"/>
              </a:solidFill>
              <a:prstDash val="solid"/>
            </a:ln>
          </c:spPr>
          <c:val>
            <c:numRef>
              <c:f>'Motor Vs Weekends'!$L$934:$L$943</c:f>
              <c:numCache>
                <c:formatCode>#,##0</c:formatCode>
                <c:ptCount val="10"/>
                <c:pt idx="0">
                  <c:v>-109933.95506877371</c:v>
                </c:pt>
                <c:pt idx="1">
                  <c:v>49703.469210135052</c:v>
                </c:pt>
                <c:pt idx="2">
                  <c:v>-33687.732361539209</c:v>
                </c:pt>
                <c:pt idx="3">
                  <c:v>19100.105685397459</c:v>
                </c:pt>
                <c:pt idx="4">
                  <c:v>-10665.405325102562</c:v>
                </c:pt>
                <c:pt idx="5">
                  <c:v>511.07182345126057</c:v>
                </c:pt>
                <c:pt idx="6">
                  <c:v>-218.64497290027793</c:v>
                </c:pt>
                <c:pt idx="7">
                  <c:v>-43.775637824612204</c:v>
                </c:pt>
                <c:pt idx="8">
                  <c:v>84.153836582961958</c:v>
                </c:pt>
                <c:pt idx="9">
                  <c:v>-121.38259550515795</c:v>
                </c:pt>
              </c:numCache>
            </c:numRef>
          </c:val>
        </c:ser>
        <c:axId val="121882880"/>
        <c:axId val="121888768"/>
      </c:barChart>
      <c:catAx>
        <c:axId val="121882880"/>
        <c:scaling>
          <c:orientation val="minMax"/>
        </c:scaling>
        <c:axPos val="b"/>
        <c:numFmt formatCode="General" sourceLinked="1"/>
        <c:tickLblPos val="nextTo"/>
        <c:spPr>
          <a:ln w="3175">
            <a:solidFill>
              <a:srgbClr val="000000"/>
            </a:solidFill>
            <a:prstDash val="solid"/>
          </a:ln>
        </c:spPr>
        <c:txPr>
          <a:bodyPr rot="0" vert="horz"/>
          <a:lstStyle/>
          <a:p>
            <a:pPr>
              <a:defRPr sz="400" b="0" i="0" u="none" strike="noStrike" baseline="0">
                <a:solidFill>
                  <a:srgbClr val="000000"/>
                </a:solidFill>
                <a:latin typeface="Arial"/>
                <a:ea typeface="Arial"/>
                <a:cs typeface="Arial"/>
              </a:defRPr>
            </a:pPr>
            <a:endParaRPr lang="en-US"/>
          </a:p>
        </c:txPr>
        <c:crossAx val="121888768"/>
        <c:crosses val="autoZero"/>
        <c:auto val="1"/>
        <c:lblAlgn val="ctr"/>
        <c:lblOffset val="100"/>
        <c:tickLblSkip val="1"/>
        <c:tickMarkSkip val="1"/>
      </c:catAx>
      <c:valAx>
        <c:axId val="121888768"/>
        <c:scaling>
          <c:orientation val="minMax"/>
        </c:scaling>
        <c:delete val="1"/>
        <c:axPos val="l"/>
        <c:majorGridlines>
          <c:spPr>
            <a:ln w="3175">
              <a:solidFill>
                <a:srgbClr val="000000"/>
              </a:solidFill>
              <a:prstDash val="solid"/>
            </a:ln>
          </c:spPr>
        </c:majorGridlines>
        <c:numFmt formatCode="#,##0" sourceLinked="1"/>
        <c:tickLblPos val="none"/>
        <c:crossAx val="121882880"/>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00" b="1" i="0" u="none" strike="noStrike" baseline="0">
                <a:solidFill>
                  <a:srgbClr val="000000"/>
                </a:solidFill>
                <a:latin typeface="Arial"/>
                <a:ea typeface="Arial"/>
                <a:cs typeface="Arial"/>
              </a:defRPr>
            </a:pPr>
            <a:r>
              <a:rPr lang="en-US"/>
              <a:t>Speed Increase due to Toll</a:t>
            </a:r>
          </a:p>
        </c:rich>
      </c:tx>
      <c:layout>
        <c:manualLayout>
          <c:xMode val="edge"/>
          <c:yMode val="edge"/>
          <c:x val="0.33961113217790334"/>
          <c:y val="1.5568380927860861E-2"/>
        </c:manualLayout>
      </c:layout>
      <c:spPr>
        <a:noFill/>
        <a:ln w="25400">
          <a:noFill/>
        </a:ln>
      </c:spPr>
    </c:title>
    <c:plotArea>
      <c:layout>
        <c:manualLayout>
          <c:layoutTarget val="inner"/>
          <c:xMode val="edge"/>
          <c:yMode val="edge"/>
          <c:x val="9.4900915493396298E-2"/>
          <c:y val="7.9019178701861995E-2"/>
          <c:w val="0.88102043935660268"/>
          <c:h val="0.84468777233024883"/>
        </c:manualLayout>
      </c:layout>
      <c:barChart>
        <c:barDir val="col"/>
        <c:grouping val="clustered"/>
        <c:ser>
          <c:idx val="0"/>
          <c:order val="0"/>
          <c:tx>
            <c:v>Cordon</c:v>
          </c:tx>
          <c:spPr>
            <a:solidFill>
              <a:srgbClr val="9999FF"/>
            </a:solidFill>
            <a:ln w="12700">
              <a:solidFill>
                <a:srgbClr val="000000"/>
              </a:solidFill>
              <a:prstDash val="solid"/>
            </a:ln>
          </c:spPr>
          <c:dLbls>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en-US"/>
              </a:p>
            </c:txPr>
            <c:showVal val="1"/>
          </c:dLbls>
          <c:cat>
            <c:strRef>
              <c:f>('Motor Vs Weekends'!$G$881:$L$881,'Motor Vs Weekends'!$G$931)</c:f>
              <c:strCache>
                <c:ptCount val="6"/>
                <c:pt idx="0">
                  <c:v>Midnight-10 am</c:v>
                </c:pt>
                <c:pt idx="1">
                  <c:v>10 am-Noon</c:v>
                </c:pt>
                <c:pt idx="2">
                  <c:v>Noon-5 pm</c:v>
                </c:pt>
                <c:pt idx="3">
                  <c:v>5 pm-8 pm</c:v>
                </c:pt>
                <c:pt idx="4">
                  <c:v>8 pm-10 pm</c:v>
                </c:pt>
                <c:pt idx="5">
                  <c:v>10 pm-Midnight</c:v>
                </c:pt>
              </c:strCache>
            </c:strRef>
          </c:cat>
          <c:val>
            <c:numRef>
              <c:f>('Motor Vs Weekends'!$G$921:$L$921,'Motor Vs Weekends'!$G$936)</c:f>
              <c:numCache>
                <c:formatCode>0%</c:formatCode>
                <c:ptCount val="7"/>
                <c:pt idx="0">
                  <c:v>3.0980507371932031E-2</c:v>
                </c:pt>
                <c:pt idx="1">
                  <c:v>9.3828201488022955E-2</c:v>
                </c:pt>
                <c:pt idx="2">
                  <c:v>0.12813936669253345</c:v>
                </c:pt>
                <c:pt idx="3">
                  <c:v>0.13091674586277868</c:v>
                </c:pt>
                <c:pt idx="4">
                  <c:v>0.13360269107512268</c:v>
                </c:pt>
                <c:pt idx="5">
                  <c:v>0.14095691159159141</c:v>
                </c:pt>
              </c:numCache>
            </c:numRef>
          </c:val>
        </c:ser>
        <c:ser>
          <c:idx val="1"/>
          <c:order val="1"/>
          <c:tx>
            <c:v>Non-cordon</c:v>
          </c:tx>
          <c:spPr>
            <a:solidFill>
              <a:srgbClr val="993366"/>
            </a:solidFill>
            <a:ln w="12700">
              <a:solidFill>
                <a:srgbClr val="000000"/>
              </a:solidFill>
              <a:prstDash val="solid"/>
            </a:ln>
          </c:spPr>
          <c:cat>
            <c:strRef>
              <c:f>('Motor Vs Weekends'!$G$881:$L$881,'Motor Vs Weekends'!$G$931)</c:f>
              <c:strCache>
                <c:ptCount val="6"/>
                <c:pt idx="0">
                  <c:v>Midnight-10 am</c:v>
                </c:pt>
                <c:pt idx="1">
                  <c:v>10 am-Noon</c:v>
                </c:pt>
                <c:pt idx="2">
                  <c:v>Noon-5 pm</c:v>
                </c:pt>
                <c:pt idx="3">
                  <c:v>5 pm-8 pm</c:v>
                </c:pt>
                <c:pt idx="4">
                  <c:v>8 pm-10 pm</c:v>
                </c:pt>
                <c:pt idx="5">
                  <c:v>10 pm-Midnight</c:v>
                </c:pt>
              </c:strCache>
            </c:strRef>
          </c:cat>
          <c:val>
            <c:numRef>
              <c:f>('Motor Vs'!$G$924:$M$924,'Motor Vs'!$G$941)</c:f>
              <c:numCache>
                <c:formatCode>0%</c:formatCode>
                <c:ptCount val="8"/>
                <c:pt idx="0">
                  <c:v>-1.1227770316135643E-4</c:v>
                </c:pt>
                <c:pt idx="1">
                  <c:v>7.6516396041002244E-2</c:v>
                </c:pt>
                <c:pt idx="2">
                  <c:v>6.9894130301266788E-2</c:v>
                </c:pt>
                <c:pt idx="3">
                  <c:v>6.6568392732790693E-2</c:v>
                </c:pt>
                <c:pt idx="4">
                  <c:v>5.0719186885740619E-2</c:v>
                </c:pt>
                <c:pt idx="5">
                  <c:v>6.2784952081883949E-2</c:v>
                </c:pt>
                <c:pt idx="6">
                  <c:v>6.288157103835279E-2</c:v>
                </c:pt>
                <c:pt idx="7">
                  <c:v>0.06</c:v>
                </c:pt>
              </c:numCache>
            </c:numRef>
          </c:val>
        </c:ser>
        <c:axId val="122060160"/>
        <c:axId val="123421824"/>
      </c:barChart>
      <c:catAx>
        <c:axId val="122060160"/>
        <c:scaling>
          <c:orientation val="minMax"/>
        </c:scaling>
        <c:axPos val="b"/>
        <c:numFmt formatCode="General"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23421824"/>
        <c:crosses val="autoZero"/>
        <c:auto val="1"/>
        <c:lblAlgn val="ctr"/>
        <c:lblOffset val="100"/>
        <c:tickLblSkip val="1"/>
        <c:tickMarkSkip val="1"/>
      </c:catAx>
      <c:valAx>
        <c:axId val="123421824"/>
        <c:scaling>
          <c:orientation val="minMax"/>
        </c:scaling>
        <c:axPos val="l"/>
        <c:majorGridlines>
          <c:spPr>
            <a:ln w="3175">
              <a:solidFill>
                <a:srgbClr val="C0C0C0"/>
              </a:solidFill>
              <a:prstDash val="solid"/>
            </a:ln>
          </c:spPr>
        </c:majorGridlines>
        <c:numFmt formatCode="0%" sourceLinked="1"/>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22060160"/>
        <c:crosses val="autoZero"/>
        <c:crossBetween val="between"/>
      </c:valAx>
      <c:spPr>
        <a:solidFill>
          <a:srgbClr val="FFFFFF"/>
        </a:solidFill>
        <a:ln w="12700">
          <a:solidFill>
            <a:srgbClr val="808080"/>
          </a:solidFill>
          <a:prstDash val="solid"/>
        </a:ln>
      </c:spPr>
    </c:plotArea>
    <c:legend>
      <c:legendPos val="r"/>
      <c:layout>
        <c:manualLayout>
          <c:xMode val="edge"/>
          <c:yMode val="edge"/>
          <c:x val="0.10056657223796329"/>
          <c:y val="3.2697547683927991E-2"/>
          <c:w val="0.16430609771512344"/>
          <c:h val="0.11171690732119002"/>
        </c:manualLayout>
      </c:layout>
      <c:spPr>
        <a:solidFill>
          <a:srgbClr val="FFFFFF"/>
        </a:solidFill>
        <a:ln w="3175">
          <a:solidFill>
            <a:srgbClr val="000000"/>
          </a:solidFill>
          <a:prstDash val="solid"/>
        </a:ln>
      </c:spPr>
      <c:txPr>
        <a:bodyPr/>
        <a:lstStyle/>
        <a:p>
          <a:pPr>
            <a:defRPr sz="7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00" b="1" i="0" u="none" strike="noStrike" baseline="0">
                <a:solidFill>
                  <a:srgbClr val="000000"/>
                </a:solidFill>
                <a:latin typeface="Arial"/>
                <a:ea typeface="Arial"/>
                <a:cs typeface="Arial"/>
              </a:defRPr>
            </a:pPr>
            <a:r>
              <a:rPr lang="en-US"/>
              <a:t>Time Saved - motor-vehicle hours (per day, within cordon)</a:t>
            </a:r>
          </a:p>
        </c:rich>
      </c:tx>
      <c:layout>
        <c:manualLayout>
          <c:xMode val="edge"/>
          <c:yMode val="edge"/>
          <c:x val="0.14117300060109839"/>
          <c:y val="3.2000173532027616E-2"/>
        </c:manualLayout>
      </c:layout>
      <c:spPr>
        <a:noFill/>
        <a:ln w="25400">
          <a:noFill/>
        </a:ln>
      </c:spPr>
    </c:title>
    <c:plotArea>
      <c:layout>
        <c:manualLayout>
          <c:layoutTarget val="inner"/>
          <c:xMode val="edge"/>
          <c:yMode val="edge"/>
          <c:x val="0.13798018118512936"/>
          <c:y val="0.13223176069580939"/>
          <c:w val="0.83783841977356532"/>
          <c:h val="0.71074571374002415"/>
        </c:manualLayout>
      </c:layout>
      <c:barChart>
        <c:barDir val="col"/>
        <c:grouping val="clustered"/>
        <c:ser>
          <c:idx val="0"/>
          <c:order val="0"/>
          <c:tx>
            <c:v>Cordon</c:v>
          </c:tx>
          <c:spPr>
            <a:solidFill>
              <a:srgbClr val="9999FF"/>
            </a:solidFill>
            <a:ln w="12700">
              <a:solidFill>
                <a:srgbClr val="000000"/>
              </a:solidFill>
              <a:prstDash val="solid"/>
            </a:ln>
          </c:spPr>
          <c:dPt>
            <c:idx val="7"/>
            <c:spPr>
              <a:solidFill>
                <a:srgbClr val="000080"/>
              </a:solidFill>
              <a:ln w="12700">
                <a:solidFill>
                  <a:srgbClr val="000000"/>
                </a:solidFill>
                <a:prstDash val="solid"/>
              </a:ln>
            </c:spPr>
          </c:dPt>
          <c:dLbls>
            <c:spPr>
              <a:solidFill>
                <a:srgbClr val="FFFFFF"/>
              </a:solidFill>
              <a:ln w="25400">
                <a:noFill/>
              </a:ln>
            </c:spPr>
            <c:txPr>
              <a:bodyPr/>
              <a:lstStyle/>
              <a:p>
                <a:pPr>
                  <a:defRPr sz="925" b="1" i="0" u="none" strike="noStrike" baseline="0">
                    <a:solidFill>
                      <a:srgbClr val="000000"/>
                    </a:solidFill>
                    <a:latin typeface="Arial"/>
                    <a:ea typeface="Arial"/>
                    <a:cs typeface="Arial"/>
                  </a:defRPr>
                </a:pPr>
                <a:endParaRPr lang="en-US"/>
              </a:p>
            </c:txPr>
            <c:showVal val="1"/>
          </c:dLbls>
          <c:cat>
            <c:strRef>
              <c:f>'Motor Vs Weekends'!$G$881:$N$881</c:f>
              <c:strCache>
                <c:ptCount val="8"/>
                <c:pt idx="0">
                  <c:v>Midnight-10 am</c:v>
                </c:pt>
                <c:pt idx="1">
                  <c:v>10 am-Noon</c:v>
                </c:pt>
                <c:pt idx="2">
                  <c:v>Noon-5 pm</c:v>
                </c:pt>
                <c:pt idx="3">
                  <c:v>5 pm-8 pm</c:v>
                </c:pt>
                <c:pt idx="4">
                  <c:v>8 pm-10 pm</c:v>
                </c:pt>
                <c:pt idx="5">
                  <c:v>10 pm-Midnight</c:v>
                </c:pt>
                <c:pt idx="7">
                  <c:v>Total</c:v>
                </c:pt>
              </c:strCache>
            </c:strRef>
          </c:cat>
          <c:val>
            <c:numRef>
              <c:f>'Motor Vs Weekends'!$G$963:$N$963</c:f>
              <c:numCache>
                <c:formatCode>_(* #,##0_);_(* \(#,##0\);_(* "-"??_);_(@_)</c:formatCode>
                <c:ptCount val="8"/>
                <c:pt idx="0">
                  <c:v>1372.6626244656945</c:v>
                </c:pt>
                <c:pt idx="1">
                  <c:v>1523.6002932642732</c:v>
                </c:pt>
                <c:pt idx="2">
                  <c:v>7929.9405596410725</c:v>
                </c:pt>
                <c:pt idx="3">
                  <c:v>5914.5755140519905</c:v>
                </c:pt>
                <c:pt idx="4">
                  <c:v>2872.7076888638003</c:v>
                </c:pt>
                <c:pt idx="5">
                  <c:v>2221.6851491869056</c:v>
                </c:pt>
                <c:pt idx="7">
                  <c:v>21835.171829473737</c:v>
                </c:pt>
              </c:numCache>
            </c:numRef>
          </c:val>
        </c:ser>
        <c:axId val="122041856"/>
        <c:axId val="122043392"/>
      </c:barChart>
      <c:catAx>
        <c:axId val="122041856"/>
        <c:scaling>
          <c:orientation val="minMax"/>
        </c:scaling>
        <c:axPos val="b"/>
        <c:numFmt formatCode="General"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22043392"/>
        <c:crosses val="autoZero"/>
        <c:auto val="1"/>
        <c:lblAlgn val="ctr"/>
        <c:lblOffset val="100"/>
        <c:tickLblSkip val="1"/>
        <c:tickMarkSkip val="1"/>
      </c:catAx>
      <c:valAx>
        <c:axId val="122043392"/>
        <c:scaling>
          <c:orientation val="minMax"/>
        </c:scaling>
        <c:axPos val="l"/>
        <c:majorGridlines>
          <c:spPr>
            <a:ln w="3175">
              <a:solidFill>
                <a:srgbClr val="C0C0C0"/>
              </a:solidFill>
              <a:prstDash val="solid"/>
            </a:ln>
          </c:spPr>
        </c:majorGridlines>
        <c:numFmt formatCode="_(* #,##0_);_(* \(#,##0\);_(* &quot;-&quot;??_);_(@_)" sourceLinked="1"/>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2204185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User-Selected Pricing Plan, with</a:t>
            </a:r>
            <a:r>
              <a:rPr lang="en-US" baseline="0"/>
              <a:t> Taxi Surcharge &amp; OBTR*</a:t>
            </a:r>
            <a:endParaRPr lang="en-US"/>
          </a:p>
        </c:rich>
      </c:tx>
      <c:layout>
        <c:manualLayout>
          <c:xMode val="edge"/>
          <c:yMode val="edge"/>
          <c:x val="6.082755040235354E-2"/>
          <c:y val="3.9629580200779994E-2"/>
        </c:manualLayout>
      </c:layout>
      <c:spPr>
        <a:noFill/>
        <a:ln w="25400">
          <a:noFill/>
        </a:ln>
      </c:spPr>
    </c:title>
    <c:plotArea>
      <c:layout>
        <c:manualLayout>
          <c:layoutTarget val="inner"/>
          <c:xMode val="edge"/>
          <c:yMode val="edge"/>
          <c:x val="0.17017573015304638"/>
          <c:y val="0.16581632653061223"/>
          <c:w val="0.45438674339837315"/>
          <c:h val="0.6607142857142857"/>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dPt>
          <c:dPt>
            <c:idx val="2"/>
            <c:explosion val="7"/>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Pt>
            <c:idx val="4"/>
            <c:spPr>
              <a:solidFill>
                <a:srgbClr val="660066"/>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Pt>
            <c:idx val="7"/>
            <c:spPr>
              <a:solidFill>
                <a:srgbClr val="CCCCFF"/>
              </a:solidFill>
              <a:ln w="12700">
                <a:solidFill>
                  <a:srgbClr val="000000"/>
                </a:solidFill>
                <a:prstDash val="solid"/>
              </a:ln>
            </c:spPr>
          </c:dPt>
          <c:dPt>
            <c:idx val="8"/>
            <c:spPr>
              <a:solidFill>
                <a:srgbClr val="000080"/>
              </a:solidFill>
              <a:ln w="12700">
                <a:solidFill>
                  <a:srgbClr val="000000"/>
                </a:solidFill>
                <a:prstDash val="solid"/>
              </a:ln>
            </c:spPr>
          </c:dPt>
          <c:dPt>
            <c:idx val="9"/>
            <c:spPr>
              <a:solidFill>
                <a:srgbClr val="FF00FF"/>
              </a:solidFill>
              <a:ln w="12700">
                <a:solidFill>
                  <a:srgbClr val="000000"/>
                </a:solidFill>
                <a:prstDash val="solid"/>
              </a:ln>
            </c:spPr>
          </c:dPt>
          <c:dPt>
            <c:idx val="10"/>
            <c:spPr>
              <a:solidFill>
                <a:srgbClr val="FFFF00"/>
              </a:solidFill>
              <a:ln w="12700">
                <a:solidFill>
                  <a:srgbClr val="000000"/>
                </a:solidFill>
                <a:prstDash val="solid"/>
              </a:ln>
            </c:spPr>
          </c:dPt>
          <c:dPt>
            <c:idx val="11"/>
            <c:spPr>
              <a:solidFill>
                <a:srgbClr val="00FFFF"/>
              </a:solidFill>
              <a:ln w="12700">
                <a:solidFill>
                  <a:srgbClr val="000000"/>
                </a:solidFill>
                <a:prstDash val="solid"/>
              </a:ln>
            </c:spPr>
          </c:dPt>
          <c:dPt>
            <c:idx val="12"/>
            <c:spPr>
              <a:solidFill>
                <a:srgbClr val="800080"/>
              </a:solidFill>
              <a:ln w="12700">
                <a:solidFill>
                  <a:srgbClr val="000000"/>
                </a:solidFill>
                <a:prstDash val="solid"/>
              </a:ln>
            </c:spPr>
          </c:dPt>
          <c:dPt>
            <c:idx val="13"/>
            <c:spPr>
              <a:solidFill>
                <a:srgbClr val="800000"/>
              </a:solidFill>
              <a:ln w="12700">
                <a:solidFill>
                  <a:srgbClr val="000000"/>
                </a:solidFill>
                <a:prstDash val="solid"/>
              </a:ln>
            </c:spPr>
          </c:dPt>
          <c:dPt>
            <c:idx val="14"/>
            <c:spPr>
              <a:solidFill>
                <a:srgbClr val="008080"/>
              </a:solidFill>
              <a:ln w="12700">
                <a:solidFill>
                  <a:srgbClr val="000000"/>
                </a:solidFill>
                <a:prstDash val="solid"/>
              </a:ln>
            </c:spPr>
          </c:dPt>
          <c:dLbls>
            <c:dLbl>
              <c:idx val="11"/>
              <c:layout>
                <c:manualLayout>
                  <c:x val="-5.1096827592287224E-2"/>
                  <c:y val="-8.3633006720910726E-3"/>
                </c:manualLayout>
              </c:layout>
              <c:dLblPos val="bestFit"/>
              <c:showCatName val="1"/>
            </c:dLbl>
            <c:spPr>
              <a:noFill/>
              <a:ln w="25400">
                <a:noFill/>
              </a:ln>
            </c:spPr>
            <c:txPr>
              <a:bodyPr/>
              <a:lstStyle/>
              <a:p>
                <a:pPr>
                  <a:defRPr sz="800" b="0" i="0" u="none" strike="noStrike" baseline="0">
                    <a:solidFill>
                      <a:srgbClr val="000000"/>
                    </a:solidFill>
                    <a:latin typeface="Arial"/>
                    <a:ea typeface="Arial"/>
                    <a:cs typeface="Arial"/>
                  </a:defRPr>
                </a:pPr>
                <a:endParaRPr lang="en-US"/>
              </a:p>
            </c:txPr>
            <c:showCatName val="1"/>
            <c:showLeaderLines val="1"/>
          </c:dLbls>
          <c:cat>
            <c:strRef>
              <c:f>Incidence!$G$277:$W$277</c:f>
              <c:strCache>
                <c:ptCount val="15"/>
                <c:pt idx="0">
                  <c:v>Bronx</c:v>
                </c:pt>
                <c:pt idx="1">
                  <c:v>Brooklyn</c:v>
                </c:pt>
                <c:pt idx="2">
                  <c:v>Manhattan</c:v>
                </c:pt>
                <c:pt idx="3">
                  <c:v>Queens</c:v>
                </c:pt>
                <c:pt idx="4">
                  <c:v>S.I.</c:v>
                </c:pt>
                <c:pt idx="5">
                  <c:v>Nassau</c:v>
                </c:pt>
                <c:pt idx="6">
                  <c:v>Suffolk</c:v>
                </c:pt>
                <c:pt idx="7">
                  <c:v>Westchester</c:v>
                </c:pt>
                <c:pt idx="8">
                  <c:v>Rockland</c:v>
                </c:pt>
                <c:pt idx="9">
                  <c:v>Putnam</c:v>
                </c:pt>
                <c:pt idx="10">
                  <c:v>Dutchess</c:v>
                </c:pt>
                <c:pt idx="11">
                  <c:v>Orange</c:v>
                </c:pt>
                <c:pt idx="12">
                  <c:v>NJ</c:v>
                </c:pt>
                <c:pt idx="13">
                  <c:v>CT</c:v>
                </c:pt>
                <c:pt idx="14">
                  <c:v>Other</c:v>
                </c:pt>
              </c:strCache>
            </c:strRef>
          </c:cat>
          <c:val>
            <c:numRef>
              <c:f>Incidence!$G$305:$W$305</c:f>
              <c:numCache>
                <c:formatCode>0.0%</c:formatCode>
                <c:ptCount val="15"/>
                <c:pt idx="0">
                  <c:v>7.5999999999999998E-2</c:v>
                </c:pt>
                <c:pt idx="1">
                  <c:v>0.14000000000000001</c:v>
                </c:pt>
                <c:pt idx="2">
                  <c:v>0.14699999999999999</c:v>
                </c:pt>
                <c:pt idx="3">
                  <c:v>0.184</c:v>
                </c:pt>
                <c:pt idx="4">
                  <c:v>3.4000000000000002E-2</c:v>
                </c:pt>
                <c:pt idx="5">
                  <c:v>5.2999999999999999E-2</c:v>
                </c:pt>
                <c:pt idx="6">
                  <c:v>2.7999999999999997E-2</c:v>
                </c:pt>
                <c:pt idx="7">
                  <c:v>0.05</c:v>
                </c:pt>
                <c:pt idx="8">
                  <c:v>2.1000000000000001E-2</c:v>
                </c:pt>
                <c:pt idx="9">
                  <c:v>3.0000000000000001E-3</c:v>
                </c:pt>
                <c:pt idx="10">
                  <c:v>6.0000000000000001E-3</c:v>
                </c:pt>
                <c:pt idx="11">
                  <c:v>6.9999999999999993E-3</c:v>
                </c:pt>
                <c:pt idx="12">
                  <c:v>7.400000000000001E-2</c:v>
                </c:pt>
                <c:pt idx="13">
                  <c:v>2.2000000000000002E-2</c:v>
                </c:pt>
                <c:pt idx="14">
                  <c:v>1.7000000000000001E-2</c:v>
                </c:pt>
              </c:numCache>
            </c:numRef>
          </c:val>
        </c:ser>
        <c:firstSliceAng val="0"/>
      </c:pieChart>
      <c:spPr>
        <a:noFill/>
        <a:ln w="25400">
          <a:noFill/>
        </a:ln>
      </c:spPr>
    </c:plotArea>
    <c:legend>
      <c:legendPos val="r"/>
      <c:layout>
        <c:manualLayout>
          <c:xMode val="edge"/>
          <c:yMode val="edge"/>
          <c:x val="0.82456287700879494"/>
          <c:y val="8.9285714285713982E-2"/>
          <c:w val="0.15964930699453095"/>
          <c:h val="0.8290816326531506"/>
        </c:manualLayout>
      </c:layou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sz="1100"/>
              <a:t>User-Selected Pricing Plan, w/o Taxi Surcharge, w/o OBTR* </a:t>
            </a:r>
          </a:p>
        </c:rich>
      </c:tx>
      <c:layout>
        <c:manualLayout>
          <c:xMode val="edge"/>
          <c:yMode val="edge"/>
          <c:x val="7.4508804750470017E-2"/>
          <c:y val="3.9562971879566949E-2"/>
        </c:manualLayout>
      </c:layout>
      <c:spPr>
        <a:noFill/>
        <a:ln w="25400">
          <a:noFill/>
        </a:ln>
      </c:spPr>
    </c:title>
    <c:plotArea>
      <c:layout>
        <c:manualLayout>
          <c:layoutTarget val="inner"/>
          <c:xMode val="edge"/>
          <c:yMode val="edge"/>
          <c:x val="0.18894863550831287"/>
          <c:y val="0.13417721518987338"/>
          <c:w val="0.48663186314871482"/>
          <c:h val="0.69113924050632913"/>
        </c:manualLayout>
      </c:layout>
      <c:pie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dPt>
          <c:dPt>
            <c:idx val="2"/>
            <c:explosion val="7"/>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Pt>
            <c:idx val="4"/>
            <c:spPr>
              <a:solidFill>
                <a:srgbClr val="660066"/>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Pt>
            <c:idx val="7"/>
            <c:spPr>
              <a:solidFill>
                <a:srgbClr val="CCCCFF"/>
              </a:solidFill>
              <a:ln w="12700">
                <a:solidFill>
                  <a:srgbClr val="000000"/>
                </a:solidFill>
                <a:prstDash val="solid"/>
              </a:ln>
            </c:spPr>
          </c:dPt>
          <c:dPt>
            <c:idx val="8"/>
            <c:spPr>
              <a:solidFill>
                <a:srgbClr val="000080"/>
              </a:solidFill>
              <a:ln w="12700">
                <a:solidFill>
                  <a:srgbClr val="000000"/>
                </a:solidFill>
                <a:prstDash val="solid"/>
              </a:ln>
            </c:spPr>
          </c:dPt>
          <c:dPt>
            <c:idx val="9"/>
            <c:spPr>
              <a:solidFill>
                <a:srgbClr val="FF00FF"/>
              </a:solidFill>
              <a:ln w="12700">
                <a:solidFill>
                  <a:srgbClr val="000000"/>
                </a:solidFill>
                <a:prstDash val="solid"/>
              </a:ln>
            </c:spPr>
          </c:dPt>
          <c:dPt>
            <c:idx val="10"/>
            <c:spPr>
              <a:solidFill>
                <a:srgbClr val="FFFF00"/>
              </a:solidFill>
              <a:ln w="12700">
                <a:solidFill>
                  <a:srgbClr val="000000"/>
                </a:solidFill>
                <a:prstDash val="solid"/>
              </a:ln>
            </c:spPr>
          </c:dPt>
          <c:dPt>
            <c:idx val="11"/>
            <c:spPr>
              <a:solidFill>
                <a:srgbClr val="00FFFF"/>
              </a:solidFill>
              <a:ln w="12700">
                <a:solidFill>
                  <a:srgbClr val="000000"/>
                </a:solidFill>
                <a:prstDash val="solid"/>
              </a:ln>
            </c:spPr>
          </c:dPt>
          <c:dPt>
            <c:idx val="12"/>
            <c:spPr>
              <a:solidFill>
                <a:srgbClr val="800080"/>
              </a:solidFill>
              <a:ln w="12700">
                <a:solidFill>
                  <a:srgbClr val="000000"/>
                </a:solidFill>
                <a:prstDash val="solid"/>
              </a:ln>
            </c:spPr>
          </c:dPt>
          <c:dPt>
            <c:idx val="13"/>
            <c:spPr>
              <a:solidFill>
                <a:srgbClr val="800000"/>
              </a:solidFill>
              <a:ln w="12700">
                <a:solidFill>
                  <a:srgbClr val="000000"/>
                </a:solidFill>
                <a:prstDash val="solid"/>
              </a:ln>
            </c:spPr>
          </c:dPt>
          <c:dPt>
            <c:idx val="14"/>
            <c:spPr>
              <a:solidFill>
                <a:srgbClr val="008080"/>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CatName val="1"/>
            <c:showLeaderLines val="1"/>
          </c:dLbls>
          <c:cat>
            <c:strRef>
              <c:f>Incidence!$G$225:$W$225</c:f>
              <c:strCache>
                <c:ptCount val="15"/>
                <c:pt idx="0">
                  <c:v>Bronx</c:v>
                </c:pt>
                <c:pt idx="1">
                  <c:v>Brooklyn</c:v>
                </c:pt>
                <c:pt idx="2">
                  <c:v>Manhattan</c:v>
                </c:pt>
                <c:pt idx="3">
                  <c:v>Queens</c:v>
                </c:pt>
                <c:pt idx="4">
                  <c:v>S.I.</c:v>
                </c:pt>
                <c:pt idx="5">
                  <c:v>Nassau</c:v>
                </c:pt>
                <c:pt idx="6">
                  <c:v>Suffolk</c:v>
                </c:pt>
                <c:pt idx="7">
                  <c:v>Westchester</c:v>
                </c:pt>
                <c:pt idx="8">
                  <c:v>Rockland</c:v>
                </c:pt>
                <c:pt idx="9">
                  <c:v>Putnam</c:v>
                </c:pt>
                <c:pt idx="10">
                  <c:v>Dutchess</c:v>
                </c:pt>
                <c:pt idx="11">
                  <c:v>Orange</c:v>
                </c:pt>
                <c:pt idx="12">
                  <c:v>NJ</c:v>
                </c:pt>
                <c:pt idx="13">
                  <c:v>CT</c:v>
                </c:pt>
                <c:pt idx="14">
                  <c:v>Other</c:v>
                </c:pt>
              </c:strCache>
            </c:strRef>
          </c:cat>
          <c:val>
            <c:numRef>
              <c:f>Incidence!$G$256:$W$256</c:f>
              <c:numCache>
                <c:formatCode>0.0%</c:formatCode>
                <c:ptCount val="15"/>
                <c:pt idx="0">
                  <c:v>0.11229742322943008</c:v>
                </c:pt>
                <c:pt idx="1">
                  <c:v>0.1681994578073906</c:v>
                </c:pt>
                <c:pt idx="2">
                  <c:v>6.0635972751073131E-2</c:v>
                </c:pt>
                <c:pt idx="3">
                  <c:v>0.2347593163526184</c:v>
                </c:pt>
                <c:pt idx="4">
                  <c:v>5.9608198272038247E-2</c:v>
                </c:pt>
                <c:pt idx="5">
                  <c:v>8.7871971001227775E-2</c:v>
                </c:pt>
                <c:pt idx="6">
                  <c:v>4.010882698081368E-2</c:v>
                </c:pt>
                <c:pt idx="7">
                  <c:v>6.6483035155076295E-2</c:v>
                </c:pt>
                <c:pt idx="8">
                  <c:v>2.5064136083340093E-2</c:v>
                </c:pt>
                <c:pt idx="9">
                  <c:v>5.0944002450464855E-3</c:v>
                </c:pt>
                <c:pt idx="10">
                  <c:v>7.4951265674415204E-3</c:v>
                </c:pt>
                <c:pt idx="11">
                  <c:v>7.9712961134511106E-3</c:v>
                </c:pt>
                <c:pt idx="12">
                  <c:v>8.8396884174903975E-2</c:v>
                </c:pt>
                <c:pt idx="13">
                  <c:v>2.4271584262964354E-2</c:v>
                </c:pt>
                <c:pt idx="14">
                  <c:v>1.1742371003184223E-2</c:v>
                </c:pt>
              </c:numCache>
            </c:numRef>
          </c:val>
        </c:ser>
        <c:firstSliceAng val="0"/>
      </c:pieChart>
      <c:spPr>
        <a:noFill/>
        <a:ln w="25400">
          <a:noFill/>
        </a:ln>
      </c:spPr>
    </c:plotArea>
    <c:legend>
      <c:legendPos val="r"/>
      <c:layout>
        <c:manualLayout>
          <c:xMode val="edge"/>
          <c:yMode val="edge"/>
          <c:x val="0.8187774653168356"/>
          <c:y val="0.10379747174460729"/>
          <c:w val="0.17409411323584556"/>
          <c:h val="0.77974690663673385"/>
        </c:manualLayout>
      </c:layout>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Hourly Subway Ridership Entering and Leaving the CBD (Weekdays)</a:t>
            </a:r>
          </a:p>
        </c:rich>
      </c:tx>
      <c:layout>
        <c:manualLayout>
          <c:xMode val="edge"/>
          <c:yMode val="edge"/>
          <c:x val="0.15250183254121286"/>
          <c:y val="3.8719100790367299E-2"/>
        </c:manualLayout>
      </c:layout>
      <c:spPr>
        <a:noFill/>
        <a:ln w="25400">
          <a:noFill/>
        </a:ln>
      </c:spPr>
    </c:title>
    <c:plotArea>
      <c:layout>
        <c:manualLayout>
          <c:layoutTarget val="inner"/>
          <c:xMode val="edge"/>
          <c:yMode val="edge"/>
          <c:x val="0.10047144442237156"/>
          <c:y val="0.10744724154462652"/>
          <c:w val="0.84718514247505894"/>
          <c:h val="0.79761525572015368"/>
        </c:manualLayout>
      </c:layout>
      <c:barChart>
        <c:barDir val="col"/>
        <c:grouping val="stacked"/>
        <c:ser>
          <c:idx val="0"/>
          <c:order val="0"/>
          <c:tx>
            <c:v>Baseline</c:v>
          </c:tx>
          <c:spPr>
            <a:solidFill>
              <a:srgbClr val="9999FF"/>
            </a:solidFill>
            <a:ln w="12700">
              <a:solidFill>
                <a:srgbClr val="000000"/>
              </a:solidFill>
              <a:prstDash val="solid"/>
            </a:ln>
          </c:spPr>
          <c:cat>
            <c:strRef>
              <c:f>Subways!$P$127:$AM$127</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Subways!$P$129:$AM$129</c:f>
              <c:numCache>
                <c:formatCode>#,##0</c:formatCode>
                <c:ptCount val="24"/>
                <c:pt idx="0">
                  <c:v>38517.564949044012</c:v>
                </c:pt>
                <c:pt idx="1">
                  <c:v>17691.773825628516</c:v>
                </c:pt>
                <c:pt idx="2">
                  <c:v>10222.985568350345</c:v>
                </c:pt>
                <c:pt idx="3">
                  <c:v>7195.4786372082581</c:v>
                </c:pt>
                <c:pt idx="4">
                  <c:v>11047.938502458428</c:v>
                </c:pt>
                <c:pt idx="5">
                  <c:v>44175.676973359012</c:v>
                </c:pt>
                <c:pt idx="6">
                  <c:v>147088.80670703726</c:v>
                </c:pt>
                <c:pt idx="7">
                  <c:v>321891.40985211957</c:v>
                </c:pt>
                <c:pt idx="8">
                  <c:v>507282.75114535174</c:v>
                </c:pt>
                <c:pt idx="9">
                  <c:v>331096.51804866543</c:v>
                </c:pt>
                <c:pt idx="10">
                  <c:v>177500.53082849307</c:v>
                </c:pt>
                <c:pt idx="11">
                  <c:v>139611.97993152172</c:v>
                </c:pt>
                <c:pt idx="12">
                  <c:v>139936.53510535473</c:v>
                </c:pt>
                <c:pt idx="13">
                  <c:v>148061.46741375665</c:v>
                </c:pt>
                <c:pt idx="14">
                  <c:v>184154.41429945984</c:v>
                </c:pt>
                <c:pt idx="15">
                  <c:v>238276.75277676029</c:v>
                </c:pt>
                <c:pt idx="16">
                  <c:v>313971.45975877013</c:v>
                </c:pt>
                <c:pt idx="17">
                  <c:v>435552.0384691353</c:v>
                </c:pt>
                <c:pt idx="18">
                  <c:v>359099.70114325511</c:v>
                </c:pt>
                <c:pt idx="19">
                  <c:v>236898.1468990547</c:v>
                </c:pt>
                <c:pt idx="20">
                  <c:v>165084.03459612574</c:v>
                </c:pt>
                <c:pt idx="21">
                  <c:v>120710.40911117196</c:v>
                </c:pt>
                <c:pt idx="22">
                  <c:v>99108.900977852158</c:v>
                </c:pt>
                <c:pt idx="23">
                  <c:v>62656.23040102754</c:v>
                </c:pt>
              </c:numCache>
            </c:numRef>
          </c:val>
        </c:ser>
        <c:ser>
          <c:idx val="1"/>
          <c:order val="1"/>
          <c:tx>
            <c:v>Change</c:v>
          </c:tx>
          <c:spPr>
            <a:solidFill>
              <a:srgbClr val="993366"/>
            </a:solidFill>
            <a:ln w="12700">
              <a:solidFill>
                <a:srgbClr val="000000"/>
              </a:solidFill>
              <a:prstDash val="solid"/>
            </a:ln>
          </c:spPr>
          <c:cat>
            <c:strRef>
              <c:f>Subways!$P$127:$AM$127</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Subways!$P$416:$AM$416</c:f>
              <c:numCache>
                <c:formatCode>_(* #,##0_);_(* \(#,##0\);_(* "-"??_);_(@_)</c:formatCode>
                <c:ptCount val="24"/>
                <c:pt idx="0">
                  <c:v>3727.0833307758585</c:v>
                </c:pt>
                <c:pt idx="1">
                  <c:v>2013.6072653721785</c:v>
                </c:pt>
                <c:pt idx="2">
                  <c:v>1239.0632777221799</c:v>
                </c:pt>
                <c:pt idx="3">
                  <c:v>971.67232898038492</c:v>
                </c:pt>
                <c:pt idx="4">
                  <c:v>1379.6937975881283</c:v>
                </c:pt>
                <c:pt idx="5">
                  <c:v>6846.7530330874943</c:v>
                </c:pt>
                <c:pt idx="6">
                  <c:v>13481.140189643396</c:v>
                </c:pt>
                <c:pt idx="7">
                  <c:v>22534.096397970628</c:v>
                </c:pt>
                <c:pt idx="8">
                  <c:v>30918.365294858057</c:v>
                </c:pt>
                <c:pt idx="9">
                  <c:v>22240.213853259629</c:v>
                </c:pt>
                <c:pt idx="10">
                  <c:v>12925.945814092207</c:v>
                </c:pt>
                <c:pt idx="11">
                  <c:v>10939.921476150776</c:v>
                </c:pt>
                <c:pt idx="12">
                  <c:v>10970.70364152253</c:v>
                </c:pt>
                <c:pt idx="13">
                  <c:v>11689.27403302255</c:v>
                </c:pt>
                <c:pt idx="14">
                  <c:v>14992.203978106176</c:v>
                </c:pt>
                <c:pt idx="15">
                  <c:v>18315.085253410682</c:v>
                </c:pt>
                <c:pt idx="16">
                  <c:v>22507.376678124128</c:v>
                </c:pt>
                <c:pt idx="17">
                  <c:v>28402.590671377722</c:v>
                </c:pt>
                <c:pt idx="18">
                  <c:v>24266.797823802335</c:v>
                </c:pt>
                <c:pt idx="19">
                  <c:v>17725.406159133097</c:v>
                </c:pt>
                <c:pt idx="20">
                  <c:v>13543.99962784088</c:v>
                </c:pt>
                <c:pt idx="21">
                  <c:v>10820.993311701634</c:v>
                </c:pt>
                <c:pt idx="22">
                  <c:v>9392.112060265019</c:v>
                </c:pt>
                <c:pt idx="23">
                  <c:v>5659.6080557321693</c:v>
                </c:pt>
              </c:numCache>
            </c:numRef>
          </c:val>
        </c:ser>
        <c:overlap val="100"/>
        <c:axId val="127505920"/>
        <c:axId val="127507456"/>
      </c:barChart>
      <c:catAx>
        <c:axId val="127505920"/>
        <c:scaling>
          <c:orientation val="minMax"/>
        </c:scaling>
        <c:axPos val="b"/>
        <c:numFmt formatCode="@" sourceLinked="1"/>
        <c:tickLblPos val="nextTo"/>
        <c:spPr>
          <a:ln w="3175">
            <a:solidFill>
              <a:srgbClr val="000000"/>
            </a:solidFill>
            <a:prstDash val="solid"/>
          </a:ln>
        </c:spPr>
        <c:txPr>
          <a:bodyPr rot="-2700000" vert="horz"/>
          <a:lstStyle/>
          <a:p>
            <a:pPr>
              <a:defRPr sz="800" b="1" i="0" u="none" strike="noStrike" baseline="0">
                <a:solidFill>
                  <a:srgbClr val="000000"/>
                </a:solidFill>
                <a:latin typeface="Arial"/>
                <a:ea typeface="Arial"/>
                <a:cs typeface="Arial"/>
              </a:defRPr>
            </a:pPr>
            <a:endParaRPr lang="en-US"/>
          </a:p>
        </c:txPr>
        <c:crossAx val="127507456"/>
        <c:crosses val="autoZero"/>
        <c:auto val="1"/>
        <c:lblAlgn val="ctr"/>
        <c:lblOffset val="100"/>
        <c:tickLblSkip val="1"/>
        <c:tickMarkSkip val="1"/>
      </c:catAx>
      <c:valAx>
        <c:axId val="127507456"/>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505920"/>
        <c:crosses val="autoZero"/>
        <c:crossBetween val="between"/>
      </c:valAx>
      <c:spPr>
        <a:solidFill>
          <a:srgbClr val="C0C0C0"/>
        </a:solidFill>
        <a:ln w="12700">
          <a:solidFill>
            <a:srgbClr val="808080"/>
          </a:solidFill>
          <a:prstDash val="solid"/>
        </a:ln>
      </c:spPr>
    </c:plotArea>
    <c:legend>
      <c:legendPos val="r"/>
      <c:layout>
        <c:manualLayout>
          <c:xMode val="edge"/>
          <c:yMode val="edge"/>
          <c:x val="0.74689348577190551"/>
          <c:y val="0.17117154950225816"/>
          <c:w val="0.13107356495692313"/>
          <c:h val="8.5346619808116989E-2"/>
        </c:manualLayout>
      </c:layou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a:t>% of 24-h inbound trips in each hour</a:t>
            </a:r>
          </a:p>
        </c:rich>
      </c:tx>
      <c:layout>
        <c:manualLayout>
          <c:xMode val="edge"/>
          <c:yMode val="edge"/>
          <c:x val="0.135795113239711"/>
          <c:y val="3.1417980830390629E-2"/>
        </c:manualLayout>
      </c:layout>
      <c:spPr>
        <a:noFill/>
        <a:ln w="25400">
          <a:noFill/>
        </a:ln>
      </c:spPr>
    </c:title>
    <c:plotArea>
      <c:layout>
        <c:manualLayout>
          <c:layoutTarget val="inner"/>
          <c:xMode val="edge"/>
          <c:yMode val="edge"/>
          <c:x val="7.8260869565217397E-2"/>
          <c:y val="0.12389416221354822"/>
          <c:w val="0.89043478260869569"/>
          <c:h val="0.66371872614405214"/>
        </c:manualLayout>
      </c:layout>
      <c:barChart>
        <c:barDir val="col"/>
        <c:grouping val="clustered"/>
        <c:ser>
          <c:idx val="0"/>
          <c:order val="0"/>
          <c:spPr>
            <a:solidFill>
              <a:srgbClr val="9999FF"/>
            </a:solidFill>
            <a:ln w="12700">
              <a:solidFill>
                <a:srgbClr val="000000"/>
              </a:solidFill>
              <a:prstDash val="solid"/>
            </a:ln>
          </c:spPr>
          <c:dPt>
            <c:idx val="0"/>
            <c:spPr>
              <a:solidFill>
                <a:srgbClr val="C0C0C0"/>
              </a:solidFill>
              <a:ln w="12700">
                <a:solidFill>
                  <a:srgbClr val="000000"/>
                </a:solidFill>
                <a:prstDash val="solid"/>
              </a:ln>
            </c:spPr>
          </c:dPt>
          <c:dPt>
            <c:idx val="1"/>
            <c:spPr>
              <a:solidFill>
                <a:srgbClr val="C0C0C0"/>
              </a:solidFill>
              <a:ln w="12700">
                <a:solidFill>
                  <a:srgbClr val="000000"/>
                </a:solidFill>
                <a:prstDash val="solid"/>
              </a:ln>
            </c:spPr>
          </c:dPt>
          <c:dPt>
            <c:idx val="2"/>
            <c:spPr>
              <a:solidFill>
                <a:srgbClr val="C0C0C0"/>
              </a:solidFill>
              <a:ln w="12700">
                <a:solidFill>
                  <a:srgbClr val="000000"/>
                </a:solidFill>
                <a:prstDash val="solid"/>
              </a:ln>
            </c:spPr>
          </c:dPt>
          <c:dPt>
            <c:idx val="3"/>
            <c:spPr>
              <a:solidFill>
                <a:srgbClr val="C0C0C0"/>
              </a:solidFill>
              <a:ln w="12700">
                <a:solidFill>
                  <a:srgbClr val="000000"/>
                </a:solidFill>
                <a:prstDash val="solid"/>
              </a:ln>
            </c:spPr>
          </c:dPt>
          <c:dPt>
            <c:idx val="4"/>
            <c:spPr>
              <a:solidFill>
                <a:srgbClr val="C0C0C0"/>
              </a:solidFill>
              <a:ln w="12700">
                <a:solidFill>
                  <a:srgbClr val="000000"/>
                </a:solidFill>
                <a:prstDash val="solid"/>
              </a:ln>
            </c:spPr>
          </c:dPt>
          <c:dPt>
            <c:idx val="5"/>
            <c:spPr>
              <a:solidFill>
                <a:srgbClr val="00FF00"/>
              </a:solidFill>
              <a:ln w="12700">
                <a:solidFill>
                  <a:srgbClr val="000000"/>
                </a:solidFill>
                <a:prstDash val="solid"/>
              </a:ln>
            </c:spPr>
          </c:dPt>
          <c:dPt>
            <c:idx val="6"/>
            <c:spPr>
              <a:solidFill>
                <a:srgbClr val="00FFFF"/>
              </a:solidFill>
              <a:ln w="12700">
                <a:solidFill>
                  <a:srgbClr val="000000"/>
                </a:solidFill>
                <a:prstDash val="solid"/>
              </a:ln>
            </c:spPr>
          </c:dPt>
          <c:dPt>
            <c:idx val="7"/>
            <c:spPr>
              <a:solidFill>
                <a:srgbClr val="00FFFF"/>
              </a:solidFill>
              <a:ln w="12700">
                <a:solidFill>
                  <a:srgbClr val="000000"/>
                </a:solidFill>
                <a:prstDash val="solid"/>
              </a:ln>
            </c:spPr>
          </c:dPt>
          <c:dPt>
            <c:idx val="8"/>
            <c:spPr>
              <a:solidFill>
                <a:srgbClr val="00FFFF"/>
              </a:solidFill>
              <a:ln w="12700">
                <a:solidFill>
                  <a:srgbClr val="000000"/>
                </a:solidFill>
                <a:prstDash val="solid"/>
              </a:ln>
            </c:spPr>
          </c:dPt>
          <c:dPt>
            <c:idx val="9"/>
            <c:spPr>
              <a:solidFill>
                <a:srgbClr val="FFFF00"/>
              </a:solidFill>
              <a:ln w="12700">
                <a:solidFill>
                  <a:srgbClr val="000000"/>
                </a:solidFill>
                <a:prstDash val="solid"/>
              </a:ln>
            </c:spPr>
          </c:dPt>
          <c:dPt>
            <c:idx val="10"/>
            <c:spPr>
              <a:solidFill>
                <a:srgbClr val="FF6600"/>
              </a:solidFill>
              <a:ln w="12700">
                <a:solidFill>
                  <a:srgbClr val="000000"/>
                </a:solidFill>
                <a:prstDash val="solid"/>
              </a:ln>
            </c:spPr>
          </c:dPt>
          <c:dPt>
            <c:idx val="11"/>
            <c:spPr>
              <a:solidFill>
                <a:srgbClr val="FF6600"/>
              </a:solidFill>
              <a:ln w="12700">
                <a:solidFill>
                  <a:srgbClr val="000000"/>
                </a:solidFill>
                <a:prstDash val="solid"/>
              </a:ln>
            </c:spPr>
          </c:dPt>
          <c:dPt>
            <c:idx val="12"/>
            <c:spPr>
              <a:solidFill>
                <a:srgbClr val="FF6600"/>
              </a:solidFill>
              <a:ln w="12700">
                <a:solidFill>
                  <a:srgbClr val="000000"/>
                </a:solidFill>
                <a:prstDash val="solid"/>
              </a:ln>
            </c:spPr>
          </c:dPt>
          <c:dPt>
            <c:idx val="13"/>
            <c:spPr>
              <a:solidFill>
                <a:srgbClr val="FF6600"/>
              </a:solidFill>
              <a:ln w="12700">
                <a:solidFill>
                  <a:srgbClr val="000000"/>
                </a:solidFill>
                <a:prstDash val="solid"/>
              </a:ln>
            </c:spPr>
          </c:dPt>
          <c:dPt>
            <c:idx val="14"/>
            <c:spPr>
              <a:solidFill>
                <a:srgbClr val="FF99CC"/>
              </a:solidFill>
              <a:ln w="12700">
                <a:solidFill>
                  <a:srgbClr val="000000"/>
                </a:solidFill>
                <a:prstDash val="solid"/>
              </a:ln>
            </c:spPr>
          </c:dPt>
          <c:dPt>
            <c:idx val="15"/>
            <c:spPr>
              <a:solidFill>
                <a:srgbClr val="FF99CC"/>
              </a:solidFill>
              <a:ln w="12700">
                <a:solidFill>
                  <a:srgbClr val="000000"/>
                </a:solidFill>
                <a:prstDash val="solid"/>
              </a:ln>
            </c:spPr>
          </c:dPt>
          <c:dPt>
            <c:idx val="16"/>
            <c:spPr>
              <a:solidFill>
                <a:srgbClr val="FF99CC"/>
              </a:solidFill>
              <a:ln w="12700">
                <a:solidFill>
                  <a:srgbClr val="000000"/>
                </a:solidFill>
                <a:prstDash val="solid"/>
              </a:ln>
            </c:spPr>
          </c:dPt>
          <c:dPt>
            <c:idx val="17"/>
            <c:spPr>
              <a:solidFill>
                <a:srgbClr val="FF99CC"/>
              </a:solidFill>
              <a:ln w="12700">
                <a:solidFill>
                  <a:srgbClr val="000000"/>
                </a:solidFill>
                <a:prstDash val="solid"/>
              </a:ln>
            </c:spPr>
          </c:dPt>
          <c:dPt>
            <c:idx val="18"/>
            <c:spPr>
              <a:solidFill>
                <a:srgbClr val="FF99CC"/>
              </a:solidFill>
              <a:ln w="12700">
                <a:solidFill>
                  <a:srgbClr val="000000"/>
                </a:solidFill>
                <a:prstDash val="solid"/>
              </a:ln>
            </c:spPr>
          </c:dPt>
          <c:dPt>
            <c:idx val="19"/>
            <c:spPr>
              <a:solidFill>
                <a:srgbClr val="FF99CC"/>
              </a:solidFill>
              <a:ln w="12700">
                <a:solidFill>
                  <a:srgbClr val="000000"/>
                </a:solidFill>
                <a:prstDash val="solid"/>
              </a:ln>
            </c:spPr>
          </c:dPt>
          <c:dPt>
            <c:idx val="20"/>
            <c:spPr>
              <a:solidFill>
                <a:srgbClr val="00FF00"/>
              </a:solidFill>
              <a:ln w="12700">
                <a:solidFill>
                  <a:srgbClr val="000000"/>
                </a:solidFill>
                <a:prstDash val="solid"/>
              </a:ln>
            </c:spPr>
          </c:dPt>
          <c:dPt>
            <c:idx val="21"/>
            <c:spPr>
              <a:solidFill>
                <a:srgbClr val="00FF00"/>
              </a:solidFill>
              <a:ln w="12700">
                <a:solidFill>
                  <a:srgbClr val="000000"/>
                </a:solidFill>
                <a:prstDash val="solid"/>
              </a:ln>
            </c:spPr>
          </c:dPt>
          <c:dPt>
            <c:idx val="22"/>
            <c:spPr>
              <a:solidFill>
                <a:srgbClr val="00FF00"/>
              </a:solidFill>
              <a:ln w="12700">
                <a:solidFill>
                  <a:srgbClr val="000000"/>
                </a:solidFill>
                <a:prstDash val="solid"/>
              </a:ln>
            </c:spPr>
          </c:dPt>
          <c:dPt>
            <c:idx val="23"/>
            <c:spPr>
              <a:solidFill>
                <a:srgbClr val="C0C0C0"/>
              </a:solidFill>
              <a:ln w="12700">
                <a:solidFill>
                  <a:srgbClr val="000000"/>
                </a:solidFill>
                <a:prstDash val="solid"/>
              </a:ln>
            </c:spPr>
          </c:dPt>
          <c:cat>
            <c:strRef>
              <c:f>'Weekday Hours'!$B$31:$B$54</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'Weekday Hours'!$D$31:$D$54</c:f>
              <c:numCache>
                <c:formatCode>0.00%</c:formatCode>
                <c:ptCount val="24"/>
                <c:pt idx="0">
                  <c:v>1.7081353030674026E-2</c:v>
                </c:pt>
                <c:pt idx="1">
                  <c:v>1.1079230941483496E-2</c:v>
                </c:pt>
                <c:pt idx="2">
                  <c:v>8.8347135284232298E-3</c:v>
                </c:pt>
                <c:pt idx="3">
                  <c:v>9.4322051101749359E-3</c:v>
                </c:pt>
                <c:pt idx="4">
                  <c:v>1.507646008735306E-2</c:v>
                </c:pt>
                <c:pt idx="5">
                  <c:v>3.5103415224211072E-2</c:v>
                </c:pt>
                <c:pt idx="6">
                  <c:v>6.396613028455668E-2</c:v>
                </c:pt>
                <c:pt idx="7">
                  <c:v>7.1362050599479726E-2</c:v>
                </c:pt>
                <c:pt idx="8">
                  <c:v>6.7166006391381053E-2</c:v>
                </c:pt>
                <c:pt idx="9">
                  <c:v>5.9886235928602372E-2</c:v>
                </c:pt>
                <c:pt idx="10">
                  <c:v>5.1824808352743959E-2</c:v>
                </c:pt>
                <c:pt idx="11">
                  <c:v>4.823776607210499E-2</c:v>
                </c:pt>
                <c:pt idx="12">
                  <c:v>4.6271589746165485E-2</c:v>
                </c:pt>
                <c:pt idx="13">
                  <c:v>4.6795833673411731E-2</c:v>
                </c:pt>
                <c:pt idx="14">
                  <c:v>5.0596340547180908E-2</c:v>
                </c:pt>
                <c:pt idx="15">
                  <c:v>5.2784352626765528E-2</c:v>
                </c:pt>
                <c:pt idx="16">
                  <c:v>5.4173965272240603E-2</c:v>
                </c:pt>
                <c:pt idx="17">
                  <c:v>5.5511258164497493E-2</c:v>
                </c:pt>
                <c:pt idx="18">
                  <c:v>5.2944451071613184E-2</c:v>
                </c:pt>
                <c:pt idx="19">
                  <c:v>4.733577352662343E-2</c:v>
                </c:pt>
                <c:pt idx="20">
                  <c:v>3.9407238123939217E-2</c:v>
                </c:pt>
                <c:pt idx="21">
                  <c:v>3.6000175794370814E-2</c:v>
                </c:pt>
                <c:pt idx="22">
                  <c:v>3.3509755541185064E-2</c:v>
                </c:pt>
                <c:pt idx="23">
                  <c:v>2.5618890360817947E-2</c:v>
                </c:pt>
              </c:numCache>
            </c:numRef>
          </c:val>
        </c:ser>
        <c:gapWidth val="0"/>
        <c:axId val="128613376"/>
        <c:axId val="128615168"/>
      </c:barChart>
      <c:catAx>
        <c:axId val="128613376"/>
        <c:scaling>
          <c:orientation val="minMax"/>
        </c:scaling>
        <c:axPos val="b"/>
        <c:numFmt formatCode="@" sourceLinked="1"/>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28615168"/>
        <c:crosses val="autoZero"/>
        <c:auto val="1"/>
        <c:lblAlgn val="ctr"/>
        <c:lblOffset val="100"/>
        <c:tickLblSkip val="2"/>
        <c:tickMarkSkip val="1"/>
      </c:catAx>
      <c:valAx>
        <c:axId val="128615168"/>
        <c:scaling>
          <c:orientation val="minMax"/>
        </c:scaling>
        <c:axPos val="l"/>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28613376"/>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1200" verticalDpi="1200"/>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PSRC - Traffic Choices Study
Probability of Shifting to a Lower Toll Period</a:t>
            </a:r>
          </a:p>
        </c:rich>
      </c:tx>
      <c:layout>
        <c:manualLayout>
          <c:xMode val="edge"/>
          <c:yMode val="edge"/>
          <c:x val="0.24889619566785978"/>
          <c:y val="3.6900317530238792E-2"/>
        </c:manualLayout>
      </c:layout>
      <c:spPr>
        <a:noFill/>
        <a:ln w="25400">
          <a:noFill/>
        </a:ln>
      </c:spPr>
    </c:title>
    <c:plotArea>
      <c:layout>
        <c:manualLayout>
          <c:layoutTarget val="inner"/>
          <c:xMode val="edge"/>
          <c:yMode val="edge"/>
          <c:x val="0.16849846987050632"/>
          <c:y val="0.23076962475692644"/>
          <c:w val="0.78388418591919951"/>
          <c:h val="0.50349736310601956"/>
        </c:manualLayout>
      </c:layout>
      <c:scatterChart>
        <c:scatterStyle val="smoothMarker"/>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'Weekday Hours'!$B$111:$B$127</c:f>
              <c:numCache>
                <c:formatCode>0.00</c:formatCode>
                <c:ptCount val="17"/>
                <c:pt idx="0">
                  <c:v>0</c:v>
                </c:pt>
                <c:pt idx="1">
                  <c:v>0.25</c:v>
                </c:pt>
                <c:pt idx="2">
                  <c:v>0.5</c:v>
                </c:pt>
                <c:pt idx="3">
                  <c:v>0.75</c:v>
                </c:pt>
                <c:pt idx="4">
                  <c:v>1</c:v>
                </c:pt>
                <c:pt idx="5">
                  <c:v>1.25</c:v>
                </c:pt>
                <c:pt idx="6">
                  <c:v>1.5</c:v>
                </c:pt>
                <c:pt idx="7">
                  <c:v>1.75</c:v>
                </c:pt>
                <c:pt idx="8">
                  <c:v>2</c:v>
                </c:pt>
                <c:pt idx="9">
                  <c:v>2.25</c:v>
                </c:pt>
                <c:pt idx="10">
                  <c:v>2.5</c:v>
                </c:pt>
                <c:pt idx="11">
                  <c:v>2.75</c:v>
                </c:pt>
                <c:pt idx="12">
                  <c:v>3</c:v>
                </c:pt>
                <c:pt idx="13">
                  <c:v>3.25</c:v>
                </c:pt>
                <c:pt idx="14">
                  <c:v>3.5</c:v>
                </c:pt>
                <c:pt idx="15">
                  <c:v>3.75</c:v>
                </c:pt>
                <c:pt idx="16">
                  <c:v>4</c:v>
                </c:pt>
              </c:numCache>
            </c:numRef>
          </c:xVal>
          <c:yVal>
            <c:numRef>
              <c:f>'Weekday Hours'!$C$111:$C$127</c:f>
              <c:numCache>
                <c:formatCode>0.00</c:formatCode>
                <c:ptCount val="17"/>
                <c:pt idx="0">
                  <c:v>0.40781631518767292</c:v>
                </c:pt>
                <c:pt idx="1">
                  <c:v>0.35069173472886578</c:v>
                </c:pt>
                <c:pt idx="2">
                  <c:v>0.2975483166472328</c:v>
                </c:pt>
                <c:pt idx="3">
                  <c:v>0.24936534224156595</c:v>
                </c:pt>
                <c:pt idx="4">
                  <c:v>0.20668901283744179</c:v>
                </c:pt>
                <c:pt idx="5">
                  <c:v>0.16966546900947296</c:v>
                </c:pt>
                <c:pt idx="6">
                  <c:v>0.13811918780994145</c:v>
                </c:pt>
                <c:pt idx="7">
                  <c:v>0.11164968570482654</c:v>
                </c:pt>
                <c:pt idx="8">
                  <c:v>8.9724780673936508E-2</c:v>
                </c:pt>
                <c:pt idx="9">
                  <c:v>7.1757542263751362E-2</c:v>
                </c:pt>
                <c:pt idx="10">
                  <c:v>5.7162276682630894E-2</c:v>
                </c:pt>
                <c:pt idx="11">
                  <c:v>4.5390479387161564E-2</c:v>
                </c:pt>
                <c:pt idx="12">
                  <c:v>3.5950487854562355E-2</c:v>
                </c:pt>
                <c:pt idx="13">
                  <c:v>2.8415319802735414E-2</c:v>
                </c:pt>
                <c:pt idx="14">
                  <c:v>2.2422777365062686E-2</c:v>
                </c:pt>
                <c:pt idx="15">
                  <c:v>1.7671024388489009E-2</c:v>
                </c:pt>
                <c:pt idx="16">
                  <c:v>1.3911915262187715E-2</c:v>
                </c:pt>
              </c:numCache>
            </c:numRef>
          </c:yVal>
          <c:smooth val="1"/>
        </c:ser>
        <c:axId val="128618496"/>
        <c:axId val="128693760"/>
      </c:scatterChart>
      <c:valAx>
        <c:axId val="128618496"/>
        <c:scaling>
          <c:orientation val="minMax"/>
        </c:scaling>
        <c:axPos val="b"/>
        <c:title>
          <c:tx>
            <c:rich>
              <a:bodyPr/>
              <a:lstStyle/>
              <a:p>
                <a:pPr>
                  <a:defRPr sz="900" b="1" i="0" u="none" strike="noStrike" baseline="0">
                    <a:solidFill>
                      <a:srgbClr val="000000"/>
                    </a:solidFill>
                    <a:latin typeface="Arial"/>
                    <a:ea typeface="Arial"/>
                    <a:cs typeface="Arial"/>
                  </a:defRPr>
                </a:pPr>
                <a:r>
                  <a:rPr lang="en-US"/>
                  <a:t>time to lower toll period (hours)</a:t>
                </a:r>
              </a:p>
            </c:rich>
          </c:tx>
          <c:layout>
            <c:manualLayout>
              <c:xMode val="edge"/>
              <c:yMode val="edge"/>
              <c:x val="0.37334429350178538"/>
              <c:y val="0.86347007323390756"/>
            </c:manualLayout>
          </c:layout>
          <c:spPr>
            <a:noFill/>
            <a:ln w="25400">
              <a:noFill/>
            </a:ln>
          </c:spPr>
        </c:title>
        <c:numFmt formatCode="0.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8693760"/>
        <c:crosses val="autoZero"/>
        <c:crossBetween val="midCat"/>
      </c:valAx>
      <c:valAx>
        <c:axId val="128693760"/>
        <c:scaling>
          <c:orientation val="minMax"/>
        </c:scaling>
        <c:axPos val="l"/>
        <c:majorGridlines>
          <c:spPr>
            <a:ln w="3175">
              <a:solidFill>
                <a:srgbClr val="C0C0C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probability of shifting</a:t>
                </a:r>
              </a:p>
            </c:rich>
          </c:tx>
          <c:layout>
            <c:manualLayout>
              <c:xMode val="edge"/>
              <c:yMode val="edge"/>
              <c:x val="3.2115600934498577E-2"/>
              <c:y val="0.32472367527490575"/>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8618496"/>
        <c:crosses val="autoZero"/>
        <c:crossBetween val="midCat"/>
        <c:majorUnit val="0.1"/>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a:t>% of 24-h outbound trips in each hour</a:t>
            </a:r>
          </a:p>
        </c:rich>
      </c:tx>
      <c:layout>
        <c:manualLayout>
          <c:xMode val="edge"/>
          <c:yMode val="edge"/>
          <c:x val="0.135795113239711"/>
          <c:y val="3.1418055983225612E-2"/>
        </c:manualLayout>
      </c:layout>
      <c:spPr>
        <a:noFill/>
        <a:ln w="25400">
          <a:noFill/>
        </a:ln>
      </c:spPr>
    </c:title>
    <c:plotArea>
      <c:layout>
        <c:manualLayout>
          <c:layoutTarget val="inner"/>
          <c:xMode val="edge"/>
          <c:yMode val="edge"/>
          <c:x val="7.8260869565217397E-2"/>
          <c:y val="0.12389416221354822"/>
          <c:w val="0.89043478260869569"/>
          <c:h val="0.66371872614405236"/>
        </c:manualLayout>
      </c:layout>
      <c:barChart>
        <c:barDir val="col"/>
        <c:grouping val="clustered"/>
        <c:ser>
          <c:idx val="0"/>
          <c:order val="0"/>
          <c:spPr>
            <a:solidFill>
              <a:srgbClr val="9999FF"/>
            </a:solidFill>
            <a:ln w="12700">
              <a:solidFill>
                <a:srgbClr val="000000"/>
              </a:solidFill>
              <a:prstDash val="solid"/>
            </a:ln>
          </c:spPr>
          <c:dPt>
            <c:idx val="0"/>
            <c:spPr>
              <a:solidFill>
                <a:srgbClr val="C0C0C0"/>
              </a:solidFill>
              <a:ln w="12700">
                <a:solidFill>
                  <a:srgbClr val="000000"/>
                </a:solidFill>
                <a:prstDash val="solid"/>
              </a:ln>
            </c:spPr>
          </c:dPt>
          <c:dPt>
            <c:idx val="1"/>
            <c:spPr>
              <a:solidFill>
                <a:srgbClr val="C0C0C0"/>
              </a:solidFill>
              <a:ln w="12700">
                <a:solidFill>
                  <a:srgbClr val="000000"/>
                </a:solidFill>
                <a:prstDash val="solid"/>
              </a:ln>
            </c:spPr>
          </c:dPt>
          <c:dPt>
            <c:idx val="2"/>
            <c:spPr>
              <a:solidFill>
                <a:srgbClr val="C0C0C0"/>
              </a:solidFill>
              <a:ln w="12700">
                <a:solidFill>
                  <a:srgbClr val="000000"/>
                </a:solidFill>
                <a:prstDash val="solid"/>
              </a:ln>
            </c:spPr>
          </c:dPt>
          <c:dPt>
            <c:idx val="3"/>
            <c:spPr>
              <a:solidFill>
                <a:srgbClr val="C0C0C0"/>
              </a:solidFill>
              <a:ln w="12700">
                <a:solidFill>
                  <a:srgbClr val="000000"/>
                </a:solidFill>
                <a:prstDash val="solid"/>
              </a:ln>
            </c:spPr>
          </c:dPt>
          <c:dPt>
            <c:idx val="4"/>
            <c:spPr>
              <a:solidFill>
                <a:srgbClr val="C0C0C0"/>
              </a:solidFill>
              <a:ln w="12700">
                <a:solidFill>
                  <a:srgbClr val="000000"/>
                </a:solidFill>
                <a:prstDash val="solid"/>
              </a:ln>
            </c:spPr>
          </c:dPt>
          <c:dPt>
            <c:idx val="5"/>
            <c:spPr>
              <a:solidFill>
                <a:srgbClr val="00FF00"/>
              </a:solidFill>
              <a:ln w="12700">
                <a:solidFill>
                  <a:srgbClr val="000000"/>
                </a:solidFill>
                <a:prstDash val="solid"/>
              </a:ln>
            </c:spPr>
          </c:dPt>
          <c:dPt>
            <c:idx val="6"/>
            <c:spPr>
              <a:solidFill>
                <a:srgbClr val="00FFFF"/>
              </a:solidFill>
              <a:ln w="12700">
                <a:solidFill>
                  <a:srgbClr val="000000"/>
                </a:solidFill>
                <a:prstDash val="solid"/>
              </a:ln>
            </c:spPr>
          </c:dPt>
          <c:dPt>
            <c:idx val="7"/>
            <c:spPr>
              <a:solidFill>
                <a:srgbClr val="00FFFF"/>
              </a:solidFill>
              <a:ln w="12700">
                <a:solidFill>
                  <a:srgbClr val="000000"/>
                </a:solidFill>
                <a:prstDash val="solid"/>
              </a:ln>
            </c:spPr>
          </c:dPt>
          <c:dPt>
            <c:idx val="8"/>
            <c:spPr>
              <a:solidFill>
                <a:srgbClr val="00FFFF"/>
              </a:solidFill>
              <a:ln w="12700">
                <a:solidFill>
                  <a:srgbClr val="000000"/>
                </a:solidFill>
                <a:prstDash val="solid"/>
              </a:ln>
            </c:spPr>
          </c:dPt>
          <c:dPt>
            <c:idx val="9"/>
            <c:spPr>
              <a:solidFill>
                <a:srgbClr val="FFFF00"/>
              </a:solidFill>
              <a:ln w="12700">
                <a:solidFill>
                  <a:srgbClr val="000000"/>
                </a:solidFill>
                <a:prstDash val="solid"/>
              </a:ln>
            </c:spPr>
          </c:dPt>
          <c:dPt>
            <c:idx val="10"/>
            <c:spPr>
              <a:solidFill>
                <a:srgbClr val="FF6600"/>
              </a:solidFill>
              <a:ln w="12700">
                <a:solidFill>
                  <a:srgbClr val="000000"/>
                </a:solidFill>
                <a:prstDash val="solid"/>
              </a:ln>
            </c:spPr>
          </c:dPt>
          <c:dPt>
            <c:idx val="11"/>
            <c:spPr>
              <a:solidFill>
                <a:srgbClr val="FF6600"/>
              </a:solidFill>
              <a:ln w="12700">
                <a:solidFill>
                  <a:srgbClr val="000000"/>
                </a:solidFill>
                <a:prstDash val="solid"/>
              </a:ln>
            </c:spPr>
          </c:dPt>
          <c:dPt>
            <c:idx val="12"/>
            <c:spPr>
              <a:solidFill>
                <a:srgbClr val="FF6600"/>
              </a:solidFill>
              <a:ln w="12700">
                <a:solidFill>
                  <a:srgbClr val="000000"/>
                </a:solidFill>
                <a:prstDash val="solid"/>
              </a:ln>
            </c:spPr>
          </c:dPt>
          <c:dPt>
            <c:idx val="13"/>
            <c:spPr>
              <a:solidFill>
                <a:srgbClr val="FF6600"/>
              </a:solidFill>
              <a:ln w="12700">
                <a:solidFill>
                  <a:srgbClr val="000000"/>
                </a:solidFill>
                <a:prstDash val="solid"/>
              </a:ln>
            </c:spPr>
          </c:dPt>
          <c:dPt>
            <c:idx val="14"/>
            <c:spPr>
              <a:solidFill>
                <a:srgbClr val="FF99CC"/>
              </a:solidFill>
              <a:ln w="12700">
                <a:solidFill>
                  <a:srgbClr val="000000"/>
                </a:solidFill>
                <a:prstDash val="solid"/>
              </a:ln>
            </c:spPr>
          </c:dPt>
          <c:dPt>
            <c:idx val="15"/>
            <c:spPr>
              <a:solidFill>
                <a:srgbClr val="FF99CC"/>
              </a:solidFill>
              <a:ln w="12700">
                <a:solidFill>
                  <a:srgbClr val="000000"/>
                </a:solidFill>
                <a:prstDash val="solid"/>
              </a:ln>
            </c:spPr>
          </c:dPt>
          <c:dPt>
            <c:idx val="16"/>
            <c:spPr>
              <a:solidFill>
                <a:srgbClr val="FF99CC"/>
              </a:solidFill>
              <a:ln w="12700">
                <a:solidFill>
                  <a:srgbClr val="000000"/>
                </a:solidFill>
                <a:prstDash val="solid"/>
              </a:ln>
            </c:spPr>
          </c:dPt>
          <c:dPt>
            <c:idx val="17"/>
            <c:spPr>
              <a:solidFill>
                <a:srgbClr val="FF99CC"/>
              </a:solidFill>
              <a:ln w="12700">
                <a:solidFill>
                  <a:srgbClr val="000000"/>
                </a:solidFill>
                <a:prstDash val="solid"/>
              </a:ln>
            </c:spPr>
          </c:dPt>
          <c:dPt>
            <c:idx val="18"/>
            <c:spPr>
              <a:solidFill>
                <a:srgbClr val="FF99CC"/>
              </a:solidFill>
              <a:ln w="12700">
                <a:solidFill>
                  <a:srgbClr val="000000"/>
                </a:solidFill>
                <a:prstDash val="solid"/>
              </a:ln>
            </c:spPr>
          </c:dPt>
          <c:dPt>
            <c:idx val="19"/>
            <c:spPr>
              <a:solidFill>
                <a:srgbClr val="FF99CC"/>
              </a:solidFill>
              <a:ln w="12700">
                <a:solidFill>
                  <a:srgbClr val="000000"/>
                </a:solidFill>
                <a:prstDash val="solid"/>
              </a:ln>
            </c:spPr>
          </c:dPt>
          <c:dPt>
            <c:idx val="20"/>
            <c:spPr>
              <a:solidFill>
                <a:srgbClr val="00FF00"/>
              </a:solidFill>
              <a:ln w="12700">
                <a:solidFill>
                  <a:srgbClr val="000000"/>
                </a:solidFill>
                <a:prstDash val="solid"/>
              </a:ln>
            </c:spPr>
          </c:dPt>
          <c:dPt>
            <c:idx val="21"/>
            <c:spPr>
              <a:solidFill>
                <a:srgbClr val="00FF00"/>
              </a:solidFill>
              <a:ln w="12700">
                <a:solidFill>
                  <a:srgbClr val="000000"/>
                </a:solidFill>
                <a:prstDash val="solid"/>
              </a:ln>
            </c:spPr>
          </c:dPt>
          <c:dPt>
            <c:idx val="22"/>
            <c:spPr>
              <a:solidFill>
                <a:srgbClr val="00FF00"/>
              </a:solidFill>
              <a:ln w="12700">
                <a:solidFill>
                  <a:srgbClr val="000000"/>
                </a:solidFill>
                <a:prstDash val="solid"/>
              </a:ln>
            </c:spPr>
          </c:dPt>
          <c:dPt>
            <c:idx val="23"/>
            <c:spPr>
              <a:solidFill>
                <a:srgbClr val="C0C0C0"/>
              </a:solidFill>
              <a:ln w="12700">
                <a:solidFill>
                  <a:srgbClr val="000000"/>
                </a:solidFill>
                <a:prstDash val="solid"/>
              </a:ln>
            </c:spPr>
          </c:dPt>
          <c:cat>
            <c:strRef>
              <c:f>'Weekday Hours'!$B$31:$B$54</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'Weekday Hours'!$L$31:$L$54</c:f>
              <c:numCache>
                <c:formatCode>0.00%</c:formatCode>
                <c:ptCount val="24"/>
                <c:pt idx="0">
                  <c:v>2.8478458278680254E-2</c:v>
                </c:pt>
                <c:pt idx="1">
                  <c:v>1.8824832677496385E-2</c:v>
                </c:pt>
                <c:pt idx="2">
                  <c:v>1.3252320653818988E-2</c:v>
                </c:pt>
                <c:pt idx="3">
                  <c:v>1.1334207782598459E-2</c:v>
                </c:pt>
                <c:pt idx="4">
                  <c:v>1.4008004574042309E-2</c:v>
                </c:pt>
                <c:pt idx="5">
                  <c:v>2.2404609356607135E-2</c:v>
                </c:pt>
                <c:pt idx="6">
                  <c:v>3.7432104059462547E-2</c:v>
                </c:pt>
                <c:pt idx="7">
                  <c:v>4.5432474018767023E-2</c:v>
                </c:pt>
                <c:pt idx="8">
                  <c:v>4.6253321225574275E-2</c:v>
                </c:pt>
                <c:pt idx="9">
                  <c:v>4.1188452224800727E-2</c:v>
                </c:pt>
                <c:pt idx="10">
                  <c:v>4.0273013150371642E-2</c:v>
                </c:pt>
                <c:pt idx="11">
                  <c:v>4.0689217367907711E-2</c:v>
                </c:pt>
                <c:pt idx="12">
                  <c:v>4.3058218141458986E-2</c:v>
                </c:pt>
                <c:pt idx="13">
                  <c:v>4.6712617293915848E-2</c:v>
                </c:pt>
                <c:pt idx="14">
                  <c:v>5.3378190899001109E-2</c:v>
                </c:pt>
                <c:pt idx="15">
                  <c:v>6.1759030370295634E-2</c:v>
                </c:pt>
                <c:pt idx="16">
                  <c:v>6.6523307436182025E-2</c:v>
                </c:pt>
                <c:pt idx="17">
                  <c:v>6.6333072680186997E-2</c:v>
                </c:pt>
                <c:pt idx="18">
                  <c:v>6.2278234621464368E-2</c:v>
                </c:pt>
                <c:pt idx="19">
                  <c:v>5.7802988262200247E-2</c:v>
                </c:pt>
                <c:pt idx="20">
                  <c:v>5.2841119295059365E-2</c:v>
                </c:pt>
                <c:pt idx="21">
                  <c:v>4.7840362560118387E-2</c:v>
                </c:pt>
                <c:pt idx="22">
                  <c:v>4.411974910032624E-2</c:v>
                </c:pt>
                <c:pt idx="23">
                  <c:v>3.7782093969663338E-2</c:v>
                </c:pt>
              </c:numCache>
            </c:numRef>
          </c:val>
        </c:ser>
        <c:gapWidth val="0"/>
        <c:axId val="128748544"/>
        <c:axId val="128750336"/>
      </c:barChart>
      <c:catAx>
        <c:axId val="128748544"/>
        <c:scaling>
          <c:orientation val="minMax"/>
        </c:scaling>
        <c:axPos val="b"/>
        <c:numFmt formatCode="@" sourceLinked="1"/>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28750336"/>
        <c:crosses val="autoZero"/>
        <c:auto val="1"/>
        <c:lblAlgn val="ctr"/>
        <c:lblOffset val="100"/>
        <c:tickLblSkip val="2"/>
        <c:tickMarkSkip val="1"/>
      </c:catAx>
      <c:valAx>
        <c:axId val="128750336"/>
        <c:scaling>
          <c:orientation val="minMax"/>
        </c:scaling>
        <c:axPos val="l"/>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2874854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1200" verticalDpi="1200"/>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a:t>% of 24-h inbound trips in each hour</a:t>
            </a:r>
          </a:p>
        </c:rich>
      </c:tx>
      <c:layout>
        <c:manualLayout>
          <c:xMode val="edge"/>
          <c:yMode val="edge"/>
          <c:x val="0.14342952788469679"/>
          <c:y val="3.5398125666568331E-2"/>
        </c:manualLayout>
      </c:layout>
      <c:spPr>
        <a:noFill/>
        <a:ln w="25400">
          <a:noFill/>
        </a:ln>
      </c:spPr>
    </c:title>
    <c:plotArea>
      <c:layout>
        <c:manualLayout>
          <c:layoutTarget val="inner"/>
          <c:xMode val="edge"/>
          <c:yMode val="edge"/>
          <c:x val="7.8260869565217397E-2"/>
          <c:y val="0.12389416221354822"/>
          <c:w val="0.89043478260869569"/>
          <c:h val="0.66371872614405214"/>
        </c:manualLayout>
      </c:layout>
      <c:barChart>
        <c:barDir val="col"/>
        <c:grouping val="clustered"/>
        <c:ser>
          <c:idx val="0"/>
          <c:order val="0"/>
          <c:spPr>
            <a:solidFill>
              <a:srgbClr val="969696"/>
            </a:solidFill>
            <a:ln w="12700">
              <a:solidFill>
                <a:srgbClr val="000000"/>
              </a:solidFill>
              <a:prstDash val="solid"/>
            </a:ln>
          </c:spPr>
          <c:dPt>
            <c:idx val="0"/>
            <c:spPr>
              <a:solidFill>
                <a:srgbClr val="C0C0C0"/>
              </a:solidFill>
              <a:ln w="12700">
                <a:solidFill>
                  <a:srgbClr val="000000"/>
                </a:solidFill>
                <a:prstDash val="solid"/>
              </a:ln>
            </c:spPr>
          </c:dPt>
          <c:dPt>
            <c:idx val="1"/>
            <c:spPr>
              <a:solidFill>
                <a:srgbClr val="C0C0C0"/>
              </a:solidFill>
              <a:ln w="12700">
                <a:solidFill>
                  <a:srgbClr val="000000"/>
                </a:solidFill>
                <a:prstDash val="solid"/>
              </a:ln>
            </c:spPr>
          </c:dPt>
          <c:dPt>
            <c:idx val="2"/>
            <c:spPr>
              <a:solidFill>
                <a:srgbClr val="C0C0C0"/>
              </a:solidFill>
              <a:ln w="12700">
                <a:solidFill>
                  <a:srgbClr val="000000"/>
                </a:solidFill>
                <a:prstDash val="solid"/>
              </a:ln>
            </c:spPr>
          </c:dPt>
          <c:dPt>
            <c:idx val="3"/>
            <c:spPr>
              <a:solidFill>
                <a:srgbClr val="C0C0C0"/>
              </a:solidFill>
              <a:ln w="12700">
                <a:solidFill>
                  <a:srgbClr val="000000"/>
                </a:solidFill>
                <a:prstDash val="solid"/>
              </a:ln>
            </c:spPr>
          </c:dPt>
          <c:dPt>
            <c:idx val="4"/>
            <c:spPr>
              <a:solidFill>
                <a:srgbClr val="C0C0C0"/>
              </a:solidFill>
              <a:ln w="12700">
                <a:solidFill>
                  <a:srgbClr val="000000"/>
                </a:solidFill>
                <a:prstDash val="solid"/>
              </a:ln>
            </c:spPr>
          </c:dPt>
          <c:dPt>
            <c:idx val="5"/>
            <c:spPr>
              <a:solidFill>
                <a:srgbClr val="C0C0C0"/>
              </a:solidFill>
              <a:ln w="12700">
                <a:solidFill>
                  <a:srgbClr val="000000"/>
                </a:solidFill>
                <a:prstDash val="solid"/>
              </a:ln>
            </c:spPr>
          </c:dPt>
          <c:dPt>
            <c:idx val="6"/>
            <c:spPr>
              <a:solidFill>
                <a:srgbClr val="C0C0C0"/>
              </a:solidFill>
              <a:ln w="12700">
                <a:solidFill>
                  <a:srgbClr val="000000"/>
                </a:solidFill>
                <a:prstDash val="solid"/>
              </a:ln>
            </c:spPr>
          </c:dPt>
          <c:dPt>
            <c:idx val="7"/>
            <c:spPr>
              <a:solidFill>
                <a:srgbClr val="C0C0C0"/>
              </a:solidFill>
              <a:ln w="12700">
                <a:solidFill>
                  <a:srgbClr val="000000"/>
                </a:solidFill>
                <a:prstDash val="solid"/>
              </a:ln>
            </c:spPr>
          </c:dPt>
          <c:dPt>
            <c:idx val="8"/>
            <c:spPr>
              <a:solidFill>
                <a:srgbClr val="C0C0C0"/>
              </a:solidFill>
              <a:ln w="12700">
                <a:solidFill>
                  <a:srgbClr val="000000"/>
                </a:solidFill>
                <a:prstDash val="solid"/>
              </a:ln>
            </c:spPr>
          </c:dPt>
          <c:dPt>
            <c:idx val="9"/>
            <c:spPr>
              <a:solidFill>
                <a:srgbClr val="C0C0C0"/>
              </a:solidFill>
              <a:ln w="12700">
                <a:solidFill>
                  <a:srgbClr val="000000"/>
                </a:solidFill>
                <a:prstDash val="solid"/>
              </a:ln>
            </c:spPr>
          </c:dPt>
          <c:dPt>
            <c:idx val="10"/>
            <c:spPr>
              <a:solidFill>
                <a:srgbClr val="FFFF00"/>
              </a:solidFill>
              <a:ln w="12700">
                <a:solidFill>
                  <a:srgbClr val="000000"/>
                </a:solidFill>
                <a:prstDash val="solid"/>
              </a:ln>
            </c:spPr>
          </c:dPt>
          <c:dPt>
            <c:idx val="11"/>
            <c:spPr>
              <a:solidFill>
                <a:srgbClr val="FFFF00"/>
              </a:solidFill>
              <a:ln w="12700">
                <a:solidFill>
                  <a:srgbClr val="000000"/>
                </a:solidFill>
                <a:prstDash val="solid"/>
              </a:ln>
            </c:spPr>
          </c:dPt>
          <c:dPt>
            <c:idx val="12"/>
            <c:spPr>
              <a:solidFill>
                <a:srgbClr val="FF6600"/>
              </a:solidFill>
              <a:ln w="12700">
                <a:solidFill>
                  <a:srgbClr val="000000"/>
                </a:solidFill>
                <a:prstDash val="solid"/>
              </a:ln>
            </c:spPr>
          </c:dPt>
          <c:dPt>
            <c:idx val="13"/>
            <c:spPr>
              <a:solidFill>
                <a:srgbClr val="FF6600"/>
              </a:solidFill>
              <a:ln w="12700">
                <a:solidFill>
                  <a:srgbClr val="000000"/>
                </a:solidFill>
                <a:prstDash val="solid"/>
              </a:ln>
            </c:spPr>
          </c:dPt>
          <c:dPt>
            <c:idx val="14"/>
            <c:spPr>
              <a:solidFill>
                <a:srgbClr val="FF6600"/>
              </a:solidFill>
              <a:ln w="12700">
                <a:solidFill>
                  <a:srgbClr val="000000"/>
                </a:solidFill>
                <a:prstDash val="solid"/>
              </a:ln>
            </c:spPr>
          </c:dPt>
          <c:dPt>
            <c:idx val="15"/>
            <c:spPr>
              <a:solidFill>
                <a:srgbClr val="FF6600"/>
              </a:solidFill>
              <a:ln w="12700">
                <a:solidFill>
                  <a:srgbClr val="000000"/>
                </a:solidFill>
                <a:prstDash val="solid"/>
              </a:ln>
            </c:spPr>
          </c:dPt>
          <c:dPt>
            <c:idx val="16"/>
            <c:spPr>
              <a:solidFill>
                <a:srgbClr val="FF6600"/>
              </a:solidFill>
              <a:ln w="12700">
                <a:solidFill>
                  <a:srgbClr val="000000"/>
                </a:solidFill>
                <a:prstDash val="solid"/>
              </a:ln>
            </c:spPr>
          </c:dPt>
          <c:dPt>
            <c:idx val="17"/>
            <c:spPr>
              <a:solidFill>
                <a:srgbClr val="FF99CC"/>
              </a:solidFill>
              <a:ln w="12700">
                <a:solidFill>
                  <a:srgbClr val="000000"/>
                </a:solidFill>
                <a:prstDash val="solid"/>
              </a:ln>
            </c:spPr>
          </c:dPt>
          <c:dPt>
            <c:idx val="18"/>
            <c:spPr>
              <a:solidFill>
                <a:srgbClr val="FF99CC"/>
              </a:solidFill>
              <a:ln w="12700">
                <a:solidFill>
                  <a:srgbClr val="000000"/>
                </a:solidFill>
                <a:prstDash val="solid"/>
              </a:ln>
            </c:spPr>
          </c:dPt>
          <c:dPt>
            <c:idx val="19"/>
            <c:spPr>
              <a:solidFill>
                <a:srgbClr val="FF99CC"/>
              </a:solidFill>
              <a:ln w="12700">
                <a:solidFill>
                  <a:srgbClr val="000000"/>
                </a:solidFill>
                <a:prstDash val="solid"/>
              </a:ln>
            </c:spPr>
          </c:dPt>
          <c:dPt>
            <c:idx val="20"/>
            <c:spPr>
              <a:solidFill>
                <a:srgbClr val="FF6600"/>
              </a:solidFill>
              <a:ln w="12700">
                <a:solidFill>
                  <a:srgbClr val="000000"/>
                </a:solidFill>
                <a:prstDash val="solid"/>
              </a:ln>
            </c:spPr>
          </c:dPt>
          <c:dPt>
            <c:idx val="21"/>
            <c:spPr>
              <a:solidFill>
                <a:srgbClr val="FF6600"/>
              </a:solidFill>
              <a:ln w="12700">
                <a:solidFill>
                  <a:srgbClr val="000000"/>
                </a:solidFill>
                <a:prstDash val="solid"/>
              </a:ln>
            </c:spPr>
          </c:dPt>
          <c:dPt>
            <c:idx val="22"/>
            <c:spPr>
              <a:solidFill>
                <a:srgbClr val="FFFF00"/>
              </a:solidFill>
              <a:ln w="12700">
                <a:solidFill>
                  <a:srgbClr val="000000"/>
                </a:solidFill>
                <a:prstDash val="solid"/>
              </a:ln>
            </c:spPr>
          </c:dPt>
          <c:dPt>
            <c:idx val="23"/>
            <c:spPr>
              <a:solidFill>
                <a:srgbClr val="FFFF00"/>
              </a:solidFill>
              <a:ln w="12700">
                <a:solidFill>
                  <a:srgbClr val="000000"/>
                </a:solidFill>
                <a:prstDash val="solid"/>
              </a:ln>
            </c:spPr>
          </c:dPt>
          <c:cat>
            <c:strRef>
              <c:f>'Weekend Hours'!$B$31:$B$54</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'Weekend Hours'!$D$31:$D$54</c:f>
              <c:numCache>
                <c:formatCode>0.00%</c:formatCode>
                <c:ptCount val="24"/>
                <c:pt idx="0">
                  <c:v>2.774697066168004E-2</c:v>
                </c:pt>
                <c:pt idx="1">
                  <c:v>2.3181244251087613E-2</c:v>
                </c:pt>
                <c:pt idx="2">
                  <c:v>1.945723928114898E-2</c:v>
                </c:pt>
                <c:pt idx="3">
                  <c:v>1.7033993530932347E-2</c:v>
                </c:pt>
                <c:pt idx="4">
                  <c:v>1.6207505974230912E-2</c:v>
                </c:pt>
                <c:pt idx="5">
                  <c:v>1.6798332580300095E-2</c:v>
                </c:pt>
                <c:pt idx="6">
                  <c:v>2.4023329116967442E-2</c:v>
                </c:pt>
                <c:pt idx="7">
                  <c:v>2.7055446986682042E-2</c:v>
                </c:pt>
                <c:pt idx="8">
                  <c:v>3.0831201567907095E-2</c:v>
                </c:pt>
                <c:pt idx="9">
                  <c:v>3.4788335614858619E-2</c:v>
                </c:pt>
                <c:pt idx="10">
                  <c:v>4.3874262766199663E-2</c:v>
                </c:pt>
                <c:pt idx="11">
                  <c:v>4.8145056256151231E-2</c:v>
                </c:pt>
                <c:pt idx="12">
                  <c:v>5.4697526242781555E-2</c:v>
                </c:pt>
                <c:pt idx="13">
                  <c:v>5.8190135816435881E-2</c:v>
                </c:pt>
                <c:pt idx="14">
                  <c:v>5.9227375355819629E-2</c:v>
                </c:pt>
                <c:pt idx="15">
                  <c:v>5.7274916005091249E-2</c:v>
                </c:pt>
                <c:pt idx="16">
                  <c:v>5.9800173631987384E-2</c:v>
                </c:pt>
                <c:pt idx="17">
                  <c:v>6.3564092655004609E-2</c:v>
                </c:pt>
                <c:pt idx="18">
                  <c:v>6.1684946612393696E-2</c:v>
                </c:pt>
                <c:pt idx="19">
                  <c:v>6.1173712727405002E-2</c:v>
                </c:pt>
                <c:pt idx="20">
                  <c:v>5.6203926407945276E-2</c:v>
                </c:pt>
                <c:pt idx="21">
                  <c:v>5.3858856942022873E-2</c:v>
                </c:pt>
                <c:pt idx="22">
                  <c:v>4.7117629245678819E-2</c:v>
                </c:pt>
                <c:pt idx="23">
                  <c:v>3.8063789769287981E-2</c:v>
                </c:pt>
              </c:numCache>
            </c:numRef>
          </c:val>
        </c:ser>
        <c:gapWidth val="0"/>
        <c:axId val="128970112"/>
        <c:axId val="128971904"/>
      </c:barChart>
      <c:catAx>
        <c:axId val="128970112"/>
        <c:scaling>
          <c:orientation val="minMax"/>
        </c:scaling>
        <c:axPos val="b"/>
        <c:numFmt formatCode="General" sourceLinked="1"/>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28971904"/>
        <c:crosses val="autoZero"/>
        <c:auto val="1"/>
        <c:lblAlgn val="ctr"/>
        <c:lblOffset val="100"/>
        <c:tickLblSkip val="2"/>
        <c:tickMarkSkip val="1"/>
      </c:catAx>
      <c:valAx>
        <c:axId val="128971904"/>
        <c:scaling>
          <c:orientation val="minMax"/>
        </c:scaling>
        <c:axPos val="l"/>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2897011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1200" verticalDpi="1200"/>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50" b="1" i="0" u="none" strike="noStrike" baseline="0">
                <a:solidFill>
                  <a:srgbClr val="000000"/>
                </a:solidFill>
                <a:latin typeface="Arial"/>
                <a:ea typeface="Arial"/>
                <a:cs typeface="Arial"/>
              </a:defRPr>
            </a:pPr>
            <a:r>
              <a:rPr lang="en-US"/>
              <a:t>PSRC - Traffic Choices Study
Probability of Shifting to a Lower Toll Period</a:t>
            </a:r>
          </a:p>
        </c:rich>
      </c:tx>
      <c:spPr>
        <a:noFill/>
        <a:ln w="25400">
          <a:noFill/>
        </a:ln>
      </c:spPr>
    </c:title>
    <c:plotArea>
      <c:layout/>
      <c:scatterChart>
        <c:scatterStyle val="smoothMarker"/>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'Weekend Hours'!#REF!</c:f>
              <c:numCache>
                <c:formatCode>General</c:formatCode>
                <c:ptCount val="1"/>
                <c:pt idx="0">
                  <c:v>1</c:v>
                </c:pt>
              </c:numCache>
            </c:numRef>
          </c:xVal>
          <c:yVal>
            <c:numRef>
              <c:f>'Weekend Hours'!#REF!</c:f>
              <c:numCache>
                <c:formatCode>General</c:formatCode>
                <c:ptCount val="1"/>
                <c:pt idx="0">
                  <c:v>1</c:v>
                </c:pt>
              </c:numCache>
            </c:numRef>
          </c:yVal>
          <c:smooth val="1"/>
        </c:ser>
        <c:axId val="128978304"/>
        <c:axId val="129038208"/>
      </c:scatterChart>
      <c:valAx>
        <c:axId val="128978304"/>
        <c:scaling>
          <c:orientation val="minMax"/>
        </c:scaling>
        <c:axPos val="b"/>
        <c:title>
          <c:tx>
            <c:rich>
              <a:bodyPr/>
              <a:lstStyle/>
              <a:p>
                <a:pPr>
                  <a:defRPr sz="250" b="1" i="0" u="none" strike="noStrike" baseline="0">
                    <a:solidFill>
                      <a:srgbClr val="000000"/>
                    </a:solidFill>
                    <a:latin typeface="Arial"/>
                    <a:ea typeface="Arial"/>
                    <a:cs typeface="Arial"/>
                  </a:defRPr>
                </a:pPr>
                <a:r>
                  <a:rPr lang="en-US"/>
                  <a:t>time to lower toll period (hours)</a:t>
                </a:r>
              </a:p>
            </c:rich>
          </c:tx>
          <c:spPr>
            <a:noFill/>
            <a:ln w="25400">
              <a:noFill/>
            </a:ln>
          </c:spPr>
        </c:title>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9038208"/>
        <c:crosses val="autoZero"/>
        <c:crossBetween val="midCat"/>
      </c:valAx>
      <c:valAx>
        <c:axId val="129038208"/>
        <c:scaling>
          <c:orientation val="minMax"/>
        </c:scaling>
        <c:axPos val="l"/>
        <c:majorGridlines>
          <c:spPr>
            <a:ln w="3175">
              <a:solidFill>
                <a:srgbClr val="C0C0C0"/>
              </a:solidFill>
              <a:prstDash val="solid"/>
            </a:ln>
          </c:spPr>
        </c:majorGridlines>
        <c:title>
          <c:tx>
            <c:rich>
              <a:bodyPr/>
              <a:lstStyle/>
              <a:p>
                <a:pPr>
                  <a:defRPr sz="250" b="1" i="0" u="none" strike="noStrike" baseline="0">
                    <a:solidFill>
                      <a:srgbClr val="000000"/>
                    </a:solidFill>
                    <a:latin typeface="Arial"/>
                    <a:ea typeface="Arial"/>
                    <a:cs typeface="Arial"/>
                  </a:defRPr>
                </a:pPr>
                <a:r>
                  <a:rPr lang="en-US"/>
                  <a:t>probability of shifting</a:t>
                </a:r>
              </a:p>
            </c:rich>
          </c:tx>
          <c:spPr>
            <a:noFill/>
            <a:ln w="25400">
              <a:noFill/>
            </a:ln>
          </c:spPr>
        </c:title>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8978304"/>
        <c:crosses val="autoZero"/>
        <c:crossBetween val="midCat"/>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a:t>% of 24-h outbound trips in each hour</a:t>
            </a:r>
          </a:p>
        </c:rich>
      </c:tx>
      <c:layout>
        <c:manualLayout>
          <c:xMode val="edge"/>
          <c:yMode val="edge"/>
          <c:x val="0.14342933923711707"/>
          <c:y val="3.5398075240594934E-2"/>
        </c:manualLayout>
      </c:layout>
      <c:spPr>
        <a:noFill/>
        <a:ln w="25400">
          <a:noFill/>
        </a:ln>
      </c:spPr>
    </c:title>
    <c:plotArea>
      <c:layout>
        <c:manualLayout>
          <c:layoutTarget val="inner"/>
          <c:xMode val="edge"/>
          <c:yMode val="edge"/>
          <c:x val="7.8260869565217397E-2"/>
          <c:y val="0.12389416221354822"/>
          <c:w val="0.89043478260869569"/>
          <c:h val="0.66371872614405236"/>
        </c:manualLayout>
      </c:layout>
      <c:barChart>
        <c:barDir val="col"/>
        <c:grouping val="clustered"/>
        <c:ser>
          <c:idx val="0"/>
          <c:order val="0"/>
          <c:spPr>
            <a:solidFill>
              <a:srgbClr val="969696"/>
            </a:solidFill>
            <a:ln w="12700">
              <a:solidFill>
                <a:srgbClr val="000000"/>
              </a:solidFill>
              <a:prstDash val="solid"/>
            </a:ln>
          </c:spPr>
          <c:dPt>
            <c:idx val="0"/>
            <c:spPr>
              <a:solidFill>
                <a:srgbClr val="C0C0C0"/>
              </a:solidFill>
              <a:ln w="12700">
                <a:solidFill>
                  <a:srgbClr val="000000"/>
                </a:solidFill>
                <a:prstDash val="solid"/>
              </a:ln>
            </c:spPr>
          </c:dPt>
          <c:dPt>
            <c:idx val="1"/>
            <c:spPr>
              <a:solidFill>
                <a:srgbClr val="C0C0C0"/>
              </a:solidFill>
              <a:ln w="12700">
                <a:solidFill>
                  <a:srgbClr val="000000"/>
                </a:solidFill>
                <a:prstDash val="solid"/>
              </a:ln>
            </c:spPr>
          </c:dPt>
          <c:dPt>
            <c:idx val="2"/>
            <c:spPr>
              <a:solidFill>
                <a:srgbClr val="C0C0C0"/>
              </a:solidFill>
              <a:ln w="12700">
                <a:solidFill>
                  <a:srgbClr val="000000"/>
                </a:solidFill>
                <a:prstDash val="solid"/>
              </a:ln>
            </c:spPr>
          </c:dPt>
          <c:dPt>
            <c:idx val="3"/>
            <c:spPr>
              <a:solidFill>
                <a:srgbClr val="C0C0C0"/>
              </a:solidFill>
              <a:ln w="12700">
                <a:solidFill>
                  <a:srgbClr val="000000"/>
                </a:solidFill>
                <a:prstDash val="solid"/>
              </a:ln>
            </c:spPr>
          </c:dPt>
          <c:dPt>
            <c:idx val="4"/>
            <c:spPr>
              <a:solidFill>
                <a:srgbClr val="C0C0C0"/>
              </a:solidFill>
              <a:ln w="12700">
                <a:solidFill>
                  <a:srgbClr val="000000"/>
                </a:solidFill>
                <a:prstDash val="solid"/>
              </a:ln>
            </c:spPr>
          </c:dPt>
          <c:dPt>
            <c:idx val="5"/>
            <c:spPr>
              <a:solidFill>
                <a:srgbClr val="C0C0C0"/>
              </a:solidFill>
              <a:ln w="12700">
                <a:solidFill>
                  <a:srgbClr val="000000"/>
                </a:solidFill>
                <a:prstDash val="solid"/>
              </a:ln>
            </c:spPr>
          </c:dPt>
          <c:dPt>
            <c:idx val="6"/>
            <c:spPr>
              <a:solidFill>
                <a:srgbClr val="C0C0C0"/>
              </a:solidFill>
              <a:ln w="12700">
                <a:solidFill>
                  <a:srgbClr val="000000"/>
                </a:solidFill>
                <a:prstDash val="solid"/>
              </a:ln>
            </c:spPr>
          </c:dPt>
          <c:dPt>
            <c:idx val="7"/>
            <c:spPr>
              <a:solidFill>
                <a:srgbClr val="C0C0C0"/>
              </a:solidFill>
              <a:ln w="12700">
                <a:solidFill>
                  <a:srgbClr val="000000"/>
                </a:solidFill>
                <a:prstDash val="solid"/>
              </a:ln>
            </c:spPr>
          </c:dPt>
          <c:dPt>
            <c:idx val="8"/>
            <c:spPr>
              <a:solidFill>
                <a:srgbClr val="C0C0C0"/>
              </a:solidFill>
              <a:ln w="12700">
                <a:solidFill>
                  <a:srgbClr val="000000"/>
                </a:solidFill>
                <a:prstDash val="solid"/>
              </a:ln>
            </c:spPr>
          </c:dPt>
          <c:dPt>
            <c:idx val="9"/>
            <c:spPr>
              <a:solidFill>
                <a:srgbClr val="C0C0C0"/>
              </a:solidFill>
              <a:ln w="12700">
                <a:solidFill>
                  <a:srgbClr val="000000"/>
                </a:solidFill>
                <a:prstDash val="solid"/>
              </a:ln>
            </c:spPr>
          </c:dPt>
          <c:dPt>
            <c:idx val="10"/>
            <c:spPr>
              <a:solidFill>
                <a:srgbClr val="FFFF00"/>
              </a:solidFill>
              <a:ln w="12700">
                <a:solidFill>
                  <a:srgbClr val="000000"/>
                </a:solidFill>
                <a:prstDash val="solid"/>
              </a:ln>
            </c:spPr>
          </c:dPt>
          <c:dPt>
            <c:idx val="11"/>
            <c:spPr>
              <a:solidFill>
                <a:srgbClr val="FFFF00"/>
              </a:solidFill>
              <a:ln w="12700">
                <a:solidFill>
                  <a:srgbClr val="000000"/>
                </a:solidFill>
                <a:prstDash val="solid"/>
              </a:ln>
            </c:spPr>
          </c:dPt>
          <c:dPt>
            <c:idx val="12"/>
            <c:spPr>
              <a:solidFill>
                <a:srgbClr val="FF6600"/>
              </a:solidFill>
              <a:ln w="12700">
                <a:solidFill>
                  <a:srgbClr val="000000"/>
                </a:solidFill>
                <a:prstDash val="solid"/>
              </a:ln>
            </c:spPr>
          </c:dPt>
          <c:dPt>
            <c:idx val="13"/>
            <c:spPr>
              <a:solidFill>
                <a:srgbClr val="FF6600"/>
              </a:solidFill>
              <a:ln w="12700">
                <a:solidFill>
                  <a:srgbClr val="000000"/>
                </a:solidFill>
                <a:prstDash val="solid"/>
              </a:ln>
            </c:spPr>
          </c:dPt>
          <c:dPt>
            <c:idx val="14"/>
            <c:spPr>
              <a:solidFill>
                <a:srgbClr val="FF6600"/>
              </a:solidFill>
              <a:ln w="12700">
                <a:solidFill>
                  <a:srgbClr val="000000"/>
                </a:solidFill>
                <a:prstDash val="solid"/>
              </a:ln>
            </c:spPr>
          </c:dPt>
          <c:dPt>
            <c:idx val="15"/>
            <c:spPr>
              <a:solidFill>
                <a:srgbClr val="FF6600"/>
              </a:solidFill>
              <a:ln w="12700">
                <a:solidFill>
                  <a:srgbClr val="000000"/>
                </a:solidFill>
                <a:prstDash val="solid"/>
              </a:ln>
            </c:spPr>
          </c:dPt>
          <c:dPt>
            <c:idx val="16"/>
            <c:spPr>
              <a:solidFill>
                <a:srgbClr val="FF6600"/>
              </a:solidFill>
              <a:ln w="12700">
                <a:solidFill>
                  <a:srgbClr val="000000"/>
                </a:solidFill>
                <a:prstDash val="solid"/>
              </a:ln>
            </c:spPr>
          </c:dPt>
          <c:dPt>
            <c:idx val="17"/>
            <c:spPr>
              <a:solidFill>
                <a:srgbClr val="FF99CC"/>
              </a:solidFill>
              <a:ln w="12700">
                <a:solidFill>
                  <a:srgbClr val="000000"/>
                </a:solidFill>
                <a:prstDash val="solid"/>
              </a:ln>
            </c:spPr>
          </c:dPt>
          <c:dPt>
            <c:idx val="18"/>
            <c:spPr>
              <a:solidFill>
                <a:srgbClr val="FF99CC"/>
              </a:solidFill>
              <a:ln w="12700">
                <a:solidFill>
                  <a:srgbClr val="000000"/>
                </a:solidFill>
                <a:prstDash val="solid"/>
              </a:ln>
            </c:spPr>
          </c:dPt>
          <c:dPt>
            <c:idx val="19"/>
            <c:spPr>
              <a:solidFill>
                <a:srgbClr val="FF99CC"/>
              </a:solidFill>
              <a:ln w="12700">
                <a:solidFill>
                  <a:srgbClr val="000000"/>
                </a:solidFill>
                <a:prstDash val="solid"/>
              </a:ln>
            </c:spPr>
          </c:dPt>
          <c:dPt>
            <c:idx val="20"/>
            <c:spPr>
              <a:solidFill>
                <a:srgbClr val="FF6600"/>
              </a:solidFill>
              <a:ln w="12700">
                <a:solidFill>
                  <a:srgbClr val="000000"/>
                </a:solidFill>
                <a:prstDash val="solid"/>
              </a:ln>
            </c:spPr>
          </c:dPt>
          <c:dPt>
            <c:idx val="21"/>
            <c:spPr>
              <a:solidFill>
                <a:srgbClr val="FF6600"/>
              </a:solidFill>
              <a:ln w="12700">
                <a:solidFill>
                  <a:srgbClr val="000000"/>
                </a:solidFill>
                <a:prstDash val="solid"/>
              </a:ln>
            </c:spPr>
          </c:dPt>
          <c:dPt>
            <c:idx val="22"/>
            <c:spPr>
              <a:solidFill>
                <a:srgbClr val="FFFF00"/>
              </a:solidFill>
              <a:ln w="12700">
                <a:solidFill>
                  <a:srgbClr val="000000"/>
                </a:solidFill>
                <a:prstDash val="solid"/>
              </a:ln>
            </c:spPr>
          </c:dPt>
          <c:dPt>
            <c:idx val="23"/>
            <c:spPr>
              <a:solidFill>
                <a:srgbClr val="FFFF00"/>
              </a:solidFill>
              <a:ln w="12700">
                <a:solidFill>
                  <a:srgbClr val="000000"/>
                </a:solidFill>
                <a:prstDash val="solid"/>
              </a:ln>
            </c:spPr>
          </c:dPt>
          <c:cat>
            <c:strRef>
              <c:f>'Weekend Hours'!$B$31:$B$54</c:f>
              <c:strCache>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Cache>
            </c:strRef>
          </c:cat>
          <c:val>
            <c:numRef>
              <c:f>'Weekend Hours'!$L$31:$L$54</c:f>
              <c:numCache>
                <c:formatCode>0.00%</c:formatCode>
                <c:ptCount val="24"/>
                <c:pt idx="0">
                  <c:v>4.5205972973870294E-2</c:v>
                </c:pt>
                <c:pt idx="1">
                  <c:v>3.9295860710787146E-2</c:v>
                </c:pt>
                <c:pt idx="2">
                  <c:v>3.2415331987128794E-2</c:v>
                </c:pt>
                <c:pt idx="3">
                  <c:v>3.0539093198094405E-2</c:v>
                </c:pt>
                <c:pt idx="4">
                  <c:v>2.0442297239706173E-2</c:v>
                </c:pt>
                <c:pt idx="5">
                  <c:v>1.7142021596050345E-2</c:v>
                </c:pt>
                <c:pt idx="6">
                  <c:v>2.0924283331908104E-2</c:v>
                </c:pt>
                <c:pt idx="7">
                  <c:v>2.6262963133552763E-2</c:v>
                </c:pt>
                <c:pt idx="8">
                  <c:v>3.3289130244696243E-2</c:v>
                </c:pt>
                <c:pt idx="9">
                  <c:v>3.8231424322611895E-2</c:v>
                </c:pt>
                <c:pt idx="10">
                  <c:v>4.2079032635419171E-2</c:v>
                </c:pt>
                <c:pt idx="11">
                  <c:v>4.5733190445246041E-2</c:v>
                </c:pt>
                <c:pt idx="12">
                  <c:v>4.6039935336656297E-2</c:v>
                </c:pt>
                <c:pt idx="13">
                  <c:v>4.5728404629310354E-2</c:v>
                </c:pt>
                <c:pt idx="14">
                  <c:v>4.9761256360654385E-2</c:v>
                </c:pt>
                <c:pt idx="15">
                  <c:v>5.6984273843783136E-2</c:v>
                </c:pt>
                <c:pt idx="16">
                  <c:v>6.0133117470948044E-2</c:v>
                </c:pt>
                <c:pt idx="17">
                  <c:v>5.8996833999449438E-2</c:v>
                </c:pt>
                <c:pt idx="18">
                  <c:v>5.3575142437200012E-2</c:v>
                </c:pt>
                <c:pt idx="19">
                  <c:v>5.1529728171958118E-2</c:v>
                </c:pt>
                <c:pt idx="20">
                  <c:v>4.9319416973688232E-2</c:v>
                </c:pt>
                <c:pt idx="21">
                  <c:v>4.3133524734247114E-2</c:v>
                </c:pt>
                <c:pt idx="22">
                  <c:v>4.1404141742386769E-2</c:v>
                </c:pt>
                <c:pt idx="23">
                  <c:v>5.1833622480646872E-2</c:v>
                </c:pt>
              </c:numCache>
            </c:numRef>
          </c:val>
        </c:ser>
        <c:gapWidth val="0"/>
        <c:axId val="129158528"/>
        <c:axId val="129160320"/>
      </c:barChart>
      <c:catAx>
        <c:axId val="129158528"/>
        <c:scaling>
          <c:orientation val="minMax"/>
        </c:scaling>
        <c:axPos val="b"/>
        <c:numFmt formatCode="General" sourceLinked="1"/>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en-US"/>
          </a:p>
        </c:txPr>
        <c:crossAx val="129160320"/>
        <c:crosses val="autoZero"/>
        <c:auto val="1"/>
        <c:lblAlgn val="ctr"/>
        <c:lblOffset val="100"/>
        <c:tickLblSkip val="2"/>
        <c:tickMarkSkip val="1"/>
      </c:catAx>
      <c:valAx>
        <c:axId val="129160320"/>
        <c:scaling>
          <c:orientation val="minMax"/>
        </c:scaling>
        <c:axPos val="l"/>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29158528"/>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1200" verticalDpi="1200"/>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425" b="1" i="0" u="none" strike="noStrike" baseline="0">
                <a:solidFill>
                  <a:srgbClr val="000000"/>
                </a:solidFill>
                <a:latin typeface="Arial"/>
                <a:ea typeface="Arial"/>
                <a:cs typeface="Arial"/>
              </a:defRPr>
            </a:pPr>
            <a:r>
              <a:rPr lang="en-US"/>
              <a:t>Delta (from prior # cordon entries)</a:t>
            </a:r>
          </a:p>
        </c:rich>
      </c:tx>
      <c:spPr>
        <a:noFill/>
        <a:ln w="25400">
          <a:noFill/>
        </a:ln>
      </c:spPr>
    </c:title>
    <c:plotArea>
      <c:layout/>
      <c:barChart>
        <c:barDir val="col"/>
        <c:grouping val="clustered"/>
        <c:ser>
          <c:idx val="0"/>
          <c:order val="0"/>
          <c:spPr>
            <a:solidFill>
              <a:srgbClr val="9999FF"/>
            </a:solidFill>
            <a:ln w="12700">
              <a:solidFill>
                <a:srgbClr val="000000"/>
              </a:solidFill>
              <a:prstDash val="solid"/>
            </a:ln>
          </c:spPr>
          <c:val>
            <c:numLit>
              <c:formatCode>General</c:formatCode>
              <c:ptCount val="10"/>
              <c:pt idx="0">
                <c:v>-160328.37781565811</c:v>
              </c:pt>
              <c:pt idx="1">
                <c:v>110624.35532632752</c:v>
              </c:pt>
              <c:pt idx="2">
                <c:v>-82192.407740163748</c:v>
              </c:pt>
              <c:pt idx="3">
                <c:v>45610.712405554834</c:v>
              </c:pt>
              <c:pt idx="4">
                <c:v>-35121.719788497197</c:v>
              </c:pt>
              <c:pt idx="5">
                <c:v>14765.755590215442</c:v>
              </c:pt>
              <c:pt idx="6">
                <c:v>-5910.5243876187596</c:v>
              </c:pt>
              <c:pt idx="7">
                <c:v>2218.1654394479697</c:v>
              </c:pt>
              <c:pt idx="8">
                <c:v>-755.47781914414338</c:v>
              </c:pt>
              <c:pt idx="9">
                <c:v>245.11636061978058</c:v>
              </c:pt>
            </c:numLit>
          </c:val>
        </c:ser>
        <c:axId val="129626880"/>
        <c:axId val="129628416"/>
      </c:barChart>
      <c:catAx>
        <c:axId val="129626880"/>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29628416"/>
        <c:crosses val="autoZero"/>
        <c:auto val="1"/>
        <c:lblAlgn val="ctr"/>
        <c:lblOffset val="100"/>
        <c:tickLblSkip val="1"/>
        <c:tickMarkSkip val="1"/>
      </c:catAx>
      <c:valAx>
        <c:axId val="129628416"/>
        <c:scaling>
          <c:orientation val="minMax"/>
        </c:scaling>
        <c:delete val="1"/>
        <c:axPos val="l"/>
        <c:majorGridlines>
          <c:spPr>
            <a:ln w="3175">
              <a:solidFill>
                <a:srgbClr val="000000"/>
              </a:solidFill>
              <a:prstDash val="solid"/>
            </a:ln>
          </c:spPr>
        </c:majorGridlines>
        <c:numFmt formatCode="General" sourceLinked="1"/>
        <c:tickLblPos val="none"/>
        <c:crossAx val="129626880"/>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75" b="1" i="0" u="none" strike="noStrike" baseline="0">
                <a:solidFill>
                  <a:srgbClr val="000000"/>
                </a:solidFill>
                <a:latin typeface="Arial"/>
                <a:ea typeface="Arial"/>
                <a:cs typeface="Arial"/>
              </a:defRPr>
            </a:pPr>
            <a:r>
              <a:rPr lang="en-US"/>
              <a:t>Speed Increase due to Toll</a:t>
            </a:r>
          </a:p>
        </c:rich>
      </c:tx>
      <c:spPr>
        <a:noFill/>
        <a:ln w="25400">
          <a:noFill/>
        </a:ln>
      </c:spPr>
    </c:title>
    <c:plotArea>
      <c:layout/>
      <c:barChart>
        <c:barDir val="col"/>
        <c:grouping val="clustered"/>
        <c:ser>
          <c:idx val="0"/>
          <c:order val="0"/>
          <c:tx>
            <c:v>Cordon</c:v>
          </c:tx>
          <c:spPr>
            <a:solidFill>
              <a:srgbClr val="9999FF"/>
            </a:solidFill>
            <a:ln w="12700">
              <a:solidFill>
                <a:srgbClr val="000000"/>
              </a:solidFill>
              <a:prstDash val="solid"/>
            </a:ln>
          </c:spPr>
          <c:dLbls>
            <c:spPr>
              <a:solidFill>
                <a:srgbClr val="FFFFFF"/>
              </a:solidFill>
              <a:ln w="25400">
                <a:noFill/>
              </a:ln>
            </c:spPr>
            <c:txPr>
              <a:bodyPr/>
              <a:lstStyle/>
              <a:p>
                <a:pPr>
                  <a:defRPr sz="250" b="1" i="0" u="none" strike="noStrike" baseline="0">
                    <a:solidFill>
                      <a:srgbClr val="000000"/>
                    </a:solidFill>
                    <a:latin typeface="Arial"/>
                    <a:ea typeface="Arial"/>
                    <a:cs typeface="Arial"/>
                  </a:defRPr>
                </a:pPr>
                <a:endParaRPr lang="en-US"/>
              </a:p>
            </c:txPr>
            <c:showVal val="1"/>
          </c:dLbls>
          <c:cat>
            <c:strLit>
              <c:ptCount val="8"/>
              <c:pt idx="0">
                <c:v>11 pm - 5 am</c:v>
              </c:pt>
              <c:pt idx="1">
                <c:v>5 am - 6 am</c:v>
              </c:pt>
              <c:pt idx="2">
                <c:v>6 am - 9 am</c:v>
              </c:pt>
              <c:pt idx="3">
                <c:v>9 am - 10 am</c:v>
              </c:pt>
              <c:pt idx="4">
                <c:v>10 am - 2 pm</c:v>
              </c:pt>
              <c:pt idx="5">
                <c:v>2 pm - 8 pm </c:v>
              </c:pt>
              <c:pt idx="6">
                <c:v>8 pm - 11 pm</c:v>
              </c:pt>
              <c:pt idx="7">
                <c:v>6 a.m. - 6 p.m.</c:v>
              </c:pt>
            </c:strLit>
          </c:cat>
          <c:val>
            <c:numLit>
              <c:formatCode>General</c:formatCode>
              <c:ptCount val="8"/>
              <c:pt idx="0">
                <c:v>5.6189052564314746E-3</c:v>
              </c:pt>
              <c:pt idx="1">
                <c:v>1.5068363270485777E-2</c:v>
              </c:pt>
              <c:pt idx="2">
                <c:v>0.24568003294080043</c:v>
              </c:pt>
              <c:pt idx="3">
                <c:v>0.17257186095084287</c:v>
              </c:pt>
              <c:pt idx="4">
                <c:v>0.11310230161690972</c:v>
              </c:pt>
              <c:pt idx="5">
                <c:v>0.20060156231067902</c:v>
              </c:pt>
              <c:pt idx="6">
                <c:v>0.12650261959296241</c:v>
              </c:pt>
              <c:pt idx="7">
                <c:v>0.19</c:v>
              </c:pt>
            </c:numLit>
          </c:val>
        </c:ser>
        <c:ser>
          <c:idx val="1"/>
          <c:order val="1"/>
          <c:tx>
            <c:v>Non-cordon</c:v>
          </c:tx>
          <c:spPr>
            <a:solidFill>
              <a:srgbClr val="993366"/>
            </a:solidFill>
            <a:ln w="12700">
              <a:solidFill>
                <a:srgbClr val="000000"/>
              </a:solidFill>
              <a:prstDash val="solid"/>
            </a:ln>
          </c:spPr>
          <c:cat>
            <c:strLit>
              <c:ptCount val="8"/>
              <c:pt idx="0">
                <c:v>11 pm - 5 am</c:v>
              </c:pt>
              <c:pt idx="1">
                <c:v>5 am - 6 am</c:v>
              </c:pt>
              <c:pt idx="2">
                <c:v>6 am - 9 am</c:v>
              </c:pt>
              <c:pt idx="3">
                <c:v>9 am - 10 am</c:v>
              </c:pt>
              <c:pt idx="4">
                <c:v>10 am - 2 pm</c:v>
              </c:pt>
              <c:pt idx="5">
                <c:v>2 pm - 8 pm </c:v>
              </c:pt>
              <c:pt idx="6">
                <c:v>8 pm - 11 pm</c:v>
              </c:pt>
              <c:pt idx="7">
                <c:v>6 a.m. - 6 p.m.</c:v>
              </c:pt>
            </c:strLit>
          </c:cat>
          <c:val>
            <c:numLit>
              <c:formatCode>General</c:formatCode>
              <c:ptCount val="8"/>
              <c:pt idx="0">
                <c:v>-1.2402355725816923E-4</c:v>
              </c:pt>
              <c:pt idx="1">
                <c:v>1.9043142868313583E-2</c:v>
              </c:pt>
              <c:pt idx="2">
                <c:v>6.7622837880422032E-2</c:v>
              </c:pt>
              <c:pt idx="3">
                <c:v>5.3877325763162745E-2</c:v>
              </c:pt>
              <c:pt idx="4">
                <c:v>4.0502060061941514E-2</c:v>
              </c:pt>
              <c:pt idx="5">
                <c:v>5.3994353387253946E-2</c:v>
              </c:pt>
              <c:pt idx="6">
                <c:v>4.0044551595267645E-2</c:v>
              </c:pt>
              <c:pt idx="7">
                <c:v>6.0000000000000032E-2</c:v>
              </c:pt>
            </c:numLit>
          </c:val>
        </c:ser>
        <c:axId val="129645184"/>
        <c:axId val="129651072"/>
      </c:barChart>
      <c:catAx>
        <c:axId val="129645184"/>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29651072"/>
        <c:crosses val="autoZero"/>
        <c:auto val="1"/>
        <c:lblAlgn val="ctr"/>
        <c:lblOffset val="100"/>
        <c:tickLblSkip val="1"/>
        <c:tickMarkSkip val="1"/>
      </c:catAx>
      <c:valAx>
        <c:axId val="129651072"/>
        <c:scaling>
          <c:orientation val="minMax"/>
        </c:scaling>
        <c:axPos val="l"/>
        <c:majorGridlines>
          <c:spPr>
            <a:ln w="3175">
              <a:solidFill>
                <a:srgbClr val="C0C0C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9645184"/>
        <c:crosses val="autoZero"/>
        <c:crossBetween val="between"/>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75" b="1" i="0" u="none" strike="noStrike" baseline="0">
                <a:solidFill>
                  <a:srgbClr val="000000"/>
                </a:solidFill>
                <a:latin typeface="Arial"/>
                <a:ea typeface="Arial"/>
                <a:cs typeface="Arial"/>
              </a:defRPr>
            </a:pPr>
            <a:r>
              <a:rPr lang="en-US"/>
              <a:t>Time Saved - motor vehicle hours</a:t>
            </a:r>
          </a:p>
        </c:rich>
      </c:tx>
      <c:spPr>
        <a:noFill/>
        <a:ln w="25400">
          <a:noFill/>
        </a:ln>
      </c:spPr>
    </c:title>
    <c:plotArea>
      <c:layout/>
      <c:barChart>
        <c:barDir val="col"/>
        <c:grouping val="clustered"/>
        <c:ser>
          <c:idx val="0"/>
          <c:order val="0"/>
          <c:tx>
            <c:v>Cordon</c:v>
          </c:tx>
          <c:spPr>
            <a:solidFill>
              <a:srgbClr val="9999FF"/>
            </a:solidFill>
            <a:ln w="12700">
              <a:solidFill>
                <a:srgbClr val="000000"/>
              </a:solidFill>
              <a:prstDash val="solid"/>
            </a:ln>
          </c:spPr>
          <c:dPt>
            <c:idx val="7"/>
            <c:spPr>
              <a:solidFill>
                <a:srgbClr val="000080"/>
              </a:solidFill>
              <a:ln w="12700">
                <a:solidFill>
                  <a:srgbClr val="000000"/>
                </a:solidFill>
                <a:prstDash val="solid"/>
              </a:ln>
            </c:spPr>
          </c:dPt>
          <c:dLbls>
            <c:spPr>
              <a:solidFill>
                <a:srgbClr val="FFFFFF"/>
              </a:solidFill>
              <a:ln w="25400">
                <a:noFill/>
              </a:ln>
            </c:spPr>
            <c:txPr>
              <a:bodyPr/>
              <a:lstStyle/>
              <a:p>
                <a:pPr>
                  <a:defRPr sz="200" b="1" i="0" u="none" strike="noStrike" baseline="0">
                    <a:solidFill>
                      <a:srgbClr val="000000"/>
                    </a:solidFill>
                    <a:latin typeface="Arial"/>
                    <a:ea typeface="Arial"/>
                    <a:cs typeface="Arial"/>
                  </a:defRPr>
                </a:pPr>
                <a:endParaRPr lang="en-US"/>
              </a:p>
            </c:txPr>
            <c:showVal val="1"/>
          </c:dLbls>
          <c:cat>
            <c:strLit>
              <c:ptCount val="8"/>
              <c:pt idx="0">
                <c:v>11 pm - 5 am</c:v>
              </c:pt>
              <c:pt idx="1">
                <c:v>5 am - 6 am</c:v>
              </c:pt>
              <c:pt idx="2">
                <c:v>6 am - 9 am</c:v>
              </c:pt>
              <c:pt idx="3">
                <c:v>9 am - 10 am</c:v>
              </c:pt>
              <c:pt idx="4">
                <c:v>10 am - 2 pm</c:v>
              </c:pt>
              <c:pt idx="5">
                <c:v>2 pm - 8 pm </c:v>
              </c:pt>
              <c:pt idx="6">
                <c:v>8 pm - 11 pm</c:v>
              </c:pt>
              <c:pt idx="7">
                <c:v>Total</c:v>
              </c:pt>
            </c:strLit>
          </c:cat>
          <c:val>
            <c:numLit>
              <c:formatCode>General</c:formatCode>
              <c:ptCount val="8"/>
              <c:pt idx="0">
                <c:v>80.193295664996327</c:v>
              </c:pt>
              <c:pt idx="1">
                <c:v>85.670219468785035</c:v>
              </c:pt>
              <c:pt idx="2">
                <c:v>14436.533064132844</c:v>
              </c:pt>
              <c:pt idx="3">
                <c:v>2508.8467325728889</c:v>
              </c:pt>
              <c:pt idx="4">
                <c:v>5130.7336155339872</c:v>
              </c:pt>
              <c:pt idx="5">
                <c:v>23800.727742996962</c:v>
              </c:pt>
              <c:pt idx="6">
                <c:v>3683.8114165321131</c:v>
              </c:pt>
              <c:pt idx="7">
                <c:v>49726.516086901145</c:v>
              </c:pt>
            </c:numLit>
          </c:val>
        </c:ser>
        <c:axId val="129696512"/>
        <c:axId val="129698048"/>
      </c:barChart>
      <c:catAx>
        <c:axId val="129696512"/>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29698048"/>
        <c:crosses val="autoZero"/>
        <c:auto val="1"/>
        <c:lblAlgn val="ctr"/>
        <c:lblOffset val="100"/>
        <c:tickLblSkip val="1"/>
        <c:tickMarkSkip val="1"/>
      </c:catAx>
      <c:valAx>
        <c:axId val="129698048"/>
        <c:scaling>
          <c:orientation val="minMax"/>
        </c:scaling>
        <c:axPos val="l"/>
        <c:majorGridlines>
          <c:spPr>
            <a:ln w="3175">
              <a:solidFill>
                <a:srgbClr val="C0C0C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969651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a:t>Delays Caused by One Additional Trip </a:t>
            </a:r>
          </a:p>
        </c:rich>
      </c:tx>
      <c:layout>
        <c:manualLayout>
          <c:xMode val="edge"/>
          <c:yMode val="edge"/>
          <c:x val="9.0180446194225744E-2"/>
          <c:y val="1.9629853960563871E-2"/>
        </c:manualLayout>
      </c:layout>
      <c:spPr>
        <a:noFill/>
        <a:ln w="25400">
          <a:noFill/>
        </a:ln>
      </c:spPr>
    </c:title>
    <c:plotArea>
      <c:layout>
        <c:manualLayout>
          <c:layoutTarget val="inner"/>
          <c:xMode val="edge"/>
          <c:yMode val="edge"/>
          <c:x val="0.11422856868871403"/>
          <c:y val="9.9730458221024568E-2"/>
          <c:w val="0.85771627015385365"/>
          <c:h val="0.71698113207552483"/>
        </c:manualLayout>
      </c:layout>
      <c:barChart>
        <c:barDir val="col"/>
        <c:grouping val="stacked"/>
        <c:ser>
          <c:idx val="1"/>
          <c:order val="0"/>
          <c:tx>
            <c:v>Inbound</c:v>
          </c:tx>
          <c:spPr>
            <a:solidFill>
              <a:srgbClr val="3366FF"/>
            </a:solidFill>
            <a:ln w="25400">
              <a:noFill/>
            </a:ln>
          </c:spPr>
          <c:cat>
            <c:strRef>
              <c:f>Delays!$E$163:$K$163</c:f>
              <c:strCache>
                <c:ptCount val="7"/>
                <c:pt idx="0">
                  <c:v>Graveyard</c:v>
                </c:pt>
                <c:pt idx="1">
                  <c:v>A.M. Pre-pk</c:v>
                </c:pt>
                <c:pt idx="2">
                  <c:v>A.M. Peak</c:v>
                </c:pt>
                <c:pt idx="3">
                  <c:v>A.M. Post-pk</c:v>
                </c:pt>
                <c:pt idx="4">
                  <c:v>Midday Pk</c:v>
                </c:pt>
                <c:pt idx="5">
                  <c:v>P.M. Peak</c:v>
                </c:pt>
                <c:pt idx="6">
                  <c:v>P.M. Post-pk</c:v>
                </c:pt>
              </c:strCache>
            </c:strRef>
          </c:cat>
          <c:val>
            <c:numRef>
              <c:f>Delays!$E$165:$K$165</c:f>
              <c:numCache>
                <c:formatCode>0.00</c:formatCode>
                <c:ptCount val="7"/>
                <c:pt idx="0">
                  <c:v>1.0514092574813061E-2</c:v>
                </c:pt>
                <c:pt idx="1">
                  <c:v>0.4708526658517076</c:v>
                </c:pt>
                <c:pt idx="2">
                  <c:v>2.5184304622722999</c:v>
                </c:pt>
                <c:pt idx="3">
                  <c:v>1.9793821529376872</c:v>
                </c:pt>
                <c:pt idx="4">
                  <c:v>1.4891770917153193</c:v>
                </c:pt>
                <c:pt idx="5">
                  <c:v>2.92852160462171</c:v>
                </c:pt>
                <c:pt idx="6">
                  <c:v>1.3485263516910346</c:v>
                </c:pt>
              </c:numCache>
            </c:numRef>
          </c:val>
        </c:ser>
        <c:ser>
          <c:idx val="0"/>
          <c:order val="1"/>
          <c:tx>
            <c:v>Outbound</c:v>
          </c:tx>
          <c:spPr>
            <a:solidFill>
              <a:srgbClr val="FF00FF"/>
            </a:solidFill>
            <a:ln w="25400">
              <a:noFill/>
            </a:ln>
          </c:spPr>
          <c:cat>
            <c:strRef>
              <c:f>Delays!$E$163:$K$163</c:f>
              <c:strCache>
                <c:ptCount val="7"/>
                <c:pt idx="0">
                  <c:v>Graveyard</c:v>
                </c:pt>
                <c:pt idx="1">
                  <c:v>A.M. Pre-pk</c:v>
                </c:pt>
                <c:pt idx="2">
                  <c:v>A.M. Peak</c:v>
                </c:pt>
                <c:pt idx="3">
                  <c:v>A.M. Post-pk</c:v>
                </c:pt>
                <c:pt idx="4">
                  <c:v>Midday Pk</c:v>
                </c:pt>
                <c:pt idx="5">
                  <c:v>P.M. Peak</c:v>
                </c:pt>
                <c:pt idx="6">
                  <c:v>P.M. Post-pk</c:v>
                </c:pt>
              </c:strCache>
            </c:strRef>
          </c:cat>
          <c:val>
            <c:numRef>
              <c:f>Delays!$E$166:$K$166</c:f>
              <c:numCache>
                <c:formatCode>0.00</c:formatCode>
                <c:ptCount val="7"/>
                <c:pt idx="0">
                  <c:v>1.9457470262141576</c:v>
                </c:pt>
                <c:pt idx="1">
                  <c:v>1.9457581670553192</c:v>
                </c:pt>
                <c:pt idx="2">
                  <c:v>1.9458727575490047</c:v>
                </c:pt>
                <c:pt idx="3">
                  <c:v>1.9458438779260181</c:v>
                </c:pt>
                <c:pt idx="4">
                  <c:v>1.945822854492653</c:v>
                </c:pt>
                <c:pt idx="5">
                  <c:v>1.9459547910025143</c:v>
                </c:pt>
                <c:pt idx="6">
                  <c:v>1.9458263264946436</c:v>
                </c:pt>
              </c:numCache>
            </c:numRef>
          </c:val>
        </c:ser>
        <c:overlap val="100"/>
        <c:axId val="129811200"/>
        <c:axId val="129813120"/>
      </c:barChart>
      <c:catAx>
        <c:axId val="129811200"/>
        <c:scaling>
          <c:orientation val="minMax"/>
        </c:scaling>
        <c:axPos val="b"/>
        <c:title>
          <c:tx>
            <c:rich>
              <a:bodyPr/>
              <a:lstStyle/>
              <a:p>
                <a:pPr>
                  <a:defRPr sz="925" b="1" i="0" u="none" strike="noStrike" baseline="0">
                    <a:solidFill>
                      <a:srgbClr val="000000"/>
                    </a:solidFill>
                    <a:latin typeface="Arial"/>
                    <a:ea typeface="Arial"/>
                    <a:cs typeface="Arial"/>
                  </a:defRPr>
                </a:pPr>
                <a:r>
                  <a:rPr lang="en-US"/>
                  <a:t>Time Period in which Vehicle Enters Cordon</a:t>
                </a:r>
              </a:p>
            </c:rich>
          </c:tx>
          <c:layout>
            <c:manualLayout>
              <c:xMode val="edge"/>
              <c:yMode val="edge"/>
              <c:x val="0.27022078122590776"/>
              <c:y val="0.92564344841514312"/>
            </c:manualLayout>
          </c:layout>
          <c:spPr>
            <a:noFill/>
            <a:ln w="25400">
              <a:noFill/>
            </a:ln>
          </c:spPr>
        </c:title>
        <c:numFmt formatCode="General" sourceLinked="1"/>
        <c:tickLblPos val="nextTo"/>
        <c:spPr>
          <a:ln w="3175">
            <a:solidFill>
              <a:srgbClr val="000000"/>
            </a:solidFill>
            <a:prstDash val="solid"/>
          </a:ln>
        </c:spPr>
        <c:txPr>
          <a:bodyPr rot="-1200000" vert="horz"/>
          <a:lstStyle/>
          <a:p>
            <a:pPr>
              <a:defRPr sz="800" b="1" i="0" u="none" strike="noStrike" baseline="0">
                <a:solidFill>
                  <a:srgbClr val="000000"/>
                </a:solidFill>
                <a:latin typeface="Arial"/>
                <a:ea typeface="Arial"/>
                <a:cs typeface="Arial"/>
              </a:defRPr>
            </a:pPr>
            <a:endParaRPr lang="en-US"/>
          </a:p>
        </c:txPr>
        <c:crossAx val="129813120"/>
        <c:crosses val="autoZero"/>
        <c:auto val="1"/>
        <c:lblAlgn val="ctr"/>
        <c:lblOffset val="0"/>
        <c:tickLblSkip val="1"/>
        <c:tickMarkSkip val="1"/>
      </c:catAx>
      <c:valAx>
        <c:axId val="129813120"/>
        <c:scaling>
          <c:orientation val="minMax"/>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Delay (hours)</a:t>
                </a:r>
              </a:p>
            </c:rich>
          </c:tx>
          <c:layout>
            <c:manualLayout>
              <c:xMode val="edge"/>
              <c:yMode val="edge"/>
              <c:x val="1.0020071020534201E-2"/>
              <c:y val="0.3841846692240945"/>
            </c:manualLayout>
          </c:layout>
          <c:spPr>
            <a:noFill/>
            <a:ln w="25400">
              <a:noFill/>
            </a:ln>
          </c:spPr>
        </c:title>
        <c:numFmt formatCode="General"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29811200"/>
        <c:crosses val="autoZero"/>
        <c:crossBetween val="between"/>
        <c:majorUnit val="0.5"/>
        <c:minorUnit val="0.47965530580089188"/>
      </c:valAx>
      <c:spPr>
        <a:solidFill>
          <a:srgbClr val="C0C0C0"/>
        </a:solidFill>
        <a:ln w="12700">
          <a:solidFill>
            <a:srgbClr val="808080"/>
          </a:solidFill>
          <a:prstDash val="solid"/>
        </a:ln>
      </c:spPr>
    </c:plotArea>
    <c:legend>
      <c:legendPos val="r"/>
      <c:layout>
        <c:manualLayout>
          <c:xMode val="edge"/>
          <c:yMode val="edge"/>
          <c:x val="0.65931430446194228"/>
          <c:y val="1.7094017094017103E-2"/>
          <c:w val="0.30147078122591586"/>
          <c:h val="7.4359243556093954E-2"/>
        </c:manualLayout>
      </c:layou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sz="1000"/>
              <a:t>Proposed Car Toll to Drive</a:t>
            </a:r>
          </a:p>
          <a:p>
            <a:pPr>
              <a:defRPr sz="900" b="1" i="0" u="none" strike="noStrike" baseline="0">
                <a:solidFill>
                  <a:srgbClr val="000000"/>
                </a:solidFill>
                <a:latin typeface="Arial"/>
                <a:ea typeface="Arial"/>
                <a:cs typeface="Arial"/>
              </a:defRPr>
            </a:pPr>
            <a:r>
              <a:rPr lang="en-US" sz="1000"/>
              <a:t>into CBD (weekdays)</a:t>
            </a:r>
          </a:p>
        </c:rich>
      </c:tx>
      <c:layout>
        <c:manualLayout>
          <c:xMode val="edge"/>
          <c:yMode val="edge"/>
          <c:x val="0.28130539238150787"/>
          <c:y val="4.3589743589743567E-2"/>
        </c:manualLayout>
      </c:layout>
      <c:spPr>
        <a:noFill/>
        <a:ln w="25400">
          <a:noFill/>
        </a:ln>
      </c:spPr>
    </c:title>
    <c:plotArea>
      <c:layout>
        <c:manualLayout>
          <c:layoutTarget val="inner"/>
          <c:xMode val="edge"/>
          <c:yMode val="edge"/>
          <c:x val="0.12169343608795857"/>
          <c:y val="0.17435941095605709"/>
          <c:w val="0.84127201469501778"/>
          <c:h val="0.63077081022347092"/>
        </c:manualLayout>
      </c:layout>
      <c:barChart>
        <c:barDir val="col"/>
        <c:grouping val="clustered"/>
        <c:ser>
          <c:idx val="0"/>
          <c:order val="0"/>
          <c:spPr>
            <a:solidFill>
              <a:srgbClr val="9999FF"/>
            </a:solidFill>
            <a:ln w="12700">
              <a:solidFill>
                <a:srgbClr val="000000"/>
              </a:solidFill>
              <a:prstDash val="solid"/>
            </a:ln>
          </c:spPr>
          <c:cat>
            <c:strRef>
              <c:f>('Weekday Hours'!$B$54,'Weekday Hours'!$B$31:$B$53)</c:f>
              <c:strCache>
                <c:ptCount val="24"/>
                <c:pt idx="0">
                  <c:v>11 p.m.</c:v>
                </c:pt>
                <c:pt idx="1">
                  <c:v>Midnight</c:v>
                </c:pt>
                <c:pt idx="2">
                  <c:v>1 a.m.</c:v>
                </c:pt>
                <c:pt idx="3">
                  <c:v>2 a.m.</c:v>
                </c:pt>
                <c:pt idx="4">
                  <c:v>3 a.m.</c:v>
                </c:pt>
                <c:pt idx="5">
                  <c:v>4 a.m.</c:v>
                </c:pt>
                <c:pt idx="6">
                  <c:v>5 a.m.</c:v>
                </c:pt>
                <c:pt idx="7">
                  <c:v>6 a.m.</c:v>
                </c:pt>
                <c:pt idx="8">
                  <c:v>7 a.m.</c:v>
                </c:pt>
                <c:pt idx="9">
                  <c:v>8 a.m.</c:v>
                </c:pt>
                <c:pt idx="10">
                  <c:v>9 a.m.</c:v>
                </c:pt>
                <c:pt idx="11">
                  <c:v>10 a.m.</c:v>
                </c:pt>
                <c:pt idx="12">
                  <c:v>11 a.m.</c:v>
                </c:pt>
                <c:pt idx="13">
                  <c:v>12 noon</c:v>
                </c:pt>
                <c:pt idx="14">
                  <c:v>1 p.m.</c:v>
                </c:pt>
                <c:pt idx="15">
                  <c:v>2 p.m.</c:v>
                </c:pt>
                <c:pt idx="16">
                  <c:v>3 p.m.</c:v>
                </c:pt>
                <c:pt idx="17">
                  <c:v>4 p.m.</c:v>
                </c:pt>
                <c:pt idx="18">
                  <c:v>5 p.m.</c:v>
                </c:pt>
                <c:pt idx="19">
                  <c:v>6 p.m.</c:v>
                </c:pt>
                <c:pt idx="20">
                  <c:v>7 p.m.</c:v>
                </c:pt>
                <c:pt idx="21">
                  <c:v>8 p.m.</c:v>
                </c:pt>
                <c:pt idx="22">
                  <c:v>9 p.m.</c:v>
                </c:pt>
                <c:pt idx="23">
                  <c:v>10 p.m.</c:v>
                </c:pt>
              </c:strCache>
            </c:strRef>
          </c:cat>
          <c:val>
            <c:numRef>
              <c:f>('Weekday Hours'!$I$54,'Weekday Hours'!$I$31:$I$53)</c:f>
              <c:numCache>
                <c:formatCode>"$"#,##0.00</c:formatCode>
                <c:ptCount val="24"/>
                <c:pt idx="0">
                  <c:v>3</c:v>
                </c:pt>
                <c:pt idx="1">
                  <c:v>3</c:v>
                </c:pt>
                <c:pt idx="2">
                  <c:v>3</c:v>
                </c:pt>
                <c:pt idx="3">
                  <c:v>3</c:v>
                </c:pt>
                <c:pt idx="4">
                  <c:v>3</c:v>
                </c:pt>
                <c:pt idx="5">
                  <c:v>3</c:v>
                </c:pt>
                <c:pt idx="6">
                  <c:v>7</c:v>
                </c:pt>
                <c:pt idx="7">
                  <c:v>9.5</c:v>
                </c:pt>
                <c:pt idx="8">
                  <c:v>9.5</c:v>
                </c:pt>
                <c:pt idx="9">
                  <c:v>9.5</c:v>
                </c:pt>
                <c:pt idx="10">
                  <c:v>9.5</c:v>
                </c:pt>
                <c:pt idx="11">
                  <c:v>7</c:v>
                </c:pt>
                <c:pt idx="12">
                  <c:v>7</c:v>
                </c:pt>
                <c:pt idx="13">
                  <c:v>7</c:v>
                </c:pt>
                <c:pt idx="14">
                  <c:v>7</c:v>
                </c:pt>
                <c:pt idx="15">
                  <c:v>9.5</c:v>
                </c:pt>
                <c:pt idx="16">
                  <c:v>9.5</c:v>
                </c:pt>
                <c:pt idx="17">
                  <c:v>9.5</c:v>
                </c:pt>
                <c:pt idx="18">
                  <c:v>9.5</c:v>
                </c:pt>
                <c:pt idx="19">
                  <c:v>9.5</c:v>
                </c:pt>
                <c:pt idx="20">
                  <c:v>9.5</c:v>
                </c:pt>
                <c:pt idx="21">
                  <c:v>7</c:v>
                </c:pt>
                <c:pt idx="22">
                  <c:v>7</c:v>
                </c:pt>
                <c:pt idx="23">
                  <c:v>7</c:v>
                </c:pt>
              </c:numCache>
            </c:numRef>
          </c:val>
        </c:ser>
        <c:gapWidth val="0"/>
        <c:axId val="129780736"/>
        <c:axId val="129827584"/>
      </c:barChart>
      <c:catAx>
        <c:axId val="129780736"/>
        <c:scaling>
          <c:orientation val="minMax"/>
        </c:scaling>
        <c:axPos val="b"/>
        <c:numFmt formatCode="[$-409]h:mm\ AM/PM;@" sourceLinked="0"/>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129827584"/>
        <c:crossesAt val="0"/>
        <c:auto val="1"/>
        <c:lblAlgn val="ctr"/>
        <c:lblOffset val="100"/>
        <c:tickLblSkip val="1"/>
        <c:tickMarkSkip val="1"/>
      </c:catAx>
      <c:valAx>
        <c:axId val="129827584"/>
        <c:scaling>
          <c:orientation val="minMax"/>
          <c:min val="0"/>
        </c:scaling>
        <c:axPos val="l"/>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9780736"/>
        <c:crosses val="autoZero"/>
        <c:crossBetween val="between"/>
        <c:majorUnit val="2"/>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50" b="1" i="0" u="none" strike="noStrike" baseline="0">
                <a:solidFill>
                  <a:srgbClr val="000000"/>
                </a:solidFill>
                <a:latin typeface="Arial"/>
                <a:ea typeface="Arial"/>
                <a:cs typeface="Arial"/>
              </a:defRPr>
            </a:pPr>
            <a:r>
              <a:rPr lang="en-US"/>
              <a:t>Imposed Delay Varies with Baseline Traffic Volume</a:t>
            </a:r>
          </a:p>
        </c:rich>
      </c:tx>
      <c:layout>
        <c:manualLayout>
          <c:xMode val="edge"/>
          <c:yMode val="edge"/>
          <c:x val="0.19322678104600743"/>
          <c:y val="3.5278944764492302E-2"/>
        </c:manualLayout>
      </c:layout>
      <c:spPr>
        <a:noFill/>
        <a:ln w="25400">
          <a:noFill/>
        </a:ln>
      </c:spPr>
    </c:title>
    <c:plotArea>
      <c:layout>
        <c:manualLayout>
          <c:layoutTarget val="inner"/>
          <c:xMode val="edge"/>
          <c:yMode val="edge"/>
          <c:x val="9.5427435387683723E-2"/>
          <c:y val="0.10543147437767462"/>
          <c:w val="0.8648111332008388"/>
          <c:h val="0.74760500013262265"/>
        </c:manualLayout>
      </c:layout>
      <c:lineChart>
        <c:grouping val="standard"/>
        <c:ser>
          <c:idx val="0"/>
          <c:order val="0"/>
          <c:spPr>
            <a:ln w="25400">
              <a:solidFill>
                <a:srgbClr val="000080"/>
              </a:solidFill>
              <a:prstDash val="solid"/>
            </a:ln>
          </c:spPr>
          <c:marker>
            <c:symbol val="none"/>
          </c:marker>
          <c:cat>
            <c:numRef>
              <c:f>Delays!$Y$120:$Y$172</c:f>
              <c:numCache>
                <c:formatCode>0.0%</c:formatCode>
                <c:ptCount val="53"/>
                <c:pt idx="0">
                  <c:v>0.1</c:v>
                </c:pt>
                <c:pt idx="1">
                  <c:v>9.5000000000000001E-2</c:v>
                </c:pt>
                <c:pt idx="2">
                  <c:v>0.09</c:v>
                </c:pt>
                <c:pt idx="3">
                  <c:v>8.5000000000000006E-2</c:v>
                </c:pt>
                <c:pt idx="4">
                  <c:v>0.08</c:v>
                </c:pt>
                <c:pt idx="5">
                  <c:v>7.4999999999999997E-2</c:v>
                </c:pt>
                <c:pt idx="6">
                  <c:v>7.0000000000000007E-2</c:v>
                </c:pt>
                <c:pt idx="7">
                  <c:v>6.5000000000000002E-2</c:v>
                </c:pt>
                <c:pt idx="8">
                  <c:v>0.06</c:v>
                </c:pt>
                <c:pt idx="9">
                  <c:v>5.5E-2</c:v>
                </c:pt>
                <c:pt idx="10">
                  <c:v>0.05</c:v>
                </c:pt>
                <c:pt idx="11">
                  <c:v>4.4999999999999998E-2</c:v>
                </c:pt>
                <c:pt idx="12">
                  <c:v>0.04</c:v>
                </c:pt>
                <c:pt idx="13">
                  <c:v>3.5000000000000003E-2</c:v>
                </c:pt>
                <c:pt idx="14">
                  <c:v>0.03</c:v>
                </c:pt>
                <c:pt idx="15">
                  <c:v>2.5000000000000001E-2</c:v>
                </c:pt>
                <c:pt idx="16">
                  <c:v>0.02</c:v>
                </c:pt>
                <c:pt idx="17">
                  <c:v>1.4999999999999999E-2</c:v>
                </c:pt>
                <c:pt idx="18">
                  <c:v>0.01</c:v>
                </c:pt>
                <c:pt idx="19">
                  <c:v>5.0000000000000001E-3</c:v>
                </c:pt>
                <c:pt idx="20">
                  <c:v>0</c:v>
                </c:pt>
                <c:pt idx="21">
                  <c:v>-5.0000000000000001E-3</c:v>
                </c:pt>
                <c:pt idx="22">
                  <c:v>-0.01</c:v>
                </c:pt>
                <c:pt idx="23">
                  <c:v>-1.4999999999999999E-2</c:v>
                </c:pt>
                <c:pt idx="24">
                  <c:v>-0.02</c:v>
                </c:pt>
                <c:pt idx="25">
                  <c:v>-2.5000000000000001E-2</c:v>
                </c:pt>
                <c:pt idx="26">
                  <c:v>-0.03</c:v>
                </c:pt>
                <c:pt idx="27">
                  <c:v>-3.5000000000000003E-2</c:v>
                </c:pt>
                <c:pt idx="28">
                  <c:v>-0.04</c:v>
                </c:pt>
                <c:pt idx="29">
                  <c:v>-4.4999999999999998E-2</c:v>
                </c:pt>
                <c:pt idx="30">
                  <c:v>-0.05</c:v>
                </c:pt>
                <c:pt idx="31">
                  <c:v>-5.5E-2</c:v>
                </c:pt>
                <c:pt idx="32">
                  <c:v>-0.06</c:v>
                </c:pt>
                <c:pt idx="33">
                  <c:v>-6.5000000000000002E-2</c:v>
                </c:pt>
                <c:pt idx="34">
                  <c:v>-7.0000000000000007E-2</c:v>
                </c:pt>
                <c:pt idx="35">
                  <c:v>-7.4999999999999997E-2</c:v>
                </c:pt>
                <c:pt idx="36">
                  <c:v>-0.08</c:v>
                </c:pt>
                <c:pt idx="37">
                  <c:v>-8.5000000000000006E-2</c:v>
                </c:pt>
                <c:pt idx="38">
                  <c:v>-0.09</c:v>
                </c:pt>
                <c:pt idx="39">
                  <c:v>-9.5000000000000001E-2</c:v>
                </c:pt>
                <c:pt idx="40">
                  <c:v>-0.1</c:v>
                </c:pt>
                <c:pt idx="41">
                  <c:v>-0.105</c:v>
                </c:pt>
                <c:pt idx="42">
                  <c:v>-0.11</c:v>
                </c:pt>
                <c:pt idx="43">
                  <c:v>-0.115</c:v>
                </c:pt>
                <c:pt idx="44">
                  <c:v>-0.12</c:v>
                </c:pt>
                <c:pt idx="45">
                  <c:v>-0.125</c:v>
                </c:pt>
                <c:pt idx="46">
                  <c:v>-0.13</c:v>
                </c:pt>
                <c:pt idx="47">
                  <c:v>-0.13500000000000001</c:v>
                </c:pt>
                <c:pt idx="48">
                  <c:v>-0.14000000000000001</c:v>
                </c:pt>
                <c:pt idx="49">
                  <c:v>-0.14499999999999999</c:v>
                </c:pt>
              </c:numCache>
            </c:numRef>
          </c:cat>
          <c:val>
            <c:numRef>
              <c:f>Delays!$Z$120:$Z$172</c:f>
              <c:numCache>
                <c:formatCode>0.00</c:formatCode>
                <c:ptCount val="53"/>
                <c:pt idx="0">
                  <c:v>4.3984154366728108</c:v>
                </c:pt>
                <c:pt idx="1">
                  <c:v>4.3341243508007832</c:v>
                </c:pt>
                <c:pt idx="2">
                  <c:v>4.2706483651566289</c:v>
                </c:pt>
                <c:pt idx="3">
                  <c:v>4.2079781915803238</c:v>
                </c:pt>
                <c:pt idx="4">
                  <c:v>4.1461046432496911</c:v>
                </c:pt>
                <c:pt idx="5">
                  <c:v>4.0850186338064463</c:v>
                </c:pt>
                <c:pt idx="6">
                  <c:v>4.0247111760245566</c:v>
                </c:pt>
                <c:pt idx="7">
                  <c:v>3.9651733808140137</c:v>
                </c:pt>
                <c:pt idx="8">
                  <c:v>3.9063964560900919</c:v>
                </c:pt>
                <c:pt idx="9">
                  <c:v>3.8483717054934807</c:v>
                </c:pt>
                <c:pt idx="10">
                  <c:v>3.7910905275445446</c:v>
                </c:pt>
                <c:pt idx="11">
                  <c:v>3.7345444145131763</c:v>
                </c:pt>
                <c:pt idx="12">
                  <c:v>3.6787249511860769</c:v>
                </c:pt>
                <c:pt idx="13">
                  <c:v>3.6236238141300809</c:v>
                </c:pt>
                <c:pt idx="14">
                  <c:v>3.5692327703281532</c:v>
                </c:pt>
                <c:pt idx="15">
                  <c:v>3.5155436763269412</c:v>
                </c:pt>
                <c:pt idx="16">
                  <c:v>3.4625484773504205</c:v>
                </c:pt>
                <c:pt idx="17">
                  <c:v>3.4102392059559414</c:v>
                </c:pt>
                <c:pt idx="18">
                  <c:v>3.3586079813853709</c:v>
                </c:pt>
                <c:pt idx="19">
                  <c:v>3.3076470084008824</c:v>
                </c:pt>
                <c:pt idx="20">
                  <c:v>3.2573485764407208</c:v>
                </c:pt>
                <c:pt idx="21">
                  <c:v>3.2077050584699256</c:v>
                </c:pt>
                <c:pt idx="22">
                  <c:v>3.1587089103053185</c:v>
                </c:pt>
                <c:pt idx="23">
                  <c:v>3.1103526694743695</c:v>
                </c:pt>
                <c:pt idx="24">
                  <c:v>3.0626289543444791</c:v>
                </c:pt>
                <c:pt idx="25">
                  <c:v>3.0155304634346889</c:v>
                </c:pt>
                <c:pt idx="26">
                  <c:v>2.9690499740413987</c:v>
                </c:pt>
                <c:pt idx="27">
                  <c:v>2.9231803418452542</c:v>
                </c:pt>
                <c:pt idx="28">
                  <c:v>2.8779144997351587</c:v>
                </c:pt>
                <c:pt idx="29">
                  <c:v>2.8332454571271439</c:v>
                </c:pt>
                <c:pt idx="30">
                  <c:v>2.7891662988916037</c:v>
                </c:pt>
                <c:pt idx="31">
                  <c:v>2.745670184718731</c:v>
                </c:pt>
                <c:pt idx="32">
                  <c:v>2.7027503482083821</c:v>
                </c:pt>
                <c:pt idx="33">
                  <c:v>2.6604000959660685</c:v>
                </c:pt>
                <c:pt idx="34">
                  <c:v>2.6186128069332555</c:v>
                </c:pt>
                <c:pt idx="35">
                  <c:v>2.5773819314560615</c:v>
                </c:pt>
                <c:pt idx="36">
                  <c:v>2.5367009905597451</c:v>
                </c:pt>
                <c:pt idx="37">
                  <c:v>2.4965635751294242</c:v>
                </c:pt>
                <c:pt idx="38">
                  <c:v>2.4569633451545938</c:v>
                </c:pt>
                <c:pt idx="39">
                  <c:v>2.4178940289561313</c:v>
                </c:pt>
                <c:pt idx="40">
                  <c:v>2.3793494223930653</c:v>
                </c:pt>
                <c:pt idx="41">
                  <c:v>2.3413233881777136</c:v>
                </c:pt>
                <c:pt idx="42">
                  <c:v>2.3038098550879829</c:v>
                </c:pt>
                <c:pt idx="43">
                  <c:v>2.2668028172301407</c:v>
                </c:pt>
                <c:pt idx="44">
                  <c:v>2.2302963333630914</c:v>
                </c:pt>
                <c:pt idx="45">
                  <c:v>2.194284526100609</c:v>
                </c:pt>
                <c:pt idx="46">
                  <c:v>2.1587615813073948</c:v>
                </c:pt>
                <c:pt idx="47">
                  <c:v>2.1237217473192547</c:v>
                </c:pt>
                <c:pt idx="48">
                  <c:v>2.0891593343091772</c:v>
                </c:pt>
                <c:pt idx="49">
                  <c:v>2.0550687135266861</c:v>
                </c:pt>
              </c:numCache>
            </c:numRef>
          </c:val>
        </c:ser>
        <c:marker val="1"/>
        <c:axId val="129846656"/>
        <c:axId val="129885696"/>
      </c:lineChart>
      <c:catAx>
        <c:axId val="129846656"/>
        <c:scaling>
          <c:orientation val="minMax"/>
        </c:scaling>
        <c:axPos val="b"/>
        <c:title>
          <c:tx>
            <c:rich>
              <a:bodyPr/>
              <a:lstStyle/>
              <a:p>
                <a:pPr>
                  <a:defRPr sz="850" b="1" i="0" u="none" strike="noStrike" baseline="0">
                    <a:solidFill>
                      <a:srgbClr val="000000"/>
                    </a:solidFill>
                    <a:latin typeface="Arial"/>
                    <a:ea typeface="Arial"/>
                    <a:cs typeface="Arial"/>
                  </a:defRPr>
                </a:pPr>
                <a:r>
                  <a:rPr lang="en-US"/>
                  <a:t>Change in Traffic Volume</a:t>
                </a:r>
              </a:p>
            </c:rich>
          </c:tx>
          <c:layout>
            <c:manualLayout>
              <c:xMode val="edge"/>
              <c:yMode val="edge"/>
              <c:x val="0.32206759443339961"/>
              <c:y val="0.91693424903356724"/>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29885696"/>
        <c:crossesAt val="-0.60000000000000064"/>
        <c:auto val="1"/>
        <c:lblAlgn val="ctr"/>
        <c:lblOffset val="0"/>
        <c:tickLblSkip val="4"/>
        <c:tickMarkSkip val="1"/>
      </c:catAx>
      <c:valAx>
        <c:axId val="129885696"/>
        <c:scaling>
          <c:orientation val="minMax"/>
          <c:min val="1"/>
        </c:scaling>
        <c:axPos val="l"/>
        <c:title>
          <c:tx>
            <c:rich>
              <a:bodyPr/>
              <a:lstStyle/>
              <a:p>
                <a:pPr>
                  <a:defRPr sz="850" b="1" i="0" u="none" strike="noStrike" baseline="0">
                    <a:solidFill>
                      <a:srgbClr val="000000"/>
                    </a:solidFill>
                    <a:latin typeface="Arial"/>
                    <a:ea typeface="Arial"/>
                    <a:cs typeface="Arial"/>
                  </a:defRPr>
                </a:pPr>
                <a:r>
                  <a:rPr lang="en-US"/>
                  <a:t>Delay (hrs) due to one trip</a:t>
                </a:r>
              </a:p>
            </c:rich>
          </c:tx>
          <c:layout>
            <c:manualLayout>
              <c:xMode val="edge"/>
              <c:yMode val="edge"/>
              <c:x val="1.0855392578908878E-2"/>
              <c:y val="0.2950610886099303"/>
            </c:manualLayout>
          </c:layout>
          <c:spPr>
            <a:noFill/>
            <a:ln w="25400">
              <a:noFill/>
            </a:ln>
          </c:spPr>
        </c:title>
        <c:numFmt formatCode="0.0" sourceLinked="0"/>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2984665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75" b="1" i="0" u="none" strike="noStrike" baseline="0">
                <a:solidFill>
                  <a:srgbClr val="000000"/>
                </a:solidFill>
                <a:latin typeface="Arial"/>
                <a:ea typeface="Arial"/>
                <a:cs typeface="Arial"/>
              </a:defRPr>
            </a:pPr>
            <a:r>
              <a:rPr lang="en-US"/>
              <a:t>Delay Amount is Sensitive to Traffic Volume</a:t>
            </a:r>
          </a:p>
        </c:rich>
      </c:tx>
      <c:layout>
        <c:manualLayout>
          <c:xMode val="edge"/>
          <c:yMode val="edge"/>
          <c:x val="0.14536141886373791"/>
          <c:y val="5.3860148078505095E-2"/>
        </c:manualLayout>
      </c:layout>
      <c:spPr>
        <a:noFill/>
        <a:ln w="25400">
          <a:noFill/>
        </a:ln>
      </c:spPr>
    </c:title>
    <c:plotArea>
      <c:layout>
        <c:manualLayout>
          <c:layoutTarget val="inner"/>
          <c:xMode val="edge"/>
          <c:yMode val="edge"/>
          <c:x val="0.14322365962670164"/>
          <c:y val="0.15559604289061557"/>
          <c:w val="0.78879896122765458"/>
          <c:h val="0.64033756112670359"/>
        </c:manualLayout>
      </c:layout>
      <c:lineChart>
        <c:grouping val="standard"/>
        <c:ser>
          <c:idx val="0"/>
          <c:order val="0"/>
          <c:spPr>
            <a:ln w="25400">
              <a:solidFill>
                <a:srgbClr val="000080"/>
              </a:solidFill>
              <a:prstDash val="solid"/>
            </a:ln>
          </c:spPr>
          <c:marker>
            <c:symbol val="none"/>
          </c:marker>
          <c:cat>
            <c:numRef>
              <c:f>Delays!$Y$120:$Y$172</c:f>
              <c:numCache>
                <c:formatCode>0.0%</c:formatCode>
                <c:ptCount val="53"/>
                <c:pt idx="0">
                  <c:v>0.1</c:v>
                </c:pt>
                <c:pt idx="1">
                  <c:v>9.5000000000000001E-2</c:v>
                </c:pt>
                <c:pt idx="2">
                  <c:v>0.09</c:v>
                </c:pt>
                <c:pt idx="3">
                  <c:v>8.5000000000000006E-2</c:v>
                </c:pt>
                <c:pt idx="4">
                  <c:v>0.08</c:v>
                </c:pt>
                <c:pt idx="5">
                  <c:v>7.4999999999999997E-2</c:v>
                </c:pt>
                <c:pt idx="6">
                  <c:v>7.0000000000000007E-2</c:v>
                </c:pt>
                <c:pt idx="7">
                  <c:v>6.5000000000000002E-2</c:v>
                </c:pt>
                <c:pt idx="8">
                  <c:v>0.06</c:v>
                </c:pt>
                <c:pt idx="9">
                  <c:v>5.5E-2</c:v>
                </c:pt>
                <c:pt idx="10">
                  <c:v>0.05</c:v>
                </c:pt>
                <c:pt idx="11">
                  <c:v>4.4999999999999998E-2</c:v>
                </c:pt>
                <c:pt idx="12">
                  <c:v>0.04</c:v>
                </c:pt>
                <c:pt idx="13">
                  <c:v>3.5000000000000003E-2</c:v>
                </c:pt>
                <c:pt idx="14">
                  <c:v>0.03</c:v>
                </c:pt>
                <c:pt idx="15">
                  <c:v>2.5000000000000001E-2</c:v>
                </c:pt>
                <c:pt idx="16">
                  <c:v>0.02</c:v>
                </c:pt>
                <c:pt idx="17">
                  <c:v>1.4999999999999999E-2</c:v>
                </c:pt>
                <c:pt idx="18">
                  <c:v>0.01</c:v>
                </c:pt>
                <c:pt idx="19">
                  <c:v>5.0000000000000001E-3</c:v>
                </c:pt>
                <c:pt idx="20">
                  <c:v>0</c:v>
                </c:pt>
                <c:pt idx="21">
                  <c:v>-5.0000000000000001E-3</c:v>
                </c:pt>
                <c:pt idx="22">
                  <c:v>-0.01</c:v>
                </c:pt>
                <c:pt idx="23">
                  <c:v>-1.4999999999999999E-2</c:v>
                </c:pt>
                <c:pt idx="24">
                  <c:v>-0.02</c:v>
                </c:pt>
                <c:pt idx="25">
                  <c:v>-2.5000000000000001E-2</c:v>
                </c:pt>
                <c:pt idx="26">
                  <c:v>-0.03</c:v>
                </c:pt>
                <c:pt idx="27">
                  <c:v>-3.5000000000000003E-2</c:v>
                </c:pt>
                <c:pt idx="28">
                  <c:v>-0.04</c:v>
                </c:pt>
                <c:pt idx="29">
                  <c:v>-4.4999999999999998E-2</c:v>
                </c:pt>
                <c:pt idx="30">
                  <c:v>-0.05</c:v>
                </c:pt>
                <c:pt idx="31">
                  <c:v>-5.5E-2</c:v>
                </c:pt>
                <c:pt idx="32">
                  <c:v>-0.06</c:v>
                </c:pt>
                <c:pt idx="33">
                  <c:v>-6.5000000000000002E-2</c:v>
                </c:pt>
                <c:pt idx="34">
                  <c:v>-7.0000000000000007E-2</c:v>
                </c:pt>
                <c:pt idx="35">
                  <c:v>-7.4999999999999997E-2</c:v>
                </c:pt>
                <c:pt idx="36">
                  <c:v>-0.08</c:v>
                </c:pt>
                <c:pt idx="37">
                  <c:v>-8.5000000000000006E-2</c:v>
                </c:pt>
                <c:pt idx="38">
                  <c:v>-0.09</c:v>
                </c:pt>
                <c:pt idx="39">
                  <c:v>-9.5000000000000001E-2</c:v>
                </c:pt>
                <c:pt idx="40">
                  <c:v>-0.1</c:v>
                </c:pt>
                <c:pt idx="41">
                  <c:v>-0.105</c:v>
                </c:pt>
                <c:pt idx="42">
                  <c:v>-0.11</c:v>
                </c:pt>
                <c:pt idx="43">
                  <c:v>-0.115</c:v>
                </c:pt>
                <c:pt idx="44">
                  <c:v>-0.12</c:v>
                </c:pt>
                <c:pt idx="45">
                  <c:v>-0.125</c:v>
                </c:pt>
                <c:pt idx="46">
                  <c:v>-0.13</c:v>
                </c:pt>
                <c:pt idx="47">
                  <c:v>-0.13500000000000001</c:v>
                </c:pt>
                <c:pt idx="48">
                  <c:v>-0.14000000000000001</c:v>
                </c:pt>
                <c:pt idx="49">
                  <c:v>-0.14499999999999999</c:v>
                </c:pt>
              </c:numCache>
            </c:numRef>
          </c:cat>
          <c:val>
            <c:numRef>
              <c:f>Delays!$AA$120:$AA$192</c:f>
              <c:numCache>
                <c:formatCode>0%</c:formatCode>
                <c:ptCount val="73"/>
                <c:pt idx="0">
                  <c:v>0.35030541971621743</c:v>
                </c:pt>
                <c:pt idx="1">
                  <c:v>0.33056817503291192</c:v>
                </c:pt>
                <c:pt idx="2">
                  <c:v>0.31108116461491297</c:v>
                </c:pt>
                <c:pt idx="3">
                  <c:v>0.29184153701423887</c:v>
                </c:pt>
                <c:pt idx="4">
                  <c:v>0.27284647189344002</c:v>
                </c:pt>
                <c:pt idx="5">
                  <c:v>0.25409317975729628</c:v>
                </c:pt>
                <c:pt idx="6">
                  <c:v>0.23557890154400574</c:v>
                </c:pt>
                <c:pt idx="7">
                  <c:v>0.21730090831934468</c:v>
                </c:pt>
                <c:pt idx="8">
                  <c:v>0.19925650092953218</c:v>
                </c:pt>
                <c:pt idx="9">
                  <c:v>0.1814430096083135</c:v>
                </c:pt>
                <c:pt idx="10">
                  <c:v>0.16385779371731823</c:v>
                </c:pt>
                <c:pt idx="11">
                  <c:v>0.1464982413991085</c:v>
                </c:pt>
                <c:pt idx="12">
                  <c:v>0.1293617691987361</c:v>
                </c:pt>
                <c:pt idx="13">
                  <c:v>0.11244582183758367</c:v>
                </c:pt>
                <c:pt idx="14">
                  <c:v>9.574787179461941E-2</c:v>
                </c:pt>
                <c:pt idx="15">
                  <c:v>7.9265419044696861E-2</c:v>
                </c:pt>
                <c:pt idx="16">
                  <c:v>6.2995990786445022E-2</c:v>
                </c:pt>
                <c:pt idx="17">
                  <c:v>4.6937141029678386E-2</c:v>
                </c:pt>
                <c:pt idx="18">
                  <c:v>3.108645039619784E-2</c:v>
                </c:pt>
                <c:pt idx="19">
                  <c:v>1.5441525762380115E-2</c:v>
                </c:pt>
                <c:pt idx="20">
                  <c:v>0</c:v>
                </c:pt>
                <c:pt idx="21">
                  <c:v>-1.5240468376596095E-2</c:v>
                </c:pt>
                <c:pt idx="22">
                  <c:v>-3.0282195417717706E-2</c:v>
                </c:pt>
                <c:pt idx="23">
                  <c:v>-4.5127472088655751E-2</c:v>
                </c:pt>
                <c:pt idx="24">
                  <c:v>-5.9778564536992373E-2</c:v>
                </c:pt>
                <c:pt idx="25">
                  <c:v>-7.4237714303903135E-2</c:v>
                </c:pt>
                <c:pt idx="26">
                  <c:v>-8.8507138746060643E-2</c:v>
                </c:pt>
                <c:pt idx="27">
                  <c:v>-0.10258903115631846</c:v>
                </c:pt>
                <c:pt idx="28">
                  <c:v>-0.11648556112473751</c:v>
                </c:pt>
                <c:pt idx="29">
                  <c:v>-0.13019887474769154</c:v>
                </c:pt>
                <c:pt idx="30">
                  <c:v>-0.14373109495720482</c:v>
                </c:pt>
                <c:pt idx="31">
                  <c:v>-0.15708432171576081</c:v>
                </c:pt>
                <c:pt idx="32">
                  <c:v>-0.17026063229571331</c:v>
                </c:pt>
                <c:pt idx="33">
                  <c:v>-0.18326208155681434</c:v>
                </c:pt>
                <c:pt idx="34">
                  <c:v>-0.19609070215181179</c:v>
                </c:pt>
                <c:pt idx="35">
                  <c:v>-0.20874850481235674</c:v>
                </c:pt>
                <c:pt idx="36">
                  <c:v>-0.22123747857173504</c:v>
                </c:pt>
                <c:pt idx="37">
                  <c:v>-0.23355959101638435</c:v>
                </c:pt>
                <c:pt idx="38">
                  <c:v>-0.2457167885178263</c:v>
                </c:pt>
                <c:pt idx="39">
                  <c:v>-0.25771099646997409</c:v>
                </c:pt>
                <c:pt idx="40">
                  <c:v>-0.26954411953265323</c:v>
                </c:pt>
                <c:pt idx="41">
                  <c:v>-0.28121804184185306</c:v>
                </c:pt>
                <c:pt idx="42">
                  <c:v>-0.29273462725154897</c:v>
                </c:pt>
                <c:pt idx="43">
                  <c:v>-0.3040957195600299</c:v>
                </c:pt>
                <c:pt idx="44">
                  <c:v>-0.31530314271734505</c:v>
                </c:pt>
                <c:pt idx="45">
                  <c:v>-0.32635870107021636</c:v>
                </c:pt>
                <c:pt idx="46">
                  <c:v>-0.33726417954744758</c:v>
                </c:pt>
                <c:pt idx="47">
                  <c:v>-0.34802134389932915</c:v>
                </c:pt>
                <c:pt idx="48">
                  <c:v>-0.35863194089225015</c:v>
                </c:pt>
                <c:pt idx="49">
                  <c:v>-0.3690976985422163</c:v>
                </c:pt>
              </c:numCache>
            </c:numRef>
          </c:val>
        </c:ser>
        <c:marker val="1"/>
        <c:axId val="129967232"/>
        <c:axId val="129969152"/>
      </c:lineChart>
      <c:catAx>
        <c:axId val="129967232"/>
        <c:scaling>
          <c:orientation val="minMax"/>
        </c:scaling>
        <c:axPos val="b"/>
        <c:title>
          <c:tx>
            <c:rich>
              <a:bodyPr/>
              <a:lstStyle/>
              <a:p>
                <a:pPr>
                  <a:defRPr sz="1075" b="1" i="0" u="none" strike="noStrike" baseline="0">
                    <a:solidFill>
                      <a:srgbClr val="000000"/>
                    </a:solidFill>
                    <a:latin typeface="Arial"/>
                    <a:ea typeface="Arial"/>
                    <a:cs typeface="Arial"/>
                  </a:defRPr>
                </a:pPr>
                <a:r>
                  <a:rPr lang="en-US"/>
                  <a:t>% Change in Traffic Volume</a:t>
                </a:r>
              </a:p>
            </c:rich>
          </c:tx>
          <c:layout>
            <c:manualLayout>
              <c:xMode val="edge"/>
              <c:yMode val="edge"/>
              <c:x val="0.25010688732403952"/>
              <c:y val="0.87971606534257862"/>
            </c:manualLayout>
          </c:layout>
          <c:spPr>
            <a:noFill/>
            <a:ln w="25400">
              <a:noFill/>
            </a:ln>
          </c:spPr>
        </c:title>
        <c:numFmt formatCode="0%" sourceLinked="0"/>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29969152"/>
        <c:crossesAt val="-0.8"/>
        <c:auto val="1"/>
        <c:lblAlgn val="ctr"/>
        <c:lblOffset val="100"/>
        <c:tickLblSkip val="8"/>
        <c:tickMarkSkip val="2"/>
      </c:catAx>
      <c:valAx>
        <c:axId val="129969152"/>
        <c:scaling>
          <c:orientation val="minMax"/>
        </c:scaling>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en-US"/>
                  <a:t>% Change in Delays Due to 1 Vehicle</a:t>
                </a:r>
              </a:p>
            </c:rich>
          </c:tx>
          <c:layout>
            <c:manualLayout>
              <c:xMode val="edge"/>
              <c:yMode val="edge"/>
              <c:x val="1.0688321494059821E-2"/>
              <c:y val="0.22441744035728758"/>
            </c:manualLayout>
          </c:layout>
          <c:spPr>
            <a:noFill/>
            <a:ln w="25400">
              <a:noFill/>
            </a:ln>
          </c:spPr>
        </c:title>
        <c:numFmt formatCode="0%" sourceLinked="1"/>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29967232"/>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425" b="1" i="0" u="none" strike="noStrike" baseline="0">
                <a:solidFill>
                  <a:srgbClr val="000000"/>
                </a:solidFill>
                <a:latin typeface="Arial"/>
                <a:ea typeface="Arial"/>
                <a:cs typeface="Arial"/>
              </a:defRPr>
            </a:pPr>
            <a:r>
              <a:rPr lang="en-US"/>
              <a:t>Delta (from prior # cordon entries)</a:t>
            </a:r>
          </a:p>
        </c:rich>
      </c:tx>
      <c:spPr>
        <a:noFill/>
        <a:ln w="25400">
          <a:noFill/>
        </a:ln>
      </c:spPr>
    </c:title>
    <c:plotArea>
      <c:layout/>
      <c:barChart>
        <c:barDir val="col"/>
        <c:grouping val="clustered"/>
        <c:ser>
          <c:idx val="0"/>
          <c:order val="0"/>
          <c:spPr>
            <a:solidFill>
              <a:srgbClr val="9999FF"/>
            </a:solidFill>
            <a:ln w="12700">
              <a:solidFill>
                <a:srgbClr val="000000"/>
              </a:solidFill>
              <a:prstDash val="solid"/>
            </a:ln>
          </c:spPr>
          <c:val>
            <c:numLit>
              <c:formatCode>General</c:formatCode>
              <c:ptCount val="10"/>
              <c:pt idx="0">
                <c:v>-160328.37781565811</c:v>
              </c:pt>
              <c:pt idx="1">
                <c:v>110624.35532632752</c:v>
              </c:pt>
              <c:pt idx="2">
                <c:v>-82192.407740163748</c:v>
              </c:pt>
              <c:pt idx="3">
                <c:v>45610.712405554834</c:v>
              </c:pt>
              <c:pt idx="4">
                <c:v>-35121.719788497197</c:v>
              </c:pt>
              <c:pt idx="5">
                <c:v>14765.755590215442</c:v>
              </c:pt>
              <c:pt idx="6">
                <c:v>-5910.5243876187596</c:v>
              </c:pt>
              <c:pt idx="7">
                <c:v>2218.1654394479697</c:v>
              </c:pt>
              <c:pt idx="8">
                <c:v>-755.47781914414338</c:v>
              </c:pt>
              <c:pt idx="9">
                <c:v>245.11636061978058</c:v>
              </c:pt>
            </c:numLit>
          </c:val>
        </c:ser>
        <c:axId val="134882048"/>
        <c:axId val="134883584"/>
      </c:barChart>
      <c:catAx>
        <c:axId val="134882048"/>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34883584"/>
        <c:crosses val="autoZero"/>
        <c:auto val="1"/>
        <c:lblAlgn val="ctr"/>
        <c:lblOffset val="100"/>
        <c:tickLblSkip val="1"/>
        <c:tickMarkSkip val="1"/>
      </c:catAx>
      <c:valAx>
        <c:axId val="134883584"/>
        <c:scaling>
          <c:orientation val="minMax"/>
        </c:scaling>
        <c:delete val="1"/>
        <c:axPos val="l"/>
        <c:majorGridlines>
          <c:spPr>
            <a:ln w="3175">
              <a:solidFill>
                <a:srgbClr val="000000"/>
              </a:solidFill>
              <a:prstDash val="solid"/>
            </a:ln>
          </c:spPr>
        </c:majorGridlines>
        <c:numFmt formatCode="General" sourceLinked="1"/>
        <c:tickLblPos val="none"/>
        <c:crossAx val="134882048"/>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75" b="1" i="0" u="none" strike="noStrike" baseline="0">
                <a:solidFill>
                  <a:srgbClr val="000000"/>
                </a:solidFill>
                <a:latin typeface="Arial"/>
                <a:ea typeface="Arial"/>
                <a:cs typeface="Arial"/>
              </a:defRPr>
            </a:pPr>
            <a:r>
              <a:rPr lang="en-US"/>
              <a:t>Speed Increase due to Toll</a:t>
            </a:r>
          </a:p>
        </c:rich>
      </c:tx>
      <c:spPr>
        <a:noFill/>
        <a:ln w="25400">
          <a:noFill/>
        </a:ln>
      </c:spPr>
    </c:title>
    <c:plotArea>
      <c:layout/>
      <c:barChart>
        <c:barDir val="col"/>
        <c:grouping val="clustered"/>
        <c:ser>
          <c:idx val="0"/>
          <c:order val="0"/>
          <c:tx>
            <c:v>Cordon</c:v>
          </c:tx>
          <c:spPr>
            <a:solidFill>
              <a:srgbClr val="9999FF"/>
            </a:solidFill>
            <a:ln w="12700">
              <a:solidFill>
                <a:srgbClr val="000000"/>
              </a:solidFill>
              <a:prstDash val="solid"/>
            </a:ln>
          </c:spPr>
          <c:dLbls>
            <c:spPr>
              <a:solidFill>
                <a:srgbClr val="FFFFFF"/>
              </a:solidFill>
              <a:ln w="25400">
                <a:noFill/>
              </a:ln>
            </c:spPr>
            <c:txPr>
              <a:bodyPr/>
              <a:lstStyle/>
              <a:p>
                <a:pPr>
                  <a:defRPr sz="250" b="1" i="0" u="none" strike="noStrike" baseline="0">
                    <a:solidFill>
                      <a:srgbClr val="000000"/>
                    </a:solidFill>
                    <a:latin typeface="Arial"/>
                    <a:ea typeface="Arial"/>
                    <a:cs typeface="Arial"/>
                  </a:defRPr>
                </a:pPr>
                <a:endParaRPr lang="en-US"/>
              </a:p>
            </c:txPr>
            <c:showVal val="1"/>
          </c:dLbls>
          <c:cat>
            <c:strLit>
              <c:ptCount val="8"/>
              <c:pt idx="0">
                <c:v>11 pm - 5 am</c:v>
              </c:pt>
              <c:pt idx="1">
                <c:v>5 am - 6 am</c:v>
              </c:pt>
              <c:pt idx="2">
                <c:v>6 am - 9 am</c:v>
              </c:pt>
              <c:pt idx="3">
                <c:v>9 am - 10 am</c:v>
              </c:pt>
              <c:pt idx="4">
                <c:v>10 am - 2 pm</c:v>
              </c:pt>
              <c:pt idx="5">
                <c:v>2 pm - 8 pm </c:v>
              </c:pt>
              <c:pt idx="6">
                <c:v>8 pm - 11 pm</c:v>
              </c:pt>
              <c:pt idx="7">
                <c:v>6 a.m. - 6 p.m.</c:v>
              </c:pt>
            </c:strLit>
          </c:cat>
          <c:val>
            <c:numLit>
              <c:formatCode>General</c:formatCode>
              <c:ptCount val="8"/>
              <c:pt idx="0">
                <c:v>5.6189052564314746E-3</c:v>
              </c:pt>
              <c:pt idx="1">
                <c:v>1.5068363270485777E-2</c:v>
              </c:pt>
              <c:pt idx="2">
                <c:v>0.24568003294080043</c:v>
              </c:pt>
              <c:pt idx="3">
                <c:v>0.17257186095084287</c:v>
              </c:pt>
              <c:pt idx="4">
                <c:v>0.11310230161690972</c:v>
              </c:pt>
              <c:pt idx="5">
                <c:v>0.20060156231067902</c:v>
              </c:pt>
              <c:pt idx="6">
                <c:v>0.12650261959296241</c:v>
              </c:pt>
              <c:pt idx="7">
                <c:v>0.19</c:v>
              </c:pt>
            </c:numLit>
          </c:val>
        </c:ser>
        <c:ser>
          <c:idx val="1"/>
          <c:order val="1"/>
          <c:tx>
            <c:v>Non-cordon</c:v>
          </c:tx>
          <c:spPr>
            <a:solidFill>
              <a:srgbClr val="993366"/>
            </a:solidFill>
            <a:ln w="12700">
              <a:solidFill>
                <a:srgbClr val="000000"/>
              </a:solidFill>
              <a:prstDash val="solid"/>
            </a:ln>
          </c:spPr>
          <c:cat>
            <c:strLit>
              <c:ptCount val="8"/>
              <c:pt idx="0">
                <c:v>11 pm - 5 am</c:v>
              </c:pt>
              <c:pt idx="1">
                <c:v>5 am - 6 am</c:v>
              </c:pt>
              <c:pt idx="2">
                <c:v>6 am - 9 am</c:v>
              </c:pt>
              <c:pt idx="3">
                <c:v>9 am - 10 am</c:v>
              </c:pt>
              <c:pt idx="4">
                <c:v>10 am - 2 pm</c:v>
              </c:pt>
              <c:pt idx="5">
                <c:v>2 pm - 8 pm </c:v>
              </c:pt>
              <c:pt idx="6">
                <c:v>8 pm - 11 pm</c:v>
              </c:pt>
              <c:pt idx="7">
                <c:v>6 a.m. - 6 p.m.</c:v>
              </c:pt>
            </c:strLit>
          </c:cat>
          <c:val>
            <c:numLit>
              <c:formatCode>General</c:formatCode>
              <c:ptCount val="8"/>
              <c:pt idx="0">
                <c:v>-1.2402355725816923E-4</c:v>
              </c:pt>
              <c:pt idx="1">
                <c:v>1.9043142868313583E-2</c:v>
              </c:pt>
              <c:pt idx="2">
                <c:v>6.7622837880422032E-2</c:v>
              </c:pt>
              <c:pt idx="3">
                <c:v>5.3877325763162745E-2</c:v>
              </c:pt>
              <c:pt idx="4">
                <c:v>4.0502060061941514E-2</c:v>
              </c:pt>
              <c:pt idx="5">
                <c:v>5.3994353387253946E-2</c:v>
              </c:pt>
              <c:pt idx="6">
                <c:v>4.0044551595267645E-2</c:v>
              </c:pt>
              <c:pt idx="7">
                <c:v>6.0000000000000032E-2</c:v>
              </c:pt>
            </c:numLit>
          </c:val>
        </c:ser>
        <c:axId val="134912640"/>
        <c:axId val="134918528"/>
      </c:barChart>
      <c:catAx>
        <c:axId val="134912640"/>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34918528"/>
        <c:crosses val="autoZero"/>
        <c:auto val="1"/>
        <c:lblAlgn val="ctr"/>
        <c:lblOffset val="100"/>
        <c:tickLblSkip val="1"/>
        <c:tickMarkSkip val="1"/>
      </c:catAx>
      <c:valAx>
        <c:axId val="134918528"/>
        <c:scaling>
          <c:orientation val="minMax"/>
        </c:scaling>
        <c:axPos val="l"/>
        <c:majorGridlines>
          <c:spPr>
            <a:ln w="3175">
              <a:solidFill>
                <a:srgbClr val="C0C0C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34912640"/>
        <c:crosses val="autoZero"/>
        <c:crossBetween val="between"/>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75" b="1" i="0" u="none" strike="noStrike" baseline="0">
                <a:solidFill>
                  <a:srgbClr val="000000"/>
                </a:solidFill>
                <a:latin typeface="Arial"/>
                <a:ea typeface="Arial"/>
                <a:cs typeface="Arial"/>
              </a:defRPr>
            </a:pPr>
            <a:r>
              <a:rPr lang="en-US"/>
              <a:t>Time Saved - motor vehicle hours</a:t>
            </a:r>
          </a:p>
        </c:rich>
      </c:tx>
      <c:spPr>
        <a:noFill/>
        <a:ln w="25400">
          <a:noFill/>
        </a:ln>
      </c:spPr>
    </c:title>
    <c:plotArea>
      <c:layout/>
      <c:barChart>
        <c:barDir val="col"/>
        <c:grouping val="clustered"/>
        <c:ser>
          <c:idx val="0"/>
          <c:order val="0"/>
          <c:tx>
            <c:v>Cordon</c:v>
          </c:tx>
          <c:spPr>
            <a:solidFill>
              <a:srgbClr val="9999FF"/>
            </a:solidFill>
            <a:ln w="12700">
              <a:solidFill>
                <a:srgbClr val="000000"/>
              </a:solidFill>
              <a:prstDash val="solid"/>
            </a:ln>
          </c:spPr>
          <c:dPt>
            <c:idx val="7"/>
            <c:spPr>
              <a:solidFill>
                <a:srgbClr val="000080"/>
              </a:solidFill>
              <a:ln w="12700">
                <a:solidFill>
                  <a:srgbClr val="000000"/>
                </a:solidFill>
                <a:prstDash val="solid"/>
              </a:ln>
            </c:spPr>
          </c:dPt>
          <c:dLbls>
            <c:spPr>
              <a:solidFill>
                <a:srgbClr val="FFFFFF"/>
              </a:solidFill>
              <a:ln w="25400">
                <a:noFill/>
              </a:ln>
            </c:spPr>
            <c:txPr>
              <a:bodyPr/>
              <a:lstStyle/>
              <a:p>
                <a:pPr>
                  <a:defRPr sz="200" b="1" i="0" u="none" strike="noStrike" baseline="0">
                    <a:solidFill>
                      <a:srgbClr val="000000"/>
                    </a:solidFill>
                    <a:latin typeface="Arial"/>
                    <a:ea typeface="Arial"/>
                    <a:cs typeface="Arial"/>
                  </a:defRPr>
                </a:pPr>
                <a:endParaRPr lang="en-US"/>
              </a:p>
            </c:txPr>
            <c:showVal val="1"/>
          </c:dLbls>
          <c:cat>
            <c:strLit>
              <c:ptCount val="8"/>
              <c:pt idx="0">
                <c:v>11 pm - 5 am</c:v>
              </c:pt>
              <c:pt idx="1">
                <c:v>5 am - 6 am</c:v>
              </c:pt>
              <c:pt idx="2">
                <c:v>6 am - 9 am</c:v>
              </c:pt>
              <c:pt idx="3">
                <c:v>9 am - 10 am</c:v>
              </c:pt>
              <c:pt idx="4">
                <c:v>10 am - 2 pm</c:v>
              </c:pt>
              <c:pt idx="5">
                <c:v>2 pm - 8 pm </c:v>
              </c:pt>
              <c:pt idx="6">
                <c:v>8 pm - 11 pm</c:v>
              </c:pt>
              <c:pt idx="7">
                <c:v>Total</c:v>
              </c:pt>
            </c:strLit>
          </c:cat>
          <c:val>
            <c:numLit>
              <c:formatCode>General</c:formatCode>
              <c:ptCount val="8"/>
              <c:pt idx="0">
                <c:v>80.193295664996327</c:v>
              </c:pt>
              <c:pt idx="1">
                <c:v>85.670219468785035</c:v>
              </c:pt>
              <c:pt idx="2">
                <c:v>14436.533064132844</c:v>
              </c:pt>
              <c:pt idx="3">
                <c:v>2508.8467325728889</c:v>
              </c:pt>
              <c:pt idx="4">
                <c:v>5130.7336155339872</c:v>
              </c:pt>
              <c:pt idx="5">
                <c:v>23800.727742996962</c:v>
              </c:pt>
              <c:pt idx="6">
                <c:v>3683.8114165321131</c:v>
              </c:pt>
              <c:pt idx="7">
                <c:v>49726.516086901145</c:v>
              </c:pt>
            </c:numLit>
          </c:val>
        </c:ser>
        <c:axId val="134947584"/>
        <c:axId val="134949120"/>
      </c:barChart>
      <c:catAx>
        <c:axId val="134947584"/>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34949120"/>
        <c:crosses val="autoZero"/>
        <c:auto val="1"/>
        <c:lblAlgn val="ctr"/>
        <c:lblOffset val="100"/>
        <c:tickLblSkip val="1"/>
        <c:tickMarkSkip val="1"/>
      </c:catAx>
      <c:valAx>
        <c:axId val="134949120"/>
        <c:scaling>
          <c:orientation val="minMax"/>
        </c:scaling>
        <c:axPos val="l"/>
        <c:majorGridlines>
          <c:spPr>
            <a:ln w="3175">
              <a:solidFill>
                <a:srgbClr val="C0C0C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3494758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75" b="1" i="0" u="none" strike="noStrike" baseline="0">
                <a:solidFill>
                  <a:srgbClr val="000000"/>
                </a:solidFill>
                <a:latin typeface="Arial"/>
                <a:ea typeface="Arial"/>
                <a:cs typeface="Arial"/>
              </a:defRPr>
            </a:pPr>
            <a:r>
              <a:rPr lang="en-US"/>
              <a:t>Delays Caused by One Additional Trip</a:t>
            </a:r>
          </a:p>
        </c:rich>
      </c:tx>
      <c:layout>
        <c:manualLayout>
          <c:xMode val="edge"/>
          <c:yMode val="edge"/>
          <c:x val="9.4188474602439398E-2"/>
          <c:y val="1.9629746281714787E-2"/>
        </c:manualLayout>
      </c:layout>
      <c:spPr>
        <a:noFill/>
        <a:ln w="25400">
          <a:noFill/>
        </a:ln>
      </c:spPr>
    </c:title>
    <c:plotArea>
      <c:layout>
        <c:manualLayout>
          <c:layoutTarget val="inner"/>
          <c:xMode val="edge"/>
          <c:yMode val="edge"/>
          <c:x val="0.10621252878073729"/>
          <c:y val="0.109366506233621"/>
          <c:w val="0.86773632003882772"/>
          <c:h val="0.70667588643262413"/>
        </c:manualLayout>
      </c:layout>
      <c:barChart>
        <c:barDir val="col"/>
        <c:grouping val="stacked"/>
        <c:ser>
          <c:idx val="1"/>
          <c:order val="0"/>
          <c:tx>
            <c:v>Inbound</c:v>
          </c:tx>
          <c:spPr>
            <a:solidFill>
              <a:srgbClr val="3366FF"/>
            </a:solidFill>
            <a:ln w="25400">
              <a:noFill/>
            </a:ln>
          </c:spPr>
          <c:cat>
            <c:strRef>
              <c:f>'Delays Weekends'!$E$163:$J$163</c:f>
              <c:strCache>
                <c:ptCount val="6"/>
                <c:pt idx="0">
                  <c:v>Graveyard</c:v>
                </c:pt>
                <c:pt idx="1">
                  <c:v>Early Shoulder</c:v>
                </c:pt>
                <c:pt idx="2">
                  <c:v>Shoulder 1</c:v>
                </c:pt>
                <c:pt idx="3">
                  <c:v>Peak</c:v>
                </c:pt>
                <c:pt idx="4">
                  <c:v>Shoulder 2</c:v>
                </c:pt>
                <c:pt idx="5">
                  <c:v>Late Shoulder</c:v>
                </c:pt>
              </c:strCache>
            </c:strRef>
          </c:cat>
          <c:val>
            <c:numRef>
              <c:f>'Delays Weekends'!$E$165:$J$165</c:f>
              <c:numCache>
                <c:formatCode>0.000</c:formatCode>
                <c:ptCount val="6"/>
                <c:pt idx="0">
                  <c:v>0.33947333157479842</c:v>
                </c:pt>
                <c:pt idx="1">
                  <c:v>1.0486019487926526</c:v>
                </c:pt>
                <c:pt idx="2">
                  <c:v>1.7429011187946137</c:v>
                </c:pt>
                <c:pt idx="3">
                  <c:v>2.0755763290135878</c:v>
                </c:pt>
                <c:pt idx="4">
                  <c:v>1.4106418754726211</c:v>
                </c:pt>
                <c:pt idx="5">
                  <c:v>1.005620310430533</c:v>
                </c:pt>
              </c:numCache>
            </c:numRef>
          </c:val>
        </c:ser>
        <c:ser>
          <c:idx val="0"/>
          <c:order val="1"/>
          <c:tx>
            <c:v>Outbound</c:v>
          </c:tx>
          <c:spPr>
            <a:solidFill>
              <a:srgbClr val="FF00FF"/>
            </a:solidFill>
            <a:ln w="25400">
              <a:noFill/>
            </a:ln>
          </c:spPr>
          <c:cat>
            <c:strRef>
              <c:f>'Delays Weekends'!$E$163:$J$163</c:f>
              <c:strCache>
                <c:ptCount val="6"/>
                <c:pt idx="0">
                  <c:v>Graveyard</c:v>
                </c:pt>
                <c:pt idx="1">
                  <c:v>Early Shoulder</c:v>
                </c:pt>
                <c:pt idx="2">
                  <c:v>Shoulder 1</c:v>
                </c:pt>
                <c:pt idx="3">
                  <c:v>Peak</c:v>
                </c:pt>
                <c:pt idx="4">
                  <c:v>Shoulder 2</c:v>
                </c:pt>
                <c:pt idx="5">
                  <c:v>Late Shoulder</c:v>
                </c:pt>
              </c:strCache>
            </c:strRef>
          </c:cat>
          <c:val>
            <c:numRef>
              <c:f>'Delays Weekends'!$E$166:$J$166</c:f>
              <c:numCache>
                <c:formatCode>0.000</c:formatCode>
                <c:ptCount val="6"/>
                <c:pt idx="0">
                  <c:v>1.2229383499516475</c:v>
                </c:pt>
                <c:pt idx="1">
                  <c:v>1.2221727202999242</c:v>
                </c:pt>
                <c:pt idx="2">
                  <c:v>1.2076589198815662</c:v>
                </c:pt>
                <c:pt idx="3">
                  <c:v>1.2108376979697526</c:v>
                </c:pt>
                <c:pt idx="4">
                  <c:v>1.2197109285736865</c:v>
                </c:pt>
                <c:pt idx="5">
                  <c:v>1.2219407428824989</c:v>
                </c:pt>
              </c:numCache>
            </c:numRef>
          </c:val>
        </c:ser>
        <c:overlap val="100"/>
        <c:axId val="135095040"/>
        <c:axId val="135096960"/>
      </c:barChart>
      <c:catAx>
        <c:axId val="135095040"/>
        <c:scaling>
          <c:orientation val="minMax"/>
        </c:scaling>
        <c:axPos val="b"/>
        <c:title>
          <c:tx>
            <c:rich>
              <a:bodyPr/>
              <a:lstStyle/>
              <a:p>
                <a:pPr>
                  <a:defRPr sz="925" b="1" i="0" u="none" strike="noStrike" baseline="0">
                    <a:solidFill>
                      <a:srgbClr val="000000"/>
                    </a:solidFill>
                    <a:latin typeface="Arial"/>
                    <a:ea typeface="Arial"/>
                    <a:cs typeface="Arial"/>
                  </a:defRPr>
                </a:pPr>
                <a:r>
                  <a:rPr lang="en-US"/>
                  <a:t>Time Period in which Vehicle Enters Cordon</a:t>
                </a:r>
              </a:p>
            </c:rich>
          </c:tx>
          <c:layout>
            <c:manualLayout>
              <c:xMode val="edge"/>
              <c:yMode val="edge"/>
              <c:x val="0.24248513972519431"/>
              <c:y val="0.92821305336832893"/>
            </c:manualLayout>
          </c:layout>
          <c:spPr>
            <a:noFill/>
            <a:ln w="25400">
              <a:noFill/>
            </a:ln>
          </c:spPr>
        </c:title>
        <c:numFmt formatCode="General" sourceLinked="1"/>
        <c:tickLblPos val="nextTo"/>
        <c:spPr>
          <a:ln w="3175">
            <a:solidFill>
              <a:srgbClr val="000000"/>
            </a:solidFill>
            <a:prstDash val="solid"/>
          </a:ln>
        </c:spPr>
        <c:txPr>
          <a:bodyPr rot="-1200000" vert="horz"/>
          <a:lstStyle/>
          <a:p>
            <a:pPr>
              <a:defRPr sz="800" b="1" i="0" u="none" strike="noStrike" baseline="0">
                <a:solidFill>
                  <a:srgbClr val="000000"/>
                </a:solidFill>
                <a:latin typeface="Arial"/>
                <a:ea typeface="Arial"/>
                <a:cs typeface="Arial"/>
              </a:defRPr>
            </a:pPr>
            <a:endParaRPr lang="en-US"/>
          </a:p>
        </c:txPr>
        <c:crossAx val="135096960"/>
        <c:crosses val="autoZero"/>
        <c:auto val="1"/>
        <c:lblAlgn val="ctr"/>
        <c:lblOffset val="0"/>
        <c:tickLblSkip val="1"/>
        <c:tickMarkSkip val="1"/>
      </c:catAx>
      <c:valAx>
        <c:axId val="135096960"/>
        <c:scaling>
          <c:orientation val="minMax"/>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Delay (hours)</a:t>
                </a:r>
              </a:p>
            </c:rich>
          </c:tx>
          <c:layout>
            <c:manualLayout>
              <c:xMode val="edge"/>
              <c:yMode val="edge"/>
              <c:x val="1.0020071020534201E-2"/>
              <c:y val="0.37857623797029044"/>
            </c:manualLayout>
          </c:layout>
          <c:spPr>
            <a:noFill/>
            <a:ln w="25400">
              <a:noFill/>
            </a:ln>
          </c:spPr>
        </c:title>
        <c:numFmt formatCode="General"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35095040"/>
        <c:crosses val="autoZero"/>
        <c:crossBetween val="between"/>
        <c:majorUnit val="0.5"/>
        <c:minorUnit val="0.47965530580089188"/>
      </c:valAx>
      <c:spPr>
        <a:solidFill>
          <a:srgbClr val="C0C0C0"/>
        </a:solidFill>
        <a:ln w="12700">
          <a:solidFill>
            <a:srgbClr val="808080"/>
          </a:solidFill>
          <a:prstDash val="solid"/>
        </a:ln>
      </c:spPr>
    </c:plotArea>
    <c:legend>
      <c:legendPos val="r"/>
      <c:layout>
        <c:manualLayout>
          <c:xMode val="edge"/>
          <c:yMode val="edge"/>
          <c:x val="0.64154469661889535"/>
          <c:y val="1.8666666666666703E-2"/>
          <c:w val="0.30147078122591142"/>
          <c:h val="6.6666946631670776E-2"/>
        </c:manualLayout>
      </c:layou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Proposed Price to Drive into </a:t>
            </a:r>
          </a:p>
          <a:p>
            <a:pPr>
              <a:defRPr sz="800" b="0"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CBD (weekends)</a:t>
            </a:r>
          </a:p>
        </c:rich>
      </c:tx>
      <c:layout>
        <c:manualLayout>
          <c:xMode val="edge"/>
          <c:yMode val="edge"/>
          <c:x val="0.25547750975572497"/>
          <c:y val="2.5842210900108086E-2"/>
        </c:manualLayout>
      </c:layout>
      <c:spPr>
        <a:noFill/>
        <a:ln w="25400">
          <a:noFill/>
        </a:ln>
      </c:spPr>
    </c:title>
    <c:plotArea>
      <c:layout>
        <c:manualLayout>
          <c:layoutTarget val="inner"/>
          <c:xMode val="edge"/>
          <c:yMode val="edge"/>
          <c:x val="0.10582037920691729"/>
          <c:y val="0.1524064171123192"/>
          <c:w val="0.85185405261574276"/>
          <c:h val="0.68181818181818177"/>
        </c:manualLayout>
      </c:layout>
      <c:barChart>
        <c:barDir val="col"/>
        <c:grouping val="clustered"/>
        <c:ser>
          <c:idx val="0"/>
          <c:order val="0"/>
          <c:spPr>
            <a:solidFill>
              <a:srgbClr val="9999FF"/>
            </a:solidFill>
            <a:ln w="12700">
              <a:solidFill>
                <a:srgbClr val="000000"/>
              </a:solidFill>
              <a:prstDash val="solid"/>
            </a:ln>
          </c:spPr>
          <c:cat>
            <c:strLit>
              <c:ptCount val="24"/>
              <c:pt idx="0">
                <c:v>Midnight</c:v>
              </c:pt>
              <c:pt idx="1">
                <c:v>1 a.m.</c:v>
              </c:pt>
              <c:pt idx="2">
                <c:v>2 a.m.</c:v>
              </c:pt>
              <c:pt idx="3">
                <c:v>3 a.m.</c:v>
              </c:pt>
              <c:pt idx="4">
                <c:v>4 a.m.</c:v>
              </c:pt>
              <c:pt idx="5">
                <c:v>5 a.m.</c:v>
              </c:pt>
              <c:pt idx="6">
                <c:v>6 a.m.</c:v>
              </c:pt>
              <c:pt idx="7">
                <c:v>7 a.m.</c:v>
              </c:pt>
              <c:pt idx="8">
                <c:v>8 a.m.</c:v>
              </c:pt>
              <c:pt idx="9">
                <c:v>9 a.m.</c:v>
              </c:pt>
              <c:pt idx="10">
                <c:v>10 a.m.</c:v>
              </c:pt>
              <c:pt idx="11">
                <c:v>11 a.m.</c:v>
              </c:pt>
              <c:pt idx="12">
                <c:v>12 noon</c:v>
              </c:pt>
              <c:pt idx="13">
                <c:v>1 p.m.</c:v>
              </c:pt>
              <c:pt idx="14">
                <c:v>2 p.m.</c:v>
              </c:pt>
              <c:pt idx="15">
                <c:v>3 p.m.</c:v>
              </c:pt>
              <c:pt idx="16">
                <c:v>4 p.m.</c:v>
              </c:pt>
              <c:pt idx="17">
                <c:v>5 p.m.</c:v>
              </c:pt>
              <c:pt idx="18">
                <c:v>6 p.m.</c:v>
              </c:pt>
              <c:pt idx="19">
                <c:v>7 p.m.</c:v>
              </c:pt>
              <c:pt idx="20">
                <c:v>8 p.m.</c:v>
              </c:pt>
              <c:pt idx="21">
                <c:v>9 p.m.</c:v>
              </c:pt>
              <c:pt idx="22">
                <c:v>10 p.m.</c:v>
              </c:pt>
              <c:pt idx="23">
                <c:v>11 p.m.</c:v>
              </c:pt>
            </c:strLit>
          </c:cat>
          <c:val>
            <c:numRef>
              <c:f>'Weekend Hours'!$I$31:$I$54</c:f>
              <c:numCache>
                <c:formatCode>"$"#,##0.00</c:formatCode>
                <c:ptCount val="24"/>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numCache>
            </c:numRef>
          </c:val>
        </c:ser>
        <c:gapWidth val="0"/>
        <c:axId val="135121920"/>
        <c:axId val="135131904"/>
      </c:barChart>
      <c:catAx>
        <c:axId val="135121920"/>
        <c:scaling>
          <c:orientation val="minMax"/>
        </c:scaling>
        <c:axPos val="b"/>
        <c:numFmt formatCode="[$-409]h:mm\ AM/PM;@" sourceLinked="0"/>
        <c:tickLblPos val="nextTo"/>
        <c:spPr>
          <a:ln w="3175">
            <a:solidFill>
              <a:srgbClr val="000000"/>
            </a:solidFill>
            <a:prstDash val="solid"/>
          </a:ln>
        </c:spPr>
        <c:txPr>
          <a:bodyPr rot="-5400000" vert="horz"/>
          <a:lstStyle/>
          <a:p>
            <a:pPr>
              <a:defRPr sz="550" b="0" i="0" u="none" strike="noStrike" baseline="0">
                <a:solidFill>
                  <a:srgbClr val="000000"/>
                </a:solidFill>
                <a:latin typeface="Arial"/>
                <a:ea typeface="Arial"/>
                <a:cs typeface="Arial"/>
              </a:defRPr>
            </a:pPr>
            <a:endParaRPr lang="en-US"/>
          </a:p>
        </c:txPr>
        <c:crossAx val="135131904"/>
        <c:crossesAt val="0"/>
        <c:auto val="1"/>
        <c:lblAlgn val="ctr"/>
        <c:lblOffset val="100"/>
        <c:tickLblSkip val="1"/>
        <c:tickMarkSkip val="1"/>
      </c:catAx>
      <c:valAx>
        <c:axId val="135131904"/>
        <c:scaling>
          <c:orientation val="minMax"/>
          <c:min val="0"/>
        </c:scaling>
        <c:axPos val="l"/>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5121920"/>
        <c:crosses val="autoZero"/>
        <c:crossBetween val="between"/>
        <c:majorUnit val="1"/>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Imposed Delay Varies with Baseline Traffic Volume</a:t>
            </a:r>
          </a:p>
        </c:rich>
      </c:tx>
      <c:layout>
        <c:manualLayout>
          <c:xMode val="edge"/>
          <c:yMode val="edge"/>
          <c:x val="0.14507283904948123"/>
          <c:y val="3.8221113449927811E-2"/>
        </c:manualLayout>
      </c:layout>
      <c:spPr>
        <a:noFill/>
        <a:ln w="25400">
          <a:noFill/>
        </a:ln>
      </c:spPr>
    </c:title>
    <c:plotArea>
      <c:layout>
        <c:manualLayout>
          <c:layoutTarget val="inner"/>
          <c:xMode val="edge"/>
          <c:yMode val="edge"/>
          <c:x val="0.13870276387453656"/>
          <c:y val="0.13531396746714974"/>
          <c:w val="0.81431945242474113"/>
          <c:h val="0.68647085934554064"/>
        </c:manualLayout>
      </c:layout>
      <c:lineChart>
        <c:grouping val="standard"/>
        <c:ser>
          <c:idx val="0"/>
          <c:order val="0"/>
          <c:spPr>
            <a:ln w="25400">
              <a:solidFill>
                <a:srgbClr val="000080"/>
              </a:solidFill>
              <a:prstDash val="solid"/>
            </a:ln>
          </c:spPr>
          <c:marker>
            <c:symbol val="none"/>
          </c:marker>
          <c:cat>
            <c:numRef>
              <c:f>'Delays Weekends'!$H$239:$H$309</c:f>
              <c:numCache>
                <c:formatCode>0.0%</c:formatCode>
                <c:ptCount val="71"/>
                <c:pt idx="0">
                  <c:v>0.1</c:v>
                </c:pt>
                <c:pt idx="1">
                  <c:v>9.5000000000000001E-2</c:v>
                </c:pt>
                <c:pt idx="2">
                  <c:v>0.09</c:v>
                </c:pt>
                <c:pt idx="3">
                  <c:v>8.5000000000000006E-2</c:v>
                </c:pt>
                <c:pt idx="4">
                  <c:v>0.08</c:v>
                </c:pt>
                <c:pt idx="5">
                  <c:v>7.4999999999999997E-2</c:v>
                </c:pt>
                <c:pt idx="6">
                  <c:v>7.0000000000000007E-2</c:v>
                </c:pt>
                <c:pt idx="7">
                  <c:v>6.5000000000000002E-2</c:v>
                </c:pt>
                <c:pt idx="8">
                  <c:v>0.06</c:v>
                </c:pt>
                <c:pt idx="9">
                  <c:v>5.5E-2</c:v>
                </c:pt>
                <c:pt idx="10">
                  <c:v>0.05</c:v>
                </c:pt>
                <c:pt idx="11">
                  <c:v>4.4999999999999998E-2</c:v>
                </c:pt>
                <c:pt idx="12">
                  <c:v>0.04</c:v>
                </c:pt>
                <c:pt idx="13">
                  <c:v>3.5000000000000003E-2</c:v>
                </c:pt>
                <c:pt idx="14">
                  <c:v>0.03</c:v>
                </c:pt>
                <c:pt idx="15">
                  <c:v>2.5000000000000001E-2</c:v>
                </c:pt>
                <c:pt idx="16">
                  <c:v>0.02</c:v>
                </c:pt>
                <c:pt idx="17">
                  <c:v>1.4999999999999999E-2</c:v>
                </c:pt>
                <c:pt idx="18">
                  <c:v>0.01</c:v>
                </c:pt>
                <c:pt idx="19">
                  <c:v>5.0000000000000001E-3</c:v>
                </c:pt>
                <c:pt idx="20">
                  <c:v>0</c:v>
                </c:pt>
                <c:pt idx="21">
                  <c:v>-5.0000000000000001E-3</c:v>
                </c:pt>
                <c:pt idx="22">
                  <c:v>-0.01</c:v>
                </c:pt>
                <c:pt idx="23">
                  <c:v>-1.4999999999999999E-2</c:v>
                </c:pt>
                <c:pt idx="24">
                  <c:v>-0.02</c:v>
                </c:pt>
                <c:pt idx="25">
                  <c:v>-2.5000000000000001E-2</c:v>
                </c:pt>
                <c:pt idx="26">
                  <c:v>-0.03</c:v>
                </c:pt>
                <c:pt idx="27">
                  <c:v>-3.5000000000000003E-2</c:v>
                </c:pt>
                <c:pt idx="28">
                  <c:v>-0.04</c:v>
                </c:pt>
                <c:pt idx="29">
                  <c:v>-4.4999999999999998E-2</c:v>
                </c:pt>
                <c:pt idx="30">
                  <c:v>-0.05</c:v>
                </c:pt>
                <c:pt idx="31">
                  <c:v>-5.5E-2</c:v>
                </c:pt>
                <c:pt idx="32">
                  <c:v>-0.06</c:v>
                </c:pt>
                <c:pt idx="33">
                  <c:v>-6.5000000000000002E-2</c:v>
                </c:pt>
                <c:pt idx="34">
                  <c:v>-7.0000000000000007E-2</c:v>
                </c:pt>
                <c:pt idx="35">
                  <c:v>-7.4999999999999997E-2</c:v>
                </c:pt>
                <c:pt idx="36">
                  <c:v>-0.08</c:v>
                </c:pt>
                <c:pt idx="37">
                  <c:v>-8.5000000000000006E-2</c:v>
                </c:pt>
                <c:pt idx="38">
                  <c:v>-0.09</c:v>
                </c:pt>
                <c:pt idx="39">
                  <c:v>-9.5000000000000001E-2</c:v>
                </c:pt>
                <c:pt idx="40">
                  <c:v>-0.1</c:v>
                </c:pt>
                <c:pt idx="41">
                  <c:v>-0.105</c:v>
                </c:pt>
                <c:pt idx="42">
                  <c:v>-0.11</c:v>
                </c:pt>
                <c:pt idx="43">
                  <c:v>-0.115</c:v>
                </c:pt>
                <c:pt idx="44">
                  <c:v>-0.12</c:v>
                </c:pt>
                <c:pt idx="45">
                  <c:v>-0.125</c:v>
                </c:pt>
                <c:pt idx="46">
                  <c:v>-0.13</c:v>
                </c:pt>
                <c:pt idx="47">
                  <c:v>-0.13500000000000001</c:v>
                </c:pt>
                <c:pt idx="48">
                  <c:v>-0.14000000000000001</c:v>
                </c:pt>
                <c:pt idx="49">
                  <c:v>-0.14499999999999999</c:v>
                </c:pt>
                <c:pt idx="50">
                  <c:v>-0.15</c:v>
                </c:pt>
                <c:pt idx="51">
                  <c:v>-0.155</c:v>
                </c:pt>
                <c:pt idx="52">
                  <c:v>-0.16</c:v>
                </c:pt>
                <c:pt idx="53">
                  <c:v>-0.16500000000000001</c:v>
                </c:pt>
                <c:pt idx="54">
                  <c:v>-0.17</c:v>
                </c:pt>
                <c:pt idx="55">
                  <c:v>-0.17499999999999999</c:v>
                </c:pt>
                <c:pt idx="56">
                  <c:v>-0.18</c:v>
                </c:pt>
                <c:pt idx="57">
                  <c:v>-0.185</c:v>
                </c:pt>
                <c:pt idx="58">
                  <c:v>-0.19</c:v>
                </c:pt>
                <c:pt idx="59">
                  <c:v>-0.19500000000000001</c:v>
                </c:pt>
                <c:pt idx="60">
                  <c:v>-0.2</c:v>
                </c:pt>
                <c:pt idx="61">
                  <c:v>-0.20499999999999999</c:v>
                </c:pt>
                <c:pt idx="62">
                  <c:v>-0.21</c:v>
                </c:pt>
                <c:pt idx="63">
                  <c:v>-0.215</c:v>
                </c:pt>
                <c:pt idx="64">
                  <c:v>-0.22</c:v>
                </c:pt>
                <c:pt idx="65">
                  <c:v>-0.22500000000000001</c:v>
                </c:pt>
                <c:pt idx="66">
                  <c:v>-0.23</c:v>
                </c:pt>
                <c:pt idx="67">
                  <c:v>-0.23499999999999999</c:v>
                </c:pt>
                <c:pt idx="68">
                  <c:v>-0.24</c:v>
                </c:pt>
                <c:pt idx="69">
                  <c:v>-0.245</c:v>
                </c:pt>
                <c:pt idx="70">
                  <c:v>-0.25</c:v>
                </c:pt>
              </c:numCache>
            </c:numRef>
          </c:cat>
          <c:val>
            <c:numRef>
              <c:f>'Delays Weekends'!$I$239:$I$309</c:f>
              <c:numCache>
                <c:formatCode>0.00</c:formatCode>
                <c:ptCount val="71"/>
                <c:pt idx="0">
                  <c:v>2.7134718320861184</c:v>
                </c:pt>
                <c:pt idx="1">
                  <c:v>2.6762190126510634</c:v>
                </c:pt>
                <c:pt idx="2">
                  <c:v>2.6394090907281149</c:v>
                </c:pt>
                <c:pt idx="3">
                  <c:v>2.6030373523917794</c:v>
                </c:pt>
                <c:pt idx="4">
                  <c:v>2.5670991306874424</c:v>
                </c:pt>
                <c:pt idx="5">
                  <c:v>2.5315898052159982</c:v>
                </c:pt>
                <c:pt idx="6">
                  <c:v>2.4965048016539098</c:v>
                </c:pt>
                <c:pt idx="7">
                  <c:v>2.4618395912591873</c:v>
                </c:pt>
                <c:pt idx="8">
                  <c:v>2.427589690400703</c:v>
                </c:pt>
                <c:pt idx="9">
                  <c:v>2.3937506601635334</c:v>
                </c:pt>
                <c:pt idx="10">
                  <c:v>2.3603181058212104</c:v>
                </c:pt>
                <c:pt idx="11">
                  <c:v>2.3272876764686186</c:v>
                </c:pt>
                <c:pt idx="12">
                  <c:v>2.2946550644663049</c:v>
                </c:pt>
                <c:pt idx="13">
                  <c:v>2.2624160050989341</c:v>
                </c:pt>
                <c:pt idx="14">
                  <c:v>2.2305662761460749</c:v>
                </c:pt>
                <c:pt idx="15">
                  <c:v>2.1991016973609461</c:v>
                </c:pt>
                <c:pt idx="16">
                  <c:v>2.1680181301227885</c:v>
                </c:pt>
                <c:pt idx="17">
                  <c:v>2.1373114770184043</c:v>
                </c:pt>
                <c:pt idx="18">
                  <c:v>2.1069776813963852</c:v>
                </c:pt>
                <c:pt idx="19">
                  <c:v>2.0770127269455148</c:v>
                </c:pt>
                <c:pt idx="20">
                  <c:v>2.0474126373471644</c:v>
                </c:pt>
                <c:pt idx="21">
                  <c:v>2.0181734757638559</c:v>
                </c:pt>
                <c:pt idx="22">
                  <c:v>1.9892913446095812</c:v>
                </c:pt>
                <c:pt idx="23">
                  <c:v>1.9607623849980931</c:v>
                </c:pt>
                <c:pt idx="24">
                  <c:v>1.93258277639096</c:v>
                </c:pt>
                <c:pt idx="25">
                  <c:v>1.9047487363043443</c:v>
                </c:pt>
                <c:pt idx="26">
                  <c:v>1.8772565197827096</c:v>
                </c:pt>
                <c:pt idx="27">
                  <c:v>1.8501024191676778</c:v>
                </c:pt>
                <c:pt idx="28">
                  <c:v>1.8232827636054887</c:v>
                </c:pt>
                <c:pt idx="29">
                  <c:v>1.796793918757859</c:v>
                </c:pt>
                <c:pt idx="30">
                  <c:v>1.6548667198778133</c:v>
                </c:pt>
                <c:pt idx="31">
                  <c:v>1.6301861503606638</c:v>
                </c:pt>
                <c:pt idx="32">
                  <c:v>1.6058173084113294</c:v>
                </c:pt>
                <c:pt idx="33">
                  <c:v>1.5817567556707879</c:v>
                </c:pt>
                <c:pt idx="34">
                  <c:v>1.5580010881932509</c:v>
                </c:pt>
                <c:pt idx="35">
                  <c:v>1.5345469360410267</c:v>
                </c:pt>
                <c:pt idx="36">
                  <c:v>1.5113909630070983</c:v>
                </c:pt>
                <c:pt idx="37">
                  <c:v>1.4885298661466242</c:v>
                </c:pt>
                <c:pt idx="38">
                  <c:v>1.4659603756502109</c:v>
                </c:pt>
                <c:pt idx="39">
                  <c:v>1.4436792542983388</c:v>
                </c:pt>
                <c:pt idx="40">
                  <c:v>1.4216832972980986</c:v>
                </c:pt>
                <c:pt idx="41">
                  <c:v>1.3999693318443376</c:v>
                </c:pt>
                <c:pt idx="42">
                  <c:v>1.3785342169194545</c:v>
                </c:pt>
                <c:pt idx="43">
                  <c:v>1.3573748428640224</c:v>
                </c:pt>
                <c:pt idx="44">
                  <c:v>1.3364881310873189</c:v>
                </c:pt>
                <c:pt idx="45">
                  <c:v>1.3158710338429971</c:v>
                </c:pt>
                <c:pt idx="46">
                  <c:v>1.2955205338148394</c:v>
                </c:pt>
                <c:pt idx="47">
                  <c:v>1.2754336438834026</c:v>
                </c:pt>
                <c:pt idx="48">
                  <c:v>1.2556074067971037</c:v>
                </c:pt>
                <c:pt idx="49">
                  <c:v>1.2360388948657994</c:v>
                </c:pt>
                <c:pt idx="50">
                  <c:v>1.2167252096910777</c:v>
                </c:pt>
                <c:pt idx="51">
                  <c:v>1.1976634819151117</c:v>
                </c:pt>
                <c:pt idx="52">
                  <c:v>1.1788508708023371</c:v>
                </c:pt>
                <c:pt idx="53">
                  <c:v>1.1602845641119179</c:v>
                </c:pt>
                <c:pt idx="54">
                  <c:v>1.1419617777164284</c:v>
                </c:pt>
                <c:pt idx="55">
                  <c:v>1.1238797553538888</c:v>
                </c:pt>
                <c:pt idx="56">
                  <c:v>1.1060357683475861</c:v>
                </c:pt>
                <c:pt idx="57">
                  <c:v>1.0884271153703373</c:v>
                </c:pt>
                <c:pt idx="58">
                  <c:v>1.0710511220901362</c:v>
                </c:pt>
                <c:pt idx="59">
                  <c:v>1.0539051410089935</c:v>
                </c:pt>
                <c:pt idx="60">
                  <c:v>1.0369865511260405</c:v>
                </c:pt>
                <c:pt idx="61">
                  <c:v>1.0202927577059977</c:v>
                </c:pt>
                <c:pt idx="62">
                  <c:v>1.0038211920025504</c:v>
                </c:pt>
                <c:pt idx="63">
                  <c:v>0.9875693110297209</c:v>
                </c:pt>
                <c:pt idx="64">
                  <c:v>0.97153459728878977</c:v>
                </c:pt>
                <c:pt idx="65">
                  <c:v>0.95571455854013543</c:v>
                </c:pt>
                <c:pt idx="66">
                  <c:v>0.94010672752599256</c:v>
                </c:pt>
                <c:pt idx="67">
                  <c:v>0.92470866174609712</c:v>
                </c:pt>
                <c:pt idx="68">
                  <c:v>0.90951794321944002</c:v>
                </c:pt>
                <c:pt idx="69">
                  <c:v>0.89453217822186548</c:v>
                </c:pt>
                <c:pt idx="70">
                  <c:v>0.87974899709672838</c:v>
                </c:pt>
              </c:numCache>
            </c:numRef>
          </c:val>
        </c:ser>
        <c:marker val="1"/>
        <c:axId val="135204224"/>
        <c:axId val="135255552"/>
      </c:lineChart>
      <c:catAx>
        <c:axId val="135204224"/>
        <c:scaling>
          <c:orientation val="minMax"/>
        </c:scaling>
        <c:axPos val="b"/>
        <c:title>
          <c:tx>
            <c:rich>
              <a:bodyPr/>
              <a:lstStyle/>
              <a:p>
                <a:pPr>
                  <a:defRPr sz="800" b="1" i="0" u="none" strike="noStrike" baseline="0">
                    <a:solidFill>
                      <a:srgbClr val="000000"/>
                    </a:solidFill>
                    <a:latin typeface="Arial"/>
                    <a:ea typeface="Arial"/>
                    <a:cs typeface="Arial"/>
                  </a:defRPr>
                </a:pPr>
                <a:r>
                  <a:rPr lang="en-US"/>
                  <a:t>Change in Traffic Volume</a:t>
                </a:r>
              </a:p>
            </c:rich>
          </c:tx>
          <c:layout>
            <c:manualLayout>
              <c:xMode val="edge"/>
              <c:yMode val="edge"/>
              <c:x val="0.31515862530608785"/>
              <c:y val="0.91382968218086058"/>
            </c:manualLayout>
          </c:layout>
          <c:spPr>
            <a:noFill/>
            <a:ln w="25400">
              <a:noFill/>
            </a:ln>
          </c:spPr>
        </c:title>
        <c:numFmt formatCode="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5255552"/>
        <c:crossesAt val="-0.60000000000000064"/>
        <c:auto val="1"/>
        <c:lblAlgn val="ctr"/>
        <c:lblOffset val="0"/>
        <c:tickLblSkip val="7"/>
        <c:tickMarkSkip val="1"/>
      </c:catAx>
      <c:valAx>
        <c:axId val="135255552"/>
        <c:scaling>
          <c:orientation val="minMax"/>
          <c:min val="1"/>
        </c:scaling>
        <c:axPos val="l"/>
        <c:title>
          <c:tx>
            <c:rich>
              <a:bodyPr/>
              <a:lstStyle/>
              <a:p>
                <a:pPr>
                  <a:defRPr sz="800" b="1" i="0" u="none" strike="noStrike" baseline="0">
                    <a:solidFill>
                      <a:srgbClr val="000000"/>
                    </a:solidFill>
                    <a:latin typeface="Arial"/>
                    <a:ea typeface="Arial"/>
                    <a:cs typeface="Arial"/>
                  </a:defRPr>
                </a:pPr>
                <a:r>
                  <a:rPr lang="en-US"/>
                  <a:t>Delay (hrs) due to one trip</a:t>
                </a:r>
              </a:p>
            </c:rich>
          </c:tx>
          <c:layout>
            <c:manualLayout>
              <c:xMode val="edge"/>
              <c:yMode val="edge"/>
              <c:x val="1.2506356168566183E-2"/>
              <c:y val="0.26754710116680958"/>
            </c:manualLayout>
          </c:layout>
          <c:spPr>
            <a:noFill/>
            <a:ln w="25400">
              <a:noFill/>
            </a:ln>
          </c:spPr>
        </c:title>
        <c:numFmt formatCode="0.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5204224"/>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Delay Costs due to One Additional Auto (Round) Trip to CBD</a:t>
            </a:r>
          </a:p>
        </c:rich>
      </c:tx>
      <c:layout>
        <c:manualLayout>
          <c:xMode val="edge"/>
          <c:yMode val="edge"/>
          <c:x val="0.16300940438871472"/>
          <c:y val="3.2520325203252036E-2"/>
        </c:manualLayout>
      </c:layout>
      <c:spPr>
        <a:noFill/>
        <a:ln w="25400">
          <a:noFill/>
        </a:ln>
      </c:spPr>
    </c:title>
    <c:plotArea>
      <c:layout>
        <c:manualLayout>
          <c:layoutTarget val="inner"/>
          <c:xMode val="edge"/>
          <c:yMode val="edge"/>
          <c:x val="0.16614420062695925"/>
          <c:y val="0.19241243334084526"/>
          <c:w val="0.72413793103448365"/>
          <c:h val="0.5257466488467798"/>
        </c:manualLayout>
      </c:layout>
      <c:barChart>
        <c:barDir val="col"/>
        <c:grouping val="stacked"/>
        <c:ser>
          <c:idx val="0"/>
          <c:order val="0"/>
          <c:spPr>
            <a:solidFill>
              <a:srgbClr val="9999FF"/>
            </a:solidFill>
            <a:ln w="12700">
              <a:solidFill>
                <a:srgbClr val="000000"/>
              </a:solidFill>
              <a:prstDash val="solid"/>
            </a:ln>
          </c:spPr>
          <c:cat>
            <c:strRef>
              <c:f>'Delay Costs'!$B$89:$B$95</c:f>
              <c:strCache>
                <c:ptCount val="7"/>
                <c:pt idx="0">
                  <c:v>Graveyard</c:v>
                </c:pt>
                <c:pt idx="1">
                  <c:v>A.M. Pre-pk</c:v>
                </c:pt>
                <c:pt idx="2">
                  <c:v>A.M. Peak</c:v>
                </c:pt>
                <c:pt idx="3">
                  <c:v>A.M. Post-pk</c:v>
                </c:pt>
                <c:pt idx="4">
                  <c:v>Midday Pk</c:v>
                </c:pt>
                <c:pt idx="5">
                  <c:v>P.M. Peak</c:v>
                </c:pt>
                <c:pt idx="6">
                  <c:v>P.M. Post-pk</c:v>
                </c:pt>
              </c:strCache>
            </c:strRef>
          </c:cat>
          <c:val>
            <c:numRef>
              <c:f>'Delay Costs'!$F$89:$F$95</c:f>
              <c:numCache>
                <c:formatCode>"$"#,##0.00</c:formatCode>
                <c:ptCount val="7"/>
                <c:pt idx="0">
                  <c:v>61</c:v>
                </c:pt>
                <c:pt idx="1">
                  <c:v>75</c:v>
                </c:pt>
                <c:pt idx="2">
                  <c:v>139</c:v>
                </c:pt>
                <c:pt idx="3">
                  <c:v>122</c:v>
                </c:pt>
                <c:pt idx="4">
                  <c:v>107</c:v>
                </c:pt>
                <c:pt idx="5">
                  <c:v>152</c:v>
                </c:pt>
                <c:pt idx="6">
                  <c:v>103</c:v>
                </c:pt>
              </c:numCache>
            </c:numRef>
          </c:val>
        </c:ser>
        <c:overlap val="100"/>
        <c:axId val="135269376"/>
        <c:axId val="137589504"/>
      </c:barChart>
      <c:catAx>
        <c:axId val="135269376"/>
        <c:scaling>
          <c:orientation val="minMax"/>
        </c:scaling>
        <c:axPos val="b"/>
        <c:numFmt formatCode="General" sourceLinked="1"/>
        <c:tickLblPos val="nextTo"/>
        <c:spPr>
          <a:ln w="3175">
            <a:solidFill>
              <a:srgbClr val="000000"/>
            </a:solidFill>
            <a:prstDash val="solid"/>
          </a:ln>
        </c:spPr>
        <c:txPr>
          <a:bodyPr rot="-4320000" vert="horz"/>
          <a:lstStyle/>
          <a:p>
            <a:pPr>
              <a:defRPr sz="925" b="1" i="0" u="none" strike="noStrike" baseline="0">
                <a:solidFill>
                  <a:srgbClr val="000000"/>
                </a:solidFill>
                <a:latin typeface="Arial"/>
                <a:ea typeface="Arial"/>
                <a:cs typeface="Arial"/>
              </a:defRPr>
            </a:pPr>
            <a:endParaRPr lang="en-US"/>
          </a:p>
        </c:txPr>
        <c:crossAx val="137589504"/>
        <c:crosses val="autoZero"/>
        <c:auto val="1"/>
        <c:lblAlgn val="ctr"/>
        <c:lblOffset val="100"/>
        <c:tickLblSkip val="1"/>
        <c:tickMarkSkip val="1"/>
      </c:catAx>
      <c:valAx>
        <c:axId val="137589504"/>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US"/>
          </a:p>
        </c:txPr>
        <c:crossAx val="13526937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00" b="1" i="0" u="none" strike="noStrike" baseline="0">
                <a:solidFill>
                  <a:srgbClr val="000000"/>
                </a:solidFill>
                <a:latin typeface="Arial"/>
                <a:ea typeface="Arial"/>
                <a:cs typeface="Arial"/>
              </a:defRPr>
            </a:pPr>
            <a:r>
              <a:rPr lang="en-US"/>
              <a:t>Proposed Auto Toll vs. Delay-Cost (weekdays)</a:t>
            </a:r>
          </a:p>
        </c:rich>
      </c:tx>
      <c:layout>
        <c:manualLayout>
          <c:xMode val="edge"/>
          <c:yMode val="edge"/>
          <c:x val="0.16505596594240154"/>
          <c:y val="2.9729858852967608E-2"/>
        </c:manualLayout>
      </c:layout>
      <c:spPr>
        <a:noFill/>
        <a:ln w="25400">
          <a:noFill/>
        </a:ln>
      </c:spPr>
    </c:title>
    <c:plotArea>
      <c:layout>
        <c:manualLayout>
          <c:layoutTarget val="inner"/>
          <c:xMode val="edge"/>
          <c:yMode val="edge"/>
          <c:x val="0.13354531001590444"/>
          <c:y val="0.12432448839274735"/>
          <c:w val="0.75198728139904614"/>
          <c:h val="0.60810891061673811"/>
        </c:manualLayout>
      </c:layout>
      <c:barChart>
        <c:barDir val="col"/>
        <c:grouping val="stacked"/>
        <c:ser>
          <c:idx val="1"/>
          <c:order val="0"/>
          <c:tx>
            <c:v>Auto Toll</c:v>
          </c:tx>
          <c:spPr>
            <a:solidFill>
              <a:srgbClr val="993366"/>
            </a:solidFill>
            <a:ln w="12700">
              <a:solidFill>
                <a:srgbClr val="000000"/>
              </a:solidFill>
              <a:prstDash val="solid"/>
            </a:ln>
          </c:spPr>
          <c:cat>
            <c:strRef>
              <c:f>'Delay Costs'!$B$89:$B$95</c:f>
              <c:strCache>
                <c:ptCount val="7"/>
                <c:pt idx="0">
                  <c:v>Graveyard</c:v>
                </c:pt>
                <c:pt idx="1">
                  <c:v>A.M. Pre-pk</c:v>
                </c:pt>
                <c:pt idx="2">
                  <c:v>A.M. Peak</c:v>
                </c:pt>
                <c:pt idx="3">
                  <c:v>A.M. Post-pk</c:v>
                </c:pt>
                <c:pt idx="4">
                  <c:v>Midday Pk</c:v>
                </c:pt>
                <c:pt idx="5">
                  <c:v>P.M. Peak</c:v>
                </c:pt>
                <c:pt idx="6">
                  <c:v>P.M. Post-pk</c:v>
                </c:pt>
              </c:strCache>
            </c:strRef>
          </c:cat>
          <c:val>
            <c:numRef>
              <c:f>'Motor Vs'!$P$293:$V$293</c:f>
              <c:numCache>
                <c:formatCode>"$"#,##0.00_);\("$"#,##0.00\)</c:formatCode>
                <c:ptCount val="7"/>
                <c:pt idx="0">
                  <c:v>4.7357166215339799</c:v>
                </c:pt>
                <c:pt idx="1">
                  <c:v>7.6379403388036948</c:v>
                </c:pt>
                <c:pt idx="2">
                  <c:v>9.5458445664104232</c:v>
                </c:pt>
                <c:pt idx="3">
                  <c:v>9.3527441647710763</c:v>
                </c:pt>
                <c:pt idx="4">
                  <c:v>7.6379403388036948</c:v>
                </c:pt>
                <c:pt idx="5">
                  <c:v>9.5320684297405869</c:v>
                </c:pt>
                <c:pt idx="6">
                  <c:v>7.6379403388036948</c:v>
                </c:pt>
              </c:numCache>
            </c:numRef>
          </c:val>
        </c:ser>
        <c:ser>
          <c:idx val="0"/>
          <c:order val="1"/>
          <c:tx>
            <c:v>Delay-Cost</c:v>
          </c:tx>
          <c:spPr>
            <a:solidFill>
              <a:srgbClr val="9999FF"/>
            </a:solidFill>
            <a:ln w="12700">
              <a:solidFill>
                <a:srgbClr val="000000"/>
              </a:solidFill>
              <a:prstDash val="solid"/>
            </a:ln>
          </c:spPr>
          <c:cat>
            <c:strRef>
              <c:f>'Delay Costs'!$B$89:$B$95</c:f>
              <c:strCache>
                <c:ptCount val="7"/>
                <c:pt idx="0">
                  <c:v>Graveyard</c:v>
                </c:pt>
                <c:pt idx="1">
                  <c:v>A.M. Pre-pk</c:v>
                </c:pt>
                <c:pt idx="2">
                  <c:v>A.M. Peak</c:v>
                </c:pt>
                <c:pt idx="3">
                  <c:v>A.M. Post-pk</c:v>
                </c:pt>
                <c:pt idx="4">
                  <c:v>Midday Pk</c:v>
                </c:pt>
                <c:pt idx="5">
                  <c:v>P.M. Peak</c:v>
                </c:pt>
                <c:pt idx="6">
                  <c:v>P.M. Post-pk</c:v>
                </c:pt>
              </c:strCache>
            </c:strRef>
          </c:cat>
          <c:val>
            <c:numRef>
              <c:f>'Delay Costs'!$B$152:$B$158</c:f>
              <c:numCache>
                <c:formatCode>"$"#,##0_);\("$"#,##0\)</c:formatCode>
                <c:ptCount val="7"/>
                <c:pt idx="0">
                  <c:v>58.228926548296258</c:v>
                </c:pt>
                <c:pt idx="1">
                  <c:v>69.326702831026552</c:v>
                </c:pt>
                <c:pt idx="2">
                  <c:v>131.61189900505917</c:v>
                </c:pt>
                <c:pt idx="3">
                  <c:v>114.61189900505916</c:v>
                </c:pt>
                <c:pt idx="4">
                  <c:v>101.32670283102655</c:v>
                </c:pt>
                <c:pt idx="5">
                  <c:v>144.52912494090933</c:v>
                </c:pt>
                <c:pt idx="6">
                  <c:v>97.326702831026552</c:v>
                </c:pt>
              </c:numCache>
            </c:numRef>
          </c:val>
        </c:ser>
        <c:overlap val="100"/>
        <c:axId val="137631616"/>
        <c:axId val="137633152"/>
      </c:barChart>
      <c:catAx>
        <c:axId val="137631616"/>
        <c:scaling>
          <c:orientation val="minMax"/>
        </c:scaling>
        <c:axPos val="b"/>
        <c:numFmt formatCode="General" sourceLinked="1"/>
        <c:tickLblPos val="nextTo"/>
        <c:spPr>
          <a:ln w="3175">
            <a:solidFill>
              <a:srgbClr val="000000"/>
            </a:solidFill>
            <a:prstDash val="solid"/>
          </a:ln>
        </c:spPr>
        <c:txPr>
          <a:bodyPr rot="-4320000" vert="horz"/>
          <a:lstStyle/>
          <a:p>
            <a:pPr>
              <a:defRPr sz="900" b="1" i="0" u="none" strike="noStrike" baseline="0">
                <a:solidFill>
                  <a:srgbClr val="000000"/>
                </a:solidFill>
                <a:latin typeface="Arial"/>
                <a:ea typeface="Arial"/>
                <a:cs typeface="Arial"/>
              </a:defRPr>
            </a:pPr>
            <a:endParaRPr lang="en-US"/>
          </a:p>
        </c:txPr>
        <c:crossAx val="137633152"/>
        <c:crosses val="autoZero"/>
        <c:auto val="1"/>
        <c:lblAlgn val="ctr"/>
        <c:lblOffset val="100"/>
        <c:tickLblSkip val="1"/>
        <c:tickMarkSkip val="1"/>
      </c:catAx>
      <c:valAx>
        <c:axId val="137633152"/>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37631616"/>
        <c:crosses val="autoZero"/>
        <c:crossBetween val="between"/>
        <c:majorUnit val="20"/>
      </c:valAx>
      <c:spPr>
        <a:solidFill>
          <a:srgbClr val="C0C0C0"/>
        </a:solidFill>
        <a:ln w="12700">
          <a:solidFill>
            <a:srgbClr val="808080"/>
          </a:solidFill>
          <a:prstDash val="solid"/>
        </a:ln>
      </c:spPr>
    </c:plotArea>
    <c:legend>
      <c:legendPos val="r"/>
      <c:layout>
        <c:manualLayout>
          <c:xMode val="edge"/>
          <c:yMode val="edge"/>
          <c:x val="0.83624801271864346"/>
          <c:y val="0.85135248634461225"/>
          <c:w val="0.15739268680446064"/>
          <c:h val="0.12973001347803947"/>
        </c:manualLayout>
      </c:layou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Cordon Speeds: Variation with Traffic Volume</a:t>
            </a:r>
          </a:p>
        </c:rich>
      </c:tx>
      <c:layout>
        <c:manualLayout>
          <c:xMode val="edge"/>
          <c:yMode val="edge"/>
          <c:x val="0.21314391526301918"/>
          <c:y val="4.6318897637795432E-2"/>
        </c:manualLayout>
      </c:layout>
      <c:spPr>
        <a:noFill/>
        <a:ln w="25400">
          <a:noFill/>
        </a:ln>
      </c:spPr>
    </c:title>
    <c:plotArea>
      <c:layout>
        <c:manualLayout>
          <c:layoutTarget val="inner"/>
          <c:xMode val="edge"/>
          <c:yMode val="edge"/>
          <c:x val="0.11545293072824156"/>
          <c:y val="0.14627039072097694"/>
          <c:w val="0.8348134991119005"/>
          <c:h val="0.69722219576991817"/>
        </c:manualLayout>
      </c:layout>
      <c:scatterChart>
        <c:scatterStyle val="smoothMarker"/>
        <c:ser>
          <c:idx val="0"/>
          <c:order val="0"/>
          <c:spPr>
            <a:ln w="25400">
              <a:solidFill>
                <a:srgbClr val="000080"/>
              </a:solidFill>
              <a:prstDash val="solid"/>
            </a:ln>
          </c:spPr>
          <c:marker>
            <c:symbol val="none"/>
          </c:marker>
          <c:xVal>
            <c:numRef>
              <c:f>'Speed-Vol., Cordon'!$C$148:$C$224</c:f>
              <c:numCache>
                <c:formatCode>_(* #,##0_);_(* \(#,##0\);_(* "-"??_);_(@_)</c:formatCode>
                <c:ptCount val="77"/>
                <c:pt idx="0">
                  <c:v>18.273</c:v>
                </c:pt>
                <c:pt idx="1">
                  <c:v>22.841249999999999</c:v>
                </c:pt>
                <c:pt idx="2">
                  <c:v>27.409500000000001</c:v>
                </c:pt>
                <c:pt idx="3">
                  <c:v>31.977749999999997</c:v>
                </c:pt>
                <c:pt idx="4">
                  <c:v>36.545999999999999</c:v>
                </c:pt>
                <c:pt idx="5">
                  <c:v>41.114249999999998</c:v>
                </c:pt>
                <c:pt idx="6">
                  <c:v>45.682499999999997</c:v>
                </c:pt>
                <c:pt idx="7">
                  <c:v>50.250750000000011</c:v>
                </c:pt>
                <c:pt idx="8">
                  <c:v>54.819000000000003</c:v>
                </c:pt>
                <c:pt idx="9">
                  <c:v>59.387250000000002</c:v>
                </c:pt>
                <c:pt idx="10">
                  <c:v>63.955499999999994</c:v>
                </c:pt>
                <c:pt idx="11">
                  <c:v>68.523750000000007</c:v>
                </c:pt>
                <c:pt idx="12">
                  <c:v>73.091999999999999</c:v>
                </c:pt>
                <c:pt idx="13">
                  <c:v>77.660250000000005</c:v>
                </c:pt>
                <c:pt idx="14">
                  <c:v>82.228499999999997</c:v>
                </c:pt>
                <c:pt idx="15">
                  <c:v>86.796750000000003</c:v>
                </c:pt>
                <c:pt idx="16">
                  <c:v>91.364999999999995</c:v>
                </c:pt>
                <c:pt idx="17">
                  <c:v>95.933250000000001</c:v>
                </c:pt>
                <c:pt idx="18">
                  <c:v>100.50150000000002</c:v>
                </c:pt>
                <c:pt idx="19">
                  <c:v>105.06974999999998</c:v>
                </c:pt>
                <c:pt idx="20">
                  <c:v>109.63800000000001</c:v>
                </c:pt>
                <c:pt idx="21">
                  <c:v>114.20625</c:v>
                </c:pt>
                <c:pt idx="22">
                  <c:v>118.7745</c:v>
                </c:pt>
                <c:pt idx="23">
                  <c:v>123.34275000000001</c:v>
                </c:pt>
                <c:pt idx="24">
                  <c:v>127.91099999999999</c:v>
                </c:pt>
                <c:pt idx="25">
                  <c:v>132.47925000000001</c:v>
                </c:pt>
                <c:pt idx="26">
                  <c:v>137.04750000000001</c:v>
                </c:pt>
                <c:pt idx="27">
                  <c:v>141.61574999999999</c:v>
                </c:pt>
                <c:pt idx="28">
                  <c:v>146.184</c:v>
                </c:pt>
                <c:pt idx="29">
                  <c:v>150.75225</c:v>
                </c:pt>
                <c:pt idx="30">
                  <c:v>155.32050000000001</c:v>
                </c:pt>
                <c:pt idx="31">
                  <c:v>159.88874999999999</c:v>
                </c:pt>
                <c:pt idx="32">
                  <c:v>164.45699999999999</c:v>
                </c:pt>
                <c:pt idx="33">
                  <c:v>169.02525</c:v>
                </c:pt>
                <c:pt idx="34">
                  <c:v>173.59350000000001</c:v>
                </c:pt>
                <c:pt idx="35">
                  <c:v>178.16175000000001</c:v>
                </c:pt>
                <c:pt idx="36">
                  <c:v>182.73</c:v>
                </c:pt>
                <c:pt idx="37">
                  <c:v>187.29824999999997</c:v>
                </c:pt>
                <c:pt idx="38">
                  <c:v>191.8665</c:v>
                </c:pt>
                <c:pt idx="39">
                  <c:v>196.43475000000001</c:v>
                </c:pt>
                <c:pt idx="40">
                  <c:v>201.00300000000004</c:v>
                </c:pt>
                <c:pt idx="41">
                  <c:v>205.57124999999999</c:v>
                </c:pt>
                <c:pt idx="42">
                  <c:v>210.13949999999997</c:v>
                </c:pt>
                <c:pt idx="43">
                  <c:v>214.70775</c:v>
                </c:pt>
                <c:pt idx="44">
                  <c:v>219.27600000000001</c:v>
                </c:pt>
                <c:pt idx="45">
                  <c:v>223.84425000000002</c:v>
                </c:pt>
                <c:pt idx="46">
                  <c:v>228.41249999999999</c:v>
                </c:pt>
                <c:pt idx="47">
                  <c:v>232.98074999999997</c:v>
                </c:pt>
                <c:pt idx="48">
                  <c:v>237.54900000000001</c:v>
                </c:pt>
                <c:pt idx="49">
                  <c:v>242.11725000000001</c:v>
                </c:pt>
                <c:pt idx="50">
                  <c:v>246.68550000000002</c:v>
                </c:pt>
                <c:pt idx="51">
                  <c:v>251.25375</c:v>
                </c:pt>
                <c:pt idx="52">
                  <c:v>255.82199999999997</c:v>
                </c:pt>
                <c:pt idx="53">
                  <c:v>260.39024999999998</c:v>
                </c:pt>
                <c:pt idx="54">
                  <c:v>264.95850000000002</c:v>
                </c:pt>
                <c:pt idx="55">
                  <c:v>269.52674999999999</c:v>
                </c:pt>
                <c:pt idx="56">
                  <c:v>274.09500000000003</c:v>
                </c:pt>
                <c:pt idx="57">
                  <c:v>278.66325000000001</c:v>
                </c:pt>
                <c:pt idx="58">
                  <c:v>283.23149999999998</c:v>
                </c:pt>
                <c:pt idx="59">
                  <c:v>287.79975000000002</c:v>
                </c:pt>
                <c:pt idx="60">
                  <c:v>292.36799999999999</c:v>
                </c:pt>
                <c:pt idx="61">
                  <c:v>296.93624999999997</c:v>
                </c:pt>
                <c:pt idx="62">
                  <c:v>301.50450000000001</c:v>
                </c:pt>
                <c:pt idx="63">
                  <c:v>306.07274999999998</c:v>
                </c:pt>
                <c:pt idx="64">
                  <c:v>310.64100000000002</c:v>
                </c:pt>
                <c:pt idx="65">
                  <c:v>315.20925</c:v>
                </c:pt>
                <c:pt idx="66">
                  <c:v>319.77749999999997</c:v>
                </c:pt>
                <c:pt idx="67">
                  <c:v>324.34575000000001</c:v>
                </c:pt>
                <c:pt idx="68">
                  <c:v>328.91399999999999</c:v>
                </c:pt>
                <c:pt idx="69">
                  <c:v>333.48225000000002</c:v>
                </c:pt>
                <c:pt idx="70">
                  <c:v>338.0505</c:v>
                </c:pt>
                <c:pt idx="71">
                  <c:v>342.61874999999998</c:v>
                </c:pt>
                <c:pt idx="72">
                  <c:v>347.18700000000001</c:v>
                </c:pt>
                <c:pt idx="73">
                  <c:v>351.75524999999999</c:v>
                </c:pt>
                <c:pt idx="74">
                  <c:v>356.32350000000002</c:v>
                </c:pt>
                <c:pt idx="75">
                  <c:v>360.89175</c:v>
                </c:pt>
                <c:pt idx="76">
                  <c:v>365.46</c:v>
                </c:pt>
              </c:numCache>
            </c:numRef>
          </c:xVal>
          <c:yVal>
            <c:numRef>
              <c:f>'Speed-Vol., Cordon'!$D$148:$D$224</c:f>
              <c:numCache>
                <c:formatCode>0.00</c:formatCode>
                <c:ptCount val="77"/>
                <c:pt idx="0">
                  <c:v>24.196596257791114</c:v>
                </c:pt>
                <c:pt idx="1">
                  <c:v>24.191542173144775</c:v>
                </c:pt>
                <c:pt idx="2">
                  <c:v>24.182211033137715</c:v>
                </c:pt>
                <c:pt idx="3">
                  <c:v>24.166656269589446</c:v>
                </c:pt>
                <c:pt idx="4">
                  <c:v>24.142563476319111</c:v>
                </c:pt>
                <c:pt idx="5">
                  <c:v>24.10726259168441</c:v>
                </c:pt>
                <c:pt idx="6">
                  <c:v>24.057749885983455</c:v>
                </c:pt>
                <c:pt idx="7">
                  <c:v>23.990722231632109</c:v>
                </c:pt>
                <c:pt idx="8">
                  <c:v>23.902626187234123</c:v>
                </c:pt>
                <c:pt idx="9">
                  <c:v>23.789724198791344</c:v>
                </c:pt>
                <c:pt idx="10">
                  <c:v>23.648179641434382</c:v>
                </c:pt>
                <c:pt idx="11">
                  <c:v>23.474161431210224</c:v>
                </c:pt>
                <c:pt idx="12">
                  <c:v>23.263967497416608</c:v>
                </c:pt>
                <c:pt idx="13">
                  <c:v>23.014164545767777</c:v>
                </c:pt>
                <c:pt idx="14">
                  <c:v>22.721739364177996</c:v>
                </c:pt>
                <c:pt idx="15">
                  <c:v>22.384254623770893</c:v>
                </c:pt>
                <c:pt idx="16">
                  <c:v>21.999999999999996</c:v>
                </c:pt>
                <c:pt idx="17">
                  <c:v>21.568127844751331</c:v>
                </c:pt>
                <c:pt idx="18">
                  <c:v>21.088761959744232</c:v>
                </c:pt>
                <c:pt idx="19">
                  <c:v>20.563068574684639</c:v>
                </c:pt>
                <c:pt idx="20">
                  <c:v>19.993280593728034</c:v>
                </c:pt>
                <c:pt idx="21">
                  <c:v>19.382669492362798</c:v>
                </c:pt>
                <c:pt idx="22">
                  <c:v>18.73546361771287</c:v>
                </c:pt>
                <c:pt idx="23">
                  <c:v>18.056716528305095</c:v>
                </c:pt>
                <c:pt idx="24">
                  <c:v>17.35213371778049</c:v>
                </c:pt>
                <c:pt idx="25">
                  <c:v>16.627869902410843</c:v>
                </c:pt>
                <c:pt idx="26">
                  <c:v>15.890311452196549</c:v>
                </c:pt>
                <c:pt idx="27">
                  <c:v>15.145859202044466</c:v>
                </c:pt>
                <c:pt idx="28">
                  <c:v>14.400725795867132</c:v>
                </c:pt>
                <c:pt idx="29">
                  <c:v>13.660759185366674</c:v>
                </c:pt>
                <c:pt idx="30">
                  <c:v>12.931300424296284</c:v>
                </c:pt>
                <c:pt idx="31">
                  <c:v>12.217080049110436</c:v>
                </c:pt>
                <c:pt idx="32">
                  <c:v>11.522153661968256</c:v>
                </c:pt>
                <c:pt idx="33">
                  <c:v>10.849874248359335</c:v>
                </c:pt>
                <c:pt idx="34">
                  <c:v>10.202896512965509</c:v>
                </c:pt>
                <c:pt idx="35">
                  <c:v>9.5832071749205916</c:v>
                </c:pt>
                <c:pt idx="36">
                  <c:v>8.9921746588116065</c:v>
                </c:pt>
                <c:pt idx="37">
                  <c:v>8.4306117915511418</c:v>
                </c:pt>
                <c:pt idx="38">
                  <c:v>7.8988457685369067</c:v>
                </c:pt>
                <c:pt idx="39">
                  <c:v>7.3967905872212194</c:v>
                </c:pt>
                <c:pt idx="40">
                  <c:v>6.9240181924481448</c:v>
                </c:pt>
                <c:pt idx="41">
                  <c:v>6.4798256072340017</c:v>
                </c:pt>
                <c:pt idx="42">
                  <c:v>6.0632962502814918</c:v>
                </c:pt>
                <c:pt idx="43">
                  <c:v>5.6733544213452012</c:v>
                </c:pt>
                <c:pt idx="44">
                  <c:v>5.3088125517386953</c:v>
                </c:pt>
                <c:pt idx="45">
                  <c:v>4.9684112748743399</c:v>
                </c:pt>
                <c:pt idx="46">
                  <c:v>4.650852688456121</c:v>
                </c:pt>
                <c:pt idx="47">
                  <c:v>4.3548273795311285</c:v>
                </c:pt>
                <c:pt idx="48">
                  <c:v>4.0790358911387639</c:v>
                </c:pt>
                <c:pt idx="49">
                  <c:v>3.822205348293918</c:v>
                </c:pt>
                <c:pt idx="50">
                  <c:v>3.5831019518690299</c:v>
                </c:pt>
                <c:pt idx="51">
                  <c:v>3.3605400082168084</c:v>
                </c:pt>
                <c:pt idx="52">
                  <c:v>3.1533881029886937</c:v>
                </c:pt>
                <c:pt idx="53">
                  <c:v>2.9605729590895615</c:v>
                </c:pt>
                <c:pt idx="54">
                  <c:v>2.7810814477830532</c:v>
                </c:pt>
                <c:pt idx="55">
                  <c:v>2.6139611530931379</c:v>
                </c:pt>
                <c:pt idx="56">
                  <c:v>2.4583198255876444</c:v>
                </c:pt>
                <c:pt idx="57">
                  <c:v>2.3133240038734066</c:v>
                </c:pt>
                <c:pt idx="58">
                  <c:v>2.1781970312928287</c:v>
                </c:pt>
                <c:pt idx="59">
                  <c:v>2.0522166514100499</c:v>
                </c:pt>
                <c:pt idx="60">
                  <c:v>1.9347123285625074</c:v>
                </c:pt>
                <c:pt idx="61">
                  <c:v>1.8250624084701808</c:v>
                </c:pt>
                <c:pt idx="62">
                  <c:v>1.7226912079782426</c:v>
                </c:pt>
                <c:pt idx="63">
                  <c:v>1.627066101770869</c:v>
                </c:pt>
                <c:pt idx="64">
                  <c:v>1.5376946566668255</c:v>
                </c:pt>
                <c:pt idx="65">
                  <c:v>1.4541218502710338</c:v>
                </c:pt>
                <c:pt idx="66">
                  <c:v>1.37592739975348</c:v>
                </c:pt>
                <c:pt idx="67">
                  <c:v>1.3027232178674826</c:v>
                </c:pt>
                <c:pt idx="68">
                  <c:v>1.2341510065808023</c:v>
                </c:pt>
                <c:pt idx="69">
                  <c:v>1.169879993515708</c:v>
                </c:pt>
                <c:pt idx="70">
                  <c:v>1.1096048124754061</c:v>
                </c:pt>
                <c:pt idx="71">
                  <c:v>1.0530435264226978</c:v>
                </c:pt>
                <c:pt idx="72">
                  <c:v>0.99993578916456038</c:v>
                </c:pt>
                <c:pt idx="73">
                  <c:v>0.95004114051366706</c:v>
                </c:pt>
                <c:pt idx="74">
                  <c:v>0.90313742870630065</c:v>
                </c:pt>
                <c:pt idx="75">
                  <c:v>0.8590193532441861</c:v>
                </c:pt>
                <c:pt idx="76">
                  <c:v>0.81749712100568028</c:v>
                </c:pt>
              </c:numCache>
            </c:numRef>
          </c:yVal>
          <c:smooth val="1"/>
        </c:ser>
        <c:axId val="137709824"/>
        <c:axId val="137724288"/>
      </c:scatterChart>
      <c:valAx>
        <c:axId val="137709824"/>
        <c:scaling>
          <c:orientation val="minMax"/>
          <c:max val="360"/>
          <c:min val="20"/>
        </c:scaling>
        <c:axPos val="b"/>
        <c:title>
          <c:tx>
            <c:rich>
              <a:bodyPr/>
              <a:lstStyle/>
              <a:p>
                <a:pPr>
                  <a:defRPr sz="900" b="1" i="0" u="none" strike="noStrike" baseline="0">
                    <a:solidFill>
                      <a:srgbClr val="000000"/>
                    </a:solidFill>
                    <a:latin typeface="Arial"/>
                    <a:ea typeface="Arial"/>
                    <a:cs typeface="Arial"/>
                  </a:defRPr>
                </a:pPr>
                <a:r>
                  <a:rPr lang="en-US"/>
                  <a:t>CBD Traffic (Thousands of Vehicles per Hour)</a:t>
                </a:r>
              </a:p>
            </c:rich>
          </c:tx>
          <c:layout>
            <c:manualLayout>
              <c:xMode val="edge"/>
              <c:yMode val="edge"/>
              <c:x val="0.26287745585199906"/>
              <c:y val="0.91906556819286456"/>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7724288"/>
        <c:crosses val="autoZero"/>
        <c:crossBetween val="midCat"/>
        <c:majorUnit val="20"/>
        <c:minorUnit val="5"/>
      </c:valAx>
      <c:valAx>
        <c:axId val="137724288"/>
        <c:scaling>
          <c:orientation val="minMax"/>
        </c:scaling>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MPH</a:t>
                </a:r>
              </a:p>
            </c:rich>
          </c:tx>
          <c:layout>
            <c:manualLayout>
              <c:xMode val="edge"/>
              <c:yMode val="edge"/>
              <c:x val="1.5985865844440401E-2"/>
              <c:y val="0.46806527656266977"/>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7709824"/>
        <c:crossesAt val="0"/>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50" b="1" i="0" u="none" strike="noStrike" baseline="0">
                <a:solidFill>
                  <a:srgbClr val="000000"/>
                </a:solidFill>
                <a:latin typeface="Arial"/>
                <a:ea typeface="Arial"/>
                <a:cs typeface="Arial"/>
              </a:defRPr>
            </a:pPr>
            <a:r>
              <a:rPr lang="en-US"/>
              <a:t>Speed-Density Relationship (5th-order polynomial), 
on (30 &lt; Density &lt; 126)</a:t>
            </a:r>
          </a:p>
        </c:rich>
      </c:tx>
      <c:layout>
        <c:manualLayout>
          <c:xMode val="edge"/>
          <c:yMode val="edge"/>
          <c:x val="0.16839844213023425"/>
          <c:y val="5.6151125846111392E-2"/>
        </c:manualLayout>
      </c:layout>
      <c:spPr>
        <a:noFill/>
        <a:ln w="25400">
          <a:noFill/>
        </a:ln>
      </c:spPr>
    </c:title>
    <c:plotArea>
      <c:layout>
        <c:manualLayout>
          <c:layoutTarget val="inner"/>
          <c:xMode val="edge"/>
          <c:yMode val="edge"/>
          <c:x val="0.10927988537369022"/>
          <c:y val="0.19397685707342321"/>
          <c:w val="0.83661813884444713"/>
          <c:h val="0.65339572908944465"/>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5"/>
            <c:dispRSqr val="1"/>
            <c:dispEq val="1"/>
            <c:trendlineLbl>
              <c:layout>
                <c:manualLayout>
                  <c:x val="0.14953995075997031"/>
                  <c:y val="-0.4393832875978485"/>
                </c:manualLayout>
              </c:layout>
              <c:numFmt formatCode="0.00E+00" sourceLinked="0"/>
              <c:spPr>
                <a:noFill/>
                <a:ln w="25400">
                  <a:noFill/>
                </a:ln>
              </c:spPr>
              <c:txPr>
                <a:bodyPr/>
                <a:lstStyle/>
                <a:p>
                  <a:pPr>
                    <a:defRPr sz="1200" b="1" i="0" u="none" strike="noStrike" baseline="0">
                      <a:solidFill>
                        <a:srgbClr val="000000"/>
                      </a:solidFill>
                      <a:latin typeface="Arial"/>
                      <a:ea typeface="Arial"/>
                      <a:cs typeface="Arial"/>
                    </a:defRPr>
                  </a:pPr>
                  <a:endParaRPr lang="en-US"/>
                </a:p>
              </c:txPr>
            </c:trendlineLbl>
          </c:trendline>
          <c:xVal>
            <c:numRef>
              <c:f>'Speed-Vol., non-Cordon'!$L$25:$L$231</c:f>
              <c:numCache>
                <c:formatCode>0</c:formatCode>
                <c:ptCount val="207"/>
                <c:pt idx="0">
                  <c:v>31</c:v>
                </c:pt>
                <c:pt idx="1">
                  <c:v>31</c:v>
                </c:pt>
                <c:pt idx="2">
                  <c:v>32</c:v>
                </c:pt>
                <c:pt idx="3">
                  <c:v>32</c:v>
                </c:pt>
                <c:pt idx="4">
                  <c:v>32</c:v>
                </c:pt>
                <c:pt idx="5">
                  <c:v>32</c:v>
                </c:pt>
                <c:pt idx="6">
                  <c:v>32</c:v>
                </c:pt>
                <c:pt idx="7">
                  <c:v>32</c:v>
                </c:pt>
                <c:pt idx="8">
                  <c:v>32</c:v>
                </c:pt>
                <c:pt idx="9">
                  <c:v>32</c:v>
                </c:pt>
                <c:pt idx="10">
                  <c:v>32</c:v>
                </c:pt>
                <c:pt idx="11">
                  <c:v>32</c:v>
                </c:pt>
                <c:pt idx="12">
                  <c:v>32</c:v>
                </c:pt>
                <c:pt idx="13">
                  <c:v>32</c:v>
                </c:pt>
                <c:pt idx="14">
                  <c:v>32</c:v>
                </c:pt>
                <c:pt idx="15">
                  <c:v>32</c:v>
                </c:pt>
                <c:pt idx="16">
                  <c:v>33</c:v>
                </c:pt>
                <c:pt idx="17">
                  <c:v>33</c:v>
                </c:pt>
                <c:pt idx="18">
                  <c:v>33</c:v>
                </c:pt>
                <c:pt idx="19">
                  <c:v>33</c:v>
                </c:pt>
                <c:pt idx="20">
                  <c:v>33</c:v>
                </c:pt>
                <c:pt idx="21">
                  <c:v>33</c:v>
                </c:pt>
                <c:pt idx="22">
                  <c:v>33</c:v>
                </c:pt>
                <c:pt idx="23">
                  <c:v>33</c:v>
                </c:pt>
                <c:pt idx="24">
                  <c:v>34</c:v>
                </c:pt>
                <c:pt idx="25">
                  <c:v>34</c:v>
                </c:pt>
                <c:pt idx="26">
                  <c:v>34</c:v>
                </c:pt>
                <c:pt idx="27">
                  <c:v>34</c:v>
                </c:pt>
                <c:pt idx="28">
                  <c:v>34</c:v>
                </c:pt>
                <c:pt idx="29">
                  <c:v>34</c:v>
                </c:pt>
                <c:pt idx="30">
                  <c:v>34</c:v>
                </c:pt>
                <c:pt idx="31">
                  <c:v>34</c:v>
                </c:pt>
                <c:pt idx="32">
                  <c:v>34</c:v>
                </c:pt>
                <c:pt idx="33">
                  <c:v>35</c:v>
                </c:pt>
                <c:pt idx="34">
                  <c:v>35</c:v>
                </c:pt>
                <c:pt idx="35">
                  <c:v>35</c:v>
                </c:pt>
                <c:pt idx="36">
                  <c:v>35</c:v>
                </c:pt>
                <c:pt idx="37">
                  <c:v>36</c:v>
                </c:pt>
                <c:pt idx="38">
                  <c:v>36</c:v>
                </c:pt>
                <c:pt idx="39">
                  <c:v>36</c:v>
                </c:pt>
                <c:pt idx="40">
                  <c:v>36</c:v>
                </c:pt>
                <c:pt idx="41">
                  <c:v>36</c:v>
                </c:pt>
                <c:pt idx="42">
                  <c:v>36</c:v>
                </c:pt>
                <c:pt idx="43">
                  <c:v>37</c:v>
                </c:pt>
                <c:pt idx="44">
                  <c:v>37</c:v>
                </c:pt>
                <c:pt idx="45">
                  <c:v>37</c:v>
                </c:pt>
                <c:pt idx="46">
                  <c:v>37</c:v>
                </c:pt>
                <c:pt idx="47">
                  <c:v>37</c:v>
                </c:pt>
                <c:pt idx="48">
                  <c:v>37</c:v>
                </c:pt>
                <c:pt idx="49">
                  <c:v>37</c:v>
                </c:pt>
                <c:pt idx="50">
                  <c:v>38</c:v>
                </c:pt>
                <c:pt idx="51">
                  <c:v>38</c:v>
                </c:pt>
                <c:pt idx="52">
                  <c:v>38</c:v>
                </c:pt>
                <c:pt idx="53">
                  <c:v>38</c:v>
                </c:pt>
                <c:pt idx="54">
                  <c:v>38</c:v>
                </c:pt>
                <c:pt idx="55">
                  <c:v>39</c:v>
                </c:pt>
                <c:pt idx="56">
                  <c:v>39</c:v>
                </c:pt>
                <c:pt idx="57">
                  <c:v>39</c:v>
                </c:pt>
                <c:pt idx="58">
                  <c:v>39</c:v>
                </c:pt>
                <c:pt idx="59">
                  <c:v>40</c:v>
                </c:pt>
                <c:pt idx="60">
                  <c:v>40</c:v>
                </c:pt>
                <c:pt idx="61">
                  <c:v>40</c:v>
                </c:pt>
                <c:pt idx="62">
                  <c:v>40</c:v>
                </c:pt>
                <c:pt idx="63">
                  <c:v>40</c:v>
                </c:pt>
                <c:pt idx="64">
                  <c:v>40</c:v>
                </c:pt>
                <c:pt idx="65">
                  <c:v>41</c:v>
                </c:pt>
                <c:pt idx="66">
                  <c:v>41</c:v>
                </c:pt>
                <c:pt idx="67">
                  <c:v>41</c:v>
                </c:pt>
                <c:pt idx="68">
                  <c:v>42</c:v>
                </c:pt>
                <c:pt idx="69">
                  <c:v>42</c:v>
                </c:pt>
                <c:pt idx="70">
                  <c:v>42</c:v>
                </c:pt>
                <c:pt idx="71">
                  <c:v>42</c:v>
                </c:pt>
                <c:pt idx="72">
                  <c:v>42</c:v>
                </c:pt>
                <c:pt idx="73">
                  <c:v>43</c:v>
                </c:pt>
                <c:pt idx="74">
                  <c:v>43</c:v>
                </c:pt>
                <c:pt idx="75">
                  <c:v>43</c:v>
                </c:pt>
                <c:pt idx="76">
                  <c:v>43</c:v>
                </c:pt>
                <c:pt idx="77">
                  <c:v>44</c:v>
                </c:pt>
                <c:pt idx="78">
                  <c:v>44</c:v>
                </c:pt>
                <c:pt idx="79">
                  <c:v>44</c:v>
                </c:pt>
                <c:pt idx="80">
                  <c:v>44</c:v>
                </c:pt>
                <c:pt idx="81">
                  <c:v>44</c:v>
                </c:pt>
                <c:pt idx="82">
                  <c:v>44</c:v>
                </c:pt>
                <c:pt idx="83">
                  <c:v>45</c:v>
                </c:pt>
                <c:pt idx="84">
                  <c:v>45</c:v>
                </c:pt>
                <c:pt idx="85">
                  <c:v>45</c:v>
                </c:pt>
                <c:pt idx="86">
                  <c:v>45</c:v>
                </c:pt>
                <c:pt idx="87">
                  <c:v>45</c:v>
                </c:pt>
                <c:pt idx="88">
                  <c:v>46</c:v>
                </c:pt>
                <c:pt idx="89">
                  <c:v>46</c:v>
                </c:pt>
                <c:pt idx="90">
                  <c:v>46</c:v>
                </c:pt>
                <c:pt idx="91">
                  <c:v>47</c:v>
                </c:pt>
                <c:pt idx="92">
                  <c:v>47</c:v>
                </c:pt>
                <c:pt idx="93">
                  <c:v>48</c:v>
                </c:pt>
                <c:pt idx="94">
                  <c:v>48</c:v>
                </c:pt>
                <c:pt idx="95">
                  <c:v>48</c:v>
                </c:pt>
                <c:pt idx="96">
                  <c:v>49</c:v>
                </c:pt>
                <c:pt idx="97">
                  <c:v>49</c:v>
                </c:pt>
                <c:pt idx="98">
                  <c:v>49</c:v>
                </c:pt>
                <c:pt idx="99">
                  <c:v>49</c:v>
                </c:pt>
                <c:pt idx="100">
                  <c:v>50</c:v>
                </c:pt>
                <c:pt idx="101">
                  <c:v>50</c:v>
                </c:pt>
                <c:pt idx="102">
                  <c:v>50</c:v>
                </c:pt>
                <c:pt idx="103">
                  <c:v>51</c:v>
                </c:pt>
                <c:pt idx="104">
                  <c:v>51</c:v>
                </c:pt>
                <c:pt idx="105">
                  <c:v>52</c:v>
                </c:pt>
                <c:pt idx="106">
                  <c:v>52</c:v>
                </c:pt>
                <c:pt idx="107">
                  <c:v>52</c:v>
                </c:pt>
                <c:pt idx="108">
                  <c:v>53</c:v>
                </c:pt>
                <c:pt idx="109">
                  <c:v>55</c:v>
                </c:pt>
                <c:pt idx="110">
                  <c:v>56</c:v>
                </c:pt>
                <c:pt idx="111">
                  <c:v>56</c:v>
                </c:pt>
                <c:pt idx="112">
                  <c:v>56</c:v>
                </c:pt>
                <c:pt idx="113">
                  <c:v>57</c:v>
                </c:pt>
                <c:pt idx="114">
                  <c:v>57</c:v>
                </c:pt>
                <c:pt idx="115">
                  <c:v>58</c:v>
                </c:pt>
                <c:pt idx="116">
                  <c:v>58</c:v>
                </c:pt>
                <c:pt idx="117">
                  <c:v>59</c:v>
                </c:pt>
                <c:pt idx="118">
                  <c:v>59</c:v>
                </c:pt>
                <c:pt idx="119">
                  <c:v>60</c:v>
                </c:pt>
                <c:pt idx="120">
                  <c:v>60</c:v>
                </c:pt>
                <c:pt idx="121">
                  <c:v>60</c:v>
                </c:pt>
                <c:pt idx="122">
                  <c:v>60</c:v>
                </c:pt>
                <c:pt idx="123">
                  <c:v>60</c:v>
                </c:pt>
                <c:pt idx="124">
                  <c:v>63</c:v>
                </c:pt>
                <c:pt idx="125">
                  <c:v>63</c:v>
                </c:pt>
                <c:pt idx="126">
                  <c:v>64</c:v>
                </c:pt>
                <c:pt idx="127">
                  <c:v>64</c:v>
                </c:pt>
                <c:pt idx="128">
                  <c:v>65</c:v>
                </c:pt>
                <c:pt idx="129">
                  <c:v>65</c:v>
                </c:pt>
                <c:pt idx="130">
                  <c:v>65</c:v>
                </c:pt>
                <c:pt idx="131">
                  <c:v>67</c:v>
                </c:pt>
                <c:pt idx="132">
                  <c:v>67</c:v>
                </c:pt>
                <c:pt idx="133">
                  <c:v>67</c:v>
                </c:pt>
                <c:pt idx="134">
                  <c:v>68</c:v>
                </c:pt>
                <c:pt idx="135">
                  <c:v>68</c:v>
                </c:pt>
                <c:pt idx="136">
                  <c:v>68</c:v>
                </c:pt>
                <c:pt idx="137">
                  <c:v>68</c:v>
                </c:pt>
                <c:pt idx="138">
                  <c:v>68</c:v>
                </c:pt>
                <c:pt idx="139">
                  <c:v>69</c:v>
                </c:pt>
                <c:pt idx="140">
                  <c:v>70</c:v>
                </c:pt>
                <c:pt idx="141">
                  <c:v>70</c:v>
                </c:pt>
                <c:pt idx="142">
                  <c:v>70</c:v>
                </c:pt>
                <c:pt idx="143">
                  <c:v>70</c:v>
                </c:pt>
                <c:pt idx="144">
                  <c:v>71</c:v>
                </c:pt>
                <c:pt idx="145">
                  <c:v>72</c:v>
                </c:pt>
                <c:pt idx="146">
                  <c:v>72</c:v>
                </c:pt>
                <c:pt idx="147">
                  <c:v>73</c:v>
                </c:pt>
                <c:pt idx="148">
                  <c:v>73</c:v>
                </c:pt>
                <c:pt idx="149">
                  <c:v>73</c:v>
                </c:pt>
                <c:pt idx="150">
                  <c:v>73</c:v>
                </c:pt>
                <c:pt idx="151">
                  <c:v>73</c:v>
                </c:pt>
                <c:pt idx="152">
                  <c:v>73</c:v>
                </c:pt>
                <c:pt idx="153">
                  <c:v>74</c:v>
                </c:pt>
                <c:pt idx="154">
                  <c:v>74</c:v>
                </c:pt>
                <c:pt idx="155">
                  <c:v>74</c:v>
                </c:pt>
                <c:pt idx="156">
                  <c:v>74</c:v>
                </c:pt>
                <c:pt idx="157">
                  <c:v>75</c:v>
                </c:pt>
                <c:pt idx="158">
                  <c:v>75</c:v>
                </c:pt>
                <c:pt idx="159">
                  <c:v>75</c:v>
                </c:pt>
                <c:pt idx="160">
                  <c:v>76</c:v>
                </c:pt>
                <c:pt idx="161">
                  <c:v>77</c:v>
                </c:pt>
                <c:pt idx="162">
                  <c:v>78</c:v>
                </c:pt>
                <c:pt idx="163">
                  <c:v>79</c:v>
                </c:pt>
                <c:pt idx="164">
                  <c:v>81</c:v>
                </c:pt>
                <c:pt idx="165">
                  <c:v>81</c:v>
                </c:pt>
                <c:pt idx="166">
                  <c:v>82</c:v>
                </c:pt>
                <c:pt idx="167">
                  <c:v>83</c:v>
                </c:pt>
                <c:pt idx="168">
                  <c:v>84</c:v>
                </c:pt>
                <c:pt idx="169">
                  <c:v>84</c:v>
                </c:pt>
                <c:pt idx="170">
                  <c:v>85</c:v>
                </c:pt>
                <c:pt idx="171">
                  <c:v>85</c:v>
                </c:pt>
                <c:pt idx="172">
                  <c:v>86</c:v>
                </c:pt>
                <c:pt idx="173">
                  <c:v>87</c:v>
                </c:pt>
                <c:pt idx="174">
                  <c:v>87</c:v>
                </c:pt>
                <c:pt idx="175">
                  <c:v>88</c:v>
                </c:pt>
                <c:pt idx="176">
                  <c:v>88</c:v>
                </c:pt>
                <c:pt idx="177">
                  <c:v>90</c:v>
                </c:pt>
                <c:pt idx="178">
                  <c:v>92</c:v>
                </c:pt>
                <c:pt idx="179">
                  <c:v>92</c:v>
                </c:pt>
                <c:pt idx="180">
                  <c:v>94</c:v>
                </c:pt>
                <c:pt idx="181">
                  <c:v>94</c:v>
                </c:pt>
                <c:pt idx="182">
                  <c:v>95</c:v>
                </c:pt>
                <c:pt idx="183">
                  <c:v>96</c:v>
                </c:pt>
                <c:pt idx="184">
                  <c:v>97</c:v>
                </c:pt>
                <c:pt idx="185">
                  <c:v>97</c:v>
                </c:pt>
                <c:pt idx="186">
                  <c:v>97</c:v>
                </c:pt>
                <c:pt idx="187">
                  <c:v>99</c:v>
                </c:pt>
                <c:pt idx="188">
                  <c:v>99</c:v>
                </c:pt>
                <c:pt idx="189">
                  <c:v>99</c:v>
                </c:pt>
                <c:pt idx="190">
                  <c:v>100</c:v>
                </c:pt>
                <c:pt idx="191">
                  <c:v>100</c:v>
                </c:pt>
                <c:pt idx="192">
                  <c:v>102</c:v>
                </c:pt>
                <c:pt idx="193">
                  <c:v>103</c:v>
                </c:pt>
                <c:pt idx="194">
                  <c:v>104</c:v>
                </c:pt>
                <c:pt idx="195">
                  <c:v>105</c:v>
                </c:pt>
                <c:pt idx="196">
                  <c:v>106</c:v>
                </c:pt>
                <c:pt idx="197">
                  <c:v>106</c:v>
                </c:pt>
                <c:pt idx="198">
                  <c:v>106</c:v>
                </c:pt>
                <c:pt idx="199">
                  <c:v>108</c:v>
                </c:pt>
                <c:pt idx="200">
                  <c:v>109</c:v>
                </c:pt>
                <c:pt idx="201">
                  <c:v>109</c:v>
                </c:pt>
                <c:pt idx="202">
                  <c:v>111</c:v>
                </c:pt>
                <c:pt idx="203">
                  <c:v>111</c:v>
                </c:pt>
                <c:pt idx="204">
                  <c:v>119</c:v>
                </c:pt>
                <c:pt idx="205">
                  <c:v>123</c:v>
                </c:pt>
                <c:pt idx="206">
                  <c:v>125</c:v>
                </c:pt>
              </c:numCache>
            </c:numRef>
          </c:xVal>
          <c:yVal>
            <c:numRef>
              <c:f>'Speed-Vol., non-Cordon'!$M$25:$M$231</c:f>
              <c:numCache>
                <c:formatCode>General</c:formatCode>
                <c:ptCount val="207"/>
                <c:pt idx="0">
                  <c:v>65</c:v>
                </c:pt>
                <c:pt idx="1">
                  <c:v>65</c:v>
                </c:pt>
                <c:pt idx="2">
                  <c:v>64</c:v>
                </c:pt>
                <c:pt idx="3">
                  <c:v>64</c:v>
                </c:pt>
                <c:pt idx="4">
                  <c:v>64</c:v>
                </c:pt>
                <c:pt idx="5">
                  <c:v>64</c:v>
                </c:pt>
                <c:pt idx="6">
                  <c:v>64</c:v>
                </c:pt>
                <c:pt idx="7">
                  <c:v>64</c:v>
                </c:pt>
                <c:pt idx="8">
                  <c:v>64</c:v>
                </c:pt>
                <c:pt idx="9">
                  <c:v>64</c:v>
                </c:pt>
                <c:pt idx="10">
                  <c:v>64</c:v>
                </c:pt>
                <c:pt idx="11">
                  <c:v>64</c:v>
                </c:pt>
                <c:pt idx="12">
                  <c:v>64</c:v>
                </c:pt>
                <c:pt idx="13">
                  <c:v>64</c:v>
                </c:pt>
                <c:pt idx="14">
                  <c:v>64</c:v>
                </c:pt>
                <c:pt idx="15">
                  <c:v>64</c:v>
                </c:pt>
                <c:pt idx="16">
                  <c:v>64</c:v>
                </c:pt>
                <c:pt idx="17">
                  <c:v>64</c:v>
                </c:pt>
                <c:pt idx="18">
                  <c:v>64</c:v>
                </c:pt>
                <c:pt idx="19">
                  <c:v>64</c:v>
                </c:pt>
                <c:pt idx="20">
                  <c:v>64</c:v>
                </c:pt>
                <c:pt idx="21">
                  <c:v>64</c:v>
                </c:pt>
                <c:pt idx="22">
                  <c:v>64</c:v>
                </c:pt>
                <c:pt idx="23">
                  <c:v>64</c:v>
                </c:pt>
                <c:pt idx="24">
                  <c:v>63</c:v>
                </c:pt>
                <c:pt idx="25">
                  <c:v>63</c:v>
                </c:pt>
                <c:pt idx="26">
                  <c:v>63</c:v>
                </c:pt>
                <c:pt idx="27">
                  <c:v>63</c:v>
                </c:pt>
                <c:pt idx="28">
                  <c:v>63</c:v>
                </c:pt>
                <c:pt idx="29">
                  <c:v>63</c:v>
                </c:pt>
                <c:pt idx="30">
                  <c:v>63</c:v>
                </c:pt>
                <c:pt idx="31">
                  <c:v>63</c:v>
                </c:pt>
                <c:pt idx="32">
                  <c:v>63</c:v>
                </c:pt>
                <c:pt idx="33">
                  <c:v>62</c:v>
                </c:pt>
                <c:pt idx="34">
                  <c:v>62</c:v>
                </c:pt>
                <c:pt idx="35">
                  <c:v>62</c:v>
                </c:pt>
                <c:pt idx="36">
                  <c:v>62</c:v>
                </c:pt>
                <c:pt idx="37">
                  <c:v>61</c:v>
                </c:pt>
                <c:pt idx="38">
                  <c:v>61</c:v>
                </c:pt>
                <c:pt idx="39">
                  <c:v>61</c:v>
                </c:pt>
                <c:pt idx="40">
                  <c:v>61</c:v>
                </c:pt>
                <c:pt idx="41">
                  <c:v>61</c:v>
                </c:pt>
                <c:pt idx="42">
                  <c:v>61</c:v>
                </c:pt>
                <c:pt idx="43">
                  <c:v>59</c:v>
                </c:pt>
                <c:pt idx="44">
                  <c:v>59</c:v>
                </c:pt>
                <c:pt idx="45">
                  <c:v>59</c:v>
                </c:pt>
                <c:pt idx="46">
                  <c:v>59</c:v>
                </c:pt>
                <c:pt idx="47">
                  <c:v>59</c:v>
                </c:pt>
                <c:pt idx="48">
                  <c:v>59</c:v>
                </c:pt>
                <c:pt idx="49">
                  <c:v>59</c:v>
                </c:pt>
                <c:pt idx="50">
                  <c:v>58</c:v>
                </c:pt>
                <c:pt idx="51">
                  <c:v>58</c:v>
                </c:pt>
                <c:pt idx="52">
                  <c:v>58</c:v>
                </c:pt>
                <c:pt idx="53">
                  <c:v>58</c:v>
                </c:pt>
                <c:pt idx="54">
                  <c:v>58</c:v>
                </c:pt>
                <c:pt idx="55">
                  <c:v>57</c:v>
                </c:pt>
                <c:pt idx="56">
                  <c:v>57</c:v>
                </c:pt>
                <c:pt idx="57">
                  <c:v>57</c:v>
                </c:pt>
                <c:pt idx="58">
                  <c:v>57</c:v>
                </c:pt>
                <c:pt idx="59">
                  <c:v>55</c:v>
                </c:pt>
                <c:pt idx="60">
                  <c:v>55</c:v>
                </c:pt>
                <c:pt idx="61">
                  <c:v>55</c:v>
                </c:pt>
                <c:pt idx="62">
                  <c:v>55</c:v>
                </c:pt>
                <c:pt idx="63">
                  <c:v>55</c:v>
                </c:pt>
                <c:pt idx="64">
                  <c:v>55</c:v>
                </c:pt>
                <c:pt idx="65">
                  <c:v>54</c:v>
                </c:pt>
                <c:pt idx="66">
                  <c:v>54</c:v>
                </c:pt>
                <c:pt idx="67">
                  <c:v>54</c:v>
                </c:pt>
                <c:pt idx="68">
                  <c:v>52</c:v>
                </c:pt>
                <c:pt idx="69">
                  <c:v>52</c:v>
                </c:pt>
                <c:pt idx="70">
                  <c:v>52</c:v>
                </c:pt>
                <c:pt idx="71">
                  <c:v>52</c:v>
                </c:pt>
                <c:pt idx="72">
                  <c:v>52</c:v>
                </c:pt>
                <c:pt idx="73">
                  <c:v>51</c:v>
                </c:pt>
                <c:pt idx="74">
                  <c:v>51</c:v>
                </c:pt>
                <c:pt idx="75">
                  <c:v>51</c:v>
                </c:pt>
                <c:pt idx="76">
                  <c:v>51</c:v>
                </c:pt>
                <c:pt idx="77">
                  <c:v>50</c:v>
                </c:pt>
                <c:pt idx="78">
                  <c:v>50</c:v>
                </c:pt>
                <c:pt idx="79">
                  <c:v>50</c:v>
                </c:pt>
                <c:pt idx="80">
                  <c:v>50</c:v>
                </c:pt>
                <c:pt idx="81">
                  <c:v>50</c:v>
                </c:pt>
                <c:pt idx="82">
                  <c:v>50</c:v>
                </c:pt>
                <c:pt idx="83">
                  <c:v>48</c:v>
                </c:pt>
                <c:pt idx="84">
                  <c:v>48</c:v>
                </c:pt>
                <c:pt idx="85">
                  <c:v>48</c:v>
                </c:pt>
                <c:pt idx="86">
                  <c:v>48</c:v>
                </c:pt>
                <c:pt idx="87">
                  <c:v>48</c:v>
                </c:pt>
                <c:pt idx="88">
                  <c:v>47</c:v>
                </c:pt>
                <c:pt idx="89">
                  <c:v>47</c:v>
                </c:pt>
                <c:pt idx="90">
                  <c:v>47</c:v>
                </c:pt>
                <c:pt idx="91">
                  <c:v>46</c:v>
                </c:pt>
                <c:pt idx="92">
                  <c:v>46</c:v>
                </c:pt>
                <c:pt idx="93">
                  <c:v>45</c:v>
                </c:pt>
                <c:pt idx="94">
                  <c:v>45</c:v>
                </c:pt>
                <c:pt idx="95">
                  <c:v>45</c:v>
                </c:pt>
                <c:pt idx="96">
                  <c:v>43</c:v>
                </c:pt>
                <c:pt idx="97">
                  <c:v>43</c:v>
                </c:pt>
                <c:pt idx="98">
                  <c:v>43</c:v>
                </c:pt>
                <c:pt idx="99">
                  <c:v>43</c:v>
                </c:pt>
                <c:pt idx="100">
                  <c:v>42</c:v>
                </c:pt>
                <c:pt idx="101">
                  <c:v>42</c:v>
                </c:pt>
                <c:pt idx="102">
                  <c:v>42</c:v>
                </c:pt>
                <c:pt idx="103">
                  <c:v>41</c:v>
                </c:pt>
                <c:pt idx="104">
                  <c:v>41</c:v>
                </c:pt>
                <c:pt idx="105">
                  <c:v>40</c:v>
                </c:pt>
                <c:pt idx="106">
                  <c:v>40</c:v>
                </c:pt>
                <c:pt idx="107">
                  <c:v>40</c:v>
                </c:pt>
                <c:pt idx="108">
                  <c:v>39</c:v>
                </c:pt>
                <c:pt idx="109">
                  <c:v>37</c:v>
                </c:pt>
                <c:pt idx="110">
                  <c:v>36</c:v>
                </c:pt>
                <c:pt idx="111">
                  <c:v>36</c:v>
                </c:pt>
                <c:pt idx="112">
                  <c:v>36</c:v>
                </c:pt>
                <c:pt idx="113">
                  <c:v>36</c:v>
                </c:pt>
                <c:pt idx="114">
                  <c:v>36</c:v>
                </c:pt>
                <c:pt idx="115">
                  <c:v>35</c:v>
                </c:pt>
                <c:pt idx="116">
                  <c:v>35</c:v>
                </c:pt>
                <c:pt idx="117">
                  <c:v>34</c:v>
                </c:pt>
                <c:pt idx="118">
                  <c:v>34</c:v>
                </c:pt>
                <c:pt idx="119">
                  <c:v>33</c:v>
                </c:pt>
                <c:pt idx="120">
                  <c:v>33</c:v>
                </c:pt>
                <c:pt idx="121">
                  <c:v>33</c:v>
                </c:pt>
                <c:pt idx="122">
                  <c:v>33</c:v>
                </c:pt>
                <c:pt idx="123">
                  <c:v>33</c:v>
                </c:pt>
                <c:pt idx="124">
                  <c:v>31</c:v>
                </c:pt>
                <c:pt idx="125">
                  <c:v>31</c:v>
                </c:pt>
                <c:pt idx="126">
                  <c:v>30</c:v>
                </c:pt>
                <c:pt idx="127">
                  <c:v>30</c:v>
                </c:pt>
                <c:pt idx="128">
                  <c:v>29</c:v>
                </c:pt>
                <c:pt idx="129">
                  <c:v>29</c:v>
                </c:pt>
                <c:pt idx="130">
                  <c:v>29</c:v>
                </c:pt>
                <c:pt idx="131">
                  <c:v>28</c:v>
                </c:pt>
                <c:pt idx="132">
                  <c:v>28</c:v>
                </c:pt>
                <c:pt idx="133">
                  <c:v>28</c:v>
                </c:pt>
                <c:pt idx="134">
                  <c:v>27</c:v>
                </c:pt>
                <c:pt idx="135">
                  <c:v>27</c:v>
                </c:pt>
                <c:pt idx="136">
                  <c:v>27</c:v>
                </c:pt>
                <c:pt idx="137">
                  <c:v>27</c:v>
                </c:pt>
                <c:pt idx="138">
                  <c:v>27</c:v>
                </c:pt>
                <c:pt idx="139">
                  <c:v>27</c:v>
                </c:pt>
                <c:pt idx="140">
                  <c:v>26</c:v>
                </c:pt>
                <c:pt idx="141">
                  <c:v>26</c:v>
                </c:pt>
                <c:pt idx="142">
                  <c:v>26</c:v>
                </c:pt>
                <c:pt idx="143">
                  <c:v>26</c:v>
                </c:pt>
                <c:pt idx="144">
                  <c:v>26</c:v>
                </c:pt>
                <c:pt idx="145">
                  <c:v>25</c:v>
                </c:pt>
                <c:pt idx="146">
                  <c:v>25</c:v>
                </c:pt>
                <c:pt idx="147">
                  <c:v>25</c:v>
                </c:pt>
                <c:pt idx="148">
                  <c:v>25</c:v>
                </c:pt>
                <c:pt idx="149">
                  <c:v>25</c:v>
                </c:pt>
                <c:pt idx="150">
                  <c:v>25</c:v>
                </c:pt>
                <c:pt idx="151">
                  <c:v>25</c:v>
                </c:pt>
                <c:pt idx="152">
                  <c:v>25</c:v>
                </c:pt>
                <c:pt idx="153">
                  <c:v>24</c:v>
                </c:pt>
                <c:pt idx="154">
                  <c:v>24</c:v>
                </c:pt>
                <c:pt idx="155">
                  <c:v>24</c:v>
                </c:pt>
                <c:pt idx="156">
                  <c:v>24</c:v>
                </c:pt>
                <c:pt idx="157">
                  <c:v>24</c:v>
                </c:pt>
                <c:pt idx="158">
                  <c:v>24</c:v>
                </c:pt>
                <c:pt idx="159">
                  <c:v>24</c:v>
                </c:pt>
                <c:pt idx="160">
                  <c:v>23</c:v>
                </c:pt>
                <c:pt idx="161">
                  <c:v>23</c:v>
                </c:pt>
                <c:pt idx="162">
                  <c:v>22</c:v>
                </c:pt>
                <c:pt idx="163">
                  <c:v>22</c:v>
                </c:pt>
                <c:pt idx="164">
                  <c:v>21</c:v>
                </c:pt>
                <c:pt idx="165">
                  <c:v>21</c:v>
                </c:pt>
                <c:pt idx="166">
                  <c:v>20</c:v>
                </c:pt>
                <c:pt idx="167">
                  <c:v>20</c:v>
                </c:pt>
                <c:pt idx="168">
                  <c:v>19</c:v>
                </c:pt>
                <c:pt idx="169">
                  <c:v>19</c:v>
                </c:pt>
                <c:pt idx="170">
                  <c:v>19</c:v>
                </c:pt>
                <c:pt idx="171">
                  <c:v>19</c:v>
                </c:pt>
                <c:pt idx="172">
                  <c:v>19</c:v>
                </c:pt>
                <c:pt idx="173">
                  <c:v>18</c:v>
                </c:pt>
                <c:pt idx="174">
                  <c:v>18</c:v>
                </c:pt>
                <c:pt idx="175">
                  <c:v>18</c:v>
                </c:pt>
                <c:pt idx="176">
                  <c:v>18</c:v>
                </c:pt>
                <c:pt idx="177">
                  <c:v>17</c:v>
                </c:pt>
                <c:pt idx="178">
                  <c:v>16</c:v>
                </c:pt>
                <c:pt idx="179">
                  <c:v>16</c:v>
                </c:pt>
                <c:pt idx="180">
                  <c:v>16</c:v>
                </c:pt>
                <c:pt idx="181">
                  <c:v>16</c:v>
                </c:pt>
                <c:pt idx="182">
                  <c:v>15</c:v>
                </c:pt>
                <c:pt idx="183">
                  <c:v>15</c:v>
                </c:pt>
                <c:pt idx="184">
                  <c:v>15</c:v>
                </c:pt>
                <c:pt idx="185">
                  <c:v>15</c:v>
                </c:pt>
                <c:pt idx="186">
                  <c:v>15</c:v>
                </c:pt>
                <c:pt idx="187">
                  <c:v>14</c:v>
                </c:pt>
                <c:pt idx="188">
                  <c:v>14</c:v>
                </c:pt>
                <c:pt idx="189">
                  <c:v>14</c:v>
                </c:pt>
                <c:pt idx="190">
                  <c:v>14</c:v>
                </c:pt>
                <c:pt idx="191">
                  <c:v>14</c:v>
                </c:pt>
                <c:pt idx="192">
                  <c:v>13</c:v>
                </c:pt>
                <c:pt idx="193">
                  <c:v>13</c:v>
                </c:pt>
                <c:pt idx="194">
                  <c:v>13</c:v>
                </c:pt>
                <c:pt idx="195">
                  <c:v>13</c:v>
                </c:pt>
                <c:pt idx="196">
                  <c:v>12</c:v>
                </c:pt>
                <c:pt idx="197">
                  <c:v>12</c:v>
                </c:pt>
                <c:pt idx="198">
                  <c:v>12</c:v>
                </c:pt>
                <c:pt idx="199">
                  <c:v>12</c:v>
                </c:pt>
                <c:pt idx="200">
                  <c:v>12</c:v>
                </c:pt>
                <c:pt idx="201">
                  <c:v>12</c:v>
                </c:pt>
                <c:pt idx="202">
                  <c:v>11</c:v>
                </c:pt>
                <c:pt idx="203">
                  <c:v>11</c:v>
                </c:pt>
                <c:pt idx="204">
                  <c:v>9</c:v>
                </c:pt>
                <c:pt idx="205">
                  <c:v>9</c:v>
                </c:pt>
                <c:pt idx="206">
                  <c:v>8</c:v>
                </c:pt>
              </c:numCache>
            </c:numRef>
          </c:yVal>
        </c:ser>
        <c:axId val="137849472"/>
        <c:axId val="137855744"/>
      </c:scatterChart>
      <c:valAx>
        <c:axId val="137849472"/>
        <c:scaling>
          <c:orientation val="minMax"/>
          <c:max val="130"/>
          <c:min val="30"/>
        </c:scaling>
        <c:axPos val="b"/>
        <c:title>
          <c:tx>
            <c:rich>
              <a:bodyPr/>
              <a:lstStyle/>
              <a:p>
                <a:pPr>
                  <a:defRPr sz="1200" b="1" i="0" u="none" strike="noStrike" baseline="0">
                    <a:solidFill>
                      <a:srgbClr val="000000"/>
                    </a:solidFill>
                    <a:latin typeface="Arial"/>
                    <a:ea typeface="Arial"/>
                    <a:cs typeface="Arial"/>
                  </a:defRPr>
                </a:pPr>
                <a:r>
                  <a:rPr lang="en-US"/>
                  <a:t>Density (vehicles per lane-mile)</a:t>
                </a:r>
              </a:p>
            </c:rich>
          </c:tx>
          <c:layout>
            <c:manualLayout>
              <c:xMode val="edge"/>
              <c:yMode val="edge"/>
              <c:x val="0.30813343493353629"/>
              <c:y val="0.91628539853570945"/>
            </c:manualLayout>
          </c:layout>
          <c:spPr>
            <a:noFill/>
            <a:ln w="25400">
              <a:noFill/>
            </a:ln>
          </c:spPr>
        </c:title>
        <c:numFmt formatCode="0" sourceLinked="1"/>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37855744"/>
        <c:crosses val="autoZero"/>
        <c:crossBetween val="midCat"/>
      </c:valAx>
      <c:valAx>
        <c:axId val="137855744"/>
        <c:scaling>
          <c:orientation val="minMax"/>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Speed (mph)</a:t>
                </a:r>
              </a:p>
            </c:rich>
          </c:tx>
          <c:layout>
            <c:manualLayout>
              <c:xMode val="edge"/>
              <c:yMode val="edge"/>
              <c:x val="8.9574125814918526E-3"/>
              <c:y val="0.42623870700372984"/>
            </c:manualLayout>
          </c:layout>
          <c:spPr>
            <a:noFill/>
            <a:ln w="25400">
              <a:noFill/>
            </a:ln>
          </c:spPr>
        </c:title>
        <c:numFmt formatCode="General" sourceLinked="1"/>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37849472"/>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Speed-Density Relationship 
(power law) on Speeds &lt;= 35 mph</a:t>
            </a:r>
          </a:p>
        </c:rich>
      </c:tx>
      <c:layout>
        <c:manualLayout>
          <c:xMode val="edge"/>
          <c:yMode val="edge"/>
          <c:x val="0.30334467276384836"/>
          <c:y val="1.4442610841309506E-2"/>
        </c:manualLayout>
      </c:layout>
      <c:spPr>
        <a:noFill/>
        <a:ln w="25400">
          <a:noFill/>
        </a:ln>
      </c:spPr>
    </c:title>
    <c:plotArea>
      <c:layout>
        <c:manualLayout>
          <c:layoutTarget val="inner"/>
          <c:xMode val="edge"/>
          <c:yMode val="edge"/>
          <c:x val="0.11985815397865376"/>
          <c:y val="0.15886828910532805"/>
          <c:w val="0.83604761725859433"/>
          <c:h val="0.64125018511597076"/>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1"/>
            <c:dispEq val="1"/>
            <c:trendlineLbl>
              <c:layout>
                <c:manualLayout>
                  <c:x val="-0.51688657605879662"/>
                  <c:y val="-6.4917481200574514E-2"/>
                </c:manualLayout>
              </c:layout>
              <c:numFmt formatCode="General" sourceLinked="0"/>
              <c:spPr>
                <a:solidFill>
                  <a:srgbClr val="FFFFFF"/>
                </a:solidFill>
                <a:ln w="25400">
                  <a:noFill/>
                </a:ln>
              </c:spPr>
              <c:txPr>
                <a:bodyPr/>
                <a:lstStyle/>
                <a:p>
                  <a:pPr>
                    <a:defRPr sz="1450" b="1" i="0" u="none" strike="noStrike" baseline="0">
                      <a:solidFill>
                        <a:srgbClr val="000000"/>
                      </a:solidFill>
                      <a:latin typeface="Arial"/>
                      <a:ea typeface="Arial"/>
                      <a:cs typeface="Arial"/>
                    </a:defRPr>
                  </a:pPr>
                  <a:endParaRPr lang="en-US"/>
                </a:p>
              </c:txPr>
            </c:trendlineLbl>
          </c:trendline>
          <c:xVal>
            <c:numRef>
              <c:f>'Speed-Vol., non-Cordon'!$L$140:$L$231</c:f>
              <c:numCache>
                <c:formatCode>0</c:formatCode>
                <c:ptCount val="92"/>
                <c:pt idx="0">
                  <c:v>58</c:v>
                </c:pt>
                <c:pt idx="1">
                  <c:v>58</c:v>
                </c:pt>
                <c:pt idx="2">
                  <c:v>59</c:v>
                </c:pt>
                <c:pt idx="3">
                  <c:v>59</c:v>
                </c:pt>
                <c:pt idx="4">
                  <c:v>60</c:v>
                </c:pt>
                <c:pt idx="5">
                  <c:v>60</c:v>
                </c:pt>
                <c:pt idx="6">
                  <c:v>60</c:v>
                </c:pt>
                <c:pt idx="7">
                  <c:v>60</c:v>
                </c:pt>
                <c:pt idx="8">
                  <c:v>60</c:v>
                </c:pt>
                <c:pt idx="9">
                  <c:v>63</c:v>
                </c:pt>
                <c:pt idx="10">
                  <c:v>63</c:v>
                </c:pt>
                <c:pt idx="11">
                  <c:v>64</c:v>
                </c:pt>
                <c:pt idx="12">
                  <c:v>64</c:v>
                </c:pt>
                <c:pt idx="13">
                  <c:v>65</c:v>
                </c:pt>
                <c:pt idx="14">
                  <c:v>65</c:v>
                </c:pt>
                <c:pt idx="15">
                  <c:v>65</c:v>
                </c:pt>
                <c:pt idx="16">
                  <c:v>67</c:v>
                </c:pt>
                <c:pt idx="17">
                  <c:v>67</c:v>
                </c:pt>
                <c:pt idx="18">
                  <c:v>67</c:v>
                </c:pt>
                <c:pt idx="19">
                  <c:v>68</c:v>
                </c:pt>
                <c:pt idx="20">
                  <c:v>68</c:v>
                </c:pt>
                <c:pt idx="21">
                  <c:v>68</c:v>
                </c:pt>
                <c:pt idx="22">
                  <c:v>68</c:v>
                </c:pt>
                <c:pt idx="23">
                  <c:v>68</c:v>
                </c:pt>
                <c:pt idx="24">
                  <c:v>69</c:v>
                </c:pt>
                <c:pt idx="25">
                  <c:v>70</c:v>
                </c:pt>
                <c:pt idx="26">
                  <c:v>70</c:v>
                </c:pt>
                <c:pt idx="27">
                  <c:v>70</c:v>
                </c:pt>
                <c:pt idx="28">
                  <c:v>70</c:v>
                </c:pt>
                <c:pt idx="29">
                  <c:v>71</c:v>
                </c:pt>
                <c:pt idx="30">
                  <c:v>72</c:v>
                </c:pt>
                <c:pt idx="31">
                  <c:v>72</c:v>
                </c:pt>
                <c:pt idx="32">
                  <c:v>73</c:v>
                </c:pt>
                <c:pt idx="33">
                  <c:v>73</c:v>
                </c:pt>
                <c:pt idx="34">
                  <c:v>73</c:v>
                </c:pt>
                <c:pt idx="35">
                  <c:v>73</c:v>
                </c:pt>
                <c:pt idx="36">
                  <c:v>73</c:v>
                </c:pt>
                <c:pt idx="37">
                  <c:v>73</c:v>
                </c:pt>
                <c:pt idx="38">
                  <c:v>74</c:v>
                </c:pt>
                <c:pt idx="39">
                  <c:v>74</c:v>
                </c:pt>
                <c:pt idx="40">
                  <c:v>74</c:v>
                </c:pt>
                <c:pt idx="41">
                  <c:v>74</c:v>
                </c:pt>
                <c:pt idx="42">
                  <c:v>75</c:v>
                </c:pt>
                <c:pt idx="43">
                  <c:v>75</c:v>
                </c:pt>
                <c:pt idx="44">
                  <c:v>75</c:v>
                </c:pt>
                <c:pt idx="45">
                  <c:v>76</c:v>
                </c:pt>
                <c:pt idx="46">
                  <c:v>77</c:v>
                </c:pt>
                <c:pt idx="47">
                  <c:v>78</c:v>
                </c:pt>
                <c:pt idx="48">
                  <c:v>79</c:v>
                </c:pt>
                <c:pt idx="49">
                  <c:v>81</c:v>
                </c:pt>
                <c:pt idx="50">
                  <c:v>81</c:v>
                </c:pt>
                <c:pt idx="51">
                  <c:v>82</c:v>
                </c:pt>
                <c:pt idx="52">
                  <c:v>83</c:v>
                </c:pt>
                <c:pt idx="53">
                  <c:v>84</c:v>
                </c:pt>
                <c:pt idx="54">
                  <c:v>84</c:v>
                </c:pt>
                <c:pt idx="55">
                  <c:v>85</c:v>
                </c:pt>
                <c:pt idx="56">
                  <c:v>85</c:v>
                </c:pt>
                <c:pt idx="57">
                  <c:v>86</c:v>
                </c:pt>
                <c:pt idx="58">
                  <c:v>87</c:v>
                </c:pt>
                <c:pt idx="59">
                  <c:v>87</c:v>
                </c:pt>
                <c:pt idx="60">
                  <c:v>88</c:v>
                </c:pt>
                <c:pt idx="61">
                  <c:v>88</c:v>
                </c:pt>
                <c:pt idx="62">
                  <c:v>90</c:v>
                </c:pt>
                <c:pt idx="63">
                  <c:v>92</c:v>
                </c:pt>
                <c:pt idx="64">
                  <c:v>92</c:v>
                </c:pt>
                <c:pt idx="65">
                  <c:v>94</c:v>
                </c:pt>
                <c:pt idx="66">
                  <c:v>94</c:v>
                </c:pt>
                <c:pt idx="67">
                  <c:v>95</c:v>
                </c:pt>
                <c:pt idx="68">
                  <c:v>96</c:v>
                </c:pt>
                <c:pt idx="69">
                  <c:v>97</c:v>
                </c:pt>
                <c:pt idx="70">
                  <c:v>97</c:v>
                </c:pt>
                <c:pt idx="71">
                  <c:v>97</c:v>
                </c:pt>
                <c:pt idx="72">
                  <c:v>99</c:v>
                </c:pt>
                <c:pt idx="73">
                  <c:v>99</c:v>
                </c:pt>
                <c:pt idx="74">
                  <c:v>99</c:v>
                </c:pt>
                <c:pt idx="75">
                  <c:v>100</c:v>
                </c:pt>
                <c:pt idx="76">
                  <c:v>100</c:v>
                </c:pt>
                <c:pt idx="77">
                  <c:v>102</c:v>
                </c:pt>
                <c:pt idx="78">
                  <c:v>103</c:v>
                </c:pt>
                <c:pt idx="79">
                  <c:v>104</c:v>
                </c:pt>
                <c:pt idx="80">
                  <c:v>105</c:v>
                </c:pt>
                <c:pt idx="81">
                  <c:v>106</c:v>
                </c:pt>
                <c:pt idx="82">
                  <c:v>106</c:v>
                </c:pt>
                <c:pt idx="83">
                  <c:v>106</c:v>
                </c:pt>
                <c:pt idx="84">
                  <c:v>108</c:v>
                </c:pt>
                <c:pt idx="85">
                  <c:v>109</c:v>
                </c:pt>
                <c:pt idx="86">
                  <c:v>109</c:v>
                </c:pt>
                <c:pt idx="87">
                  <c:v>111</c:v>
                </c:pt>
                <c:pt idx="88">
                  <c:v>111</c:v>
                </c:pt>
                <c:pt idx="89">
                  <c:v>119</c:v>
                </c:pt>
                <c:pt idx="90">
                  <c:v>123</c:v>
                </c:pt>
                <c:pt idx="91">
                  <c:v>125</c:v>
                </c:pt>
              </c:numCache>
            </c:numRef>
          </c:xVal>
          <c:yVal>
            <c:numRef>
              <c:f>'Speed-Vol., non-Cordon'!$M$140:$M$231</c:f>
              <c:numCache>
                <c:formatCode>General</c:formatCode>
                <c:ptCount val="92"/>
                <c:pt idx="0">
                  <c:v>35</c:v>
                </c:pt>
                <c:pt idx="1">
                  <c:v>35</c:v>
                </c:pt>
                <c:pt idx="2">
                  <c:v>34</c:v>
                </c:pt>
                <c:pt idx="3">
                  <c:v>34</c:v>
                </c:pt>
                <c:pt idx="4">
                  <c:v>33</c:v>
                </c:pt>
                <c:pt idx="5">
                  <c:v>33</c:v>
                </c:pt>
                <c:pt idx="6">
                  <c:v>33</c:v>
                </c:pt>
                <c:pt idx="7">
                  <c:v>33</c:v>
                </c:pt>
                <c:pt idx="8">
                  <c:v>33</c:v>
                </c:pt>
                <c:pt idx="9">
                  <c:v>31</c:v>
                </c:pt>
                <c:pt idx="10">
                  <c:v>31</c:v>
                </c:pt>
                <c:pt idx="11">
                  <c:v>30</c:v>
                </c:pt>
                <c:pt idx="12">
                  <c:v>30</c:v>
                </c:pt>
                <c:pt idx="13">
                  <c:v>29</c:v>
                </c:pt>
                <c:pt idx="14">
                  <c:v>29</c:v>
                </c:pt>
                <c:pt idx="15">
                  <c:v>29</c:v>
                </c:pt>
                <c:pt idx="16">
                  <c:v>28</c:v>
                </c:pt>
                <c:pt idx="17">
                  <c:v>28</c:v>
                </c:pt>
                <c:pt idx="18">
                  <c:v>28</c:v>
                </c:pt>
                <c:pt idx="19">
                  <c:v>27</c:v>
                </c:pt>
                <c:pt idx="20">
                  <c:v>27</c:v>
                </c:pt>
                <c:pt idx="21">
                  <c:v>27</c:v>
                </c:pt>
                <c:pt idx="22">
                  <c:v>27</c:v>
                </c:pt>
                <c:pt idx="23">
                  <c:v>27</c:v>
                </c:pt>
                <c:pt idx="24">
                  <c:v>27</c:v>
                </c:pt>
                <c:pt idx="25">
                  <c:v>26</c:v>
                </c:pt>
                <c:pt idx="26">
                  <c:v>26</c:v>
                </c:pt>
                <c:pt idx="27">
                  <c:v>26</c:v>
                </c:pt>
                <c:pt idx="28">
                  <c:v>26</c:v>
                </c:pt>
                <c:pt idx="29">
                  <c:v>26</c:v>
                </c:pt>
                <c:pt idx="30">
                  <c:v>25</c:v>
                </c:pt>
                <c:pt idx="31">
                  <c:v>25</c:v>
                </c:pt>
                <c:pt idx="32">
                  <c:v>25</c:v>
                </c:pt>
                <c:pt idx="33">
                  <c:v>25</c:v>
                </c:pt>
                <c:pt idx="34">
                  <c:v>25</c:v>
                </c:pt>
                <c:pt idx="35">
                  <c:v>25</c:v>
                </c:pt>
                <c:pt idx="36">
                  <c:v>25</c:v>
                </c:pt>
                <c:pt idx="37">
                  <c:v>25</c:v>
                </c:pt>
                <c:pt idx="38">
                  <c:v>24</c:v>
                </c:pt>
                <c:pt idx="39">
                  <c:v>24</c:v>
                </c:pt>
                <c:pt idx="40">
                  <c:v>24</c:v>
                </c:pt>
                <c:pt idx="41">
                  <c:v>24</c:v>
                </c:pt>
                <c:pt idx="42">
                  <c:v>24</c:v>
                </c:pt>
                <c:pt idx="43">
                  <c:v>24</c:v>
                </c:pt>
                <c:pt idx="44">
                  <c:v>24</c:v>
                </c:pt>
                <c:pt idx="45">
                  <c:v>23</c:v>
                </c:pt>
                <c:pt idx="46">
                  <c:v>23</c:v>
                </c:pt>
                <c:pt idx="47">
                  <c:v>22</c:v>
                </c:pt>
                <c:pt idx="48">
                  <c:v>22</c:v>
                </c:pt>
                <c:pt idx="49">
                  <c:v>21</c:v>
                </c:pt>
                <c:pt idx="50">
                  <c:v>21</c:v>
                </c:pt>
                <c:pt idx="51">
                  <c:v>20</c:v>
                </c:pt>
                <c:pt idx="52">
                  <c:v>20</c:v>
                </c:pt>
                <c:pt idx="53">
                  <c:v>19</c:v>
                </c:pt>
                <c:pt idx="54">
                  <c:v>19</c:v>
                </c:pt>
                <c:pt idx="55">
                  <c:v>19</c:v>
                </c:pt>
                <c:pt idx="56">
                  <c:v>19</c:v>
                </c:pt>
                <c:pt idx="57">
                  <c:v>19</c:v>
                </c:pt>
                <c:pt idx="58">
                  <c:v>18</c:v>
                </c:pt>
                <c:pt idx="59">
                  <c:v>18</c:v>
                </c:pt>
                <c:pt idx="60">
                  <c:v>18</c:v>
                </c:pt>
                <c:pt idx="61">
                  <c:v>18</c:v>
                </c:pt>
                <c:pt idx="62">
                  <c:v>17</c:v>
                </c:pt>
                <c:pt idx="63">
                  <c:v>16</c:v>
                </c:pt>
                <c:pt idx="64">
                  <c:v>16</c:v>
                </c:pt>
                <c:pt idx="65">
                  <c:v>16</c:v>
                </c:pt>
                <c:pt idx="66">
                  <c:v>16</c:v>
                </c:pt>
                <c:pt idx="67">
                  <c:v>15</c:v>
                </c:pt>
                <c:pt idx="68">
                  <c:v>15</c:v>
                </c:pt>
                <c:pt idx="69">
                  <c:v>15</c:v>
                </c:pt>
                <c:pt idx="70">
                  <c:v>15</c:v>
                </c:pt>
                <c:pt idx="71">
                  <c:v>15</c:v>
                </c:pt>
                <c:pt idx="72">
                  <c:v>14</c:v>
                </c:pt>
                <c:pt idx="73">
                  <c:v>14</c:v>
                </c:pt>
                <c:pt idx="74">
                  <c:v>14</c:v>
                </c:pt>
                <c:pt idx="75">
                  <c:v>14</c:v>
                </c:pt>
                <c:pt idx="76">
                  <c:v>14</c:v>
                </c:pt>
                <c:pt idx="77">
                  <c:v>13</c:v>
                </c:pt>
                <c:pt idx="78">
                  <c:v>13</c:v>
                </c:pt>
                <c:pt idx="79">
                  <c:v>13</c:v>
                </c:pt>
                <c:pt idx="80">
                  <c:v>13</c:v>
                </c:pt>
                <c:pt idx="81">
                  <c:v>12</c:v>
                </c:pt>
                <c:pt idx="82">
                  <c:v>12</c:v>
                </c:pt>
                <c:pt idx="83">
                  <c:v>12</c:v>
                </c:pt>
                <c:pt idx="84">
                  <c:v>12</c:v>
                </c:pt>
                <c:pt idx="85">
                  <c:v>12</c:v>
                </c:pt>
                <c:pt idx="86">
                  <c:v>12</c:v>
                </c:pt>
                <c:pt idx="87">
                  <c:v>11</c:v>
                </c:pt>
                <c:pt idx="88">
                  <c:v>11</c:v>
                </c:pt>
                <c:pt idx="89">
                  <c:v>9</c:v>
                </c:pt>
                <c:pt idx="90">
                  <c:v>9</c:v>
                </c:pt>
                <c:pt idx="91">
                  <c:v>8</c:v>
                </c:pt>
              </c:numCache>
            </c:numRef>
          </c:yVal>
        </c:ser>
        <c:axId val="137881472"/>
        <c:axId val="137891840"/>
      </c:scatterChart>
      <c:valAx>
        <c:axId val="137881472"/>
        <c:scaling>
          <c:orientation val="minMax"/>
          <c:min val="40"/>
        </c:scaling>
        <c:axPos val="b"/>
        <c:title>
          <c:tx>
            <c:rich>
              <a:bodyPr/>
              <a:lstStyle/>
              <a:p>
                <a:pPr>
                  <a:defRPr sz="1200" b="1" i="0" u="none" strike="noStrike" baseline="0">
                    <a:solidFill>
                      <a:srgbClr val="000000"/>
                    </a:solidFill>
                    <a:latin typeface="Arial"/>
                    <a:ea typeface="Arial"/>
                    <a:cs typeface="Arial"/>
                  </a:defRPr>
                </a:pPr>
                <a:r>
                  <a:rPr lang="en-US"/>
                  <a:t>Density (vehicles per lane-mile)</a:t>
                </a:r>
              </a:p>
            </c:rich>
          </c:tx>
          <c:layout>
            <c:manualLayout>
              <c:xMode val="edge"/>
              <c:yMode val="edge"/>
              <c:x val="0.35513527834592684"/>
              <c:y val="0.90121646470837846"/>
            </c:manualLayout>
          </c:layout>
          <c:spPr>
            <a:noFill/>
            <a:ln w="25400">
              <a:noFill/>
            </a:ln>
          </c:spPr>
        </c:title>
        <c:numFmt formatCode="0"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37891840"/>
        <c:crosses val="autoZero"/>
        <c:crossBetween val="midCat"/>
      </c:valAx>
      <c:valAx>
        <c:axId val="137891840"/>
        <c:scaling>
          <c:orientation val="minMax"/>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Speed (mph)</a:t>
                </a:r>
              </a:p>
            </c:rich>
          </c:tx>
          <c:layout>
            <c:manualLayout>
              <c:xMode val="edge"/>
              <c:yMode val="edge"/>
              <c:x val="1.0358092856158758E-2"/>
              <c:y val="0.35528722083392267"/>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37881472"/>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50" b="1" i="0" u="none" strike="noStrike" baseline="0">
                <a:solidFill>
                  <a:srgbClr val="000000"/>
                </a:solidFill>
                <a:latin typeface="Arial"/>
                <a:ea typeface="Arial"/>
                <a:cs typeface="Arial"/>
              </a:defRPr>
            </a:pPr>
            <a:r>
              <a:rPr lang="en-US"/>
              <a:t>Alt. Speed-Density Relationship
(power law) on Speeds &lt;= 20 mph</a:t>
            </a:r>
          </a:p>
        </c:rich>
      </c:tx>
      <c:layout>
        <c:manualLayout>
          <c:xMode val="edge"/>
          <c:yMode val="edge"/>
          <c:x val="0.27748199475068352"/>
          <c:y val="1.9854384640277407E-2"/>
        </c:manualLayout>
      </c:layout>
      <c:spPr>
        <a:noFill/>
        <a:ln w="25400">
          <a:noFill/>
        </a:ln>
      </c:spPr>
    </c:title>
    <c:plotArea>
      <c:layout>
        <c:manualLayout>
          <c:layoutTarget val="inner"/>
          <c:xMode val="edge"/>
          <c:yMode val="edge"/>
          <c:x val="6.2400048750038094E-2"/>
          <c:y val="0.13356186717724491"/>
          <c:w val="0.90240070500055058"/>
          <c:h val="0.72945327458345088"/>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1"/>
            <c:dispEq val="1"/>
            <c:trendlineLbl>
              <c:layout>
                <c:manualLayout>
                  <c:x val="-0.52896145653062165"/>
                  <c:y val="1.3643168464920741E-2"/>
                </c:manualLayout>
              </c:layout>
              <c:numFmt formatCode="General" sourceLinked="0"/>
              <c:spPr>
                <a:solidFill>
                  <a:srgbClr val="FFFFFF"/>
                </a:solidFill>
                <a:ln w="25400">
                  <a:noFill/>
                </a:ln>
              </c:spPr>
              <c:txPr>
                <a:bodyPr/>
                <a:lstStyle/>
                <a:p>
                  <a:pPr>
                    <a:defRPr sz="1225" b="1" i="0" u="none" strike="noStrike" baseline="0">
                      <a:solidFill>
                        <a:srgbClr val="000000"/>
                      </a:solidFill>
                      <a:latin typeface="Arial"/>
                      <a:ea typeface="Arial"/>
                      <a:cs typeface="Arial"/>
                    </a:defRPr>
                  </a:pPr>
                  <a:endParaRPr lang="en-US"/>
                </a:p>
              </c:txPr>
            </c:trendlineLbl>
          </c:trendline>
          <c:xVal>
            <c:numRef>
              <c:f>'Speed-Vol., non-Cordon'!$L$191:$L$231</c:f>
              <c:numCache>
                <c:formatCode>0</c:formatCode>
                <c:ptCount val="41"/>
                <c:pt idx="0">
                  <c:v>82</c:v>
                </c:pt>
                <c:pt idx="1">
                  <c:v>83</c:v>
                </c:pt>
                <c:pt idx="2">
                  <c:v>84</c:v>
                </c:pt>
                <c:pt idx="3">
                  <c:v>84</c:v>
                </c:pt>
                <c:pt idx="4">
                  <c:v>85</c:v>
                </c:pt>
                <c:pt idx="5">
                  <c:v>85</c:v>
                </c:pt>
                <c:pt idx="6">
                  <c:v>86</c:v>
                </c:pt>
                <c:pt idx="7">
                  <c:v>87</c:v>
                </c:pt>
                <c:pt idx="8">
                  <c:v>87</c:v>
                </c:pt>
                <c:pt idx="9">
                  <c:v>88</c:v>
                </c:pt>
                <c:pt idx="10">
                  <c:v>88</c:v>
                </c:pt>
                <c:pt idx="11">
                  <c:v>90</c:v>
                </c:pt>
                <c:pt idx="12">
                  <c:v>92</c:v>
                </c:pt>
                <c:pt idx="13">
                  <c:v>92</c:v>
                </c:pt>
                <c:pt idx="14">
                  <c:v>94</c:v>
                </c:pt>
                <c:pt idx="15">
                  <c:v>94</c:v>
                </c:pt>
                <c:pt idx="16">
                  <c:v>95</c:v>
                </c:pt>
                <c:pt idx="17">
                  <c:v>96</c:v>
                </c:pt>
                <c:pt idx="18">
                  <c:v>97</c:v>
                </c:pt>
                <c:pt idx="19">
                  <c:v>97</c:v>
                </c:pt>
                <c:pt idx="20">
                  <c:v>97</c:v>
                </c:pt>
                <c:pt idx="21">
                  <c:v>99</c:v>
                </c:pt>
                <c:pt idx="22">
                  <c:v>99</c:v>
                </c:pt>
                <c:pt idx="23">
                  <c:v>99</c:v>
                </c:pt>
                <c:pt idx="24">
                  <c:v>100</c:v>
                </c:pt>
                <c:pt idx="25">
                  <c:v>100</c:v>
                </c:pt>
                <c:pt idx="26">
                  <c:v>102</c:v>
                </c:pt>
                <c:pt idx="27">
                  <c:v>103</c:v>
                </c:pt>
                <c:pt idx="28">
                  <c:v>104</c:v>
                </c:pt>
                <c:pt idx="29">
                  <c:v>105</c:v>
                </c:pt>
                <c:pt idx="30">
                  <c:v>106</c:v>
                </c:pt>
                <c:pt idx="31">
                  <c:v>106</c:v>
                </c:pt>
                <c:pt idx="32">
                  <c:v>106</c:v>
                </c:pt>
                <c:pt idx="33">
                  <c:v>108</c:v>
                </c:pt>
                <c:pt idx="34">
                  <c:v>109</c:v>
                </c:pt>
                <c:pt idx="35">
                  <c:v>109</c:v>
                </c:pt>
                <c:pt idx="36">
                  <c:v>111</c:v>
                </c:pt>
                <c:pt idx="37">
                  <c:v>111</c:v>
                </c:pt>
                <c:pt idx="38">
                  <c:v>119</c:v>
                </c:pt>
                <c:pt idx="39">
                  <c:v>123</c:v>
                </c:pt>
                <c:pt idx="40">
                  <c:v>125</c:v>
                </c:pt>
              </c:numCache>
            </c:numRef>
          </c:xVal>
          <c:yVal>
            <c:numRef>
              <c:f>'Speed-Vol., non-Cordon'!$M$191:$M$231</c:f>
              <c:numCache>
                <c:formatCode>General</c:formatCode>
                <c:ptCount val="41"/>
                <c:pt idx="0">
                  <c:v>20</c:v>
                </c:pt>
                <c:pt idx="1">
                  <c:v>20</c:v>
                </c:pt>
                <c:pt idx="2">
                  <c:v>19</c:v>
                </c:pt>
                <c:pt idx="3">
                  <c:v>19</c:v>
                </c:pt>
                <c:pt idx="4">
                  <c:v>19</c:v>
                </c:pt>
                <c:pt idx="5">
                  <c:v>19</c:v>
                </c:pt>
                <c:pt idx="6">
                  <c:v>19</c:v>
                </c:pt>
                <c:pt idx="7">
                  <c:v>18</c:v>
                </c:pt>
                <c:pt idx="8">
                  <c:v>18</c:v>
                </c:pt>
                <c:pt idx="9">
                  <c:v>18</c:v>
                </c:pt>
                <c:pt idx="10">
                  <c:v>18</c:v>
                </c:pt>
                <c:pt idx="11">
                  <c:v>17</c:v>
                </c:pt>
                <c:pt idx="12">
                  <c:v>16</c:v>
                </c:pt>
                <c:pt idx="13">
                  <c:v>16</c:v>
                </c:pt>
                <c:pt idx="14">
                  <c:v>16</c:v>
                </c:pt>
                <c:pt idx="15">
                  <c:v>16</c:v>
                </c:pt>
                <c:pt idx="16">
                  <c:v>15</c:v>
                </c:pt>
                <c:pt idx="17">
                  <c:v>15</c:v>
                </c:pt>
                <c:pt idx="18">
                  <c:v>15</c:v>
                </c:pt>
                <c:pt idx="19">
                  <c:v>15</c:v>
                </c:pt>
                <c:pt idx="20">
                  <c:v>15</c:v>
                </c:pt>
                <c:pt idx="21">
                  <c:v>14</c:v>
                </c:pt>
                <c:pt idx="22">
                  <c:v>14</c:v>
                </c:pt>
                <c:pt idx="23">
                  <c:v>14</c:v>
                </c:pt>
                <c:pt idx="24">
                  <c:v>14</c:v>
                </c:pt>
                <c:pt idx="25">
                  <c:v>14</c:v>
                </c:pt>
                <c:pt idx="26">
                  <c:v>13</c:v>
                </c:pt>
                <c:pt idx="27">
                  <c:v>13</c:v>
                </c:pt>
                <c:pt idx="28">
                  <c:v>13</c:v>
                </c:pt>
                <c:pt idx="29">
                  <c:v>13</c:v>
                </c:pt>
                <c:pt idx="30">
                  <c:v>12</c:v>
                </c:pt>
                <c:pt idx="31">
                  <c:v>12</c:v>
                </c:pt>
                <c:pt idx="32">
                  <c:v>12</c:v>
                </c:pt>
                <c:pt idx="33">
                  <c:v>12</c:v>
                </c:pt>
                <c:pt idx="34">
                  <c:v>12</c:v>
                </c:pt>
                <c:pt idx="35">
                  <c:v>12</c:v>
                </c:pt>
                <c:pt idx="36">
                  <c:v>11</c:v>
                </c:pt>
                <c:pt idx="37">
                  <c:v>11</c:v>
                </c:pt>
                <c:pt idx="38">
                  <c:v>9</c:v>
                </c:pt>
                <c:pt idx="39">
                  <c:v>9</c:v>
                </c:pt>
                <c:pt idx="40">
                  <c:v>8</c:v>
                </c:pt>
              </c:numCache>
            </c:numRef>
          </c:yVal>
        </c:ser>
        <c:axId val="137954432"/>
        <c:axId val="137956352"/>
      </c:scatterChart>
      <c:valAx>
        <c:axId val="137954432"/>
        <c:scaling>
          <c:orientation val="minMax"/>
          <c:min val="80"/>
        </c:scaling>
        <c:axPos val="b"/>
        <c:title>
          <c:tx>
            <c:rich>
              <a:bodyPr/>
              <a:lstStyle/>
              <a:p>
                <a:pPr>
                  <a:defRPr sz="1125" b="1" i="0" u="none" strike="noStrike" baseline="0">
                    <a:solidFill>
                      <a:srgbClr val="000000"/>
                    </a:solidFill>
                    <a:latin typeface="Arial"/>
                    <a:ea typeface="Arial"/>
                    <a:cs typeface="Arial"/>
                  </a:defRPr>
                </a:pPr>
                <a:r>
                  <a:rPr lang="en-US"/>
                  <a:t>Density (vehicles per lane-mile)</a:t>
                </a:r>
              </a:p>
            </c:rich>
          </c:tx>
          <c:layout>
            <c:manualLayout>
              <c:xMode val="edge"/>
              <c:yMode val="edge"/>
              <c:x val="0.31483531758530181"/>
              <c:y val="0.89345018516519958"/>
            </c:manualLayout>
          </c:layout>
          <c:spPr>
            <a:noFill/>
            <a:ln w="25400">
              <a:noFill/>
            </a:ln>
          </c:spPr>
        </c:title>
        <c:numFmt formatCode="0" sourceLinked="1"/>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37956352"/>
        <c:crosses val="autoZero"/>
        <c:crossBetween val="midCat"/>
      </c:valAx>
      <c:valAx>
        <c:axId val="137956352"/>
        <c:scaling>
          <c:orientation val="minMax"/>
        </c:scaling>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en-US"/>
                  <a:t>Speed (mph)</a:t>
                </a:r>
              </a:p>
            </c:rich>
          </c:tx>
          <c:layout>
            <c:manualLayout>
              <c:xMode val="edge"/>
              <c:yMode val="edge"/>
              <c:x val="8.8936482939643083E-3"/>
              <c:y val="0.37392550246290046"/>
            </c:manualLayout>
          </c:layout>
          <c:spPr>
            <a:noFill/>
            <a:ln w="25400">
              <a:noFill/>
            </a:ln>
          </c:spPr>
        </c:title>
        <c:numFmt formatCode="General" sourceLinked="1"/>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37954432"/>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Speed Density Relationship - exponential fit
Speed &lt; 55 MPH</a:t>
            </a:r>
          </a:p>
        </c:rich>
      </c:tx>
      <c:layout>
        <c:manualLayout>
          <c:xMode val="edge"/>
          <c:yMode val="edge"/>
          <c:x val="0.25155420848302429"/>
          <c:y val="3.0106619447688648E-2"/>
        </c:manualLayout>
      </c:layout>
      <c:spPr>
        <a:noFill/>
        <a:ln w="25400">
          <a:noFill/>
        </a:ln>
      </c:spPr>
    </c:title>
    <c:plotArea>
      <c:layout>
        <c:manualLayout>
          <c:layoutTarget val="inner"/>
          <c:xMode val="edge"/>
          <c:yMode val="edge"/>
          <c:x val="0.11393923279452255"/>
          <c:y val="0.11579440161207519"/>
          <c:w val="0.84492599903471965"/>
          <c:h val="0.71097762589814162"/>
        </c:manualLayout>
      </c:layout>
      <c:scatterChart>
        <c:scatterStyle val="lineMarker"/>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exp"/>
            <c:dispRSqr val="1"/>
            <c:dispEq val="1"/>
            <c:trendlineLbl>
              <c:layout>
                <c:manualLayout>
                  <c:x val="-0.18869767026554857"/>
                  <c:y val="-0.50729125177117462"/>
                </c:manualLayout>
              </c:layout>
              <c:numFmt formatCode="General" sourceLinked="0"/>
              <c:spPr>
                <a:solidFill>
                  <a:srgbClr val="FFFFFF"/>
                </a:solidFill>
                <a:ln w="25400">
                  <a:noFill/>
                </a:ln>
              </c:spPr>
              <c:txPr>
                <a:bodyPr/>
                <a:lstStyle/>
                <a:p>
                  <a:pPr>
                    <a:defRPr sz="1450" b="1" i="0" u="none" strike="noStrike" baseline="0">
                      <a:solidFill>
                        <a:srgbClr val="000000"/>
                      </a:solidFill>
                      <a:latin typeface="Arial"/>
                      <a:ea typeface="Arial"/>
                      <a:cs typeface="Arial"/>
                    </a:defRPr>
                  </a:pPr>
                  <a:endParaRPr lang="en-US"/>
                </a:p>
              </c:txPr>
            </c:trendlineLbl>
          </c:trendline>
          <c:xVal>
            <c:numRef>
              <c:f>'Speed-Vol., non-Cordon'!$L$84:$L$231</c:f>
              <c:numCache>
                <c:formatCode>0</c:formatCode>
                <c:ptCount val="148"/>
                <c:pt idx="0">
                  <c:v>40</c:v>
                </c:pt>
                <c:pt idx="1">
                  <c:v>40</c:v>
                </c:pt>
                <c:pt idx="2">
                  <c:v>40</c:v>
                </c:pt>
                <c:pt idx="3">
                  <c:v>40</c:v>
                </c:pt>
                <c:pt idx="4">
                  <c:v>40</c:v>
                </c:pt>
                <c:pt idx="5">
                  <c:v>40</c:v>
                </c:pt>
                <c:pt idx="6">
                  <c:v>41</c:v>
                </c:pt>
                <c:pt idx="7">
                  <c:v>41</c:v>
                </c:pt>
                <c:pt idx="8">
                  <c:v>41</c:v>
                </c:pt>
                <c:pt idx="9">
                  <c:v>42</c:v>
                </c:pt>
                <c:pt idx="10">
                  <c:v>42</c:v>
                </c:pt>
                <c:pt idx="11">
                  <c:v>42</c:v>
                </c:pt>
                <c:pt idx="12">
                  <c:v>42</c:v>
                </c:pt>
                <c:pt idx="13">
                  <c:v>42</c:v>
                </c:pt>
                <c:pt idx="14">
                  <c:v>43</c:v>
                </c:pt>
                <c:pt idx="15">
                  <c:v>43</c:v>
                </c:pt>
                <c:pt idx="16">
                  <c:v>43</c:v>
                </c:pt>
                <c:pt idx="17">
                  <c:v>43</c:v>
                </c:pt>
                <c:pt idx="18">
                  <c:v>44</c:v>
                </c:pt>
                <c:pt idx="19">
                  <c:v>44</c:v>
                </c:pt>
                <c:pt idx="20">
                  <c:v>44</c:v>
                </c:pt>
                <c:pt idx="21">
                  <c:v>44</c:v>
                </c:pt>
                <c:pt idx="22">
                  <c:v>44</c:v>
                </c:pt>
                <c:pt idx="23">
                  <c:v>44</c:v>
                </c:pt>
                <c:pt idx="24">
                  <c:v>45</c:v>
                </c:pt>
                <c:pt idx="25">
                  <c:v>45</c:v>
                </c:pt>
                <c:pt idx="26">
                  <c:v>45</c:v>
                </c:pt>
                <c:pt idx="27">
                  <c:v>45</c:v>
                </c:pt>
                <c:pt idx="28">
                  <c:v>45</c:v>
                </c:pt>
                <c:pt idx="29">
                  <c:v>46</c:v>
                </c:pt>
                <c:pt idx="30">
                  <c:v>46</c:v>
                </c:pt>
                <c:pt idx="31">
                  <c:v>46</c:v>
                </c:pt>
                <c:pt idx="32">
                  <c:v>47</c:v>
                </c:pt>
                <c:pt idx="33">
                  <c:v>47</c:v>
                </c:pt>
                <c:pt idx="34">
                  <c:v>48</c:v>
                </c:pt>
                <c:pt idx="35">
                  <c:v>48</c:v>
                </c:pt>
                <c:pt idx="36">
                  <c:v>48</c:v>
                </c:pt>
                <c:pt idx="37">
                  <c:v>49</c:v>
                </c:pt>
                <c:pt idx="38">
                  <c:v>49</c:v>
                </c:pt>
                <c:pt idx="39">
                  <c:v>49</c:v>
                </c:pt>
                <c:pt idx="40">
                  <c:v>49</c:v>
                </c:pt>
                <c:pt idx="41">
                  <c:v>50</c:v>
                </c:pt>
                <c:pt idx="42">
                  <c:v>50</c:v>
                </c:pt>
                <c:pt idx="43">
                  <c:v>50</c:v>
                </c:pt>
                <c:pt idx="44">
                  <c:v>51</c:v>
                </c:pt>
                <c:pt idx="45">
                  <c:v>51</c:v>
                </c:pt>
                <c:pt idx="46">
                  <c:v>52</c:v>
                </c:pt>
                <c:pt idx="47">
                  <c:v>52</c:v>
                </c:pt>
                <c:pt idx="48">
                  <c:v>52</c:v>
                </c:pt>
                <c:pt idx="49">
                  <c:v>53</c:v>
                </c:pt>
                <c:pt idx="50">
                  <c:v>55</c:v>
                </c:pt>
                <c:pt idx="51">
                  <c:v>56</c:v>
                </c:pt>
                <c:pt idx="52">
                  <c:v>56</c:v>
                </c:pt>
                <c:pt idx="53">
                  <c:v>56</c:v>
                </c:pt>
                <c:pt idx="54">
                  <c:v>57</c:v>
                </c:pt>
                <c:pt idx="55">
                  <c:v>57</c:v>
                </c:pt>
                <c:pt idx="56">
                  <c:v>58</c:v>
                </c:pt>
                <c:pt idx="57">
                  <c:v>58</c:v>
                </c:pt>
                <c:pt idx="58">
                  <c:v>59</c:v>
                </c:pt>
                <c:pt idx="59">
                  <c:v>59</c:v>
                </c:pt>
                <c:pt idx="60">
                  <c:v>60</c:v>
                </c:pt>
                <c:pt idx="61">
                  <c:v>60</c:v>
                </c:pt>
                <c:pt idx="62">
                  <c:v>60</c:v>
                </c:pt>
                <c:pt idx="63">
                  <c:v>60</c:v>
                </c:pt>
                <c:pt idx="64">
                  <c:v>60</c:v>
                </c:pt>
                <c:pt idx="65">
                  <c:v>63</c:v>
                </c:pt>
                <c:pt idx="66">
                  <c:v>63</c:v>
                </c:pt>
                <c:pt idx="67">
                  <c:v>64</c:v>
                </c:pt>
                <c:pt idx="68">
                  <c:v>64</c:v>
                </c:pt>
                <c:pt idx="69">
                  <c:v>65</c:v>
                </c:pt>
                <c:pt idx="70">
                  <c:v>65</c:v>
                </c:pt>
                <c:pt idx="71">
                  <c:v>65</c:v>
                </c:pt>
                <c:pt idx="72">
                  <c:v>67</c:v>
                </c:pt>
                <c:pt idx="73">
                  <c:v>67</c:v>
                </c:pt>
                <c:pt idx="74">
                  <c:v>67</c:v>
                </c:pt>
                <c:pt idx="75">
                  <c:v>68</c:v>
                </c:pt>
                <c:pt idx="76">
                  <c:v>68</c:v>
                </c:pt>
                <c:pt idx="77">
                  <c:v>68</c:v>
                </c:pt>
                <c:pt idx="78">
                  <c:v>68</c:v>
                </c:pt>
                <c:pt idx="79">
                  <c:v>68</c:v>
                </c:pt>
                <c:pt idx="80">
                  <c:v>69</c:v>
                </c:pt>
                <c:pt idx="81">
                  <c:v>70</c:v>
                </c:pt>
                <c:pt idx="82">
                  <c:v>70</c:v>
                </c:pt>
                <c:pt idx="83">
                  <c:v>70</c:v>
                </c:pt>
                <c:pt idx="84">
                  <c:v>70</c:v>
                </c:pt>
                <c:pt idx="85">
                  <c:v>71</c:v>
                </c:pt>
                <c:pt idx="86">
                  <c:v>72</c:v>
                </c:pt>
                <c:pt idx="87">
                  <c:v>72</c:v>
                </c:pt>
                <c:pt idx="88">
                  <c:v>73</c:v>
                </c:pt>
                <c:pt idx="89">
                  <c:v>73</c:v>
                </c:pt>
                <c:pt idx="90">
                  <c:v>73</c:v>
                </c:pt>
                <c:pt idx="91">
                  <c:v>73</c:v>
                </c:pt>
                <c:pt idx="92">
                  <c:v>73</c:v>
                </c:pt>
                <c:pt idx="93">
                  <c:v>73</c:v>
                </c:pt>
                <c:pt idx="94">
                  <c:v>74</c:v>
                </c:pt>
                <c:pt idx="95">
                  <c:v>74</c:v>
                </c:pt>
                <c:pt idx="96">
                  <c:v>74</c:v>
                </c:pt>
                <c:pt idx="97">
                  <c:v>74</c:v>
                </c:pt>
                <c:pt idx="98">
                  <c:v>75</c:v>
                </c:pt>
                <c:pt idx="99">
                  <c:v>75</c:v>
                </c:pt>
                <c:pt idx="100">
                  <c:v>75</c:v>
                </c:pt>
                <c:pt idx="101">
                  <c:v>76</c:v>
                </c:pt>
                <c:pt idx="102">
                  <c:v>77</c:v>
                </c:pt>
                <c:pt idx="103">
                  <c:v>78</c:v>
                </c:pt>
                <c:pt idx="104">
                  <c:v>79</c:v>
                </c:pt>
                <c:pt idx="105">
                  <c:v>81</c:v>
                </c:pt>
                <c:pt idx="106">
                  <c:v>81</c:v>
                </c:pt>
                <c:pt idx="107">
                  <c:v>82</c:v>
                </c:pt>
                <c:pt idx="108">
                  <c:v>83</c:v>
                </c:pt>
                <c:pt idx="109">
                  <c:v>84</c:v>
                </c:pt>
                <c:pt idx="110">
                  <c:v>84</c:v>
                </c:pt>
                <c:pt idx="111">
                  <c:v>85</c:v>
                </c:pt>
                <c:pt idx="112">
                  <c:v>85</c:v>
                </c:pt>
                <c:pt idx="113">
                  <c:v>86</c:v>
                </c:pt>
                <c:pt idx="114">
                  <c:v>87</c:v>
                </c:pt>
                <c:pt idx="115">
                  <c:v>87</c:v>
                </c:pt>
                <c:pt idx="116">
                  <c:v>88</c:v>
                </c:pt>
                <c:pt idx="117">
                  <c:v>88</c:v>
                </c:pt>
                <c:pt idx="118">
                  <c:v>90</c:v>
                </c:pt>
                <c:pt idx="119">
                  <c:v>92</c:v>
                </c:pt>
                <c:pt idx="120">
                  <c:v>92</c:v>
                </c:pt>
                <c:pt idx="121">
                  <c:v>94</c:v>
                </c:pt>
                <c:pt idx="122">
                  <c:v>94</c:v>
                </c:pt>
                <c:pt idx="123">
                  <c:v>95</c:v>
                </c:pt>
                <c:pt idx="124">
                  <c:v>96</c:v>
                </c:pt>
                <c:pt idx="125">
                  <c:v>97</c:v>
                </c:pt>
                <c:pt idx="126">
                  <c:v>97</c:v>
                </c:pt>
                <c:pt idx="127">
                  <c:v>97</c:v>
                </c:pt>
                <c:pt idx="128">
                  <c:v>99</c:v>
                </c:pt>
                <c:pt idx="129">
                  <c:v>99</c:v>
                </c:pt>
                <c:pt idx="130">
                  <c:v>99</c:v>
                </c:pt>
                <c:pt idx="131">
                  <c:v>100</c:v>
                </c:pt>
                <c:pt idx="132">
                  <c:v>100</c:v>
                </c:pt>
                <c:pt idx="133">
                  <c:v>102</c:v>
                </c:pt>
                <c:pt idx="134">
                  <c:v>103</c:v>
                </c:pt>
                <c:pt idx="135">
                  <c:v>104</c:v>
                </c:pt>
                <c:pt idx="136">
                  <c:v>105</c:v>
                </c:pt>
                <c:pt idx="137">
                  <c:v>106</c:v>
                </c:pt>
                <c:pt idx="138">
                  <c:v>106</c:v>
                </c:pt>
                <c:pt idx="139">
                  <c:v>106</c:v>
                </c:pt>
                <c:pt idx="140">
                  <c:v>108</c:v>
                </c:pt>
                <c:pt idx="141">
                  <c:v>109</c:v>
                </c:pt>
                <c:pt idx="142">
                  <c:v>109</c:v>
                </c:pt>
                <c:pt idx="143">
                  <c:v>111</c:v>
                </c:pt>
                <c:pt idx="144">
                  <c:v>111</c:v>
                </c:pt>
                <c:pt idx="145">
                  <c:v>119</c:v>
                </c:pt>
                <c:pt idx="146">
                  <c:v>123</c:v>
                </c:pt>
                <c:pt idx="147">
                  <c:v>125</c:v>
                </c:pt>
              </c:numCache>
            </c:numRef>
          </c:xVal>
          <c:yVal>
            <c:numRef>
              <c:f>'Speed-Vol., non-Cordon'!$M$84:$M$231</c:f>
              <c:numCache>
                <c:formatCode>General</c:formatCode>
                <c:ptCount val="148"/>
                <c:pt idx="0">
                  <c:v>55</c:v>
                </c:pt>
                <c:pt idx="1">
                  <c:v>55</c:v>
                </c:pt>
                <c:pt idx="2">
                  <c:v>55</c:v>
                </c:pt>
                <c:pt idx="3">
                  <c:v>55</c:v>
                </c:pt>
                <c:pt idx="4">
                  <c:v>55</c:v>
                </c:pt>
                <c:pt idx="5">
                  <c:v>55</c:v>
                </c:pt>
                <c:pt idx="6">
                  <c:v>54</c:v>
                </c:pt>
                <c:pt idx="7">
                  <c:v>54</c:v>
                </c:pt>
                <c:pt idx="8">
                  <c:v>54</c:v>
                </c:pt>
                <c:pt idx="9">
                  <c:v>52</c:v>
                </c:pt>
                <c:pt idx="10">
                  <c:v>52</c:v>
                </c:pt>
                <c:pt idx="11">
                  <c:v>52</c:v>
                </c:pt>
                <c:pt idx="12">
                  <c:v>52</c:v>
                </c:pt>
                <c:pt idx="13">
                  <c:v>52</c:v>
                </c:pt>
                <c:pt idx="14">
                  <c:v>51</c:v>
                </c:pt>
                <c:pt idx="15">
                  <c:v>51</c:v>
                </c:pt>
                <c:pt idx="16">
                  <c:v>51</c:v>
                </c:pt>
                <c:pt idx="17">
                  <c:v>51</c:v>
                </c:pt>
                <c:pt idx="18">
                  <c:v>50</c:v>
                </c:pt>
                <c:pt idx="19">
                  <c:v>50</c:v>
                </c:pt>
                <c:pt idx="20">
                  <c:v>50</c:v>
                </c:pt>
                <c:pt idx="21">
                  <c:v>50</c:v>
                </c:pt>
                <c:pt idx="22">
                  <c:v>50</c:v>
                </c:pt>
                <c:pt idx="23">
                  <c:v>50</c:v>
                </c:pt>
                <c:pt idx="24">
                  <c:v>48</c:v>
                </c:pt>
                <c:pt idx="25">
                  <c:v>48</c:v>
                </c:pt>
                <c:pt idx="26">
                  <c:v>48</c:v>
                </c:pt>
                <c:pt idx="27">
                  <c:v>48</c:v>
                </c:pt>
                <c:pt idx="28">
                  <c:v>48</c:v>
                </c:pt>
                <c:pt idx="29">
                  <c:v>47</c:v>
                </c:pt>
                <c:pt idx="30">
                  <c:v>47</c:v>
                </c:pt>
                <c:pt idx="31">
                  <c:v>47</c:v>
                </c:pt>
                <c:pt idx="32">
                  <c:v>46</c:v>
                </c:pt>
                <c:pt idx="33">
                  <c:v>46</c:v>
                </c:pt>
                <c:pt idx="34">
                  <c:v>45</c:v>
                </c:pt>
                <c:pt idx="35">
                  <c:v>45</c:v>
                </c:pt>
                <c:pt idx="36">
                  <c:v>45</c:v>
                </c:pt>
                <c:pt idx="37">
                  <c:v>43</c:v>
                </c:pt>
                <c:pt idx="38">
                  <c:v>43</c:v>
                </c:pt>
                <c:pt idx="39">
                  <c:v>43</c:v>
                </c:pt>
                <c:pt idx="40">
                  <c:v>43</c:v>
                </c:pt>
                <c:pt idx="41">
                  <c:v>42</c:v>
                </c:pt>
                <c:pt idx="42">
                  <c:v>42</c:v>
                </c:pt>
                <c:pt idx="43">
                  <c:v>42</c:v>
                </c:pt>
                <c:pt idx="44">
                  <c:v>41</c:v>
                </c:pt>
                <c:pt idx="45">
                  <c:v>41</c:v>
                </c:pt>
                <c:pt idx="46">
                  <c:v>40</c:v>
                </c:pt>
                <c:pt idx="47">
                  <c:v>40</c:v>
                </c:pt>
                <c:pt idx="48">
                  <c:v>40</c:v>
                </c:pt>
                <c:pt idx="49">
                  <c:v>39</c:v>
                </c:pt>
                <c:pt idx="50">
                  <c:v>37</c:v>
                </c:pt>
                <c:pt idx="51">
                  <c:v>36</c:v>
                </c:pt>
                <c:pt idx="52">
                  <c:v>36</c:v>
                </c:pt>
                <c:pt idx="53">
                  <c:v>36</c:v>
                </c:pt>
                <c:pt idx="54">
                  <c:v>36</c:v>
                </c:pt>
                <c:pt idx="55">
                  <c:v>36</c:v>
                </c:pt>
                <c:pt idx="56">
                  <c:v>35</c:v>
                </c:pt>
                <c:pt idx="57">
                  <c:v>35</c:v>
                </c:pt>
                <c:pt idx="58">
                  <c:v>34</c:v>
                </c:pt>
                <c:pt idx="59">
                  <c:v>34</c:v>
                </c:pt>
                <c:pt idx="60">
                  <c:v>33</c:v>
                </c:pt>
                <c:pt idx="61">
                  <c:v>33</c:v>
                </c:pt>
                <c:pt idx="62">
                  <c:v>33</c:v>
                </c:pt>
                <c:pt idx="63">
                  <c:v>33</c:v>
                </c:pt>
                <c:pt idx="64">
                  <c:v>33</c:v>
                </c:pt>
                <c:pt idx="65">
                  <c:v>31</c:v>
                </c:pt>
                <c:pt idx="66">
                  <c:v>31</c:v>
                </c:pt>
                <c:pt idx="67">
                  <c:v>30</c:v>
                </c:pt>
                <c:pt idx="68">
                  <c:v>30</c:v>
                </c:pt>
                <c:pt idx="69">
                  <c:v>29</c:v>
                </c:pt>
                <c:pt idx="70">
                  <c:v>29</c:v>
                </c:pt>
                <c:pt idx="71">
                  <c:v>29</c:v>
                </c:pt>
                <c:pt idx="72">
                  <c:v>28</c:v>
                </c:pt>
                <c:pt idx="73">
                  <c:v>28</c:v>
                </c:pt>
                <c:pt idx="74">
                  <c:v>28</c:v>
                </c:pt>
                <c:pt idx="75">
                  <c:v>27</c:v>
                </c:pt>
                <c:pt idx="76">
                  <c:v>27</c:v>
                </c:pt>
                <c:pt idx="77">
                  <c:v>27</c:v>
                </c:pt>
                <c:pt idx="78">
                  <c:v>27</c:v>
                </c:pt>
                <c:pt idx="79">
                  <c:v>27</c:v>
                </c:pt>
                <c:pt idx="80">
                  <c:v>27</c:v>
                </c:pt>
                <c:pt idx="81">
                  <c:v>26</c:v>
                </c:pt>
                <c:pt idx="82">
                  <c:v>26</c:v>
                </c:pt>
                <c:pt idx="83">
                  <c:v>26</c:v>
                </c:pt>
                <c:pt idx="84">
                  <c:v>26</c:v>
                </c:pt>
                <c:pt idx="85">
                  <c:v>26</c:v>
                </c:pt>
                <c:pt idx="86">
                  <c:v>25</c:v>
                </c:pt>
                <c:pt idx="87">
                  <c:v>25</c:v>
                </c:pt>
                <c:pt idx="88">
                  <c:v>25</c:v>
                </c:pt>
                <c:pt idx="89">
                  <c:v>25</c:v>
                </c:pt>
                <c:pt idx="90">
                  <c:v>25</c:v>
                </c:pt>
                <c:pt idx="91">
                  <c:v>25</c:v>
                </c:pt>
                <c:pt idx="92">
                  <c:v>25</c:v>
                </c:pt>
                <c:pt idx="93">
                  <c:v>25</c:v>
                </c:pt>
                <c:pt idx="94">
                  <c:v>24</c:v>
                </c:pt>
                <c:pt idx="95">
                  <c:v>24</c:v>
                </c:pt>
                <c:pt idx="96">
                  <c:v>24</c:v>
                </c:pt>
                <c:pt idx="97">
                  <c:v>24</c:v>
                </c:pt>
                <c:pt idx="98">
                  <c:v>24</c:v>
                </c:pt>
                <c:pt idx="99">
                  <c:v>24</c:v>
                </c:pt>
                <c:pt idx="100">
                  <c:v>24</c:v>
                </c:pt>
                <c:pt idx="101">
                  <c:v>23</c:v>
                </c:pt>
                <c:pt idx="102">
                  <c:v>23</c:v>
                </c:pt>
                <c:pt idx="103">
                  <c:v>22</c:v>
                </c:pt>
                <c:pt idx="104">
                  <c:v>22</c:v>
                </c:pt>
                <c:pt idx="105">
                  <c:v>21</c:v>
                </c:pt>
                <c:pt idx="106">
                  <c:v>21</c:v>
                </c:pt>
                <c:pt idx="107">
                  <c:v>20</c:v>
                </c:pt>
                <c:pt idx="108">
                  <c:v>20</c:v>
                </c:pt>
                <c:pt idx="109">
                  <c:v>19</c:v>
                </c:pt>
                <c:pt idx="110">
                  <c:v>19</c:v>
                </c:pt>
                <c:pt idx="111">
                  <c:v>19</c:v>
                </c:pt>
                <c:pt idx="112">
                  <c:v>19</c:v>
                </c:pt>
                <c:pt idx="113">
                  <c:v>19</c:v>
                </c:pt>
                <c:pt idx="114">
                  <c:v>18</c:v>
                </c:pt>
                <c:pt idx="115">
                  <c:v>18</c:v>
                </c:pt>
                <c:pt idx="116">
                  <c:v>18</c:v>
                </c:pt>
                <c:pt idx="117">
                  <c:v>18</c:v>
                </c:pt>
                <c:pt idx="118">
                  <c:v>17</c:v>
                </c:pt>
                <c:pt idx="119">
                  <c:v>16</c:v>
                </c:pt>
                <c:pt idx="120">
                  <c:v>16</c:v>
                </c:pt>
                <c:pt idx="121">
                  <c:v>16</c:v>
                </c:pt>
                <c:pt idx="122">
                  <c:v>16</c:v>
                </c:pt>
                <c:pt idx="123">
                  <c:v>15</c:v>
                </c:pt>
                <c:pt idx="124">
                  <c:v>15</c:v>
                </c:pt>
                <c:pt idx="125">
                  <c:v>15</c:v>
                </c:pt>
                <c:pt idx="126">
                  <c:v>15</c:v>
                </c:pt>
                <c:pt idx="127">
                  <c:v>15</c:v>
                </c:pt>
                <c:pt idx="128">
                  <c:v>14</c:v>
                </c:pt>
                <c:pt idx="129">
                  <c:v>14</c:v>
                </c:pt>
                <c:pt idx="130">
                  <c:v>14</c:v>
                </c:pt>
                <c:pt idx="131">
                  <c:v>14</c:v>
                </c:pt>
                <c:pt idx="132">
                  <c:v>14</c:v>
                </c:pt>
                <c:pt idx="133">
                  <c:v>13</c:v>
                </c:pt>
                <c:pt idx="134">
                  <c:v>13</c:v>
                </c:pt>
                <c:pt idx="135">
                  <c:v>13</c:v>
                </c:pt>
                <c:pt idx="136">
                  <c:v>13</c:v>
                </c:pt>
                <c:pt idx="137">
                  <c:v>12</c:v>
                </c:pt>
                <c:pt idx="138">
                  <c:v>12</c:v>
                </c:pt>
                <c:pt idx="139">
                  <c:v>12</c:v>
                </c:pt>
                <c:pt idx="140">
                  <c:v>12</c:v>
                </c:pt>
                <c:pt idx="141">
                  <c:v>12</c:v>
                </c:pt>
                <c:pt idx="142">
                  <c:v>12</c:v>
                </c:pt>
                <c:pt idx="143">
                  <c:v>11</c:v>
                </c:pt>
                <c:pt idx="144">
                  <c:v>11</c:v>
                </c:pt>
                <c:pt idx="145">
                  <c:v>9</c:v>
                </c:pt>
                <c:pt idx="146">
                  <c:v>9</c:v>
                </c:pt>
                <c:pt idx="147">
                  <c:v>8</c:v>
                </c:pt>
              </c:numCache>
            </c:numRef>
          </c:yVal>
        </c:ser>
        <c:axId val="138009984"/>
        <c:axId val="138024448"/>
      </c:scatterChart>
      <c:valAx>
        <c:axId val="138009984"/>
        <c:scaling>
          <c:orientation val="minMax"/>
          <c:max val="150"/>
          <c:min val="40"/>
        </c:scaling>
        <c:axPos val="b"/>
        <c:title>
          <c:tx>
            <c:rich>
              <a:bodyPr/>
              <a:lstStyle/>
              <a:p>
                <a:pPr>
                  <a:defRPr sz="1200" b="1" i="0" u="none" strike="noStrike" baseline="0">
                    <a:solidFill>
                      <a:srgbClr val="000000"/>
                    </a:solidFill>
                    <a:latin typeface="Arial"/>
                    <a:ea typeface="Arial"/>
                    <a:cs typeface="Arial"/>
                  </a:defRPr>
                </a:pPr>
                <a:r>
                  <a:rPr lang="en-US"/>
                  <a:t>Density (vehicles per lane-mile)</a:t>
                </a:r>
              </a:p>
            </c:rich>
          </c:tx>
          <c:layout>
            <c:manualLayout>
              <c:xMode val="edge"/>
              <c:yMode val="edge"/>
              <c:x val="0.35513527834592684"/>
              <c:y val="0.88698514360346103"/>
            </c:manualLayout>
          </c:layout>
          <c:spPr>
            <a:noFill/>
            <a:ln w="25400">
              <a:noFill/>
            </a:ln>
          </c:spPr>
        </c:title>
        <c:numFmt formatCode="0" sourceLinked="1"/>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38024448"/>
        <c:crosses val="autoZero"/>
        <c:crossBetween val="midCat"/>
      </c:valAx>
      <c:valAx>
        <c:axId val="138024448"/>
        <c:scaling>
          <c:orientation val="minMax"/>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Speed (mph)</a:t>
                </a:r>
              </a:p>
            </c:rich>
          </c:tx>
          <c:layout>
            <c:manualLayout>
              <c:xMode val="edge"/>
              <c:yMode val="edge"/>
              <c:x val="2.5155449108565351E-2"/>
              <c:y val="0.37748985922217543"/>
            </c:manualLayout>
          </c:layout>
          <c:spPr>
            <a:noFill/>
            <a:ln w="25400">
              <a:noFill/>
            </a:ln>
          </c:spPr>
        </c:title>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38009984"/>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Non-Cordon Speeds: Variation with Traffic Volume</a:t>
            </a:r>
          </a:p>
        </c:rich>
      </c:tx>
      <c:layout>
        <c:manualLayout>
          <c:xMode val="edge"/>
          <c:yMode val="edge"/>
          <c:x val="0.14407101122409952"/>
          <c:y val="4.749336660786254E-2"/>
        </c:manualLayout>
      </c:layout>
      <c:spPr>
        <a:noFill/>
        <a:ln w="25400">
          <a:noFill/>
        </a:ln>
      </c:spPr>
    </c:title>
    <c:plotArea>
      <c:layout>
        <c:manualLayout>
          <c:layoutTarget val="inner"/>
          <c:xMode val="edge"/>
          <c:yMode val="edge"/>
          <c:x val="0.14572888159693875"/>
          <c:y val="0.10382541363935932"/>
          <c:w val="0.80067132647506833"/>
          <c:h val="0.67759743638326109"/>
        </c:manualLayout>
      </c:layout>
      <c:scatterChart>
        <c:scatterStyle val="smoothMarker"/>
        <c:ser>
          <c:idx val="0"/>
          <c:order val="0"/>
          <c:spPr>
            <a:ln w="25400">
              <a:solidFill>
                <a:srgbClr val="000080"/>
              </a:solidFill>
              <a:prstDash val="solid"/>
            </a:ln>
          </c:spPr>
          <c:marker>
            <c:symbol val="none"/>
          </c:marker>
          <c:xVal>
            <c:numRef>
              <c:f>'Speed-Vol., non-Cordon'!$R$108:$R$202</c:f>
              <c:numCache>
                <c:formatCode>General</c:formatCode>
                <c:ptCount val="95"/>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53</c:v>
                </c:pt>
                <c:pt idx="23">
                  <c:v>54</c:v>
                </c:pt>
                <c:pt idx="24">
                  <c:v>55</c:v>
                </c:pt>
                <c:pt idx="25">
                  <c:v>56</c:v>
                </c:pt>
                <c:pt idx="26">
                  <c:v>57</c:v>
                </c:pt>
                <c:pt idx="27">
                  <c:v>58</c:v>
                </c:pt>
                <c:pt idx="28">
                  <c:v>59</c:v>
                </c:pt>
                <c:pt idx="29">
                  <c:v>60</c:v>
                </c:pt>
                <c:pt idx="30">
                  <c:v>61</c:v>
                </c:pt>
                <c:pt idx="31">
                  <c:v>62</c:v>
                </c:pt>
                <c:pt idx="32">
                  <c:v>63</c:v>
                </c:pt>
                <c:pt idx="33">
                  <c:v>64</c:v>
                </c:pt>
                <c:pt idx="34">
                  <c:v>65</c:v>
                </c:pt>
                <c:pt idx="35">
                  <c:v>66</c:v>
                </c:pt>
                <c:pt idx="36">
                  <c:v>67</c:v>
                </c:pt>
                <c:pt idx="37">
                  <c:v>68</c:v>
                </c:pt>
                <c:pt idx="38">
                  <c:v>69</c:v>
                </c:pt>
                <c:pt idx="39">
                  <c:v>70</c:v>
                </c:pt>
                <c:pt idx="40">
                  <c:v>71</c:v>
                </c:pt>
                <c:pt idx="41">
                  <c:v>72</c:v>
                </c:pt>
                <c:pt idx="42">
                  <c:v>73</c:v>
                </c:pt>
                <c:pt idx="43">
                  <c:v>74</c:v>
                </c:pt>
                <c:pt idx="44">
                  <c:v>75</c:v>
                </c:pt>
                <c:pt idx="45">
                  <c:v>76</c:v>
                </c:pt>
                <c:pt idx="46">
                  <c:v>77</c:v>
                </c:pt>
                <c:pt idx="47">
                  <c:v>78</c:v>
                </c:pt>
                <c:pt idx="48">
                  <c:v>79</c:v>
                </c:pt>
                <c:pt idx="49">
                  <c:v>80</c:v>
                </c:pt>
                <c:pt idx="50">
                  <c:v>81</c:v>
                </c:pt>
                <c:pt idx="51">
                  <c:v>82</c:v>
                </c:pt>
                <c:pt idx="52">
                  <c:v>83</c:v>
                </c:pt>
                <c:pt idx="53">
                  <c:v>84</c:v>
                </c:pt>
                <c:pt idx="54">
                  <c:v>85</c:v>
                </c:pt>
                <c:pt idx="55">
                  <c:v>86</c:v>
                </c:pt>
                <c:pt idx="56">
                  <c:v>87</c:v>
                </c:pt>
                <c:pt idx="57">
                  <c:v>88</c:v>
                </c:pt>
                <c:pt idx="58">
                  <c:v>89</c:v>
                </c:pt>
                <c:pt idx="59">
                  <c:v>90</c:v>
                </c:pt>
                <c:pt idx="60">
                  <c:v>91</c:v>
                </c:pt>
                <c:pt idx="61">
                  <c:v>92</c:v>
                </c:pt>
                <c:pt idx="62">
                  <c:v>93</c:v>
                </c:pt>
                <c:pt idx="63">
                  <c:v>94</c:v>
                </c:pt>
                <c:pt idx="64">
                  <c:v>95</c:v>
                </c:pt>
                <c:pt idx="65">
                  <c:v>96</c:v>
                </c:pt>
                <c:pt idx="66">
                  <c:v>97</c:v>
                </c:pt>
                <c:pt idx="67">
                  <c:v>98</c:v>
                </c:pt>
                <c:pt idx="68">
                  <c:v>99</c:v>
                </c:pt>
                <c:pt idx="69">
                  <c:v>100</c:v>
                </c:pt>
                <c:pt idx="70">
                  <c:v>101</c:v>
                </c:pt>
                <c:pt idx="71">
                  <c:v>102</c:v>
                </c:pt>
                <c:pt idx="72">
                  <c:v>103</c:v>
                </c:pt>
                <c:pt idx="73">
                  <c:v>104</c:v>
                </c:pt>
                <c:pt idx="74">
                  <c:v>105</c:v>
                </c:pt>
                <c:pt idx="75">
                  <c:v>106</c:v>
                </c:pt>
                <c:pt idx="76">
                  <c:v>107</c:v>
                </c:pt>
                <c:pt idx="77">
                  <c:v>108</c:v>
                </c:pt>
                <c:pt idx="78">
                  <c:v>109</c:v>
                </c:pt>
                <c:pt idx="79">
                  <c:v>110</c:v>
                </c:pt>
                <c:pt idx="80">
                  <c:v>111</c:v>
                </c:pt>
                <c:pt idx="81">
                  <c:v>112</c:v>
                </c:pt>
                <c:pt idx="82">
                  <c:v>113</c:v>
                </c:pt>
                <c:pt idx="83">
                  <c:v>114</c:v>
                </c:pt>
                <c:pt idx="84">
                  <c:v>115</c:v>
                </c:pt>
                <c:pt idx="85">
                  <c:v>116</c:v>
                </c:pt>
                <c:pt idx="86">
                  <c:v>117</c:v>
                </c:pt>
                <c:pt idx="87">
                  <c:v>118</c:v>
                </c:pt>
                <c:pt idx="88">
                  <c:v>119</c:v>
                </c:pt>
                <c:pt idx="89">
                  <c:v>120</c:v>
                </c:pt>
                <c:pt idx="90">
                  <c:v>121</c:v>
                </c:pt>
                <c:pt idx="91">
                  <c:v>122</c:v>
                </c:pt>
                <c:pt idx="92">
                  <c:v>123</c:v>
                </c:pt>
                <c:pt idx="93">
                  <c:v>124</c:v>
                </c:pt>
                <c:pt idx="94">
                  <c:v>125</c:v>
                </c:pt>
              </c:numCache>
            </c:numRef>
          </c:xVal>
          <c:yVal>
            <c:numRef>
              <c:f>'Speed-Vol., non-Cordon'!$S$108:$S$202</c:f>
              <c:numCache>
                <c:formatCode>0.0</c:formatCode>
                <c:ptCount val="95"/>
                <c:pt idx="0">
                  <c:v>65.03131346432464</c:v>
                </c:pt>
                <c:pt idx="1">
                  <c:v>63.584447196051102</c:v>
                </c:pt>
                <c:pt idx="2">
                  <c:v>62.169771912193326</c:v>
                </c:pt>
                <c:pt idx="3">
                  <c:v>60.786571403174563</c:v>
                </c:pt>
                <c:pt idx="4">
                  <c:v>59.434145394195006</c:v>
                </c:pt>
                <c:pt idx="5">
                  <c:v>58.1118091907028</c:v>
                </c:pt>
                <c:pt idx="6">
                  <c:v>56.818893331752754</c:v>
                </c:pt>
                <c:pt idx="7">
                  <c:v>55.554743251077468</c:v>
                </c:pt>
                <c:pt idx="8">
                  <c:v>54.318718945699153</c:v>
                </c:pt>
                <c:pt idx="9">
                  <c:v>53.110194651914469</c:v>
                </c:pt>
                <c:pt idx="10">
                  <c:v>51.928558528488281</c:v>
                </c:pt>
                <c:pt idx="11">
                  <c:v>50.773212346895995</c:v>
                </c:pt>
                <c:pt idx="12">
                  <c:v>49.643571188457543</c:v>
                </c:pt>
                <c:pt idx="13">
                  <c:v>48.539063148209827</c:v>
                </c:pt>
                <c:pt idx="14">
                  <c:v>47.459129045367639</c:v>
                </c:pt>
                <c:pt idx="15">
                  <c:v>46.403222140226411</c:v>
                </c:pt>
                <c:pt idx="16">
                  <c:v>45.370807857363594</c:v>
                </c:pt>
                <c:pt idx="17">
                  <c:v>44.361363514998395</c:v>
                </c:pt>
                <c:pt idx="18">
                  <c:v>43.374378060373019</c:v>
                </c:pt>
                <c:pt idx="19">
                  <c:v>42.409351811021224</c:v>
                </c:pt>
                <c:pt idx="20">
                  <c:v>41.465796201793459</c:v>
                </c:pt>
                <c:pt idx="21">
                  <c:v>40.543233537510311</c:v>
                </c:pt>
                <c:pt idx="22">
                  <c:v>39.641196751119068</c:v>
                </c:pt>
                <c:pt idx="23">
                  <c:v>38.75922916723114</c:v>
                </c:pt>
                <c:pt idx="24">
                  <c:v>37.896884270920289</c:v>
                </c:pt>
                <c:pt idx="25">
                  <c:v>37.053725481665005</c:v>
                </c:pt>
                <c:pt idx="26">
                  <c:v>36.229325932320208</c:v>
                </c:pt>
                <c:pt idx="27">
                  <c:v>35.423268253006711</c:v>
                </c:pt>
                <c:pt idx="28">
                  <c:v>34.635144359808749</c:v>
                </c:pt>
                <c:pt idx="29">
                  <c:v>33.864555248172813</c:v>
                </c:pt>
                <c:pt idx="30">
                  <c:v>33.111110790903048</c:v>
                </c:pt>
                <c:pt idx="31">
                  <c:v>32.374429540651093</c:v>
                </c:pt>
                <c:pt idx="32">
                  <c:v>31.654138536800101</c:v>
                </c:pt>
                <c:pt idx="33">
                  <c:v>30.949873116645566</c:v>
                </c:pt>
                <c:pt idx="34">
                  <c:v>30.261276730776984</c:v>
                </c:pt>
                <c:pt idx="35">
                  <c:v>29.588000762567116</c:v>
                </c:pt>
                <c:pt idx="36">
                  <c:v>28.92970435167738</c:v>
                </c:pt>
                <c:pt idx="37">
                  <c:v>28.286054221490001</c:v>
                </c:pt>
                <c:pt idx="38">
                  <c:v>27.656724510379643</c:v>
                </c:pt>
                <c:pt idx="39">
                  <c:v>27.041396606738971</c:v>
                </c:pt>
                <c:pt idx="40">
                  <c:v>26.439758987674715</c:v>
                </c:pt>
                <c:pt idx="41">
                  <c:v>25.85150706129259</c:v>
                </c:pt>
                <c:pt idx="42">
                  <c:v>25.2763430124911</c:v>
                </c:pt>
                <c:pt idx="43">
                  <c:v>24.713975652186313</c:v>
                </c:pt>
                <c:pt idx="44">
                  <c:v>24.164120269891157</c:v>
                </c:pt>
                <c:pt idx="45">
                  <c:v>23.626498489574658</c:v>
                </c:pt>
                <c:pt idx="46">
                  <c:v>23.100838128728117</c:v>
                </c:pt>
                <c:pt idx="47">
                  <c:v>22.586873060566912</c:v>
                </c:pt>
                <c:pt idx="48">
                  <c:v>22.08434307929814</c:v>
                </c:pt>
                <c:pt idx="49">
                  <c:v>21.592993768385853</c:v>
                </c:pt>
                <c:pt idx="50">
                  <c:v>21.112576371747267</c:v>
                </c:pt>
                <c:pt idx="51">
                  <c:v>20.642847667814692</c:v>
                </c:pt>
                <c:pt idx="52">
                  <c:v>20.183569846399394</c:v>
                </c:pt>
                <c:pt idx="53">
                  <c:v>19.734510388295124</c:v>
                </c:pt>
                <c:pt idx="54">
                  <c:v>19.29544194756031</c:v>
                </c:pt>
                <c:pt idx="55">
                  <c:v>18.866142236419293</c:v>
                </c:pt>
                <c:pt idx="56">
                  <c:v>18.446393912724417</c:v>
                </c:pt>
                <c:pt idx="57">
                  <c:v>18.035984469921928</c:v>
                </c:pt>
                <c:pt idx="58">
                  <c:v>17.634706129465965</c:v>
                </c:pt>
                <c:pt idx="59">
                  <c:v>17.242355735626262</c:v>
                </c:pt>
                <c:pt idx="60">
                  <c:v>16.858734652636198</c:v>
                </c:pt>
                <c:pt idx="61">
                  <c:v>16.483648664129216</c:v>
                </c:pt>
                <c:pt idx="62">
                  <c:v>16.116907874812625</c:v>
                </c:pt>
                <c:pt idx="63">
                  <c:v>15.75832661432907</c:v>
                </c:pt>
                <c:pt idx="64">
                  <c:v>15.407723343256928</c:v>
                </c:pt>
                <c:pt idx="65">
                  <c:v>15.064920561202106</c:v>
                </c:pt>
                <c:pt idx="66">
                  <c:v>14.72974471693469</c:v>
                </c:pt>
                <c:pt idx="67">
                  <c:v>14.402026120524903</c:v>
                </c:pt>
                <c:pt idx="68">
                  <c:v>14.081598857433972</c:v>
                </c:pt>
                <c:pt idx="69">
                  <c:v>13.768300704516337</c:v>
                </c:pt>
                <c:pt idx="70">
                  <c:v>13.461973047890735</c:v>
                </c:pt>
                <c:pt idx="71">
                  <c:v>13.162460802638517</c:v>
                </c:pt>
                <c:pt idx="72">
                  <c:v>12.869612334288604</c:v>
                </c:pt>
                <c:pt idx="73">
                  <c:v>12.583279382049305</c:v>
                </c:pt>
                <c:pt idx="74">
                  <c:v>12.303316983748108</c:v>
                </c:pt>
                <c:pt idx="75">
                  <c:v>12.029583402441501</c:v>
                </c:pt>
                <c:pt idx="76">
                  <c:v>11.761940054657602</c:v>
                </c:pt>
                <c:pt idx="77">
                  <c:v>11.500251440235331</c:v>
                </c:pt>
                <c:pt idx="78">
                  <c:v>11.244385073724539</c:v>
                </c:pt>
                <c:pt idx="79">
                  <c:v>10.994211417312451</c:v>
                </c:pt>
                <c:pt idx="80">
                  <c:v>10.749603815242356</c:v>
                </c:pt>
                <c:pt idx="81">
                  <c:v>10.510438429691423</c:v>
                </c:pt>
                <c:pt idx="82">
                  <c:v>10.276594178075174</c:v>
                </c:pt>
                <c:pt idx="83">
                  <c:v>10.04795267174684</c:v>
                </c:pt>
                <c:pt idx="84">
                  <c:v>9.8243981560605622</c:v>
                </c:pt>
                <c:pt idx="85">
                  <c:v>9.6058174517681483</c:v>
                </c:pt>
                <c:pt idx="86">
                  <c:v>9.3920998977196497</c:v>
                </c:pt>
                <c:pt idx="87">
                  <c:v>9.1831372948387955</c:v>
                </c:pt>
                <c:pt idx="88">
                  <c:v>8.9788238513449006</c:v>
                </c:pt>
                <c:pt idx="89">
                  <c:v>8.7790561291935134</c:v>
                </c:pt>
                <c:pt idx="90">
                  <c:v>8.5837329917087004</c:v>
                </c:pt>
                <c:pt idx="91">
                  <c:v>8.3927555523804376</c:v>
                </c:pt>
                <c:pt idx="92">
                  <c:v>8.2060271248012171</c:v>
                </c:pt>
                <c:pt idx="93">
                  <c:v>8.0234531737164669</c:v>
                </c:pt>
                <c:pt idx="94">
                  <c:v>7.8449412671640761</c:v>
                </c:pt>
              </c:numCache>
            </c:numRef>
          </c:yVal>
          <c:smooth val="1"/>
        </c:ser>
        <c:axId val="138037120"/>
        <c:axId val="138080256"/>
      </c:scatterChart>
      <c:valAx>
        <c:axId val="138037120"/>
        <c:scaling>
          <c:orientation val="minMax"/>
          <c:min val="20"/>
        </c:scaling>
        <c:axPos val="b"/>
        <c:title>
          <c:tx>
            <c:rich>
              <a:bodyPr/>
              <a:lstStyle/>
              <a:p>
                <a:pPr>
                  <a:defRPr sz="1000" b="1" i="0" u="none" strike="noStrike" baseline="0">
                    <a:solidFill>
                      <a:srgbClr val="000000"/>
                    </a:solidFill>
                    <a:latin typeface="Arial"/>
                    <a:ea typeface="Arial"/>
                    <a:cs typeface="Arial"/>
                  </a:defRPr>
                </a:pPr>
                <a:r>
                  <a:rPr lang="en-US"/>
                  <a:t>Traffic Density (Vehicles per Lane-Mile)</a:t>
                </a:r>
              </a:p>
            </c:rich>
          </c:tx>
          <c:layout>
            <c:manualLayout>
              <c:xMode val="edge"/>
              <c:yMode val="edge"/>
              <c:x val="0.31400115186606697"/>
              <c:y val="0.86279792894740615"/>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8080256"/>
        <c:crosses val="autoZero"/>
        <c:crossBetween val="midCat"/>
      </c:valAx>
      <c:valAx>
        <c:axId val="138080256"/>
        <c:scaling>
          <c:orientation val="minMax"/>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MPH</a:t>
                </a:r>
              </a:p>
            </c:rich>
          </c:tx>
          <c:layout>
            <c:manualLayout>
              <c:xMode val="edge"/>
              <c:yMode val="edge"/>
              <c:x val="4.6176639980304003E-2"/>
              <c:y val="0.42216399179610747"/>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8037120"/>
        <c:crosses val="autoZero"/>
        <c:crossBetween val="midCat"/>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50" b="1" i="0" u="none" strike="noStrike" baseline="0">
                <a:solidFill>
                  <a:srgbClr val="000000"/>
                </a:solidFill>
                <a:latin typeface="Arial"/>
                <a:ea typeface="Arial"/>
                <a:cs typeface="Arial"/>
              </a:defRPr>
            </a:pPr>
            <a:r>
              <a:rPr lang="en-US"/>
              <a:t>Elasticity Sensitivities</a:t>
            </a:r>
          </a:p>
        </c:rich>
      </c:tx>
      <c:layout>
        <c:manualLayout>
          <c:xMode val="edge"/>
          <c:yMode val="edge"/>
          <c:x val="0.33802015488807224"/>
          <c:y val="1.7865110611173601E-2"/>
        </c:manualLayout>
      </c:layout>
      <c:spPr>
        <a:noFill/>
        <a:ln w="25400">
          <a:noFill/>
        </a:ln>
      </c:spPr>
    </c:title>
    <c:plotArea>
      <c:layout>
        <c:manualLayout>
          <c:layoutTarget val="inner"/>
          <c:xMode val="edge"/>
          <c:yMode val="edge"/>
          <c:x val="8.8244208133990767E-2"/>
          <c:y val="8.932582554423299E-2"/>
          <c:w val="0.87645942316132963"/>
          <c:h val="0.85306163394730294"/>
        </c:manualLayout>
      </c:layout>
      <c:lineChart>
        <c:grouping val="standard"/>
        <c:ser>
          <c:idx val="1"/>
          <c:order val="0"/>
          <c:tx>
            <c:v>Transit Price</c:v>
          </c:tx>
          <c:spPr>
            <a:ln w="38100">
              <a:solidFill>
                <a:srgbClr val="00FFFF"/>
              </a:solidFill>
              <a:prstDash val="solid"/>
            </a:ln>
          </c:spPr>
          <c:marker>
            <c:symbol val="none"/>
          </c:marker>
          <c:cat>
            <c:numRef>
              <c:f>Elasticities!$S$143:$S$202</c:f>
              <c:numCache>
                <c:formatCode>0%</c:formatCode>
                <c:ptCount val="60"/>
                <c:pt idx="0">
                  <c:v>-0.3</c:v>
                </c:pt>
                <c:pt idx="1">
                  <c:v>-0.28999999999999998</c:v>
                </c:pt>
                <c:pt idx="2">
                  <c:v>-0.28000000000000003</c:v>
                </c:pt>
                <c:pt idx="3">
                  <c:v>-0.27</c:v>
                </c:pt>
                <c:pt idx="4">
                  <c:v>-0.26</c:v>
                </c:pt>
                <c:pt idx="5">
                  <c:v>-0.25</c:v>
                </c:pt>
                <c:pt idx="6">
                  <c:v>-0.24</c:v>
                </c:pt>
                <c:pt idx="7">
                  <c:v>-0.23</c:v>
                </c:pt>
                <c:pt idx="8">
                  <c:v>-0.22</c:v>
                </c:pt>
                <c:pt idx="9">
                  <c:v>-0.21</c:v>
                </c:pt>
                <c:pt idx="10">
                  <c:v>-0.2</c:v>
                </c:pt>
                <c:pt idx="11">
                  <c:v>-0.19</c:v>
                </c:pt>
                <c:pt idx="12">
                  <c:v>-0.18</c:v>
                </c:pt>
                <c:pt idx="13">
                  <c:v>-0.17</c:v>
                </c:pt>
                <c:pt idx="14">
                  <c:v>-0.16</c:v>
                </c:pt>
                <c:pt idx="15">
                  <c:v>-0.15</c:v>
                </c:pt>
                <c:pt idx="16">
                  <c:v>-0.14000000000000001</c:v>
                </c:pt>
                <c:pt idx="17">
                  <c:v>-0.13</c:v>
                </c:pt>
                <c:pt idx="18">
                  <c:v>-0.12</c:v>
                </c:pt>
                <c:pt idx="19">
                  <c:v>-0.11</c:v>
                </c:pt>
                <c:pt idx="20">
                  <c:v>-0.1</c:v>
                </c:pt>
                <c:pt idx="21">
                  <c:v>-0.09</c:v>
                </c:pt>
                <c:pt idx="22">
                  <c:v>-0.08</c:v>
                </c:pt>
                <c:pt idx="23">
                  <c:v>-7.0000000000000007E-2</c:v>
                </c:pt>
                <c:pt idx="24">
                  <c:v>-0.06</c:v>
                </c:pt>
                <c:pt idx="25">
                  <c:v>-0.05</c:v>
                </c:pt>
                <c:pt idx="26">
                  <c:v>-0.04</c:v>
                </c:pt>
                <c:pt idx="27">
                  <c:v>-0.03</c:v>
                </c:pt>
                <c:pt idx="28">
                  <c:v>-0.02</c:v>
                </c:pt>
                <c:pt idx="29">
                  <c:v>-0.01</c:v>
                </c:pt>
                <c:pt idx="30">
                  <c:v>0.01</c:v>
                </c:pt>
                <c:pt idx="31">
                  <c:v>0.02</c:v>
                </c:pt>
                <c:pt idx="32">
                  <c:v>0.03</c:v>
                </c:pt>
                <c:pt idx="33">
                  <c:v>0.04</c:v>
                </c:pt>
                <c:pt idx="34">
                  <c:v>0.05</c:v>
                </c:pt>
                <c:pt idx="35">
                  <c:v>0.06</c:v>
                </c:pt>
                <c:pt idx="36">
                  <c:v>7.0000000000000007E-2</c:v>
                </c:pt>
                <c:pt idx="37">
                  <c:v>0.08</c:v>
                </c:pt>
                <c:pt idx="38">
                  <c:v>0.09</c:v>
                </c:pt>
                <c:pt idx="39">
                  <c:v>0.1</c:v>
                </c:pt>
                <c:pt idx="40">
                  <c:v>0.11</c:v>
                </c:pt>
                <c:pt idx="41">
                  <c:v>0.12</c:v>
                </c:pt>
                <c:pt idx="42">
                  <c:v>0.13</c:v>
                </c:pt>
                <c:pt idx="43">
                  <c:v>0.14000000000000001</c:v>
                </c:pt>
                <c:pt idx="44">
                  <c:v>0.15</c:v>
                </c:pt>
                <c:pt idx="45">
                  <c:v>0.16</c:v>
                </c:pt>
                <c:pt idx="46">
                  <c:v>0.17</c:v>
                </c:pt>
                <c:pt idx="47">
                  <c:v>0.18</c:v>
                </c:pt>
                <c:pt idx="48">
                  <c:v>0.19</c:v>
                </c:pt>
                <c:pt idx="49">
                  <c:v>0.2</c:v>
                </c:pt>
                <c:pt idx="50">
                  <c:v>0.21</c:v>
                </c:pt>
                <c:pt idx="51">
                  <c:v>0.22</c:v>
                </c:pt>
                <c:pt idx="52">
                  <c:v>0.23</c:v>
                </c:pt>
                <c:pt idx="53">
                  <c:v>0.24</c:v>
                </c:pt>
                <c:pt idx="54">
                  <c:v>0.25</c:v>
                </c:pt>
                <c:pt idx="55">
                  <c:v>0.26</c:v>
                </c:pt>
                <c:pt idx="56">
                  <c:v>0.27000000000000102</c:v>
                </c:pt>
                <c:pt idx="57">
                  <c:v>0.28000000000000103</c:v>
                </c:pt>
                <c:pt idx="58">
                  <c:v>0.29000000000000098</c:v>
                </c:pt>
                <c:pt idx="59">
                  <c:v>0.30000000000000099</c:v>
                </c:pt>
              </c:numCache>
            </c:numRef>
          </c:cat>
          <c:val>
            <c:numRef>
              <c:f>Elasticities!$T$143:$T$202</c:f>
              <c:numCache>
                <c:formatCode>0.0%</c:formatCode>
                <c:ptCount val="60"/>
                <c:pt idx="0">
                  <c:v>-0.11081770359476384</c:v>
                </c:pt>
                <c:pt idx="1">
                  <c:v>-0.10717624555632443</c:v>
                </c:pt>
                <c:pt idx="2">
                  <c:v>-0.10353117221275998</c:v>
                </c:pt>
                <c:pt idx="3">
                  <c:v>-9.9882483145139256E-2</c:v>
                </c:pt>
                <c:pt idx="4">
                  <c:v>-9.6230177948803064E-2</c:v>
                </c:pt>
                <c:pt idx="5">
                  <c:v>-9.2574256233396324E-2</c:v>
                </c:pt>
                <c:pt idx="6">
                  <c:v>-8.8914717622912587E-2</c:v>
                </c:pt>
                <c:pt idx="7">
                  <c:v>-8.5251561755719907E-2</c:v>
                </c:pt>
                <c:pt idx="8">
                  <c:v>-8.1584788284609688E-2</c:v>
                </c:pt>
                <c:pt idx="9">
                  <c:v>-7.7914396876819225E-2</c:v>
                </c:pt>
                <c:pt idx="10">
                  <c:v>-7.4240387214075887E-2</c:v>
                </c:pt>
                <c:pt idx="11">
                  <c:v>-7.056275899262876E-2</c:v>
                </c:pt>
                <c:pt idx="12">
                  <c:v>-6.6881511923284842E-2</c:v>
                </c:pt>
                <c:pt idx="13">
                  <c:v>-6.3196645731438905E-2</c:v>
                </c:pt>
                <c:pt idx="14">
                  <c:v>-5.9508160157114576E-2</c:v>
                </c:pt>
                <c:pt idx="15">
                  <c:v>-5.5816054954989092E-2</c:v>
                </c:pt>
                <c:pt idx="16">
                  <c:v>-5.2120329894435824E-2</c:v>
                </c:pt>
                <c:pt idx="17">
                  <c:v>-4.8420984759549368E-2</c:v>
                </c:pt>
                <c:pt idx="18">
                  <c:v>-4.4718019349181071E-2</c:v>
                </c:pt>
                <c:pt idx="19">
                  <c:v>-4.1011433476973114E-2</c:v>
                </c:pt>
                <c:pt idx="20">
                  <c:v>-3.7301226971386936E-2</c:v>
                </c:pt>
                <c:pt idx="21">
                  <c:v>-3.3587399675734875E-2</c:v>
                </c:pt>
                <c:pt idx="22">
                  <c:v>-2.9869951448217136E-2</c:v>
                </c:pt>
                <c:pt idx="23">
                  <c:v>-2.6148882161942E-2</c:v>
                </c:pt>
                <c:pt idx="24">
                  <c:v>-2.2424191704966456E-2</c:v>
                </c:pt>
                <c:pt idx="25">
                  <c:v>-1.8695879980320518E-2</c:v>
                </c:pt>
                <c:pt idx="26">
                  <c:v>-1.4963946906036418E-2</c:v>
                </c:pt>
                <c:pt idx="27">
                  <c:v>-1.1228392415185029E-2</c:v>
                </c:pt>
                <c:pt idx="28">
                  <c:v>-7.4892164558933993E-3</c:v>
                </c:pt>
                <c:pt idx="29">
                  <c:v>-3.7464189913852808E-3</c:v>
                </c:pt>
                <c:pt idx="30">
                  <c:v>3.750040524773679E-3</c:v>
                </c:pt>
                <c:pt idx="31">
                  <c:v>7.5037025742723529E-3</c:v>
                </c:pt>
                <c:pt idx="32">
                  <c:v>1.1260986124630445E-2</c:v>
                </c:pt>
                <c:pt idx="33">
                  <c:v>1.5021891136754784E-2</c:v>
                </c:pt>
                <c:pt idx="34">
                  <c:v>1.8786417556295509E-2</c:v>
                </c:pt>
                <c:pt idx="35">
                  <c:v>2.255456531361788E-2</c:v>
                </c:pt>
                <c:pt idx="36">
                  <c:v>2.6326334323787393E-2</c:v>
                </c:pt>
                <c:pt idx="37">
                  <c:v>3.0101724486531145E-2</c:v>
                </c:pt>
                <c:pt idx="38">
                  <c:v>3.3880735686220076E-2</c:v>
                </c:pt>
                <c:pt idx="39">
                  <c:v>3.7663367791841429E-2</c:v>
                </c:pt>
                <c:pt idx="40">
                  <c:v>4.1449620656978992E-2</c:v>
                </c:pt>
                <c:pt idx="41">
                  <c:v>4.523949411978534E-2</c:v>
                </c:pt>
                <c:pt idx="42">
                  <c:v>4.9032988002958078E-2</c:v>
                </c:pt>
                <c:pt idx="43">
                  <c:v>5.283010211371808E-2</c:v>
                </c:pt>
                <c:pt idx="44">
                  <c:v>5.6630836243790617E-2</c:v>
                </c:pt>
                <c:pt idx="45">
                  <c:v>6.0435190169373598E-2</c:v>
                </c:pt>
                <c:pt idx="46">
                  <c:v>6.42431636511267E-2</c:v>
                </c:pt>
                <c:pt idx="47">
                  <c:v>6.8054756434142494E-2</c:v>
                </c:pt>
                <c:pt idx="48">
                  <c:v>7.1869968247927352E-2</c:v>
                </c:pt>
                <c:pt idx="49">
                  <c:v>7.5688798806382795E-2</c:v>
                </c:pt>
                <c:pt idx="50">
                  <c:v>7.9511247807783958E-2</c:v>
                </c:pt>
                <c:pt idx="51">
                  <c:v>8.3337314934759599E-2</c:v>
                </c:pt>
                <c:pt idx="52">
                  <c:v>8.7166999854271898E-2</c:v>
                </c:pt>
                <c:pt idx="53">
                  <c:v>9.1000302217600471E-2</c:v>
                </c:pt>
                <c:pt idx="54">
                  <c:v>9.4837221660322601E-2</c:v>
                </c:pt>
                <c:pt idx="55">
                  <c:v>9.8677757802293264E-2</c:v>
                </c:pt>
                <c:pt idx="56">
                  <c:v>0.1025219102476298</c:v>
                </c:pt>
                <c:pt idx="57">
                  <c:v>0.1063696785846957</c:v>
                </c:pt>
                <c:pt idx="58">
                  <c:v>0.11022106238608198</c:v>
                </c:pt>
                <c:pt idx="59">
                  <c:v>0.11407606120859315</c:v>
                </c:pt>
              </c:numCache>
            </c:numRef>
          </c:val>
        </c:ser>
        <c:ser>
          <c:idx val="2"/>
          <c:order val="1"/>
          <c:tx>
            <c:v>Transit Time</c:v>
          </c:tx>
          <c:spPr>
            <a:ln w="38100">
              <a:solidFill>
                <a:srgbClr val="993300"/>
              </a:solidFill>
              <a:prstDash val="solid"/>
            </a:ln>
          </c:spPr>
          <c:marker>
            <c:symbol val="none"/>
          </c:marker>
          <c:cat>
            <c:numRef>
              <c:f>Elasticities!$S$143:$S$202</c:f>
              <c:numCache>
                <c:formatCode>0%</c:formatCode>
                <c:ptCount val="60"/>
                <c:pt idx="0">
                  <c:v>-0.3</c:v>
                </c:pt>
                <c:pt idx="1">
                  <c:v>-0.28999999999999998</c:v>
                </c:pt>
                <c:pt idx="2">
                  <c:v>-0.28000000000000003</c:v>
                </c:pt>
                <c:pt idx="3">
                  <c:v>-0.27</c:v>
                </c:pt>
                <c:pt idx="4">
                  <c:v>-0.26</c:v>
                </c:pt>
                <c:pt idx="5">
                  <c:v>-0.25</c:v>
                </c:pt>
                <c:pt idx="6">
                  <c:v>-0.24</c:v>
                </c:pt>
                <c:pt idx="7">
                  <c:v>-0.23</c:v>
                </c:pt>
                <c:pt idx="8">
                  <c:v>-0.22</c:v>
                </c:pt>
                <c:pt idx="9">
                  <c:v>-0.21</c:v>
                </c:pt>
                <c:pt idx="10">
                  <c:v>-0.2</c:v>
                </c:pt>
                <c:pt idx="11">
                  <c:v>-0.19</c:v>
                </c:pt>
                <c:pt idx="12">
                  <c:v>-0.18</c:v>
                </c:pt>
                <c:pt idx="13">
                  <c:v>-0.17</c:v>
                </c:pt>
                <c:pt idx="14">
                  <c:v>-0.16</c:v>
                </c:pt>
                <c:pt idx="15">
                  <c:v>-0.15</c:v>
                </c:pt>
                <c:pt idx="16">
                  <c:v>-0.14000000000000001</c:v>
                </c:pt>
                <c:pt idx="17">
                  <c:v>-0.13</c:v>
                </c:pt>
                <c:pt idx="18">
                  <c:v>-0.12</c:v>
                </c:pt>
                <c:pt idx="19">
                  <c:v>-0.11</c:v>
                </c:pt>
                <c:pt idx="20">
                  <c:v>-0.1</c:v>
                </c:pt>
                <c:pt idx="21">
                  <c:v>-0.09</c:v>
                </c:pt>
                <c:pt idx="22">
                  <c:v>-0.08</c:v>
                </c:pt>
                <c:pt idx="23">
                  <c:v>-7.0000000000000007E-2</c:v>
                </c:pt>
                <c:pt idx="24">
                  <c:v>-0.06</c:v>
                </c:pt>
                <c:pt idx="25">
                  <c:v>-0.05</c:v>
                </c:pt>
                <c:pt idx="26">
                  <c:v>-0.04</c:v>
                </c:pt>
                <c:pt idx="27">
                  <c:v>-0.03</c:v>
                </c:pt>
                <c:pt idx="28">
                  <c:v>-0.02</c:v>
                </c:pt>
                <c:pt idx="29">
                  <c:v>-0.01</c:v>
                </c:pt>
                <c:pt idx="30">
                  <c:v>0.01</c:v>
                </c:pt>
                <c:pt idx="31">
                  <c:v>0.02</c:v>
                </c:pt>
                <c:pt idx="32">
                  <c:v>0.03</c:v>
                </c:pt>
                <c:pt idx="33">
                  <c:v>0.04</c:v>
                </c:pt>
                <c:pt idx="34">
                  <c:v>0.05</c:v>
                </c:pt>
                <c:pt idx="35">
                  <c:v>0.06</c:v>
                </c:pt>
                <c:pt idx="36">
                  <c:v>7.0000000000000007E-2</c:v>
                </c:pt>
                <c:pt idx="37">
                  <c:v>0.08</c:v>
                </c:pt>
                <c:pt idx="38">
                  <c:v>0.09</c:v>
                </c:pt>
                <c:pt idx="39">
                  <c:v>0.1</c:v>
                </c:pt>
                <c:pt idx="40">
                  <c:v>0.11</c:v>
                </c:pt>
                <c:pt idx="41">
                  <c:v>0.12</c:v>
                </c:pt>
                <c:pt idx="42">
                  <c:v>0.13</c:v>
                </c:pt>
                <c:pt idx="43">
                  <c:v>0.14000000000000001</c:v>
                </c:pt>
                <c:pt idx="44">
                  <c:v>0.15</c:v>
                </c:pt>
                <c:pt idx="45">
                  <c:v>0.16</c:v>
                </c:pt>
                <c:pt idx="46">
                  <c:v>0.17</c:v>
                </c:pt>
                <c:pt idx="47">
                  <c:v>0.18</c:v>
                </c:pt>
                <c:pt idx="48">
                  <c:v>0.19</c:v>
                </c:pt>
                <c:pt idx="49">
                  <c:v>0.2</c:v>
                </c:pt>
                <c:pt idx="50">
                  <c:v>0.21</c:v>
                </c:pt>
                <c:pt idx="51">
                  <c:v>0.22</c:v>
                </c:pt>
                <c:pt idx="52">
                  <c:v>0.23</c:v>
                </c:pt>
                <c:pt idx="53">
                  <c:v>0.24</c:v>
                </c:pt>
                <c:pt idx="54">
                  <c:v>0.25</c:v>
                </c:pt>
                <c:pt idx="55">
                  <c:v>0.26</c:v>
                </c:pt>
                <c:pt idx="56">
                  <c:v>0.27000000000000102</c:v>
                </c:pt>
                <c:pt idx="57">
                  <c:v>0.28000000000000103</c:v>
                </c:pt>
                <c:pt idx="58">
                  <c:v>0.29000000000000098</c:v>
                </c:pt>
                <c:pt idx="59">
                  <c:v>0.30000000000000099</c:v>
                </c:pt>
              </c:numCache>
            </c:numRef>
          </c:cat>
          <c:val>
            <c:numRef>
              <c:f>Elasticities!$U$143:$U$202</c:f>
              <c:numCache>
                <c:formatCode>0.0%</c:formatCode>
                <c:ptCount val="60"/>
                <c:pt idx="0">
                  <c:v>-1.0302510954260602E-2</c:v>
                </c:pt>
                <c:pt idx="1">
                  <c:v>-9.9600172925569108E-3</c:v>
                </c:pt>
                <c:pt idx="2">
                  <c:v>-9.6174600171194946E-3</c:v>
                </c:pt>
                <c:pt idx="3">
                  <c:v>-9.2748391206898262E-3</c:v>
                </c:pt>
                <c:pt idx="4">
                  <c:v>-8.9321545960218129E-3</c:v>
                </c:pt>
                <c:pt idx="5">
                  <c:v>-8.5894064358825739E-3</c:v>
                </c:pt>
                <c:pt idx="6">
                  <c:v>-8.2465946330538831E-3</c:v>
                </c:pt>
                <c:pt idx="7">
                  <c:v>-7.9037191803239537E-3</c:v>
                </c:pt>
                <c:pt idx="8">
                  <c:v>-7.5607800704960981E-3</c:v>
                </c:pt>
                <c:pt idx="9">
                  <c:v>-7.2177772963875064E-3</c:v>
                </c:pt>
                <c:pt idx="10">
                  <c:v>-6.8747108508261379E-3</c:v>
                </c:pt>
                <c:pt idx="11">
                  <c:v>-6.531580726651498E-3</c:v>
                </c:pt>
                <c:pt idx="12">
                  <c:v>-6.188386916715416E-3</c:v>
                </c:pt>
                <c:pt idx="13">
                  <c:v>-5.8451294138857079E-3</c:v>
                </c:pt>
                <c:pt idx="14">
                  <c:v>-5.5018082110374067E-3</c:v>
                </c:pt>
                <c:pt idx="15">
                  <c:v>-5.1584233010615321E-3</c:v>
                </c:pt>
                <c:pt idx="16">
                  <c:v>-4.8149746768612056E-3</c:v>
                </c:pt>
                <c:pt idx="17">
                  <c:v>-4.4714623313512059E-3</c:v>
                </c:pt>
                <c:pt idx="18">
                  <c:v>-4.1278862574574138E-3</c:v>
                </c:pt>
                <c:pt idx="19">
                  <c:v>-3.7842464481224747E-3</c:v>
                </c:pt>
                <c:pt idx="20">
                  <c:v>-3.4405428962986928E-3</c:v>
                </c:pt>
                <c:pt idx="21">
                  <c:v>-3.0967755949526943E-3</c:v>
                </c:pt>
                <c:pt idx="22">
                  <c:v>-2.7529445370618744E-3</c:v>
                </c:pt>
                <c:pt idx="23">
                  <c:v>-2.4090497156176172E-3</c:v>
                </c:pt>
                <c:pt idx="24">
                  <c:v>-2.0650911236247405E-3</c:v>
                </c:pt>
                <c:pt idx="25">
                  <c:v>-1.7210687541003855E-3</c:v>
                </c:pt>
                <c:pt idx="26">
                  <c:v>-1.3769826000719076E-3</c:v>
                </c:pt>
                <c:pt idx="27">
                  <c:v>-1.0328326545868682E-3</c:v>
                </c:pt>
                <c:pt idx="28">
                  <c:v>-6.8861891069815773E-4</c:v>
                </c:pt>
                <c:pt idx="29">
                  <c:v>-3.4434136147498684E-4</c:v>
                </c:pt>
                <c:pt idx="30">
                  <c:v>3.4440518063250103E-4</c:v>
                </c:pt>
                <c:pt idx="31">
                  <c:v>6.8887418731256034E-4</c:v>
                </c:pt>
                <c:pt idx="32">
                  <c:v>1.0334070269195639E-3</c:v>
                </c:pt>
                <c:pt idx="33">
                  <c:v>1.3780037063184647E-3</c:v>
                </c:pt>
                <c:pt idx="34">
                  <c:v>1.7226642323615593E-3</c:v>
                </c:pt>
                <c:pt idx="35">
                  <c:v>2.0673886118871554E-3</c:v>
                </c:pt>
                <c:pt idx="36">
                  <c:v>2.412176851720238E-3</c:v>
                </c:pt>
                <c:pt idx="37">
                  <c:v>2.7570289586720254E-3</c:v>
                </c:pt>
                <c:pt idx="38">
                  <c:v>3.1019449395419674E-3</c:v>
                </c:pt>
                <c:pt idx="39">
                  <c:v>3.4469248011141929E-3</c:v>
                </c:pt>
                <c:pt idx="40">
                  <c:v>3.7919685501610623E-3</c:v>
                </c:pt>
                <c:pt idx="41">
                  <c:v>4.1370761934380607E-3</c:v>
                </c:pt>
                <c:pt idx="42">
                  <c:v>4.4822477376884606E-3</c:v>
                </c:pt>
                <c:pt idx="43">
                  <c:v>4.8274831896448767E-3</c:v>
                </c:pt>
                <c:pt idx="44">
                  <c:v>5.1727825560243801E-3</c:v>
                </c:pt>
                <c:pt idx="45">
                  <c:v>5.518145843527833E-3</c:v>
                </c:pt>
                <c:pt idx="46">
                  <c:v>5.863573058843663E-3</c:v>
                </c:pt>
                <c:pt idx="47">
                  <c:v>6.2090642086478631E-3</c:v>
                </c:pt>
                <c:pt idx="48">
                  <c:v>6.5546192996017716E-3</c:v>
                </c:pt>
                <c:pt idx="49">
                  <c:v>6.9002383383516275E-3</c:v>
                </c:pt>
                <c:pt idx="50">
                  <c:v>7.2459213315312354E-3</c:v>
                </c:pt>
                <c:pt idx="51">
                  <c:v>7.5916682857586348E-3</c:v>
                </c:pt>
                <c:pt idx="52">
                  <c:v>7.9374792076398748E-3</c:v>
                </c:pt>
                <c:pt idx="53">
                  <c:v>8.2833541037647951E-3</c:v>
                </c:pt>
                <c:pt idx="54">
                  <c:v>8.6292929807094687E-3</c:v>
                </c:pt>
                <c:pt idx="55">
                  <c:v>8.975295845036424E-3</c:v>
                </c:pt>
                <c:pt idx="56">
                  <c:v>9.3213627032939783E-3</c:v>
                </c:pt>
                <c:pt idx="57">
                  <c:v>9.6674935620169045E-3</c:v>
                </c:pt>
                <c:pt idx="58">
                  <c:v>1.0013688427721101E-2</c:v>
                </c:pt>
                <c:pt idx="59">
                  <c:v>1.035994730691292E-2</c:v>
                </c:pt>
              </c:numCache>
            </c:numRef>
          </c:val>
        </c:ser>
        <c:ser>
          <c:idx val="3"/>
          <c:order val="2"/>
          <c:tx>
            <c:v>Auto Price</c:v>
          </c:tx>
          <c:spPr>
            <a:ln w="38100">
              <a:solidFill>
                <a:srgbClr val="008080"/>
              </a:solidFill>
              <a:prstDash val="solid"/>
            </a:ln>
          </c:spPr>
          <c:marker>
            <c:symbol val="none"/>
          </c:marker>
          <c:cat>
            <c:numRef>
              <c:f>Elasticities!$S$143:$S$202</c:f>
              <c:numCache>
                <c:formatCode>0%</c:formatCode>
                <c:ptCount val="60"/>
                <c:pt idx="0">
                  <c:v>-0.3</c:v>
                </c:pt>
                <c:pt idx="1">
                  <c:v>-0.28999999999999998</c:v>
                </c:pt>
                <c:pt idx="2">
                  <c:v>-0.28000000000000003</c:v>
                </c:pt>
                <c:pt idx="3">
                  <c:v>-0.27</c:v>
                </c:pt>
                <c:pt idx="4">
                  <c:v>-0.26</c:v>
                </c:pt>
                <c:pt idx="5">
                  <c:v>-0.25</c:v>
                </c:pt>
                <c:pt idx="6">
                  <c:v>-0.24</c:v>
                </c:pt>
                <c:pt idx="7">
                  <c:v>-0.23</c:v>
                </c:pt>
                <c:pt idx="8">
                  <c:v>-0.22</c:v>
                </c:pt>
                <c:pt idx="9">
                  <c:v>-0.21</c:v>
                </c:pt>
                <c:pt idx="10">
                  <c:v>-0.2</c:v>
                </c:pt>
                <c:pt idx="11">
                  <c:v>-0.19</c:v>
                </c:pt>
                <c:pt idx="12">
                  <c:v>-0.18</c:v>
                </c:pt>
                <c:pt idx="13">
                  <c:v>-0.17</c:v>
                </c:pt>
                <c:pt idx="14">
                  <c:v>-0.16</c:v>
                </c:pt>
                <c:pt idx="15">
                  <c:v>-0.15</c:v>
                </c:pt>
                <c:pt idx="16">
                  <c:v>-0.14000000000000001</c:v>
                </c:pt>
                <c:pt idx="17">
                  <c:v>-0.13</c:v>
                </c:pt>
                <c:pt idx="18">
                  <c:v>-0.12</c:v>
                </c:pt>
                <c:pt idx="19">
                  <c:v>-0.11</c:v>
                </c:pt>
                <c:pt idx="20">
                  <c:v>-0.1</c:v>
                </c:pt>
                <c:pt idx="21">
                  <c:v>-0.09</c:v>
                </c:pt>
                <c:pt idx="22">
                  <c:v>-0.08</c:v>
                </c:pt>
                <c:pt idx="23">
                  <c:v>-7.0000000000000007E-2</c:v>
                </c:pt>
                <c:pt idx="24">
                  <c:v>-0.06</c:v>
                </c:pt>
                <c:pt idx="25">
                  <c:v>-0.05</c:v>
                </c:pt>
                <c:pt idx="26">
                  <c:v>-0.04</c:v>
                </c:pt>
                <c:pt idx="27">
                  <c:v>-0.03</c:v>
                </c:pt>
                <c:pt idx="28">
                  <c:v>-0.02</c:v>
                </c:pt>
                <c:pt idx="29">
                  <c:v>-0.01</c:v>
                </c:pt>
                <c:pt idx="30">
                  <c:v>0.01</c:v>
                </c:pt>
                <c:pt idx="31">
                  <c:v>0.02</c:v>
                </c:pt>
                <c:pt idx="32">
                  <c:v>0.03</c:v>
                </c:pt>
                <c:pt idx="33">
                  <c:v>0.04</c:v>
                </c:pt>
                <c:pt idx="34">
                  <c:v>0.05</c:v>
                </c:pt>
                <c:pt idx="35">
                  <c:v>0.06</c:v>
                </c:pt>
                <c:pt idx="36">
                  <c:v>7.0000000000000007E-2</c:v>
                </c:pt>
                <c:pt idx="37">
                  <c:v>0.08</c:v>
                </c:pt>
                <c:pt idx="38">
                  <c:v>0.09</c:v>
                </c:pt>
                <c:pt idx="39">
                  <c:v>0.1</c:v>
                </c:pt>
                <c:pt idx="40">
                  <c:v>0.11</c:v>
                </c:pt>
                <c:pt idx="41">
                  <c:v>0.12</c:v>
                </c:pt>
                <c:pt idx="42">
                  <c:v>0.13</c:v>
                </c:pt>
                <c:pt idx="43">
                  <c:v>0.14000000000000001</c:v>
                </c:pt>
                <c:pt idx="44">
                  <c:v>0.15</c:v>
                </c:pt>
                <c:pt idx="45">
                  <c:v>0.16</c:v>
                </c:pt>
                <c:pt idx="46">
                  <c:v>0.17</c:v>
                </c:pt>
                <c:pt idx="47">
                  <c:v>0.18</c:v>
                </c:pt>
                <c:pt idx="48">
                  <c:v>0.19</c:v>
                </c:pt>
                <c:pt idx="49">
                  <c:v>0.2</c:v>
                </c:pt>
                <c:pt idx="50">
                  <c:v>0.21</c:v>
                </c:pt>
                <c:pt idx="51">
                  <c:v>0.22</c:v>
                </c:pt>
                <c:pt idx="52">
                  <c:v>0.23</c:v>
                </c:pt>
                <c:pt idx="53">
                  <c:v>0.24</c:v>
                </c:pt>
                <c:pt idx="54">
                  <c:v>0.25</c:v>
                </c:pt>
                <c:pt idx="55">
                  <c:v>0.26</c:v>
                </c:pt>
                <c:pt idx="56">
                  <c:v>0.27000000000000102</c:v>
                </c:pt>
                <c:pt idx="57">
                  <c:v>0.28000000000000103</c:v>
                </c:pt>
                <c:pt idx="58">
                  <c:v>0.29000000000000098</c:v>
                </c:pt>
                <c:pt idx="59">
                  <c:v>0.30000000000000099</c:v>
                </c:pt>
              </c:numCache>
            </c:numRef>
          </c:cat>
          <c:val>
            <c:numRef>
              <c:f>Elasticities!$V$143:$V$202</c:f>
              <c:numCache>
                <c:formatCode>0.0%</c:formatCode>
                <c:ptCount val="60"/>
                <c:pt idx="0">
                  <c:v>-0.17651360361403168</c:v>
                </c:pt>
                <c:pt idx="1">
                  <c:v>-0.17034504011319018</c:v>
                </c:pt>
                <c:pt idx="2">
                  <c:v>-0.1641961104404267</c:v>
                </c:pt>
                <c:pt idx="3">
                  <c:v>-0.15806682181736487</c:v>
                </c:pt>
                <c:pt idx="4">
                  <c:v>-0.15195718042927875</c:v>
                </c:pt>
                <c:pt idx="5">
                  <c:v>-0.14586719143701399</c:v>
                </c:pt>
                <c:pt idx="6">
                  <c:v>-0.1397968589888533</c:v>
                </c:pt>
                <c:pt idx="7">
                  <c:v>-0.13374618623234147</c:v>
                </c:pt>
                <c:pt idx="8">
                  <c:v>-0.12771517532603482</c:v>
                </c:pt>
                <c:pt idx="9">
                  <c:v>-0.12170382745123043</c:v>
                </c:pt>
                <c:pt idx="10">
                  <c:v>-0.11571214282361431</c:v>
                </c:pt>
                <c:pt idx="11">
                  <c:v>-0.10974012070487005</c:v>
                </c:pt>
                <c:pt idx="12">
                  <c:v>-0.10378775941423934</c:v>
                </c:pt>
                <c:pt idx="13">
                  <c:v>-9.7855056340020896E-2</c:v>
                </c:pt>
                <c:pt idx="14">
                  <c:v>-9.1942007951016258E-2</c:v>
                </c:pt>
                <c:pt idx="15">
                  <c:v>-8.6048609807924725E-2</c:v>
                </c:pt>
                <c:pt idx="16">
                  <c:v>-8.0174856574692699E-2</c:v>
                </c:pt>
                <c:pt idx="17">
                  <c:v>-7.4320742029786002E-2</c:v>
                </c:pt>
                <c:pt idx="18">
                  <c:v>-6.8486259077423672E-2</c:v>
                </c:pt>
                <c:pt idx="19">
                  <c:v>-6.2671399758756352E-2</c:v>
                </c:pt>
                <c:pt idx="20">
                  <c:v>-5.6876155262975847E-2</c:v>
                </c:pt>
                <c:pt idx="21">
                  <c:v>-5.1100515938378055E-2</c:v>
                </c:pt>
                <c:pt idx="22">
                  <c:v>-4.5344471303363387E-2</c:v>
                </c:pt>
                <c:pt idx="23">
                  <c:v>-3.9608010057372689E-2</c:v>
                </c:pt>
                <c:pt idx="24">
                  <c:v>-3.3891120091776639E-2</c:v>
                </c:pt>
                <c:pt idx="25">
                  <c:v>-2.8193788500691763E-2</c:v>
                </c:pt>
                <c:pt idx="26">
                  <c:v>-2.2516001591746049E-2</c:v>
                </c:pt>
                <c:pt idx="27">
                  <c:v>-1.6857744896769056E-2</c:v>
                </c:pt>
                <c:pt idx="28">
                  <c:v>-1.1219003182437737E-2</c:v>
                </c:pt>
                <c:pt idx="29">
                  <c:v>-5.5997604608432061E-3</c:v>
                </c:pt>
                <c:pt idx="30">
                  <c:v>5.5802956657058367E-3</c:v>
                </c:pt>
                <c:pt idx="31">
                  <c:v>1.1141144725142826E-2</c:v>
                </c:pt>
                <c:pt idx="32">
                  <c:v>1.6682566080116201E-2</c:v>
                </c:pt>
                <c:pt idx="33">
                  <c:v>2.2204579335118435E-2</c:v>
                </c:pt>
                <c:pt idx="34">
                  <c:v>2.7707204787157158E-2</c:v>
                </c:pt>
                <c:pt idx="35">
                  <c:v>3.3190463415636584E-2</c:v>
                </c:pt>
                <c:pt idx="36">
                  <c:v>3.8654376872313989E-2</c:v>
                </c:pt>
                <c:pt idx="37">
                  <c:v>4.4098967471322803E-2</c:v>
                </c:pt>
                <c:pt idx="38">
                  <c:v>4.9524258179272307E-2</c:v>
                </c:pt>
                <c:pt idx="39">
                  <c:v>5.4930272605400843E-2</c:v>
                </c:pt>
                <c:pt idx="40">
                  <c:v>6.0317034991816287E-2</c:v>
                </c:pt>
                <c:pt idx="41">
                  <c:v>6.5684570203798032E-2</c:v>
                </c:pt>
                <c:pt idx="42">
                  <c:v>7.1032903720168905E-2</c:v>
                </c:pt>
                <c:pt idx="43">
                  <c:v>7.6362061623748589E-2</c:v>
                </c:pt>
                <c:pt idx="44">
                  <c:v>8.1672070591861434E-2</c:v>
                </c:pt>
                <c:pt idx="45">
                  <c:v>8.6962957886935977E-2</c:v>
                </c:pt>
                <c:pt idx="46">
                  <c:v>9.2234751347162414E-2</c:v>
                </c:pt>
                <c:pt idx="47">
                  <c:v>9.7487479377229347E-2</c:v>
                </c:pt>
                <c:pt idx="48">
                  <c:v>0.10272117093913313</c:v>
                </c:pt>
                <c:pt idx="49">
                  <c:v>0.1079358555430574</c:v>
                </c:pt>
                <c:pt idx="50">
                  <c:v>0.11313156323833162</c:v>
                </c:pt>
                <c:pt idx="51">
                  <c:v>0.11830832460446006</c:v>
                </c:pt>
                <c:pt idx="52">
                  <c:v>0.12346617074222244</c:v>
                </c:pt>
                <c:pt idx="53">
                  <c:v>0.12860513326485212</c:v>
                </c:pt>
                <c:pt idx="54">
                  <c:v>0.13372524428929311</c:v>
                </c:pt>
                <c:pt idx="55">
                  <c:v>0.13882653642751941</c:v>
                </c:pt>
                <c:pt idx="56">
                  <c:v>0.14390904277794192</c:v>
                </c:pt>
                <c:pt idx="57">
                  <c:v>0.14897279691688015</c:v>
                </c:pt>
                <c:pt idx="58">
                  <c:v>0.15401783289011362</c:v>
                </c:pt>
                <c:pt idx="59">
                  <c:v>0.15904418520451169</c:v>
                </c:pt>
              </c:numCache>
            </c:numRef>
          </c:val>
        </c:ser>
        <c:ser>
          <c:idx val="4"/>
          <c:order val="3"/>
          <c:tx>
            <c:v>Auto Time</c:v>
          </c:tx>
          <c:spPr>
            <a:ln w="38100">
              <a:solidFill>
                <a:srgbClr val="FF0000"/>
              </a:solidFill>
              <a:prstDash val="solid"/>
            </a:ln>
          </c:spPr>
          <c:marker>
            <c:symbol val="none"/>
          </c:marker>
          <c:cat>
            <c:numRef>
              <c:f>Elasticities!$S$143:$S$202</c:f>
              <c:numCache>
                <c:formatCode>0%</c:formatCode>
                <c:ptCount val="60"/>
                <c:pt idx="0">
                  <c:v>-0.3</c:v>
                </c:pt>
                <c:pt idx="1">
                  <c:v>-0.28999999999999998</c:v>
                </c:pt>
                <c:pt idx="2">
                  <c:v>-0.28000000000000003</c:v>
                </c:pt>
                <c:pt idx="3">
                  <c:v>-0.27</c:v>
                </c:pt>
                <c:pt idx="4">
                  <c:v>-0.26</c:v>
                </c:pt>
                <c:pt idx="5">
                  <c:v>-0.25</c:v>
                </c:pt>
                <c:pt idx="6">
                  <c:v>-0.24</c:v>
                </c:pt>
                <c:pt idx="7">
                  <c:v>-0.23</c:v>
                </c:pt>
                <c:pt idx="8">
                  <c:v>-0.22</c:v>
                </c:pt>
                <c:pt idx="9">
                  <c:v>-0.21</c:v>
                </c:pt>
                <c:pt idx="10">
                  <c:v>-0.2</c:v>
                </c:pt>
                <c:pt idx="11">
                  <c:v>-0.19</c:v>
                </c:pt>
                <c:pt idx="12">
                  <c:v>-0.18</c:v>
                </c:pt>
                <c:pt idx="13">
                  <c:v>-0.17</c:v>
                </c:pt>
                <c:pt idx="14">
                  <c:v>-0.16</c:v>
                </c:pt>
                <c:pt idx="15">
                  <c:v>-0.15</c:v>
                </c:pt>
                <c:pt idx="16">
                  <c:v>-0.14000000000000001</c:v>
                </c:pt>
                <c:pt idx="17">
                  <c:v>-0.13</c:v>
                </c:pt>
                <c:pt idx="18">
                  <c:v>-0.12</c:v>
                </c:pt>
                <c:pt idx="19">
                  <c:v>-0.11</c:v>
                </c:pt>
                <c:pt idx="20">
                  <c:v>-0.1</c:v>
                </c:pt>
                <c:pt idx="21">
                  <c:v>-0.09</c:v>
                </c:pt>
                <c:pt idx="22">
                  <c:v>-0.08</c:v>
                </c:pt>
                <c:pt idx="23">
                  <c:v>-7.0000000000000007E-2</c:v>
                </c:pt>
                <c:pt idx="24">
                  <c:v>-0.06</c:v>
                </c:pt>
                <c:pt idx="25">
                  <c:v>-0.05</c:v>
                </c:pt>
                <c:pt idx="26">
                  <c:v>-0.04</c:v>
                </c:pt>
                <c:pt idx="27">
                  <c:v>-0.03</c:v>
                </c:pt>
                <c:pt idx="28">
                  <c:v>-0.02</c:v>
                </c:pt>
                <c:pt idx="29">
                  <c:v>-0.01</c:v>
                </c:pt>
                <c:pt idx="30">
                  <c:v>0.01</c:v>
                </c:pt>
                <c:pt idx="31">
                  <c:v>0.02</c:v>
                </c:pt>
                <c:pt idx="32">
                  <c:v>0.03</c:v>
                </c:pt>
                <c:pt idx="33">
                  <c:v>0.04</c:v>
                </c:pt>
                <c:pt idx="34">
                  <c:v>0.05</c:v>
                </c:pt>
                <c:pt idx="35">
                  <c:v>0.06</c:v>
                </c:pt>
                <c:pt idx="36">
                  <c:v>7.0000000000000007E-2</c:v>
                </c:pt>
                <c:pt idx="37">
                  <c:v>0.08</c:v>
                </c:pt>
                <c:pt idx="38">
                  <c:v>0.09</c:v>
                </c:pt>
                <c:pt idx="39">
                  <c:v>0.1</c:v>
                </c:pt>
                <c:pt idx="40">
                  <c:v>0.11</c:v>
                </c:pt>
                <c:pt idx="41">
                  <c:v>0.12</c:v>
                </c:pt>
                <c:pt idx="42">
                  <c:v>0.13</c:v>
                </c:pt>
                <c:pt idx="43">
                  <c:v>0.14000000000000001</c:v>
                </c:pt>
                <c:pt idx="44">
                  <c:v>0.15</c:v>
                </c:pt>
                <c:pt idx="45">
                  <c:v>0.16</c:v>
                </c:pt>
                <c:pt idx="46">
                  <c:v>0.17</c:v>
                </c:pt>
                <c:pt idx="47">
                  <c:v>0.18</c:v>
                </c:pt>
                <c:pt idx="48">
                  <c:v>0.19</c:v>
                </c:pt>
                <c:pt idx="49">
                  <c:v>0.2</c:v>
                </c:pt>
                <c:pt idx="50">
                  <c:v>0.21</c:v>
                </c:pt>
                <c:pt idx="51">
                  <c:v>0.22</c:v>
                </c:pt>
                <c:pt idx="52">
                  <c:v>0.23</c:v>
                </c:pt>
                <c:pt idx="53">
                  <c:v>0.24</c:v>
                </c:pt>
                <c:pt idx="54">
                  <c:v>0.25</c:v>
                </c:pt>
                <c:pt idx="55">
                  <c:v>0.26</c:v>
                </c:pt>
                <c:pt idx="56">
                  <c:v>0.27000000000000102</c:v>
                </c:pt>
                <c:pt idx="57">
                  <c:v>0.28000000000000103</c:v>
                </c:pt>
                <c:pt idx="58">
                  <c:v>0.29000000000000098</c:v>
                </c:pt>
                <c:pt idx="59">
                  <c:v>0.30000000000000099</c:v>
                </c:pt>
              </c:numCache>
            </c:numRef>
          </c:cat>
          <c:val>
            <c:numRef>
              <c:f>Elasticities!$W$143:$W$202</c:f>
              <c:numCache>
                <c:formatCode>0.0%</c:formatCode>
                <c:ptCount val="60"/>
                <c:pt idx="0">
                  <c:v>1.9296634555979075E-2</c:v>
                </c:pt>
                <c:pt idx="1">
                  <c:v>1.8574824885422725E-2</c:v>
                </c:pt>
                <c:pt idx="2">
                  <c:v>1.7859754645047632E-2</c:v>
                </c:pt>
                <c:pt idx="3">
                  <c:v>1.7151341978208778E-2</c:v>
                </c:pt>
                <c:pt idx="4">
                  <c:v>1.644949467663781E-2</c:v>
                </c:pt>
                <c:pt idx="5">
                  <c:v>1.5754110148661127E-2</c:v>
                </c:pt>
                <c:pt idx="6">
                  <c:v>1.506507546383884E-2</c:v>
                </c:pt>
                <c:pt idx="7">
                  <c:v>1.4382267475516075E-2</c:v>
                </c:pt>
                <c:pt idx="8">
                  <c:v>1.3705553022496764E-2</c:v>
                </c:pt>
                <c:pt idx="9">
                  <c:v>1.3034789210762288E-2</c:v>
                </c:pt>
                <c:pt idx="10">
                  <c:v>1.23698237758465E-2</c:v>
                </c:pt>
                <c:pt idx="11">
                  <c:v>1.1710495526148224E-2</c:v>
                </c:pt>
                <c:pt idx="12">
                  <c:v>1.1056634867122828E-2</c:v>
                </c:pt>
                <c:pt idx="13">
                  <c:v>1.040806440593478E-2</c:v>
                </c:pt>
                <c:pt idx="14">
                  <c:v>9.7645996357682563E-3</c:v>
                </c:pt>
                <c:pt idx="15">
                  <c:v>9.1260496986143025E-3</c:v>
                </c:pt>
                <c:pt idx="16">
                  <c:v>8.4922182249342892E-3</c:v>
                </c:pt>
                <c:pt idx="17">
                  <c:v>7.8629042481936917E-3</c:v>
                </c:pt>
                <c:pt idx="18">
                  <c:v>7.2379031918179404E-3</c:v>
                </c:pt>
                <c:pt idx="19">
                  <c:v>6.617007925683982E-3</c:v>
                </c:pt>
                <c:pt idx="20">
                  <c:v>6.0000098888144393E-3</c:v>
                </c:pt>
                <c:pt idx="21">
                  <c:v>5.3867002744614201E-3</c:v>
                </c:pt>
                <c:pt idx="22">
                  <c:v>4.7768712733133878E-3</c:v>
                </c:pt>
                <c:pt idx="23">
                  <c:v>4.1703173700897711E-3</c:v>
                </c:pt>
                <c:pt idx="24">
                  <c:v>3.5668366882690705E-3</c:v>
                </c:pt>
                <c:pt idx="25">
                  <c:v>2.9662323772650101E-3</c:v>
                </c:pt>
                <c:pt idx="26">
                  <c:v>2.3683140358350396E-3</c:v>
                </c:pt>
                <c:pt idx="27">
                  <c:v>1.7728991650556303E-3</c:v>
                </c:pt>
                <c:pt idx="28">
                  <c:v>1.179814643682997E-3</c:v>
                </c:pt>
                <c:pt idx="29">
                  <c:v>5.8889821828067568E-4</c:v>
                </c:pt>
                <c:pt idx="30">
                  <c:v>-5.870160405556657E-4</c:v>
                </c:pt>
                <c:pt idx="31">
                  <c:v>-1.1722705893831842E-3</c:v>
                </c:pt>
                <c:pt idx="32">
                  <c:v>-1.7558675254913947E-3</c:v>
                </c:pt>
                <c:pt idx="33">
                  <c:v>-2.337892487507931E-3</c:v>
                </c:pt>
                <c:pt idx="34">
                  <c:v>-2.9184114807185857E-3</c:v>
                </c:pt>
                <c:pt idx="35">
                  <c:v>-3.4974695351170926E-3</c:v>
                </c:pt>
                <c:pt idx="36">
                  <c:v>-4.0750894253746006E-3</c:v>
                </c:pt>
                <c:pt idx="37">
                  <c:v>-4.6512704639244395E-3</c:v>
                </c:pt>
                <c:pt idx="38">
                  <c:v>-5.2259873786042466E-3</c:v>
                </c:pt>
                <c:pt idx="39">
                  <c:v>-5.7991892864790451E-3</c:v>
                </c:pt>
                <c:pt idx="40">
                  <c:v>-6.3707987756241868E-3</c:v>
                </c:pt>
                <c:pt idx="41">
                  <c:v>-6.9407111067559812E-3</c:v>
                </c:pt>
                <c:pt idx="42">
                  <c:v>-7.5087935465115718E-3</c:v>
                </c:pt>
                <c:pt idx="43">
                  <c:v>-8.0748848442536714E-3</c:v>
                </c:pt>
                <c:pt idx="44">
                  <c:v>-8.6387948640274104E-3</c:v>
                </c:pt>
                <c:pt idx="45">
                  <c:v>-9.2003043830650721E-3</c:v>
                </c:pt>
                <c:pt idx="46">
                  <c:v>-9.759165067957154E-3</c:v>
                </c:pt>
                <c:pt idx="47">
                  <c:v>-1.0315099639086278E-2</c:v>
                </c:pt>
                <c:pt idx="48">
                  <c:v>-1.0867802233344492E-2</c:v>
                </c:pt>
                <c:pt idx="49">
                  <c:v>-1.1416938974506574E-2</c:v>
                </c:pt>
                <c:pt idx="50">
                  <c:v>-1.1962148759695146E-2</c:v>
                </c:pt>
                <c:pt idx="51">
                  <c:v>-1.2503044269420838E-2</c:v>
                </c:pt>
                <c:pt idx="52">
                  <c:v>-1.3039213207458489E-2</c:v>
                </c:pt>
                <c:pt idx="53">
                  <c:v>-1.3570219775490888E-2</c:v>
                </c:pt>
                <c:pt idx="54">
                  <c:v>-1.4095606385898352E-2</c:v>
                </c:pt>
                <c:pt idx="55">
                  <c:v>-1.4614895614256551E-2</c:v>
                </c:pt>
                <c:pt idx="56">
                  <c:v>-1.5127592391250166E-2</c:v>
                </c:pt>
                <c:pt idx="57">
                  <c:v>-1.5633186431365687E-2</c:v>
                </c:pt>
                <c:pt idx="58">
                  <c:v>-1.6131154893442856E-2</c:v>
                </c:pt>
                <c:pt idx="59">
                  <c:v>-1.6620965265368826E-2</c:v>
                </c:pt>
              </c:numCache>
            </c:numRef>
          </c:val>
        </c:ser>
        <c:ser>
          <c:idx val="0"/>
          <c:order val="4"/>
          <c:tx>
            <c:v>All Together</c:v>
          </c:tx>
          <c:spPr>
            <a:ln w="38100">
              <a:solidFill>
                <a:srgbClr val="0066CC"/>
              </a:solidFill>
              <a:prstDash val="solid"/>
            </a:ln>
          </c:spPr>
          <c:marker>
            <c:symbol val="none"/>
          </c:marker>
          <c:val>
            <c:numRef>
              <c:f>Elasticities!$X$143:$X$202</c:f>
              <c:numCache>
                <c:formatCode>0.0%</c:formatCode>
                <c:ptCount val="60"/>
                <c:pt idx="0">
                  <c:v>-0.27152982320711427</c:v>
                </c:pt>
                <c:pt idx="1">
                  <c:v>-0.2624786064946687</c:v>
                </c:pt>
                <c:pt idx="2">
                  <c:v>-0.25343116980744407</c:v>
                </c:pt>
                <c:pt idx="3">
                  <c:v>-0.24438697771639095</c:v>
                </c:pt>
                <c:pt idx="4">
                  <c:v>-0.23534551791439273</c:v>
                </c:pt>
                <c:pt idx="5">
                  <c:v>-0.2263063008430638</c:v>
                </c:pt>
                <c:pt idx="6">
                  <c:v>-0.21726885924351313</c:v>
                </c:pt>
                <c:pt idx="7">
                  <c:v>-0.20823274762948762</c:v>
                </c:pt>
                <c:pt idx="8">
                  <c:v>-0.19919754168203474</c:v>
                </c:pt>
                <c:pt idx="9">
                  <c:v>-0.1901628375654395</c:v>
                </c:pt>
                <c:pt idx="10">
                  <c:v>-0.18112825116493347</c:v>
                </c:pt>
                <c:pt idx="11">
                  <c:v>-0.17209341724735527</c:v>
                </c:pt>
                <c:pt idx="12">
                  <c:v>-0.16305798854669695</c:v>
                </c:pt>
                <c:pt idx="13">
                  <c:v>-0.15402163477716801</c:v>
                </c:pt>
                <c:pt idx="14">
                  <c:v>-0.14498404157716882</c:v>
                </c:pt>
                <c:pt idx="15">
                  <c:v>-0.13594490938830517</c:v>
                </c:pt>
                <c:pt idx="16">
                  <c:v>-0.12690395227429685</c:v>
                </c:pt>
                <c:pt idx="17">
                  <c:v>-0.11786089668536637</c:v>
                </c:pt>
                <c:pt idx="18">
                  <c:v>-0.10881548017441189</c:v>
                </c:pt>
                <c:pt idx="19">
                  <c:v>-9.9767450071948871E-2</c:v>
                </c:pt>
                <c:pt idx="20">
                  <c:v>-9.0716562127483691E-2</c:v>
                </c:pt>
                <c:pt idx="21">
                  <c:v>-8.1662579125632018E-2</c:v>
                </c:pt>
                <c:pt idx="22">
                  <c:v>-7.2605269485844004E-2</c:v>
                </c:pt>
                <c:pt idx="23">
                  <c:v>-6.3544405855244457E-2</c:v>
                </c:pt>
                <c:pt idx="24">
                  <c:v>-5.4479763704514905E-2</c:v>
                </c:pt>
                <c:pt idx="25">
                  <c:v>-4.5411119937237343E-2</c:v>
                </c:pt>
                <c:pt idx="26">
                  <c:v>-3.6338251523518217E-2</c:v>
                </c:pt>
                <c:pt idx="27">
                  <c:v>-2.7260934168998441E-2</c:v>
                </c:pt>
                <c:pt idx="28">
                  <c:v>-1.8178941030593587E-2</c:v>
                </c:pt>
                <c:pt idx="29">
                  <c:v>-9.0920414904971381E-3</c:v>
                </c:pt>
                <c:pt idx="30">
                  <c:v>9.0974249953403863E-3</c:v>
                </c:pt>
                <c:pt idx="31">
                  <c:v>1.820048203776814E-2</c:v>
                </c:pt>
                <c:pt idx="32">
                  <c:v>2.7309427535518127E-2</c:v>
                </c:pt>
                <c:pt idx="33">
                  <c:v>3.6424526526307011E-2</c:v>
                </c:pt>
                <c:pt idx="34">
                  <c:v>4.554605331587358E-2</c:v>
                </c:pt>
                <c:pt idx="35">
                  <c:v>5.4674291981838374E-2</c:v>
                </c:pt>
                <c:pt idx="36">
                  <c:v>6.3809536733964167E-2</c:v>
                </c:pt>
                <c:pt idx="37">
                  <c:v>7.2952092122704926E-2</c:v>
                </c:pt>
                <c:pt idx="38">
                  <c:v>8.2102273088967115E-2</c:v>
                </c:pt>
                <c:pt idx="39">
                  <c:v>9.1260404849111909E-2</c:v>
                </c:pt>
                <c:pt idx="40">
                  <c:v>0.10042682261046454</c:v>
                </c:pt>
                <c:pt idx="41">
                  <c:v>0.10960187111403941</c:v>
                </c:pt>
                <c:pt idx="42">
                  <c:v>0.11878590400259292</c:v>
                </c:pt>
                <c:pt idx="43">
                  <c:v>0.12797928301384487</c:v>
                </c:pt>
                <c:pt idx="44">
                  <c:v>0.13718237700030622</c:v>
                </c:pt>
                <c:pt idx="45">
                  <c:v>0.14639556077909455</c:v>
                </c:pt>
                <c:pt idx="46">
                  <c:v>0.1556192138169088</c:v>
                </c:pt>
                <c:pt idx="47">
                  <c:v>0.16485371875739063</c:v>
                </c:pt>
                <c:pt idx="48">
                  <c:v>0.17409945980003005</c:v>
                </c:pt>
                <c:pt idx="49">
                  <c:v>0.18335682094192562</c:v>
                </c:pt>
                <c:pt idx="50">
                  <c:v>0.19262618409567511</c:v>
                </c:pt>
                <c:pt idx="51">
                  <c:v>0.20190792709876204</c:v>
                </c:pt>
                <c:pt idx="52">
                  <c:v>0.21120242163180869</c:v>
                </c:pt>
                <c:pt idx="53">
                  <c:v>0.22051003106495615</c:v>
                </c:pt>
                <c:pt idx="54">
                  <c:v>0.22983110825351805</c:v>
                </c:pt>
                <c:pt idx="55">
                  <c:v>0.23916599330564003</c:v>
                </c:pt>
                <c:pt idx="56">
                  <c:v>0.2485150113463539</c:v>
                </c:pt>
                <c:pt idx="57">
                  <c:v>0.25787847030357147</c:v>
                </c:pt>
                <c:pt idx="58">
                  <c:v>0.26725665874272364</c:v>
                </c:pt>
                <c:pt idx="59">
                  <c:v>0.27664984377751067</c:v>
                </c:pt>
              </c:numCache>
            </c:numRef>
          </c:val>
        </c:ser>
        <c:marker val="1"/>
        <c:axId val="138643712"/>
        <c:axId val="138654080"/>
      </c:lineChart>
      <c:catAx>
        <c:axId val="138643712"/>
        <c:scaling>
          <c:orientation val="minMax"/>
        </c:scaling>
        <c:axPos val="b"/>
        <c:title>
          <c:tx>
            <c:rich>
              <a:bodyPr/>
              <a:lstStyle/>
              <a:p>
                <a:pPr>
                  <a:defRPr sz="925" b="1" i="0" u="none" strike="noStrike" baseline="0">
                    <a:solidFill>
                      <a:srgbClr val="000000"/>
                    </a:solidFill>
                    <a:latin typeface="Arial"/>
                    <a:ea typeface="Arial"/>
                    <a:cs typeface="Arial"/>
                  </a:defRPr>
                </a:pPr>
                <a:r>
                  <a:rPr lang="en-US"/>
                  <a:t>Change in Elasticity</a:t>
                </a:r>
              </a:p>
            </c:rich>
          </c:tx>
          <c:layout>
            <c:manualLayout>
              <c:xMode val="edge"/>
              <c:yMode val="edge"/>
              <c:x val="0.43972536354769537"/>
              <c:y val="0.94238751406074239"/>
            </c:manualLayout>
          </c:layout>
          <c:spPr>
            <a:noFill/>
            <a:ln w="25400">
              <a:noFill/>
            </a:ln>
          </c:spPr>
        </c:title>
        <c:numFmt formatCode="0%"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38654080"/>
        <c:crossesAt val="-0.30000000000000032"/>
        <c:auto val="1"/>
        <c:lblAlgn val="ctr"/>
        <c:lblOffset val="100"/>
        <c:tickLblSkip val="5"/>
        <c:tickMarkSkip val="1"/>
      </c:catAx>
      <c:valAx>
        <c:axId val="138654080"/>
        <c:scaling>
          <c:orientation val="minMax"/>
          <c:max val="0.30000000000000032"/>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Change in Cordon Entries</a:t>
                </a:r>
              </a:p>
            </c:rich>
          </c:tx>
          <c:layout>
            <c:manualLayout>
              <c:xMode val="edge"/>
              <c:yMode val="edge"/>
              <c:x val="7.4782627480215217E-3"/>
              <c:y val="0.38410104986876642"/>
            </c:manualLayout>
          </c:layout>
          <c:spPr>
            <a:noFill/>
            <a:ln w="25400">
              <a:noFill/>
            </a:ln>
          </c:spPr>
        </c:title>
        <c:numFmt formatCode="0%" sourceLinked="0"/>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38643712"/>
        <c:crosses val="autoZero"/>
        <c:crossBetween val="between"/>
      </c:valAx>
      <c:spPr>
        <a:solidFill>
          <a:srgbClr val="C0C0C0"/>
        </a:solidFill>
        <a:ln w="12700">
          <a:solidFill>
            <a:srgbClr val="808080"/>
          </a:solidFill>
          <a:prstDash val="solid"/>
        </a:ln>
      </c:spPr>
    </c:plotArea>
    <c:legend>
      <c:legendPos val="r"/>
      <c:layout>
        <c:manualLayout>
          <c:xMode val="edge"/>
          <c:yMode val="edge"/>
          <c:x val="0.1454048079381024"/>
          <c:y val="0.10267857142857709"/>
          <c:w val="0.41015146769207056"/>
          <c:h val="0.20758952005999234"/>
        </c:manualLayout>
      </c:layout>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Price-Elasticity: Illustrative Effect of Travel Price on Demand</a:t>
            </a:r>
          </a:p>
        </c:rich>
      </c:tx>
      <c:layout>
        <c:manualLayout>
          <c:xMode val="edge"/>
          <c:yMode val="edge"/>
          <c:x val="0.18562536825753925"/>
          <c:y val="5.4699204783024952E-2"/>
        </c:manualLayout>
      </c:layout>
      <c:spPr>
        <a:noFill/>
        <a:ln w="25400">
          <a:noFill/>
        </a:ln>
      </c:spPr>
    </c:title>
    <c:plotArea>
      <c:layout>
        <c:manualLayout>
          <c:layoutTarget val="inner"/>
          <c:xMode val="edge"/>
          <c:yMode val="edge"/>
          <c:x val="0.16632031103847231"/>
          <c:y val="0.15663860241228139"/>
          <c:w val="0.69646630247360253"/>
          <c:h val="0.65887666094053265"/>
        </c:manualLayout>
      </c:layout>
      <c:lineChart>
        <c:grouping val="standard"/>
        <c:ser>
          <c:idx val="0"/>
          <c:order val="0"/>
          <c:tx>
            <c:v>e = - 0.4</c:v>
          </c:tx>
          <c:spPr>
            <a:ln w="38100">
              <a:solidFill>
                <a:srgbClr val="000080"/>
              </a:solidFill>
              <a:prstDash val="solid"/>
            </a:ln>
          </c:spPr>
          <c:marker>
            <c:symbol val="none"/>
          </c:marker>
          <c:cat>
            <c:numRef>
              <c:f>Elasticities!$C$224:$C$294</c:f>
              <c:numCache>
                <c:formatCode>0%</c:formatCode>
                <c:ptCount val="71"/>
                <c:pt idx="0">
                  <c:v>-0.4</c:v>
                </c:pt>
                <c:pt idx="1">
                  <c:v>-0.38</c:v>
                </c:pt>
                <c:pt idx="2">
                  <c:v>-0.36</c:v>
                </c:pt>
                <c:pt idx="3">
                  <c:v>-0.33999999999999997</c:v>
                </c:pt>
                <c:pt idx="4">
                  <c:v>-0.31999999999999995</c:v>
                </c:pt>
                <c:pt idx="5">
                  <c:v>-0.30000000000000004</c:v>
                </c:pt>
                <c:pt idx="6">
                  <c:v>-0.28000000000000003</c:v>
                </c:pt>
                <c:pt idx="7">
                  <c:v>-0.26</c:v>
                </c:pt>
                <c:pt idx="8">
                  <c:v>-0.24</c:v>
                </c:pt>
                <c:pt idx="9">
                  <c:v>-0.21999999999999997</c:v>
                </c:pt>
                <c:pt idx="10">
                  <c:v>-0.19999999999999996</c:v>
                </c:pt>
                <c:pt idx="11">
                  <c:v>-0.18000000000000005</c:v>
                </c:pt>
                <c:pt idx="12">
                  <c:v>-0.16000000000000003</c:v>
                </c:pt>
                <c:pt idx="13">
                  <c:v>-0.14000000000000001</c:v>
                </c:pt>
                <c:pt idx="14">
                  <c:v>-0.12</c:v>
                </c:pt>
                <c:pt idx="15">
                  <c:v>-9.9999999999999978E-2</c:v>
                </c:pt>
                <c:pt idx="16">
                  <c:v>-7.999999999999996E-2</c:v>
                </c:pt>
                <c:pt idx="17">
                  <c:v>-6.0000000000000053E-2</c:v>
                </c:pt>
                <c:pt idx="18">
                  <c:v>-4.0000000000000036E-2</c:v>
                </c:pt>
                <c:pt idx="19">
                  <c:v>-2.0000000000000018E-2</c:v>
                </c:pt>
                <c:pt idx="20">
                  <c:v>0</c:v>
                </c:pt>
                <c:pt idx="21">
                  <c:v>2.0000000000000018E-2</c:v>
                </c:pt>
                <c:pt idx="22">
                  <c:v>4.0000000000000036E-2</c:v>
                </c:pt>
                <c:pt idx="23">
                  <c:v>6.0000000000000053E-2</c:v>
                </c:pt>
                <c:pt idx="24">
                  <c:v>8.0000000000000071E-2</c:v>
                </c:pt>
                <c:pt idx="25">
                  <c:v>0.10000000000000009</c:v>
                </c:pt>
                <c:pt idx="26">
                  <c:v>0.12000000000000011</c:v>
                </c:pt>
                <c:pt idx="27">
                  <c:v>0.1399999999999999</c:v>
                </c:pt>
                <c:pt idx="28">
                  <c:v>0.15999999999999992</c:v>
                </c:pt>
                <c:pt idx="29">
                  <c:v>0.17999999999999994</c:v>
                </c:pt>
                <c:pt idx="30">
                  <c:v>0.19999999999999996</c:v>
                </c:pt>
                <c:pt idx="31">
                  <c:v>0.21999999999999997</c:v>
                </c:pt>
                <c:pt idx="32">
                  <c:v>0.24</c:v>
                </c:pt>
                <c:pt idx="33">
                  <c:v>0.26</c:v>
                </c:pt>
                <c:pt idx="34">
                  <c:v>0.28000000000000003</c:v>
                </c:pt>
                <c:pt idx="35">
                  <c:v>0.30000000000000004</c:v>
                </c:pt>
                <c:pt idx="36">
                  <c:v>0.32000000000000006</c:v>
                </c:pt>
                <c:pt idx="37">
                  <c:v>0.34000000000000008</c:v>
                </c:pt>
                <c:pt idx="38">
                  <c:v>0.3600000000000001</c:v>
                </c:pt>
                <c:pt idx="39">
                  <c:v>0.37999999999999989</c:v>
                </c:pt>
                <c:pt idx="40">
                  <c:v>0.39999999999999991</c:v>
                </c:pt>
                <c:pt idx="41">
                  <c:v>0.41999999999999993</c:v>
                </c:pt>
                <c:pt idx="42">
                  <c:v>0.43999999999999995</c:v>
                </c:pt>
                <c:pt idx="43">
                  <c:v>0.45999999999999996</c:v>
                </c:pt>
                <c:pt idx="44">
                  <c:v>0.48</c:v>
                </c:pt>
                <c:pt idx="45">
                  <c:v>0.5</c:v>
                </c:pt>
                <c:pt idx="46">
                  <c:v>0.52</c:v>
                </c:pt>
                <c:pt idx="47">
                  <c:v>0.54</c:v>
                </c:pt>
                <c:pt idx="48">
                  <c:v>0.56000000000000005</c:v>
                </c:pt>
                <c:pt idx="49">
                  <c:v>0.58000000000000007</c:v>
                </c:pt>
                <c:pt idx="50">
                  <c:v>0.60000000000000009</c:v>
                </c:pt>
                <c:pt idx="51">
                  <c:v>0.62000000000000011</c:v>
                </c:pt>
                <c:pt idx="52">
                  <c:v>0.6399999999999999</c:v>
                </c:pt>
                <c:pt idx="53">
                  <c:v>0.65999999999999992</c:v>
                </c:pt>
                <c:pt idx="54">
                  <c:v>0.67999999999999994</c:v>
                </c:pt>
                <c:pt idx="55">
                  <c:v>0.7</c:v>
                </c:pt>
                <c:pt idx="56">
                  <c:v>0.72</c:v>
                </c:pt>
                <c:pt idx="57">
                  <c:v>0.74</c:v>
                </c:pt>
                <c:pt idx="58">
                  <c:v>0.76</c:v>
                </c:pt>
                <c:pt idx="59">
                  <c:v>0.78</c:v>
                </c:pt>
                <c:pt idx="60">
                  <c:v>0.8</c:v>
                </c:pt>
                <c:pt idx="61">
                  <c:v>0.82000000000000006</c:v>
                </c:pt>
                <c:pt idx="62">
                  <c:v>0.84000000000000008</c:v>
                </c:pt>
                <c:pt idx="63">
                  <c:v>0.8600000000000001</c:v>
                </c:pt>
                <c:pt idx="64">
                  <c:v>0.87999999999999989</c:v>
                </c:pt>
                <c:pt idx="65">
                  <c:v>0.89999999999999991</c:v>
                </c:pt>
                <c:pt idx="66">
                  <c:v>0.91999999999999993</c:v>
                </c:pt>
                <c:pt idx="67">
                  <c:v>0.94</c:v>
                </c:pt>
                <c:pt idx="68">
                  <c:v>0.96</c:v>
                </c:pt>
                <c:pt idx="69">
                  <c:v>0.98</c:v>
                </c:pt>
                <c:pt idx="70">
                  <c:v>1</c:v>
                </c:pt>
              </c:numCache>
            </c:numRef>
          </c:cat>
          <c:val>
            <c:numRef>
              <c:f>Elasticities!$E$224:$E$294</c:f>
              <c:numCache>
                <c:formatCode>0%</c:formatCode>
                <c:ptCount val="71"/>
                <c:pt idx="0">
                  <c:v>0.22670320469638883</c:v>
                </c:pt>
                <c:pt idx="1">
                  <c:v>0.21071890600979359</c:v>
                </c:pt>
                <c:pt idx="2">
                  <c:v>0.1954406247375462</c:v>
                </c:pt>
                <c:pt idx="3">
                  <c:v>0.18081653452824287</c:v>
                </c:pt>
                <c:pt idx="4">
                  <c:v>0.16680003887003436</c:v>
                </c:pt>
                <c:pt idx="5">
                  <c:v>0.15334910778185318</c:v>
                </c:pt>
                <c:pt idx="6">
                  <c:v>0.14042571486438615</c:v>
                </c:pt>
                <c:pt idx="7">
                  <c:v>0.12799535720408217</c:v>
                </c:pt>
                <c:pt idx="8">
                  <c:v>0.11602664406094187</c:v>
                </c:pt>
                <c:pt idx="9">
                  <c:v>0.1044909429619223</c:v>
                </c:pt>
                <c:pt idx="10">
                  <c:v>9.3362073943278112E-2</c:v>
                </c:pt>
                <c:pt idx="11">
                  <c:v>8.2616044368670538E-2</c:v>
                </c:pt>
                <c:pt idx="12">
                  <c:v>7.2230818094147775E-2</c:v>
                </c:pt>
                <c:pt idx="13">
                  <c:v>6.2186113830852818E-2</c:v>
                </c:pt>
                <c:pt idx="14">
                  <c:v>5.2463228428471842E-2</c:v>
                </c:pt>
                <c:pt idx="15">
                  <c:v>4.3044881510632793E-2</c:v>
                </c:pt>
                <c:pt idx="16">
                  <c:v>3.391507847147901E-2</c:v>
                </c:pt>
                <c:pt idx="17">
                  <c:v>2.5058989316653957E-2</c:v>
                </c:pt>
                <c:pt idx="18">
                  <c:v>1.6462841222445457E-2</c:v>
                </c:pt>
                <c:pt idx="19">
                  <c:v>8.1138230099973008E-3</c:v>
                </c:pt>
                <c:pt idx="20">
                  <c:v>0</c:v>
                </c:pt>
                <c:pt idx="21">
                  <c:v>-7.8897620626887655E-3</c:v>
                </c:pt>
                <c:pt idx="22">
                  <c:v>-1.556586513744429E-2</c:v>
                </c:pt>
                <c:pt idx="23">
                  <c:v>-2.3038040034526475E-2</c:v>
                </c:pt>
                <c:pt idx="24">
                  <c:v>-3.0315401412186582E-2</c:v>
                </c:pt>
                <c:pt idx="25">
                  <c:v>-3.7406497343832168E-2</c:v>
                </c:pt>
                <c:pt idx="26">
                  <c:v>-4.4319354079236928E-2</c:v>
                </c:pt>
                <c:pt idx="27">
                  <c:v>-5.1061516542330487E-2</c:v>
                </c:pt>
                <c:pt idx="28">
                  <c:v>-5.7640085038520805E-2</c:v>
                </c:pt>
                <c:pt idx="29">
                  <c:v>-6.4061748584860689E-2</c:v>
                </c:pt>
                <c:pt idx="30">
                  <c:v>-7.0332815225143785E-2</c:v>
                </c:pt>
                <c:pt idx="31">
                  <c:v>-7.6459239647859389E-2</c:v>
                </c:pt>
                <c:pt idx="32">
                  <c:v>-8.2446648386805266E-2</c:v>
                </c:pt>
                <c:pt idx="33">
                  <c:v>-8.8300362851125636E-2</c:v>
                </c:pt>
                <c:pt idx="34">
                  <c:v>-9.4025420402880533E-2</c:v>
                </c:pt>
                <c:pt idx="35">
                  <c:v>-9.9626593675292585E-2</c:v>
                </c:pt>
                <c:pt idx="36">
                  <c:v>-0.10510840830307244</c:v>
                </c:pt>
                <c:pt idx="37">
                  <c:v>-0.11047515921719553</c:v>
                </c:pt>
                <c:pt idx="38">
                  <c:v>-0.11573092563985632</c:v>
                </c:pt>
                <c:pt idx="39">
                  <c:v>-0.12087958490069239</c:v>
                </c:pt>
                <c:pt idx="40">
                  <c:v>-0.12592482518252923</c:v>
                </c:pt>
                <c:pt idx="41">
                  <c:v>-0.13087015729354834</c:v>
                </c:pt>
                <c:pt idx="42">
                  <c:v>-0.1357189255527933</c:v>
                </c:pt>
                <c:pt idx="43">
                  <c:v>-0.14047431786707198</c:v>
                </c:pt>
                <c:pt idx="44">
                  <c:v>-0.14513937506947938</c:v>
                </c:pt>
                <c:pt idx="45">
                  <c:v>-0.14971699958280615</c:v>
                </c:pt>
                <c:pt idx="46">
                  <c:v>-0.15420996346491356</c:v>
                </c:pt>
                <c:pt idx="47">
                  <c:v>-0.15862091588764871</c:v>
                </c:pt>
                <c:pt idx="48">
                  <c:v>-0.16295239009596163</c:v>
                </c:pt>
                <c:pt idx="49">
                  <c:v>-0.16720680988949599</c:v>
                </c:pt>
                <c:pt idx="50">
                  <c:v>-0.1713864956650033</c:v>
                </c:pt>
                <c:pt idx="51">
                  <c:v>-0.17549367005441174</c:v>
                </c:pt>
                <c:pt idx="52">
                  <c:v>-0.17953046319022481</c:v>
                </c:pt>
                <c:pt idx="53">
                  <c:v>-0.18349891762709347</c:v>
                </c:pt>
                <c:pt idx="54">
                  <c:v>-0.18740099294585155</c:v>
                </c:pt>
                <c:pt idx="55">
                  <c:v>-0.19123857006401124</c:v>
                </c:pt>
                <c:pt idx="56">
                  <c:v>-0.19501345527463843</c:v>
                </c:pt>
                <c:pt idx="57">
                  <c:v>-0.19872738403366197</c:v>
                </c:pt>
                <c:pt idx="58">
                  <c:v>-0.20238202451397391</c:v>
                </c:pt>
                <c:pt idx="59">
                  <c:v>-0.20597898094315015</c:v>
                </c:pt>
                <c:pt idx="60">
                  <c:v>-0.20951979674022936</c:v>
                </c:pt>
                <c:pt idx="61">
                  <c:v>-0.21300595746572981</c:v>
                </c:pt>
                <c:pt idx="62">
                  <c:v>-0.21643889359794055</c:v>
                </c:pt>
                <c:pt idx="63">
                  <c:v>-0.21981998314748019</c:v>
                </c:pt>
                <c:pt idx="64">
                  <c:v>-0.22315055412117124</c:v>
                </c:pt>
                <c:pt idx="65">
                  <c:v>-0.22643188684541404</c:v>
                </c:pt>
                <c:pt idx="66">
                  <c:v>-0.22966521615845548</c:v>
                </c:pt>
                <c:pt idx="67">
                  <c:v>-0.23285173348023247</c:v>
                </c:pt>
                <c:pt idx="68">
                  <c:v>-0.23599258876780804</c:v>
                </c:pt>
                <c:pt idx="69">
                  <c:v>-0.23908889236381792</c:v>
                </c:pt>
                <c:pt idx="70">
                  <c:v>-0.24214171674480089</c:v>
                </c:pt>
              </c:numCache>
            </c:numRef>
          </c:val>
        </c:ser>
        <c:ser>
          <c:idx val="1"/>
          <c:order val="1"/>
          <c:tx>
            <c:v>e = - 0.7</c:v>
          </c:tx>
          <c:spPr>
            <a:ln w="38100">
              <a:solidFill>
                <a:srgbClr val="FF00FF"/>
              </a:solidFill>
              <a:prstDash val="solid"/>
            </a:ln>
          </c:spPr>
          <c:marker>
            <c:symbol val="none"/>
          </c:marker>
          <c:val>
            <c:numRef>
              <c:f>Elasticities!$D$224:$D$294</c:f>
              <c:numCache>
                <c:formatCode>0%</c:formatCode>
                <c:ptCount val="71"/>
                <c:pt idx="0">
                  <c:v>0.42986200074015812</c:v>
                </c:pt>
                <c:pt idx="1">
                  <c:v>0.39741634062581865</c:v>
                </c:pt>
                <c:pt idx="2">
                  <c:v>0.36670259242909764</c:v>
                </c:pt>
                <c:pt idx="3">
                  <c:v>0.33757839448999349</c:v>
                </c:pt>
                <c:pt idx="4">
                  <c:v>0.30991694778829082</c:v>
                </c:pt>
                <c:pt idx="5">
                  <c:v>0.28360491684377109</c:v>
                </c:pt>
                <c:pt idx="6">
                  <c:v>0.25854066441188706</c:v>
                </c:pt>
                <c:pt idx="7">
                  <c:v>0.23463275927531857</c:v>
                </c:pt>
                <c:pt idx="8">
                  <c:v>0.21179870878232188</c:v>
                </c:pt>
                <c:pt idx="9">
                  <c:v>0.18996387736702403</c:v>
                </c:pt>
                <c:pt idx="10">
                  <c:v>0.16906055977827661</c:v>
                </c:pt>
                <c:pt idx="11">
                  <c:v>0.14902718363939571</c:v>
                </c:pt>
                <c:pt idx="12">
                  <c:v>0.12980762063100393</c:v>
                </c:pt>
                <c:pt idx="13">
                  <c:v>0.11135058931079755</c:v>
                </c:pt>
                <c:pt idx="14">
                  <c:v>9.3609135567178203E-2</c:v>
                </c:pt>
                <c:pt idx="15">
                  <c:v>7.6540179108070427E-2</c:v>
                </c:pt>
                <c:pt idx="16">
                  <c:v>6.0104116334333879E-2</c:v>
                </c:pt>
                <c:pt idx="17">
                  <c:v>4.4264471533470573E-2</c:v>
                </c:pt>
                <c:pt idx="18">
                  <c:v>2.8987589627160748E-2</c:v>
                </c:pt>
                <c:pt idx="19">
                  <c:v>1.4242364772837357E-2</c:v>
                </c:pt>
                <c:pt idx="20">
                  <c:v>0</c:v>
                </c:pt>
                <c:pt idx="21">
                  <c:v>-1.376620620819724E-2</c:v>
                </c:pt>
                <c:pt idx="22">
                  <c:v>-2.7081049870191776E-2</c:v>
                </c:pt>
                <c:pt idx="23">
                  <c:v>-3.996759097282454E-2</c:v>
                </c:pt>
                <c:pt idx="24">
                  <c:v>-5.2447304999067135E-2</c:v>
                </c:pt>
                <c:pt idx="25">
                  <c:v>-6.4540218708095343E-2</c:v>
                </c:pt>
                <c:pt idx="26">
                  <c:v>-7.6265032056985871E-2</c:v>
                </c:pt>
                <c:pt idx="27">
                  <c:v>-8.7639227897406746E-2</c:v>
                </c:pt>
                <c:pt idx="28">
                  <c:v>-9.8679170863250287E-2</c:v>
                </c:pt>
                <c:pt idx="29">
                  <c:v>-0.10940019667987422</c:v>
                </c:pt>
                <c:pt idx="30">
                  <c:v>-0.11981669296728481</c:v>
                </c:pt>
                <c:pt idx="31">
                  <c:v>-0.12994217247388684</c:v>
                </c:pt>
                <c:pt idx="32">
                  <c:v>-0.13978933956081341</c:v>
                </c:pt>
                <c:pt idx="33">
                  <c:v>-0.14937015065638293</c:v>
                </c:pt>
                <c:pt idx="34">
                  <c:v>-0.15869586931345125</c:v>
                </c:pt>
                <c:pt idx="35">
                  <c:v>-0.16777711642728643</c:v>
                </c:pt>
                <c:pt idx="36">
                  <c:v>-0.17662391610639094</c:v>
                </c:pt>
                <c:pt idx="37">
                  <c:v>-0.18524573763197227</c:v>
                </c:pt>
                <c:pt idx="38">
                  <c:v>-0.19365153389231071</c:v>
                </c:pt>
                <c:pt idx="39">
                  <c:v>-0.20184977663508141</c:v>
                </c:pt>
                <c:pt idx="40">
                  <c:v>-0.20984848884286267</c:v>
                </c:pt>
                <c:pt idx="41">
                  <c:v>-0.21765527450388866</c:v>
                </c:pt>
                <c:pt idx="42">
                  <c:v>-0.22527734602095306</c:v>
                </c:pt>
                <c:pt idx="43">
                  <c:v>-0.23272154947568624</c:v>
                </c:pt>
                <c:pt idx="44">
                  <c:v>-0.23999438794278638</c:v>
                </c:pt>
                <c:pt idx="45">
                  <c:v>-0.24710204302876293</c:v>
                </c:pt>
                <c:pt idx="46">
                  <c:v>-0.25405039479203062</c:v>
                </c:pt>
                <c:pt idx="47">
                  <c:v>-0.26084504018547638</c:v>
                </c:pt>
                <c:pt idx="48">
                  <c:v>-0.26749131014866667</c:v>
                </c:pt>
                <c:pt idx="49">
                  <c:v>-0.27399428546443683</c:v>
                </c:pt>
                <c:pt idx="50">
                  <c:v>-0.28035881148354713</c:v>
                </c:pt>
                <c:pt idx="51">
                  <c:v>-0.28658951181120795</c:v>
                </c:pt>
                <c:pt idx="52">
                  <c:v>-0.29269080104045742</c:v>
                </c:pt>
                <c:pt idx="53">
                  <c:v>-0.29866689660947165</c:v>
                </c:pt>
                <c:pt idx="54">
                  <c:v>-0.30452182985281351</c:v>
                </c:pt>
                <c:pt idx="55">
                  <c:v>-0.31025945631026941</c:v>
                </c:pt>
                <c:pt idx="56">
                  <c:v>-0.31588346535121559</c:v>
                </c:pt>
                <c:pt idx="57">
                  <c:v>-0.32139738916731975</c:v>
                </c:pt>
                <c:pt idx="58">
                  <c:v>-0.32680461118175264</c:v>
                </c:pt>
                <c:pt idx="59">
                  <c:v>-0.33210837391891079</c:v>
                </c:pt>
                <c:pt idx="60">
                  <c:v>-0.33731178637488179</c:v>
                </c:pt>
                <c:pt idx="61">
                  <c:v>-0.34241783092546996</c:v>
                </c:pt>
                <c:pt idx="62">
                  <c:v>-0.34742936980551786</c:v>
                </c:pt>
                <c:pt idx="63">
                  <c:v>-0.35234915119045795</c:v>
                </c:pt>
                <c:pt idx="64">
                  <c:v>-0.35717981490849315</c:v>
                </c:pt>
                <c:pt idx="65">
                  <c:v>-0.36192389780949774</c:v>
                </c:pt>
                <c:pt idx="66">
                  <c:v>-0.36658383881463485</c:v>
                </c:pt>
                <c:pt idx="67">
                  <c:v>-0.37116198366877873</c:v>
                </c:pt>
                <c:pt idx="68">
                  <c:v>-0.37566058941609226</c:v>
                </c:pt>
                <c:pt idx="69">
                  <c:v>-0.38008182861752393</c:v>
                </c:pt>
                <c:pt idx="70">
                  <c:v>-0.38442779332754184</c:v>
                </c:pt>
              </c:numCache>
            </c:numRef>
          </c:val>
        </c:ser>
        <c:ser>
          <c:idx val="2"/>
          <c:order val="2"/>
          <c:tx>
            <c:v>e = - 1.0</c:v>
          </c:tx>
          <c:spPr>
            <a:ln w="38100">
              <a:solidFill>
                <a:srgbClr val="FFFF00"/>
              </a:solidFill>
              <a:prstDash val="solid"/>
            </a:ln>
          </c:spPr>
          <c:marker>
            <c:symbol val="none"/>
          </c:marker>
          <c:val>
            <c:numRef>
              <c:f>Elasticities!$F$224:$F$294</c:f>
              <c:numCache>
                <c:formatCode>0%</c:formatCode>
                <c:ptCount val="71"/>
                <c:pt idx="0">
                  <c:v>0.66666666666666674</c:v>
                </c:pt>
                <c:pt idx="1">
                  <c:v>0.61290322580645173</c:v>
                </c:pt>
                <c:pt idx="2">
                  <c:v>0.5625</c:v>
                </c:pt>
                <c:pt idx="3">
                  <c:v>0.51515151515151514</c:v>
                </c:pt>
                <c:pt idx="4">
                  <c:v>0.47058823529411753</c:v>
                </c:pt>
                <c:pt idx="5">
                  <c:v>0.4285714285714286</c:v>
                </c:pt>
                <c:pt idx="6">
                  <c:v>0.38888888888888884</c:v>
                </c:pt>
                <c:pt idx="7">
                  <c:v>0.35135135135135132</c:v>
                </c:pt>
                <c:pt idx="8">
                  <c:v>0.31578947368421062</c:v>
                </c:pt>
                <c:pt idx="9">
                  <c:v>0.28205128205128194</c:v>
                </c:pt>
                <c:pt idx="10">
                  <c:v>0.25</c:v>
                </c:pt>
                <c:pt idx="11">
                  <c:v>0.21951219512195119</c:v>
                </c:pt>
                <c:pt idx="12">
                  <c:v>0.19047619047619047</c:v>
                </c:pt>
                <c:pt idx="13">
                  <c:v>0.16279069767441867</c:v>
                </c:pt>
                <c:pt idx="14">
                  <c:v>0.13636363636363646</c:v>
                </c:pt>
                <c:pt idx="15">
                  <c:v>0.11111111111111116</c:v>
                </c:pt>
                <c:pt idx="16">
                  <c:v>8.6956521739130377E-2</c:v>
                </c:pt>
                <c:pt idx="17">
                  <c:v>6.3829787234042534E-2</c:v>
                </c:pt>
                <c:pt idx="18">
                  <c:v>4.1666666666666741E-2</c:v>
                </c:pt>
                <c:pt idx="19">
                  <c:v>2.0408163265306145E-2</c:v>
                </c:pt>
                <c:pt idx="20">
                  <c:v>0</c:v>
                </c:pt>
                <c:pt idx="21">
                  <c:v>-1.9607843137254943E-2</c:v>
                </c:pt>
                <c:pt idx="22">
                  <c:v>-3.8461538461538547E-2</c:v>
                </c:pt>
                <c:pt idx="23">
                  <c:v>-5.6603773584905759E-2</c:v>
                </c:pt>
                <c:pt idx="24">
                  <c:v>-7.4074074074074181E-2</c:v>
                </c:pt>
                <c:pt idx="25">
                  <c:v>-9.0909090909090939E-2</c:v>
                </c:pt>
                <c:pt idx="26">
                  <c:v>-0.10714285714285721</c:v>
                </c:pt>
                <c:pt idx="27">
                  <c:v>-0.12280701754385959</c:v>
                </c:pt>
                <c:pt idx="28">
                  <c:v>-0.13793103448275856</c:v>
                </c:pt>
                <c:pt idx="29">
                  <c:v>-0.15254237288135586</c:v>
                </c:pt>
                <c:pt idx="30">
                  <c:v>-0.16666666666666663</c:v>
                </c:pt>
                <c:pt idx="31">
                  <c:v>-0.18032786885245899</c:v>
                </c:pt>
                <c:pt idx="32">
                  <c:v>-0.19354838709677413</c:v>
                </c:pt>
                <c:pt idx="33">
                  <c:v>-0.20634920634920639</c:v>
                </c:pt>
                <c:pt idx="34">
                  <c:v>-0.21875</c:v>
                </c:pt>
                <c:pt idx="35">
                  <c:v>-0.23076923076923084</c:v>
                </c:pt>
                <c:pt idx="36">
                  <c:v>-0.24242424242424243</c:v>
                </c:pt>
                <c:pt idx="37">
                  <c:v>-0.25373134328358216</c:v>
                </c:pt>
                <c:pt idx="38">
                  <c:v>-0.26470588235294124</c:v>
                </c:pt>
                <c:pt idx="39">
                  <c:v>-0.2753623188405796</c:v>
                </c:pt>
                <c:pt idx="40">
                  <c:v>-0.2857142857142857</c:v>
                </c:pt>
                <c:pt idx="41">
                  <c:v>-0.29577464788732388</c:v>
                </c:pt>
                <c:pt idx="42">
                  <c:v>-0.30555555555555558</c:v>
                </c:pt>
                <c:pt idx="43">
                  <c:v>-0.31506849315068497</c:v>
                </c:pt>
                <c:pt idx="44">
                  <c:v>-0.32432432432432434</c:v>
                </c:pt>
                <c:pt idx="45">
                  <c:v>-0.33333333333333337</c:v>
                </c:pt>
                <c:pt idx="46">
                  <c:v>-0.34210526315789469</c:v>
                </c:pt>
                <c:pt idx="47">
                  <c:v>-0.35064935064935066</c:v>
                </c:pt>
                <c:pt idx="48">
                  <c:v>-0.35897435897435903</c:v>
                </c:pt>
                <c:pt idx="49">
                  <c:v>-0.36708860759493678</c:v>
                </c:pt>
                <c:pt idx="50">
                  <c:v>-0.375</c:v>
                </c:pt>
                <c:pt idx="51">
                  <c:v>-0.38271604938271608</c:v>
                </c:pt>
                <c:pt idx="52">
                  <c:v>-0.3902439024390244</c:v>
                </c:pt>
                <c:pt idx="53">
                  <c:v>-0.39759036144578308</c:v>
                </c:pt>
                <c:pt idx="54">
                  <c:v>-0.40476190476190477</c:v>
                </c:pt>
                <c:pt idx="55">
                  <c:v>-0.41176470588235292</c:v>
                </c:pt>
                <c:pt idx="56">
                  <c:v>-0.41860465116279066</c:v>
                </c:pt>
                <c:pt idx="57">
                  <c:v>-0.42528735632183912</c:v>
                </c:pt>
                <c:pt idx="58">
                  <c:v>-0.43181818181818177</c:v>
                </c:pt>
                <c:pt idx="59">
                  <c:v>-0.4382022471910112</c:v>
                </c:pt>
                <c:pt idx="60">
                  <c:v>-0.44444444444444442</c:v>
                </c:pt>
                <c:pt idx="61">
                  <c:v>-0.45054945054945061</c:v>
                </c:pt>
                <c:pt idx="62">
                  <c:v>-0.45652173913043481</c:v>
                </c:pt>
                <c:pt idx="63">
                  <c:v>-0.4623655913978495</c:v>
                </c:pt>
                <c:pt idx="64">
                  <c:v>-0.46808510638297873</c:v>
                </c:pt>
                <c:pt idx="65">
                  <c:v>-0.47368421052631582</c:v>
                </c:pt>
                <c:pt idx="66">
                  <c:v>-0.47916666666666663</c:v>
                </c:pt>
                <c:pt idx="67">
                  <c:v>-0.48453608247422675</c:v>
                </c:pt>
                <c:pt idx="68">
                  <c:v>-0.48979591836734693</c:v>
                </c:pt>
                <c:pt idx="69">
                  <c:v>-0.49494949494949492</c:v>
                </c:pt>
                <c:pt idx="70">
                  <c:v>-0.5</c:v>
                </c:pt>
              </c:numCache>
            </c:numRef>
          </c:val>
        </c:ser>
        <c:marker val="1"/>
        <c:axId val="138763264"/>
        <c:axId val="138785920"/>
      </c:lineChart>
      <c:catAx>
        <c:axId val="138763264"/>
        <c:scaling>
          <c:orientation val="minMax"/>
        </c:scaling>
        <c:axPos val="b"/>
        <c:title>
          <c:tx>
            <c:rich>
              <a:bodyPr/>
              <a:lstStyle/>
              <a:p>
                <a:pPr>
                  <a:defRPr sz="1025" b="1" i="0" u="none" strike="noStrike" baseline="0">
                    <a:solidFill>
                      <a:srgbClr val="000000"/>
                    </a:solidFill>
                    <a:latin typeface="Arial"/>
                    <a:ea typeface="Arial"/>
                    <a:cs typeface="Arial"/>
                  </a:defRPr>
                </a:pPr>
                <a:r>
                  <a:rPr lang="en-US"/>
                  <a:t>Increase in Trip Price</a:t>
                </a:r>
              </a:p>
            </c:rich>
          </c:tx>
          <c:layout>
            <c:manualLayout>
              <c:xMode val="edge"/>
              <c:yMode val="edge"/>
              <c:x val="0.37570575106683091"/>
              <c:y val="0.90999576665823956"/>
            </c:manualLayout>
          </c:layout>
          <c:spPr>
            <a:noFill/>
            <a:ln w="25400">
              <a:noFill/>
            </a:ln>
          </c:spPr>
        </c:title>
        <c:numFmt formatCode="0%" sourceLinked="1"/>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38785920"/>
        <c:crossesAt val="-0.4"/>
        <c:auto val="1"/>
        <c:lblAlgn val="ctr"/>
        <c:lblOffset val="100"/>
        <c:tickLblSkip val="10"/>
        <c:tickMarkSkip val="5"/>
      </c:catAx>
      <c:valAx>
        <c:axId val="138785920"/>
        <c:scaling>
          <c:orientation val="minMax"/>
          <c:max val="0.70000000000000062"/>
          <c:min val="-0.4"/>
        </c:scaling>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Increase in Trip Volume</a:t>
                </a:r>
              </a:p>
            </c:rich>
          </c:tx>
          <c:layout>
            <c:manualLayout>
              <c:xMode val="edge"/>
              <c:yMode val="edge"/>
              <c:x val="3.4155016337243556E-2"/>
              <c:y val="0.31327719270823157"/>
            </c:manualLayout>
          </c:layout>
          <c:spPr>
            <a:noFill/>
            <a:ln w="25400">
              <a:noFill/>
            </a:ln>
          </c:spPr>
        </c:title>
        <c:numFmt formatCode="0%" sourceLinked="1"/>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38763264"/>
        <c:crosses val="autoZero"/>
        <c:crossBetween val="between"/>
        <c:majorUnit val="0.2"/>
        <c:minorUnit val="4.0000000000000022E-2"/>
      </c:valAx>
      <c:spPr>
        <a:solidFill>
          <a:srgbClr val="C0C0C0"/>
        </a:solidFill>
        <a:ln w="12700">
          <a:solidFill>
            <a:srgbClr val="808080"/>
          </a:solidFill>
          <a:prstDash val="solid"/>
        </a:ln>
      </c:spPr>
    </c:plotArea>
    <c:legend>
      <c:legendPos val="r"/>
      <c:layout>
        <c:manualLayout>
          <c:xMode val="edge"/>
          <c:yMode val="edge"/>
          <c:x val="0.83129365972110625"/>
          <c:y val="0.38461590564209464"/>
          <c:w val="0.16190504758334759"/>
          <c:h val="0.18114169971929694"/>
        </c:manualLayout>
      </c:layout>
      <c:spPr>
        <a:solidFill>
          <a:srgbClr val="FFFFFF"/>
        </a:solidFill>
        <a:ln w="3175">
          <a:solidFill>
            <a:srgbClr val="000000"/>
          </a:solidFill>
          <a:prstDash val="solid"/>
        </a:ln>
      </c:spPr>
      <c:txPr>
        <a:bodyPr/>
        <a:lstStyle/>
        <a:p>
          <a:pPr>
            <a:defRPr sz="7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48155648258868"/>
          <c:y val="8.9820476001741367E-2"/>
          <c:w val="0.78466540645373495"/>
          <c:h val="0.73187054519938965"/>
        </c:manualLayout>
      </c:layout>
      <c:scatterChart>
        <c:scatterStyle val="lineMarker"/>
        <c:ser>
          <c:idx val="1"/>
          <c:order val="0"/>
          <c:tx>
            <c:strRef>
              <c:f>'Speed-CO2'!$G$35:$H$35</c:f>
              <c:strCache>
                <c:ptCount val="1"/>
                <c:pt idx="0">
                  <c:v>"Steady-State"</c:v>
                </c:pt>
              </c:strCache>
            </c:strRef>
          </c:tx>
          <c:spPr>
            <a:ln w="25400">
              <a:solidFill>
                <a:srgbClr val="FF00FF"/>
              </a:solidFill>
              <a:prstDash val="solid"/>
            </a:ln>
          </c:spPr>
          <c:marker>
            <c:symbol val="none"/>
          </c:marker>
          <c:xVal>
            <c:numRef>
              <c:f>'Speed-CO2'!$B$37:$B$136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'Speed-CO2'!$G$37:$G$136</c:f>
              <c:numCache>
                <c:formatCode>_(* #,##0.00_);_(* \(#,##0.00\);_(* "-"??_);_(@_)</c:formatCode>
                <c:ptCount val="100"/>
                <c:pt idx="0">
                  <c:v>1362.69873597945</c:v>
                </c:pt>
                <c:pt idx="1">
                  <c:v>1187.6384454080471</c:v>
                </c:pt>
                <c:pt idx="2">
                  <c:v>1043.2316507483604</c:v>
                </c:pt>
                <c:pt idx="3">
                  <c:v>923.35073372016393</c:v>
                </c:pt>
                <c:pt idx="4">
                  <c:v>823.23090904853132</c:v>
                </c:pt>
                <c:pt idx="5">
                  <c:v>739.14137784550894</c:v>
                </c:pt>
                <c:pt idx="6">
                  <c:v>668.14135816565545</c:v>
                </c:pt>
                <c:pt idx="7">
                  <c:v>607.89779549435707</c:v>
                </c:pt>
                <c:pt idx="8">
                  <c:v>556.54821816949413</c:v>
                </c:pt>
                <c:pt idx="9">
                  <c:v>512.59686600907708</c:v>
                </c:pt>
                <c:pt idx="10">
                  <c:v>474.83550840743419</c:v>
                </c:pt>
                <c:pt idx="11">
                  <c:v>442.2827029785073</c:v>
                </c:pt>
                <c:pt idx="12">
                  <c:v>414.13691527235454</c:v>
                </c:pt>
                <c:pt idx="13">
                  <c:v>389.7401218265116</c:v>
                </c:pt>
                <c:pt idx="14">
                  <c:v>368.54938953970412</c:v>
                </c:pt>
                <c:pt idx="15">
                  <c:v>350.11455926702126</c:v>
                </c:pt>
                <c:pt idx="16">
                  <c:v>334.06062736800783</c:v>
                </c:pt>
                <c:pt idx="17">
                  <c:v>320.07376278056734</c:v>
                </c:pt>
                <c:pt idx="18">
                  <c:v>307.89015248079539</c:v>
                </c:pt>
                <c:pt idx="19">
                  <c:v>297.28705881146197</c:v>
                </c:pt>
                <c:pt idx="20">
                  <c:v>288.07561529138462</c:v>
                </c:pt>
                <c:pt idx="21">
                  <c:v>280.09499556913437</c:v>
                </c:pt>
                <c:pt idx="22">
                  <c:v>273.20767218480864</c:v>
                </c:pt>
                <c:pt idx="23">
                  <c:v>267.2955443533275</c:v>
                </c:pt>
                <c:pt idx="24">
                  <c:v>262.25676193424925</c:v>
                </c:pt>
                <c:pt idx="25">
                  <c:v>258.00310969232294</c:v>
                </c:pt>
                <c:pt idx="26">
                  <c:v>254.45784454346961</c:v>
                </c:pt>
                <c:pt idx="27">
                  <c:v>251.5539007111143</c:v>
                </c:pt>
                <c:pt idx="28">
                  <c:v>249.23239507932809</c:v>
                </c:pt>
                <c:pt idx="29">
                  <c:v>247.44137864628166</c:v>
                </c:pt>
                <c:pt idx="30">
                  <c:v>246.13479070528982</c:v>
                </c:pt>
                <c:pt idx="31">
                  <c:v>245.27158085857945</c:v>
                </c:pt>
                <c:pt idx="32">
                  <c:v>244.81497069545793</c:v>
                </c:pt>
                <c:pt idx="33">
                  <c:v>244.73183232119297</c:v>
                </c:pt>
                <c:pt idx="34">
                  <c:v>244.99216519806816</c:v>
                </c:pt>
                <c:pt idx="35">
                  <c:v>245.56865618202727</c:v>
                </c:pt>
                <c:pt idx="36">
                  <c:v>246.43631038305159</c:v>
                </c:pt>
                <c:pt idx="37">
                  <c:v>247.57214268226886</c:v>
                </c:pt>
                <c:pt idx="38">
                  <c:v>248.95492151177228</c:v>
                </c:pt>
                <c:pt idx="39">
                  <c:v>250.56495792927251</c:v>
                </c:pt>
                <c:pt idx="40">
                  <c:v>252.38393416675768</c:v>
                </c:pt>
                <c:pt idx="41">
                  <c:v>254.39476675429268</c:v>
                </c:pt>
                <c:pt idx="42">
                  <c:v>256.5815000605615</c:v>
                </c:pt>
                <c:pt idx="43">
                  <c:v>258.92922668607901</c:v>
                </c:pt>
                <c:pt idx="44">
                  <c:v>261.42403162224895</c:v>
                </c:pt>
                <c:pt idx="45">
                  <c:v>264.05295747348384</c:v>
                </c:pt>
                <c:pt idx="46">
                  <c:v>266.80398835058168</c:v>
                </c:pt>
                <c:pt idx="47">
                  <c:v>269.66605029825769</c:v>
                </c:pt>
                <c:pt idx="48">
                  <c:v>272.6290263324492</c:v>
                </c:pt>
                <c:pt idx="49">
                  <c:v>275.68378434608803</c:v>
                </c:pt>
                <c:pt idx="50">
                  <c:v>278.82221630578732</c:v>
                </c:pt>
                <c:pt idx="51">
                  <c:v>282.03728731542299</c:v>
                </c:pt>
                <c:pt idx="52">
                  <c:v>285.32309327364896</c:v>
                </c:pt>
                <c:pt idx="53">
                  <c:v>288.67492600743356</c:v>
                </c:pt>
                <c:pt idx="54">
                  <c:v>292.08934492856611</c:v>
                </c:pt>
                <c:pt idx="55">
                  <c:v>295.56425443935188</c:v>
                </c:pt>
                <c:pt idx="56">
                  <c:v>299.0989865115651</c:v>
                </c:pt>
                <c:pt idx="57">
                  <c:v>302.69438808250908</c:v>
                </c:pt>
                <c:pt idx="58">
                  <c:v>306.35291315676068</c:v>
                </c:pt>
                <c:pt idx="59">
                  <c:v>310.07871977460201</c:v>
                </c:pt>
                <c:pt idx="60">
                  <c:v>313.8777723107475</c:v>
                </c:pt>
                <c:pt idx="61">
                  <c:v>317.75794990272482</c:v>
                </c:pt>
                <c:pt idx="62">
                  <c:v>321.72916218011687</c:v>
                </c:pt>
                <c:pt idx="63">
                  <c:v>325.80347387797957</c:v>
                </c:pt>
                <c:pt idx="64">
                  <c:v>329.99524037485116</c:v>
                </c:pt>
                <c:pt idx="65">
                  <c:v>334.32125670466939</c:v>
                </c:pt>
                <c:pt idx="66">
                  <c:v>338.80092316082084</c:v>
                </c:pt>
                <c:pt idx="67">
                  <c:v>343.45643125079647</c:v>
                </c:pt>
                <c:pt idx="68">
                  <c:v>348.31297448562736</c:v>
                </c:pt>
                <c:pt idx="69">
                  <c:v>353.39898931787531</c:v>
                </c:pt>
                <c:pt idx="70">
                  <c:v>358.74643249873793</c:v>
                </c:pt>
                <c:pt idx="71">
                  <c:v>364.39110223833228</c:v>
                </c:pt>
                <c:pt idx="72">
                  <c:v>370.37301186058397</c:v>
                </c:pt>
                <c:pt idx="73">
                  <c:v>376.7368261920758</c:v>
                </c:pt>
                <c:pt idx="74">
                  <c:v>383.53237277105046</c:v>
                </c:pt>
                <c:pt idx="75">
                  <c:v>390.8152421816705</c:v>
                </c:pt>
                <c:pt idx="76">
                  <c:v>398.64749450119172</c:v>
                </c:pt>
                <c:pt idx="77">
                  <c:v>407.09849210889655</c:v>
                </c:pt>
                <c:pt idx="78">
                  <c:v>416.24588308947114</c:v>
                </c:pt>
                <c:pt idx="79">
                  <c:v>426.17676435238832</c:v>
                </c:pt>
                <c:pt idx="80">
                  <c:v>436.98905961226666</c:v>
                </c:pt>
                <c:pt idx="81">
                  <c:v>448.79315482512879</c:v>
                </c:pt>
                <c:pt idx="82">
                  <c:v>461.71384292326178</c:v>
                </c:pt>
                <c:pt idx="83">
                  <c:v>475.89264121183157</c:v>
                </c:pt>
                <c:pt idx="84">
                  <c:v>491.49055919292704</c:v>
                </c:pt>
                <c:pt idx="85">
                  <c:v>508.6914126524768</c:v>
                </c:pt>
                <c:pt idx="86">
                  <c:v>527.70580259913925</c:v>
                </c:pt>
                <c:pt idx="87">
                  <c:v>548.77590640242511</c:v>
                </c:pt>
                <c:pt idx="88">
                  <c:v>572.18126496466903</c:v>
                </c:pt>
                <c:pt idx="89">
                  <c:v>598.24579623855789</c:v>
                </c:pt>
                <c:pt idx="90">
                  <c:v>627.34632484659369</c:v>
                </c:pt>
                <c:pt idx="91">
                  <c:v>659.92299391041763</c:v>
                </c:pt>
                <c:pt idx="92">
                  <c:v>696.49202369294539</c:v>
                </c:pt>
                <c:pt idx="93">
                  <c:v>737.66140928863683</c:v>
                </c:pt>
                <c:pt idx="94">
                  <c:v>784.15031575339924</c:v>
                </c:pt>
                <c:pt idx="95">
                  <c:v>836.81314640643745</c:v>
                </c:pt>
                <c:pt idx="96">
                  <c:v>896.66954572647978</c:v>
                </c:pt>
                <c:pt idx="97">
                  <c:v>964.94197569721803</c:v>
                </c:pt>
                <c:pt idx="98">
                  <c:v>1043.1030056845443</c:v>
                </c:pt>
                <c:pt idx="99">
                  <c:v>1132.9351251126802</c:v>
                </c:pt>
              </c:numCache>
            </c:numRef>
          </c:yVal>
        </c:ser>
        <c:ser>
          <c:idx val="0"/>
          <c:order val="1"/>
          <c:tx>
            <c:strRef>
              <c:f>'Speed-CO2'!$D$35:$E$35</c:f>
              <c:strCache>
                <c:ptCount val="1"/>
                <c:pt idx="0">
                  <c:v>"Real-World"</c:v>
                </c:pt>
              </c:strCache>
            </c:strRef>
          </c:tx>
          <c:spPr>
            <a:ln w="25400">
              <a:solidFill>
                <a:srgbClr val="000080"/>
              </a:solidFill>
              <a:prstDash val="solid"/>
            </a:ln>
          </c:spPr>
          <c:marker>
            <c:symbol val="none"/>
          </c:marker>
          <c:xVal>
            <c:numRef>
              <c:f>'Speed-CO2'!$B$37:$B$136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'Speed-CO2'!$D$37:$D$136</c:f>
              <c:numCache>
                <c:formatCode>_(* #,##0.00_);_(* \(#,##0.00\);_(* "-"??_);_(@_)</c:formatCode>
                <c:ptCount val="100"/>
                <c:pt idx="0">
                  <c:v>1770.1787136415489</c:v>
                </c:pt>
                <c:pt idx="1">
                  <c:v>1558.8025636286638</c:v>
                </c:pt>
                <c:pt idx="2">
                  <c:v>1382.6526995206689</c:v>
                </c:pt>
                <c:pt idx="3">
                  <c:v>1234.9815248073257</c:v>
                </c:pt>
                <c:pt idx="4">
                  <c:v>1110.4858416766888</c:v>
                </c:pt>
                <c:pt idx="5">
                  <c:v>1004.9700956516774</c:v>
                </c:pt>
                <c:pt idx="6">
                  <c:v>915.09382465943816</c:v>
                </c:pt>
                <c:pt idx="7">
                  <c:v>838.18096719949403</c:v>
                </c:pt>
                <c:pt idx="8">
                  <c:v>772.07492732067476</c:v>
                </c:pt>
                <c:pt idx="9">
                  <c:v>715.02771201080225</c:v>
                </c:pt>
                <c:pt idx="10">
                  <c:v>665.61460497042265</c:v>
                </c:pt>
                <c:pt idx="11">
                  <c:v>622.66809977258742</c:v>
                </c:pt>
                <c:pt idx="12">
                  <c:v>585.22644712221313</c:v>
                </c:pt>
                <c:pt idx="13">
                  <c:v>552.49335716010523</c:v>
                </c:pt>
                <c:pt idx="14">
                  <c:v>523.80626556356526</c:v>
                </c:pt>
                <c:pt idx="15">
                  <c:v>498.61121094288092</c:v>
                </c:pt>
                <c:pt idx="16">
                  <c:v>476.44284398237824</c:v>
                </c:pt>
                <c:pt idx="17">
                  <c:v>456.90844099056312</c:v>
                </c:pt>
                <c:pt idx="18">
                  <c:v>439.67505830423829</c:v>
                </c:pt>
                <c:pt idx="19">
                  <c:v>424.45916262295646</c:v>
                </c:pt>
                <c:pt idx="20">
                  <c:v>411.01822271934049</c:v>
                </c:pt>
                <c:pt idx="21">
                  <c:v>399.14386239275547</c:v>
                </c:pt>
                <c:pt idx="22">
                  <c:v>388.65626203901013</c:v>
                </c:pt>
                <c:pt idx="23">
                  <c:v>379.39956345467641</c:v>
                </c:pt>
                <c:pt idx="24">
                  <c:v>371.23808441500955</c:v>
                </c:pt>
                <c:pt idx="25">
                  <c:v>364.05318983437422</c:v>
                </c:pt>
                <c:pt idx="26">
                  <c:v>357.74069768844555</c:v>
                </c:pt>
                <c:pt idx="27">
                  <c:v>352.20872241774805</c:v>
                </c:pt>
                <c:pt idx="28">
                  <c:v>347.3758778063862</c:v>
                </c:pt>
                <c:pt idx="29">
                  <c:v>343.16977652581505</c:v>
                </c:pt>
                <c:pt idx="30">
                  <c:v>339.52577555742698</c:v>
                </c:pt>
                <c:pt idx="31">
                  <c:v>336.38592625400321</c:v>
                </c:pt>
                <c:pt idx="32">
                  <c:v>333.69809540356607</c:v>
                </c:pt>
                <c:pt idx="33">
                  <c:v>331.41522973338607</c:v>
                </c:pt>
                <c:pt idx="34">
                  <c:v>329.4947411585166</c:v>
                </c:pt>
                <c:pt idx="35">
                  <c:v>327.89799398915528</c:v>
                </c:pt>
                <c:pt idx="36">
                  <c:v>326.58987846150092</c:v>
                </c:pt>
                <c:pt idx="37">
                  <c:v>325.53845750289219</c:v>
                </c:pt>
                <c:pt idx="38">
                  <c:v>324.7146757070181</c:v>
                </c:pt>
                <c:pt idx="39">
                  <c:v>324.09212117696291</c:v>
                </c:pt>
                <c:pt idx="40">
                  <c:v>323.64683227121594</c:v>
                </c:pt>
                <c:pt idx="41">
                  <c:v>323.3571424236178</c:v>
                </c:pt>
                <c:pt idx="42">
                  <c:v>323.2035571533001</c:v>
                </c:pt>
                <c:pt idx="43">
                  <c:v>323.16865817620618</c:v>
                </c:pt>
                <c:pt idx="44">
                  <c:v>323.23703020889008</c:v>
                </c:pt>
                <c:pt idx="45">
                  <c:v>323.39520664502726</c:v>
                </c:pt>
                <c:pt idx="46">
                  <c:v>323.63163080705806</c:v>
                </c:pt>
                <c:pt idx="47">
                  <c:v>323.93662994717982</c:v>
                </c:pt>
                <c:pt idx="48">
                  <c:v>324.30239960729239</c:v>
                </c:pt>
                <c:pt idx="49">
                  <c:v>324.72299635767411</c:v>
                </c:pt>
                <c:pt idx="50">
                  <c:v>325.19433732750497</c:v>
                </c:pt>
                <c:pt idx="51">
                  <c:v>325.71420532371923</c:v>
                </c:pt>
                <c:pt idx="52">
                  <c:v>326.28225871296974</c:v>
                </c:pt>
                <c:pt idx="53">
                  <c:v>326.90004561884393</c:v>
                </c:pt>
                <c:pt idx="54">
                  <c:v>327.5710223658815</c:v>
                </c:pt>
                <c:pt idx="55">
                  <c:v>328.30057648626263</c:v>
                </c:pt>
                <c:pt idx="56">
                  <c:v>329.09605499686489</c:v>
                </c:pt>
                <c:pt idx="57">
                  <c:v>329.96679905669453</c:v>
                </c:pt>
                <c:pt idx="58">
                  <c:v>330.92418653114692</c:v>
                </c:pt>
                <c:pt idx="59">
                  <c:v>331.98168442495557</c:v>
                </c:pt>
                <c:pt idx="60">
                  <c:v>333.15491360610133</c:v>
                </c:pt>
                <c:pt idx="61">
                  <c:v>334.46172873690733</c:v>
                </c:pt>
                <c:pt idx="62">
                  <c:v>335.92231686639093</c:v>
                </c:pt>
                <c:pt idx="63">
                  <c:v>337.55931873379865</c:v>
                </c:pt>
                <c:pt idx="64">
                  <c:v>339.39797750441267</c:v>
                </c:pt>
                <c:pt idx="65">
                  <c:v>341.46632042740708</c:v>
                </c:pt>
                <c:pt idx="66">
                  <c:v>343.79537979953898</c:v>
                </c:pt>
                <c:pt idx="67">
                  <c:v>346.4194606722387</c:v>
                </c:pt>
                <c:pt idx="68">
                  <c:v>349.37646399633985</c:v>
                </c:pt>
                <c:pt idx="69">
                  <c:v>352.70827541182598</c:v>
                </c:pt>
                <c:pt idx="70">
                  <c:v>356.46123172623658</c:v>
                </c:pt>
                <c:pt idx="71">
                  <c:v>360.68667936791309</c:v>
                </c:pt>
                <c:pt idx="72">
                  <c:v>365.44164185340145</c:v>
                </c:pt>
                <c:pt idx="73">
                  <c:v>370.78961670280347</c:v>
                </c:pt>
                <c:pt idx="74">
                  <c:v>376.80152643790029</c:v>
                </c:pt>
                <c:pt idx="75">
                  <c:v>383.5568535147014</c:v>
                </c:pt>
                <c:pt idx="76">
                  <c:v>391.14499554114343</c:v>
                </c:pt>
                <c:pt idx="77">
                  <c:v>399.66688525265886</c:v>
                </c:pt>
                <c:pt idx="78">
                  <c:v>409.23692990091843</c:v>
                </c:pt>
                <c:pt idx="79">
                  <c:v>419.98533751943023</c:v>
                </c:pt>
                <c:pt idx="80">
                  <c:v>432.06091369603502</c:v>
                </c:pt>
                <c:pt idx="81">
                  <c:v>445.6344329612462</c:v>
                </c:pt>
                <c:pt idx="82">
                  <c:v>460.9027149410764</c:v>
                </c:pt>
                <c:pt idx="83">
                  <c:v>478.09356866497774</c:v>
                </c:pt>
                <c:pt idx="84">
                  <c:v>497.47181103143839</c:v>
                </c:pt>
                <c:pt idx="85">
                  <c:v>519.34662029214542</c:v>
                </c:pt>
                <c:pt idx="86">
                  <c:v>544.08055635615312</c:v>
                </c:pt>
                <c:pt idx="87">
                  <c:v>572.100671877791</c:v>
                </c:pt>
                <c:pt idx="88">
                  <c:v>603.91225839831111</c:v>
                </c:pt>
                <c:pt idx="89">
                  <c:v>640.11592963210353</c:v>
                </c:pt>
                <c:pt idx="90">
                  <c:v>681.42895207667289</c:v>
                </c:pt>
                <c:pt idx="91">
                  <c:v>728.71200893195669</c:v>
                </c:pt>
                <c:pt idx="92">
                  <c:v>783.00295085005155</c:v>
                </c:pt>
                <c:pt idx="93">
                  <c:v>845.55957953060886</c:v>
                </c:pt>
                <c:pt idx="94">
                  <c:v>917.91417388519255</c:v>
                </c:pt>
                <c:pt idx="95">
                  <c:v>1001.9433681949033</c:v>
                </c:pt>
                <c:pt idx="96">
                  <c:v>1099.9582186614016</c:v>
                </c:pt>
                <c:pt idx="97">
                  <c:v>1214.8209784510645</c:v>
                </c:pt>
                <c:pt idx="98">
                  <c:v>1350.0974265320258</c:v>
                </c:pt>
                <c:pt idx="99">
                  <c:v>1510.2568278272163</c:v>
                </c:pt>
              </c:numCache>
            </c:numRef>
          </c:yVal>
        </c:ser>
        <c:axId val="140176768"/>
        <c:axId val="140183040"/>
      </c:scatterChart>
      <c:valAx>
        <c:axId val="140176768"/>
        <c:scaling>
          <c:orientation val="minMax"/>
          <c:max val="100"/>
        </c:scaling>
        <c:axPos val="b"/>
        <c:title>
          <c:tx>
            <c:rich>
              <a:bodyPr/>
              <a:lstStyle/>
              <a:p>
                <a:pPr>
                  <a:defRPr sz="1025" b="1" i="0" u="none" strike="noStrike" baseline="0">
                    <a:solidFill>
                      <a:srgbClr val="000000"/>
                    </a:solidFill>
                    <a:latin typeface="Arial"/>
                    <a:ea typeface="Arial"/>
                    <a:cs typeface="Arial"/>
                  </a:defRPr>
                </a:pPr>
                <a:r>
                  <a:rPr lang="en-US"/>
                  <a:t>Speed (m.p.h.)</a:t>
                </a:r>
              </a:p>
            </c:rich>
          </c:tx>
          <c:layout>
            <c:manualLayout>
              <c:xMode val="edge"/>
              <c:yMode val="edge"/>
              <c:x val="0.45861715814934895"/>
              <c:y val="0.90818465729760001"/>
            </c:manualLayout>
          </c:layout>
          <c:spPr>
            <a:noFill/>
            <a:ln w="25400">
              <a:noFill/>
            </a:ln>
          </c:spPr>
        </c:title>
        <c:numFmt formatCode="General" sourceLinked="1"/>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40183040"/>
        <c:crosses val="autoZero"/>
        <c:crossBetween val="midCat"/>
      </c:valAx>
      <c:valAx>
        <c:axId val="140183040"/>
        <c:scaling>
          <c:orientation val="minMax"/>
        </c:scaling>
        <c:axPos val="l"/>
        <c:majorGridlines>
          <c:spPr>
            <a:ln w="3175">
              <a:solidFill>
                <a:srgbClr val="C0C0C0"/>
              </a:solidFill>
              <a:prstDash val="solid"/>
            </a:ln>
          </c:spPr>
        </c:majorGridlines>
        <c:title>
          <c:tx>
            <c:rich>
              <a:bodyPr/>
              <a:lstStyle/>
              <a:p>
                <a:pPr>
                  <a:defRPr sz="850" b="1" i="0" u="none" strike="noStrike" baseline="0">
                    <a:solidFill>
                      <a:srgbClr val="000000"/>
                    </a:solidFill>
                    <a:latin typeface="Arial"/>
                    <a:ea typeface="Arial"/>
                    <a:cs typeface="Arial"/>
                  </a:defRPr>
                </a:pPr>
                <a:r>
                  <a:rPr lang="en-US"/>
                  <a:t>CO2 (g/mi)</a:t>
                </a:r>
              </a:p>
            </c:rich>
          </c:tx>
          <c:layout>
            <c:manualLayout>
              <c:xMode val="edge"/>
              <c:yMode val="edge"/>
              <c:x val="8.9573362153276218E-3"/>
              <c:y val="0.37591547891959654"/>
            </c:manualLayout>
          </c:layout>
          <c:spPr>
            <a:noFill/>
            <a:ln w="25400">
              <a:noFill/>
            </a:ln>
          </c:spPr>
        </c:title>
        <c:numFmt formatCode="_(* #,##0.00_);_(* \(#,##0.00\);_(* &quot;-&quot;??_);_(@_)" sourceLinked="1"/>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40176768"/>
        <c:crosses val="autoZero"/>
        <c:crossBetween val="midCat"/>
      </c:valAx>
      <c:spPr>
        <a:solidFill>
          <a:srgbClr val="FFFFFF"/>
        </a:solidFill>
        <a:ln w="12700">
          <a:solidFill>
            <a:srgbClr val="808080"/>
          </a:solidFill>
          <a:prstDash val="solid"/>
        </a:ln>
      </c:spPr>
    </c:plotArea>
    <c:legend>
      <c:legendPos val="r"/>
      <c:layout>
        <c:manualLayout>
          <c:xMode val="edge"/>
          <c:yMode val="edge"/>
          <c:x val="0.65686377438114363"/>
          <c:y val="2.848101265823054E-2"/>
          <c:w val="0.22058857838848567"/>
          <c:h val="0.14556995249012886"/>
        </c:manualLayout>
      </c:layou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8.8936522425641748E-2"/>
          <c:y val="8.4911903581104675E-2"/>
          <c:w val="0.86624172842573965"/>
          <c:h val="0.76747297467536923"/>
        </c:manualLayout>
      </c:layout>
      <c:scatterChart>
        <c:scatterStyle val="lineMarker"/>
        <c:ser>
          <c:idx val="2"/>
          <c:order val="0"/>
          <c:tx>
            <c:strRef>
              <c:f>'Speed-CO2'!$G$35:$H$35</c:f>
              <c:strCache>
                <c:ptCount val="1"/>
                <c:pt idx="0">
                  <c:v>"Steady-State"</c:v>
                </c:pt>
              </c:strCache>
            </c:strRef>
          </c:tx>
          <c:spPr>
            <a:ln w="25400">
              <a:solidFill>
                <a:srgbClr val="FF00FF"/>
              </a:solidFill>
              <a:prstDash val="solid"/>
            </a:ln>
          </c:spPr>
          <c:marker>
            <c:symbol val="none"/>
          </c:marker>
          <c:xVal>
            <c:numRef>
              <c:f>'Speed-CO2'!$B$37:$B$136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'Speed-CO2'!$H$37:$H$136</c:f>
              <c:numCache>
                <c:formatCode>0.00</c:formatCode>
                <c:ptCount val="100"/>
                <c:pt idx="0">
                  <c:v>6.534216085259712</c:v>
                </c:pt>
                <c:pt idx="1">
                  <c:v>7.4973726511023466</c:v>
                </c:pt>
                <c:pt idx="2">
                  <c:v>8.5351781587652269</c:v>
                </c:pt>
                <c:pt idx="3">
                  <c:v>9.6433215189262516</c:v>
                </c:pt>
                <c:pt idx="4">
                  <c:v>10.816124494512971</c:v>
                </c:pt>
                <c:pt idx="5">
                  <c:v>12.046637175088712</c:v>
                </c:pt>
                <c:pt idx="6">
                  <c:v>13.326772682424409</c:v>
                </c:pt>
                <c:pt idx="7">
                  <c:v>14.647475391416606</c:v>
                </c:pt>
                <c:pt idx="8">
                  <c:v>15.998915654219699</c:v>
                </c:pt>
                <c:pt idx="9">
                  <c:v>17.370703159629393</c:v>
                </c:pt>
                <c:pt idx="10">
                  <c:v>18.75211066220378</c:v>
                </c:pt>
                <c:pt idx="11">
                  <c:v>20.132299861685294</c:v>
                </c:pt>
                <c:pt idx="12">
                  <c:v>21.5005416605864</c:v>
                </c:pt>
                <c:pt idx="13">
                  <c:v>22.846423812541396</c:v>
                </c:pt>
                <c:pt idx="14">
                  <c:v>24.160040018301935</c:v>
                </c:pt>
                <c:pt idx="15">
                  <c:v>25.432155745368686</c:v>
                </c:pt>
                <c:pt idx="16">
                  <c:v>26.654347356508406</c:v>
                </c:pt>
                <c:pt idx="17">
                  <c:v>27.819112452851755</c:v>
                </c:pt>
                <c:pt idx="18">
                  <c:v>28.919950600093959</c:v>
                </c:pt>
                <c:pt idx="19">
                  <c:v>29.951414755820167</c:v>
                </c:pt>
                <c:pt idx="20">
                  <c:v>30.909134711015206</c:v>
                </c:pt>
                <c:pt idx="21">
                  <c:v>31.789814673080194</c:v>
                </c:pt>
                <c:pt idx="22">
                  <c:v>32.591207738766805</c:v>
                </c:pt>
                <c:pt idx="23">
                  <c:v>33.312070433280134</c:v>
                </c:pt>
                <c:pt idx="24">
                  <c:v>33.952100736424008</c:v>
                </c:pt>
                <c:pt idx="25">
                  <c:v>34.511863095830542</c:v>
                </c:pt>
                <c:pt idx="26">
                  <c:v>34.992703864073171</c:v>
                </c:pt>
                <c:pt idx="27">
                  <c:v>35.396660416828873</c:v>
                </c:pt>
                <c:pt idx="28">
                  <c:v>35.726366940244247</c:v>
                </c:pt>
                <c:pt idx="29">
                  <c:v>35.984959543603821</c:v>
                </c:pt>
                <c:pt idx="30">
                  <c:v>36.17598298267972</c:v>
                </c:pt>
                <c:pt idx="31">
                  <c:v>36.303300891325165</c:v>
                </c:pt>
                <c:pt idx="32">
                  <c:v>36.371011032150086</c:v>
                </c:pt>
                <c:pt idx="33">
                  <c:v>36.383366706109236</c:v>
                </c:pt>
                <c:pt idx="34">
                  <c:v>36.344705116595343</c:v>
                </c:pt>
                <c:pt idx="35">
                  <c:v>36.259383173884387</c:v>
                </c:pt>
                <c:pt idx="36">
                  <c:v>36.131720955242699</c:v>
                </c:pt>
                <c:pt idx="37">
                  <c:v>35.965952806845088</c:v>
                </c:pt>
                <c:pt idx="38">
                  <c:v>35.766185885901237</c:v>
                </c:pt>
                <c:pt idx="39">
                  <c:v>35.536365793469805</c:v>
                </c:pt>
                <c:pt idx="40">
                  <c:v>35.280248837537918</c:v>
                </c:pt>
                <c:pt idx="41">
                  <c:v>35.001380388457811</c:v>
                </c:pt>
                <c:pt idx="42">
                  <c:v>34.703078740666527</c:v>
                </c:pt>
                <c:pt idx="43">
                  <c:v>34.388423871497707</c:v>
                </c:pt>
                <c:pt idx="44">
                  <c:v>34.060250485564751</c:v>
                </c:pt>
                <c:pt idx="45">
                  <c:v>33.721144747618119</c:v>
                </c:pt>
                <c:pt idx="46">
                  <c:v>33.373444134200426</c:v>
                </c:pt>
                <c:pt idx="47">
                  <c:v>33.019239871506841</c:v>
                </c:pt>
                <c:pt idx="48">
                  <c:v>32.660381470687874</c:v>
                </c:pt>
                <c:pt idx="49">
                  <c:v>32.298482919916253</c:v>
                </c:pt>
                <c:pt idx="50">
                  <c:v>31.934930142850249</c:v>
                </c:pt>
                <c:pt idx="51">
                  <c:v>31.570889384004801</c:v>
                </c:pt>
                <c:pt idx="52">
                  <c:v>31.207316231708415</c:v>
                </c:pt>
                <c:pt idx="53">
                  <c:v>30.844965037838833</c:v>
                </c:pt>
                <c:pt idx="54">
                  <c:v>30.484398539692091</c:v>
                </c:pt>
                <c:pt idx="55">
                  <c:v>30.12599753271952</c:v>
                </c:pt>
                <c:pt idx="56">
                  <c:v>29.769970483185528</c:v>
                </c:pt>
                <c:pt idx="57">
                  <c:v>29.416363006944426</c:v>
                </c:pt>
                <c:pt idx="58">
                  <c:v>29.065067174483634</c:v>
                </c:pt>
                <c:pt idx="59">
                  <c:v>28.715830633177568</c:v>
                </c:pt>
                <c:pt idx="60">
                  <c:v>28.368265565440016</c:v>
                </c:pt>
                <c:pt idx="61">
                  <c:v>28.021857526226587</c:v>
                </c:pt>
                <c:pt idx="62">
                  <c:v>27.675974225224536</c:v>
                </c:pt>
                <c:pt idx="63">
                  <c:v>27.329874338095003</c:v>
                </c:pt>
                <c:pt idx="64">
                  <c:v>26.982716447320563</c:v>
                </c:pt>
                <c:pt idx="65">
                  <c:v>26.633568226461016</c:v>
                </c:pt>
                <c:pt idx="66">
                  <c:v>26.281415991813578</c:v>
                </c:pt>
                <c:pt idx="67">
                  <c:v>25.925174752363443</c:v>
                </c:pt>
                <c:pt idx="68">
                  <c:v>25.563698892208269</c:v>
                </c:pt>
                <c:pt idx="69">
                  <c:v>25.195793618953672</c:v>
                </c:pt>
                <c:pt idx="70">
                  <c:v>24.820227306459206</c:v>
                </c:pt>
                <c:pt idx="71">
                  <c:v>24.435744850257549</c:v>
                </c:pt>
                <c:pt idx="72">
                  <c:v>24.041082138435378</c:v>
                </c:pt>
                <c:pt idx="73">
                  <c:v>23.634981719202283</c:v>
                </c:pt>
                <c:pt idx="74">
                  <c:v>23.216209718274133</c:v>
                </c:pt>
                <c:pt idx="75">
                  <c:v>22.783574024118785</c:v>
                </c:pt>
                <c:pt idx="76">
                  <c:v>22.335943716744925</c:v>
                </c:pt>
                <c:pt idx="77">
                  <c:v>21.872269665931814</c:v>
                </c:pt>
                <c:pt idx="78">
                  <c:v>21.391606167756542</c:v>
                </c:pt>
                <c:pt idx="79">
                  <c:v>20.89313342441519</c:v>
                </c:pt>
                <c:pt idx="80">
                  <c:v>20.376180602554498</c:v>
                </c:pt>
                <c:pt idx="81">
                  <c:v>19.840249130959869</c:v>
                </c:pt>
                <c:pt idx="82">
                  <c:v>19.285035821375402</c:v>
                </c:pt>
                <c:pt idx="83">
                  <c:v>18.710455318926719</c:v>
                </c:pt>
                <c:pt idx="84">
                  <c:v>18.116661314149081</c:v>
                </c:pt>
                <c:pt idx="85">
                  <c:v>17.504065880669916</c:v>
                </c:pt>
                <c:pt idx="86">
                  <c:v>16.873356245362089</c:v>
                </c:pt>
                <c:pt idx="87">
                  <c:v>16.225508255951834</c:v>
                </c:pt>
                <c:pt idx="88">
                  <c:v>15.561795789573454</c:v>
                </c:pt>
                <c:pt idx="89">
                  <c:v>14.883795349644801</c:v>
                </c:pt>
                <c:pt idx="90">
                  <c:v>14.193385132490183</c:v>
                </c:pt>
                <c:pt idx="91">
                  <c:v>13.492737913612858</c:v>
                </c:pt>
                <c:pt idx="92">
                  <c:v>12.784307209705362</c:v>
                </c:pt>
                <c:pt idx="93">
                  <c:v>12.070806318290023</c:v>
                </c:pt>
                <c:pt idx="94">
                  <c:v>11.355180022397894</c:v>
                </c:pt>
                <c:pt idx="95">
                  <c:v>10.640568970788221</c:v>
                </c:pt>
                <c:pt idx="96">
                  <c:v>9.9302670001866318</c:v>
                </c:pt>
                <c:pt idx="97">
                  <c:v>9.2276719473896875</c:v>
                </c:pt>
                <c:pt idx="98">
                  <c:v>8.5362307954971062</c:v>
                </c:pt>
                <c:pt idx="99">
                  <c:v>7.8593802969207109</c:v>
                </c:pt>
              </c:numCache>
            </c:numRef>
          </c:yVal>
        </c:ser>
        <c:ser>
          <c:idx val="1"/>
          <c:order val="1"/>
          <c:tx>
            <c:strRef>
              <c:f>'Speed-CO2'!$D$35:$E$35</c:f>
              <c:strCache>
                <c:ptCount val="1"/>
                <c:pt idx="0">
                  <c:v>"Real-World"</c:v>
                </c:pt>
              </c:strCache>
            </c:strRef>
          </c:tx>
          <c:spPr>
            <a:ln w="25400">
              <a:solidFill>
                <a:srgbClr val="000080"/>
              </a:solidFill>
              <a:prstDash val="solid"/>
            </a:ln>
          </c:spPr>
          <c:marker>
            <c:symbol val="none"/>
          </c:marker>
          <c:xVal>
            <c:numRef>
              <c:f>'Speed-CO2'!$B$37:$B$136</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'Speed-CO2'!$E$37:$E$136</c:f>
              <c:numCache>
                <c:formatCode>0.00</c:formatCode>
                <c:ptCount val="100"/>
                <c:pt idx="0">
                  <c:v>5.0300955103468965</c:v>
                </c:pt>
                <c:pt idx="1">
                  <c:v>5.7121846010263173</c:v>
                </c:pt>
                <c:pt idx="2">
                  <c:v>6.4399165481590943</c:v>
                </c:pt>
                <c:pt idx="3">
                  <c:v>7.2099604902099026</c:v>
                </c:pt>
                <c:pt idx="4">
                  <c:v>8.0182634175289138</c:v>
                </c:pt>
                <c:pt idx="5">
                  <c:v>8.8601322950072969</c:v>
                </c:pt>
                <c:pt idx="6">
                  <c:v>9.7303333932056422</c:v>
                </c:pt>
                <c:pt idx="7">
                  <c:v>10.623204711686961</c:v>
                </c:pt>
                <c:pt idx="8">
                  <c:v>11.53277704652327</c:v>
                </c:pt>
                <c:pt idx="9">
                  <c:v>12.452899168005226</c:v>
                </c:pt>
                <c:pt idx="10">
                  <c:v>13.377362716365976</c:v>
                </c:pt>
                <c:pt idx="11">
                  <c:v>14.300022762129624</c:v>
                </c:pt>
                <c:pt idx="12">
                  <c:v>15.214910474031495</c:v>
                </c:pt>
                <c:pt idx="13">
                  <c:v>16.116334947027589</c:v>
                </c:pt>
                <c:pt idx="14">
                  <c:v>16.998971920314794</c:v>
                </c:pt>
                <c:pt idx="15">
                  <c:v>17.857937817246608</c:v>
                </c:pt>
                <c:pt idx="16">
                  <c:v>18.688848226943524</c:v>
                </c:pt>
                <c:pt idx="17">
                  <c:v>19.48786058908442</c:v>
                </c:pt>
                <c:pt idx="18">
                  <c:v>20.251701414089894</c:v>
                </c:pt>
                <c:pt idx="19">
                  <c:v>20.977678853665125</c:v>
                </c:pt>
                <c:pt idx="20">
                  <c:v>21.663681821913084</c:v>
                </c:pt>
                <c:pt idx="21">
                  <c:v>22.308167152119065</c:v>
                </c:pt>
                <c:pt idx="22">
                  <c:v>22.910136461679528</c:v>
                </c:pt>
                <c:pt idx="23">
                  <c:v>23.469104494801833</c:v>
                </c:pt>
                <c:pt idx="24">
                  <c:v>23.98506073004614</c:v>
                </c:pt>
                <c:pt idx="25">
                  <c:v>24.458425990034439</c:v>
                </c:pt>
                <c:pt idx="26">
                  <c:v>24.890005687176782</c:v>
                </c:pt>
                <c:pt idx="27">
                  <c:v>25.280941195541818</c:v>
                </c:pt>
                <c:pt idx="28">
                  <c:v>25.632660667828052</c:v>
                </c:pt>
                <c:pt idx="29">
                  <c:v>25.946830429369648</c:v>
                </c:pt>
                <c:pt idx="30">
                  <c:v>26.225307888278305</c:v>
                </c:pt>
                <c:pt idx="31">
                  <c:v>26.470096710516096</c:v>
                </c:pt>
                <c:pt idx="32">
                  <c:v>26.683304827471439</c:v>
                </c:pt>
                <c:pt idx="33">
                  <c:v>26.867105676353933</c:v>
                </c:pt>
                <c:pt idx="34">
                  <c:v>27.023702923732838</c:v>
                </c:pt>
                <c:pt idx="35">
                  <c:v>27.155298791777579</c:v>
                </c:pt>
                <c:pt idx="36">
                  <c:v>27.26406599600006</c:v>
                </c:pt>
                <c:pt idx="37">
                  <c:v>27.352123212419205</c:v>
                </c:pt>
                <c:pt idx="38">
                  <c:v>27.42151392022086</c:v>
                </c:pt>
                <c:pt idx="39">
                  <c:v>27.474188411812971</c:v>
                </c:pt>
                <c:pt idx="40">
                  <c:v>27.511988723987603</c:v>
                </c:pt>
                <c:pt idx="41">
                  <c:v>27.536636219820963</c:v>
                </c:pt>
                <c:pt idx="42">
                  <c:v>27.549721539038089</c:v>
                </c:pt>
                <c:pt idx="43">
                  <c:v>27.552696632929806</c:v>
                </c:pt>
                <c:pt idx="44">
                  <c:v>27.546868606748838</c:v>
                </c:pt>
                <c:pt idx="45">
                  <c:v>27.533395106173</c:v>
                </c:pt>
                <c:pt idx="46">
                  <c:v>27.513281003451933</c:v>
                </c:pt>
                <c:pt idx="47">
                  <c:v>27.48737616197306</c:v>
                </c:pt>
                <c:pt idx="48">
                  <c:v>27.456374084133596</c:v>
                </c:pt>
                <c:pt idx="49">
                  <c:v>27.420811275688912</c:v>
                </c:pt>
                <c:pt idx="50">
                  <c:v>27.381067189471274</c:v>
                </c:pt>
                <c:pt idx="51">
                  <c:v>27.337364641957723</c:v>
                </c:pt>
                <c:pt idx="52">
                  <c:v>27.289770627194873</c:v>
                </c:pt>
                <c:pt idx="53">
                  <c:v>27.238197483710369</c:v>
                </c:pt>
                <c:pt idx="54">
                  <c:v>27.182404401004863</c:v>
                </c:pt>
                <c:pt idx="55">
                  <c:v>27.121999282790124</c:v>
                </c:pt>
                <c:pt idx="56">
                  <c:v>27.056441014113112</c:v>
                </c:pt>
                <c:pt idx="57">
                  <c:v>26.985042208655955</c:v>
                </c:pt>
                <c:pt idx="58">
                  <c:v>26.906972540557806</c:v>
                </c:pt>
                <c:pt idx="59">
                  <c:v>26.821262791721228</c:v>
                </c:pt>
                <c:pt idx="60">
                  <c:v>26.726809770327009</c:v>
                </c:pt>
                <c:pt idx="61">
                  <c:v>26.622382278613866</c:v>
                </c:pt>
                <c:pt idx="62">
                  <c:v>26.506628327231756</c:v>
                </c:pt>
                <c:pt idx="63">
                  <c:v>26.378083808795338</c:v>
                </c:pt>
                <c:pt idx="64">
                  <c:v>26.235182853687547</c:v>
                </c:pt>
                <c:pt idx="65">
                  <c:v>26.076270095553838</c:v>
                </c:pt>
                <c:pt idx="66">
                  <c:v>25.899615071010736</c:v>
                </c:pt>
                <c:pt idx="67">
                  <c:v>25.703428966493856</c:v>
                </c:pt>
                <c:pt idx="68">
                  <c:v>25.485883903425396</c:v>
                </c:pt>
                <c:pt idx="69">
                  <c:v>25.245134919512157</c:v>
                </c:pt>
                <c:pt idx="70">
                  <c:v>24.979344757576417</c:v>
                </c:pt>
                <c:pt idx="71">
                  <c:v>24.686711512618505</c:v>
                </c:pt>
                <c:pt idx="72">
                  <c:v>24.365499111817002</c:v>
                </c:pt>
                <c:pt idx="73">
                  <c:v>24.014070510331734</c:v>
                </c:pt>
                <c:pt idx="74">
                  <c:v>23.630923378086351</c:v>
                </c:pt>
                <c:pt idx="75">
                  <c:v>23.21472792992007</c:v>
                </c:pt>
                <c:pt idx="76">
                  <c:v>22.764366415275777</c:v>
                </c:pt>
                <c:pt idx="77">
                  <c:v>22.278973636685009</c:v>
                </c:pt>
                <c:pt idx="78">
                  <c:v>21.757977712704996</c:v>
                </c:pt>
                <c:pt idx="79">
                  <c:v>21.201140145965351</c:v>
                </c:pt>
                <c:pt idx="80">
                  <c:v>20.608594107321384</c:v>
                </c:pt>
                <c:pt idx="81">
                  <c:v>19.980879710824173</c:v>
                </c:pt>
                <c:pt idx="82">
                  <c:v>19.318974940597482</c:v>
                </c:pt>
                <c:pt idx="83">
                  <c:v>18.624320809970069</c:v>
                </c:pt>
                <c:pt idx="84">
                  <c:v>17.898839296117</c:v>
                </c:pt>
                <c:pt idx="85">
                  <c:v>17.144942610758079</c:v>
                </c:pt>
                <c:pt idx="86">
                  <c:v>16.365532449153292</c:v>
                </c:pt>
                <c:pt idx="87">
                  <c:v>15.563988014162058</c:v>
                </c:pt>
                <c:pt idx="88">
                  <c:v>14.744141845399078</c:v>
                </c:pt>
                <c:pt idx="89">
                  <c:v>13.910242797921821</c:v>
                </c:pt>
                <c:pt idx="90">
                  <c:v>13.066905908333231</c:v>
                </c:pt>
                <c:pt idx="91">
                  <c:v>12.219049351266317</c:v>
                </c:pt>
                <c:pt idx="92">
                  <c:v>11.371819212601137</c:v>
                </c:pt>
                <c:pt idx="93">
                  <c:v>10.530503367891503</c:v>
                </c:pt>
                <c:pt idx="94">
                  <c:v>9.7004363298062355</c:v>
                </c:pt>
                <c:pt idx="95">
                  <c:v>8.8868974860741972</c:v>
                </c:pt>
                <c:pt idx="96">
                  <c:v>8.0950056547020139</c:v>
                </c:pt>
                <c:pt idx="97">
                  <c:v>7.3296132993629213</c:v>
                </c:pt>
                <c:pt idx="98">
                  <c:v>6.5952040386240842</c:v>
                </c:pt>
                <c:pt idx="99">
                  <c:v>5.8957972153718332</c:v>
                </c:pt>
              </c:numCache>
            </c:numRef>
          </c:yVal>
        </c:ser>
        <c:axId val="140228480"/>
        <c:axId val="140242944"/>
      </c:scatterChart>
      <c:valAx>
        <c:axId val="140228480"/>
        <c:scaling>
          <c:orientation val="minMax"/>
          <c:max val="100"/>
        </c:scaling>
        <c:axPos val="b"/>
        <c:title>
          <c:tx>
            <c:rich>
              <a:bodyPr/>
              <a:lstStyle/>
              <a:p>
                <a:pPr>
                  <a:defRPr sz="1025" b="1" i="0" u="none" strike="noStrike" baseline="0">
                    <a:solidFill>
                      <a:srgbClr val="000000"/>
                    </a:solidFill>
                    <a:latin typeface="Arial"/>
                    <a:ea typeface="Arial"/>
                    <a:cs typeface="Arial"/>
                  </a:defRPr>
                </a:pPr>
                <a:r>
                  <a:rPr lang="en-US"/>
                  <a:t>Speed (m.p.h.)</a:t>
                </a:r>
              </a:p>
            </c:rich>
          </c:tx>
          <c:layout>
            <c:manualLayout>
              <c:xMode val="edge"/>
              <c:yMode val="edge"/>
              <c:x val="0.42867402938272103"/>
              <c:y val="0.90790408164923653"/>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0242944"/>
        <c:crosses val="autoZero"/>
        <c:crossBetween val="midCat"/>
      </c:valAx>
      <c:valAx>
        <c:axId val="140242944"/>
        <c:scaling>
          <c:orientation val="minMax"/>
        </c:scaling>
        <c:axPos val="l"/>
        <c:majorGridlines>
          <c:spPr>
            <a:ln w="3175">
              <a:solidFill>
                <a:srgbClr val="C0C0C0"/>
              </a:solidFill>
              <a:prstDash val="solid"/>
            </a:ln>
          </c:spPr>
        </c:majorGridlines>
        <c:title>
          <c:tx>
            <c:rich>
              <a:bodyPr/>
              <a:lstStyle/>
              <a:p>
                <a:pPr>
                  <a:defRPr sz="1025" b="1" i="0" u="none" strike="noStrike" baseline="0">
                    <a:solidFill>
                      <a:srgbClr val="000000"/>
                    </a:solidFill>
                    <a:latin typeface="Arial"/>
                    <a:ea typeface="Arial"/>
                    <a:cs typeface="Arial"/>
                  </a:defRPr>
                </a:pPr>
                <a:r>
                  <a:rPr lang="en-US"/>
                  <a:t>Fuel Economy (mpg)</a:t>
                </a:r>
              </a:p>
            </c:rich>
          </c:tx>
          <c:layout>
            <c:manualLayout>
              <c:xMode val="edge"/>
              <c:yMode val="edge"/>
              <c:x val="8.8937178307265767E-3"/>
              <c:y val="0.27106506423539162"/>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0228480"/>
        <c:crosses val="autoZero"/>
        <c:crossBetween val="midCat"/>
      </c:valAx>
      <c:spPr>
        <a:solidFill>
          <a:srgbClr val="FFFFFF"/>
        </a:solidFill>
        <a:ln w="12700">
          <a:solidFill>
            <a:srgbClr val="808080"/>
          </a:solidFill>
          <a:prstDash val="solid"/>
        </a:ln>
      </c:spPr>
    </c:plotArea>
    <c:legend>
      <c:legendPos val="r"/>
      <c:layout>
        <c:manualLayout>
          <c:xMode val="edge"/>
          <c:yMode val="edge"/>
          <c:x val="0.75974094147326099"/>
          <c:y val="0.16718266253869968"/>
          <c:w val="0.22727289770596493"/>
          <c:h val="0.15479876160990971"/>
        </c:manualLayout>
      </c:layout>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Calibri"/>
                <a:ea typeface="Calibri"/>
                <a:cs typeface="Calibri"/>
              </a:defRPr>
            </a:pPr>
            <a:r>
              <a:rPr lang="en-US"/>
              <a:t>Social Delay Costs from One Auto Double-Parking in Manhattan CBD for One Hour </a:t>
            </a:r>
          </a:p>
        </c:rich>
      </c:tx>
      <c:layout>
        <c:manualLayout>
          <c:xMode val="edge"/>
          <c:yMode val="edge"/>
          <c:x val="0.11320371683397402"/>
          <c:y val="3.2806092560047052E-2"/>
        </c:manualLayout>
      </c:layout>
    </c:title>
    <c:plotArea>
      <c:layout>
        <c:manualLayout>
          <c:layoutTarget val="inner"/>
          <c:xMode val="edge"/>
          <c:yMode val="edge"/>
          <c:x val="7.1381821348160873E-2"/>
          <c:y val="0.12443470389462499"/>
          <c:w val="0.91597994800412985"/>
          <c:h val="0.8041397295730448"/>
        </c:manualLayout>
      </c:layout>
      <c:barChart>
        <c:barDir val="col"/>
        <c:grouping val="clustered"/>
        <c:ser>
          <c:idx val="0"/>
          <c:order val="0"/>
          <c:cat>
            <c:strRef>
              <c:f>Parking!$G$352:$M$352</c:f>
              <c:strCache>
                <c:ptCount val="7"/>
                <c:pt idx="0">
                  <c:v>11 p.m. - 5 a.m.</c:v>
                </c:pt>
                <c:pt idx="1">
                  <c:v>5 a.m. - 6 a.m.</c:v>
                </c:pt>
                <c:pt idx="2">
                  <c:v>6 a.m. - 9 a.m.</c:v>
                </c:pt>
                <c:pt idx="3">
                  <c:v>9 a.m. - 10 a.m.</c:v>
                </c:pt>
                <c:pt idx="4">
                  <c:v>10 a.m. - 2 p.m.</c:v>
                </c:pt>
                <c:pt idx="5">
                  <c:v>2 p.m. - 8 p.m. </c:v>
                </c:pt>
                <c:pt idx="6">
                  <c:v>8 p.m. - 11 p.m.</c:v>
                </c:pt>
              </c:strCache>
            </c:strRef>
          </c:cat>
          <c:val>
            <c:numRef>
              <c:f>Parking!$G$385:$M$385</c:f>
              <c:numCache>
                <c:formatCode>"$"#,##0.00_);\("$"#,##0.00\)</c:formatCode>
                <c:ptCount val="7"/>
                <c:pt idx="0">
                  <c:v>-133.68293630521538</c:v>
                </c:pt>
                <c:pt idx="1">
                  <c:v>-164.92418502559565</c:v>
                </c:pt>
                <c:pt idx="2">
                  <c:v>-462.47217322498915</c:v>
                </c:pt>
                <c:pt idx="3">
                  <c:v>-441.74029403316706</c:v>
                </c:pt>
                <c:pt idx="4">
                  <c:v>-371.47726287184901</c:v>
                </c:pt>
                <c:pt idx="5">
                  <c:v>-498.65593101294581</c:v>
                </c:pt>
                <c:pt idx="6">
                  <c:v>-376.2253425885072</c:v>
                </c:pt>
              </c:numCache>
            </c:numRef>
          </c:val>
        </c:ser>
        <c:axId val="140575872"/>
        <c:axId val="140577408"/>
      </c:barChart>
      <c:catAx>
        <c:axId val="140575872"/>
        <c:scaling>
          <c:orientation val="minMax"/>
        </c:scaling>
        <c:axPos val="b"/>
        <c:numFmt formatCode="General" sourceLinked="1"/>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40577408"/>
        <c:crosses val="autoZero"/>
        <c:auto val="1"/>
        <c:lblAlgn val="ctr"/>
        <c:lblOffset val="100"/>
      </c:catAx>
      <c:valAx>
        <c:axId val="140577408"/>
        <c:scaling>
          <c:orientation val="minMax"/>
        </c:scaling>
        <c:axPos val="l"/>
        <c:majorGridlines/>
        <c:numFmt formatCode="\$#,##0_);\(\$#,##0\)" sourceLinked="0"/>
        <c:tickLblPos val="nextTo"/>
        <c:txPr>
          <a:bodyPr rot="0" vert="horz"/>
          <a:lstStyle/>
          <a:p>
            <a:pPr>
              <a:defRPr sz="1100" b="1" i="0" u="none" strike="noStrike" baseline="0">
                <a:solidFill>
                  <a:srgbClr val="000000"/>
                </a:solidFill>
                <a:latin typeface="Calibri"/>
                <a:ea typeface="Calibri"/>
                <a:cs typeface="Calibri"/>
              </a:defRPr>
            </a:pPr>
            <a:endParaRPr lang="en-US"/>
          </a:p>
        </c:txPr>
        <c:crossAx val="140575872"/>
        <c:crosses val="autoZero"/>
        <c:crossBetween val="between"/>
        <c:majorUnit val="20"/>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425" b="1" i="0" u="none" strike="noStrike" baseline="0">
                <a:solidFill>
                  <a:srgbClr val="000000"/>
                </a:solidFill>
                <a:latin typeface="Arial"/>
                <a:ea typeface="Arial"/>
                <a:cs typeface="Arial"/>
              </a:defRPr>
            </a:pPr>
            <a:r>
              <a:rPr lang="en-US"/>
              <a:t>Delta (from prior # cordon entries)</a:t>
            </a:r>
          </a:p>
        </c:rich>
      </c:tx>
      <c:spPr>
        <a:noFill/>
        <a:ln w="25400">
          <a:noFill/>
        </a:ln>
      </c:spPr>
    </c:title>
    <c:plotArea>
      <c:layout/>
      <c:barChart>
        <c:barDir val="col"/>
        <c:grouping val="clustered"/>
        <c:ser>
          <c:idx val="0"/>
          <c:order val="0"/>
          <c:spPr>
            <a:solidFill>
              <a:srgbClr val="9999FF"/>
            </a:solidFill>
            <a:ln w="12700">
              <a:solidFill>
                <a:srgbClr val="000000"/>
              </a:solidFill>
              <a:prstDash val="solid"/>
            </a:ln>
          </c:spPr>
          <c:val>
            <c:numLit>
              <c:formatCode>General</c:formatCode>
              <c:ptCount val="10"/>
              <c:pt idx="0">
                <c:v>-160328.37781565811</c:v>
              </c:pt>
              <c:pt idx="1">
                <c:v>110624.35532632752</c:v>
              </c:pt>
              <c:pt idx="2">
                <c:v>-82192.407740163748</c:v>
              </c:pt>
              <c:pt idx="3">
                <c:v>45610.712405554834</c:v>
              </c:pt>
              <c:pt idx="4">
                <c:v>-35121.719788497197</c:v>
              </c:pt>
              <c:pt idx="5">
                <c:v>14765.755590215442</c:v>
              </c:pt>
              <c:pt idx="6">
                <c:v>-5910.5243876187596</c:v>
              </c:pt>
              <c:pt idx="7">
                <c:v>2218.1654394479697</c:v>
              </c:pt>
              <c:pt idx="8">
                <c:v>-755.47781914414338</c:v>
              </c:pt>
              <c:pt idx="9">
                <c:v>245.11636061978058</c:v>
              </c:pt>
            </c:numLit>
          </c:val>
        </c:ser>
        <c:axId val="148898176"/>
        <c:axId val="148899712"/>
      </c:barChart>
      <c:catAx>
        <c:axId val="148898176"/>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48899712"/>
        <c:crosses val="autoZero"/>
        <c:auto val="1"/>
        <c:lblAlgn val="ctr"/>
        <c:lblOffset val="100"/>
        <c:tickLblSkip val="1"/>
        <c:tickMarkSkip val="1"/>
      </c:catAx>
      <c:valAx>
        <c:axId val="148899712"/>
        <c:scaling>
          <c:orientation val="minMax"/>
        </c:scaling>
        <c:delete val="1"/>
        <c:axPos val="l"/>
        <c:majorGridlines>
          <c:spPr>
            <a:ln w="3175">
              <a:solidFill>
                <a:srgbClr val="000000"/>
              </a:solidFill>
              <a:prstDash val="solid"/>
            </a:ln>
          </c:spPr>
        </c:majorGridlines>
        <c:numFmt formatCode="General" sourceLinked="1"/>
        <c:tickLblPos val="none"/>
        <c:crossAx val="14889817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75" b="1" i="0" u="none" strike="noStrike" baseline="0">
                <a:solidFill>
                  <a:srgbClr val="000000"/>
                </a:solidFill>
                <a:latin typeface="Arial"/>
                <a:ea typeface="Arial"/>
                <a:cs typeface="Arial"/>
              </a:defRPr>
            </a:pPr>
            <a:r>
              <a:rPr lang="en-US"/>
              <a:t>Speed Increase due to Toll</a:t>
            </a:r>
          </a:p>
        </c:rich>
      </c:tx>
      <c:spPr>
        <a:noFill/>
        <a:ln w="25400">
          <a:noFill/>
        </a:ln>
      </c:spPr>
    </c:title>
    <c:plotArea>
      <c:layout/>
      <c:barChart>
        <c:barDir val="col"/>
        <c:grouping val="clustered"/>
        <c:ser>
          <c:idx val="0"/>
          <c:order val="0"/>
          <c:tx>
            <c:v>Cordon</c:v>
          </c:tx>
          <c:spPr>
            <a:solidFill>
              <a:srgbClr val="9999FF"/>
            </a:solidFill>
            <a:ln w="12700">
              <a:solidFill>
                <a:srgbClr val="000000"/>
              </a:solidFill>
              <a:prstDash val="solid"/>
            </a:ln>
          </c:spPr>
          <c:dLbls>
            <c:spPr>
              <a:solidFill>
                <a:srgbClr val="FFFFFF"/>
              </a:solidFill>
              <a:ln w="25400">
                <a:noFill/>
              </a:ln>
            </c:spPr>
            <c:txPr>
              <a:bodyPr/>
              <a:lstStyle/>
              <a:p>
                <a:pPr>
                  <a:defRPr sz="250" b="1" i="0" u="none" strike="noStrike" baseline="0">
                    <a:solidFill>
                      <a:srgbClr val="000000"/>
                    </a:solidFill>
                    <a:latin typeface="Arial"/>
                    <a:ea typeface="Arial"/>
                    <a:cs typeface="Arial"/>
                  </a:defRPr>
                </a:pPr>
                <a:endParaRPr lang="en-US"/>
              </a:p>
            </c:txPr>
            <c:showVal val="1"/>
          </c:dLbls>
          <c:cat>
            <c:strLit>
              <c:ptCount val="8"/>
              <c:pt idx="0">
                <c:v>11 pm - 5 am</c:v>
              </c:pt>
              <c:pt idx="1">
                <c:v>5 am - 6 am</c:v>
              </c:pt>
              <c:pt idx="2">
                <c:v>6 am - 9 am</c:v>
              </c:pt>
              <c:pt idx="3">
                <c:v>9 am - 10 am</c:v>
              </c:pt>
              <c:pt idx="4">
                <c:v>10 am - 2 pm</c:v>
              </c:pt>
              <c:pt idx="5">
                <c:v>2 pm - 8 pm </c:v>
              </c:pt>
              <c:pt idx="6">
                <c:v>8 pm - 11 pm</c:v>
              </c:pt>
              <c:pt idx="7">
                <c:v>6 a.m. - 6 p.m.</c:v>
              </c:pt>
            </c:strLit>
          </c:cat>
          <c:val>
            <c:numLit>
              <c:formatCode>General</c:formatCode>
              <c:ptCount val="8"/>
              <c:pt idx="0">
                <c:v>5.6189052564314746E-3</c:v>
              </c:pt>
              <c:pt idx="1">
                <c:v>1.5068363270485777E-2</c:v>
              </c:pt>
              <c:pt idx="2">
                <c:v>0.24568003294080043</c:v>
              </c:pt>
              <c:pt idx="3">
                <c:v>0.17257186095084287</c:v>
              </c:pt>
              <c:pt idx="4">
                <c:v>0.11310230161690972</c:v>
              </c:pt>
              <c:pt idx="5">
                <c:v>0.20060156231067902</c:v>
              </c:pt>
              <c:pt idx="6">
                <c:v>0.12650261959296241</c:v>
              </c:pt>
              <c:pt idx="7">
                <c:v>0.19</c:v>
              </c:pt>
            </c:numLit>
          </c:val>
        </c:ser>
        <c:ser>
          <c:idx val="1"/>
          <c:order val="1"/>
          <c:tx>
            <c:v>Non-cordon</c:v>
          </c:tx>
          <c:spPr>
            <a:solidFill>
              <a:srgbClr val="993366"/>
            </a:solidFill>
            <a:ln w="12700">
              <a:solidFill>
                <a:srgbClr val="000000"/>
              </a:solidFill>
              <a:prstDash val="solid"/>
            </a:ln>
          </c:spPr>
          <c:cat>
            <c:strLit>
              <c:ptCount val="8"/>
              <c:pt idx="0">
                <c:v>11 pm - 5 am</c:v>
              </c:pt>
              <c:pt idx="1">
                <c:v>5 am - 6 am</c:v>
              </c:pt>
              <c:pt idx="2">
                <c:v>6 am - 9 am</c:v>
              </c:pt>
              <c:pt idx="3">
                <c:v>9 am - 10 am</c:v>
              </c:pt>
              <c:pt idx="4">
                <c:v>10 am - 2 pm</c:v>
              </c:pt>
              <c:pt idx="5">
                <c:v>2 pm - 8 pm </c:v>
              </c:pt>
              <c:pt idx="6">
                <c:v>8 pm - 11 pm</c:v>
              </c:pt>
              <c:pt idx="7">
                <c:v>6 a.m. - 6 p.m.</c:v>
              </c:pt>
            </c:strLit>
          </c:cat>
          <c:val>
            <c:numLit>
              <c:formatCode>General</c:formatCode>
              <c:ptCount val="8"/>
              <c:pt idx="0">
                <c:v>-1.2402355725816923E-4</c:v>
              </c:pt>
              <c:pt idx="1">
                <c:v>1.9043142868313583E-2</c:v>
              </c:pt>
              <c:pt idx="2">
                <c:v>6.7622837880422032E-2</c:v>
              </c:pt>
              <c:pt idx="3">
                <c:v>5.3877325763162745E-2</c:v>
              </c:pt>
              <c:pt idx="4">
                <c:v>4.0502060061941514E-2</c:v>
              </c:pt>
              <c:pt idx="5">
                <c:v>5.3994353387253946E-2</c:v>
              </c:pt>
              <c:pt idx="6">
                <c:v>4.0044551595267645E-2</c:v>
              </c:pt>
              <c:pt idx="7">
                <c:v>6.0000000000000032E-2</c:v>
              </c:pt>
            </c:numLit>
          </c:val>
        </c:ser>
        <c:axId val="148949248"/>
        <c:axId val="149168128"/>
      </c:barChart>
      <c:catAx>
        <c:axId val="148949248"/>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49168128"/>
        <c:crosses val="autoZero"/>
        <c:auto val="1"/>
        <c:lblAlgn val="ctr"/>
        <c:lblOffset val="100"/>
        <c:tickLblSkip val="1"/>
        <c:tickMarkSkip val="1"/>
      </c:catAx>
      <c:valAx>
        <c:axId val="149168128"/>
        <c:scaling>
          <c:orientation val="minMax"/>
        </c:scaling>
        <c:axPos val="l"/>
        <c:majorGridlines>
          <c:spPr>
            <a:ln w="3175">
              <a:solidFill>
                <a:srgbClr val="C0C0C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48949248"/>
        <c:crosses val="autoZero"/>
        <c:crossBetween val="between"/>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5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275" b="1" i="0" u="none" strike="noStrike" baseline="0">
                <a:solidFill>
                  <a:srgbClr val="000000"/>
                </a:solidFill>
                <a:latin typeface="Arial"/>
                <a:ea typeface="Arial"/>
                <a:cs typeface="Arial"/>
              </a:defRPr>
            </a:pPr>
            <a:r>
              <a:rPr lang="en-US"/>
              <a:t>Time Saved - motor vehicle hours</a:t>
            </a:r>
          </a:p>
        </c:rich>
      </c:tx>
      <c:spPr>
        <a:noFill/>
        <a:ln w="25400">
          <a:noFill/>
        </a:ln>
      </c:spPr>
    </c:title>
    <c:plotArea>
      <c:layout/>
      <c:barChart>
        <c:barDir val="col"/>
        <c:grouping val="clustered"/>
        <c:ser>
          <c:idx val="0"/>
          <c:order val="0"/>
          <c:tx>
            <c:v>Cordon</c:v>
          </c:tx>
          <c:spPr>
            <a:solidFill>
              <a:srgbClr val="9999FF"/>
            </a:solidFill>
            <a:ln w="12700">
              <a:solidFill>
                <a:srgbClr val="000000"/>
              </a:solidFill>
              <a:prstDash val="solid"/>
            </a:ln>
          </c:spPr>
          <c:dPt>
            <c:idx val="7"/>
            <c:spPr>
              <a:solidFill>
                <a:srgbClr val="000080"/>
              </a:solidFill>
              <a:ln w="12700">
                <a:solidFill>
                  <a:srgbClr val="000000"/>
                </a:solidFill>
                <a:prstDash val="solid"/>
              </a:ln>
            </c:spPr>
          </c:dPt>
          <c:dLbls>
            <c:spPr>
              <a:solidFill>
                <a:srgbClr val="FFFFFF"/>
              </a:solidFill>
              <a:ln w="25400">
                <a:noFill/>
              </a:ln>
            </c:spPr>
            <c:txPr>
              <a:bodyPr/>
              <a:lstStyle/>
              <a:p>
                <a:pPr>
                  <a:defRPr sz="200" b="1" i="0" u="none" strike="noStrike" baseline="0">
                    <a:solidFill>
                      <a:srgbClr val="000000"/>
                    </a:solidFill>
                    <a:latin typeface="Arial"/>
                    <a:ea typeface="Arial"/>
                    <a:cs typeface="Arial"/>
                  </a:defRPr>
                </a:pPr>
                <a:endParaRPr lang="en-US"/>
              </a:p>
            </c:txPr>
            <c:showVal val="1"/>
          </c:dLbls>
          <c:cat>
            <c:strLit>
              <c:ptCount val="8"/>
              <c:pt idx="0">
                <c:v>11 pm - 5 am</c:v>
              </c:pt>
              <c:pt idx="1">
                <c:v>5 am - 6 am</c:v>
              </c:pt>
              <c:pt idx="2">
                <c:v>6 am - 9 am</c:v>
              </c:pt>
              <c:pt idx="3">
                <c:v>9 am - 10 am</c:v>
              </c:pt>
              <c:pt idx="4">
                <c:v>10 am - 2 pm</c:v>
              </c:pt>
              <c:pt idx="5">
                <c:v>2 pm - 8 pm </c:v>
              </c:pt>
              <c:pt idx="6">
                <c:v>8 pm - 11 pm</c:v>
              </c:pt>
              <c:pt idx="7">
                <c:v>Total</c:v>
              </c:pt>
            </c:strLit>
          </c:cat>
          <c:val>
            <c:numLit>
              <c:formatCode>General</c:formatCode>
              <c:ptCount val="8"/>
              <c:pt idx="0">
                <c:v>80.193295664996327</c:v>
              </c:pt>
              <c:pt idx="1">
                <c:v>85.670219468785035</c:v>
              </c:pt>
              <c:pt idx="2">
                <c:v>14436.533064132844</c:v>
              </c:pt>
              <c:pt idx="3">
                <c:v>2508.8467325728889</c:v>
              </c:pt>
              <c:pt idx="4">
                <c:v>5130.7336155339872</c:v>
              </c:pt>
              <c:pt idx="5">
                <c:v>23800.727742996962</c:v>
              </c:pt>
              <c:pt idx="6">
                <c:v>3683.8114165321131</c:v>
              </c:pt>
              <c:pt idx="7">
                <c:v>49726.516086901145</c:v>
              </c:pt>
            </c:numLit>
          </c:val>
        </c:ser>
        <c:axId val="149217664"/>
        <c:axId val="149219200"/>
      </c:barChart>
      <c:catAx>
        <c:axId val="149217664"/>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49219200"/>
        <c:crosses val="autoZero"/>
        <c:auto val="1"/>
        <c:lblAlgn val="ctr"/>
        <c:lblOffset val="100"/>
        <c:tickLblSkip val="1"/>
        <c:tickMarkSkip val="1"/>
      </c:catAx>
      <c:valAx>
        <c:axId val="149219200"/>
        <c:scaling>
          <c:orientation val="minMax"/>
        </c:scaling>
        <c:axPos val="l"/>
        <c:majorGridlines>
          <c:spPr>
            <a:ln w="3175">
              <a:solidFill>
                <a:srgbClr val="C0C0C0"/>
              </a:solidFill>
              <a:prstDash val="solid"/>
            </a:ln>
          </c:spPr>
        </c:majorGridlines>
        <c:numFmt formatCode="General" sourceLinked="1"/>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4921766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Arial"/>
                <a:ea typeface="Arial"/>
                <a:cs typeface="Arial"/>
              </a:defRPr>
            </a:pPr>
            <a:r>
              <a:rPr lang="en-US"/>
              <a:t>Delays caused by Fresh Direct
Deliveries to Manhattan CBD</a:t>
            </a:r>
          </a:p>
        </c:rich>
      </c:tx>
      <c:layout>
        <c:manualLayout>
          <c:xMode val="edge"/>
          <c:yMode val="edge"/>
          <c:x val="0.29675086068789536"/>
          <c:y val="3.7341384958459206E-2"/>
        </c:manualLayout>
      </c:layout>
      <c:spPr>
        <a:noFill/>
        <a:ln w="25400">
          <a:noFill/>
        </a:ln>
      </c:spPr>
    </c:title>
    <c:plotArea>
      <c:layout>
        <c:manualLayout>
          <c:layoutTarget val="inner"/>
          <c:xMode val="edge"/>
          <c:yMode val="edge"/>
          <c:x val="0.15584448526381744"/>
          <c:y val="0.18796992481204719"/>
          <c:w val="0.14935096504448442"/>
          <c:h val="0.57518796992481158"/>
        </c:manualLayout>
      </c:layout>
      <c:barChart>
        <c:barDir val="col"/>
        <c:grouping val="stacked"/>
        <c:ser>
          <c:idx val="0"/>
          <c:order val="0"/>
          <c:tx>
            <c:strRef>
              <c:f>FreshDirect!$B$181</c:f>
              <c:strCache>
                <c:ptCount val="1"/>
                <c:pt idx="0">
                  <c:v>Caused by FD trucks driving w/i CBD</c:v>
                </c:pt>
              </c:strCache>
            </c:strRef>
          </c:tx>
          <c:spPr>
            <a:solidFill>
              <a:srgbClr val="9999FF"/>
            </a:solidFill>
            <a:ln w="12700">
              <a:solidFill>
                <a:srgbClr val="000000"/>
              </a:solidFill>
              <a:prstDash val="solid"/>
            </a:ln>
          </c:spPr>
          <c:val>
            <c:numRef>
              <c:f>FreshDirect!$F$181</c:f>
              <c:numCache>
                <c:formatCode>0</c:formatCode>
                <c:ptCount val="1"/>
                <c:pt idx="0">
                  <c:v>33950.319318164518</c:v>
                </c:pt>
              </c:numCache>
            </c:numRef>
          </c:val>
        </c:ser>
        <c:ser>
          <c:idx val="1"/>
          <c:order val="1"/>
          <c:tx>
            <c:strRef>
              <c:f>FreshDirect!$B$182</c:f>
              <c:strCache>
                <c:ptCount val="1"/>
                <c:pt idx="0">
                  <c:v>Caused by FD trucks driving outside CBD</c:v>
                </c:pt>
              </c:strCache>
            </c:strRef>
          </c:tx>
          <c:spPr>
            <a:solidFill>
              <a:srgbClr val="993366"/>
            </a:solidFill>
            <a:ln w="12700">
              <a:solidFill>
                <a:srgbClr val="000000"/>
              </a:solidFill>
              <a:prstDash val="solid"/>
            </a:ln>
          </c:spPr>
          <c:val>
            <c:numRef>
              <c:f>FreshDirect!$F$182</c:f>
              <c:numCache>
                <c:formatCode>0</c:formatCode>
                <c:ptCount val="1"/>
                <c:pt idx="0">
                  <c:v>634949.32961832662</c:v>
                </c:pt>
              </c:numCache>
            </c:numRef>
          </c:val>
        </c:ser>
        <c:ser>
          <c:idx val="2"/>
          <c:order val="2"/>
          <c:tx>
            <c:strRef>
              <c:f>FreshDirect!$B$183</c:f>
              <c:strCache>
                <c:ptCount val="1"/>
                <c:pt idx="0">
                  <c:v>Caused by FD trucks parked w/i CBD</c:v>
                </c:pt>
              </c:strCache>
            </c:strRef>
          </c:tx>
          <c:spPr>
            <a:solidFill>
              <a:srgbClr val="FFFFCC"/>
            </a:solidFill>
            <a:ln w="12700">
              <a:solidFill>
                <a:srgbClr val="000000"/>
              </a:solidFill>
              <a:prstDash val="solid"/>
            </a:ln>
          </c:spPr>
          <c:val>
            <c:numRef>
              <c:f>FreshDirect!$F$183</c:f>
              <c:numCache>
                <c:formatCode>_(* #,##0_);_(* \(#,##0\);_(* "-"??_);_(@_)</c:formatCode>
                <c:ptCount val="1"/>
                <c:pt idx="0">
                  <c:v>15926.238889046013</c:v>
                </c:pt>
              </c:numCache>
            </c:numRef>
          </c:val>
        </c:ser>
        <c:overlap val="100"/>
        <c:axId val="149300352"/>
        <c:axId val="149302272"/>
      </c:barChart>
      <c:catAx>
        <c:axId val="149300352"/>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n-US"/>
                  <a:t>Weekdays</a:t>
                </a:r>
              </a:p>
            </c:rich>
          </c:tx>
          <c:layout>
            <c:manualLayout>
              <c:xMode val="edge"/>
              <c:yMode val="edge"/>
              <c:x val="0.16486166501914518"/>
              <c:y val="0.8140437708444338"/>
            </c:manualLayout>
          </c:layout>
          <c:spPr>
            <a:noFill/>
            <a:ln w="25400">
              <a:noFill/>
            </a:ln>
          </c:spPr>
        </c:title>
        <c:tickLblPos val="none"/>
        <c:crossAx val="149302272"/>
        <c:crosses val="autoZero"/>
        <c:auto val="1"/>
        <c:lblAlgn val="ctr"/>
        <c:lblOffset val="100"/>
      </c:catAx>
      <c:valAx>
        <c:axId val="149302272"/>
        <c:scaling>
          <c:orientation val="minMax"/>
        </c:scaling>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Hours of Delay (per day)</a:t>
                </a:r>
              </a:p>
            </c:rich>
          </c:tx>
          <c:layout>
            <c:manualLayout>
              <c:xMode val="edge"/>
              <c:yMode val="edge"/>
              <c:x val="1.1775800752178709E-2"/>
              <c:y val="0.28006078187598393"/>
            </c:manualLayout>
          </c:layout>
          <c:spPr>
            <a:noFill/>
            <a:ln w="25400">
              <a:noFill/>
            </a:ln>
          </c:spPr>
        </c:title>
        <c:numFmt formatCode="0" sourceLinked="1"/>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49300352"/>
        <c:crosses val="autoZero"/>
        <c:crossBetween val="between"/>
        <c:majorUnit val="510.88795150594547"/>
        <c:minorUnit val="510.88795150594547"/>
      </c:valAx>
      <c:spPr>
        <a:solidFill>
          <a:srgbClr val="C0C0C0"/>
        </a:solidFill>
        <a:ln w="12700">
          <a:solidFill>
            <a:srgbClr val="808080"/>
          </a:solidFill>
          <a:prstDash val="solid"/>
        </a:ln>
      </c:spPr>
    </c:plotArea>
    <c:legend>
      <c:legendPos val="r"/>
      <c:layout>
        <c:manualLayout>
          <c:xMode val="edge"/>
          <c:yMode val="edge"/>
          <c:x val="0.31601799775031048"/>
          <c:y val="0.29699248120302973"/>
          <c:w val="0.60389746736203165"/>
          <c:h val="0.36090225563910538"/>
        </c:manualLayout>
      </c:layout>
      <c:spPr>
        <a:solidFill>
          <a:srgbClr val="FFFFFF"/>
        </a:solidFill>
        <a:ln w="3175">
          <a:solidFill>
            <a:srgbClr val="000000"/>
          </a:solidFill>
          <a:prstDash val="solid"/>
        </a:ln>
      </c:spPr>
      <c:txPr>
        <a:bodyPr/>
        <a:lstStyle/>
        <a:p>
          <a:pPr>
            <a:defRPr sz="520" b="1"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chart" Target="../charts/chart4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chart" Target="../charts/chart57.xml"/><Relationship Id="rId5" Type="http://schemas.openxmlformats.org/officeDocument/2006/relationships/chart" Target="../charts/chart56.xml"/><Relationship Id="rId4" Type="http://schemas.openxmlformats.org/officeDocument/2006/relationships/chart" Target="../charts/chart5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5" Type="http://schemas.openxmlformats.org/officeDocument/2006/relationships/chart" Target="../charts/chart65.xml"/><Relationship Id="rId4" Type="http://schemas.openxmlformats.org/officeDocument/2006/relationships/chart" Target="../charts/chart64.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 Id="rId4" Type="http://schemas.openxmlformats.org/officeDocument/2006/relationships/chart" Target="../charts/chart74.xm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153</xdr:row>
      <xdr:rowOff>19050</xdr:rowOff>
    </xdr:from>
    <xdr:to>
      <xdr:col>13</xdr:col>
      <xdr:colOff>552450</xdr:colOff>
      <xdr:row>155</xdr:row>
      <xdr:rowOff>142875</xdr:rowOff>
    </xdr:to>
    <xdr:sp macro="" textlink="">
      <xdr:nvSpPr>
        <xdr:cNvPr id="49156" name="Text Box 4"/>
        <xdr:cNvSpPr txBox="1">
          <a:spLocks noChangeArrowheads="1"/>
        </xdr:cNvSpPr>
      </xdr:nvSpPr>
      <xdr:spPr bwMode="auto">
        <a:xfrm>
          <a:off x="6276975" y="12382500"/>
          <a:ext cx="1695450" cy="466725"/>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150" b="1" i="0" u="none" strike="noStrike" baseline="0">
              <a:solidFill>
                <a:srgbClr val="000000"/>
              </a:solidFill>
              <a:latin typeface="Arial"/>
              <a:cs typeface="Arial"/>
            </a:rPr>
            <a:t> </a:t>
          </a:r>
          <a:endParaRPr lang="en-US" sz="1100" b="1" i="0" u="none" strike="noStrike" baseline="0">
            <a:solidFill>
              <a:srgbClr val="000000"/>
            </a:solidFill>
            <a:latin typeface="Arial"/>
            <a:cs typeface="Arial"/>
          </a:endParaRPr>
        </a:p>
      </xdr:txBody>
    </xdr:sp>
    <xdr:clientData/>
  </xdr:twoCellAnchor>
  <xdr:twoCellAnchor>
    <xdr:from>
      <xdr:col>15</xdr:col>
      <xdr:colOff>95250</xdr:colOff>
      <xdr:row>135</xdr:row>
      <xdr:rowOff>114300</xdr:rowOff>
    </xdr:from>
    <xdr:to>
      <xdr:col>21</xdr:col>
      <xdr:colOff>0</xdr:colOff>
      <xdr:row>149</xdr:row>
      <xdr:rowOff>123825</xdr:rowOff>
    </xdr:to>
    <xdr:graphicFrame macro="">
      <xdr:nvGraphicFramePr>
        <xdr:cNvPr id="6521503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135</xdr:row>
      <xdr:rowOff>114300</xdr:rowOff>
    </xdr:from>
    <xdr:to>
      <xdr:col>27</xdr:col>
      <xdr:colOff>476250</xdr:colOff>
      <xdr:row>149</xdr:row>
      <xdr:rowOff>123825</xdr:rowOff>
    </xdr:to>
    <xdr:graphicFrame macro="">
      <xdr:nvGraphicFramePr>
        <xdr:cNvPr id="6521503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159</xdr:row>
      <xdr:rowOff>0</xdr:rowOff>
    </xdr:from>
    <xdr:to>
      <xdr:col>20</xdr:col>
      <xdr:colOff>533400</xdr:colOff>
      <xdr:row>173</xdr:row>
      <xdr:rowOff>85725</xdr:rowOff>
    </xdr:to>
    <xdr:graphicFrame macro="">
      <xdr:nvGraphicFramePr>
        <xdr:cNvPr id="65215035"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159</xdr:row>
      <xdr:rowOff>0</xdr:rowOff>
    </xdr:from>
    <xdr:to>
      <xdr:col>27</xdr:col>
      <xdr:colOff>495300</xdr:colOff>
      <xdr:row>173</xdr:row>
      <xdr:rowOff>85725</xdr:rowOff>
    </xdr:to>
    <xdr:graphicFrame macro="">
      <xdr:nvGraphicFramePr>
        <xdr:cNvPr id="65215036"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142875</xdr:colOff>
      <xdr:row>16</xdr:row>
      <xdr:rowOff>95250</xdr:rowOff>
    </xdr:from>
    <xdr:to>
      <xdr:col>13</xdr:col>
      <xdr:colOff>571500</xdr:colOff>
      <xdr:row>19</xdr:row>
      <xdr:rowOff>114300</xdr:rowOff>
    </xdr:to>
    <xdr:sp macro="" textlink="">
      <xdr:nvSpPr>
        <xdr:cNvPr id="49290" name="Text Box 18"/>
        <xdr:cNvSpPr txBox="1">
          <a:spLocks noChangeArrowheads="1"/>
        </xdr:cNvSpPr>
      </xdr:nvSpPr>
      <xdr:spPr bwMode="auto">
        <a:xfrm>
          <a:off x="6343650" y="2590800"/>
          <a:ext cx="1647825" cy="53340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xdr:from>
      <xdr:col>15</xdr:col>
      <xdr:colOff>66675</xdr:colOff>
      <xdr:row>18</xdr:row>
      <xdr:rowOff>47625</xdr:rowOff>
    </xdr:from>
    <xdr:to>
      <xdr:col>21</xdr:col>
      <xdr:colOff>161925</xdr:colOff>
      <xdr:row>32</xdr:row>
      <xdr:rowOff>95250</xdr:rowOff>
    </xdr:to>
    <xdr:graphicFrame macro="">
      <xdr:nvGraphicFramePr>
        <xdr:cNvPr id="6521504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85725</xdr:colOff>
      <xdr:row>18</xdr:row>
      <xdr:rowOff>38100</xdr:rowOff>
    </xdr:from>
    <xdr:to>
      <xdr:col>27</xdr:col>
      <xdr:colOff>571500</xdr:colOff>
      <xdr:row>32</xdr:row>
      <xdr:rowOff>85725</xdr:rowOff>
    </xdr:to>
    <xdr:graphicFrame macro="">
      <xdr:nvGraphicFramePr>
        <xdr:cNvPr id="6521504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200025</xdr:colOff>
      <xdr:row>18</xdr:row>
      <xdr:rowOff>38100</xdr:rowOff>
    </xdr:from>
    <xdr:to>
      <xdr:col>34</xdr:col>
      <xdr:colOff>504825</xdr:colOff>
      <xdr:row>32</xdr:row>
      <xdr:rowOff>76200</xdr:rowOff>
    </xdr:to>
    <xdr:graphicFrame macro="">
      <xdr:nvGraphicFramePr>
        <xdr:cNvPr id="6521504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11</xdr:col>
      <xdr:colOff>180975</xdr:colOff>
      <xdr:row>82</xdr:row>
      <xdr:rowOff>38100</xdr:rowOff>
    </xdr:from>
    <xdr:to>
      <xdr:col>13</xdr:col>
      <xdr:colOff>571499</xdr:colOff>
      <xdr:row>85</xdr:row>
      <xdr:rowOff>114300</xdr:rowOff>
    </xdr:to>
    <xdr:sp macro="" textlink="">
      <xdr:nvSpPr>
        <xdr:cNvPr id="49304" name="Text Box 18"/>
        <xdr:cNvSpPr txBox="1">
          <a:spLocks noChangeArrowheads="1"/>
        </xdr:cNvSpPr>
      </xdr:nvSpPr>
      <xdr:spPr bwMode="auto">
        <a:xfrm>
          <a:off x="6381750" y="8553450"/>
          <a:ext cx="1609724" cy="59055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a:p>
          <a:pPr algn="l" rtl="0">
            <a:defRPr sz="1000"/>
          </a:pPr>
          <a:endParaRPr lang="en-US" sz="1100" b="1" i="0" u="none" strike="noStrike" baseline="0">
            <a:solidFill>
              <a:srgbClr val="000000"/>
            </a:solidFill>
            <a:latin typeface="Arial"/>
            <a:cs typeface="Arial"/>
          </a:endParaRPr>
        </a:p>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133350</xdr:colOff>
      <xdr:row>111</xdr:row>
      <xdr:rowOff>57150</xdr:rowOff>
    </xdr:from>
    <xdr:to>
      <xdr:col>13</xdr:col>
      <xdr:colOff>590550</xdr:colOff>
      <xdr:row>113</xdr:row>
      <xdr:rowOff>123825</xdr:rowOff>
    </xdr:to>
    <xdr:sp macro="" textlink="">
      <xdr:nvSpPr>
        <xdr:cNvPr id="49305" name="Text Box 153"/>
        <xdr:cNvSpPr txBox="1">
          <a:spLocks noChangeArrowheads="1"/>
        </xdr:cNvSpPr>
      </xdr:nvSpPr>
      <xdr:spPr bwMode="auto">
        <a:xfrm>
          <a:off x="6334125" y="13106400"/>
          <a:ext cx="1676400" cy="409575"/>
        </a:xfrm>
        <a:prstGeom prst="rect">
          <a:avLst/>
        </a:prstGeom>
        <a:noFill/>
        <a:ln w="9525">
          <a:noFill/>
          <a:miter lim="800000"/>
          <a:headEnd/>
          <a:tailEnd/>
        </a:ln>
      </xdr:spPr>
      <xdr:txBody>
        <a:bodyPr vertOverflow="clip" wrap="square" lIns="27432"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76200</xdr:colOff>
      <xdr:row>35</xdr:row>
      <xdr:rowOff>9525</xdr:rowOff>
    </xdr:from>
    <xdr:to>
      <xdr:col>13</xdr:col>
      <xdr:colOff>628650</xdr:colOff>
      <xdr:row>39</xdr:row>
      <xdr:rowOff>28575</xdr:rowOff>
    </xdr:to>
    <xdr:sp macro="" textlink="">
      <xdr:nvSpPr>
        <xdr:cNvPr id="23" name="Text Box 18"/>
        <xdr:cNvSpPr txBox="1">
          <a:spLocks noChangeArrowheads="1"/>
        </xdr:cNvSpPr>
      </xdr:nvSpPr>
      <xdr:spPr bwMode="auto">
        <a:xfrm>
          <a:off x="6276975" y="5505450"/>
          <a:ext cx="1771650" cy="70485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xdr:from>
      <xdr:col>15</xdr:col>
      <xdr:colOff>66675</xdr:colOff>
      <xdr:row>37</xdr:row>
      <xdr:rowOff>133350</xdr:rowOff>
    </xdr:from>
    <xdr:to>
      <xdr:col>21</xdr:col>
      <xdr:colOff>161925</xdr:colOff>
      <xdr:row>52</xdr:row>
      <xdr:rowOff>19050</xdr:rowOff>
    </xdr:to>
    <xdr:graphicFrame macro="">
      <xdr:nvGraphicFramePr>
        <xdr:cNvPr id="6521505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114300</xdr:colOff>
      <xdr:row>37</xdr:row>
      <xdr:rowOff>133350</xdr:rowOff>
    </xdr:from>
    <xdr:to>
      <xdr:col>27</xdr:col>
      <xdr:colOff>600075</xdr:colOff>
      <xdr:row>52</xdr:row>
      <xdr:rowOff>19050</xdr:rowOff>
    </xdr:to>
    <xdr:graphicFrame macro="">
      <xdr:nvGraphicFramePr>
        <xdr:cNvPr id="6521505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19050</xdr:colOff>
      <xdr:row>37</xdr:row>
      <xdr:rowOff>142875</xdr:rowOff>
    </xdr:from>
    <xdr:to>
      <xdr:col>34</xdr:col>
      <xdr:colOff>542925</xdr:colOff>
      <xdr:row>52</xdr:row>
      <xdr:rowOff>19050</xdr:rowOff>
    </xdr:to>
    <xdr:graphicFrame macro="">
      <xdr:nvGraphicFramePr>
        <xdr:cNvPr id="6521505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11</xdr:col>
      <xdr:colOff>76200</xdr:colOff>
      <xdr:row>16</xdr:row>
      <xdr:rowOff>9525</xdr:rowOff>
    </xdr:from>
    <xdr:to>
      <xdr:col>13</xdr:col>
      <xdr:colOff>628650</xdr:colOff>
      <xdr:row>20</xdr:row>
      <xdr:rowOff>28575</xdr:rowOff>
    </xdr:to>
    <xdr:sp macro="" textlink="">
      <xdr:nvSpPr>
        <xdr:cNvPr id="27" name="Text Box 18"/>
        <xdr:cNvSpPr txBox="1">
          <a:spLocks noChangeArrowheads="1"/>
        </xdr:cNvSpPr>
      </xdr:nvSpPr>
      <xdr:spPr bwMode="auto">
        <a:xfrm>
          <a:off x="6276975" y="5505450"/>
          <a:ext cx="1771650" cy="70485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0</xdr:colOff>
      <xdr:row>129</xdr:row>
      <xdr:rowOff>0</xdr:rowOff>
    </xdr:from>
    <xdr:to>
      <xdr:col>13</xdr:col>
      <xdr:colOff>323850</xdr:colOff>
      <xdr:row>133</xdr:row>
      <xdr:rowOff>19050</xdr:rowOff>
    </xdr:to>
    <xdr:sp macro="" textlink="">
      <xdr:nvSpPr>
        <xdr:cNvPr id="29" name="Text Box 2"/>
        <xdr:cNvSpPr txBox="1">
          <a:spLocks noChangeArrowheads="1"/>
        </xdr:cNvSpPr>
      </xdr:nvSpPr>
      <xdr:spPr bwMode="auto">
        <a:xfrm>
          <a:off x="6200775" y="15735300"/>
          <a:ext cx="1543050" cy="70485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142875</xdr:colOff>
      <xdr:row>28</xdr:row>
      <xdr:rowOff>95250</xdr:rowOff>
    </xdr:from>
    <xdr:to>
      <xdr:col>13</xdr:col>
      <xdr:colOff>571500</xdr:colOff>
      <xdr:row>31</xdr:row>
      <xdr:rowOff>114300</xdr:rowOff>
    </xdr:to>
    <xdr:sp macro="" textlink="">
      <xdr:nvSpPr>
        <xdr:cNvPr id="22" name="Text Box 18"/>
        <xdr:cNvSpPr txBox="1">
          <a:spLocks noChangeArrowheads="1"/>
        </xdr:cNvSpPr>
      </xdr:nvSpPr>
      <xdr:spPr bwMode="auto">
        <a:xfrm>
          <a:off x="5804535" y="2724150"/>
          <a:ext cx="1541145" cy="54483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76200</xdr:colOff>
      <xdr:row>28</xdr:row>
      <xdr:rowOff>9525</xdr:rowOff>
    </xdr:from>
    <xdr:to>
      <xdr:col>13</xdr:col>
      <xdr:colOff>628650</xdr:colOff>
      <xdr:row>32</xdr:row>
      <xdr:rowOff>28575</xdr:rowOff>
    </xdr:to>
    <xdr:sp macro="" textlink="">
      <xdr:nvSpPr>
        <xdr:cNvPr id="24" name="Text Box 18"/>
        <xdr:cNvSpPr txBox="1">
          <a:spLocks noChangeArrowheads="1"/>
        </xdr:cNvSpPr>
      </xdr:nvSpPr>
      <xdr:spPr bwMode="auto">
        <a:xfrm>
          <a:off x="5737860" y="2638425"/>
          <a:ext cx="1664970" cy="72009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142875</xdr:colOff>
      <xdr:row>35</xdr:row>
      <xdr:rowOff>95250</xdr:rowOff>
    </xdr:from>
    <xdr:to>
      <xdr:col>13</xdr:col>
      <xdr:colOff>571500</xdr:colOff>
      <xdr:row>38</xdr:row>
      <xdr:rowOff>114300</xdr:rowOff>
    </xdr:to>
    <xdr:sp macro="" textlink="">
      <xdr:nvSpPr>
        <xdr:cNvPr id="25" name="Text Box 18"/>
        <xdr:cNvSpPr txBox="1">
          <a:spLocks noChangeArrowheads="1"/>
        </xdr:cNvSpPr>
      </xdr:nvSpPr>
      <xdr:spPr bwMode="auto">
        <a:xfrm>
          <a:off x="5804535" y="2724150"/>
          <a:ext cx="1541145" cy="54483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76200</xdr:colOff>
      <xdr:row>35</xdr:row>
      <xdr:rowOff>9525</xdr:rowOff>
    </xdr:from>
    <xdr:to>
      <xdr:col>13</xdr:col>
      <xdr:colOff>628650</xdr:colOff>
      <xdr:row>39</xdr:row>
      <xdr:rowOff>28575</xdr:rowOff>
    </xdr:to>
    <xdr:sp macro="" textlink="">
      <xdr:nvSpPr>
        <xdr:cNvPr id="26" name="Text Box 18"/>
        <xdr:cNvSpPr txBox="1">
          <a:spLocks noChangeArrowheads="1"/>
        </xdr:cNvSpPr>
      </xdr:nvSpPr>
      <xdr:spPr bwMode="auto">
        <a:xfrm>
          <a:off x="5737860" y="2638425"/>
          <a:ext cx="1664970" cy="72009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142875</xdr:colOff>
      <xdr:row>47</xdr:row>
      <xdr:rowOff>95250</xdr:rowOff>
    </xdr:from>
    <xdr:to>
      <xdr:col>13</xdr:col>
      <xdr:colOff>571500</xdr:colOff>
      <xdr:row>50</xdr:row>
      <xdr:rowOff>114300</xdr:rowOff>
    </xdr:to>
    <xdr:sp macro="" textlink="">
      <xdr:nvSpPr>
        <xdr:cNvPr id="28" name="Text Box 18"/>
        <xdr:cNvSpPr txBox="1">
          <a:spLocks noChangeArrowheads="1"/>
        </xdr:cNvSpPr>
      </xdr:nvSpPr>
      <xdr:spPr bwMode="auto">
        <a:xfrm>
          <a:off x="5804535" y="4827270"/>
          <a:ext cx="1541145" cy="54483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76200</xdr:colOff>
      <xdr:row>47</xdr:row>
      <xdr:rowOff>9525</xdr:rowOff>
    </xdr:from>
    <xdr:to>
      <xdr:col>13</xdr:col>
      <xdr:colOff>628650</xdr:colOff>
      <xdr:row>51</xdr:row>
      <xdr:rowOff>28575</xdr:rowOff>
    </xdr:to>
    <xdr:sp macro="" textlink="">
      <xdr:nvSpPr>
        <xdr:cNvPr id="30" name="Text Box 18"/>
        <xdr:cNvSpPr txBox="1">
          <a:spLocks noChangeArrowheads="1"/>
        </xdr:cNvSpPr>
      </xdr:nvSpPr>
      <xdr:spPr bwMode="auto">
        <a:xfrm>
          <a:off x="5737860" y="4741545"/>
          <a:ext cx="1664970" cy="72009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142875</xdr:colOff>
      <xdr:row>54</xdr:row>
      <xdr:rowOff>95250</xdr:rowOff>
    </xdr:from>
    <xdr:to>
      <xdr:col>13</xdr:col>
      <xdr:colOff>571500</xdr:colOff>
      <xdr:row>57</xdr:row>
      <xdr:rowOff>114300</xdr:rowOff>
    </xdr:to>
    <xdr:sp macro="" textlink="">
      <xdr:nvSpPr>
        <xdr:cNvPr id="31" name="Text Box 18"/>
        <xdr:cNvSpPr txBox="1">
          <a:spLocks noChangeArrowheads="1"/>
        </xdr:cNvSpPr>
      </xdr:nvSpPr>
      <xdr:spPr bwMode="auto">
        <a:xfrm>
          <a:off x="5804535" y="2724150"/>
          <a:ext cx="1541145" cy="54483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xdr:from>
      <xdr:col>15</xdr:col>
      <xdr:colOff>66675</xdr:colOff>
      <xdr:row>56</xdr:row>
      <xdr:rowOff>47625</xdr:rowOff>
    </xdr:from>
    <xdr:to>
      <xdr:col>21</xdr:col>
      <xdr:colOff>161925</xdr:colOff>
      <xdr:row>70</xdr:row>
      <xdr:rowOff>95250</xdr:rowOff>
    </xdr:to>
    <xdr:graphicFrame macro="">
      <xdr:nvGraphicFramePr>
        <xdr:cNvPr id="3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22</xdr:col>
      <xdr:colOff>85725</xdr:colOff>
      <xdr:row>56</xdr:row>
      <xdr:rowOff>38100</xdr:rowOff>
    </xdr:from>
    <xdr:to>
      <xdr:col>27</xdr:col>
      <xdr:colOff>571500</xdr:colOff>
      <xdr:row>70</xdr:row>
      <xdr:rowOff>85725</xdr:rowOff>
    </xdr:to>
    <xdr:graphicFrame macro="">
      <xdr:nvGraphicFramePr>
        <xdr:cNvPr id="3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200025</xdr:colOff>
      <xdr:row>56</xdr:row>
      <xdr:rowOff>38100</xdr:rowOff>
    </xdr:from>
    <xdr:to>
      <xdr:col>34</xdr:col>
      <xdr:colOff>504825</xdr:colOff>
      <xdr:row>70</xdr:row>
      <xdr:rowOff>76200</xdr:rowOff>
    </xdr:to>
    <xdr:graphicFrame macro="">
      <xdr:nvGraphicFramePr>
        <xdr:cNvPr id="34"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11</xdr:col>
      <xdr:colOff>76200</xdr:colOff>
      <xdr:row>54</xdr:row>
      <xdr:rowOff>9525</xdr:rowOff>
    </xdr:from>
    <xdr:to>
      <xdr:col>13</xdr:col>
      <xdr:colOff>628650</xdr:colOff>
      <xdr:row>58</xdr:row>
      <xdr:rowOff>28575</xdr:rowOff>
    </xdr:to>
    <xdr:sp macro="" textlink="">
      <xdr:nvSpPr>
        <xdr:cNvPr id="35" name="Text Box 18"/>
        <xdr:cNvSpPr txBox="1">
          <a:spLocks noChangeArrowheads="1"/>
        </xdr:cNvSpPr>
      </xdr:nvSpPr>
      <xdr:spPr bwMode="auto">
        <a:xfrm>
          <a:off x="5737860" y="2638425"/>
          <a:ext cx="1664970" cy="72009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142875</xdr:colOff>
      <xdr:row>66</xdr:row>
      <xdr:rowOff>95250</xdr:rowOff>
    </xdr:from>
    <xdr:to>
      <xdr:col>13</xdr:col>
      <xdr:colOff>571500</xdr:colOff>
      <xdr:row>69</xdr:row>
      <xdr:rowOff>114300</xdr:rowOff>
    </xdr:to>
    <xdr:sp macro="" textlink="">
      <xdr:nvSpPr>
        <xdr:cNvPr id="36" name="Text Box 18"/>
        <xdr:cNvSpPr txBox="1">
          <a:spLocks noChangeArrowheads="1"/>
        </xdr:cNvSpPr>
      </xdr:nvSpPr>
      <xdr:spPr bwMode="auto">
        <a:xfrm>
          <a:off x="5804535" y="4827270"/>
          <a:ext cx="1541145" cy="54483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76200</xdr:colOff>
      <xdr:row>66</xdr:row>
      <xdr:rowOff>9525</xdr:rowOff>
    </xdr:from>
    <xdr:to>
      <xdr:col>13</xdr:col>
      <xdr:colOff>628650</xdr:colOff>
      <xdr:row>70</xdr:row>
      <xdr:rowOff>28575</xdr:rowOff>
    </xdr:to>
    <xdr:sp macro="" textlink="">
      <xdr:nvSpPr>
        <xdr:cNvPr id="37" name="Text Box 18"/>
        <xdr:cNvSpPr txBox="1">
          <a:spLocks noChangeArrowheads="1"/>
        </xdr:cNvSpPr>
      </xdr:nvSpPr>
      <xdr:spPr bwMode="auto">
        <a:xfrm>
          <a:off x="5737860" y="4741545"/>
          <a:ext cx="1664970" cy="720090"/>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twoCellAnchor editAs="oneCell">
    <xdr:from>
      <xdr:col>11</xdr:col>
      <xdr:colOff>142875</xdr:colOff>
      <xdr:row>73</xdr:row>
      <xdr:rowOff>95250</xdr:rowOff>
    </xdr:from>
    <xdr:to>
      <xdr:col>11</xdr:col>
      <xdr:colOff>188594</xdr:colOff>
      <xdr:row>73</xdr:row>
      <xdr:rowOff>140969</xdr:rowOff>
    </xdr:to>
    <xdr:sp macro="" textlink="">
      <xdr:nvSpPr>
        <xdr:cNvPr id="38" name="Text Box 18"/>
        <xdr:cNvSpPr txBox="1">
          <a:spLocks noChangeArrowheads="1"/>
        </xdr:cNvSpPr>
      </xdr:nvSpPr>
      <xdr:spPr bwMode="auto">
        <a:xfrm>
          <a:off x="5804535" y="12713970"/>
          <a:ext cx="45719" cy="45719"/>
        </a:xfrm>
        <a:prstGeom prst="rect">
          <a:avLst/>
        </a:prstGeom>
        <a:noFill/>
        <a:ln w="9525">
          <a:noFill/>
          <a:miter lim="800000"/>
          <a:headEnd/>
          <a:tailEnd/>
        </a:ln>
      </xdr:spPr>
      <xdr:txBody>
        <a:bodyPr vertOverflow="clip" wrap="square" lIns="36576" tIns="27432" rIns="0" bIns="0" anchor="t" upright="1"/>
        <a:lstStyle/>
        <a:p>
          <a:pPr algn="l" rtl="0">
            <a:defRPr sz="1000"/>
          </a:pPr>
          <a:endParaRPr lang="en-US" sz="1100" b="1" i="0" u="none" strike="noStrike" baseline="0">
            <a:solidFill>
              <a:srgbClr val="000000"/>
            </a:solidFill>
            <a:latin typeface="Arial"/>
            <a:cs typeface="Aria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0.16599</cdr:x>
      <cdr:y>0.03422</cdr:y>
    </cdr:from>
    <cdr:to>
      <cdr:x>0.95546</cdr:x>
      <cdr:y>0.14906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8640" y="85724"/>
          <a:ext cx="2609314" cy="287681"/>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7</xdr:col>
      <xdr:colOff>38100</xdr:colOff>
      <xdr:row>114</xdr:row>
      <xdr:rowOff>24765</xdr:rowOff>
    </xdr:from>
    <xdr:to>
      <xdr:col>12</xdr:col>
      <xdr:colOff>0</xdr:colOff>
      <xdr:row>126</xdr:row>
      <xdr:rowOff>68580</xdr:rowOff>
    </xdr:to>
    <xdr:graphicFrame macro="">
      <xdr:nvGraphicFramePr>
        <xdr:cNvPr id="634292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57</xdr:row>
      <xdr:rowOff>161925</xdr:rowOff>
    </xdr:from>
    <xdr:to>
      <xdr:col>3</xdr:col>
      <xdr:colOff>428625</xdr:colOff>
      <xdr:row>80</xdr:row>
      <xdr:rowOff>28574</xdr:rowOff>
    </xdr:to>
    <xdr:graphicFrame macro="">
      <xdr:nvGraphicFramePr>
        <xdr:cNvPr id="634292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22860</xdr:colOff>
      <xdr:row>81</xdr:row>
      <xdr:rowOff>19051</xdr:rowOff>
    </xdr:from>
    <xdr:to>
      <xdr:col>11</xdr:col>
      <xdr:colOff>838200</xdr:colOff>
      <xdr:row>97</xdr:row>
      <xdr:rowOff>30480</xdr:rowOff>
    </xdr:to>
    <xdr:graphicFrame macro="">
      <xdr:nvGraphicFramePr>
        <xdr:cNvPr id="6342921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0</xdr:colOff>
      <xdr:row>134</xdr:row>
      <xdr:rowOff>0</xdr:rowOff>
    </xdr:from>
    <xdr:to>
      <xdr:col>13</xdr:col>
      <xdr:colOff>76200</xdr:colOff>
      <xdr:row>135</xdr:row>
      <xdr:rowOff>19050</xdr:rowOff>
    </xdr:to>
    <xdr:sp macro="" textlink="">
      <xdr:nvSpPr>
        <xdr:cNvPr id="63429213" name="Text Box 13"/>
        <xdr:cNvSpPr txBox="1">
          <a:spLocks noChangeArrowheads="1"/>
        </xdr:cNvSpPr>
      </xdr:nvSpPr>
      <xdr:spPr bwMode="auto">
        <a:xfrm>
          <a:off x="14182725" y="19269075"/>
          <a:ext cx="76200" cy="190500"/>
        </a:xfrm>
        <a:prstGeom prst="rect">
          <a:avLst/>
        </a:prstGeom>
        <a:noFill/>
        <a:ln w="9525">
          <a:noFill/>
          <a:miter lim="800000"/>
          <a:headEnd/>
          <a:tailEnd/>
        </a:ln>
      </xdr:spPr>
    </xdr:sp>
    <xdr:clientData/>
  </xdr:twoCellAnchor>
  <xdr:twoCellAnchor editAs="oneCell">
    <xdr:from>
      <xdr:col>12</xdr:col>
      <xdr:colOff>190500</xdr:colOff>
      <xdr:row>133</xdr:row>
      <xdr:rowOff>57150</xdr:rowOff>
    </xdr:from>
    <xdr:to>
      <xdr:col>13</xdr:col>
      <xdr:colOff>76200</xdr:colOff>
      <xdr:row>134</xdr:row>
      <xdr:rowOff>76200</xdr:rowOff>
    </xdr:to>
    <xdr:sp macro="" textlink="">
      <xdr:nvSpPr>
        <xdr:cNvPr id="63429214" name="Text Box 14"/>
        <xdr:cNvSpPr txBox="1">
          <a:spLocks noChangeArrowheads="1"/>
        </xdr:cNvSpPr>
      </xdr:nvSpPr>
      <xdr:spPr bwMode="auto">
        <a:xfrm>
          <a:off x="14182725" y="19164300"/>
          <a:ext cx="76200" cy="190500"/>
        </a:xfrm>
        <a:prstGeom prst="rect">
          <a:avLst/>
        </a:prstGeom>
        <a:noFill/>
        <a:ln w="9525">
          <a:noFill/>
          <a:miter lim="800000"/>
          <a:headEnd/>
          <a:tailEnd/>
        </a:ln>
      </xdr:spPr>
    </xdr:sp>
    <xdr:clientData/>
  </xdr:twoCellAnchor>
  <xdr:twoCellAnchor>
    <xdr:from>
      <xdr:col>7</xdr:col>
      <xdr:colOff>53340</xdr:colOff>
      <xdr:row>127</xdr:row>
      <xdr:rowOff>53340</xdr:rowOff>
    </xdr:from>
    <xdr:to>
      <xdr:col>12</xdr:col>
      <xdr:colOff>15240</xdr:colOff>
      <xdr:row>139</xdr:row>
      <xdr:rowOff>7620</xdr:rowOff>
    </xdr:to>
    <xdr:graphicFrame macro="">
      <xdr:nvGraphicFramePr>
        <xdr:cNvPr id="63429215" name="Chart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552450</xdr:colOff>
      <xdr:row>57</xdr:row>
      <xdr:rowOff>152401</xdr:rowOff>
    </xdr:from>
    <xdr:to>
      <xdr:col>11</xdr:col>
      <xdr:colOff>838200</xdr:colOff>
      <xdr:row>80</xdr:row>
      <xdr:rowOff>19051</xdr:rowOff>
    </xdr:to>
    <xdr:graphicFrame macro="">
      <xdr:nvGraphicFramePr>
        <xdr:cNvPr id="6342921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1895476</xdr:colOff>
      <xdr:row>85</xdr:row>
      <xdr:rowOff>95250</xdr:rowOff>
    </xdr:from>
    <xdr:to>
      <xdr:col>3</xdr:col>
      <xdr:colOff>66676</xdr:colOff>
      <xdr:row>86</xdr:row>
      <xdr:rowOff>142875</xdr:rowOff>
    </xdr:to>
    <xdr:cxnSp macro="">
      <xdr:nvCxnSpPr>
        <xdr:cNvPr id="13" name="Straight Arrow Connector 12"/>
        <xdr:cNvCxnSpPr/>
      </xdr:nvCxnSpPr>
      <xdr:spPr>
        <a:xfrm rot="10800000">
          <a:off x="2076451" y="11915775"/>
          <a:ext cx="1800225" cy="209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1466850</xdr:colOff>
      <xdr:row>87</xdr:row>
      <xdr:rowOff>28575</xdr:rowOff>
    </xdr:from>
    <xdr:to>
      <xdr:col>3</xdr:col>
      <xdr:colOff>47625</xdr:colOff>
      <xdr:row>89</xdr:row>
      <xdr:rowOff>28575</xdr:rowOff>
    </xdr:to>
    <xdr:cxnSp macro="">
      <xdr:nvCxnSpPr>
        <xdr:cNvPr id="15" name="Straight Arrow Connector 14"/>
        <xdr:cNvCxnSpPr/>
      </xdr:nvCxnSpPr>
      <xdr:spPr>
        <a:xfrm rot="10800000" flipV="1">
          <a:off x="1647825" y="12172950"/>
          <a:ext cx="2209800"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1095376</xdr:colOff>
      <xdr:row>62</xdr:row>
      <xdr:rowOff>85726</xdr:rowOff>
    </xdr:from>
    <xdr:ext cx="1504950" cy="1657350"/>
    <xdr:sp macro="" textlink="">
      <xdr:nvSpPr>
        <xdr:cNvPr id="18" name="TextBox 17"/>
        <xdr:cNvSpPr txBox="1"/>
      </xdr:nvSpPr>
      <xdr:spPr>
        <a:xfrm>
          <a:off x="1276351" y="8181976"/>
          <a:ext cx="1504950" cy="165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900"/>
        </a:p>
      </xdr:txBody>
    </xdr:sp>
    <xdr:clientData/>
  </xdr:oneCellAnchor>
  <xdr:oneCellAnchor>
    <xdr:from>
      <xdr:col>12</xdr:col>
      <xdr:colOff>0</xdr:colOff>
      <xdr:row>62</xdr:row>
      <xdr:rowOff>57150</xdr:rowOff>
    </xdr:from>
    <xdr:ext cx="952500" cy="628649"/>
    <xdr:sp macro="" textlink="">
      <xdr:nvSpPr>
        <xdr:cNvPr id="14" name="TextBox 13"/>
        <xdr:cNvSpPr txBox="1"/>
      </xdr:nvSpPr>
      <xdr:spPr>
        <a:xfrm>
          <a:off x="12430125" y="8153400"/>
          <a:ext cx="952500" cy="628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900"/>
        </a:p>
      </xdr:txBody>
    </xdr:sp>
    <xdr:clientData/>
  </xdr:oneCellAnchor>
  <xdr:twoCellAnchor>
    <xdr:from>
      <xdr:col>19</xdr:col>
      <xdr:colOff>403861</xdr:colOff>
      <xdr:row>39</xdr:row>
      <xdr:rowOff>68581</xdr:rowOff>
    </xdr:from>
    <xdr:to>
      <xdr:col>25</xdr:col>
      <xdr:colOff>365761</xdr:colOff>
      <xdr:row>61</xdr:row>
      <xdr:rowOff>60960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22</xdr:col>
      <xdr:colOff>180975</xdr:colOff>
      <xdr:row>62</xdr:row>
      <xdr:rowOff>66675</xdr:rowOff>
    </xdr:from>
    <xdr:ext cx="184731" cy="264560"/>
    <xdr:sp macro="" textlink="">
      <xdr:nvSpPr>
        <xdr:cNvPr id="22" name="TextBox 21"/>
        <xdr:cNvSpPr txBox="1"/>
      </xdr:nvSpPr>
      <xdr:spPr>
        <a:xfrm>
          <a:off x="19554825" y="945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20</xdr:col>
      <xdr:colOff>45720</xdr:colOff>
      <xdr:row>61</xdr:row>
      <xdr:rowOff>30479</xdr:rowOff>
    </xdr:from>
    <xdr:ext cx="3535679" cy="426721"/>
    <xdr:sp macro="" textlink="">
      <xdr:nvSpPr>
        <xdr:cNvPr id="23" name="TextBox 22"/>
        <xdr:cNvSpPr txBox="1"/>
      </xdr:nvSpPr>
      <xdr:spPr>
        <a:xfrm>
          <a:off x="14866620" y="10721339"/>
          <a:ext cx="3535679" cy="426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t>Each number</a:t>
          </a:r>
          <a:r>
            <a:rPr lang="en-US" sz="1100" b="1" baseline="0"/>
            <a:t> corresponds to a different trial.</a:t>
          </a:r>
        </a:p>
        <a:p>
          <a:r>
            <a:rPr lang="en-US" sz="900" b="0" baseline="0"/>
            <a:t>Dotted lines show results with BTA base case elasticities.</a:t>
          </a:r>
          <a:endParaRPr lang="en-US" sz="1000" b="0"/>
        </a:p>
      </xdr:txBody>
    </xdr:sp>
    <xdr:clientData/>
  </xdr:oneCellAnchor>
  <xdr:oneCellAnchor>
    <xdr:from>
      <xdr:col>22</xdr:col>
      <xdr:colOff>333375</xdr:colOff>
      <xdr:row>55</xdr:row>
      <xdr:rowOff>53340</xdr:rowOff>
    </xdr:from>
    <xdr:ext cx="1562100" cy="813200"/>
    <xdr:sp macro="" textlink="">
      <xdr:nvSpPr>
        <xdr:cNvPr id="30" name="TextBox 29"/>
        <xdr:cNvSpPr txBox="1"/>
      </xdr:nvSpPr>
      <xdr:spPr>
        <a:xfrm>
          <a:off x="16342995" y="9692640"/>
          <a:ext cx="1562100" cy="81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rgbClr val="0070C0"/>
              </a:solidFill>
            </a:rPr>
            <a:t>Revenue ($ Millions)</a:t>
          </a:r>
        </a:p>
      </xdr:txBody>
    </xdr:sp>
    <xdr:clientData/>
  </xdr:oneCellAnchor>
  <xdr:twoCellAnchor>
    <xdr:from>
      <xdr:col>22</xdr:col>
      <xdr:colOff>194311</xdr:colOff>
      <xdr:row>51</xdr:row>
      <xdr:rowOff>68580</xdr:rowOff>
    </xdr:from>
    <xdr:to>
      <xdr:col>23</xdr:col>
      <xdr:colOff>137163</xdr:colOff>
      <xdr:row>54</xdr:row>
      <xdr:rowOff>110492</xdr:rowOff>
    </xdr:to>
    <xdr:cxnSp macro="">
      <xdr:nvCxnSpPr>
        <xdr:cNvPr id="32" name="Straight Arrow Connector 31"/>
        <xdr:cNvCxnSpPr/>
      </xdr:nvCxnSpPr>
      <xdr:spPr>
        <a:xfrm rot="10800000">
          <a:off x="16203931" y="9006840"/>
          <a:ext cx="499112" cy="5676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382905</xdr:colOff>
      <xdr:row>49</xdr:row>
      <xdr:rowOff>127635</xdr:rowOff>
    </xdr:from>
    <xdr:to>
      <xdr:col>24</xdr:col>
      <xdr:colOff>432435</xdr:colOff>
      <xdr:row>49</xdr:row>
      <xdr:rowOff>127635</xdr:rowOff>
    </xdr:to>
    <xdr:cxnSp macro="">
      <xdr:nvCxnSpPr>
        <xdr:cNvPr id="27" name="Straight Connector 26"/>
        <xdr:cNvCxnSpPr/>
      </xdr:nvCxnSpPr>
      <xdr:spPr>
        <a:xfrm>
          <a:off x="15203805" y="8715375"/>
          <a:ext cx="2350770" cy="0"/>
        </a:xfrm>
        <a:prstGeom prst="line">
          <a:avLst/>
        </a:prstGeom>
        <a:ln>
          <a:solidFill>
            <a:srgbClr val="C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428625</xdr:colOff>
      <xdr:row>55</xdr:row>
      <xdr:rowOff>142875</xdr:rowOff>
    </xdr:from>
    <xdr:to>
      <xdr:col>24</xdr:col>
      <xdr:colOff>514350</xdr:colOff>
      <xdr:row>55</xdr:row>
      <xdr:rowOff>142875</xdr:rowOff>
    </xdr:to>
    <xdr:cxnSp macro="">
      <xdr:nvCxnSpPr>
        <xdr:cNvPr id="31" name="Straight Connector 30"/>
        <xdr:cNvCxnSpPr/>
      </xdr:nvCxnSpPr>
      <xdr:spPr>
        <a:xfrm>
          <a:off x="16630650" y="8401050"/>
          <a:ext cx="2609850" cy="0"/>
        </a:xfrm>
        <a:prstGeom prst="line">
          <a:avLst/>
        </a:prstGeom>
        <a:ln>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217171</xdr:colOff>
      <xdr:row>46</xdr:row>
      <xdr:rowOff>13334</xdr:rowOff>
    </xdr:from>
    <xdr:to>
      <xdr:col>22</xdr:col>
      <xdr:colOff>179071</xdr:colOff>
      <xdr:row>48</xdr:row>
      <xdr:rowOff>70483</xdr:rowOff>
    </xdr:to>
    <xdr:cxnSp macro="">
      <xdr:nvCxnSpPr>
        <xdr:cNvPr id="34" name="Straight Arrow Connector 33"/>
        <xdr:cNvCxnSpPr/>
      </xdr:nvCxnSpPr>
      <xdr:spPr>
        <a:xfrm rot="10800000" flipV="1">
          <a:off x="15594331" y="8075294"/>
          <a:ext cx="594360" cy="407669"/>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819151</xdr:colOff>
      <xdr:row>24</xdr:row>
      <xdr:rowOff>9525</xdr:rowOff>
    </xdr:from>
    <xdr:to>
      <xdr:col>8</xdr:col>
      <xdr:colOff>47626</xdr:colOff>
      <xdr:row>25</xdr:row>
      <xdr:rowOff>133350</xdr:rowOff>
    </xdr:to>
    <xdr:cxnSp macro="">
      <xdr:nvCxnSpPr>
        <xdr:cNvPr id="28" name="Straight Arrow Connector 27"/>
        <xdr:cNvCxnSpPr/>
      </xdr:nvCxnSpPr>
      <xdr:spPr>
        <a:xfrm rot="5400000">
          <a:off x="8267701" y="4191000"/>
          <a:ext cx="295275" cy="161925"/>
        </a:xfrm>
        <a:prstGeom prst="straightConnector1">
          <a:avLst/>
        </a:prstGeom>
        <a:ln>
          <a:solidFill>
            <a:schemeClr val="bg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594360</xdr:colOff>
      <xdr:row>84</xdr:row>
      <xdr:rowOff>22860</xdr:rowOff>
    </xdr:from>
    <xdr:to>
      <xdr:col>5</xdr:col>
      <xdr:colOff>464820</xdr:colOff>
      <xdr:row>85</xdr:row>
      <xdr:rowOff>99060</xdr:rowOff>
    </xdr:to>
    <xdr:cxnSp macro="">
      <xdr:nvCxnSpPr>
        <xdr:cNvPr id="25" name="Straight Arrow Connector 24"/>
        <xdr:cNvCxnSpPr/>
      </xdr:nvCxnSpPr>
      <xdr:spPr>
        <a:xfrm>
          <a:off x="4914900" y="14744700"/>
          <a:ext cx="723900" cy="2514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449580</xdr:colOff>
      <xdr:row>82</xdr:row>
      <xdr:rowOff>121920</xdr:rowOff>
    </xdr:from>
    <xdr:to>
      <xdr:col>6</xdr:col>
      <xdr:colOff>541020</xdr:colOff>
      <xdr:row>85</xdr:row>
      <xdr:rowOff>68580</xdr:rowOff>
    </xdr:to>
    <xdr:cxnSp macro="">
      <xdr:nvCxnSpPr>
        <xdr:cNvPr id="29" name="Straight Arrow Connector 28"/>
        <xdr:cNvCxnSpPr/>
      </xdr:nvCxnSpPr>
      <xdr:spPr>
        <a:xfrm rot="5400000">
          <a:off x="6286500" y="14683740"/>
          <a:ext cx="472440" cy="914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464820</xdr:colOff>
      <xdr:row>81</xdr:row>
      <xdr:rowOff>22860</xdr:rowOff>
    </xdr:from>
    <xdr:to>
      <xdr:col>21</xdr:col>
      <xdr:colOff>30480</xdr:colOff>
      <xdr:row>81</xdr:row>
      <xdr:rowOff>152400</xdr:rowOff>
    </xdr:to>
    <xdr:cxnSp macro="">
      <xdr:nvCxnSpPr>
        <xdr:cNvPr id="26" name="Straight Arrow Connector 25"/>
        <xdr:cNvCxnSpPr/>
      </xdr:nvCxnSpPr>
      <xdr:spPr>
        <a:xfrm flipH="1" flipV="1">
          <a:off x="14752320" y="14218920"/>
          <a:ext cx="678180" cy="129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98</xdr:row>
      <xdr:rowOff>7620</xdr:rowOff>
    </xdr:from>
    <xdr:to>
      <xdr:col>11</xdr:col>
      <xdr:colOff>838200</xdr:colOff>
      <xdr:row>113</xdr:row>
      <xdr:rowOff>137161</xdr:rowOff>
    </xdr:to>
    <xdr:graphicFrame macro="">
      <xdr:nvGraphicFramePr>
        <xdr:cNvPr id="3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0.59006</cdr:x>
      <cdr:y>0.38791</cdr:y>
    </cdr:from>
    <cdr:to>
      <cdr:x>0.76996</cdr:x>
      <cdr:y>0.7733</cdr:y>
    </cdr:to>
    <cdr:sp macro="" textlink="">
      <cdr:nvSpPr>
        <cdr:cNvPr id="743425" name="Text Box 1"/>
        <cdr:cNvSpPr txBox="1">
          <a:spLocks xmlns:a="http://schemas.openxmlformats.org/drawingml/2006/main" noChangeArrowheads="1"/>
        </cdr:cNvSpPr>
      </cdr:nvSpPr>
      <cdr:spPr bwMode="auto">
        <a:xfrm xmlns:a="http://schemas.openxmlformats.org/drawingml/2006/main">
          <a:off x="2714624" y="1466849"/>
          <a:ext cx="827633" cy="14573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en-US" sz="800" b="0" i="0" u="none" strike="noStrike" baseline="0">
            <a:solidFill>
              <a:srgbClr val="000000"/>
            </a:solidFill>
            <a:latin typeface="Arial"/>
            <a:cs typeface="Arial"/>
          </a:endParaRPr>
        </a:p>
      </cdr:txBody>
    </cdr:sp>
  </cdr:relSizeAnchor>
  <cdr:relSizeAnchor xmlns:cdr="http://schemas.openxmlformats.org/drawingml/2006/chartDrawing">
    <cdr:from>
      <cdr:x>0.07857</cdr:x>
      <cdr:y>0.078</cdr:y>
    </cdr:from>
    <cdr:to>
      <cdr:x>0.09324</cdr:x>
      <cdr:y>0.11684</cdr:y>
    </cdr:to>
    <cdr:sp macro="" textlink="">
      <cdr:nvSpPr>
        <cdr:cNvPr id="219138" name="Text Box 2"/>
        <cdr:cNvSpPr txBox="1">
          <a:spLocks xmlns:a="http://schemas.openxmlformats.org/drawingml/2006/main" noChangeArrowheads="1"/>
        </cdr:cNvSpPr>
      </cdr:nvSpPr>
      <cdr:spPr bwMode="auto">
        <a:xfrm xmlns:a="http://schemas.openxmlformats.org/drawingml/2006/main">
          <a:off x="289687" y="342965"/>
          <a:ext cx="57626" cy="1714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0.18674</cdr:x>
      <cdr:y>0.07984</cdr:y>
    </cdr:from>
    <cdr:to>
      <cdr:x>1</cdr:x>
      <cdr:y>0.16323</cdr:y>
    </cdr:to>
    <cdr:sp macro="" textlink="">
      <cdr:nvSpPr>
        <cdr:cNvPr id="743427" name="Text Box 3"/>
        <cdr:cNvSpPr txBox="1">
          <a:spLocks xmlns:a="http://schemas.openxmlformats.org/drawingml/2006/main" noChangeArrowheads="1"/>
        </cdr:cNvSpPr>
      </cdr:nvSpPr>
      <cdr:spPr bwMode="auto">
        <a:xfrm xmlns:a="http://schemas.openxmlformats.org/drawingml/2006/main">
          <a:off x="815340" y="226013"/>
          <a:ext cx="3550920" cy="2360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0" i="0" u="none" strike="noStrike" baseline="0">
              <a:solidFill>
                <a:srgbClr val="000000"/>
              </a:solidFill>
              <a:latin typeface="Arial"/>
              <a:cs typeface="Arial"/>
            </a:rPr>
            <a:t> </a:t>
          </a:r>
          <a:r>
            <a:rPr lang="en-US" sz="800" b="0" i="0" u="none" strike="noStrike" baseline="0">
              <a:solidFill>
                <a:srgbClr val="000000"/>
              </a:solidFill>
              <a:latin typeface="Arial"/>
              <a:cs typeface="Arial"/>
            </a:rPr>
            <a:t>Calculated as saved hrs x values in </a:t>
          </a:r>
          <a:r>
            <a:rPr lang="en-US" sz="800" b="1" i="0" u="none" strike="noStrike" baseline="0">
              <a:solidFill>
                <a:srgbClr val="000000"/>
              </a:solidFill>
              <a:latin typeface="Arial"/>
              <a:cs typeface="Arial"/>
            </a:rPr>
            <a:t>Value of Time</a:t>
          </a:r>
          <a:r>
            <a:rPr lang="en-US" sz="800" b="0" i="0" u="none" strike="noStrike" baseline="0">
              <a:solidFill>
                <a:srgbClr val="000000"/>
              </a:solidFill>
              <a:latin typeface="Arial"/>
              <a:cs typeface="Arial"/>
            </a:rPr>
            <a:t> sheet</a:t>
          </a:r>
          <a:r>
            <a:rPr lang="en-US" sz="900" b="0" i="0" u="none" strike="noStrike" baseline="0">
              <a:solidFill>
                <a:srgbClr val="000000"/>
              </a:solidFill>
              <a:latin typeface="Arial"/>
              <a:cs typeface="Arial"/>
            </a:rPr>
            <a:t>.</a:t>
          </a:r>
          <a:endParaRPr lang="en-US" sz="800" b="0" i="0" u="none" strike="noStrike" baseline="0">
            <a:solidFill>
              <a:srgbClr val="000000"/>
            </a:solidFill>
            <a:latin typeface="Arial"/>
            <a:cs typeface="Arial"/>
          </a:endParaRPr>
        </a:p>
        <a:p xmlns:a="http://schemas.openxmlformats.org/drawingml/2006/main">
          <a:pPr algn="l" rtl="0">
            <a:defRPr sz="1000"/>
          </a:pPr>
          <a:endParaRPr lang="en-US" sz="825" b="0" i="0" u="none" strike="noStrike" baseline="0">
            <a:solidFill>
              <a:srgbClr val="000000"/>
            </a:solidFill>
            <a:latin typeface="Arial"/>
            <a:cs typeface="Arial"/>
          </a:endParaRPr>
        </a:p>
        <a:p xmlns:a="http://schemas.openxmlformats.org/drawingml/2006/main">
          <a:pPr algn="l" rtl="0">
            <a:defRPr sz="1000"/>
          </a:pPr>
          <a:endParaRPr lang="en-US" sz="825" b="0" i="0" u="none" strike="noStrike" baseline="0">
            <a:solidFill>
              <a:srgbClr val="000000"/>
            </a:solidFill>
            <a:latin typeface="Arial"/>
            <a:cs typeface="Aria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0.06596</cdr:x>
      <cdr:y>0</cdr:y>
    </cdr:from>
    <cdr:to>
      <cdr:x>0.92612</cdr:x>
      <cdr:y>0.14194</cdr:y>
    </cdr:to>
    <cdr:sp macro="" textlink="">
      <cdr:nvSpPr>
        <cdr:cNvPr id="2" name="TextBox 1"/>
        <cdr:cNvSpPr txBox="1"/>
      </cdr:nvSpPr>
      <cdr:spPr>
        <a:xfrm xmlns:a="http://schemas.openxmlformats.org/drawingml/2006/main">
          <a:off x="250691" y="0"/>
          <a:ext cx="3269010" cy="4190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200" b="1"/>
            <a:t>Sensitivity</a:t>
          </a:r>
          <a:r>
            <a:rPr lang="en-US" sz="1200" b="1" baseline="0"/>
            <a:t> Analysis: </a:t>
          </a:r>
          <a:r>
            <a:rPr lang="en-US" sz="1200" b="1" baseline="0">
              <a:solidFill>
                <a:srgbClr val="0070C0"/>
              </a:solidFill>
            </a:rPr>
            <a:t>Revenues</a:t>
          </a:r>
          <a:r>
            <a:rPr lang="en-US" sz="1200" b="1" baseline="0"/>
            <a:t> &amp; </a:t>
          </a:r>
          <a:r>
            <a:rPr lang="en-US" sz="1200" b="1" baseline="0">
              <a:solidFill>
                <a:srgbClr val="C00000"/>
              </a:solidFill>
            </a:rPr>
            <a:t>CBD Speed Gains</a:t>
          </a:r>
          <a:endParaRPr lang="en-US" sz="1200" b="1">
            <a:solidFill>
              <a:srgbClr val="C00000"/>
            </a:solidFill>
          </a:endParaRPr>
        </a:p>
      </cdr:txBody>
    </cdr:sp>
  </cdr:relSizeAnchor>
  <cdr:relSizeAnchor xmlns:cdr="http://schemas.openxmlformats.org/drawingml/2006/chartDrawing">
    <cdr:from>
      <cdr:x>0.40351</cdr:x>
      <cdr:y>0.22772</cdr:y>
    </cdr:from>
    <cdr:to>
      <cdr:x>0.74436</cdr:x>
      <cdr:y>0.36964</cdr:y>
    </cdr:to>
    <cdr:sp macro="" textlink="">
      <cdr:nvSpPr>
        <cdr:cNvPr id="3" name="TextBox 2"/>
        <cdr:cNvSpPr txBox="1"/>
      </cdr:nvSpPr>
      <cdr:spPr>
        <a:xfrm xmlns:a="http://schemas.openxmlformats.org/drawingml/2006/main">
          <a:off x="1533525" y="657226"/>
          <a:ext cx="1295399" cy="4095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solidFill>
                <a:srgbClr val="C00000"/>
              </a:solidFill>
            </a:rPr>
            <a:t>Speed Gain, 24-hr avg</a:t>
          </a:r>
        </a:p>
      </cdr:txBody>
    </cdr:sp>
  </cdr:relSizeAnchor>
</c:userShapes>
</file>

<file path=xl/drawings/drawing6.xml><?xml version="1.0" encoding="utf-8"?>
<c:userShapes xmlns:c="http://schemas.openxmlformats.org/drawingml/2006/chart">
  <cdr:relSizeAnchor xmlns:cdr="http://schemas.openxmlformats.org/drawingml/2006/chartDrawing">
    <cdr:from>
      <cdr:x>0.59006</cdr:x>
      <cdr:y>0.38791</cdr:y>
    </cdr:from>
    <cdr:to>
      <cdr:x>0.76996</cdr:x>
      <cdr:y>0.7733</cdr:y>
    </cdr:to>
    <cdr:sp macro="" textlink="">
      <cdr:nvSpPr>
        <cdr:cNvPr id="743425" name="Text Box 1"/>
        <cdr:cNvSpPr txBox="1">
          <a:spLocks xmlns:a="http://schemas.openxmlformats.org/drawingml/2006/main" noChangeArrowheads="1"/>
        </cdr:cNvSpPr>
      </cdr:nvSpPr>
      <cdr:spPr bwMode="auto">
        <a:xfrm xmlns:a="http://schemas.openxmlformats.org/drawingml/2006/main">
          <a:off x="2714624" y="1466849"/>
          <a:ext cx="827633" cy="14573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en-US" sz="800" b="0" i="0" u="none" strike="noStrike" baseline="0">
            <a:solidFill>
              <a:srgbClr val="000000"/>
            </a:solidFill>
            <a:latin typeface="Arial"/>
            <a:cs typeface="Arial"/>
          </a:endParaRPr>
        </a:p>
      </cdr:txBody>
    </cdr:sp>
  </cdr:relSizeAnchor>
  <cdr:relSizeAnchor xmlns:cdr="http://schemas.openxmlformats.org/drawingml/2006/chartDrawing">
    <cdr:from>
      <cdr:x>0.07857</cdr:x>
      <cdr:y>0.078</cdr:y>
    </cdr:from>
    <cdr:to>
      <cdr:x>0.09324</cdr:x>
      <cdr:y>0.11684</cdr:y>
    </cdr:to>
    <cdr:sp macro="" textlink="">
      <cdr:nvSpPr>
        <cdr:cNvPr id="219138" name="Text Box 2"/>
        <cdr:cNvSpPr txBox="1">
          <a:spLocks xmlns:a="http://schemas.openxmlformats.org/drawingml/2006/main" noChangeArrowheads="1"/>
        </cdr:cNvSpPr>
      </cdr:nvSpPr>
      <cdr:spPr bwMode="auto">
        <a:xfrm xmlns:a="http://schemas.openxmlformats.org/drawingml/2006/main">
          <a:off x="289687" y="342965"/>
          <a:ext cx="57626" cy="1714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0.18674</cdr:x>
      <cdr:y>0.07984</cdr:y>
    </cdr:from>
    <cdr:to>
      <cdr:x>1</cdr:x>
      <cdr:y>0.16323</cdr:y>
    </cdr:to>
    <cdr:sp macro="" textlink="">
      <cdr:nvSpPr>
        <cdr:cNvPr id="743427" name="Text Box 3"/>
        <cdr:cNvSpPr txBox="1">
          <a:spLocks xmlns:a="http://schemas.openxmlformats.org/drawingml/2006/main" noChangeArrowheads="1"/>
        </cdr:cNvSpPr>
      </cdr:nvSpPr>
      <cdr:spPr bwMode="auto">
        <a:xfrm xmlns:a="http://schemas.openxmlformats.org/drawingml/2006/main">
          <a:off x="815340" y="226013"/>
          <a:ext cx="3550920" cy="2360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en-US" sz="900" b="0" i="0" u="none" strike="noStrike" baseline="0">
            <a:solidFill>
              <a:srgbClr val="000000"/>
            </a:solidFill>
            <a:latin typeface="Arial"/>
            <a:cs typeface="Arial"/>
          </a:endParaRPr>
        </a:p>
        <a:p xmlns:a="http://schemas.openxmlformats.org/drawingml/2006/main">
          <a:pPr algn="l" rtl="0">
            <a:defRPr sz="1000"/>
          </a:pPr>
          <a:endParaRPr lang="en-US" sz="800" b="0" i="0" u="none" strike="noStrike" baseline="0">
            <a:solidFill>
              <a:srgbClr val="000000"/>
            </a:solidFill>
            <a:latin typeface="Arial"/>
            <a:cs typeface="Arial"/>
          </a:endParaRPr>
        </a:p>
        <a:p xmlns:a="http://schemas.openxmlformats.org/drawingml/2006/main">
          <a:pPr algn="l" rtl="0">
            <a:defRPr sz="1000"/>
          </a:pPr>
          <a:endParaRPr lang="en-US" sz="825" b="0" i="0" u="none" strike="noStrike" baseline="0">
            <a:solidFill>
              <a:srgbClr val="000000"/>
            </a:solidFill>
            <a:latin typeface="Arial"/>
            <a:cs typeface="Arial"/>
          </a:endParaRPr>
        </a:p>
        <a:p xmlns:a="http://schemas.openxmlformats.org/drawingml/2006/main">
          <a:pPr algn="l" rtl="0">
            <a:defRPr sz="1000"/>
          </a:pPr>
          <a:endParaRPr lang="en-US" sz="825"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628650</xdr:colOff>
      <xdr:row>213</xdr:row>
      <xdr:rowOff>123825</xdr:rowOff>
    </xdr:from>
    <xdr:to>
      <xdr:col>11</xdr:col>
      <xdr:colOff>695325</xdr:colOff>
      <xdr:row>218</xdr:row>
      <xdr:rowOff>95250</xdr:rowOff>
    </xdr:to>
    <xdr:sp macro="" textlink="">
      <xdr:nvSpPr>
        <xdr:cNvPr id="64393412" name="Line 446"/>
        <xdr:cNvSpPr>
          <a:spLocks noChangeShapeType="1"/>
        </xdr:cNvSpPr>
      </xdr:nvSpPr>
      <xdr:spPr bwMode="auto">
        <a:xfrm flipH="1">
          <a:off x="6896100" y="16049625"/>
          <a:ext cx="838200" cy="276225"/>
        </a:xfrm>
        <a:prstGeom prst="line">
          <a:avLst/>
        </a:prstGeom>
        <a:noFill/>
        <a:ln w="9525">
          <a:solidFill>
            <a:srgbClr val="000000"/>
          </a:solidFill>
          <a:round/>
          <a:headEnd/>
          <a:tailEnd type="triangle" w="med" len="med"/>
        </a:ln>
      </xdr:spPr>
    </xdr:sp>
    <xdr:clientData/>
  </xdr:twoCellAnchor>
  <xdr:twoCellAnchor>
    <xdr:from>
      <xdr:col>1</xdr:col>
      <xdr:colOff>123825</xdr:colOff>
      <xdr:row>9</xdr:row>
      <xdr:rowOff>76200</xdr:rowOff>
    </xdr:from>
    <xdr:to>
      <xdr:col>12</xdr:col>
      <xdr:colOff>510540</xdr:colOff>
      <xdr:row>36</xdr:row>
      <xdr:rowOff>121920</xdr:rowOff>
    </xdr:to>
    <xdr:graphicFrame macro="">
      <xdr:nvGraphicFramePr>
        <xdr:cNvPr id="64393413" name="Chart 4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19050</xdr:colOff>
      <xdr:row>20</xdr:row>
      <xdr:rowOff>47625</xdr:rowOff>
    </xdr:from>
    <xdr:to>
      <xdr:col>5</xdr:col>
      <xdr:colOff>457200</xdr:colOff>
      <xdr:row>24</xdr:row>
      <xdr:rowOff>104775</xdr:rowOff>
    </xdr:to>
    <xdr:sp macro="" textlink="">
      <xdr:nvSpPr>
        <xdr:cNvPr id="46576" name="Text Box 452"/>
        <xdr:cNvSpPr txBox="1">
          <a:spLocks noChangeArrowheads="1"/>
        </xdr:cNvSpPr>
      </xdr:nvSpPr>
      <xdr:spPr bwMode="auto">
        <a:xfrm>
          <a:off x="1476375" y="2676525"/>
          <a:ext cx="1714500" cy="74295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800" b="1" i="0" u="none" strike="noStrike" baseline="0">
            <a:solidFill>
              <a:srgbClr val="000000"/>
            </a:solidFill>
            <a:latin typeface="Arial"/>
            <a:cs typeface="Arial"/>
          </a:endParaRPr>
        </a:p>
      </xdr:txBody>
    </xdr:sp>
    <xdr:clientData/>
  </xdr:twoCellAnchor>
  <xdr:oneCellAnchor>
    <xdr:from>
      <xdr:col>2</xdr:col>
      <xdr:colOff>449580</xdr:colOff>
      <xdr:row>29</xdr:row>
      <xdr:rowOff>60960</xdr:rowOff>
    </xdr:from>
    <xdr:ext cx="2164080" cy="754380"/>
    <xdr:sp macro="" textlink="">
      <xdr:nvSpPr>
        <xdr:cNvPr id="8" name="TextBox 7"/>
        <xdr:cNvSpPr txBox="1"/>
      </xdr:nvSpPr>
      <xdr:spPr>
        <a:xfrm>
          <a:off x="1203960" y="4617720"/>
          <a:ext cx="2164080" cy="754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800" b="1">
              <a:latin typeface="+mn-lt"/>
              <a:cs typeface="Arial" pitchFamily="34" charset="0"/>
            </a:rPr>
            <a:t>Travelers'</a:t>
          </a:r>
          <a:r>
            <a:rPr lang="en-US" sz="800" b="1" baseline="0">
              <a:latin typeface="+mn-lt"/>
              <a:cs typeface="Arial" pitchFamily="34" charset="0"/>
            </a:rPr>
            <a:t> Amenity</a:t>
          </a:r>
          <a:r>
            <a:rPr lang="en-US" sz="800" b="0" baseline="0">
              <a:latin typeface="+mn-lt"/>
              <a:cs typeface="Arial" pitchFamily="34" charset="0"/>
            </a:rPr>
            <a:t> represents  lost (or gained) "utility" of trips that drivers forego due to the congestion toll (or trips attracted to transit by lower fares). If bar falls below x-axis, drivers' lost amenity has outweighed transit users' gain.</a:t>
          </a:r>
          <a:endParaRPr lang="en-US" sz="1050" b="0">
            <a:latin typeface="+mn-lt"/>
            <a:cs typeface="Arial" pitchFamily="34" charset="0"/>
          </a:endParaRPr>
        </a:p>
      </xdr:txBody>
    </xdr:sp>
    <xdr:clientData/>
  </xdr:oneCellAnchor>
  <xdr:twoCellAnchor>
    <xdr:from>
      <xdr:col>10</xdr:col>
      <xdr:colOff>499111</xdr:colOff>
      <xdr:row>205</xdr:row>
      <xdr:rowOff>57151</xdr:rowOff>
    </xdr:from>
    <xdr:to>
      <xdr:col>11</xdr:col>
      <xdr:colOff>647701</xdr:colOff>
      <xdr:row>211</xdr:row>
      <xdr:rowOff>146686</xdr:rowOff>
    </xdr:to>
    <xdr:cxnSp macro="">
      <xdr:nvCxnSpPr>
        <xdr:cNvPr id="14" name="Straight Arrow Connector 13"/>
        <xdr:cNvCxnSpPr/>
      </xdr:nvCxnSpPr>
      <xdr:spPr>
        <a:xfrm rot="16200000" flipV="1">
          <a:off x="6117908" y="35525394"/>
          <a:ext cx="1141095" cy="857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657225</xdr:colOff>
      <xdr:row>173</xdr:row>
      <xdr:rowOff>66675</xdr:rowOff>
    </xdr:from>
    <xdr:to>
      <xdr:col>10</xdr:col>
      <xdr:colOff>47625</xdr:colOff>
      <xdr:row>173</xdr:row>
      <xdr:rowOff>123825</xdr:rowOff>
    </xdr:to>
    <xdr:cxnSp macro="">
      <xdr:nvCxnSpPr>
        <xdr:cNvPr id="16" name="Straight Arrow Connector 15"/>
        <xdr:cNvCxnSpPr/>
      </xdr:nvCxnSpPr>
      <xdr:spPr>
        <a:xfrm rot="10800000" flipV="1">
          <a:off x="5381625" y="28013025"/>
          <a:ext cx="933450" cy="57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601980</xdr:colOff>
      <xdr:row>200</xdr:row>
      <xdr:rowOff>106680</xdr:rowOff>
    </xdr:from>
    <xdr:to>
      <xdr:col>12</xdr:col>
      <xdr:colOff>220980</xdr:colOff>
      <xdr:row>200</xdr:row>
      <xdr:rowOff>137160</xdr:rowOff>
    </xdr:to>
    <xdr:cxnSp macro="">
      <xdr:nvCxnSpPr>
        <xdr:cNvPr id="13" name="Straight Arrow Connector 12"/>
        <xdr:cNvCxnSpPr/>
      </xdr:nvCxnSpPr>
      <xdr:spPr>
        <a:xfrm rot="10800000">
          <a:off x="6362700" y="34457640"/>
          <a:ext cx="990600" cy="304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647700</xdr:colOff>
      <xdr:row>202</xdr:row>
      <xdr:rowOff>160020</xdr:rowOff>
    </xdr:from>
    <xdr:to>
      <xdr:col>12</xdr:col>
      <xdr:colOff>83820</xdr:colOff>
      <xdr:row>203</xdr:row>
      <xdr:rowOff>99060</xdr:rowOff>
    </xdr:to>
    <xdr:cxnSp macro="">
      <xdr:nvCxnSpPr>
        <xdr:cNvPr id="17" name="Straight Arrow Connector 16"/>
        <xdr:cNvCxnSpPr/>
      </xdr:nvCxnSpPr>
      <xdr:spPr>
        <a:xfrm rot="10800000" flipV="1">
          <a:off x="6408420" y="34960560"/>
          <a:ext cx="807720" cy="114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297180</xdr:colOff>
      <xdr:row>27</xdr:row>
      <xdr:rowOff>38100</xdr:rowOff>
    </xdr:from>
    <xdr:to>
      <xdr:col>3</xdr:col>
      <xdr:colOff>381000</xdr:colOff>
      <xdr:row>29</xdr:row>
      <xdr:rowOff>99060</xdr:rowOff>
    </xdr:to>
    <xdr:cxnSp macro="">
      <xdr:nvCxnSpPr>
        <xdr:cNvPr id="22" name="Straight Arrow Connector 21"/>
        <xdr:cNvCxnSpPr/>
      </xdr:nvCxnSpPr>
      <xdr:spPr>
        <a:xfrm flipH="1" flipV="1">
          <a:off x="1638300" y="4244340"/>
          <a:ext cx="83820" cy="4114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129540</xdr:colOff>
      <xdr:row>30</xdr:row>
      <xdr:rowOff>7620</xdr:rowOff>
    </xdr:from>
    <xdr:to>
      <xdr:col>11</xdr:col>
      <xdr:colOff>76200</xdr:colOff>
      <xdr:row>30</xdr:row>
      <xdr:rowOff>114300</xdr:rowOff>
    </xdr:to>
    <xdr:cxnSp macro="">
      <xdr:nvCxnSpPr>
        <xdr:cNvPr id="27" name="Straight Arrow Connector 26"/>
        <xdr:cNvCxnSpPr/>
      </xdr:nvCxnSpPr>
      <xdr:spPr>
        <a:xfrm flipV="1">
          <a:off x="4472940" y="5090160"/>
          <a:ext cx="2072640" cy="1066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c:userShapes xmlns:c="http://schemas.openxmlformats.org/drawingml/2006/chart">
  <cdr:relSizeAnchor xmlns:cdr="http://schemas.openxmlformats.org/drawingml/2006/chartDrawing">
    <cdr:from>
      <cdr:x>0.13006</cdr:x>
      <cdr:y>0.40246</cdr:y>
    </cdr:from>
    <cdr:to>
      <cdr:x>0.27023</cdr:x>
      <cdr:y>0.52567</cdr:y>
    </cdr:to>
    <cdr:sp macro="" textlink="">
      <cdr:nvSpPr>
        <cdr:cNvPr id="2" name="TextBox 1"/>
        <cdr:cNvSpPr txBox="1"/>
      </cdr:nvSpPr>
      <cdr:spPr>
        <a:xfrm xmlns:a="http://schemas.openxmlformats.org/drawingml/2006/main">
          <a:off x="857264" y="1866901"/>
          <a:ext cx="923903"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a:p>
      </cdr:txBody>
    </cdr:sp>
  </cdr:relSizeAnchor>
  <cdr:relSizeAnchor xmlns:cdr="http://schemas.openxmlformats.org/drawingml/2006/chartDrawing">
    <cdr:from>
      <cdr:x>0.49002</cdr:x>
      <cdr:y>0.77512</cdr:y>
    </cdr:from>
    <cdr:to>
      <cdr:x>0.88494</cdr:x>
      <cdr:y>0.89474</cdr:y>
    </cdr:to>
    <cdr:sp macro="" textlink="">
      <cdr:nvSpPr>
        <cdr:cNvPr id="4" name="TextBox 3"/>
        <cdr:cNvSpPr txBox="1"/>
      </cdr:nvSpPr>
      <cdr:spPr>
        <a:xfrm xmlns:a="http://schemas.openxmlformats.org/drawingml/2006/main">
          <a:off x="3602331" y="3703322"/>
          <a:ext cx="2903244" cy="5715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0">
              <a:latin typeface="+mn-lt"/>
              <a:ea typeface="+mn-ea"/>
              <a:cs typeface="+mn-cs"/>
            </a:rPr>
            <a:t>If</a:t>
          </a:r>
          <a:r>
            <a:rPr lang="en-US" sz="800" b="0" baseline="0">
              <a:latin typeface="+mn-lt"/>
              <a:ea typeface="+mn-ea"/>
              <a:cs typeface="+mn-cs"/>
            </a:rPr>
            <a:t> </a:t>
          </a:r>
          <a:r>
            <a:rPr lang="en-US" sz="800" b="1" baseline="0">
              <a:latin typeface="+mn-lt"/>
              <a:ea typeface="+mn-ea"/>
              <a:cs typeface="+mn-cs"/>
            </a:rPr>
            <a:t>Transit Fare </a:t>
          </a:r>
          <a:r>
            <a:rPr lang="en-US" sz="800" b="0" baseline="0">
              <a:latin typeface="+mn-lt"/>
              <a:ea typeface="+mn-ea"/>
              <a:cs typeface="+mn-cs"/>
            </a:rPr>
            <a:t>(a subset of </a:t>
          </a:r>
          <a:r>
            <a:rPr lang="en-US" sz="800" b="1">
              <a:latin typeface="+mn-lt"/>
              <a:ea typeface="+mn-ea"/>
              <a:cs typeface="+mn-cs"/>
            </a:rPr>
            <a:t>User Fees</a:t>
          </a:r>
          <a:r>
            <a:rPr lang="en-US" sz="800" b="0" baseline="0">
              <a:latin typeface="+mn-lt"/>
              <a:ea typeface="+mn-ea"/>
              <a:cs typeface="+mn-cs"/>
            </a:rPr>
            <a:t>) appears below the x-axis, it </a:t>
          </a:r>
        </a:p>
        <a:p xmlns:a="http://schemas.openxmlformats.org/drawingml/2006/main">
          <a:r>
            <a:rPr lang="en-US" sz="800" b="0" baseline="0">
              <a:latin typeface="+mn-lt"/>
              <a:ea typeface="+mn-ea"/>
              <a:cs typeface="+mn-cs"/>
            </a:rPr>
            <a:t>indicates an increase in total dollars paid for transit travel, due to</a:t>
          </a:r>
        </a:p>
        <a:p xmlns:a="http://schemas.openxmlformats.org/drawingml/2006/main">
          <a:r>
            <a:rPr lang="en-US" sz="800" b="0" baseline="0">
              <a:latin typeface="+mn-lt"/>
              <a:ea typeface="+mn-ea"/>
              <a:cs typeface="+mn-cs"/>
            </a:rPr>
            <a:t>larger ridership attracted by service improvements.</a:t>
          </a:r>
          <a:endParaRPr lang="en-US" sz="800"/>
        </a:p>
      </cdr:txBody>
    </cdr:sp>
  </cdr:relSizeAnchor>
</c:userShapes>
</file>

<file path=xl/drawings/drawing9.xml><?xml version="1.0" encoding="utf-8"?>
<xdr:wsDr xmlns:xdr="http://schemas.openxmlformats.org/drawingml/2006/spreadsheetDrawing" xmlns:a="http://schemas.openxmlformats.org/drawingml/2006/main">
  <xdr:twoCellAnchor>
    <xdr:from>
      <xdr:col>10</xdr:col>
      <xdr:colOff>38101</xdr:colOff>
      <xdr:row>55</xdr:row>
      <xdr:rowOff>57149</xdr:rowOff>
    </xdr:from>
    <xdr:to>
      <xdr:col>11</xdr:col>
      <xdr:colOff>133351</xdr:colOff>
      <xdr:row>56</xdr:row>
      <xdr:rowOff>66674</xdr:rowOff>
    </xdr:to>
    <xdr:cxnSp macro="">
      <xdr:nvCxnSpPr>
        <xdr:cNvPr id="5" name="Straight Arrow Connector 4"/>
        <xdr:cNvCxnSpPr/>
      </xdr:nvCxnSpPr>
      <xdr:spPr>
        <a:xfrm rot="10800000" flipV="1">
          <a:off x="7315201" y="3762374"/>
          <a:ext cx="866775" cy="161925"/>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9526</xdr:colOff>
      <xdr:row>54</xdr:row>
      <xdr:rowOff>104774</xdr:rowOff>
    </xdr:from>
    <xdr:to>
      <xdr:col>11</xdr:col>
      <xdr:colOff>95251</xdr:colOff>
      <xdr:row>56</xdr:row>
      <xdr:rowOff>76199</xdr:rowOff>
    </xdr:to>
    <xdr:cxnSp macro="">
      <xdr:nvCxnSpPr>
        <xdr:cNvPr id="7" name="Straight Arrow Connector 6"/>
        <xdr:cNvCxnSpPr/>
      </xdr:nvCxnSpPr>
      <xdr:spPr>
        <a:xfrm rot="10800000" flipV="1">
          <a:off x="6496051" y="3657599"/>
          <a:ext cx="1647825" cy="276225"/>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38101</xdr:colOff>
      <xdr:row>67</xdr:row>
      <xdr:rowOff>57149</xdr:rowOff>
    </xdr:from>
    <xdr:to>
      <xdr:col>11</xdr:col>
      <xdr:colOff>133351</xdr:colOff>
      <xdr:row>68</xdr:row>
      <xdr:rowOff>66674</xdr:rowOff>
    </xdr:to>
    <xdr:cxnSp macro="">
      <xdr:nvCxnSpPr>
        <xdr:cNvPr id="8" name="Straight Arrow Connector 7"/>
        <xdr:cNvCxnSpPr/>
      </xdr:nvCxnSpPr>
      <xdr:spPr>
        <a:xfrm rot="10800000" flipV="1">
          <a:off x="7315201" y="3762374"/>
          <a:ext cx="866775" cy="161925"/>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9526</xdr:colOff>
      <xdr:row>66</xdr:row>
      <xdr:rowOff>95250</xdr:rowOff>
    </xdr:from>
    <xdr:to>
      <xdr:col>11</xdr:col>
      <xdr:colOff>95251</xdr:colOff>
      <xdr:row>68</xdr:row>
      <xdr:rowOff>76200</xdr:rowOff>
    </xdr:to>
    <xdr:cxnSp macro="">
      <xdr:nvCxnSpPr>
        <xdr:cNvPr id="10" name="Straight Arrow Connector 9"/>
        <xdr:cNvCxnSpPr/>
      </xdr:nvCxnSpPr>
      <xdr:spPr>
        <a:xfrm rot="10800000" flipV="1">
          <a:off x="6496051" y="5476875"/>
          <a:ext cx="1647825" cy="285750"/>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38101</xdr:colOff>
      <xdr:row>61</xdr:row>
      <xdr:rowOff>57149</xdr:rowOff>
    </xdr:from>
    <xdr:to>
      <xdr:col>11</xdr:col>
      <xdr:colOff>133351</xdr:colOff>
      <xdr:row>62</xdr:row>
      <xdr:rowOff>66674</xdr:rowOff>
    </xdr:to>
    <xdr:cxnSp macro="">
      <xdr:nvCxnSpPr>
        <xdr:cNvPr id="11" name="Straight Arrow Connector 10"/>
        <xdr:cNvCxnSpPr/>
      </xdr:nvCxnSpPr>
      <xdr:spPr>
        <a:xfrm rot="10800000" flipV="1">
          <a:off x="7315201" y="3762374"/>
          <a:ext cx="866775" cy="161925"/>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60</xdr:row>
      <xdr:rowOff>104774</xdr:rowOff>
    </xdr:from>
    <xdr:to>
      <xdr:col>11</xdr:col>
      <xdr:colOff>104775</xdr:colOff>
      <xdr:row>62</xdr:row>
      <xdr:rowOff>76199</xdr:rowOff>
    </xdr:to>
    <xdr:cxnSp macro="">
      <xdr:nvCxnSpPr>
        <xdr:cNvPr id="13" name="Straight Arrow Connector 12"/>
        <xdr:cNvCxnSpPr/>
      </xdr:nvCxnSpPr>
      <xdr:spPr>
        <a:xfrm rot="10800000" flipV="1">
          <a:off x="6629400" y="4571999"/>
          <a:ext cx="1638300" cy="276225"/>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38101</xdr:colOff>
      <xdr:row>94</xdr:row>
      <xdr:rowOff>57149</xdr:rowOff>
    </xdr:from>
    <xdr:to>
      <xdr:col>11</xdr:col>
      <xdr:colOff>133351</xdr:colOff>
      <xdr:row>95</xdr:row>
      <xdr:rowOff>66674</xdr:rowOff>
    </xdr:to>
    <xdr:cxnSp macro="">
      <xdr:nvCxnSpPr>
        <xdr:cNvPr id="14" name="Straight Arrow Connector 13"/>
        <xdr:cNvCxnSpPr/>
      </xdr:nvCxnSpPr>
      <xdr:spPr>
        <a:xfrm rot="10800000" flipV="1">
          <a:off x="7429501" y="5591174"/>
          <a:ext cx="866775" cy="161925"/>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9526</xdr:colOff>
      <xdr:row>93</xdr:row>
      <xdr:rowOff>123825</xdr:rowOff>
    </xdr:from>
    <xdr:to>
      <xdr:col>11</xdr:col>
      <xdr:colOff>95251</xdr:colOff>
      <xdr:row>95</xdr:row>
      <xdr:rowOff>66675</xdr:rowOff>
    </xdr:to>
    <xdr:cxnSp macro="">
      <xdr:nvCxnSpPr>
        <xdr:cNvPr id="16" name="Straight Arrow Connector 15"/>
        <xdr:cNvCxnSpPr/>
      </xdr:nvCxnSpPr>
      <xdr:spPr>
        <a:xfrm rot="10800000" flipV="1">
          <a:off x="6610351" y="6886575"/>
          <a:ext cx="1647825" cy="247650"/>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19051</xdr:colOff>
      <xdr:row>100</xdr:row>
      <xdr:rowOff>85724</xdr:rowOff>
    </xdr:from>
    <xdr:to>
      <xdr:col>11</xdr:col>
      <xdr:colOff>38101</xdr:colOff>
      <xdr:row>100</xdr:row>
      <xdr:rowOff>95249</xdr:rowOff>
    </xdr:to>
    <xdr:cxnSp macro="">
      <xdr:nvCxnSpPr>
        <xdr:cNvPr id="21" name="Straight Arrow Connector 20"/>
        <xdr:cNvCxnSpPr/>
      </xdr:nvCxnSpPr>
      <xdr:spPr>
        <a:xfrm rot="10800000" flipV="1">
          <a:off x="7410451" y="7924799"/>
          <a:ext cx="790575" cy="9525"/>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47626</xdr:colOff>
      <xdr:row>114</xdr:row>
      <xdr:rowOff>57149</xdr:rowOff>
    </xdr:from>
    <xdr:to>
      <xdr:col>10</xdr:col>
      <xdr:colOff>742951</xdr:colOff>
      <xdr:row>114</xdr:row>
      <xdr:rowOff>85724</xdr:rowOff>
    </xdr:to>
    <xdr:cxnSp macro="">
      <xdr:nvCxnSpPr>
        <xdr:cNvPr id="23" name="Straight Arrow Connector 22"/>
        <xdr:cNvCxnSpPr/>
      </xdr:nvCxnSpPr>
      <xdr:spPr>
        <a:xfrm rot="10800000" flipV="1">
          <a:off x="7439026" y="8648699"/>
          <a:ext cx="695325" cy="28575"/>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781050</xdr:colOff>
      <xdr:row>99</xdr:row>
      <xdr:rowOff>19050</xdr:rowOff>
    </xdr:from>
    <xdr:to>
      <xdr:col>11</xdr:col>
      <xdr:colOff>47625</xdr:colOff>
      <xdr:row>100</xdr:row>
      <xdr:rowOff>57150</xdr:rowOff>
    </xdr:to>
    <xdr:cxnSp macro="">
      <xdr:nvCxnSpPr>
        <xdr:cNvPr id="25" name="Straight Arrow Connector 24"/>
        <xdr:cNvCxnSpPr/>
      </xdr:nvCxnSpPr>
      <xdr:spPr>
        <a:xfrm rot="10800000" flipV="1">
          <a:off x="6591300" y="7705725"/>
          <a:ext cx="1619250" cy="190500"/>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28576</xdr:colOff>
      <xdr:row>117</xdr:row>
      <xdr:rowOff>85724</xdr:rowOff>
    </xdr:from>
    <xdr:to>
      <xdr:col>10</xdr:col>
      <xdr:colOff>723901</xdr:colOff>
      <xdr:row>117</xdr:row>
      <xdr:rowOff>95249</xdr:rowOff>
    </xdr:to>
    <xdr:cxnSp macro="">
      <xdr:nvCxnSpPr>
        <xdr:cNvPr id="27" name="Straight Arrow Connector 26"/>
        <xdr:cNvCxnSpPr/>
      </xdr:nvCxnSpPr>
      <xdr:spPr>
        <a:xfrm rot="10800000" flipV="1">
          <a:off x="7419976" y="8991599"/>
          <a:ext cx="695325"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105</xdr:row>
      <xdr:rowOff>91440</xdr:rowOff>
    </xdr:from>
    <xdr:to>
      <xdr:col>11</xdr:col>
      <xdr:colOff>121920</xdr:colOff>
      <xdr:row>105</xdr:row>
      <xdr:rowOff>99060</xdr:rowOff>
    </xdr:to>
    <xdr:cxnSp macro="">
      <xdr:nvCxnSpPr>
        <xdr:cNvPr id="17" name="Straight Arrow Connector 16"/>
        <xdr:cNvCxnSpPr/>
      </xdr:nvCxnSpPr>
      <xdr:spPr>
        <a:xfrm rot="10800000" flipV="1">
          <a:off x="7696200" y="8686800"/>
          <a:ext cx="876300" cy="7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53340</xdr:colOff>
      <xdr:row>108</xdr:row>
      <xdr:rowOff>83820</xdr:rowOff>
    </xdr:from>
    <xdr:to>
      <xdr:col>11</xdr:col>
      <xdr:colOff>91440</xdr:colOff>
      <xdr:row>108</xdr:row>
      <xdr:rowOff>91440</xdr:rowOff>
    </xdr:to>
    <xdr:cxnSp macro="">
      <xdr:nvCxnSpPr>
        <xdr:cNvPr id="19" name="Straight Arrow Connector 18"/>
        <xdr:cNvCxnSpPr/>
      </xdr:nvCxnSpPr>
      <xdr:spPr>
        <a:xfrm rot="10800000">
          <a:off x="7673340" y="9121140"/>
          <a:ext cx="868680" cy="7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xdr:colOff>
      <xdr:row>111</xdr:row>
      <xdr:rowOff>83820</xdr:rowOff>
    </xdr:from>
    <xdr:to>
      <xdr:col>11</xdr:col>
      <xdr:colOff>83820</xdr:colOff>
      <xdr:row>111</xdr:row>
      <xdr:rowOff>99060</xdr:rowOff>
    </xdr:to>
    <xdr:cxnSp macro="">
      <xdr:nvCxnSpPr>
        <xdr:cNvPr id="22" name="Straight Arrow Connector 21"/>
        <xdr:cNvCxnSpPr/>
      </xdr:nvCxnSpPr>
      <xdr:spPr>
        <a:xfrm rot="10800000" flipV="1">
          <a:off x="7650480" y="9563100"/>
          <a:ext cx="883920" cy="15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53340</xdr:colOff>
      <xdr:row>108</xdr:row>
      <xdr:rowOff>83820</xdr:rowOff>
    </xdr:from>
    <xdr:to>
      <xdr:col>11</xdr:col>
      <xdr:colOff>99060</xdr:colOff>
      <xdr:row>108</xdr:row>
      <xdr:rowOff>91440</xdr:rowOff>
    </xdr:to>
    <xdr:cxnSp macro="">
      <xdr:nvCxnSpPr>
        <xdr:cNvPr id="24" name="Straight Arrow Connector 23"/>
        <xdr:cNvCxnSpPr/>
      </xdr:nvCxnSpPr>
      <xdr:spPr>
        <a:xfrm rot="10800000" flipV="1">
          <a:off x="7673340" y="9121140"/>
          <a:ext cx="876300" cy="7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xdr:colOff>
      <xdr:row>111</xdr:row>
      <xdr:rowOff>83820</xdr:rowOff>
    </xdr:from>
    <xdr:to>
      <xdr:col>11</xdr:col>
      <xdr:colOff>76200</xdr:colOff>
      <xdr:row>111</xdr:row>
      <xdr:rowOff>91440</xdr:rowOff>
    </xdr:to>
    <xdr:cxnSp macro="">
      <xdr:nvCxnSpPr>
        <xdr:cNvPr id="28" name="Straight Arrow Connector 27"/>
        <xdr:cNvCxnSpPr/>
      </xdr:nvCxnSpPr>
      <xdr:spPr>
        <a:xfrm rot="10800000" flipV="1">
          <a:off x="7650480" y="9563100"/>
          <a:ext cx="876300" cy="7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68581</xdr:colOff>
      <xdr:row>137</xdr:row>
      <xdr:rowOff>53340</xdr:rowOff>
    </xdr:from>
    <xdr:to>
      <xdr:col>6</xdr:col>
      <xdr:colOff>653415</xdr:colOff>
      <xdr:row>160</xdr:row>
      <xdr:rowOff>68580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137</xdr:row>
      <xdr:rowOff>36195</xdr:rowOff>
    </xdr:from>
    <xdr:to>
      <xdr:col>11</xdr:col>
      <xdr:colOff>762000</xdr:colOff>
      <xdr:row>160</xdr:row>
      <xdr:rowOff>51435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76200</xdr:colOff>
      <xdr:row>170</xdr:row>
      <xdr:rowOff>47625</xdr:rowOff>
    </xdr:from>
    <xdr:to>
      <xdr:col>6</xdr:col>
      <xdr:colOff>752475</xdr:colOff>
      <xdr:row>192</xdr:row>
      <xdr:rowOff>142875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104776</xdr:colOff>
      <xdr:row>170</xdr:row>
      <xdr:rowOff>60960</xdr:rowOff>
    </xdr:from>
    <xdr:to>
      <xdr:col>11</xdr:col>
      <xdr:colOff>790576</xdr:colOff>
      <xdr:row>192</xdr:row>
      <xdr:rowOff>152400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38101</xdr:colOff>
      <xdr:row>17</xdr:row>
      <xdr:rowOff>38100</xdr:rowOff>
    </xdr:from>
    <xdr:to>
      <xdr:col>5</xdr:col>
      <xdr:colOff>739140</xdr:colOff>
      <xdr:row>40</xdr:row>
      <xdr:rowOff>22860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114300</xdr:colOff>
      <xdr:row>17</xdr:row>
      <xdr:rowOff>47625</xdr:rowOff>
    </xdr:from>
    <xdr:to>
      <xdr:col>10</xdr:col>
      <xdr:colOff>792481</xdr:colOff>
      <xdr:row>40</xdr:row>
      <xdr:rowOff>15240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57150</xdr:colOff>
      <xdr:row>944</xdr:row>
      <xdr:rowOff>57150</xdr:rowOff>
    </xdr:from>
    <xdr:to>
      <xdr:col>12</xdr:col>
      <xdr:colOff>704850</xdr:colOff>
      <xdr:row>953</xdr:row>
      <xdr:rowOff>0</xdr:rowOff>
    </xdr:to>
    <xdr:graphicFrame macro="">
      <xdr:nvGraphicFramePr>
        <xdr:cNvPr id="65299181" name="Chart 10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28575</xdr:colOff>
      <xdr:row>915</xdr:row>
      <xdr:rowOff>104775</xdr:rowOff>
    </xdr:from>
    <xdr:to>
      <xdr:col>22</xdr:col>
      <xdr:colOff>819150</xdr:colOff>
      <xdr:row>938</xdr:row>
      <xdr:rowOff>104775</xdr:rowOff>
    </xdr:to>
    <xdr:graphicFrame macro="">
      <xdr:nvGraphicFramePr>
        <xdr:cNvPr id="65299182" name="Chart 18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954</xdr:row>
      <xdr:rowOff>0</xdr:rowOff>
    </xdr:from>
    <xdr:to>
      <xdr:col>22</xdr:col>
      <xdr:colOff>819150</xdr:colOff>
      <xdr:row>974</xdr:row>
      <xdr:rowOff>85725</xdr:rowOff>
    </xdr:to>
    <xdr:graphicFrame macro="">
      <xdr:nvGraphicFramePr>
        <xdr:cNvPr id="65299183" name="Chart 18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76200</xdr:colOff>
      <xdr:row>472</xdr:row>
      <xdr:rowOff>19050</xdr:rowOff>
    </xdr:from>
    <xdr:to>
      <xdr:col>3</xdr:col>
      <xdr:colOff>133350</xdr:colOff>
      <xdr:row>472</xdr:row>
      <xdr:rowOff>95250</xdr:rowOff>
    </xdr:to>
    <xdr:sp macro="" textlink="">
      <xdr:nvSpPr>
        <xdr:cNvPr id="65299185" name="Line 1825"/>
        <xdr:cNvSpPr>
          <a:spLocks noChangeShapeType="1"/>
        </xdr:cNvSpPr>
      </xdr:nvSpPr>
      <xdr:spPr bwMode="auto">
        <a:xfrm flipH="1">
          <a:off x="1000125" y="60636150"/>
          <a:ext cx="800100" cy="76200"/>
        </a:xfrm>
        <a:prstGeom prst="line">
          <a:avLst/>
        </a:prstGeom>
        <a:noFill/>
        <a:ln w="9525">
          <a:solidFill>
            <a:srgbClr val="000000"/>
          </a:solidFill>
          <a:round/>
          <a:headEnd/>
          <a:tailEnd type="triangle" w="med" len="med"/>
        </a:ln>
      </xdr:spPr>
    </xdr:sp>
    <xdr:clientData/>
  </xdr:twoCellAnchor>
  <xdr:twoCellAnchor>
    <xdr:from>
      <xdr:col>16</xdr:col>
      <xdr:colOff>247650</xdr:colOff>
      <xdr:row>2</xdr:row>
      <xdr:rowOff>66675</xdr:rowOff>
    </xdr:from>
    <xdr:to>
      <xdr:col>21</xdr:col>
      <xdr:colOff>495300</xdr:colOff>
      <xdr:row>4</xdr:row>
      <xdr:rowOff>123825</xdr:rowOff>
    </xdr:to>
    <xdr:sp macro="" textlink="">
      <xdr:nvSpPr>
        <xdr:cNvPr id="48951" name="Rectangle 1847"/>
        <xdr:cNvSpPr>
          <a:spLocks noChangeArrowheads="1"/>
        </xdr:cNvSpPr>
      </xdr:nvSpPr>
      <xdr:spPr bwMode="auto">
        <a:xfrm>
          <a:off x="11049000" y="400050"/>
          <a:ext cx="4486275" cy="371475"/>
        </a:xfrm>
        <a:prstGeom prst="rect">
          <a:avLst/>
        </a:prstGeom>
        <a:noFill/>
        <a:ln w="9525">
          <a:noFill/>
          <a:miter lim="800000"/>
          <a:headEnd/>
          <a:tailEnd/>
        </a:ln>
      </xdr:spPr>
      <xdr:txBody>
        <a:bodyPr vertOverflow="clip" wrap="square" lIns="45975" tIns="22988" rIns="45975" bIns="22988" anchor="t" upright="1"/>
        <a:lstStyle/>
        <a:p>
          <a:pPr algn="ctr" rtl="0">
            <a:defRPr sz="1000"/>
          </a:pPr>
          <a:r>
            <a:rPr lang="en-US" sz="1600" b="1" i="0" u="none" strike="noStrike" baseline="0">
              <a:solidFill>
                <a:srgbClr val="000000"/>
              </a:solidFill>
              <a:latin typeface="Arial"/>
              <a:cs typeface="Arial"/>
            </a:rPr>
            <a:t>Worksheet Data Flow</a:t>
          </a:r>
          <a:endParaRPr lang="en-US" sz="1700" b="0" i="0" u="none" strike="noStrike" baseline="0">
            <a:solidFill>
              <a:srgbClr val="000000"/>
            </a:solidFill>
            <a:latin typeface="Arial"/>
            <a:cs typeface="Arial"/>
          </a:endParaRPr>
        </a:p>
        <a:p>
          <a:pPr algn="ctr" rtl="0">
            <a:defRPr sz="1000"/>
          </a:pPr>
          <a:endParaRPr lang="en-US" sz="1700" b="0" i="0" u="none" strike="noStrike" baseline="0">
            <a:solidFill>
              <a:srgbClr val="000000"/>
            </a:solidFill>
            <a:latin typeface="Arial"/>
            <a:cs typeface="Arial"/>
          </a:endParaRPr>
        </a:p>
      </xdr:txBody>
    </xdr:sp>
    <xdr:clientData/>
  </xdr:twoCellAnchor>
  <xdr:twoCellAnchor>
    <xdr:from>
      <xdr:col>17</xdr:col>
      <xdr:colOff>523875</xdr:colOff>
      <xdr:row>5</xdr:row>
      <xdr:rowOff>95250</xdr:rowOff>
    </xdr:from>
    <xdr:to>
      <xdr:col>18</xdr:col>
      <xdr:colOff>800100</xdr:colOff>
      <xdr:row>10</xdr:row>
      <xdr:rowOff>114300</xdr:rowOff>
    </xdr:to>
    <xdr:sp macro="" textlink="">
      <xdr:nvSpPr>
        <xdr:cNvPr id="48952" name="Rectangle 1848"/>
        <xdr:cNvSpPr>
          <a:spLocks noChangeArrowheads="1"/>
        </xdr:cNvSpPr>
      </xdr:nvSpPr>
      <xdr:spPr bwMode="auto">
        <a:xfrm>
          <a:off x="12172950" y="895350"/>
          <a:ext cx="1123950" cy="771525"/>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change in CBD</a:t>
          </a:r>
        </a:p>
        <a:p>
          <a:pPr algn="ctr" rtl="0">
            <a:defRPr sz="1000"/>
          </a:pPr>
          <a:r>
            <a:rPr lang="en-US" sz="800" b="0" i="0" u="none" strike="noStrike" baseline="0">
              <a:solidFill>
                <a:srgbClr val="000000"/>
              </a:solidFill>
              <a:latin typeface="Arial"/>
              <a:cs typeface="Arial"/>
            </a:rPr>
            <a:t>entries due to toll</a:t>
          </a:r>
        </a:p>
        <a:p>
          <a:pPr algn="ctr" rtl="0">
            <a:defRPr sz="1000"/>
          </a:pPr>
          <a:r>
            <a:rPr lang="en-US" sz="800" b="0" i="0" u="none" strike="noStrike" baseline="0">
              <a:solidFill>
                <a:srgbClr val="000000"/>
              </a:solidFill>
              <a:latin typeface="Arial"/>
              <a:cs typeface="Arial"/>
            </a:rPr>
            <a:t>increase</a:t>
          </a:r>
        </a:p>
        <a:p>
          <a:pPr algn="ctr" rtl="0">
            <a:defRPr sz="1000"/>
          </a:pPr>
          <a:r>
            <a:rPr lang="en-US" sz="800" b="0" i="0" u="none" strike="noStrike" baseline="0">
              <a:solidFill>
                <a:srgbClr val="000000"/>
              </a:solidFill>
              <a:latin typeface="Arial"/>
              <a:cs typeface="Arial"/>
            </a:rPr>
            <a:t>(price-elasticity</a:t>
          </a:r>
        </a:p>
        <a:p>
          <a:pPr algn="ctr" rtl="0">
            <a:defRPr sz="1000"/>
          </a:pPr>
          <a:r>
            <a:rPr lang="en-US" sz="800" b="0" i="0" u="none" strike="noStrike" baseline="0">
              <a:solidFill>
                <a:srgbClr val="000000"/>
              </a:solidFill>
              <a:latin typeface="Arial"/>
              <a:cs typeface="Arial"/>
            </a:rPr>
            <a:t>&amp; time switching)</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17</xdr:col>
      <xdr:colOff>66675</xdr:colOff>
      <xdr:row>17</xdr:row>
      <xdr:rowOff>66675</xdr:rowOff>
    </xdr:from>
    <xdr:to>
      <xdr:col>18</xdr:col>
      <xdr:colOff>342900</xdr:colOff>
      <xdr:row>22</xdr:row>
      <xdr:rowOff>66675</xdr:rowOff>
    </xdr:to>
    <xdr:sp macro="" textlink="">
      <xdr:nvSpPr>
        <xdr:cNvPr id="48953" name="Rectangle 1849"/>
        <xdr:cNvSpPr>
          <a:spLocks noChangeArrowheads="1"/>
        </xdr:cNvSpPr>
      </xdr:nvSpPr>
      <xdr:spPr bwMode="auto">
        <a:xfrm>
          <a:off x="11715750" y="2686050"/>
          <a:ext cx="1123950" cy="762000"/>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rebound effect:</a:t>
          </a:r>
        </a:p>
        <a:p>
          <a:pPr algn="ctr" rtl="0">
            <a:defRPr sz="1000"/>
          </a:pPr>
          <a:r>
            <a:rPr lang="en-US" sz="800" b="0" i="0" u="none" strike="noStrike" baseline="0">
              <a:solidFill>
                <a:srgbClr val="000000"/>
              </a:solidFill>
              <a:latin typeface="Arial"/>
              <a:cs typeface="Arial"/>
            </a:rPr>
            <a:t>change in traffic</a:t>
          </a:r>
        </a:p>
        <a:p>
          <a:pPr algn="ctr" rtl="0">
            <a:defRPr sz="1000"/>
          </a:pPr>
          <a:r>
            <a:rPr lang="en-US" sz="800" b="0" i="0" u="none" strike="noStrike" baseline="0">
              <a:solidFill>
                <a:srgbClr val="000000"/>
              </a:solidFill>
              <a:latin typeface="Arial"/>
              <a:cs typeface="Arial"/>
            </a:rPr>
            <a:t>due to changes in</a:t>
          </a:r>
        </a:p>
        <a:p>
          <a:pPr algn="ctr" rtl="0">
            <a:defRPr sz="1000"/>
          </a:pPr>
          <a:r>
            <a:rPr lang="en-US" sz="800" b="0" i="0" u="none" strike="noStrike" baseline="0">
              <a:solidFill>
                <a:srgbClr val="000000"/>
              </a:solidFill>
              <a:latin typeface="Arial"/>
              <a:cs typeface="Arial"/>
            </a:rPr>
            <a:t>travel times</a:t>
          </a:r>
        </a:p>
        <a:p>
          <a:pPr algn="ctr" rtl="0">
            <a:defRPr sz="1000"/>
          </a:pPr>
          <a:r>
            <a:rPr lang="en-US" sz="800" b="0" i="0" u="none" strike="noStrike" baseline="0">
              <a:solidFill>
                <a:srgbClr val="000000"/>
              </a:solidFill>
              <a:latin typeface="Arial"/>
              <a:cs typeface="Arial"/>
            </a:rPr>
            <a:t>(time-elasticity)</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19</xdr:col>
      <xdr:colOff>161925</xdr:colOff>
      <xdr:row>6</xdr:row>
      <xdr:rowOff>76200</xdr:rowOff>
    </xdr:from>
    <xdr:to>
      <xdr:col>20</xdr:col>
      <xdr:colOff>428625</xdr:colOff>
      <xdr:row>9</xdr:row>
      <xdr:rowOff>142875</xdr:rowOff>
    </xdr:to>
    <xdr:sp macro="" textlink="">
      <xdr:nvSpPr>
        <xdr:cNvPr id="48954" name="Rectangle 1850"/>
        <xdr:cNvSpPr>
          <a:spLocks noChangeArrowheads="1"/>
        </xdr:cNvSpPr>
      </xdr:nvSpPr>
      <xdr:spPr bwMode="auto">
        <a:xfrm>
          <a:off x="13506450" y="1019175"/>
          <a:ext cx="1114425" cy="523875"/>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decrease in traffic</a:t>
          </a:r>
        </a:p>
        <a:p>
          <a:pPr algn="ctr" rtl="0">
            <a:defRPr sz="1000"/>
          </a:pPr>
          <a:r>
            <a:rPr lang="en-US" sz="800" b="0" i="0" u="none" strike="noStrike" baseline="0">
              <a:solidFill>
                <a:srgbClr val="000000"/>
              </a:solidFill>
              <a:latin typeface="Arial"/>
              <a:cs typeface="Arial"/>
            </a:rPr>
            <a:t>due to subway</a:t>
          </a:r>
        </a:p>
        <a:p>
          <a:pPr algn="ctr" rtl="0">
            <a:defRPr sz="1000"/>
          </a:pPr>
          <a:r>
            <a:rPr lang="en-US" sz="800" b="0" i="0" u="none" strike="noStrike" baseline="0">
              <a:solidFill>
                <a:srgbClr val="000000"/>
              </a:solidFill>
              <a:latin typeface="Arial"/>
              <a:cs typeface="Arial"/>
            </a:rPr>
            <a:t>attraction</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18</xdr:col>
      <xdr:colOff>676275</xdr:colOff>
      <xdr:row>12</xdr:row>
      <xdr:rowOff>47625</xdr:rowOff>
    </xdr:from>
    <xdr:to>
      <xdr:col>20</xdr:col>
      <xdr:colOff>95250</xdr:colOff>
      <xdr:row>15</xdr:row>
      <xdr:rowOff>76200</xdr:rowOff>
    </xdr:to>
    <xdr:sp macro="" textlink="">
      <xdr:nvSpPr>
        <xdr:cNvPr id="48955" name="Rectangle 1851"/>
        <xdr:cNvSpPr>
          <a:spLocks noChangeArrowheads="1"/>
        </xdr:cNvSpPr>
      </xdr:nvSpPr>
      <xdr:spPr bwMode="auto">
        <a:xfrm>
          <a:off x="13173075" y="1905000"/>
          <a:ext cx="1114425" cy="485775"/>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calculate speed</a:t>
          </a:r>
        </a:p>
        <a:p>
          <a:pPr algn="ctr" rtl="0">
            <a:defRPr sz="1000"/>
          </a:pPr>
          <a:r>
            <a:rPr lang="en-US" sz="800" b="0" i="0" u="none" strike="noStrike" baseline="0">
              <a:solidFill>
                <a:srgbClr val="000000"/>
              </a:solidFill>
              <a:latin typeface="Arial"/>
              <a:cs typeface="Arial"/>
            </a:rPr>
            <a:t>based on hourly</a:t>
          </a:r>
        </a:p>
        <a:p>
          <a:pPr algn="ctr" rtl="0">
            <a:defRPr sz="1000"/>
          </a:pPr>
          <a:r>
            <a:rPr lang="en-US" sz="800" b="0" i="0" u="none" strike="noStrike" baseline="0">
              <a:solidFill>
                <a:srgbClr val="000000"/>
              </a:solidFill>
              <a:latin typeface="Arial"/>
              <a:cs typeface="Arial"/>
            </a:rPr>
            <a:t>VMT</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16</xdr:col>
      <xdr:colOff>123825</xdr:colOff>
      <xdr:row>6</xdr:row>
      <xdr:rowOff>28575</xdr:rowOff>
    </xdr:from>
    <xdr:to>
      <xdr:col>17</xdr:col>
      <xdr:colOff>314325</xdr:colOff>
      <xdr:row>10</xdr:row>
      <xdr:rowOff>28575</xdr:rowOff>
    </xdr:to>
    <xdr:sp macro="" textlink="">
      <xdr:nvSpPr>
        <xdr:cNvPr id="48956" name="Rectangle 1852"/>
        <xdr:cNvSpPr>
          <a:spLocks noChangeArrowheads="1"/>
        </xdr:cNvSpPr>
      </xdr:nvSpPr>
      <xdr:spPr bwMode="auto">
        <a:xfrm>
          <a:off x="10925175" y="971550"/>
          <a:ext cx="1038225" cy="609600"/>
        </a:xfrm>
        <a:prstGeom prst="rect">
          <a:avLst/>
        </a:prstGeom>
        <a:solidFill>
          <a:srgbClr val="FFCC99"/>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baseline </a:t>
          </a:r>
        </a:p>
        <a:p>
          <a:pPr algn="ctr" rtl="0">
            <a:defRPr sz="1000"/>
          </a:pPr>
          <a:r>
            <a:rPr lang="en-US" sz="800" b="0" i="0" u="none" strike="noStrike" baseline="0">
              <a:solidFill>
                <a:srgbClr val="000000"/>
              </a:solidFill>
              <a:latin typeface="Arial"/>
              <a:cs typeface="Arial"/>
            </a:rPr>
            <a:t>vehicle entries</a:t>
          </a:r>
        </a:p>
        <a:p>
          <a:pPr algn="ctr" rtl="0">
            <a:defRPr sz="1000"/>
          </a:pPr>
          <a:r>
            <a:rPr lang="en-US" sz="800" b="0" i="0" u="none" strike="noStrike" baseline="0">
              <a:solidFill>
                <a:srgbClr val="000000"/>
              </a:solidFill>
              <a:latin typeface="Arial"/>
              <a:cs typeface="Arial"/>
            </a:rPr>
            <a:t>into CBD</a:t>
          </a:r>
        </a:p>
        <a:p>
          <a:pPr algn="ctr" rtl="0">
            <a:defRPr sz="1000"/>
          </a:pPr>
          <a:r>
            <a:rPr lang="en-US" sz="800" b="0" i="0" u="none" strike="noStrike" baseline="0">
              <a:solidFill>
                <a:srgbClr val="000000"/>
              </a:solidFill>
              <a:latin typeface="Arial"/>
              <a:cs typeface="Arial"/>
            </a:rPr>
            <a:t>(input data)</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17</xdr:col>
      <xdr:colOff>314325</xdr:colOff>
      <xdr:row>8</xdr:row>
      <xdr:rowOff>28575</xdr:rowOff>
    </xdr:from>
    <xdr:to>
      <xdr:col>17</xdr:col>
      <xdr:colOff>523875</xdr:colOff>
      <xdr:row>8</xdr:row>
      <xdr:rowOff>28575</xdr:rowOff>
    </xdr:to>
    <xdr:cxnSp macro="">
      <xdr:nvCxnSpPr>
        <xdr:cNvPr id="65299192" name="AutoShape 1853"/>
        <xdr:cNvCxnSpPr>
          <a:cxnSpLocks noChangeShapeType="1"/>
          <a:stCxn id="48956" idx="3"/>
          <a:endCxn id="48952" idx="1"/>
        </xdr:cNvCxnSpPr>
      </xdr:nvCxnSpPr>
      <xdr:spPr bwMode="auto">
        <a:xfrm>
          <a:off x="11963400" y="1276350"/>
          <a:ext cx="209550" cy="0"/>
        </a:xfrm>
        <a:prstGeom prst="straightConnector1">
          <a:avLst/>
        </a:prstGeom>
        <a:noFill/>
        <a:ln w="15875">
          <a:solidFill>
            <a:srgbClr val="000000"/>
          </a:solidFill>
          <a:round/>
          <a:headEnd/>
          <a:tailEnd type="triangle" w="lg" len="med"/>
        </a:ln>
      </xdr:spPr>
    </xdr:cxnSp>
    <xdr:clientData/>
  </xdr:twoCellAnchor>
  <xdr:twoCellAnchor>
    <xdr:from>
      <xdr:col>18</xdr:col>
      <xdr:colOff>800100</xdr:colOff>
      <xdr:row>8</xdr:row>
      <xdr:rowOff>28575</xdr:rowOff>
    </xdr:from>
    <xdr:to>
      <xdr:col>19</xdr:col>
      <xdr:colOff>161925</xdr:colOff>
      <xdr:row>8</xdr:row>
      <xdr:rowOff>28575</xdr:rowOff>
    </xdr:to>
    <xdr:cxnSp macro="">
      <xdr:nvCxnSpPr>
        <xdr:cNvPr id="65299193" name="AutoShape 1854"/>
        <xdr:cNvCxnSpPr>
          <a:cxnSpLocks noChangeShapeType="1"/>
          <a:stCxn id="48952" idx="3"/>
          <a:endCxn id="48954" idx="1"/>
        </xdr:cNvCxnSpPr>
      </xdr:nvCxnSpPr>
      <xdr:spPr bwMode="auto">
        <a:xfrm>
          <a:off x="13296900" y="1276350"/>
          <a:ext cx="209550" cy="0"/>
        </a:xfrm>
        <a:prstGeom prst="straightConnector1">
          <a:avLst/>
        </a:prstGeom>
        <a:noFill/>
        <a:ln w="15875">
          <a:solidFill>
            <a:srgbClr val="000000"/>
          </a:solidFill>
          <a:round/>
          <a:headEnd/>
          <a:tailEnd type="triangle" w="lg" len="med"/>
        </a:ln>
      </xdr:spPr>
    </xdr:cxnSp>
    <xdr:clientData/>
  </xdr:twoCellAnchor>
  <xdr:twoCellAnchor>
    <xdr:from>
      <xdr:col>17</xdr:col>
      <xdr:colOff>609600</xdr:colOff>
      <xdr:row>9</xdr:row>
      <xdr:rowOff>142875</xdr:rowOff>
    </xdr:from>
    <xdr:to>
      <xdr:col>19</xdr:col>
      <xdr:colOff>714375</xdr:colOff>
      <xdr:row>12</xdr:row>
      <xdr:rowOff>47625</xdr:rowOff>
    </xdr:to>
    <xdr:cxnSp macro="">
      <xdr:nvCxnSpPr>
        <xdr:cNvPr id="65299194" name="AutoShape 1855"/>
        <xdr:cNvCxnSpPr>
          <a:cxnSpLocks noChangeShapeType="1"/>
          <a:stCxn id="48954" idx="2"/>
          <a:endCxn id="48962" idx="0"/>
        </xdr:cNvCxnSpPr>
      </xdr:nvCxnSpPr>
      <xdr:spPr bwMode="auto">
        <a:xfrm rot="5400000">
          <a:off x="12977813" y="823912"/>
          <a:ext cx="361950" cy="1800225"/>
        </a:xfrm>
        <a:prstGeom prst="bentConnector3">
          <a:avLst>
            <a:gd name="adj1" fmla="val 49773"/>
          </a:avLst>
        </a:prstGeom>
        <a:noFill/>
        <a:ln w="15875">
          <a:solidFill>
            <a:srgbClr val="000000"/>
          </a:solidFill>
          <a:miter lim="800000"/>
          <a:headEnd/>
          <a:tailEnd type="triangle" w="lg" len="med"/>
        </a:ln>
      </xdr:spPr>
    </xdr:cxnSp>
    <xdr:clientData/>
  </xdr:twoCellAnchor>
  <xdr:twoCellAnchor>
    <xdr:from>
      <xdr:col>19</xdr:col>
      <xdr:colOff>390525</xdr:colOff>
      <xdr:row>15</xdr:row>
      <xdr:rowOff>76200</xdr:rowOff>
    </xdr:from>
    <xdr:to>
      <xdr:col>19</xdr:col>
      <xdr:colOff>390525</xdr:colOff>
      <xdr:row>16</xdr:row>
      <xdr:rowOff>85725</xdr:rowOff>
    </xdr:to>
    <xdr:cxnSp macro="">
      <xdr:nvCxnSpPr>
        <xdr:cNvPr id="65299195" name="AutoShape 1856"/>
        <xdr:cNvCxnSpPr>
          <a:cxnSpLocks noChangeShapeType="1"/>
          <a:stCxn id="48955" idx="2"/>
          <a:endCxn id="48966" idx="0"/>
        </xdr:cNvCxnSpPr>
      </xdr:nvCxnSpPr>
      <xdr:spPr bwMode="auto">
        <a:xfrm rot="5400000">
          <a:off x="13654087" y="2471738"/>
          <a:ext cx="161925" cy="0"/>
        </a:xfrm>
        <a:prstGeom prst="straightConnector1">
          <a:avLst/>
        </a:prstGeom>
        <a:noFill/>
        <a:ln w="15875">
          <a:solidFill>
            <a:srgbClr val="000000"/>
          </a:solidFill>
          <a:round/>
          <a:headEnd/>
          <a:tailEnd type="triangle" w="lg" len="med"/>
        </a:ln>
      </xdr:spPr>
    </xdr:cxnSp>
    <xdr:clientData/>
  </xdr:twoCellAnchor>
  <xdr:twoCellAnchor>
    <xdr:from>
      <xdr:col>17</xdr:col>
      <xdr:colOff>28575</xdr:colOff>
      <xdr:row>13</xdr:row>
      <xdr:rowOff>142875</xdr:rowOff>
    </xdr:from>
    <xdr:to>
      <xdr:col>17</xdr:col>
      <xdr:colOff>66675</xdr:colOff>
      <xdr:row>19</xdr:row>
      <xdr:rowOff>142875</xdr:rowOff>
    </xdr:to>
    <xdr:cxnSp macro="">
      <xdr:nvCxnSpPr>
        <xdr:cNvPr id="65299196" name="AutoShape 1857"/>
        <xdr:cNvCxnSpPr>
          <a:cxnSpLocks noChangeShapeType="1"/>
          <a:stCxn id="48953" idx="1"/>
          <a:endCxn id="48962" idx="1"/>
        </xdr:cNvCxnSpPr>
      </xdr:nvCxnSpPr>
      <xdr:spPr bwMode="auto">
        <a:xfrm rot="10800000">
          <a:off x="11677650" y="2152650"/>
          <a:ext cx="38100" cy="914400"/>
        </a:xfrm>
        <a:prstGeom prst="bentConnector3">
          <a:avLst>
            <a:gd name="adj1" fmla="val 700000"/>
          </a:avLst>
        </a:prstGeom>
        <a:noFill/>
        <a:ln w="15875">
          <a:solidFill>
            <a:srgbClr val="000000"/>
          </a:solidFill>
          <a:miter lim="800000"/>
          <a:headEnd/>
          <a:tailEnd type="triangle" w="lg" len="med"/>
        </a:ln>
      </xdr:spPr>
    </xdr:cxnSp>
    <xdr:clientData/>
  </xdr:twoCellAnchor>
  <xdr:twoCellAnchor>
    <xdr:from>
      <xdr:col>17</xdr:col>
      <xdr:colOff>28575</xdr:colOff>
      <xdr:row>12</xdr:row>
      <xdr:rowOff>47625</xdr:rowOff>
    </xdr:from>
    <xdr:to>
      <xdr:col>18</xdr:col>
      <xdr:colOff>342900</xdr:colOff>
      <xdr:row>15</xdr:row>
      <xdr:rowOff>76200</xdr:rowOff>
    </xdr:to>
    <xdr:sp macro="" textlink="">
      <xdr:nvSpPr>
        <xdr:cNvPr id="48962" name="Rectangle 1858"/>
        <xdr:cNvSpPr>
          <a:spLocks noChangeArrowheads="1"/>
        </xdr:cNvSpPr>
      </xdr:nvSpPr>
      <xdr:spPr bwMode="auto">
        <a:xfrm>
          <a:off x="11677650" y="1905000"/>
          <a:ext cx="1162050" cy="485775"/>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hourly VMT change</a:t>
          </a:r>
        </a:p>
        <a:p>
          <a:pPr algn="ctr" rtl="0">
            <a:defRPr sz="1000"/>
          </a:pPr>
          <a:r>
            <a:rPr lang="en-US" sz="800" b="0" i="0" u="none" strike="noStrike" baseline="0">
              <a:solidFill>
                <a:srgbClr val="000000"/>
              </a:solidFill>
              <a:latin typeface="Arial"/>
              <a:cs typeface="Arial"/>
            </a:rPr>
            <a:t>based on trip</a:t>
          </a:r>
        </a:p>
        <a:p>
          <a:pPr algn="ctr" rtl="0">
            <a:defRPr sz="1000"/>
          </a:pPr>
          <a:r>
            <a:rPr lang="en-US" sz="800" b="0" i="0" u="none" strike="noStrike" baseline="0">
              <a:solidFill>
                <a:srgbClr val="000000"/>
              </a:solidFill>
              <a:latin typeface="Arial"/>
              <a:cs typeface="Arial"/>
            </a:rPr>
            <a:t>distance estimates</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18</xdr:col>
      <xdr:colOff>342900</xdr:colOff>
      <xdr:row>13</xdr:row>
      <xdr:rowOff>142875</xdr:rowOff>
    </xdr:from>
    <xdr:to>
      <xdr:col>18</xdr:col>
      <xdr:colOff>676275</xdr:colOff>
      <xdr:row>13</xdr:row>
      <xdr:rowOff>142875</xdr:rowOff>
    </xdr:to>
    <xdr:cxnSp macro="">
      <xdr:nvCxnSpPr>
        <xdr:cNvPr id="65299198" name="AutoShape 1859"/>
        <xdr:cNvCxnSpPr>
          <a:cxnSpLocks noChangeShapeType="1"/>
          <a:stCxn id="48962" idx="3"/>
          <a:endCxn id="48955" idx="1"/>
        </xdr:cNvCxnSpPr>
      </xdr:nvCxnSpPr>
      <xdr:spPr bwMode="auto">
        <a:xfrm>
          <a:off x="12839700" y="2152650"/>
          <a:ext cx="333375" cy="0"/>
        </a:xfrm>
        <a:prstGeom prst="straightConnector1">
          <a:avLst/>
        </a:prstGeom>
        <a:noFill/>
        <a:ln w="15875">
          <a:solidFill>
            <a:srgbClr val="000000"/>
          </a:solidFill>
          <a:round/>
          <a:headEnd/>
          <a:tailEnd type="triangle" w="lg" len="med"/>
        </a:ln>
      </xdr:spPr>
    </xdr:cxnSp>
    <xdr:clientData/>
  </xdr:twoCellAnchor>
  <xdr:twoCellAnchor>
    <xdr:from>
      <xdr:col>20</xdr:col>
      <xdr:colOff>514350</xdr:colOff>
      <xdr:row>9</xdr:row>
      <xdr:rowOff>142875</xdr:rowOff>
    </xdr:from>
    <xdr:to>
      <xdr:col>21</xdr:col>
      <xdr:colOff>619125</xdr:colOff>
      <xdr:row>12</xdr:row>
      <xdr:rowOff>47625</xdr:rowOff>
    </xdr:to>
    <xdr:sp macro="" textlink="">
      <xdr:nvSpPr>
        <xdr:cNvPr id="48964" name="Rectangle 1860"/>
        <xdr:cNvSpPr>
          <a:spLocks noChangeArrowheads="1"/>
        </xdr:cNvSpPr>
      </xdr:nvSpPr>
      <xdr:spPr bwMode="auto">
        <a:xfrm>
          <a:off x="14706600" y="1543050"/>
          <a:ext cx="952500" cy="361950"/>
        </a:xfrm>
        <a:prstGeom prst="rect">
          <a:avLst/>
        </a:prstGeom>
        <a:solidFill>
          <a:srgbClr val="FFCC99"/>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trip distance</a:t>
          </a:r>
        </a:p>
        <a:p>
          <a:pPr algn="ctr" rtl="0">
            <a:defRPr sz="1000"/>
          </a:pPr>
          <a:r>
            <a:rPr lang="en-US" sz="800" b="0" i="0" u="none" strike="noStrike" baseline="0">
              <a:solidFill>
                <a:srgbClr val="000000"/>
              </a:solidFill>
              <a:latin typeface="Arial"/>
              <a:cs typeface="Arial"/>
            </a:rPr>
            <a:t>(estimated)</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17</xdr:col>
      <xdr:colOff>609600</xdr:colOff>
      <xdr:row>11</xdr:row>
      <xdr:rowOff>28575</xdr:rowOff>
    </xdr:from>
    <xdr:to>
      <xdr:col>20</xdr:col>
      <xdr:colOff>514350</xdr:colOff>
      <xdr:row>12</xdr:row>
      <xdr:rowOff>47625</xdr:rowOff>
    </xdr:to>
    <xdr:cxnSp macro="">
      <xdr:nvCxnSpPr>
        <xdr:cNvPr id="65299200" name="AutoShape 1861"/>
        <xdr:cNvCxnSpPr>
          <a:cxnSpLocks noChangeShapeType="1"/>
          <a:stCxn id="48964" idx="1"/>
          <a:endCxn id="48962" idx="0"/>
        </xdr:cNvCxnSpPr>
      </xdr:nvCxnSpPr>
      <xdr:spPr bwMode="auto">
        <a:xfrm rot="10800000" flipV="1">
          <a:off x="12258675" y="1733550"/>
          <a:ext cx="2447925" cy="171450"/>
        </a:xfrm>
        <a:prstGeom prst="bentConnector2">
          <a:avLst/>
        </a:prstGeom>
        <a:noFill/>
        <a:ln w="15875">
          <a:solidFill>
            <a:srgbClr val="000000"/>
          </a:solidFill>
          <a:miter lim="800000"/>
          <a:headEnd/>
          <a:tailEnd type="triangle" w="lg" len="med"/>
        </a:ln>
      </xdr:spPr>
    </xdr:cxnSp>
    <xdr:clientData/>
  </xdr:twoCellAnchor>
  <xdr:twoCellAnchor>
    <xdr:from>
      <xdr:col>18</xdr:col>
      <xdr:colOff>676275</xdr:colOff>
      <xdr:row>16</xdr:row>
      <xdr:rowOff>85725</xdr:rowOff>
    </xdr:from>
    <xdr:to>
      <xdr:col>20</xdr:col>
      <xdr:colOff>95250</xdr:colOff>
      <xdr:row>19</xdr:row>
      <xdr:rowOff>28575</xdr:rowOff>
    </xdr:to>
    <xdr:sp macro="" textlink="">
      <xdr:nvSpPr>
        <xdr:cNvPr id="48966" name="Rectangle 1862"/>
        <xdr:cNvSpPr>
          <a:spLocks noChangeArrowheads="1"/>
        </xdr:cNvSpPr>
      </xdr:nvSpPr>
      <xdr:spPr bwMode="auto">
        <a:xfrm>
          <a:off x="13173075" y="2552700"/>
          <a:ext cx="1114425" cy="400050"/>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calculate trip times</a:t>
          </a:r>
        </a:p>
        <a:p>
          <a:pPr algn="ctr" rtl="0">
            <a:defRPr sz="1000"/>
          </a:pPr>
          <a:r>
            <a:rPr lang="en-US" sz="800" b="0" i="0" u="none" strike="noStrike" baseline="0">
              <a:solidFill>
                <a:srgbClr val="000000"/>
              </a:solidFill>
              <a:latin typeface="Arial"/>
              <a:cs typeface="Arial"/>
            </a:rPr>
            <a:t>(distance/speed)</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18</xdr:col>
      <xdr:colOff>342900</xdr:colOff>
      <xdr:row>19</xdr:row>
      <xdr:rowOff>28575</xdr:rowOff>
    </xdr:from>
    <xdr:to>
      <xdr:col>19</xdr:col>
      <xdr:colOff>390525</xdr:colOff>
      <xdr:row>19</xdr:row>
      <xdr:rowOff>142875</xdr:rowOff>
    </xdr:to>
    <xdr:cxnSp macro="">
      <xdr:nvCxnSpPr>
        <xdr:cNvPr id="65299202" name="AutoShape 1863"/>
        <xdr:cNvCxnSpPr>
          <a:cxnSpLocks noChangeShapeType="1"/>
          <a:stCxn id="48966" idx="2"/>
          <a:endCxn id="48953" idx="3"/>
        </xdr:cNvCxnSpPr>
      </xdr:nvCxnSpPr>
      <xdr:spPr bwMode="auto">
        <a:xfrm rot="5400000">
          <a:off x="13230225" y="2562225"/>
          <a:ext cx="114300" cy="895350"/>
        </a:xfrm>
        <a:prstGeom prst="bentConnector2">
          <a:avLst/>
        </a:prstGeom>
        <a:noFill/>
        <a:ln w="15875">
          <a:solidFill>
            <a:srgbClr val="000000"/>
          </a:solidFill>
          <a:miter lim="800000"/>
          <a:headEnd/>
          <a:tailEnd type="triangle" w="lg" len="med"/>
        </a:ln>
      </xdr:spPr>
    </xdr:cxnSp>
    <xdr:clientData/>
  </xdr:twoCellAnchor>
  <xdr:twoCellAnchor>
    <xdr:from>
      <xdr:col>20</xdr:col>
      <xdr:colOff>95250</xdr:colOff>
      <xdr:row>12</xdr:row>
      <xdr:rowOff>47625</xdr:rowOff>
    </xdr:from>
    <xdr:to>
      <xdr:col>21</xdr:col>
      <xdr:colOff>152400</xdr:colOff>
      <xdr:row>17</xdr:row>
      <xdr:rowOff>133350</xdr:rowOff>
    </xdr:to>
    <xdr:cxnSp macro="">
      <xdr:nvCxnSpPr>
        <xdr:cNvPr id="65299203" name="AutoShape 1864"/>
        <xdr:cNvCxnSpPr>
          <a:cxnSpLocks noChangeShapeType="1"/>
          <a:stCxn id="48964" idx="2"/>
          <a:endCxn id="48966" idx="3"/>
        </xdr:cNvCxnSpPr>
      </xdr:nvCxnSpPr>
      <xdr:spPr bwMode="auto">
        <a:xfrm rot="5400000">
          <a:off x="14316075" y="1876425"/>
          <a:ext cx="847725" cy="904875"/>
        </a:xfrm>
        <a:prstGeom prst="bentConnector2">
          <a:avLst/>
        </a:prstGeom>
        <a:noFill/>
        <a:ln w="15875">
          <a:solidFill>
            <a:srgbClr val="000000"/>
          </a:solidFill>
          <a:miter lim="800000"/>
          <a:headEnd/>
          <a:tailEnd type="triangle" w="lg" len="med"/>
        </a:ln>
      </xdr:spPr>
    </xdr:cxnSp>
    <xdr:clientData/>
  </xdr:twoCellAnchor>
  <xdr:twoCellAnchor>
    <xdr:from>
      <xdr:col>17</xdr:col>
      <xdr:colOff>628650</xdr:colOff>
      <xdr:row>22</xdr:row>
      <xdr:rowOff>66675</xdr:rowOff>
    </xdr:from>
    <xdr:to>
      <xdr:col>20</xdr:col>
      <xdr:colOff>142875</xdr:colOff>
      <xdr:row>23</xdr:row>
      <xdr:rowOff>76200</xdr:rowOff>
    </xdr:to>
    <xdr:cxnSp macro="">
      <xdr:nvCxnSpPr>
        <xdr:cNvPr id="65299204" name="AutoShape 1865"/>
        <xdr:cNvCxnSpPr>
          <a:cxnSpLocks noChangeShapeType="1"/>
          <a:stCxn id="48953" idx="2"/>
          <a:endCxn id="48971" idx="1"/>
        </xdr:cNvCxnSpPr>
      </xdr:nvCxnSpPr>
      <xdr:spPr bwMode="auto">
        <a:xfrm rot="16200000" flipH="1">
          <a:off x="13220700" y="2505075"/>
          <a:ext cx="171450" cy="2057400"/>
        </a:xfrm>
        <a:prstGeom prst="bentConnector2">
          <a:avLst/>
        </a:prstGeom>
        <a:noFill/>
        <a:ln w="15875">
          <a:solidFill>
            <a:srgbClr val="000000"/>
          </a:solidFill>
          <a:prstDash val="dash"/>
          <a:miter lim="800000"/>
          <a:headEnd/>
          <a:tailEnd type="triangle" w="lg" len="med"/>
        </a:ln>
      </xdr:spPr>
    </xdr:cxnSp>
    <xdr:clientData/>
  </xdr:twoCellAnchor>
  <xdr:oneCellAnchor>
    <xdr:from>
      <xdr:col>18</xdr:col>
      <xdr:colOff>485775</xdr:colOff>
      <xdr:row>23</xdr:row>
      <xdr:rowOff>104775</xdr:rowOff>
    </xdr:from>
    <xdr:ext cx="763210" cy="344910"/>
    <xdr:sp macro="" textlink="">
      <xdr:nvSpPr>
        <xdr:cNvPr id="48970" name="Text Box 1866"/>
        <xdr:cNvSpPr txBox="1">
          <a:spLocks noChangeArrowheads="1"/>
        </xdr:cNvSpPr>
      </xdr:nvSpPr>
      <xdr:spPr bwMode="auto">
        <a:xfrm>
          <a:off x="12982575" y="3648075"/>
          <a:ext cx="753670" cy="297006"/>
        </a:xfrm>
        <a:prstGeom prst="rect">
          <a:avLst/>
        </a:prstGeom>
        <a:noFill/>
        <a:ln w="9525">
          <a:noFill/>
          <a:miter lim="800000"/>
          <a:headEnd/>
          <a:tailEnd/>
        </a:ln>
      </xdr:spPr>
      <xdr:txBody>
        <a:bodyPr wrap="none" lIns="45975" tIns="22988" rIns="45975" bIns="22988" anchor="t" upright="1">
          <a:spAutoFit/>
        </a:bodyPr>
        <a:lstStyle/>
        <a:p>
          <a:pPr algn="l" rtl="0">
            <a:defRPr sz="1000"/>
          </a:pPr>
          <a:r>
            <a:rPr lang="en-US" sz="900" b="0" i="0" u="none" strike="noStrike" baseline="0">
              <a:solidFill>
                <a:srgbClr val="000000"/>
              </a:solidFill>
              <a:latin typeface="Arial"/>
              <a:cs typeface="Arial"/>
            </a:rPr>
            <a:t>convergence</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oneCellAnchor>
  <xdr:twoCellAnchor>
    <xdr:from>
      <xdr:col>20</xdr:col>
      <xdr:colOff>142875</xdr:colOff>
      <xdr:row>20</xdr:row>
      <xdr:rowOff>133350</xdr:rowOff>
    </xdr:from>
    <xdr:to>
      <xdr:col>21</xdr:col>
      <xdr:colOff>333375</xdr:colOff>
      <xdr:row>26</xdr:row>
      <xdr:rowOff>28575</xdr:rowOff>
    </xdr:to>
    <xdr:sp macro="" textlink="">
      <xdr:nvSpPr>
        <xdr:cNvPr id="48971" name="Rectangle 1867"/>
        <xdr:cNvSpPr>
          <a:spLocks noChangeArrowheads="1"/>
        </xdr:cNvSpPr>
      </xdr:nvSpPr>
      <xdr:spPr bwMode="auto">
        <a:xfrm>
          <a:off x="14335125" y="3209925"/>
          <a:ext cx="1038225" cy="819150"/>
        </a:xfrm>
        <a:prstGeom prst="rect">
          <a:avLst/>
        </a:prstGeom>
        <a:solidFill>
          <a:srgbClr val="FFFF99"/>
        </a:solidFill>
        <a:ln w="9525">
          <a:solidFill>
            <a:srgbClr val="000000"/>
          </a:solidFill>
          <a:miter lim="800000"/>
          <a:headEnd/>
          <a:tailEnd/>
        </a:ln>
      </xdr:spPr>
      <xdr:txBody>
        <a:bodyPr vertOverflow="clip" wrap="square" lIns="45975" tIns="22988" rIns="45975" bIns="22988" anchor="t" upright="1"/>
        <a:lstStyle/>
        <a:p>
          <a:pPr algn="l" rtl="0">
            <a:defRPr sz="1000"/>
          </a:pPr>
          <a:r>
            <a:rPr lang="en-US" sz="900" b="0" i="0" u="none" strike="noStrike" baseline="0">
              <a:solidFill>
                <a:srgbClr val="000000"/>
              </a:solidFill>
              <a:latin typeface="Arial"/>
              <a:cs typeface="Arial"/>
            </a:rPr>
            <a:t>Final:</a:t>
          </a:r>
        </a:p>
        <a:p>
          <a:pPr algn="l" rtl="0">
            <a:defRPr sz="1000"/>
          </a:pPr>
          <a:r>
            <a:rPr lang="en-US" sz="900" b="0" i="0" u="none" strike="noStrike" baseline="0">
              <a:solidFill>
                <a:srgbClr val="000000"/>
              </a:solidFill>
              <a:latin typeface="Arial"/>
              <a:cs typeface="Arial"/>
            </a:rPr>
            <a:t>• CBD VMT</a:t>
          </a:r>
        </a:p>
        <a:p>
          <a:pPr algn="l" rtl="0">
            <a:defRPr sz="1000"/>
          </a:pPr>
          <a:r>
            <a:rPr lang="en-US" sz="900" b="0" i="0" u="none" strike="noStrike" baseline="0">
              <a:solidFill>
                <a:srgbClr val="000000"/>
              </a:solidFill>
              <a:latin typeface="Arial"/>
              <a:cs typeface="Arial"/>
            </a:rPr>
            <a:t>• toll revenue</a:t>
          </a:r>
        </a:p>
        <a:p>
          <a:pPr algn="l" rtl="0">
            <a:defRPr sz="1000"/>
          </a:pPr>
          <a:r>
            <a:rPr lang="en-US" sz="900" b="0" i="0" u="none" strike="noStrike" baseline="0">
              <a:solidFill>
                <a:srgbClr val="000000"/>
              </a:solidFill>
              <a:latin typeface="Arial"/>
              <a:cs typeface="Arial"/>
            </a:rPr>
            <a:t>• speeds</a:t>
          </a:r>
        </a:p>
        <a:p>
          <a:pPr algn="l" rtl="0">
            <a:defRPr sz="1000"/>
          </a:pPr>
          <a:r>
            <a:rPr lang="en-US" sz="900" b="0" i="0" u="none" strike="noStrike" baseline="0">
              <a:solidFill>
                <a:srgbClr val="000000"/>
              </a:solidFill>
              <a:latin typeface="Arial"/>
              <a:cs typeface="Arial"/>
            </a:rPr>
            <a:t>• time saved</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12</xdr:col>
      <xdr:colOff>619125</xdr:colOff>
      <xdr:row>2</xdr:row>
      <xdr:rowOff>57150</xdr:rowOff>
    </xdr:from>
    <xdr:to>
      <xdr:col>16</xdr:col>
      <xdr:colOff>685800</xdr:colOff>
      <xdr:row>3</xdr:row>
      <xdr:rowOff>95250</xdr:rowOff>
    </xdr:to>
    <xdr:sp macro="" textlink="">
      <xdr:nvSpPr>
        <xdr:cNvPr id="65299207" name="Line 1870"/>
        <xdr:cNvSpPr>
          <a:spLocks noChangeShapeType="1"/>
        </xdr:cNvSpPr>
      </xdr:nvSpPr>
      <xdr:spPr bwMode="auto">
        <a:xfrm>
          <a:off x="8972550" y="390525"/>
          <a:ext cx="2514600" cy="200025"/>
        </a:xfrm>
        <a:prstGeom prst="line">
          <a:avLst/>
        </a:prstGeom>
        <a:noFill/>
        <a:ln w="9525">
          <a:solidFill>
            <a:srgbClr val="000000"/>
          </a:solidFill>
          <a:round/>
          <a:headEnd/>
          <a:tailEnd type="triangle" w="med" len="med"/>
        </a:ln>
      </xdr:spPr>
    </xdr:sp>
    <xdr:clientData/>
  </xdr:twoCellAnchor>
  <xdr:twoCellAnchor>
    <xdr:from>
      <xdr:col>3</xdr:col>
      <xdr:colOff>594360</xdr:colOff>
      <xdr:row>1006</xdr:row>
      <xdr:rowOff>28575</xdr:rowOff>
    </xdr:from>
    <xdr:to>
      <xdr:col>11</xdr:col>
      <xdr:colOff>306705</xdr:colOff>
      <xdr:row>1032</xdr:row>
      <xdr:rowOff>95250</xdr:rowOff>
    </xdr:to>
    <xdr:graphicFrame macro="">
      <xdr:nvGraphicFramePr>
        <xdr:cNvPr id="65299208" name="Chart 37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95250</xdr:colOff>
      <xdr:row>1042</xdr:row>
      <xdr:rowOff>47625</xdr:rowOff>
    </xdr:from>
    <xdr:to>
      <xdr:col>11</xdr:col>
      <xdr:colOff>628650</xdr:colOff>
      <xdr:row>1066</xdr:row>
      <xdr:rowOff>133350</xdr:rowOff>
    </xdr:to>
    <xdr:graphicFrame macro="">
      <xdr:nvGraphicFramePr>
        <xdr:cNvPr id="65299209" name="Chart 38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285750</xdr:colOff>
      <xdr:row>1056</xdr:row>
      <xdr:rowOff>123825</xdr:rowOff>
    </xdr:from>
    <xdr:to>
      <xdr:col>7</xdr:col>
      <xdr:colOff>571500</xdr:colOff>
      <xdr:row>1057</xdr:row>
      <xdr:rowOff>133350</xdr:rowOff>
    </xdr:to>
    <xdr:sp macro="" textlink="">
      <xdr:nvSpPr>
        <xdr:cNvPr id="65299210" name="Text Box 3801"/>
        <xdr:cNvSpPr txBox="1">
          <a:spLocks noChangeArrowheads="1"/>
        </xdr:cNvSpPr>
      </xdr:nvSpPr>
      <xdr:spPr bwMode="auto">
        <a:xfrm>
          <a:off x="4924425" y="149418675"/>
          <a:ext cx="285750" cy="171450"/>
        </a:xfrm>
        <a:prstGeom prst="rect">
          <a:avLst/>
        </a:prstGeom>
        <a:noFill/>
        <a:ln w="9525">
          <a:noFill/>
          <a:miter lim="800000"/>
          <a:headEnd/>
          <a:tailEnd/>
        </a:ln>
      </xdr:spPr>
    </xdr:sp>
    <xdr:clientData/>
  </xdr:twoCellAnchor>
  <xdr:twoCellAnchor editAs="oneCell">
    <xdr:from>
      <xdr:col>7</xdr:col>
      <xdr:colOff>638175</xdr:colOff>
      <xdr:row>1058</xdr:row>
      <xdr:rowOff>133350</xdr:rowOff>
    </xdr:from>
    <xdr:to>
      <xdr:col>8</xdr:col>
      <xdr:colOff>104775</xdr:colOff>
      <xdr:row>1060</xdr:row>
      <xdr:rowOff>57150</xdr:rowOff>
    </xdr:to>
    <xdr:sp macro="" textlink="">
      <xdr:nvSpPr>
        <xdr:cNvPr id="65299211" name="Text Box 3802"/>
        <xdr:cNvSpPr txBox="1">
          <a:spLocks noChangeArrowheads="1"/>
        </xdr:cNvSpPr>
      </xdr:nvSpPr>
      <xdr:spPr bwMode="auto">
        <a:xfrm>
          <a:off x="5276850" y="149733000"/>
          <a:ext cx="209550" cy="247650"/>
        </a:xfrm>
        <a:prstGeom prst="rect">
          <a:avLst/>
        </a:prstGeom>
        <a:noFill/>
        <a:ln w="9525">
          <a:noFill/>
          <a:miter lim="800000"/>
          <a:headEnd/>
          <a:tailEnd/>
        </a:ln>
      </xdr:spPr>
    </xdr:sp>
    <xdr:clientData/>
  </xdr:twoCellAnchor>
  <xdr:twoCellAnchor editAs="oneCell">
    <xdr:from>
      <xdr:col>8</xdr:col>
      <xdr:colOff>457200</xdr:colOff>
      <xdr:row>1052</xdr:row>
      <xdr:rowOff>133350</xdr:rowOff>
    </xdr:from>
    <xdr:to>
      <xdr:col>9</xdr:col>
      <xdr:colOff>2752</xdr:colOff>
      <xdr:row>1053</xdr:row>
      <xdr:rowOff>133350</xdr:rowOff>
    </xdr:to>
    <xdr:sp macro="" textlink="">
      <xdr:nvSpPr>
        <xdr:cNvPr id="65299212" name="Text Box 3803"/>
        <xdr:cNvSpPr txBox="1">
          <a:spLocks noChangeArrowheads="1"/>
        </xdr:cNvSpPr>
      </xdr:nvSpPr>
      <xdr:spPr bwMode="auto">
        <a:xfrm>
          <a:off x="5838825" y="148818600"/>
          <a:ext cx="238125" cy="161925"/>
        </a:xfrm>
        <a:prstGeom prst="rect">
          <a:avLst/>
        </a:prstGeom>
        <a:noFill/>
        <a:ln w="9525">
          <a:noFill/>
          <a:miter lim="800000"/>
          <a:headEnd/>
          <a:tailEnd/>
        </a:ln>
      </xdr:spPr>
    </xdr:sp>
    <xdr:clientData/>
  </xdr:twoCellAnchor>
  <xdr:twoCellAnchor editAs="oneCell">
    <xdr:from>
      <xdr:col>9</xdr:col>
      <xdr:colOff>266700</xdr:colOff>
      <xdr:row>1058</xdr:row>
      <xdr:rowOff>28575</xdr:rowOff>
    </xdr:from>
    <xdr:to>
      <xdr:col>9</xdr:col>
      <xdr:colOff>504825</xdr:colOff>
      <xdr:row>1059</xdr:row>
      <xdr:rowOff>66675</xdr:rowOff>
    </xdr:to>
    <xdr:sp macro="" textlink="">
      <xdr:nvSpPr>
        <xdr:cNvPr id="65299213" name="Text Box 3804"/>
        <xdr:cNvSpPr txBox="1">
          <a:spLocks noChangeArrowheads="1"/>
        </xdr:cNvSpPr>
      </xdr:nvSpPr>
      <xdr:spPr bwMode="auto">
        <a:xfrm>
          <a:off x="6391275" y="149628225"/>
          <a:ext cx="238125" cy="200025"/>
        </a:xfrm>
        <a:prstGeom prst="rect">
          <a:avLst/>
        </a:prstGeom>
        <a:noFill/>
        <a:ln w="9525">
          <a:noFill/>
          <a:miter lim="800000"/>
          <a:headEnd/>
          <a:tailEnd/>
        </a:ln>
      </xdr:spPr>
    </xdr:sp>
    <xdr:clientData/>
  </xdr:twoCellAnchor>
  <xdr:twoCellAnchor editAs="oneCell">
    <xdr:from>
      <xdr:col>10</xdr:col>
      <xdr:colOff>57150</xdr:colOff>
      <xdr:row>1052</xdr:row>
      <xdr:rowOff>133350</xdr:rowOff>
    </xdr:from>
    <xdr:to>
      <xdr:col>10</xdr:col>
      <xdr:colOff>323850</xdr:colOff>
      <xdr:row>1053</xdr:row>
      <xdr:rowOff>152400</xdr:rowOff>
    </xdr:to>
    <xdr:sp macro="" textlink="">
      <xdr:nvSpPr>
        <xdr:cNvPr id="65299214" name="Text Box 3805"/>
        <xdr:cNvSpPr txBox="1">
          <a:spLocks noChangeArrowheads="1"/>
        </xdr:cNvSpPr>
      </xdr:nvSpPr>
      <xdr:spPr bwMode="auto">
        <a:xfrm>
          <a:off x="6924675" y="148818600"/>
          <a:ext cx="266700" cy="180975"/>
        </a:xfrm>
        <a:prstGeom prst="rect">
          <a:avLst/>
        </a:prstGeom>
        <a:noFill/>
        <a:ln w="9525">
          <a:noFill/>
          <a:miter lim="800000"/>
          <a:headEnd/>
          <a:tailEnd/>
        </a:ln>
      </xdr:spPr>
    </xdr:sp>
    <xdr:clientData/>
  </xdr:twoCellAnchor>
  <xdr:twoCellAnchor editAs="oneCell">
    <xdr:from>
      <xdr:col>11</xdr:col>
      <xdr:colOff>28575</xdr:colOff>
      <xdr:row>1048</xdr:row>
      <xdr:rowOff>28575</xdr:rowOff>
    </xdr:from>
    <xdr:to>
      <xdr:col>11</xdr:col>
      <xdr:colOff>238125</xdr:colOff>
      <xdr:row>1049</xdr:row>
      <xdr:rowOff>76200</xdr:rowOff>
    </xdr:to>
    <xdr:sp macro="" textlink="">
      <xdr:nvSpPr>
        <xdr:cNvPr id="65299215" name="Text Box 3806"/>
        <xdr:cNvSpPr txBox="1">
          <a:spLocks noChangeArrowheads="1"/>
        </xdr:cNvSpPr>
      </xdr:nvSpPr>
      <xdr:spPr bwMode="auto">
        <a:xfrm>
          <a:off x="7639050" y="148104225"/>
          <a:ext cx="209550" cy="209550"/>
        </a:xfrm>
        <a:prstGeom prst="rect">
          <a:avLst/>
        </a:prstGeom>
        <a:noFill/>
        <a:ln w="9525">
          <a:noFill/>
          <a:miter lim="800000"/>
          <a:headEnd/>
          <a:tailEnd/>
        </a:ln>
      </xdr:spPr>
    </xdr:sp>
    <xdr:clientData/>
  </xdr:twoCellAnchor>
  <xdr:twoCellAnchor editAs="oneCell">
    <xdr:from>
      <xdr:col>11</xdr:col>
      <xdr:colOff>438150</xdr:colOff>
      <xdr:row>1056</xdr:row>
      <xdr:rowOff>19050</xdr:rowOff>
    </xdr:from>
    <xdr:to>
      <xdr:col>11</xdr:col>
      <xdr:colOff>647700</xdr:colOff>
      <xdr:row>1057</xdr:row>
      <xdr:rowOff>28575</xdr:rowOff>
    </xdr:to>
    <xdr:sp macro="" textlink="">
      <xdr:nvSpPr>
        <xdr:cNvPr id="65299216" name="Text Box 3807"/>
        <xdr:cNvSpPr txBox="1">
          <a:spLocks noChangeArrowheads="1"/>
        </xdr:cNvSpPr>
      </xdr:nvSpPr>
      <xdr:spPr bwMode="auto">
        <a:xfrm>
          <a:off x="8048625" y="149313900"/>
          <a:ext cx="209550" cy="171450"/>
        </a:xfrm>
        <a:prstGeom prst="rect">
          <a:avLst/>
        </a:prstGeom>
        <a:noFill/>
        <a:ln w="9525">
          <a:noFill/>
          <a:miter lim="800000"/>
          <a:headEnd/>
          <a:tailEnd/>
        </a:ln>
      </xdr:spPr>
    </xdr:sp>
    <xdr:clientData/>
  </xdr:twoCellAnchor>
  <xdr:twoCellAnchor editAs="oneCell">
    <xdr:from>
      <xdr:col>7</xdr:col>
      <xdr:colOff>57150</xdr:colOff>
      <xdr:row>1050</xdr:row>
      <xdr:rowOff>76200</xdr:rowOff>
    </xdr:from>
    <xdr:to>
      <xdr:col>10</xdr:col>
      <xdr:colOff>304800</xdr:colOff>
      <xdr:row>1052</xdr:row>
      <xdr:rowOff>19050</xdr:rowOff>
    </xdr:to>
    <xdr:sp macro="" textlink="">
      <xdr:nvSpPr>
        <xdr:cNvPr id="65299217" name="Text Box 3808"/>
        <xdr:cNvSpPr txBox="1">
          <a:spLocks noChangeArrowheads="1"/>
        </xdr:cNvSpPr>
      </xdr:nvSpPr>
      <xdr:spPr bwMode="auto">
        <a:xfrm>
          <a:off x="4695825" y="148456650"/>
          <a:ext cx="2476500" cy="266700"/>
        </a:xfrm>
        <a:prstGeom prst="rect">
          <a:avLst/>
        </a:prstGeom>
        <a:noFill/>
        <a:ln w="9525">
          <a:noFill/>
          <a:miter lim="800000"/>
          <a:headEnd/>
          <a:tailEnd/>
        </a:ln>
      </xdr:spPr>
    </xdr:sp>
    <xdr:clientData/>
  </xdr:twoCellAnchor>
  <xdr:twoCellAnchor>
    <xdr:from>
      <xdr:col>4</xdr:col>
      <xdr:colOff>352425</xdr:colOff>
      <xdr:row>260</xdr:row>
      <xdr:rowOff>19050</xdr:rowOff>
    </xdr:from>
    <xdr:to>
      <xdr:col>7</xdr:col>
      <xdr:colOff>104775</xdr:colOff>
      <xdr:row>265</xdr:row>
      <xdr:rowOff>47625</xdr:rowOff>
    </xdr:to>
    <xdr:cxnSp macro="">
      <xdr:nvCxnSpPr>
        <xdr:cNvPr id="42" name="Straight Arrow Connector 41"/>
        <xdr:cNvCxnSpPr/>
      </xdr:nvCxnSpPr>
      <xdr:spPr>
        <a:xfrm flipV="1">
          <a:off x="2762250" y="33794700"/>
          <a:ext cx="1981200" cy="790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261</xdr:row>
      <xdr:rowOff>28575</xdr:rowOff>
    </xdr:from>
    <xdr:to>
      <xdr:col>11</xdr:col>
      <xdr:colOff>38100</xdr:colOff>
      <xdr:row>264</xdr:row>
      <xdr:rowOff>142875</xdr:rowOff>
    </xdr:to>
    <xdr:cxnSp macro="">
      <xdr:nvCxnSpPr>
        <xdr:cNvPr id="44" name="Straight Arrow Connector 43"/>
        <xdr:cNvCxnSpPr/>
      </xdr:nvCxnSpPr>
      <xdr:spPr>
        <a:xfrm>
          <a:off x="6867525" y="35975925"/>
          <a:ext cx="781050" cy="600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c:userShapes xmlns:c="http://schemas.openxmlformats.org/drawingml/2006/chart">
  <cdr:relSizeAnchor xmlns:cdr="http://schemas.openxmlformats.org/drawingml/2006/chartDrawing">
    <cdr:from>
      <cdr:x>0.88177</cdr:x>
      <cdr:y>0.06966</cdr:y>
    </cdr:from>
    <cdr:to>
      <cdr:x>0.97975</cdr:x>
      <cdr:y>0.98389</cdr:y>
    </cdr:to>
    <cdr:sp macro="" textlink="">
      <cdr:nvSpPr>
        <cdr:cNvPr id="79873" name="Rectangle 1"/>
        <cdr:cNvSpPr>
          <a:spLocks xmlns:a="http://schemas.openxmlformats.org/drawingml/2006/main" noChangeArrowheads="1"/>
        </cdr:cNvSpPr>
      </cdr:nvSpPr>
      <cdr:spPr bwMode="auto">
        <a:xfrm xmlns:a="http://schemas.openxmlformats.org/drawingml/2006/main">
          <a:off x="5367336" y="313835"/>
          <a:ext cx="619299" cy="3315322"/>
        </a:xfrm>
        <a:prstGeom xmlns:a="http://schemas.openxmlformats.org/drawingml/2006/main" prst="rect">
          <a:avLst/>
        </a:prstGeom>
        <a:solidFill xmlns:a="http://schemas.openxmlformats.org/drawingml/2006/main">
          <a:srgbClr val="FFFFFF">
            <a:alpha val="0"/>
          </a:srgbClr>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47625</xdr:colOff>
      <xdr:row>944</xdr:row>
      <xdr:rowOff>85725</xdr:rowOff>
    </xdr:from>
    <xdr:to>
      <xdr:col>12</xdr:col>
      <xdr:colOff>695325</xdr:colOff>
      <xdr:row>952</xdr:row>
      <xdr:rowOff>152400</xdr:rowOff>
    </xdr:to>
    <xdr:graphicFrame macro="">
      <xdr:nvGraphicFramePr>
        <xdr:cNvPr id="652293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247650</xdr:colOff>
      <xdr:row>2</xdr:row>
      <xdr:rowOff>66675</xdr:rowOff>
    </xdr:from>
    <xdr:to>
      <xdr:col>21</xdr:col>
      <xdr:colOff>495300</xdr:colOff>
      <xdr:row>4</xdr:row>
      <xdr:rowOff>123825</xdr:rowOff>
    </xdr:to>
    <xdr:sp macro="" textlink="">
      <xdr:nvSpPr>
        <xdr:cNvPr id="106498" name="Rectangle 2"/>
        <xdr:cNvSpPr>
          <a:spLocks noChangeArrowheads="1"/>
        </xdr:cNvSpPr>
      </xdr:nvSpPr>
      <xdr:spPr bwMode="auto">
        <a:xfrm>
          <a:off x="11049000" y="400050"/>
          <a:ext cx="4486275" cy="371475"/>
        </a:xfrm>
        <a:prstGeom prst="rect">
          <a:avLst/>
        </a:prstGeom>
        <a:noFill/>
        <a:ln w="9525">
          <a:noFill/>
          <a:miter lim="800000"/>
          <a:headEnd/>
          <a:tailEnd/>
        </a:ln>
      </xdr:spPr>
      <xdr:txBody>
        <a:bodyPr vertOverflow="clip" wrap="square" lIns="45975" tIns="22988" rIns="45975" bIns="22988" anchor="t" upright="1"/>
        <a:lstStyle/>
        <a:p>
          <a:pPr algn="ctr" rtl="0">
            <a:defRPr sz="1000"/>
          </a:pPr>
          <a:r>
            <a:rPr lang="en-US" sz="1600" b="1" i="0" u="none" strike="noStrike" baseline="0">
              <a:solidFill>
                <a:srgbClr val="000000"/>
              </a:solidFill>
              <a:latin typeface="Arial"/>
              <a:cs typeface="Arial"/>
            </a:rPr>
            <a:t>Worksheet Data Flow</a:t>
          </a:r>
          <a:endParaRPr lang="en-US" sz="1700" b="0" i="0" u="none" strike="noStrike" baseline="0">
            <a:solidFill>
              <a:srgbClr val="000000"/>
            </a:solidFill>
            <a:latin typeface="Arial"/>
            <a:cs typeface="Arial"/>
          </a:endParaRPr>
        </a:p>
        <a:p>
          <a:pPr algn="ctr" rtl="0">
            <a:defRPr sz="1000"/>
          </a:pPr>
          <a:endParaRPr lang="en-US" sz="1700" b="0" i="0" u="none" strike="noStrike" baseline="0">
            <a:solidFill>
              <a:srgbClr val="000000"/>
            </a:solidFill>
            <a:latin typeface="Arial"/>
            <a:cs typeface="Arial"/>
          </a:endParaRPr>
        </a:p>
      </xdr:txBody>
    </xdr:sp>
    <xdr:clientData/>
  </xdr:twoCellAnchor>
  <xdr:twoCellAnchor>
    <xdr:from>
      <xdr:col>17</xdr:col>
      <xdr:colOff>523875</xdr:colOff>
      <xdr:row>5</xdr:row>
      <xdr:rowOff>95250</xdr:rowOff>
    </xdr:from>
    <xdr:to>
      <xdr:col>18</xdr:col>
      <xdr:colOff>800100</xdr:colOff>
      <xdr:row>10</xdr:row>
      <xdr:rowOff>114300</xdr:rowOff>
    </xdr:to>
    <xdr:sp macro="" textlink="">
      <xdr:nvSpPr>
        <xdr:cNvPr id="106499" name="Rectangle 3"/>
        <xdr:cNvSpPr>
          <a:spLocks noChangeArrowheads="1"/>
        </xdr:cNvSpPr>
      </xdr:nvSpPr>
      <xdr:spPr bwMode="auto">
        <a:xfrm>
          <a:off x="12172950" y="895350"/>
          <a:ext cx="1123950" cy="771525"/>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change in CBD</a:t>
          </a:r>
        </a:p>
        <a:p>
          <a:pPr algn="ctr" rtl="0">
            <a:defRPr sz="1000"/>
          </a:pPr>
          <a:r>
            <a:rPr lang="en-US" sz="800" b="0" i="0" u="none" strike="noStrike" baseline="0">
              <a:solidFill>
                <a:srgbClr val="000000"/>
              </a:solidFill>
              <a:latin typeface="Arial"/>
              <a:cs typeface="Arial"/>
            </a:rPr>
            <a:t>entries due to toll</a:t>
          </a:r>
        </a:p>
        <a:p>
          <a:pPr algn="ctr" rtl="0">
            <a:defRPr sz="1000"/>
          </a:pPr>
          <a:r>
            <a:rPr lang="en-US" sz="800" b="0" i="0" u="none" strike="noStrike" baseline="0">
              <a:solidFill>
                <a:srgbClr val="000000"/>
              </a:solidFill>
              <a:latin typeface="Arial"/>
              <a:cs typeface="Arial"/>
            </a:rPr>
            <a:t>increase</a:t>
          </a:r>
        </a:p>
        <a:p>
          <a:pPr algn="ctr" rtl="0">
            <a:defRPr sz="1000"/>
          </a:pPr>
          <a:r>
            <a:rPr lang="en-US" sz="800" b="0" i="0" u="none" strike="noStrike" baseline="0">
              <a:solidFill>
                <a:srgbClr val="000000"/>
              </a:solidFill>
              <a:latin typeface="Arial"/>
              <a:cs typeface="Arial"/>
            </a:rPr>
            <a:t>(price-elasticity</a:t>
          </a:r>
        </a:p>
        <a:p>
          <a:pPr algn="ctr" rtl="0">
            <a:defRPr sz="1000"/>
          </a:pPr>
          <a:r>
            <a:rPr lang="en-US" sz="800" b="0" i="0" u="none" strike="noStrike" baseline="0">
              <a:solidFill>
                <a:srgbClr val="000000"/>
              </a:solidFill>
              <a:latin typeface="Arial"/>
              <a:cs typeface="Arial"/>
            </a:rPr>
            <a:t>&amp; time switching)</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17</xdr:col>
      <xdr:colOff>66675</xdr:colOff>
      <xdr:row>17</xdr:row>
      <xdr:rowOff>66675</xdr:rowOff>
    </xdr:from>
    <xdr:to>
      <xdr:col>18</xdr:col>
      <xdr:colOff>342900</xdr:colOff>
      <xdr:row>22</xdr:row>
      <xdr:rowOff>66675</xdr:rowOff>
    </xdr:to>
    <xdr:sp macro="" textlink="">
      <xdr:nvSpPr>
        <xdr:cNvPr id="106500" name="Rectangle 4"/>
        <xdr:cNvSpPr>
          <a:spLocks noChangeArrowheads="1"/>
        </xdr:cNvSpPr>
      </xdr:nvSpPr>
      <xdr:spPr bwMode="auto">
        <a:xfrm>
          <a:off x="11715750" y="2676525"/>
          <a:ext cx="1123950" cy="762000"/>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rebound effect:</a:t>
          </a:r>
        </a:p>
        <a:p>
          <a:pPr algn="ctr" rtl="0">
            <a:defRPr sz="1000"/>
          </a:pPr>
          <a:r>
            <a:rPr lang="en-US" sz="800" b="0" i="0" u="none" strike="noStrike" baseline="0">
              <a:solidFill>
                <a:srgbClr val="000000"/>
              </a:solidFill>
              <a:latin typeface="Arial"/>
              <a:cs typeface="Arial"/>
            </a:rPr>
            <a:t>change in traffic</a:t>
          </a:r>
        </a:p>
        <a:p>
          <a:pPr algn="ctr" rtl="0">
            <a:defRPr sz="1000"/>
          </a:pPr>
          <a:r>
            <a:rPr lang="en-US" sz="800" b="0" i="0" u="none" strike="noStrike" baseline="0">
              <a:solidFill>
                <a:srgbClr val="000000"/>
              </a:solidFill>
              <a:latin typeface="Arial"/>
              <a:cs typeface="Arial"/>
            </a:rPr>
            <a:t>due to changes in</a:t>
          </a:r>
        </a:p>
        <a:p>
          <a:pPr algn="ctr" rtl="0">
            <a:defRPr sz="1000"/>
          </a:pPr>
          <a:r>
            <a:rPr lang="en-US" sz="800" b="0" i="0" u="none" strike="noStrike" baseline="0">
              <a:solidFill>
                <a:srgbClr val="000000"/>
              </a:solidFill>
              <a:latin typeface="Arial"/>
              <a:cs typeface="Arial"/>
            </a:rPr>
            <a:t>travel times</a:t>
          </a:r>
        </a:p>
        <a:p>
          <a:pPr algn="ctr" rtl="0">
            <a:defRPr sz="1000"/>
          </a:pPr>
          <a:r>
            <a:rPr lang="en-US" sz="800" b="0" i="0" u="none" strike="noStrike" baseline="0">
              <a:solidFill>
                <a:srgbClr val="000000"/>
              </a:solidFill>
              <a:latin typeface="Arial"/>
              <a:cs typeface="Arial"/>
            </a:rPr>
            <a:t>(time-elasticity)</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19</xdr:col>
      <xdr:colOff>161925</xdr:colOff>
      <xdr:row>6</xdr:row>
      <xdr:rowOff>76200</xdr:rowOff>
    </xdr:from>
    <xdr:to>
      <xdr:col>20</xdr:col>
      <xdr:colOff>428625</xdr:colOff>
      <xdr:row>9</xdr:row>
      <xdr:rowOff>142875</xdr:rowOff>
    </xdr:to>
    <xdr:sp macro="" textlink="">
      <xdr:nvSpPr>
        <xdr:cNvPr id="106501" name="Rectangle 5"/>
        <xdr:cNvSpPr>
          <a:spLocks noChangeArrowheads="1"/>
        </xdr:cNvSpPr>
      </xdr:nvSpPr>
      <xdr:spPr bwMode="auto">
        <a:xfrm>
          <a:off x="13506450" y="1019175"/>
          <a:ext cx="1114425" cy="523875"/>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decrease in traffic</a:t>
          </a:r>
        </a:p>
        <a:p>
          <a:pPr algn="ctr" rtl="0">
            <a:defRPr sz="1000"/>
          </a:pPr>
          <a:r>
            <a:rPr lang="en-US" sz="800" b="0" i="0" u="none" strike="noStrike" baseline="0">
              <a:solidFill>
                <a:srgbClr val="000000"/>
              </a:solidFill>
              <a:latin typeface="Arial"/>
              <a:cs typeface="Arial"/>
            </a:rPr>
            <a:t>due to subway</a:t>
          </a:r>
        </a:p>
        <a:p>
          <a:pPr algn="ctr" rtl="0">
            <a:defRPr sz="1000"/>
          </a:pPr>
          <a:r>
            <a:rPr lang="en-US" sz="800" b="0" i="0" u="none" strike="noStrike" baseline="0">
              <a:solidFill>
                <a:srgbClr val="000000"/>
              </a:solidFill>
              <a:latin typeface="Arial"/>
              <a:cs typeface="Arial"/>
            </a:rPr>
            <a:t>attraction</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18</xdr:col>
      <xdr:colOff>676275</xdr:colOff>
      <xdr:row>12</xdr:row>
      <xdr:rowOff>47625</xdr:rowOff>
    </xdr:from>
    <xdr:to>
      <xdr:col>20</xdr:col>
      <xdr:colOff>95250</xdr:colOff>
      <xdr:row>15</xdr:row>
      <xdr:rowOff>76200</xdr:rowOff>
    </xdr:to>
    <xdr:sp macro="" textlink="">
      <xdr:nvSpPr>
        <xdr:cNvPr id="106502" name="Rectangle 6"/>
        <xdr:cNvSpPr>
          <a:spLocks noChangeArrowheads="1"/>
        </xdr:cNvSpPr>
      </xdr:nvSpPr>
      <xdr:spPr bwMode="auto">
        <a:xfrm>
          <a:off x="13173075" y="1905000"/>
          <a:ext cx="1114425" cy="476250"/>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calculate speed</a:t>
          </a:r>
        </a:p>
        <a:p>
          <a:pPr algn="ctr" rtl="0">
            <a:defRPr sz="1000"/>
          </a:pPr>
          <a:r>
            <a:rPr lang="en-US" sz="800" b="0" i="0" u="none" strike="noStrike" baseline="0">
              <a:solidFill>
                <a:srgbClr val="000000"/>
              </a:solidFill>
              <a:latin typeface="Arial"/>
              <a:cs typeface="Arial"/>
            </a:rPr>
            <a:t>based on hourly</a:t>
          </a:r>
        </a:p>
        <a:p>
          <a:pPr algn="ctr" rtl="0">
            <a:defRPr sz="1000"/>
          </a:pPr>
          <a:r>
            <a:rPr lang="en-US" sz="800" b="0" i="0" u="none" strike="noStrike" baseline="0">
              <a:solidFill>
                <a:srgbClr val="000000"/>
              </a:solidFill>
              <a:latin typeface="Arial"/>
              <a:cs typeface="Arial"/>
            </a:rPr>
            <a:t>VMT</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16</xdr:col>
      <xdr:colOff>123825</xdr:colOff>
      <xdr:row>6</xdr:row>
      <xdr:rowOff>28575</xdr:rowOff>
    </xdr:from>
    <xdr:to>
      <xdr:col>17</xdr:col>
      <xdr:colOff>314325</xdr:colOff>
      <xdr:row>10</xdr:row>
      <xdr:rowOff>28575</xdr:rowOff>
    </xdr:to>
    <xdr:sp macro="" textlink="">
      <xdr:nvSpPr>
        <xdr:cNvPr id="106503" name="Rectangle 7"/>
        <xdr:cNvSpPr>
          <a:spLocks noChangeArrowheads="1"/>
        </xdr:cNvSpPr>
      </xdr:nvSpPr>
      <xdr:spPr bwMode="auto">
        <a:xfrm>
          <a:off x="10925175" y="971550"/>
          <a:ext cx="1038225" cy="609600"/>
        </a:xfrm>
        <a:prstGeom prst="rect">
          <a:avLst/>
        </a:prstGeom>
        <a:solidFill>
          <a:srgbClr val="FFCC99"/>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baseline </a:t>
          </a:r>
        </a:p>
        <a:p>
          <a:pPr algn="ctr" rtl="0">
            <a:defRPr sz="1000"/>
          </a:pPr>
          <a:r>
            <a:rPr lang="en-US" sz="800" b="0" i="0" u="none" strike="noStrike" baseline="0">
              <a:solidFill>
                <a:srgbClr val="000000"/>
              </a:solidFill>
              <a:latin typeface="Arial"/>
              <a:cs typeface="Arial"/>
            </a:rPr>
            <a:t>vehicle entries</a:t>
          </a:r>
        </a:p>
        <a:p>
          <a:pPr algn="ctr" rtl="0">
            <a:defRPr sz="1000"/>
          </a:pPr>
          <a:r>
            <a:rPr lang="en-US" sz="800" b="0" i="0" u="none" strike="noStrike" baseline="0">
              <a:solidFill>
                <a:srgbClr val="000000"/>
              </a:solidFill>
              <a:latin typeface="Arial"/>
              <a:cs typeface="Arial"/>
            </a:rPr>
            <a:t>into CBD</a:t>
          </a:r>
        </a:p>
        <a:p>
          <a:pPr algn="ctr" rtl="0">
            <a:defRPr sz="1000"/>
          </a:pPr>
          <a:r>
            <a:rPr lang="en-US" sz="800" b="0" i="0" u="none" strike="noStrike" baseline="0">
              <a:solidFill>
                <a:srgbClr val="000000"/>
              </a:solidFill>
              <a:latin typeface="Arial"/>
              <a:cs typeface="Arial"/>
            </a:rPr>
            <a:t>(input data)</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17</xdr:col>
      <xdr:colOff>314325</xdr:colOff>
      <xdr:row>8</xdr:row>
      <xdr:rowOff>28575</xdr:rowOff>
    </xdr:from>
    <xdr:to>
      <xdr:col>17</xdr:col>
      <xdr:colOff>523875</xdr:colOff>
      <xdr:row>8</xdr:row>
      <xdr:rowOff>28575</xdr:rowOff>
    </xdr:to>
    <xdr:cxnSp macro="">
      <xdr:nvCxnSpPr>
        <xdr:cNvPr id="65229371" name="AutoShape 8"/>
        <xdr:cNvCxnSpPr>
          <a:cxnSpLocks noChangeShapeType="1"/>
          <a:stCxn id="106503" idx="3"/>
          <a:endCxn id="106499" idx="1"/>
        </xdr:cNvCxnSpPr>
      </xdr:nvCxnSpPr>
      <xdr:spPr bwMode="auto">
        <a:xfrm>
          <a:off x="11963400" y="1276350"/>
          <a:ext cx="209550" cy="0"/>
        </a:xfrm>
        <a:prstGeom prst="straightConnector1">
          <a:avLst/>
        </a:prstGeom>
        <a:noFill/>
        <a:ln w="15875">
          <a:solidFill>
            <a:srgbClr val="000000"/>
          </a:solidFill>
          <a:round/>
          <a:headEnd/>
          <a:tailEnd type="triangle" w="lg" len="med"/>
        </a:ln>
      </xdr:spPr>
    </xdr:cxnSp>
    <xdr:clientData/>
  </xdr:twoCellAnchor>
  <xdr:twoCellAnchor>
    <xdr:from>
      <xdr:col>18</xdr:col>
      <xdr:colOff>800100</xdr:colOff>
      <xdr:row>8</xdr:row>
      <xdr:rowOff>28575</xdr:rowOff>
    </xdr:from>
    <xdr:to>
      <xdr:col>19</xdr:col>
      <xdr:colOff>161925</xdr:colOff>
      <xdr:row>8</xdr:row>
      <xdr:rowOff>28575</xdr:rowOff>
    </xdr:to>
    <xdr:cxnSp macro="">
      <xdr:nvCxnSpPr>
        <xdr:cNvPr id="65229372" name="AutoShape 9"/>
        <xdr:cNvCxnSpPr>
          <a:cxnSpLocks noChangeShapeType="1"/>
          <a:stCxn id="106499" idx="3"/>
          <a:endCxn id="106501" idx="1"/>
        </xdr:cNvCxnSpPr>
      </xdr:nvCxnSpPr>
      <xdr:spPr bwMode="auto">
        <a:xfrm>
          <a:off x="13296900" y="1276350"/>
          <a:ext cx="209550" cy="0"/>
        </a:xfrm>
        <a:prstGeom prst="straightConnector1">
          <a:avLst/>
        </a:prstGeom>
        <a:noFill/>
        <a:ln w="15875">
          <a:solidFill>
            <a:srgbClr val="000000"/>
          </a:solidFill>
          <a:round/>
          <a:headEnd/>
          <a:tailEnd type="triangle" w="lg" len="med"/>
        </a:ln>
      </xdr:spPr>
    </xdr:cxnSp>
    <xdr:clientData/>
  </xdr:twoCellAnchor>
  <xdr:twoCellAnchor>
    <xdr:from>
      <xdr:col>17</xdr:col>
      <xdr:colOff>609600</xdr:colOff>
      <xdr:row>9</xdr:row>
      <xdr:rowOff>142875</xdr:rowOff>
    </xdr:from>
    <xdr:to>
      <xdr:col>19</xdr:col>
      <xdr:colOff>714375</xdr:colOff>
      <xdr:row>12</xdr:row>
      <xdr:rowOff>47625</xdr:rowOff>
    </xdr:to>
    <xdr:cxnSp macro="">
      <xdr:nvCxnSpPr>
        <xdr:cNvPr id="65229373" name="AutoShape 10"/>
        <xdr:cNvCxnSpPr>
          <a:cxnSpLocks noChangeShapeType="1"/>
          <a:stCxn id="106501" idx="2"/>
          <a:endCxn id="106509" idx="0"/>
        </xdr:cNvCxnSpPr>
      </xdr:nvCxnSpPr>
      <xdr:spPr bwMode="auto">
        <a:xfrm rot="5400000">
          <a:off x="12977813" y="823912"/>
          <a:ext cx="361950" cy="1800225"/>
        </a:xfrm>
        <a:prstGeom prst="bentConnector3">
          <a:avLst>
            <a:gd name="adj1" fmla="val 49773"/>
          </a:avLst>
        </a:prstGeom>
        <a:noFill/>
        <a:ln w="15875">
          <a:solidFill>
            <a:srgbClr val="000000"/>
          </a:solidFill>
          <a:miter lim="800000"/>
          <a:headEnd/>
          <a:tailEnd type="triangle" w="lg" len="med"/>
        </a:ln>
      </xdr:spPr>
    </xdr:cxnSp>
    <xdr:clientData/>
  </xdr:twoCellAnchor>
  <xdr:twoCellAnchor>
    <xdr:from>
      <xdr:col>19</xdr:col>
      <xdr:colOff>390525</xdr:colOff>
      <xdr:row>15</xdr:row>
      <xdr:rowOff>76200</xdr:rowOff>
    </xdr:from>
    <xdr:to>
      <xdr:col>19</xdr:col>
      <xdr:colOff>390525</xdr:colOff>
      <xdr:row>16</xdr:row>
      <xdr:rowOff>85725</xdr:rowOff>
    </xdr:to>
    <xdr:cxnSp macro="">
      <xdr:nvCxnSpPr>
        <xdr:cNvPr id="65229374" name="AutoShape 11"/>
        <xdr:cNvCxnSpPr>
          <a:cxnSpLocks noChangeShapeType="1"/>
          <a:stCxn id="106502" idx="2"/>
          <a:endCxn id="106513" idx="0"/>
        </xdr:cNvCxnSpPr>
      </xdr:nvCxnSpPr>
      <xdr:spPr bwMode="auto">
        <a:xfrm rot="5400000">
          <a:off x="13654087" y="2462213"/>
          <a:ext cx="161925" cy="0"/>
        </a:xfrm>
        <a:prstGeom prst="straightConnector1">
          <a:avLst/>
        </a:prstGeom>
        <a:noFill/>
        <a:ln w="15875">
          <a:solidFill>
            <a:srgbClr val="000000"/>
          </a:solidFill>
          <a:round/>
          <a:headEnd/>
          <a:tailEnd type="triangle" w="lg" len="med"/>
        </a:ln>
      </xdr:spPr>
    </xdr:cxnSp>
    <xdr:clientData/>
  </xdr:twoCellAnchor>
  <xdr:twoCellAnchor>
    <xdr:from>
      <xdr:col>17</xdr:col>
      <xdr:colOff>28575</xdr:colOff>
      <xdr:row>13</xdr:row>
      <xdr:rowOff>142875</xdr:rowOff>
    </xdr:from>
    <xdr:to>
      <xdr:col>17</xdr:col>
      <xdr:colOff>66675</xdr:colOff>
      <xdr:row>19</xdr:row>
      <xdr:rowOff>142875</xdr:rowOff>
    </xdr:to>
    <xdr:cxnSp macro="">
      <xdr:nvCxnSpPr>
        <xdr:cNvPr id="65229375" name="AutoShape 12"/>
        <xdr:cNvCxnSpPr>
          <a:cxnSpLocks noChangeShapeType="1"/>
          <a:stCxn id="106500" idx="1"/>
          <a:endCxn id="106509" idx="1"/>
        </xdr:cNvCxnSpPr>
      </xdr:nvCxnSpPr>
      <xdr:spPr bwMode="auto">
        <a:xfrm rot="10800000">
          <a:off x="11677650" y="2152650"/>
          <a:ext cx="38100" cy="904875"/>
        </a:xfrm>
        <a:prstGeom prst="bentConnector3">
          <a:avLst>
            <a:gd name="adj1" fmla="val 700000"/>
          </a:avLst>
        </a:prstGeom>
        <a:noFill/>
        <a:ln w="15875">
          <a:solidFill>
            <a:srgbClr val="000000"/>
          </a:solidFill>
          <a:miter lim="800000"/>
          <a:headEnd/>
          <a:tailEnd type="triangle" w="lg" len="med"/>
        </a:ln>
      </xdr:spPr>
    </xdr:cxnSp>
    <xdr:clientData/>
  </xdr:twoCellAnchor>
  <xdr:twoCellAnchor>
    <xdr:from>
      <xdr:col>17</xdr:col>
      <xdr:colOff>28575</xdr:colOff>
      <xdr:row>12</xdr:row>
      <xdr:rowOff>47625</xdr:rowOff>
    </xdr:from>
    <xdr:to>
      <xdr:col>18</xdr:col>
      <xdr:colOff>342900</xdr:colOff>
      <xdr:row>15</xdr:row>
      <xdr:rowOff>76200</xdr:rowOff>
    </xdr:to>
    <xdr:sp macro="" textlink="">
      <xdr:nvSpPr>
        <xdr:cNvPr id="106509" name="Rectangle 13"/>
        <xdr:cNvSpPr>
          <a:spLocks noChangeArrowheads="1"/>
        </xdr:cNvSpPr>
      </xdr:nvSpPr>
      <xdr:spPr bwMode="auto">
        <a:xfrm>
          <a:off x="11677650" y="1905000"/>
          <a:ext cx="1162050" cy="476250"/>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hourly VMT change</a:t>
          </a:r>
        </a:p>
        <a:p>
          <a:pPr algn="ctr" rtl="0">
            <a:defRPr sz="1000"/>
          </a:pPr>
          <a:r>
            <a:rPr lang="en-US" sz="800" b="0" i="0" u="none" strike="noStrike" baseline="0">
              <a:solidFill>
                <a:srgbClr val="000000"/>
              </a:solidFill>
              <a:latin typeface="Arial"/>
              <a:cs typeface="Arial"/>
            </a:rPr>
            <a:t>based on trip</a:t>
          </a:r>
        </a:p>
        <a:p>
          <a:pPr algn="ctr" rtl="0">
            <a:defRPr sz="1000"/>
          </a:pPr>
          <a:r>
            <a:rPr lang="en-US" sz="800" b="0" i="0" u="none" strike="noStrike" baseline="0">
              <a:solidFill>
                <a:srgbClr val="000000"/>
              </a:solidFill>
              <a:latin typeface="Arial"/>
              <a:cs typeface="Arial"/>
            </a:rPr>
            <a:t>distance estimates</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18</xdr:col>
      <xdr:colOff>342900</xdr:colOff>
      <xdr:row>13</xdr:row>
      <xdr:rowOff>142875</xdr:rowOff>
    </xdr:from>
    <xdr:to>
      <xdr:col>18</xdr:col>
      <xdr:colOff>676275</xdr:colOff>
      <xdr:row>13</xdr:row>
      <xdr:rowOff>142875</xdr:rowOff>
    </xdr:to>
    <xdr:cxnSp macro="">
      <xdr:nvCxnSpPr>
        <xdr:cNvPr id="65229377" name="AutoShape 14"/>
        <xdr:cNvCxnSpPr>
          <a:cxnSpLocks noChangeShapeType="1"/>
          <a:stCxn id="106509" idx="3"/>
          <a:endCxn id="106502" idx="1"/>
        </xdr:cNvCxnSpPr>
      </xdr:nvCxnSpPr>
      <xdr:spPr bwMode="auto">
        <a:xfrm>
          <a:off x="12839700" y="2152650"/>
          <a:ext cx="333375" cy="0"/>
        </a:xfrm>
        <a:prstGeom prst="straightConnector1">
          <a:avLst/>
        </a:prstGeom>
        <a:noFill/>
        <a:ln w="15875">
          <a:solidFill>
            <a:srgbClr val="000000"/>
          </a:solidFill>
          <a:round/>
          <a:headEnd/>
          <a:tailEnd type="triangle" w="lg" len="med"/>
        </a:ln>
      </xdr:spPr>
    </xdr:cxnSp>
    <xdr:clientData/>
  </xdr:twoCellAnchor>
  <xdr:twoCellAnchor>
    <xdr:from>
      <xdr:col>20</xdr:col>
      <xdr:colOff>514350</xdr:colOff>
      <xdr:row>9</xdr:row>
      <xdr:rowOff>142875</xdr:rowOff>
    </xdr:from>
    <xdr:to>
      <xdr:col>21</xdr:col>
      <xdr:colOff>619125</xdr:colOff>
      <xdr:row>12</xdr:row>
      <xdr:rowOff>47625</xdr:rowOff>
    </xdr:to>
    <xdr:sp macro="" textlink="">
      <xdr:nvSpPr>
        <xdr:cNvPr id="106511" name="Rectangle 15"/>
        <xdr:cNvSpPr>
          <a:spLocks noChangeArrowheads="1"/>
        </xdr:cNvSpPr>
      </xdr:nvSpPr>
      <xdr:spPr bwMode="auto">
        <a:xfrm>
          <a:off x="14706600" y="1543050"/>
          <a:ext cx="952500" cy="361950"/>
        </a:xfrm>
        <a:prstGeom prst="rect">
          <a:avLst/>
        </a:prstGeom>
        <a:solidFill>
          <a:srgbClr val="FFCC99"/>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trip distance</a:t>
          </a:r>
        </a:p>
        <a:p>
          <a:pPr algn="ctr" rtl="0">
            <a:defRPr sz="1000"/>
          </a:pPr>
          <a:r>
            <a:rPr lang="en-US" sz="800" b="0" i="0" u="none" strike="noStrike" baseline="0">
              <a:solidFill>
                <a:srgbClr val="000000"/>
              </a:solidFill>
              <a:latin typeface="Arial"/>
              <a:cs typeface="Arial"/>
            </a:rPr>
            <a:t>(estimated)</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17</xdr:col>
      <xdr:colOff>609600</xdr:colOff>
      <xdr:row>11</xdr:row>
      <xdr:rowOff>28575</xdr:rowOff>
    </xdr:from>
    <xdr:to>
      <xdr:col>20</xdr:col>
      <xdr:colOff>514350</xdr:colOff>
      <xdr:row>12</xdr:row>
      <xdr:rowOff>47625</xdr:rowOff>
    </xdr:to>
    <xdr:cxnSp macro="">
      <xdr:nvCxnSpPr>
        <xdr:cNvPr id="65229379" name="AutoShape 16"/>
        <xdr:cNvCxnSpPr>
          <a:cxnSpLocks noChangeShapeType="1"/>
          <a:stCxn id="106511" idx="1"/>
          <a:endCxn id="106509" idx="0"/>
        </xdr:cNvCxnSpPr>
      </xdr:nvCxnSpPr>
      <xdr:spPr bwMode="auto">
        <a:xfrm rot="10800000" flipV="1">
          <a:off x="12258675" y="1733550"/>
          <a:ext cx="2447925" cy="171450"/>
        </a:xfrm>
        <a:prstGeom prst="bentConnector2">
          <a:avLst/>
        </a:prstGeom>
        <a:noFill/>
        <a:ln w="15875">
          <a:solidFill>
            <a:srgbClr val="000000"/>
          </a:solidFill>
          <a:miter lim="800000"/>
          <a:headEnd/>
          <a:tailEnd type="triangle" w="lg" len="med"/>
        </a:ln>
      </xdr:spPr>
    </xdr:cxnSp>
    <xdr:clientData/>
  </xdr:twoCellAnchor>
  <xdr:twoCellAnchor>
    <xdr:from>
      <xdr:col>18</xdr:col>
      <xdr:colOff>676275</xdr:colOff>
      <xdr:row>16</xdr:row>
      <xdr:rowOff>85725</xdr:rowOff>
    </xdr:from>
    <xdr:to>
      <xdr:col>20</xdr:col>
      <xdr:colOff>95250</xdr:colOff>
      <xdr:row>19</xdr:row>
      <xdr:rowOff>28575</xdr:rowOff>
    </xdr:to>
    <xdr:sp macro="" textlink="">
      <xdr:nvSpPr>
        <xdr:cNvPr id="106513" name="Rectangle 17"/>
        <xdr:cNvSpPr>
          <a:spLocks noChangeArrowheads="1"/>
        </xdr:cNvSpPr>
      </xdr:nvSpPr>
      <xdr:spPr bwMode="auto">
        <a:xfrm>
          <a:off x="13173075" y="2543175"/>
          <a:ext cx="1114425" cy="400050"/>
        </a:xfrm>
        <a:prstGeom prst="rect">
          <a:avLst/>
        </a:prstGeom>
        <a:solidFill>
          <a:srgbClr val="BBE0E3"/>
        </a:solidFill>
        <a:ln w="9525">
          <a:solidFill>
            <a:srgbClr val="000000"/>
          </a:solidFill>
          <a:miter lim="800000"/>
          <a:headEnd/>
          <a:tailEnd/>
        </a:ln>
      </xdr:spPr>
      <xdr:txBody>
        <a:bodyPr vertOverflow="clip" wrap="square" lIns="45975" tIns="22988" rIns="45975" bIns="22988" anchor="t" upright="1"/>
        <a:lstStyle/>
        <a:p>
          <a:pPr algn="ctr" rtl="0">
            <a:defRPr sz="1000"/>
          </a:pPr>
          <a:r>
            <a:rPr lang="en-US" sz="800" b="0" i="0" u="none" strike="noStrike" baseline="0">
              <a:solidFill>
                <a:srgbClr val="000000"/>
              </a:solidFill>
              <a:latin typeface="Arial"/>
              <a:cs typeface="Arial"/>
            </a:rPr>
            <a:t>calculate trip times</a:t>
          </a:r>
        </a:p>
        <a:p>
          <a:pPr algn="ctr" rtl="0">
            <a:defRPr sz="1000"/>
          </a:pPr>
          <a:r>
            <a:rPr lang="en-US" sz="800" b="0" i="0" u="none" strike="noStrike" baseline="0">
              <a:solidFill>
                <a:srgbClr val="000000"/>
              </a:solidFill>
              <a:latin typeface="Arial"/>
              <a:cs typeface="Arial"/>
            </a:rPr>
            <a:t>(distance/speed)</a:t>
          </a:r>
        </a:p>
        <a:p>
          <a:pPr algn="ctr" rtl="0">
            <a:defRPr sz="1000"/>
          </a:pPr>
          <a:endParaRPr lang="en-US" sz="800" b="0" i="0" u="none" strike="noStrike" baseline="0">
            <a:solidFill>
              <a:srgbClr val="000000"/>
            </a:solidFill>
            <a:latin typeface="Arial"/>
            <a:cs typeface="Arial"/>
          </a:endParaRPr>
        </a:p>
      </xdr:txBody>
    </xdr:sp>
    <xdr:clientData/>
  </xdr:twoCellAnchor>
  <xdr:twoCellAnchor>
    <xdr:from>
      <xdr:col>18</xdr:col>
      <xdr:colOff>342900</xdr:colOff>
      <xdr:row>19</xdr:row>
      <xdr:rowOff>28575</xdr:rowOff>
    </xdr:from>
    <xdr:to>
      <xdr:col>19</xdr:col>
      <xdr:colOff>390525</xdr:colOff>
      <xdr:row>19</xdr:row>
      <xdr:rowOff>142875</xdr:rowOff>
    </xdr:to>
    <xdr:cxnSp macro="">
      <xdr:nvCxnSpPr>
        <xdr:cNvPr id="65229381" name="AutoShape 18"/>
        <xdr:cNvCxnSpPr>
          <a:cxnSpLocks noChangeShapeType="1"/>
          <a:stCxn id="106513" idx="2"/>
          <a:endCxn id="106500" idx="3"/>
        </xdr:cNvCxnSpPr>
      </xdr:nvCxnSpPr>
      <xdr:spPr bwMode="auto">
        <a:xfrm rot="5400000">
          <a:off x="13230225" y="2552700"/>
          <a:ext cx="114300" cy="895350"/>
        </a:xfrm>
        <a:prstGeom prst="bentConnector2">
          <a:avLst/>
        </a:prstGeom>
        <a:noFill/>
        <a:ln w="15875">
          <a:solidFill>
            <a:srgbClr val="000000"/>
          </a:solidFill>
          <a:miter lim="800000"/>
          <a:headEnd/>
          <a:tailEnd type="triangle" w="lg" len="med"/>
        </a:ln>
      </xdr:spPr>
    </xdr:cxnSp>
    <xdr:clientData/>
  </xdr:twoCellAnchor>
  <xdr:twoCellAnchor>
    <xdr:from>
      <xdr:col>20</xdr:col>
      <xdr:colOff>95250</xdr:colOff>
      <xdr:row>12</xdr:row>
      <xdr:rowOff>47625</xdr:rowOff>
    </xdr:from>
    <xdr:to>
      <xdr:col>21</xdr:col>
      <xdr:colOff>152400</xdr:colOff>
      <xdr:row>17</xdr:row>
      <xdr:rowOff>133350</xdr:rowOff>
    </xdr:to>
    <xdr:cxnSp macro="">
      <xdr:nvCxnSpPr>
        <xdr:cNvPr id="65229382" name="AutoShape 19"/>
        <xdr:cNvCxnSpPr>
          <a:cxnSpLocks noChangeShapeType="1"/>
          <a:stCxn id="106511" idx="2"/>
          <a:endCxn id="106513" idx="3"/>
        </xdr:cNvCxnSpPr>
      </xdr:nvCxnSpPr>
      <xdr:spPr bwMode="auto">
        <a:xfrm rot="5400000">
          <a:off x="14320838" y="1871662"/>
          <a:ext cx="838200" cy="904875"/>
        </a:xfrm>
        <a:prstGeom prst="bentConnector2">
          <a:avLst/>
        </a:prstGeom>
        <a:noFill/>
        <a:ln w="15875">
          <a:solidFill>
            <a:srgbClr val="000000"/>
          </a:solidFill>
          <a:miter lim="800000"/>
          <a:headEnd/>
          <a:tailEnd type="triangle" w="lg" len="med"/>
        </a:ln>
      </xdr:spPr>
    </xdr:cxnSp>
    <xdr:clientData/>
  </xdr:twoCellAnchor>
  <xdr:twoCellAnchor>
    <xdr:from>
      <xdr:col>17</xdr:col>
      <xdr:colOff>628650</xdr:colOff>
      <xdr:row>22</xdr:row>
      <xdr:rowOff>66675</xdr:rowOff>
    </xdr:from>
    <xdr:to>
      <xdr:col>20</xdr:col>
      <xdr:colOff>142875</xdr:colOff>
      <xdr:row>23</xdr:row>
      <xdr:rowOff>76200</xdr:rowOff>
    </xdr:to>
    <xdr:cxnSp macro="">
      <xdr:nvCxnSpPr>
        <xdr:cNvPr id="65229383" name="AutoShape 20"/>
        <xdr:cNvCxnSpPr>
          <a:cxnSpLocks noChangeShapeType="1"/>
          <a:stCxn id="106500" idx="2"/>
          <a:endCxn id="106518" idx="1"/>
        </xdr:cNvCxnSpPr>
      </xdr:nvCxnSpPr>
      <xdr:spPr bwMode="auto">
        <a:xfrm rot="16200000" flipH="1">
          <a:off x="13220700" y="2495550"/>
          <a:ext cx="171450" cy="2057400"/>
        </a:xfrm>
        <a:prstGeom prst="bentConnector2">
          <a:avLst/>
        </a:prstGeom>
        <a:noFill/>
        <a:ln w="15875">
          <a:solidFill>
            <a:srgbClr val="000000"/>
          </a:solidFill>
          <a:prstDash val="dash"/>
          <a:miter lim="800000"/>
          <a:headEnd/>
          <a:tailEnd type="triangle" w="lg" len="med"/>
        </a:ln>
      </xdr:spPr>
    </xdr:cxnSp>
    <xdr:clientData/>
  </xdr:twoCellAnchor>
  <xdr:oneCellAnchor>
    <xdr:from>
      <xdr:col>18</xdr:col>
      <xdr:colOff>466725</xdr:colOff>
      <xdr:row>23</xdr:row>
      <xdr:rowOff>76200</xdr:rowOff>
    </xdr:from>
    <xdr:ext cx="763210" cy="344910"/>
    <xdr:sp macro="" textlink="">
      <xdr:nvSpPr>
        <xdr:cNvPr id="106517" name="Text Box 21"/>
        <xdr:cNvSpPr txBox="1">
          <a:spLocks noChangeArrowheads="1"/>
        </xdr:cNvSpPr>
      </xdr:nvSpPr>
      <xdr:spPr bwMode="auto">
        <a:xfrm>
          <a:off x="12963525" y="3609975"/>
          <a:ext cx="753670" cy="297006"/>
        </a:xfrm>
        <a:prstGeom prst="rect">
          <a:avLst/>
        </a:prstGeom>
        <a:noFill/>
        <a:ln w="9525">
          <a:noFill/>
          <a:miter lim="800000"/>
          <a:headEnd/>
          <a:tailEnd/>
        </a:ln>
      </xdr:spPr>
      <xdr:txBody>
        <a:bodyPr wrap="none" lIns="45975" tIns="22988" rIns="45975" bIns="22988" anchor="t" upright="1">
          <a:spAutoFit/>
        </a:bodyPr>
        <a:lstStyle/>
        <a:p>
          <a:pPr algn="l" rtl="0">
            <a:defRPr sz="1000"/>
          </a:pPr>
          <a:r>
            <a:rPr lang="en-US" sz="900" b="0" i="0" u="none" strike="noStrike" baseline="0">
              <a:solidFill>
                <a:srgbClr val="000000"/>
              </a:solidFill>
              <a:latin typeface="Arial"/>
              <a:cs typeface="Arial"/>
            </a:rPr>
            <a:t>convergence</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oneCellAnchor>
  <xdr:twoCellAnchor>
    <xdr:from>
      <xdr:col>20</xdr:col>
      <xdr:colOff>142875</xdr:colOff>
      <xdr:row>20</xdr:row>
      <xdr:rowOff>133350</xdr:rowOff>
    </xdr:from>
    <xdr:to>
      <xdr:col>21</xdr:col>
      <xdr:colOff>333375</xdr:colOff>
      <xdr:row>26</xdr:row>
      <xdr:rowOff>28575</xdr:rowOff>
    </xdr:to>
    <xdr:sp macro="" textlink="">
      <xdr:nvSpPr>
        <xdr:cNvPr id="106518" name="Rectangle 22"/>
        <xdr:cNvSpPr>
          <a:spLocks noChangeArrowheads="1"/>
        </xdr:cNvSpPr>
      </xdr:nvSpPr>
      <xdr:spPr bwMode="auto">
        <a:xfrm>
          <a:off x="14335125" y="3200400"/>
          <a:ext cx="1038225" cy="819150"/>
        </a:xfrm>
        <a:prstGeom prst="rect">
          <a:avLst/>
        </a:prstGeom>
        <a:solidFill>
          <a:srgbClr val="FFFF99"/>
        </a:solidFill>
        <a:ln w="9525">
          <a:solidFill>
            <a:srgbClr val="000000"/>
          </a:solidFill>
          <a:miter lim="800000"/>
          <a:headEnd/>
          <a:tailEnd/>
        </a:ln>
      </xdr:spPr>
      <xdr:txBody>
        <a:bodyPr vertOverflow="clip" wrap="square" lIns="45975" tIns="22988" rIns="45975" bIns="22988" anchor="t" upright="1"/>
        <a:lstStyle/>
        <a:p>
          <a:pPr algn="l" rtl="0">
            <a:defRPr sz="1000"/>
          </a:pPr>
          <a:r>
            <a:rPr lang="en-US" sz="900" b="0" i="0" u="none" strike="noStrike" baseline="0">
              <a:solidFill>
                <a:srgbClr val="000000"/>
              </a:solidFill>
              <a:latin typeface="Arial"/>
              <a:cs typeface="Arial"/>
            </a:rPr>
            <a:t>Final:</a:t>
          </a:r>
        </a:p>
        <a:p>
          <a:pPr algn="l" rtl="0">
            <a:defRPr sz="1000"/>
          </a:pPr>
          <a:r>
            <a:rPr lang="en-US" sz="900" b="0" i="0" u="none" strike="noStrike" baseline="0">
              <a:solidFill>
                <a:srgbClr val="000000"/>
              </a:solidFill>
              <a:latin typeface="Arial"/>
              <a:cs typeface="Arial"/>
            </a:rPr>
            <a:t>• CBD VMT</a:t>
          </a:r>
        </a:p>
        <a:p>
          <a:pPr algn="l" rtl="0">
            <a:defRPr sz="1000"/>
          </a:pPr>
          <a:r>
            <a:rPr lang="en-US" sz="900" b="0" i="0" u="none" strike="noStrike" baseline="0">
              <a:solidFill>
                <a:srgbClr val="000000"/>
              </a:solidFill>
              <a:latin typeface="Arial"/>
              <a:cs typeface="Arial"/>
            </a:rPr>
            <a:t>• toll revenue</a:t>
          </a:r>
        </a:p>
        <a:p>
          <a:pPr algn="l" rtl="0">
            <a:defRPr sz="1000"/>
          </a:pPr>
          <a:r>
            <a:rPr lang="en-US" sz="900" b="0" i="0" u="none" strike="noStrike" baseline="0">
              <a:solidFill>
                <a:srgbClr val="000000"/>
              </a:solidFill>
              <a:latin typeface="Arial"/>
              <a:cs typeface="Arial"/>
            </a:rPr>
            <a:t>• speeds</a:t>
          </a:r>
        </a:p>
        <a:p>
          <a:pPr algn="l" rtl="0">
            <a:defRPr sz="1000"/>
          </a:pPr>
          <a:r>
            <a:rPr lang="en-US" sz="900" b="0" i="0" u="none" strike="noStrike" baseline="0">
              <a:solidFill>
                <a:srgbClr val="000000"/>
              </a:solidFill>
              <a:latin typeface="Arial"/>
              <a:cs typeface="Arial"/>
            </a:rPr>
            <a:t>• time saved</a:t>
          </a: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12</xdr:col>
      <xdr:colOff>619125</xdr:colOff>
      <xdr:row>2</xdr:row>
      <xdr:rowOff>57150</xdr:rowOff>
    </xdr:from>
    <xdr:to>
      <xdr:col>16</xdr:col>
      <xdr:colOff>266700</xdr:colOff>
      <xdr:row>3</xdr:row>
      <xdr:rowOff>104775</xdr:rowOff>
    </xdr:to>
    <xdr:sp macro="" textlink="">
      <xdr:nvSpPr>
        <xdr:cNvPr id="65229386" name="Line 23"/>
        <xdr:cNvSpPr>
          <a:spLocks noChangeShapeType="1"/>
        </xdr:cNvSpPr>
      </xdr:nvSpPr>
      <xdr:spPr bwMode="auto">
        <a:xfrm>
          <a:off x="8972550" y="390525"/>
          <a:ext cx="2095500" cy="209550"/>
        </a:xfrm>
        <a:prstGeom prst="line">
          <a:avLst/>
        </a:prstGeom>
        <a:noFill/>
        <a:ln w="9525">
          <a:solidFill>
            <a:srgbClr val="000000"/>
          </a:solidFill>
          <a:round/>
          <a:headEnd/>
          <a:tailEnd type="triangle" w="med" len="med"/>
        </a:ln>
      </xdr:spPr>
    </xdr:sp>
    <xdr:clientData/>
  </xdr:twoCellAnchor>
  <xdr:twoCellAnchor>
    <xdr:from>
      <xdr:col>2</xdr:col>
      <xdr:colOff>57150</xdr:colOff>
      <xdr:row>472</xdr:row>
      <xdr:rowOff>0</xdr:rowOff>
    </xdr:from>
    <xdr:to>
      <xdr:col>3</xdr:col>
      <xdr:colOff>133350</xdr:colOff>
      <xdr:row>472</xdr:row>
      <xdr:rowOff>85725</xdr:rowOff>
    </xdr:to>
    <xdr:sp macro="" textlink="">
      <xdr:nvSpPr>
        <xdr:cNvPr id="65229387" name="Line 25"/>
        <xdr:cNvSpPr>
          <a:spLocks noChangeShapeType="1"/>
        </xdr:cNvSpPr>
      </xdr:nvSpPr>
      <xdr:spPr bwMode="auto">
        <a:xfrm flipH="1">
          <a:off x="981075" y="60598050"/>
          <a:ext cx="819150" cy="85725"/>
        </a:xfrm>
        <a:prstGeom prst="line">
          <a:avLst/>
        </a:prstGeom>
        <a:noFill/>
        <a:ln w="9525">
          <a:solidFill>
            <a:srgbClr val="000000"/>
          </a:solidFill>
          <a:round/>
          <a:headEnd/>
          <a:tailEnd type="triangle" w="med" len="med"/>
        </a:ln>
      </xdr:spPr>
    </xdr:sp>
    <xdr:clientData/>
  </xdr:twoCellAnchor>
  <xdr:twoCellAnchor>
    <xdr:from>
      <xdr:col>15</xdr:col>
      <xdr:colOff>28575</xdr:colOff>
      <xdr:row>915</xdr:row>
      <xdr:rowOff>114300</xdr:rowOff>
    </xdr:from>
    <xdr:to>
      <xdr:col>22</xdr:col>
      <xdr:colOff>819150</xdr:colOff>
      <xdr:row>938</xdr:row>
      <xdr:rowOff>104775</xdr:rowOff>
    </xdr:to>
    <xdr:graphicFrame macro="">
      <xdr:nvGraphicFramePr>
        <xdr:cNvPr id="65229388"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939</xdr:row>
      <xdr:rowOff>95250</xdr:rowOff>
    </xdr:from>
    <xdr:to>
      <xdr:col>22</xdr:col>
      <xdr:colOff>819150</xdr:colOff>
      <xdr:row>962</xdr:row>
      <xdr:rowOff>9525</xdr:rowOff>
    </xdr:to>
    <xdr:graphicFrame macro="">
      <xdr:nvGraphicFramePr>
        <xdr:cNvPr id="65229389"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361950</xdr:colOff>
      <xdr:row>259</xdr:row>
      <xdr:rowOff>114300</xdr:rowOff>
    </xdr:from>
    <xdr:to>
      <xdr:col>7</xdr:col>
      <xdr:colOff>57150</xdr:colOff>
      <xdr:row>265</xdr:row>
      <xdr:rowOff>57150</xdr:rowOff>
    </xdr:to>
    <xdr:cxnSp macro="">
      <xdr:nvCxnSpPr>
        <xdr:cNvPr id="29" name="Straight Arrow Connector 28"/>
        <xdr:cNvCxnSpPr/>
      </xdr:nvCxnSpPr>
      <xdr:spPr>
        <a:xfrm flipV="1">
          <a:off x="2771775" y="33689925"/>
          <a:ext cx="1924050" cy="866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260</xdr:row>
      <xdr:rowOff>152400</xdr:rowOff>
    </xdr:from>
    <xdr:to>
      <xdr:col>11</xdr:col>
      <xdr:colOff>57150</xdr:colOff>
      <xdr:row>264</xdr:row>
      <xdr:rowOff>142875</xdr:rowOff>
    </xdr:to>
    <xdr:cxnSp macro="">
      <xdr:nvCxnSpPr>
        <xdr:cNvPr id="31" name="Straight Arrow Connector 30"/>
        <xdr:cNvCxnSpPr/>
      </xdr:nvCxnSpPr>
      <xdr:spPr>
        <a:xfrm>
          <a:off x="6886575" y="35937825"/>
          <a:ext cx="781050" cy="638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261</xdr:row>
      <xdr:rowOff>28575</xdr:rowOff>
    </xdr:from>
    <xdr:to>
      <xdr:col>11</xdr:col>
      <xdr:colOff>38100</xdr:colOff>
      <xdr:row>264</xdr:row>
      <xdr:rowOff>142875</xdr:rowOff>
    </xdr:to>
    <xdr:cxnSp macro="">
      <xdr:nvCxnSpPr>
        <xdr:cNvPr id="30" name="Straight Arrow Connector 29"/>
        <xdr:cNvCxnSpPr/>
      </xdr:nvCxnSpPr>
      <xdr:spPr>
        <a:xfrm>
          <a:off x="6271260" y="43782615"/>
          <a:ext cx="716280" cy="6172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c:userShapes xmlns:c="http://schemas.openxmlformats.org/drawingml/2006/chart">
  <cdr:relSizeAnchor xmlns:cdr="http://schemas.openxmlformats.org/drawingml/2006/chartDrawing">
    <cdr:from>
      <cdr:x>0.87267</cdr:x>
      <cdr:y>0.08837</cdr:y>
    </cdr:from>
    <cdr:to>
      <cdr:x>0.98123</cdr:x>
      <cdr:y>0.98336</cdr:y>
    </cdr:to>
    <cdr:sp macro="" textlink="">
      <cdr:nvSpPr>
        <cdr:cNvPr id="171009" name="Rectangle 1"/>
        <cdr:cNvSpPr>
          <a:spLocks xmlns:a="http://schemas.openxmlformats.org/drawingml/2006/main" noChangeArrowheads="1"/>
        </cdr:cNvSpPr>
      </cdr:nvSpPr>
      <cdr:spPr bwMode="auto">
        <a:xfrm xmlns:a="http://schemas.openxmlformats.org/drawingml/2006/main">
          <a:off x="5416028" y="351638"/>
          <a:ext cx="664947" cy="3267132"/>
        </a:xfrm>
        <a:prstGeom xmlns:a="http://schemas.openxmlformats.org/drawingml/2006/main" prst="rect">
          <a:avLst/>
        </a:prstGeom>
        <a:solidFill xmlns:a="http://schemas.openxmlformats.org/drawingml/2006/main">
          <a:srgbClr val="FFFFFF">
            <a:alpha val="0"/>
          </a:srgbClr>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5</xdr:col>
      <xdr:colOff>800100</xdr:colOff>
      <xdr:row>32</xdr:row>
      <xdr:rowOff>139700</xdr:rowOff>
    </xdr:from>
    <xdr:to>
      <xdr:col>12</xdr:col>
      <xdr:colOff>34925</xdr:colOff>
      <xdr:row>56</xdr:row>
      <xdr:rowOff>177800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067300" y="6235700"/>
          <a:ext cx="4625975" cy="4610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47625</xdr:colOff>
      <xdr:row>18</xdr:row>
      <xdr:rowOff>83820</xdr:rowOff>
    </xdr:from>
    <xdr:to>
      <xdr:col>9</xdr:col>
      <xdr:colOff>624840</xdr:colOff>
      <xdr:row>41</xdr:row>
      <xdr:rowOff>121920</xdr:rowOff>
    </xdr:to>
    <xdr:graphicFrame macro="">
      <xdr:nvGraphicFramePr>
        <xdr:cNvPr id="6440628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36195</xdr:colOff>
      <xdr:row>18</xdr:row>
      <xdr:rowOff>70485</xdr:rowOff>
    </xdr:from>
    <xdr:to>
      <xdr:col>20</xdr:col>
      <xdr:colOff>569595</xdr:colOff>
      <xdr:row>41</xdr:row>
      <xdr:rowOff>114300</xdr:rowOff>
    </xdr:to>
    <xdr:graphicFrame macro="">
      <xdr:nvGraphicFramePr>
        <xdr:cNvPr id="6440628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171450</xdr:colOff>
      <xdr:row>39</xdr:row>
      <xdr:rowOff>142875</xdr:rowOff>
    </xdr:from>
    <xdr:to>
      <xdr:col>3</xdr:col>
      <xdr:colOff>504825</xdr:colOff>
      <xdr:row>41</xdr:row>
      <xdr:rowOff>123825</xdr:rowOff>
    </xdr:to>
    <xdr:sp macro="" textlink="">
      <xdr:nvSpPr>
        <xdr:cNvPr id="86023" name="Text Box 7"/>
        <xdr:cNvSpPr txBox="1">
          <a:spLocks noChangeArrowheads="1"/>
        </xdr:cNvSpPr>
      </xdr:nvSpPr>
      <xdr:spPr bwMode="auto">
        <a:xfrm>
          <a:off x="171450" y="6010275"/>
          <a:ext cx="1743075" cy="32385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10</xdr:col>
      <xdr:colOff>257175</xdr:colOff>
      <xdr:row>21</xdr:row>
      <xdr:rowOff>47625</xdr:rowOff>
    </xdr:from>
    <xdr:to>
      <xdr:col>12</xdr:col>
      <xdr:colOff>19050</xdr:colOff>
      <xdr:row>22</xdr:row>
      <xdr:rowOff>114300</xdr:rowOff>
    </xdr:to>
    <xdr:sp macro="" textlink="">
      <xdr:nvSpPr>
        <xdr:cNvPr id="64406284" name="Text Box 8"/>
        <xdr:cNvSpPr txBox="1">
          <a:spLocks noChangeArrowheads="1"/>
        </xdr:cNvSpPr>
      </xdr:nvSpPr>
      <xdr:spPr bwMode="auto">
        <a:xfrm>
          <a:off x="6772275" y="2105025"/>
          <a:ext cx="466725" cy="238125"/>
        </a:xfrm>
        <a:prstGeom prst="rect">
          <a:avLst/>
        </a:prstGeom>
        <a:noFill/>
        <a:ln w="9525">
          <a:noFill/>
          <a:miter lim="800000"/>
          <a:headEnd/>
          <a:tailEnd/>
        </a:ln>
      </xdr:spPr>
    </xdr:sp>
    <xdr:clientData/>
  </xdr:twoCellAnchor>
  <xdr:twoCellAnchor editAs="oneCell">
    <xdr:from>
      <xdr:col>3</xdr:col>
      <xdr:colOff>371475</xdr:colOff>
      <xdr:row>21</xdr:row>
      <xdr:rowOff>0</xdr:rowOff>
    </xdr:from>
    <xdr:to>
      <xdr:col>4</xdr:col>
      <xdr:colOff>85725</xdr:colOff>
      <xdr:row>22</xdr:row>
      <xdr:rowOff>28575</xdr:rowOff>
    </xdr:to>
    <xdr:sp macro="" textlink="">
      <xdr:nvSpPr>
        <xdr:cNvPr id="64406285" name="Text Box 9"/>
        <xdr:cNvSpPr txBox="1">
          <a:spLocks noChangeArrowheads="1"/>
        </xdr:cNvSpPr>
      </xdr:nvSpPr>
      <xdr:spPr bwMode="auto">
        <a:xfrm>
          <a:off x="1962150" y="2057400"/>
          <a:ext cx="419100" cy="200025"/>
        </a:xfrm>
        <a:prstGeom prst="rect">
          <a:avLst/>
        </a:prstGeom>
        <a:noFill/>
        <a:ln w="9525">
          <a:noFill/>
          <a:miter lim="800000"/>
          <a:headEnd/>
          <a:tailEnd/>
        </a:ln>
      </xdr:spPr>
    </xdr:sp>
    <xdr:clientData/>
  </xdr:twoCellAnchor>
  <xdr:twoCellAnchor editAs="oneCell">
    <xdr:from>
      <xdr:col>5</xdr:col>
      <xdr:colOff>171450</xdr:colOff>
      <xdr:row>24</xdr:row>
      <xdr:rowOff>57150</xdr:rowOff>
    </xdr:from>
    <xdr:to>
      <xdr:col>6</xdr:col>
      <xdr:colOff>123825</xdr:colOff>
      <xdr:row>25</xdr:row>
      <xdr:rowOff>152400</xdr:rowOff>
    </xdr:to>
    <xdr:sp macro="" textlink="">
      <xdr:nvSpPr>
        <xdr:cNvPr id="64406286" name="Text Box 14"/>
        <xdr:cNvSpPr txBox="1">
          <a:spLocks noChangeArrowheads="1"/>
        </xdr:cNvSpPr>
      </xdr:nvSpPr>
      <xdr:spPr bwMode="auto">
        <a:xfrm>
          <a:off x="3171825" y="2571750"/>
          <a:ext cx="647700" cy="266700"/>
        </a:xfrm>
        <a:prstGeom prst="rect">
          <a:avLst/>
        </a:prstGeom>
        <a:noFill/>
        <a:ln w="9525">
          <a:noFill/>
          <a:miter lim="800000"/>
          <a:headEnd/>
          <a:tailEnd/>
        </a:ln>
      </xdr:spPr>
    </xdr:sp>
    <xdr:clientData/>
  </xdr:twoCellAnchor>
  <xdr:twoCellAnchor editAs="oneCell">
    <xdr:from>
      <xdr:col>13</xdr:col>
      <xdr:colOff>247650</xdr:colOff>
      <xdr:row>23</xdr:row>
      <xdr:rowOff>123825</xdr:rowOff>
    </xdr:from>
    <xdr:to>
      <xdr:col>14</xdr:col>
      <xdr:colOff>247650</xdr:colOff>
      <xdr:row>24</xdr:row>
      <xdr:rowOff>123825</xdr:rowOff>
    </xdr:to>
    <xdr:sp macro="" textlink="">
      <xdr:nvSpPr>
        <xdr:cNvPr id="64406287" name="Text Box 15"/>
        <xdr:cNvSpPr txBox="1">
          <a:spLocks noChangeArrowheads="1"/>
        </xdr:cNvSpPr>
      </xdr:nvSpPr>
      <xdr:spPr bwMode="auto">
        <a:xfrm>
          <a:off x="8172450" y="2486025"/>
          <a:ext cx="704850" cy="171450"/>
        </a:xfrm>
        <a:prstGeom prst="rect">
          <a:avLst/>
        </a:prstGeom>
        <a:noFill/>
        <a:ln w="9525">
          <a:noFill/>
          <a:miter lim="800000"/>
          <a:headEnd/>
          <a:tailEnd/>
        </a:ln>
      </xdr:spPr>
    </xdr:sp>
    <xdr:clientData/>
  </xdr:twoCellAnchor>
  <xdr:twoCellAnchor editAs="oneCell">
    <xdr:from>
      <xdr:col>3</xdr:col>
      <xdr:colOff>38100</xdr:colOff>
      <xdr:row>37</xdr:row>
      <xdr:rowOff>85725</xdr:rowOff>
    </xdr:from>
    <xdr:to>
      <xdr:col>3</xdr:col>
      <xdr:colOff>114300</xdr:colOff>
      <xdr:row>38</xdr:row>
      <xdr:rowOff>104775</xdr:rowOff>
    </xdr:to>
    <xdr:sp macro="" textlink="">
      <xdr:nvSpPr>
        <xdr:cNvPr id="64406288" name="Text Box 16"/>
        <xdr:cNvSpPr txBox="1">
          <a:spLocks noChangeArrowheads="1"/>
        </xdr:cNvSpPr>
      </xdr:nvSpPr>
      <xdr:spPr bwMode="auto">
        <a:xfrm>
          <a:off x="1628775" y="4581525"/>
          <a:ext cx="76200" cy="190500"/>
        </a:xfrm>
        <a:prstGeom prst="rect">
          <a:avLst/>
        </a:prstGeom>
        <a:noFill/>
        <a:ln w="9525">
          <a:noFill/>
          <a:miter lim="800000"/>
          <a:headEnd/>
          <a:tailEnd/>
        </a:ln>
      </xdr:spPr>
    </xdr:sp>
    <xdr:clientData/>
  </xdr:twoCellAnchor>
  <xdr:twoCellAnchor editAs="oneCell">
    <xdr:from>
      <xdr:col>10</xdr:col>
      <xdr:colOff>495300</xdr:colOff>
      <xdr:row>38</xdr:row>
      <xdr:rowOff>9525</xdr:rowOff>
    </xdr:from>
    <xdr:to>
      <xdr:col>12</xdr:col>
      <xdr:colOff>342900</xdr:colOff>
      <xdr:row>39</xdr:row>
      <xdr:rowOff>28575</xdr:rowOff>
    </xdr:to>
    <xdr:sp macro="" textlink="">
      <xdr:nvSpPr>
        <xdr:cNvPr id="64406289" name="Text Box 17"/>
        <xdr:cNvSpPr txBox="1">
          <a:spLocks noChangeArrowheads="1"/>
        </xdr:cNvSpPr>
      </xdr:nvSpPr>
      <xdr:spPr bwMode="auto">
        <a:xfrm>
          <a:off x="7010400" y="4657725"/>
          <a:ext cx="552450" cy="190500"/>
        </a:xfrm>
        <a:prstGeom prst="rect">
          <a:avLst/>
        </a:prstGeom>
        <a:noFill/>
        <a:ln w="9525">
          <a:noFill/>
          <a:miter lim="800000"/>
          <a:headEnd/>
          <a:tailEnd/>
        </a:ln>
      </xdr:spPr>
    </xdr:sp>
    <xdr:clientData/>
  </xdr:twoCellAnchor>
  <xdr:twoCellAnchor editAs="oneCell">
    <xdr:from>
      <xdr:col>2</xdr:col>
      <xdr:colOff>38100</xdr:colOff>
      <xdr:row>31</xdr:row>
      <xdr:rowOff>66675</xdr:rowOff>
    </xdr:from>
    <xdr:to>
      <xdr:col>2</xdr:col>
      <xdr:colOff>645795</xdr:colOff>
      <xdr:row>33</xdr:row>
      <xdr:rowOff>9525</xdr:rowOff>
    </xdr:to>
    <xdr:sp macro="" textlink="">
      <xdr:nvSpPr>
        <xdr:cNvPr id="64406290" name="Text Box 18"/>
        <xdr:cNvSpPr txBox="1">
          <a:spLocks noChangeArrowheads="1"/>
        </xdr:cNvSpPr>
      </xdr:nvSpPr>
      <xdr:spPr bwMode="auto">
        <a:xfrm>
          <a:off x="923925" y="3648075"/>
          <a:ext cx="638175" cy="285750"/>
        </a:xfrm>
        <a:prstGeom prst="rect">
          <a:avLst/>
        </a:prstGeom>
        <a:noFill/>
        <a:ln w="9525">
          <a:noFill/>
          <a:miter lim="800000"/>
          <a:headEnd/>
          <a:tailEnd/>
        </a:ln>
      </xdr:spPr>
    </xdr:sp>
    <xdr:clientData/>
  </xdr:twoCellAnchor>
  <xdr:twoCellAnchor editAs="oneCell">
    <xdr:from>
      <xdr:col>9</xdr:col>
      <xdr:colOff>323850</xdr:colOff>
      <xdr:row>35</xdr:row>
      <xdr:rowOff>0</xdr:rowOff>
    </xdr:from>
    <xdr:to>
      <xdr:col>10</xdr:col>
      <xdr:colOff>142875</xdr:colOff>
      <xdr:row>36</xdr:row>
      <xdr:rowOff>85725</xdr:rowOff>
    </xdr:to>
    <xdr:sp macro="" textlink="">
      <xdr:nvSpPr>
        <xdr:cNvPr id="64406291" name="Text Box 19"/>
        <xdr:cNvSpPr txBox="1">
          <a:spLocks noChangeArrowheads="1"/>
        </xdr:cNvSpPr>
      </xdr:nvSpPr>
      <xdr:spPr bwMode="auto">
        <a:xfrm>
          <a:off x="6134100" y="4191000"/>
          <a:ext cx="523875" cy="257175"/>
        </a:xfrm>
        <a:prstGeom prst="rect">
          <a:avLst/>
        </a:prstGeom>
        <a:noFill/>
        <a:ln w="9525">
          <a:noFill/>
          <a:miter lim="800000"/>
          <a:headEnd/>
          <a:tailEnd/>
        </a:ln>
      </xdr:spPr>
    </xdr:sp>
    <xdr:clientData/>
  </xdr:twoCellAnchor>
  <xdr:twoCellAnchor editAs="oneCell">
    <xdr:from>
      <xdr:col>3</xdr:col>
      <xdr:colOff>657225</xdr:colOff>
      <xdr:row>23</xdr:row>
      <xdr:rowOff>104775</xdr:rowOff>
    </xdr:from>
    <xdr:to>
      <xdr:col>4</xdr:col>
      <xdr:colOff>428625</xdr:colOff>
      <xdr:row>25</xdr:row>
      <xdr:rowOff>85725</xdr:rowOff>
    </xdr:to>
    <xdr:sp macro="" textlink="">
      <xdr:nvSpPr>
        <xdr:cNvPr id="64406292" name="Text Box 20"/>
        <xdr:cNvSpPr txBox="1">
          <a:spLocks noChangeArrowheads="1"/>
        </xdr:cNvSpPr>
      </xdr:nvSpPr>
      <xdr:spPr bwMode="auto">
        <a:xfrm>
          <a:off x="2247900" y="2466975"/>
          <a:ext cx="476250" cy="323850"/>
        </a:xfrm>
        <a:prstGeom prst="rect">
          <a:avLst/>
        </a:prstGeom>
        <a:noFill/>
        <a:ln w="9525">
          <a:noFill/>
          <a:miter lim="800000"/>
          <a:headEnd/>
          <a:tailEnd/>
        </a:ln>
      </xdr:spPr>
    </xdr:sp>
    <xdr:clientData/>
  </xdr:twoCellAnchor>
  <xdr:twoCellAnchor editAs="oneCell">
    <xdr:from>
      <xdr:col>12</xdr:col>
      <xdr:colOff>114300</xdr:colOff>
      <xdr:row>23</xdr:row>
      <xdr:rowOff>142875</xdr:rowOff>
    </xdr:from>
    <xdr:to>
      <xdr:col>12</xdr:col>
      <xdr:colOff>600075</xdr:colOff>
      <xdr:row>24</xdr:row>
      <xdr:rowOff>161925</xdr:rowOff>
    </xdr:to>
    <xdr:sp macro="" textlink="">
      <xdr:nvSpPr>
        <xdr:cNvPr id="64406293" name="Text Box 21"/>
        <xdr:cNvSpPr txBox="1">
          <a:spLocks noChangeArrowheads="1"/>
        </xdr:cNvSpPr>
      </xdr:nvSpPr>
      <xdr:spPr bwMode="auto">
        <a:xfrm>
          <a:off x="7334250" y="2505075"/>
          <a:ext cx="485775" cy="190500"/>
        </a:xfrm>
        <a:prstGeom prst="rect">
          <a:avLst/>
        </a:prstGeom>
        <a:noFill/>
        <a:ln w="9525">
          <a:noFill/>
          <a:miter lim="800000"/>
          <a:headEnd/>
          <a:tailEnd/>
        </a:ln>
      </xdr:spPr>
    </xdr:sp>
    <xdr:clientData/>
  </xdr:twoCellAnchor>
  <xdr:twoCellAnchor editAs="oneCell">
    <xdr:from>
      <xdr:col>1</xdr:col>
      <xdr:colOff>219075</xdr:colOff>
      <xdr:row>37</xdr:row>
      <xdr:rowOff>95250</xdr:rowOff>
    </xdr:from>
    <xdr:to>
      <xdr:col>1</xdr:col>
      <xdr:colOff>295275</xdr:colOff>
      <xdr:row>38</xdr:row>
      <xdr:rowOff>114300</xdr:rowOff>
    </xdr:to>
    <xdr:sp macro="" textlink="">
      <xdr:nvSpPr>
        <xdr:cNvPr id="64406294" name="Text Box 23"/>
        <xdr:cNvSpPr txBox="1">
          <a:spLocks noChangeArrowheads="1"/>
        </xdr:cNvSpPr>
      </xdr:nvSpPr>
      <xdr:spPr bwMode="auto">
        <a:xfrm>
          <a:off x="400050" y="4591050"/>
          <a:ext cx="76200" cy="190500"/>
        </a:xfrm>
        <a:prstGeom prst="rect">
          <a:avLst/>
        </a:prstGeom>
        <a:noFill/>
        <a:ln w="9525">
          <a:noFill/>
          <a:miter lim="800000"/>
          <a:headEnd/>
          <a:tailEnd/>
        </a:ln>
      </xdr:spPr>
    </xdr:sp>
    <xdr:clientData/>
  </xdr:twoCellAnchor>
  <xdr:twoCellAnchor editAs="oneCell">
    <xdr:from>
      <xdr:col>8</xdr:col>
      <xdr:colOff>542925</xdr:colOff>
      <xdr:row>40</xdr:row>
      <xdr:rowOff>95250</xdr:rowOff>
    </xdr:from>
    <xdr:to>
      <xdr:col>8</xdr:col>
      <xdr:colOff>619125</xdr:colOff>
      <xdr:row>41</xdr:row>
      <xdr:rowOff>114300</xdr:rowOff>
    </xdr:to>
    <xdr:sp macro="" textlink="">
      <xdr:nvSpPr>
        <xdr:cNvPr id="64406295" name="Text Box 25"/>
        <xdr:cNvSpPr txBox="1">
          <a:spLocks noChangeArrowheads="1"/>
        </xdr:cNvSpPr>
      </xdr:nvSpPr>
      <xdr:spPr bwMode="auto">
        <a:xfrm>
          <a:off x="5648325" y="5048250"/>
          <a:ext cx="76200" cy="190500"/>
        </a:xfrm>
        <a:prstGeom prst="rect">
          <a:avLst/>
        </a:prstGeom>
        <a:noFill/>
        <a:ln w="9525">
          <a:noFill/>
          <a:miter lim="800000"/>
          <a:headEnd/>
          <a:tailEnd/>
        </a:ln>
      </xdr:spPr>
    </xdr:sp>
    <xdr:clientData/>
  </xdr:twoCellAnchor>
  <xdr:twoCellAnchor editAs="oneCell">
    <xdr:from>
      <xdr:col>17</xdr:col>
      <xdr:colOff>171450</xdr:colOff>
      <xdr:row>39</xdr:row>
      <xdr:rowOff>142875</xdr:rowOff>
    </xdr:from>
    <xdr:to>
      <xdr:col>20</xdr:col>
      <xdr:colOff>504825</xdr:colOff>
      <xdr:row>41</xdr:row>
      <xdr:rowOff>123825</xdr:rowOff>
    </xdr:to>
    <xdr:sp macro="" textlink="">
      <xdr:nvSpPr>
        <xdr:cNvPr id="2" name="Text Box 7"/>
        <xdr:cNvSpPr txBox="1">
          <a:spLocks noChangeArrowheads="1"/>
        </xdr:cNvSpPr>
      </xdr:nvSpPr>
      <xdr:spPr bwMode="auto">
        <a:xfrm>
          <a:off x="171450" y="6010275"/>
          <a:ext cx="1743075" cy="32385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19</xdr:col>
      <xdr:colOff>371475</xdr:colOff>
      <xdr:row>21</xdr:row>
      <xdr:rowOff>0</xdr:rowOff>
    </xdr:from>
    <xdr:to>
      <xdr:col>20</xdr:col>
      <xdr:colOff>387350</xdr:colOff>
      <xdr:row>22</xdr:row>
      <xdr:rowOff>28575</xdr:rowOff>
    </xdr:to>
    <xdr:sp macro="" textlink="">
      <xdr:nvSpPr>
        <xdr:cNvPr id="64406298" name="Text Box 9"/>
        <xdr:cNvSpPr txBox="1">
          <a:spLocks noChangeArrowheads="1"/>
        </xdr:cNvSpPr>
      </xdr:nvSpPr>
      <xdr:spPr bwMode="auto">
        <a:xfrm>
          <a:off x="12153900" y="2057400"/>
          <a:ext cx="419100" cy="200025"/>
        </a:xfrm>
        <a:prstGeom prst="rect">
          <a:avLst/>
        </a:prstGeom>
        <a:noFill/>
        <a:ln w="9525">
          <a:noFill/>
          <a:miter lim="800000"/>
          <a:headEnd/>
          <a:tailEnd/>
        </a:ln>
      </xdr:spPr>
    </xdr:sp>
    <xdr:clientData/>
  </xdr:twoCellAnchor>
  <xdr:twoCellAnchor editAs="oneCell">
    <xdr:from>
      <xdr:col>21</xdr:col>
      <xdr:colOff>161925</xdr:colOff>
      <xdr:row>24</xdr:row>
      <xdr:rowOff>57150</xdr:rowOff>
    </xdr:from>
    <xdr:to>
      <xdr:col>22</xdr:col>
      <xdr:colOff>104775</xdr:colOff>
      <xdr:row>25</xdr:row>
      <xdr:rowOff>152400</xdr:rowOff>
    </xdr:to>
    <xdr:sp macro="" textlink="">
      <xdr:nvSpPr>
        <xdr:cNvPr id="64406299" name="Text Box 14"/>
        <xdr:cNvSpPr txBox="1">
          <a:spLocks noChangeArrowheads="1"/>
        </xdr:cNvSpPr>
      </xdr:nvSpPr>
      <xdr:spPr bwMode="auto">
        <a:xfrm>
          <a:off x="13020675" y="2571750"/>
          <a:ext cx="647700" cy="266700"/>
        </a:xfrm>
        <a:prstGeom prst="rect">
          <a:avLst/>
        </a:prstGeom>
        <a:noFill/>
        <a:ln w="9525">
          <a:noFill/>
          <a:miter lim="800000"/>
          <a:headEnd/>
          <a:tailEnd/>
        </a:ln>
      </xdr:spPr>
    </xdr:sp>
    <xdr:clientData/>
  </xdr:twoCellAnchor>
  <xdr:twoCellAnchor editAs="oneCell">
    <xdr:from>
      <xdr:col>19</xdr:col>
      <xdr:colOff>38100</xdr:colOff>
      <xdr:row>37</xdr:row>
      <xdr:rowOff>85725</xdr:rowOff>
    </xdr:from>
    <xdr:to>
      <xdr:col>20</xdr:col>
      <xdr:colOff>76200</xdr:colOff>
      <xdr:row>38</xdr:row>
      <xdr:rowOff>104775</xdr:rowOff>
    </xdr:to>
    <xdr:sp macro="" textlink="">
      <xdr:nvSpPr>
        <xdr:cNvPr id="64406300" name="Text Box 16"/>
        <xdr:cNvSpPr txBox="1">
          <a:spLocks noChangeArrowheads="1"/>
        </xdr:cNvSpPr>
      </xdr:nvSpPr>
      <xdr:spPr bwMode="auto">
        <a:xfrm>
          <a:off x="12153900" y="4581525"/>
          <a:ext cx="76200" cy="190500"/>
        </a:xfrm>
        <a:prstGeom prst="rect">
          <a:avLst/>
        </a:prstGeom>
        <a:noFill/>
        <a:ln w="9525">
          <a:noFill/>
          <a:miter lim="800000"/>
          <a:headEnd/>
          <a:tailEnd/>
        </a:ln>
      </xdr:spPr>
    </xdr:sp>
    <xdr:clientData/>
  </xdr:twoCellAnchor>
  <xdr:twoCellAnchor editAs="oneCell">
    <xdr:from>
      <xdr:col>18</xdr:col>
      <xdr:colOff>38100</xdr:colOff>
      <xdr:row>31</xdr:row>
      <xdr:rowOff>66675</xdr:rowOff>
    </xdr:from>
    <xdr:to>
      <xdr:col>18</xdr:col>
      <xdr:colOff>645795</xdr:colOff>
      <xdr:row>33</xdr:row>
      <xdr:rowOff>9525</xdr:rowOff>
    </xdr:to>
    <xdr:sp macro="" textlink="">
      <xdr:nvSpPr>
        <xdr:cNvPr id="64406301" name="Text Box 18"/>
        <xdr:cNvSpPr txBox="1">
          <a:spLocks noChangeArrowheads="1"/>
        </xdr:cNvSpPr>
      </xdr:nvSpPr>
      <xdr:spPr bwMode="auto">
        <a:xfrm>
          <a:off x="11487150" y="3648075"/>
          <a:ext cx="638175" cy="285750"/>
        </a:xfrm>
        <a:prstGeom prst="rect">
          <a:avLst/>
        </a:prstGeom>
        <a:noFill/>
        <a:ln w="9525">
          <a:noFill/>
          <a:miter lim="800000"/>
          <a:headEnd/>
          <a:tailEnd/>
        </a:ln>
      </xdr:spPr>
    </xdr:sp>
    <xdr:clientData/>
  </xdr:twoCellAnchor>
  <xdr:twoCellAnchor editAs="oneCell">
    <xdr:from>
      <xdr:col>19</xdr:col>
      <xdr:colOff>657225</xdr:colOff>
      <xdr:row>23</xdr:row>
      <xdr:rowOff>104775</xdr:rowOff>
    </xdr:from>
    <xdr:to>
      <xdr:col>20</xdr:col>
      <xdr:colOff>454025</xdr:colOff>
      <xdr:row>25</xdr:row>
      <xdr:rowOff>85725</xdr:rowOff>
    </xdr:to>
    <xdr:sp macro="" textlink="">
      <xdr:nvSpPr>
        <xdr:cNvPr id="64406302" name="Text Box 20"/>
        <xdr:cNvSpPr txBox="1">
          <a:spLocks noChangeArrowheads="1"/>
        </xdr:cNvSpPr>
      </xdr:nvSpPr>
      <xdr:spPr bwMode="auto">
        <a:xfrm>
          <a:off x="12153900" y="2466975"/>
          <a:ext cx="485775" cy="323850"/>
        </a:xfrm>
        <a:prstGeom prst="rect">
          <a:avLst/>
        </a:prstGeom>
        <a:noFill/>
        <a:ln w="9525">
          <a:noFill/>
          <a:miter lim="800000"/>
          <a:headEnd/>
          <a:tailEnd/>
        </a:ln>
      </xdr:spPr>
    </xdr:sp>
    <xdr:clientData/>
  </xdr:twoCellAnchor>
  <xdr:twoCellAnchor editAs="oneCell">
    <xdr:from>
      <xdr:col>17</xdr:col>
      <xdr:colOff>219075</xdr:colOff>
      <xdr:row>37</xdr:row>
      <xdr:rowOff>95250</xdr:rowOff>
    </xdr:from>
    <xdr:to>
      <xdr:col>17</xdr:col>
      <xdr:colOff>295275</xdr:colOff>
      <xdr:row>38</xdr:row>
      <xdr:rowOff>114300</xdr:rowOff>
    </xdr:to>
    <xdr:sp macro="" textlink="">
      <xdr:nvSpPr>
        <xdr:cNvPr id="64406303" name="Text Box 23"/>
        <xdr:cNvSpPr txBox="1">
          <a:spLocks noChangeArrowheads="1"/>
        </xdr:cNvSpPr>
      </xdr:nvSpPr>
      <xdr:spPr bwMode="auto">
        <a:xfrm>
          <a:off x="10963275" y="4591050"/>
          <a:ext cx="76200" cy="190500"/>
        </a:xfrm>
        <a:prstGeom prst="rect">
          <a:avLst/>
        </a:prstGeom>
        <a:noFill/>
        <a:ln w="9525">
          <a:noFill/>
          <a:miter lim="800000"/>
          <a:headEnd/>
          <a:tailEnd/>
        </a:ln>
      </xdr:spPr>
    </xdr:sp>
    <xdr:clientData/>
  </xdr:twoCellAnchor>
  <xdr:twoCellAnchor>
    <xdr:from>
      <xdr:col>8</xdr:col>
      <xdr:colOff>464820</xdr:colOff>
      <xdr:row>56</xdr:row>
      <xdr:rowOff>137160</xdr:rowOff>
    </xdr:from>
    <xdr:to>
      <xdr:col>9</xdr:col>
      <xdr:colOff>137160</xdr:colOff>
      <xdr:row>63</xdr:row>
      <xdr:rowOff>15240</xdr:rowOff>
    </xdr:to>
    <xdr:cxnSp macro="">
      <xdr:nvCxnSpPr>
        <xdr:cNvPr id="26" name="Straight Arrow Connector 25"/>
        <xdr:cNvCxnSpPr/>
      </xdr:nvCxnSpPr>
      <xdr:spPr>
        <a:xfrm rot="5400000">
          <a:off x="4743450" y="8241030"/>
          <a:ext cx="1104900" cy="320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457200</xdr:colOff>
      <xdr:row>56</xdr:row>
      <xdr:rowOff>152400</xdr:rowOff>
    </xdr:from>
    <xdr:to>
      <xdr:col>9</xdr:col>
      <xdr:colOff>175260</xdr:colOff>
      <xdr:row>67</xdr:row>
      <xdr:rowOff>45720</xdr:rowOff>
    </xdr:to>
    <xdr:cxnSp macro="">
      <xdr:nvCxnSpPr>
        <xdr:cNvPr id="28" name="Straight Arrow Connector 27"/>
        <xdr:cNvCxnSpPr/>
      </xdr:nvCxnSpPr>
      <xdr:spPr>
        <a:xfrm rot="5400000">
          <a:off x="4400550" y="8591550"/>
          <a:ext cx="1821180" cy="365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c:userShapes xmlns:c="http://schemas.openxmlformats.org/drawingml/2006/chart">
  <cdr:relSizeAnchor xmlns:cdr="http://schemas.openxmlformats.org/drawingml/2006/chartDrawing">
    <cdr:from>
      <cdr:x>0.04251</cdr:x>
      <cdr:y>0.21266</cdr:y>
    </cdr:from>
    <cdr:to>
      <cdr:x>0.05142</cdr:x>
      <cdr:y>0.28249</cdr:y>
    </cdr:to>
    <cdr:sp macro="" textlink="">
      <cdr:nvSpPr>
        <cdr:cNvPr id="88067" name="Text Box 3"/>
        <cdr:cNvSpPr txBox="1">
          <a:spLocks xmlns:a="http://schemas.openxmlformats.org/drawingml/2006/main" noChangeArrowheads="1"/>
        </cdr:cNvSpPr>
      </cdr:nvSpPr>
      <cdr:spPr bwMode="auto">
        <a:xfrm xmlns:a="http://schemas.openxmlformats.org/drawingml/2006/main">
          <a:off x="234815" y="817636"/>
          <a:ext cx="47001" cy="2589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a:t>
          </a:r>
        </a:p>
        <a:p xmlns:a="http://schemas.openxmlformats.org/drawingml/2006/main">
          <a:pPr algn="l" rtl="0">
            <a:defRPr sz="1000"/>
          </a:pPr>
          <a:endParaRPr lang="en-US" sz="800" b="0" i="0" u="none" strike="noStrike" baseline="0">
            <a:solidFill>
              <a:srgbClr val="000000"/>
            </a:solidFill>
            <a:latin typeface="Arial"/>
            <a:cs typeface="Arial"/>
          </a:endParaRPr>
        </a:p>
      </cdr:txBody>
    </cdr:sp>
  </cdr:relSizeAnchor>
  <cdr:relSizeAnchor xmlns:cdr="http://schemas.openxmlformats.org/drawingml/2006/chartDrawing">
    <cdr:from>
      <cdr:x>0.43449</cdr:x>
      <cdr:y>0.59547</cdr:y>
    </cdr:from>
    <cdr:to>
      <cdr:x>0.60558</cdr:x>
      <cdr:y>0.68758</cdr:y>
    </cdr:to>
    <cdr:sp macro="" textlink="">
      <cdr:nvSpPr>
        <cdr:cNvPr id="88068" name="Text Box 4"/>
        <cdr:cNvSpPr txBox="1">
          <a:spLocks xmlns:a="http://schemas.openxmlformats.org/drawingml/2006/main" noChangeArrowheads="1"/>
        </cdr:cNvSpPr>
      </cdr:nvSpPr>
      <cdr:spPr bwMode="auto">
        <a:xfrm xmlns:a="http://schemas.openxmlformats.org/drawingml/2006/main">
          <a:off x="1868827" y="2212537"/>
          <a:ext cx="847278" cy="3337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0.22576</cdr:x>
      <cdr:y>0.21265</cdr:y>
    </cdr:from>
    <cdr:to>
      <cdr:x>0.37094</cdr:x>
      <cdr:y>0.26563</cdr:y>
    </cdr:to>
    <cdr:sp macro="" textlink="">
      <cdr:nvSpPr>
        <cdr:cNvPr id="88069" name="Text Box 5"/>
        <cdr:cNvSpPr txBox="1">
          <a:spLocks xmlns:a="http://schemas.openxmlformats.org/drawingml/2006/main" noChangeArrowheads="1"/>
        </cdr:cNvSpPr>
      </cdr:nvSpPr>
      <cdr:spPr bwMode="auto">
        <a:xfrm xmlns:a="http://schemas.openxmlformats.org/drawingml/2006/main">
          <a:off x="831019" y="809228"/>
          <a:ext cx="723805" cy="1906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0.05662</cdr:x>
      <cdr:y>0.87847</cdr:y>
    </cdr:from>
    <cdr:to>
      <cdr:x>0.67118</cdr:x>
      <cdr:y>1</cdr:y>
    </cdr:to>
    <cdr:sp macro="" textlink="">
      <cdr:nvSpPr>
        <cdr:cNvPr id="5" name="TextBox 4"/>
        <cdr:cNvSpPr txBox="1"/>
      </cdr:nvSpPr>
      <cdr:spPr>
        <a:xfrm xmlns:a="http://schemas.openxmlformats.org/drawingml/2006/main">
          <a:off x="287655" y="3574565"/>
          <a:ext cx="3122366" cy="4945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"OBTR" = Outer-Borough</a:t>
          </a:r>
          <a:r>
            <a:rPr lang="en-US" sz="1100" b="1" baseline="0"/>
            <a:t> Toll Relief (via Bridge Discounts)</a:t>
          </a:r>
          <a:endParaRPr lang="en-US" sz="1100" b="1"/>
        </a:p>
      </cdr:txBody>
    </cdr:sp>
  </cdr:relSizeAnchor>
</c:userShapes>
</file>

<file path=xl/drawings/drawing17.xml><?xml version="1.0" encoding="utf-8"?>
<c:userShapes xmlns:c="http://schemas.openxmlformats.org/drawingml/2006/chart">
  <cdr:relSizeAnchor xmlns:cdr="http://schemas.openxmlformats.org/drawingml/2006/chartDrawing">
    <cdr:from>
      <cdr:x>0.52084</cdr:x>
      <cdr:y>0.53967</cdr:y>
    </cdr:from>
    <cdr:to>
      <cdr:x>0.68072</cdr:x>
      <cdr:y>0.64334</cdr:y>
    </cdr:to>
    <cdr:sp macro="" textlink="">
      <cdr:nvSpPr>
        <cdr:cNvPr id="87041" name="Text Box 1"/>
        <cdr:cNvSpPr txBox="1">
          <a:spLocks xmlns:a="http://schemas.openxmlformats.org/drawingml/2006/main" noChangeArrowheads="1"/>
        </cdr:cNvSpPr>
      </cdr:nvSpPr>
      <cdr:spPr bwMode="auto">
        <a:xfrm xmlns:a="http://schemas.openxmlformats.org/drawingml/2006/main">
          <a:off x="2168503" y="2027447"/>
          <a:ext cx="761481" cy="3521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0.03495</cdr:x>
      <cdr:y>0.19654</cdr:y>
    </cdr:from>
    <cdr:to>
      <cdr:x>0.25953</cdr:x>
      <cdr:y>0.25301</cdr:y>
    </cdr:to>
    <cdr:sp macro="" textlink="">
      <cdr:nvSpPr>
        <cdr:cNvPr id="87042" name="Text Box 2"/>
        <cdr:cNvSpPr txBox="1">
          <a:spLocks xmlns:a="http://schemas.openxmlformats.org/drawingml/2006/main" noChangeArrowheads="1"/>
        </cdr:cNvSpPr>
      </cdr:nvSpPr>
      <cdr:spPr bwMode="auto">
        <a:xfrm xmlns:a="http://schemas.openxmlformats.org/drawingml/2006/main">
          <a:off x="120894" y="775048"/>
          <a:ext cx="809273" cy="2091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0.07556</cdr:x>
      <cdr:y>0.88294</cdr:y>
    </cdr:from>
    <cdr:to>
      <cdr:x>0.80338</cdr:x>
      <cdr:y>1</cdr:y>
    </cdr:to>
    <cdr:sp macro="" textlink="">
      <cdr:nvSpPr>
        <cdr:cNvPr id="4" name="TextBox 3"/>
        <cdr:cNvSpPr txBox="1"/>
      </cdr:nvSpPr>
      <cdr:spPr>
        <a:xfrm xmlns:a="http://schemas.openxmlformats.org/drawingml/2006/main">
          <a:off x="382906" y="3597799"/>
          <a:ext cx="3688080" cy="4769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1">
              <a:latin typeface="+mn-lt"/>
              <a:ea typeface="+mn-ea"/>
              <a:cs typeface="+mn-cs"/>
            </a:rPr>
            <a:t>"OBTR" = Outer-Borough</a:t>
          </a:r>
          <a:r>
            <a:rPr lang="en-US" sz="1100" b="1" baseline="0">
              <a:latin typeface="+mn-lt"/>
              <a:ea typeface="+mn-ea"/>
              <a:cs typeface="+mn-cs"/>
            </a:rPr>
            <a:t> Toll Relief (via Bridge Discounts)</a:t>
          </a:r>
          <a:endParaRPr lang="en-US" sz="1100" b="1">
            <a:latin typeface="+mn-lt"/>
            <a:ea typeface="+mn-ea"/>
            <a:cs typeface="+mn-cs"/>
          </a:endParaRPr>
        </a:p>
        <a:p xmlns:a="http://schemas.openxmlformats.org/drawingml/2006/main">
          <a:endParaRPr lang="en-US" sz="1100"/>
        </a:p>
      </cdr:txBody>
    </cdr:sp>
  </cdr:relSizeAnchor>
</c:userShapes>
</file>

<file path=xl/drawings/drawing18.xml><?xml version="1.0" encoding="utf-8"?>
<xdr:wsDr xmlns:xdr="http://schemas.openxmlformats.org/drawingml/2006/spreadsheetDrawing" xmlns:a="http://schemas.openxmlformats.org/drawingml/2006/main">
  <xdr:twoCellAnchor>
    <xdr:from>
      <xdr:col>8</xdr:col>
      <xdr:colOff>777876</xdr:colOff>
      <xdr:row>288</xdr:row>
      <xdr:rowOff>47624</xdr:rowOff>
    </xdr:from>
    <xdr:to>
      <xdr:col>11</xdr:col>
      <xdr:colOff>71438</xdr:colOff>
      <xdr:row>295</xdr:row>
      <xdr:rowOff>31749</xdr:rowOff>
    </xdr:to>
    <xdr:cxnSp macro="">
      <xdr:nvCxnSpPr>
        <xdr:cNvPr id="3" name="Straight Arrow Connector 2"/>
        <xdr:cNvCxnSpPr/>
      </xdr:nvCxnSpPr>
      <xdr:spPr>
        <a:xfrm rot="10800000" flipV="1">
          <a:off x="5953126" y="24510999"/>
          <a:ext cx="1730375" cy="10398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533400</xdr:colOff>
      <xdr:row>99</xdr:row>
      <xdr:rowOff>28575</xdr:rowOff>
    </xdr:from>
    <xdr:to>
      <xdr:col>13</xdr:col>
      <xdr:colOff>247650</xdr:colOff>
      <xdr:row>100</xdr:row>
      <xdr:rowOff>47625</xdr:rowOff>
    </xdr:to>
    <xdr:sp macro="" textlink="">
      <xdr:nvSpPr>
        <xdr:cNvPr id="52718380" name="Line 1026"/>
        <xdr:cNvSpPr>
          <a:spLocks noChangeShapeType="1"/>
        </xdr:cNvSpPr>
      </xdr:nvSpPr>
      <xdr:spPr bwMode="auto">
        <a:xfrm flipV="1">
          <a:off x="5343525" y="14249400"/>
          <a:ext cx="647700" cy="171450"/>
        </a:xfrm>
        <a:prstGeom prst="line">
          <a:avLst/>
        </a:prstGeom>
        <a:noFill/>
        <a:ln w="9525">
          <a:solidFill>
            <a:srgbClr val="000000"/>
          </a:solidFill>
          <a:round/>
          <a:headEnd/>
          <a:tailEnd type="triangle" w="med" len="med"/>
        </a:ln>
      </xdr:spPr>
    </xdr:sp>
    <xdr:clientData/>
  </xdr:twoCellAnchor>
  <xdr:twoCellAnchor>
    <xdr:from>
      <xdr:col>16</xdr:col>
      <xdr:colOff>200025</xdr:colOff>
      <xdr:row>79</xdr:row>
      <xdr:rowOff>104776</xdr:rowOff>
    </xdr:from>
    <xdr:to>
      <xdr:col>28</xdr:col>
      <xdr:colOff>85725</xdr:colOff>
      <xdr:row>118</xdr:row>
      <xdr:rowOff>161926</xdr:rowOff>
    </xdr:to>
    <xdr:graphicFrame macro="">
      <xdr:nvGraphicFramePr>
        <xdr:cNvPr id="52718383" name="Chart 16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0.12203</cdr:x>
      <cdr:y>0.23423</cdr:y>
    </cdr:from>
    <cdr:to>
      <cdr:x>0.34689</cdr:x>
      <cdr:y>0.34414</cdr:y>
    </cdr:to>
    <cdr:sp macro="" textlink="">
      <cdr:nvSpPr>
        <cdr:cNvPr id="1173505" name="Text Box 1"/>
        <cdr:cNvSpPr txBox="1">
          <a:spLocks xmlns:a="http://schemas.openxmlformats.org/drawingml/2006/main" noChangeArrowheads="1"/>
        </cdr:cNvSpPr>
      </cdr:nvSpPr>
      <cdr:spPr bwMode="auto">
        <a:xfrm xmlns:a="http://schemas.openxmlformats.org/drawingml/2006/main">
          <a:off x="1028699" y="1238250"/>
          <a:ext cx="1895475" cy="581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1" i="0" u="none" strike="noStrike" baseline="0">
              <a:solidFill>
                <a:srgbClr val="000000"/>
              </a:solidFill>
              <a:latin typeface="Arial"/>
              <a:cs typeface="Arial"/>
            </a:rPr>
            <a:t>Ridership increases in all hours except 5-6 p.m. and perhaps 8-9 a.m.</a:t>
          </a:r>
        </a:p>
      </cdr:txBody>
    </cdr:sp>
  </cdr:relSizeAnchor>
</c:userShapes>
</file>

<file path=xl/drawings/drawing21.xml><?xml version="1.0" encoding="utf-8"?>
<xdr:wsDr xmlns:xdr="http://schemas.openxmlformats.org/drawingml/2006/spreadsheetDrawing" xmlns:a="http://schemas.openxmlformats.org/drawingml/2006/main">
  <xdr:twoCellAnchor>
    <xdr:from>
      <xdr:col>11</xdr:col>
      <xdr:colOff>47625</xdr:colOff>
      <xdr:row>35</xdr:row>
      <xdr:rowOff>19049</xdr:rowOff>
    </xdr:from>
    <xdr:to>
      <xdr:col>13</xdr:col>
      <xdr:colOff>104775</xdr:colOff>
      <xdr:row>35</xdr:row>
      <xdr:rowOff>85724</xdr:rowOff>
    </xdr:to>
    <xdr:cxnSp macro="">
      <xdr:nvCxnSpPr>
        <xdr:cNvPr id="4" name="Straight Arrow Connector 3"/>
        <xdr:cNvCxnSpPr/>
      </xdr:nvCxnSpPr>
      <xdr:spPr>
        <a:xfrm rot="10800000" flipV="1">
          <a:off x="6096000" y="3705224"/>
          <a:ext cx="1276350" cy="666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590551</xdr:colOff>
      <xdr:row>180</xdr:row>
      <xdr:rowOff>9524</xdr:rowOff>
    </xdr:from>
    <xdr:to>
      <xdr:col>12</xdr:col>
      <xdr:colOff>123826</xdr:colOff>
      <xdr:row>181</xdr:row>
      <xdr:rowOff>76199</xdr:rowOff>
    </xdr:to>
    <xdr:cxnSp macro="">
      <xdr:nvCxnSpPr>
        <xdr:cNvPr id="5" name="Straight Arrow Connector 4"/>
        <xdr:cNvCxnSpPr/>
      </xdr:nvCxnSpPr>
      <xdr:spPr>
        <a:xfrm rot="10800000" flipV="1">
          <a:off x="6934201" y="17144999"/>
          <a:ext cx="828675" cy="219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600076</xdr:colOff>
      <xdr:row>26</xdr:row>
      <xdr:rowOff>123825</xdr:rowOff>
    </xdr:from>
    <xdr:to>
      <xdr:col>9</xdr:col>
      <xdr:colOff>85726</xdr:colOff>
      <xdr:row>29</xdr:row>
      <xdr:rowOff>95250</xdr:rowOff>
    </xdr:to>
    <xdr:cxnSp macro="">
      <xdr:nvCxnSpPr>
        <xdr:cNvPr id="2" name="Straight Arrow Connector 1"/>
        <xdr:cNvCxnSpPr/>
      </xdr:nvCxnSpPr>
      <xdr:spPr>
        <a:xfrm rot="5400000">
          <a:off x="6610351" y="4229100"/>
          <a:ext cx="542925" cy="33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790576</xdr:colOff>
      <xdr:row>27</xdr:row>
      <xdr:rowOff>9525</xdr:rowOff>
    </xdr:from>
    <xdr:to>
      <xdr:col>9</xdr:col>
      <xdr:colOff>400051</xdr:colOff>
      <xdr:row>32</xdr:row>
      <xdr:rowOff>19050</xdr:rowOff>
    </xdr:to>
    <xdr:cxnSp macro="">
      <xdr:nvCxnSpPr>
        <xdr:cNvPr id="5" name="Straight Arrow Connector 4"/>
        <xdr:cNvCxnSpPr/>
      </xdr:nvCxnSpPr>
      <xdr:spPr>
        <a:xfrm rot="5400000" flipH="1" flipV="1">
          <a:off x="6653213" y="5214938"/>
          <a:ext cx="962025" cy="457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304800</xdr:colOff>
      <xdr:row>133</xdr:row>
      <xdr:rowOff>95250</xdr:rowOff>
    </xdr:from>
    <xdr:to>
      <xdr:col>9</xdr:col>
      <xdr:colOff>180975</xdr:colOff>
      <xdr:row>134</xdr:row>
      <xdr:rowOff>0</xdr:rowOff>
    </xdr:to>
    <xdr:sp macro="" textlink="">
      <xdr:nvSpPr>
        <xdr:cNvPr id="56781968" name="Line 12"/>
        <xdr:cNvSpPr>
          <a:spLocks noChangeShapeType="1"/>
        </xdr:cNvSpPr>
      </xdr:nvSpPr>
      <xdr:spPr bwMode="auto">
        <a:xfrm flipV="1">
          <a:off x="5695950" y="23974425"/>
          <a:ext cx="1171575" cy="66675"/>
        </a:xfrm>
        <a:prstGeom prst="line">
          <a:avLst/>
        </a:prstGeom>
        <a:noFill/>
        <a:ln w="9525">
          <a:solidFill>
            <a:srgbClr val="000000"/>
          </a:solidFill>
          <a:round/>
          <a:headEnd/>
          <a:tailEnd type="triangle" w="med" len="me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104775</xdr:colOff>
      <xdr:row>59</xdr:row>
      <xdr:rowOff>114300</xdr:rowOff>
    </xdr:from>
    <xdr:to>
      <xdr:col>6</xdr:col>
      <xdr:colOff>47625</xdr:colOff>
      <xdr:row>82</xdr:row>
      <xdr:rowOff>28575</xdr:rowOff>
    </xdr:to>
    <xdr:graphicFrame macro="">
      <xdr:nvGraphicFramePr>
        <xdr:cNvPr id="527216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619125</xdr:colOff>
      <xdr:row>29</xdr:row>
      <xdr:rowOff>28575</xdr:rowOff>
    </xdr:from>
    <xdr:to>
      <xdr:col>8</xdr:col>
      <xdr:colOff>238125</xdr:colOff>
      <xdr:row>29</xdr:row>
      <xdr:rowOff>228600</xdr:rowOff>
    </xdr:to>
    <xdr:sp macro="" textlink="">
      <xdr:nvSpPr>
        <xdr:cNvPr id="52721656" name="Line 49"/>
        <xdr:cNvSpPr>
          <a:spLocks noChangeShapeType="1"/>
        </xdr:cNvSpPr>
      </xdr:nvSpPr>
      <xdr:spPr bwMode="auto">
        <a:xfrm>
          <a:off x="5095875" y="4467225"/>
          <a:ext cx="247650" cy="200025"/>
        </a:xfrm>
        <a:prstGeom prst="line">
          <a:avLst/>
        </a:prstGeom>
        <a:noFill/>
        <a:ln w="9525">
          <a:solidFill>
            <a:srgbClr val="000000"/>
          </a:solidFill>
          <a:round/>
          <a:headEnd/>
          <a:tailEnd type="triangle" w="med" len="med"/>
        </a:ln>
      </xdr:spPr>
    </xdr:sp>
    <xdr:clientData/>
  </xdr:twoCellAnchor>
  <xdr:twoCellAnchor>
    <xdr:from>
      <xdr:col>7</xdr:col>
      <xdr:colOff>533400</xdr:colOff>
      <xdr:row>55</xdr:row>
      <xdr:rowOff>28575</xdr:rowOff>
    </xdr:from>
    <xdr:to>
      <xdr:col>8</xdr:col>
      <xdr:colOff>247650</xdr:colOff>
      <xdr:row>56</xdr:row>
      <xdr:rowOff>38100</xdr:rowOff>
    </xdr:to>
    <xdr:sp macro="" textlink="">
      <xdr:nvSpPr>
        <xdr:cNvPr id="52721657" name="Line 53"/>
        <xdr:cNvSpPr>
          <a:spLocks noChangeShapeType="1"/>
        </xdr:cNvSpPr>
      </xdr:nvSpPr>
      <xdr:spPr bwMode="auto">
        <a:xfrm flipV="1">
          <a:off x="5010150" y="8591550"/>
          <a:ext cx="342900" cy="161925"/>
        </a:xfrm>
        <a:prstGeom prst="line">
          <a:avLst/>
        </a:prstGeom>
        <a:noFill/>
        <a:ln w="9525">
          <a:solidFill>
            <a:srgbClr val="000000"/>
          </a:solidFill>
          <a:round/>
          <a:headEnd/>
          <a:tailEnd type="triangle" w="med" len="med"/>
        </a:ln>
      </xdr:spPr>
    </xdr:sp>
    <xdr:clientData/>
  </xdr:twoCellAnchor>
  <xdr:twoCellAnchor>
    <xdr:from>
      <xdr:col>3</xdr:col>
      <xdr:colOff>314325</xdr:colOff>
      <xdr:row>106</xdr:row>
      <xdr:rowOff>171450</xdr:rowOff>
    </xdr:from>
    <xdr:to>
      <xdr:col>11</xdr:col>
      <xdr:colOff>228600</xdr:colOff>
      <xdr:row>122</xdr:row>
      <xdr:rowOff>171450</xdr:rowOff>
    </xdr:to>
    <xdr:graphicFrame macro="">
      <xdr:nvGraphicFramePr>
        <xdr:cNvPr id="52721658"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xdr:colOff>
      <xdr:row>59</xdr:row>
      <xdr:rowOff>104775</xdr:rowOff>
    </xdr:from>
    <xdr:to>
      <xdr:col>12</xdr:col>
      <xdr:colOff>76200</xdr:colOff>
      <xdr:row>82</xdr:row>
      <xdr:rowOff>9525</xdr:rowOff>
    </xdr:to>
    <xdr:graphicFrame macro="">
      <xdr:nvGraphicFramePr>
        <xdr:cNvPr id="527216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0.73462</cdr:x>
      <cdr:y>0.04869</cdr:y>
    </cdr:from>
    <cdr:to>
      <cdr:x>0.78252</cdr:x>
      <cdr:y>0.11106</cdr:y>
    </cdr:to>
    <cdr:sp macro="" textlink="">
      <cdr:nvSpPr>
        <cdr:cNvPr id="23553" name="Text Box 1"/>
        <cdr:cNvSpPr txBox="1">
          <a:spLocks xmlns:a="http://schemas.openxmlformats.org/drawingml/2006/main" noChangeArrowheads="1"/>
        </cdr:cNvSpPr>
      </cdr:nvSpPr>
      <cdr:spPr bwMode="auto">
        <a:xfrm xmlns:a="http://schemas.openxmlformats.org/drawingml/2006/main">
          <a:off x="3943210" y="179673"/>
          <a:ext cx="295166" cy="2381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en-US" sz="925" b="0" i="0" u="none" strike="noStrike" baseline="0">
            <a:solidFill>
              <a:srgbClr val="000000"/>
            </a:solidFill>
            <a:latin typeface="Arial"/>
            <a:cs typeface="Arial"/>
          </a:endParaRPr>
        </a:p>
        <a:p xmlns:a="http://schemas.openxmlformats.org/drawingml/2006/main">
          <a:pPr algn="l" rtl="0">
            <a:defRPr sz="1000"/>
          </a:pPr>
          <a:endParaRPr lang="en-US" sz="925" b="0" i="0" u="none" strike="noStrike" baseline="0">
            <a:solidFill>
              <a:srgbClr val="000000"/>
            </a:solidFill>
            <a:latin typeface="Arial"/>
            <a:cs typeface="Arial"/>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0.73462</cdr:x>
      <cdr:y>0.04869</cdr:y>
    </cdr:from>
    <cdr:to>
      <cdr:x>0.78252</cdr:x>
      <cdr:y>0.11106</cdr:y>
    </cdr:to>
    <cdr:sp macro="" textlink="">
      <cdr:nvSpPr>
        <cdr:cNvPr id="23553" name="Text Box 1"/>
        <cdr:cNvSpPr txBox="1">
          <a:spLocks xmlns:a="http://schemas.openxmlformats.org/drawingml/2006/main" noChangeArrowheads="1"/>
        </cdr:cNvSpPr>
      </cdr:nvSpPr>
      <cdr:spPr bwMode="auto">
        <a:xfrm xmlns:a="http://schemas.openxmlformats.org/drawingml/2006/main">
          <a:off x="3943210" y="179673"/>
          <a:ext cx="295166" cy="2381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en-US" sz="925" b="0" i="0" u="none" strike="noStrike" baseline="0">
            <a:solidFill>
              <a:srgbClr val="000000"/>
            </a:solidFill>
            <a:latin typeface="Arial"/>
            <a:cs typeface="Arial"/>
          </a:endParaRPr>
        </a:p>
        <a:p xmlns:a="http://schemas.openxmlformats.org/drawingml/2006/main">
          <a:pPr algn="l" rtl="0">
            <a:defRPr sz="1000"/>
          </a:pPr>
          <a:endParaRPr lang="en-US" sz="925" b="0" i="0" u="none" strike="noStrike" baseline="0">
            <a:solidFill>
              <a:srgbClr val="000000"/>
            </a:solidFill>
            <a:latin typeface="Arial"/>
            <a:cs typeface="Aria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123825</xdr:colOff>
      <xdr:row>60</xdr:row>
      <xdr:rowOff>114300</xdr:rowOff>
    </xdr:from>
    <xdr:to>
      <xdr:col>6</xdr:col>
      <xdr:colOff>209550</xdr:colOff>
      <xdr:row>82</xdr:row>
      <xdr:rowOff>66675</xdr:rowOff>
    </xdr:to>
    <xdr:graphicFrame macro="">
      <xdr:nvGraphicFramePr>
        <xdr:cNvPr id="64429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55</xdr:row>
      <xdr:rowOff>28575</xdr:rowOff>
    </xdr:from>
    <xdr:to>
      <xdr:col>22</xdr:col>
      <xdr:colOff>0</xdr:colOff>
      <xdr:row>56</xdr:row>
      <xdr:rowOff>38100</xdr:rowOff>
    </xdr:to>
    <xdr:sp macro="" textlink="">
      <xdr:nvSpPr>
        <xdr:cNvPr id="64429251" name="Line 3"/>
        <xdr:cNvSpPr>
          <a:spLocks noChangeShapeType="1"/>
        </xdr:cNvSpPr>
      </xdr:nvSpPr>
      <xdr:spPr bwMode="auto">
        <a:xfrm flipV="1">
          <a:off x="14154150" y="8591550"/>
          <a:ext cx="0" cy="161925"/>
        </a:xfrm>
        <a:prstGeom prst="line">
          <a:avLst/>
        </a:prstGeom>
        <a:noFill/>
        <a:ln w="9525">
          <a:solidFill>
            <a:srgbClr val="000000"/>
          </a:solidFill>
          <a:round/>
          <a:headEnd/>
          <a:tailEnd type="triangle" w="med" len="med"/>
        </a:ln>
      </xdr:spPr>
    </xdr:sp>
    <xdr:clientData/>
  </xdr:twoCellAnchor>
  <xdr:twoCellAnchor>
    <xdr:from>
      <xdr:col>3</xdr:col>
      <xdr:colOff>314325</xdr:colOff>
      <xdr:row>82</xdr:row>
      <xdr:rowOff>0</xdr:rowOff>
    </xdr:from>
    <xdr:to>
      <xdr:col>11</xdr:col>
      <xdr:colOff>228600</xdr:colOff>
      <xdr:row>82</xdr:row>
      <xdr:rowOff>0</xdr:rowOff>
    </xdr:to>
    <xdr:graphicFrame macro="">
      <xdr:nvGraphicFramePr>
        <xdr:cNvPr id="6442925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200025</xdr:colOff>
      <xdr:row>54</xdr:row>
      <xdr:rowOff>104775</xdr:rowOff>
    </xdr:from>
    <xdr:to>
      <xdr:col>8</xdr:col>
      <xdr:colOff>161925</xdr:colOff>
      <xdr:row>57</xdr:row>
      <xdr:rowOff>9525</xdr:rowOff>
    </xdr:to>
    <xdr:cxnSp macro="">
      <xdr:nvCxnSpPr>
        <xdr:cNvPr id="8" name="Straight Arrow Connector 7"/>
        <xdr:cNvCxnSpPr/>
      </xdr:nvCxnSpPr>
      <xdr:spPr>
        <a:xfrm flipV="1">
          <a:off x="3952875" y="8515350"/>
          <a:ext cx="1314450" cy="3524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52</xdr:row>
      <xdr:rowOff>104775</xdr:rowOff>
    </xdr:from>
    <xdr:to>
      <xdr:col>10</xdr:col>
      <xdr:colOff>276225</xdr:colOff>
      <xdr:row>57</xdr:row>
      <xdr:rowOff>19050</xdr:rowOff>
    </xdr:to>
    <xdr:cxnSp macro="">
      <xdr:nvCxnSpPr>
        <xdr:cNvPr id="10" name="Straight Arrow Connector 9"/>
        <xdr:cNvCxnSpPr/>
      </xdr:nvCxnSpPr>
      <xdr:spPr>
        <a:xfrm rot="5400000" flipH="1" flipV="1">
          <a:off x="5991225" y="8267700"/>
          <a:ext cx="666750" cy="552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60</xdr:row>
      <xdr:rowOff>114300</xdr:rowOff>
    </xdr:from>
    <xdr:to>
      <xdr:col>12</xdr:col>
      <xdr:colOff>228600</xdr:colOff>
      <xdr:row>82</xdr:row>
      <xdr:rowOff>76200</xdr:rowOff>
    </xdr:to>
    <xdr:graphicFrame macro="">
      <xdr:nvGraphicFramePr>
        <xdr:cNvPr id="644292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0.65919</cdr:x>
      <cdr:y>0.04869</cdr:y>
    </cdr:from>
    <cdr:to>
      <cdr:x>0.70979</cdr:x>
      <cdr:y>0.11106</cdr:y>
    </cdr:to>
    <cdr:sp macro="" textlink="">
      <cdr:nvSpPr>
        <cdr:cNvPr id="105473" name="Text Box 1"/>
        <cdr:cNvSpPr txBox="1">
          <a:spLocks xmlns:a="http://schemas.openxmlformats.org/drawingml/2006/main" noChangeArrowheads="1"/>
        </cdr:cNvSpPr>
      </cdr:nvSpPr>
      <cdr:spPr bwMode="auto">
        <a:xfrm xmlns:a="http://schemas.openxmlformats.org/drawingml/2006/main">
          <a:off x="3662871" y="179673"/>
          <a:ext cx="295165" cy="2381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en-US" sz="925" b="0" i="0" u="none" strike="noStrike" baseline="0">
            <a:solidFill>
              <a:srgbClr val="000000"/>
            </a:solidFill>
            <a:latin typeface="Arial"/>
            <a:cs typeface="Arial"/>
          </a:endParaRPr>
        </a:p>
        <a:p xmlns:a="http://schemas.openxmlformats.org/drawingml/2006/main">
          <a:pPr algn="l" rtl="0">
            <a:defRPr sz="1000"/>
          </a:pPr>
          <a:endParaRPr lang="en-US" sz="925" b="0" i="0" u="none" strike="noStrike" baseline="0">
            <a:solidFill>
              <a:srgbClr val="000000"/>
            </a:solidFill>
            <a:latin typeface="Arial"/>
            <a:cs typeface="Arial"/>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0.65919</cdr:x>
      <cdr:y>0.04869</cdr:y>
    </cdr:from>
    <cdr:to>
      <cdr:x>0.70979</cdr:x>
      <cdr:y>0.11106</cdr:y>
    </cdr:to>
    <cdr:sp macro="" textlink="">
      <cdr:nvSpPr>
        <cdr:cNvPr id="105473" name="Text Box 1"/>
        <cdr:cNvSpPr txBox="1">
          <a:spLocks xmlns:a="http://schemas.openxmlformats.org/drawingml/2006/main" noChangeArrowheads="1"/>
        </cdr:cNvSpPr>
      </cdr:nvSpPr>
      <cdr:spPr bwMode="auto">
        <a:xfrm xmlns:a="http://schemas.openxmlformats.org/drawingml/2006/main">
          <a:off x="3662871" y="179673"/>
          <a:ext cx="295165" cy="2381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endParaRPr lang="en-US" sz="925" b="0" i="0" u="none" strike="noStrike" baseline="0">
            <a:solidFill>
              <a:srgbClr val="000000"/>
            </a:solidFill>
            <a:latin typeface="Arial"/>
            <a:cs typeface="Arial"/>
          </a:endParaRPr>
        </a:p>
        <a:p xmlns:a="http://schemas.openxmlformats.org/drawingml/2006/main">
          <a:pPr algn="l" rtl="0">
            <a:defRPr sz="1000"/>
          </a:pPr>
          <a:endParaRPr lang="en-US" sz="925" b="0" i="0" u="none" strike="noStrike" baseline="0">
            <a:solidFill>
              <a:srgbClr val="000000"/>
            </a:solidFill>
            <a:latin typeface="Arial"/>
            <a:cs typeface="Arial"/>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8</xdr:col>
      <xdr:colOff>819150</xdr:colOff>
      <xdr:row>113</xdr:row>
      <xdr:rowOff>0</xdr:rowOff>
    </xdr:from>
    <xdr:to>
      <xdr:col>12</xdr:col>
      <xdr:colOff>104775</xdr:colOff>
      <xdr:row>113</xdr:row>
      <xdr:rowOff>0</xdr:rowOff>
    </xdr:to>
    <xdr:graphicFrame macro="">
      <xdr:nvGraphicFramePr>
        <xdr:cNvPr id="620707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28575</xdr:colOff>
      <xdr:row>113</xdr:row>
      <xdr:rowOff>0</xdr:rowOff>
    </xdr:from>
    <xdr:to>
      <xdr:col>22</xdr:col>
      <xdr:colOff>819150</xdr:colOff>
      <xdr:row>113</xdr:row>
      <xdr:rowOff>0</xdr:rowOff>
    </xdr:to>
    <xdr:graphicFrame macro="">
      <xdr:nvGraphicFramePr>
        <xdr:cNvPr id="620707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113</xdr:row>
      <xdr:rowOff>0</xdr:rowOff>
    </xdr:from>
    <xdr:to>
      <xdr:col>22</xdr:col>
      <xdr:colOff>819150</xdr:colOff>
      <xdr:row>113</xdr:row>
      <xdr:rowOff>0</xdr:rowOff>
    </xdr:to>
    <xdr:graphicFrame macro="">
      <xdr:nvGraphicFramePr>
        <xdr:cNvPr id="620707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247650</xdr:colOff>
      <xdr:row>2</xdr:row>
      <xdr:rowOff>0</xdr:rowOff>
    </xdr:from>
    <xdr:to>
      <xdr:col>21</xdr:col>
      <xdr:colOff>495300</xdr:colOff>
      <xdr:row>2</xdr:row>
      <xdr:rowOff>0</xdr:rowOff>
    </xdr:to>
    <xdr:sp macro="" textlink="">
      <xdr:nvSpPr>
        <xdr:cNvPr id="193540" name="Rectangle 4"/>
        <xdr:cNvSpPr>
          <a:spLocks noChangeArrowheads="1"/>
        </xdr:cNvSpPr>
      </xdr:nvSpPr>
      <xdr:spPr bwMode="auto">
        <a:xfrm>
          <a:off x="11277600" y="323850"/>
          <a:ext cx="4486275" cy="0"/>
        </a:xfrm>
        <a:prstGeom prst="rect">
          <a:avLst/>
        </a:prstGeom>
        <a:noFill/>
        <a:ln w="9525">
          <a:noFill/>
          <a:miter lim="800000"/>
          <a:headEnd/>
          <a:tailEnd/>
        </a:ln>
      </xdr:spPr>
      <xdr:txBody>
        <a:bodyPr vertOverflow="clip" wrap="square" lIns="45975" tIns="22988" rIns="45975" bIns="22988" anchor="t" upright="1"/>
        <a:lstStyle/>
        <a:p>
          <a:pPr algn="ctr" rtl="0">
            <a:defRPr sz="1000"/>
          </a:pPr>
          <a:endParaRPr lang="en-US" sz="1700" b="0" i="0" u="none" strike="noStrike" baseline="0">
            <a:solidFill>
              <a:srgbClr val="000000"/>
            </a:solidFill>
            <a:latin typeface="Arial"/>
            <a:cs typeface="Arial"/>
          </a:endParaRPr>
        </a:p>
        <a:p>
          <a:pPr algn="ctr" rtl="0">
            <a:defRPr sz="1000"/>
          </a:pPr>
          <a:endParaRPr lang="en-US" sz="1700" b="0" i="0" u="none" strike="noStrike" baseline="0">
            <a:solidFill>
              <a:srgbClr val="000000"/>
            </a:solidFill>
            <a:latin typeface="Arial"/>
            <a:cs typeface="Arial"/>
          </a:endParaRPr>
        </a:p>
      </xdr:txBody>
    </xdr:sp>
    <xdr:clientData/>
  </xdr:twoCellAnchor>
  <xdr:oneCellAnchor>
    <xdr:from>
      <xdr:col>31</xdr:col>
      <xdr:colOff>619125</xdr:colOff>
      <xdr:row>25</xdr:row>
      <xdr:rowOff>0</xdr:rowOff>
    </xdr:from>
    <xdr:ext cx="92913" cy="319894"/>
    <xdr:sp macro="" textlink="">
      <xdr:nvSpPr>
        <xdr:cNvPr id="193541" name="Text Box 5"/>
        <xdr:cNvSpPr txBox="1">
          <a:spLocks noChangeArrowheads="1"/>
        </xdr:cNvSpPr>
      </xdr:nvSpPr>
      <xdr:spPr bwMode="auto">
        <a:xfrm>
          <a:off x="23717250" y="3990975"/>
          <a:ext cx="92913" cy="282259"/>
        </a:xfrm>
        <a:prstGeom prst="rect">
          <a:avLst/>
        </a:prstGeom>
        <a:noFill/>
        <a:ln w="9525">
          <a:noFill/>
          <a:miter lim="800000"/>
          <a:headEnd/>
          <a:tailEnd/>
        </a:ln>
      </xdr:spPr>
      <xdr:txBody>
        <a:bodyPr wrap="none" lIns="45975" tIns="22988" rIns="45975" bIns="22988" anchor="t" upright="1">
          <a:spAutoFit/>
        </a:bodyPr>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oneCellAnchor>
  <xdr:twoCellAnchor>
    <xdr:from>
      <xdr:col>6</xdr:col>
      <xdr:colOff>57150</xdr:colOff>
      <xdr:row>207</xdr:row>
      <xdr:rowOff>85725</xdr:rowOff>
    </xdr:from>
    <xdr:to>
      <xdr:col>12</xdr:col>
      <xdr:colOff>609600</xdr:colOff>
      <xdr:row>231</xdr:row>
      <xdr:rowOff>142875</xdr:rowOff>
    </xdr:to>
    <xdr:graphicFrame macro="">
      <xdr:nvGraphicFramePr>
        <xdr:cNvPr id="6207076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207</xdr:row>
      <xdr:rowOff>76200</xdr:rowOff>
    </xdr:from>
    <xdr:to>
      <xdr:col>5</xdr:col>
      <xdr:colOff>542925</xdr:colOff>
      <xdr:row>231</xdr:row>
      <xdr:rowOff>133350</xdr:rowOff>
    </xdr:to>
    <xdr:graphicFrame macro="">
      <xdr:nvGraphicFramePr>
        <xdr:cNvPr id="6207076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133350</xdr:colOff>
      <xdr:row>116</xdr:row>
      <xdr:rowOff>47625</xdr:rowOff>
    </xdr:from>
    <xdr:to>
      <xdr:col>20</xdr:col>
      <xdr:colOff>685800</xdr:colOff>
      <xdr:row>135</xdr:row>
      <xdr:rowOff>114300</xdr:rowOff>
    </xdr:to>
    <xdr:graphicFrame macro="">
      <xdr:nvGraphicFramePr>
        <xdr:cNvPr id="62070764"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619125</xdr:colOff>
      <xdr:row>151</xdr:row>
      <xdr:rowOff>133350</xdr:rowOff>
    </xdr:from>
    <xdr:to>
      <xdr:col>6</xdr:col>
      <xdr:colOff>247650</xdr:colOff>
      <xdr:row>152</xdr:row>
      <xdr:rowOff>66675</xdr:rowOff>
    </xdr:to>
    <xdr:sp macro="" textlink="">
      <xdr:nvSpPr>
        <xdr:cNvPr id="62070765" name="Line 56"/>
        <xdr:cNvSpPr>
          <a:spLocks noChangeShapeType="1"/>
        </xdr:cNvSpPr>
      </xdr:nvSpPr>
      <xdr:spPr bwMode="auto">
        <a:xfrm>
          <a:off x="1543050" y="23412450"/>
          <a:ext cx="2686050" cy="85725"/>
        </a:xfrm>
        <a:prstGeom prst="line">
          <a:avLst/>
        </a:prstGeom>
        <a:noFill/>
        <a:ln w="9525">
          <a:solidFill>
            <a:srgbClr val="000000"/>
          </a:solidFill>
          <a:round/>
          <a:headEnd/>
          <a:tailEnd type="triangle" w="med" len="med"/>
        </a:ln>
      </xdr:spPr>
    </xdr:sp>
    <xdr:clientData/>
  </xdr:twoCellAnchor>
  <xdr:twoCellAnchor>
    <xdr:from>
      <xdr:col>5</xdr:col>
      <xdr:colOff>161925</xdr:colOff>
      <xdr:row>206</xdr:row>
      <xdr:rowOff>28575</xdr:rowOff>
    </xdr:from>
    <xdr:to>
      <xdr:col>6</xdr:col>
      <xdr:colOff>161925</xdr:colOff>
      <xdr:row>209</xdr:row>
      <xdr:rowOff>142875</xdr:rowOff>
    </xdr:to>
    <xdr:sp macro="" textlink="">
      <xdr:nvSpPr>
        <xdr:cNvPr id="62070766" name="Line 65"/>
        <xdr:cNvSpPr>
          <a:spLocks noChangeShapeType="1"/>
        </xdr:cNvSpPr>
      </xdr:nvSpPr>
      <xdr:spPr bwMode="auto">
        <a:xfrm flipH="1">
          <a:off x="3400425" y="31756350"/>
          <a:ext cx="742950" cy="571500"/>
        </a:xfrm>
        <a:prstGeom prst="line">
          <a:avLst/>
        </a:prstGeom>
        <a:noFill/>
        <a:ln w="9525">
          <a:solidFill>
            <a:srgbClr val="000000"/>
          </a:solidFill>
          <a:round/>
          <a:headEnd/>
          <a:tailEnd type="triangle" w="med" len="med"/>
        </a:ln>
      </xdr:spPr>
    </xdr:sp>
    <xdr:clientData/>
  </xdr:twoCellAnchor>
  <xdr:twoCellAnchor>
    <xdr:from>
      <xdr:col>9</xdr:col>
      <xdr:colOff>342900</xdr:colOff>
      <xdr:row>206</xdr:row>
      <xdr:rowOff>28575</xdr:rowOff>
    </xdr:from>
    <xdr:to>
      <xdr:col>9</xdr:col>
      <xdr:colOff>457200</xdr:colOff>
      <xdr:row>208</xdr:row>
      <xdr:rowOff>38100</xdr:rowOff>
    </xdr:to>
    <xdr:sp macro="" textlink="">
      <xdr:nvSpPr>
        <xdr:cNvPr id="62070767" name="Line 66"/>
        <xdr:cNvSpPr>
          <a:spLocks noChangeShapeType="1"/>
        </xdr:cNvSpPr>
      </xdr:nvSpPr>
      <xdr:spPr bwMode="auto">
        <a:xfrm>
          <a:off x="6638925" y="31756350"/>
          <a:ext cx="114300" cy="314325"/>
        </a:xfrm>
        <a:prstGeom prst="line">
          <a:avLst/>
        </a:prstGeom>
        <a:noFill/>
        <a:ln w="9525">
          <a:solidFill>
            <a:srgbClr val="000000"/>
          </a:solidFill>
          <a:round/>
          <a:headEnd/>
          <a:tailEnd type="triangle" w="med" len="med"/>
        </a:ln>
      </xdr:spPr>
    </xdr:sp>
    <xdr:clientData/>
  </xdr:twoCellAnchor>
  <xdr:twoCellAnchor>
    <xdr:from>
      <xdr:col>15</xdr:col>
      <xdr:colOff>38100</xdr:colOff>
      <xdr:row>138</xdr:row>
      <xdr:rowOff>38100</xdr:rowOff>
    </xdr:from>
    <xdr:to>
      <xdr:col>20</xdr:col>
      <xdr:colOff>666750</xdr:colOff>
      <xdr:row>158</xdr:row>
      <xdr:rowOff>133350</xdr:rowOff>
    </xdr:to>
    <xdr:graphicFrame macro="">
      <xdr:nvGraphicFramePr>
        <xdr:cNvPr id="62070768"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16</xdr:col>
      <xdr:colOff>371475</xdr:colOff>
      <xdr:row>150</xdr:row>
      <xdr:rowOff>28575</xdr:rowOff>
    </xdr:from>
    <xdr:to>
      <xdr:col>17</xdr:col>
      <xdr:colOff>542925</xdr:colOff>
      <xdr:row>153</xdr:row>
      <xdr:rowOff>57150</xdr:rowOff>
    </xdr:to>
    <xdr:sp macro="" textlink="">
      <xdr:nvSpPr>
        <xdr:cNvPr id="193863" name="Text Box 72"/>
        <xdr:cNvSpPr txBox="1">
          <a:spLocks noChangeArrowheads="1"/>
        </xdr:cNvSpPr>
      </xdr:nvSpPr>
      <xdr:spPr bwMode="auto">
        <a:xfrm>
          <a:off x="11487150" y="23155275"/>
          <a:ext cx="1019175" cy="4857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1" i="0" u="none" strike="noStrike" baseline="0">
              <a:solidFill>
                <a:srgbClr val="000000"/>
              </a:solidFill>
              <a:latin typeface="Arial"/>
              <a:cs typeface="Arial"/>
            </a:rPr>
            <a:t>5% less traffic</a:t>
          </a:r>
        </a:p>
        <a:p>
          <a:pPr algn="l" rtl="0">
            <a:defRPr sz="1000"/>
          </a:pPr>
          <a:r>
            <a:rPr lang="en-US" sz="900" b="1" i="0" u="none" strike="noStrike" baseline="0">
              <a:solidFill>
                <a:srgbClr val="000000"/>
              </a:solidFill>
              <a:latin typeface="Arial"/>
              <a:cs typeface="Arial"/>
            </a:rPr>
            <a:t>means 14% less </a:t>
          </a:r>
        </a:p>
        <a:p>
          <a:pPr algn="l" rtl="0">
            <a:defRPr sz="1000"/>
          </a:pPr>
          <a:r>
            <a:rPr lang="en-US" sz="900" b="1" i="0" u="none" strike="noStrike" baseline="0">
              <a:solidFill>
                <a:srgbClr val="000000"/>
              </a:solidFill>
              <a:latin typeface="Arial"/>
              <a:cs typeface="Arial"/>
            </a:rPr>
            <a:t>delay</a:t>
          </a:r>
        </a:p>
      </xdr:txBody>
    </xdr:sp>
    <xdr:clientData/>
  </xdr:twoCellAnchor>
  <xdr:twoCellAnchor>
    <xdr:from>
      <xdr:col>17</xdr:col>
      <xdr:colOff>657225</xdr:colOff>
      <xdr:row>149</xdr:row>
      <xdr:rowOff>57150</xdr:rowOff>
    </xdr:from>
    <xdr:to>
      <xdr:col>17</xdr:col>
      <xdr:colOff>666750</xdr:colOff>
      <xdr:row>154</xdr:row>
      <xdr:rowOff>57150</xdr:rowOff>
    </xdr:to>
    <xdr:sp macro="" textlink="">
      <xdr:nvSpPr>
        <xdr:cNvPr id="62070770" name="Line 332"/>
        <xdr:cNvSpPr>
          <a:spLocks noChangeShapeType="1"/>
        </xdr:cNvSpPr>
      </xdr:nvSpPr>
      <xdr:spPr bwMode="auto">
        <a:xfrm flipH="1" flipV="1">
          <a:off x="12620625" y="23031450"/>
          <a:ext cx="9525" cy="762000"/>
        </a:xfrm>
        <a:prstGeom prst="line">
          <a:avLst/>
        </a:prstGeom>
        <a:noFill/>
        <a:ln w="9525">
          <a:solidFill>
            <a:srgbClr val="000000"/>
          </a:solidFill>
          <a:round/>
          <a:headEnd/>
          <a:tailEnd/>
        </a:ln>
      </xdr:spPr>
    </xdr:sp>
    <xdr:clientData/>
  </xdr:twoCellAnchor>
  <xdr:twoCellAnchor>
    <xdr:from>
      <xdr:col>15</xdr:col>
      <xdr:colOff>819150</xdr:colOff>
      <xdr:row>149</xdr:row>
      <xdr:rowOff>57150</xdr:rowOff>
    </xdr:from>
    <xdr:to>
      <xdr:col>17</xdr:col>
      <xdr:colOff>647700</xdr:colOff>
      <xdr:row>149</xdr:row>
      <xdr:rowOff>57150</xdr:rowOff>
    </xdr:to>
    <xdr:sp macro="" textlink="">
      <xdr:nvSpPr>
        <xdr:cNvPr id="62070771" name="Line 333"/>
        <xdr:cNvSpPr>
          <a:spLocks noChangeShapeType="1"/>
        </xdr:cNvSpPr>
      </xdr:nvSpPr>
      <xdr:spPr bwMode="auto">
        <a:xfrm flipH="1">
          <a:off x="11087100" y="23031450"/>
          <a:ext cx="1524000" cy="0"/>
        </a:xfrm>
        <a:prstGeom prst="line">
          <a:avLst/>
        </a:prstGeom>
        <a:noFill/>
        <a:ln w="9525">
          <a:solidFill>
            <a:srgbClr val="000000"/>
          </a:solidFill>
          <a:round/>
          <a:headEnd/>
          <a:tailEnd/>
        </a:ln>
      </xdr:spPr>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819150</xdr:colOff>
      <xdr:row>112</xdr:row>
      <xdr:rowOff>0</xdr:rowOff>
    </xdr:from>
    <xdr:to>
      <xdr:col>12</xdr:col>
      <xdr:colOff>104775</xdr:colOff>
      <xdr:row>112</xdr:row>
      <xdr:rowOff>0</xdr:rowOff>
    </xdr:to>
    <xdr:graphicFrame macro="">
      <xdr:nvGraphicFramePr>
        <xdr:cNvPr id="63524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28575</xdr:colOff>
      <xdr:row>112</xdr:row>
      <xdr:rowOff>0</xdr:rowOff>
    </xdr:from>
    <xdr:to>
      <xdr:col>22</xdr:col>
      <xdr:colOff>819150</xdr:colOff>
      <xdr:row>112</xdr:row>
      <xdr:rowOff>0</xdr:rowOff>
    </xdr:to>
    <xdr:graphicFrame macro="">
      <xdr:nvGraphicFramePr>
        <xdr:cNvPr id="63524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xdr:colOff>
      <xdr:row>112</xdr:row>
      <xdr:rowOff>0</xdr:rowOff>
    </xdr:from>
    <xdr:to>
      <xdr:col>22</xdr:col>
      <xdr:colOff>819150</xdr:colOff>
      <xdr:row>112</xdr:row>
      <xdr:rowOff>0</xdr:rowOff>
    </xdr:to>
    <xdr:graphicFrame macro="">
      <xdr:nvGraphicFramePr>
        <xdr:cNvPr id="6352443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247650</xdr:colOff>
      <xdr:row>2</xdr:row>
      <xdr:rowOff>0</xdr:rowOff>
    </xdr:from>
    <xdr:to>
      <xdr:col>21</xdr:col>
      <xdr:colOff>495300</xdr:colOff>
      <xdr:row>2</xdr:row>
      <xdr:rowOff>0</xdr:rowOff>
    </xdr:to>
    <xdr:sp macro="" textlink="">
      <xdr:nvSpPr>
        <xdr:cNvPr id="198660" name="Rectangle 4"/>
        <xdr:cNvSpPr>
          <a:spLocks noChangeArrowheads="1"/>
        </xdr:cNvSpPr>
      </xdr:nvSpPr>
      <xdr:spPr bwMode="auto">
        <a:xfrm>
          <a:off x="11277600" y="323850"/>
          <a:ext cx="4486275" cy="0"/>
        </a:xfrm>
        <a:prstGeom prst="rect">
          <a:avLst/>
        </a:prstGeom>
        <a:noFill/>
        <a:ln w="9525">
          <a:noFill/>
          <a:miter lim="800000"/>
          <a:headEnd/>
          <a:tailEnd/>
        </a:ln>
      </xdr:spPr>
      <xdr:txBody>
        <a:bodyPr vertOverflow="clip" wrap="square" lIns="45975" tIns="22988" rIns="45975" bIns="22988" anchor="t" upright="1"/>
        <a:lstStyle/>
        <a:p>
          <a:pPr algn="ctr" rtl="0">
            <a:defRPr sz="1000"/>
          </a:pPr>
          <a:endParaRPr lang="en-US" sz="1700" b="0" i="0" u="none" strike="noStrike" baseline="0">
            <a:solidFill>
              <a:srgbClr val="000000"/>
            </a:solidFill>
            <a:latin typeface="Arial"/>
            <a:cs typeface="Arial"/>
          </a:endParaRPr>
        </a:p>
        <a:p>
          <a:pPr algn="ctr" rtl="0">
            <a:defRPr sz="1000"/>
          </a:pPr>
          <a:endParaRPr lang="en-US" sz="1700" b="0" i="0" u="none" strike="noStrike" baseline="0">
            <a:solidFill>
              <a:srgbClr val="000000"/>
            </a:solidFill>
            <a:latin typeface="Arial"/>
            <a:cs typeface="Arial"/>
          </a:endParaRPr>
        </a:p>
      </xdr:txBody>
    </xdr:sp>
    <xdr:clientData/>
  </xdr:twoCellAnchor>
  <xdr:oneCellAnchor>
    <xdr:from>
      <xdr:col>31</xdr:col>
      <xdr:colOff>619125</xdr:colOff>
      <xdr:row>24</xdr:row>
      <xdr:rowOff>142875</xdr:rowOff>
    </xdr:from>
    <xdr:ext cx="92913" cy="319894"/>
    <xdr:sp macro="" textlink="">
      <xdr:nvSpPr>
        <xdr:cNvPr id="198661" name="Text Box 5"/>
        <xdr:cNvSpPr txBox="1">
          <a:spLocks noChangeArrowheads="1"/>
        </xdr:cNvSpPr>
      </xdr:nvSpPr>
      <xdr:spPr bwMode="auto">
        <a:xfrm>
          <a:off x="23717250" y="4019550"/>
          <a:ext cx="92913" cy="282259"/>
        </a:xfrm>
        <a:prstGeom prst="rect">
          <a:avLst/>
        </a:prstGeom>
        <a:noFill/>
        <a:ln w="9525">
          <a:noFill/>
          <a:miter lim="800000"/>
          <a:headEnd/>
          <a:tailEnd/>
        </a:ln>
      </xdr:spPr>
      <xdr:txBody>
        <a:bodyPr wrap="none" lIns="45975" tIns="22988" rIns="45975" bIns="22988" anchor="t" upright="1">
          <a:spAutoFit/>
        </a:bodyPr>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oneCellAnchor>
  <xdr:twoCellAnchor>
    <xdr:from>
      <xdr:col>6</xdr:col>
      <xdr:colOff>57150</xdr:colOff>
      <xdr:row>208</xdr:row>
      <xdr:rowOff>85725</xdr:rowOff>
    </xdr:from>
    <xdr:to>
      <xdr:col>12</xdr:col>
      <xdr:colOff>609600</xdr:colOff>
      <xdr:row>232</xdr:row>
      <xdr:rowOff>0</xdr:rowOff>
    </xdr:to>
    <xdr:graphicFrame macro="">
      <xdr:nvGraphicFramePr>
        <xdr:cNvPr id="6352443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208</xdr:row>
      <xdr:rowOff>76200</xdr:rowOff>
    </xdr:from>
    <xdr:to>
      <xdr:col>5</xdr:col>
      <xdr:colOff>542925</xdr:colOff>
      <xdr:row>231</xdr:row>
      <xdr:rowOff>133350</xdr:rowOff>
    </xdr:to>
    <xdr:graphicFrame macro="">
      <xdr:nvGraphicFramePr>
        <xdr:cNvPr id="6352443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590550</xdr:colOff>
      <xdr:row>151</xdr:row>
      <xdr:rowOff>95250</xdr:rowOff>
    </xdr:from>
    <xdr:to>
      <xdr:col>6</xdr:col>
      <xdr:colOff>390525</xdr:colOff>
      <xdr:row>152</xdr:row>
      <xdr:rowOff>38100</xdr:rowOff>
    </xdr:to>
    <xdr:sp macro="" textlink="">
      <xdr:nvSpPr>
        <xdr:cNvPr id="63524438" name="Line 11"/>
        <xdr:cNvSpPr>
          <a:spLocks noChangeShapeType="1"/>
        </xdr:cNvSpPr>
      </xdr:nvSpPr>
      <xdr:spPr bwMode="auto">
        <a:xfrm flipV="1">
          <a:off x="1514475" y="23412450"/>
          <a:ext cx="2857500" cy="95250"/>
        </a:xfrm>
        <a:prstGeom prst="line">
          <a:avLst/>
        </a:prstGeom>
        <a:noFill/>
        <a:ln w="9525">
          <a:solidFill>
            <a:srgbClr val="000000"/>
          </a:solidFill>
          <a:round/>
          <a:headEnd/>
          <a:tailEnd type="triangle" w="med" len="med"/>
        </a:ln>
      </xdr:spPr>
    </xdr:sp>
    <xdr:clientData/>
  </xdr:twoCellAnchor>
  <xdr:twoCellAnchor>
    <xdr:from>
      <xdr:col>1</xdr:col>
      <xdr:colOff>76200</xdr:colOff>
      <xdr:row>238</xdr:row>
      <xdr:rowOff>85725</xdr:rowOff>
    </xdr:from>
    <xdr:to>
      <xdr:col>6</xdr:col>
      <xdr:colOff>533400</xdr:colOff>
      <xdr:row>257</xdr:row>
      <xdr:rowOff>76200</xdr:rowOff>
    </xdr:to>
    <xdr:graphicFrame macro="">
      <xdr:nvGraphicFramePr>
        <xdr:cNvPr id="63524439"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638175</xdr:colOff>
      <xdr:row>244</xdr:row>
      <xdr:rowOff>38100</xdr:rowOff>
    </xdr:from>
    <xdr:to>
      <xdr:col>6</xdr:col>
      <xdr:colOff>419100</xdr:colOff>
      <xdr:row>248</xdr:row>
      <xdr:rowOff>123825</xdr:rowOff>
    </xdr:to>
    <xdr:sp macro="" textlink="">
      <xdr:nvSpPr>
        <xdr:cNvPr id="198673" name="Text Box 17"/>
        <xdr:cNvSpPr txBox="1">
          <a:spLocks noChangeArrowheads="1"/>
        </xdr:cNvSpPr>
      </xdr:nvSpPr>
      <xdr:spPr bwMode="auto">
        <a:xfrm>
          <a:off x="2305050" y="31203900"/>
          <a:ext cx="2009775" cy="695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"Skip" is caused by our 55 mph</a:t>
          </a:r>
        </a:p>
        <a:p>
          <a:pPr algn="l" rtl="0">
            <a:defRPr sz="1000"/>
          </a:pPr>
          <a:r>
            <a:rPr lang="en-US" sz="900" b="0" i="0" u="none" strike="noStrike" baseline="0">
              <a:solidFill>
                <a:srgbClr val="000000"/>
              </a:solidFill>
              <a:latin typeface="Arial"/>
              <a:cs typeface="Arial"/>
            </a:rPr>
            <a:t>cap for non-cordon speeds, since </a:t>
          </a:r>
        </a:p>
        <a:p>
          <a:pPr algn="l" rtl="0">
            <a:defRPr sz="1000"/>
          </a:pPr>
          <a:r>
            <a:rPr lang="en-US" sz="900" b="0" i="0" u="none" strike="noStrike" baseline="0">
              <a:solidFill>
                <a:srgbClr val="000000"/>
              </a:solidFill>
              <a:latin typeface="Arial"/>
              <a:cs typeface="Arial"/>
            </a:rPr>
            <a:t>it creates a small "window" in which</a:t>
          </a:r>
        </a:p>
        <a:p>
          <a:pPr algn="l" rtl="0">
            <a:defRPr sz="1000"/>
          </a:pPr>
          <a:r>
            <a:rPr lang="en-US" sz="900" b="0" i="0" u="none" strike="noStrike" baseline="0">
              <a:solidFill>
                <a:srgbClr val="000000"/>
              </a:solidFill>
              <a:latin typeface="Arial"/>
              <a:cs typeface="Arial"/>
            </a:rPr>
            <a:t>adding volume doesn't slow traffic.</a:t>
          </a:r>
        </a:p>
      </xdr:txBody>
    </xdr:sp>
    <xdr:clientData/>
  </xdr:twoCellAnchor>
  <xdr:twoCellAnchor>
    <xdr:from>
      <xdr:col>4</xdr:col>
      <xdr:colOff>0</xdr:colOff>
      <xdr:row>248</xdr:row>
      <xdr:rowOff>95250</xdr:rowOff>
    </xdr:from>
    <xdr:to>
      <xdr:col>4</xdr:col>
      <xdr:colOff>428625</xdr:colOff>
      <xdr:row>249</xdr:row>
      <xdr:rowOff>38100</xdr:rowOff>
    </xdr:to>
    <xdr:sp macro="" textlink="">
      <xdr:nvSpPr>
        <xdr:cNvPr id="63524441" name="Line 19"/>
        <xdr:cNvSpPr>
          <a:spLocks noChangeShapeType="1"/>
        </xdr:cNvSpPr>
      </xdr:nvSpPr>
      <xdr:spPr bwMode="auto">
        <a:xfrm flipH="1">
          <a:off x="2495550" y="38252400"/>
          <a:ext cx="428625" cy="95250"/>
        </a:xfrm>
        <a:prstGeom prst="line">
          <a:avLst/>
        </a:prstGeom>
        <a:noFill/>
        <a:ln w="9525">
          <a:solidFill>
            <a:srgbClr val="000000"/>
          </a:solidFill>
          <a:round/>
          <a:headEnd/>
          <a:tailEnd type="triangle" w="med" len="med"/>
        </a:ln>
      </xdr:spPr>
    </xdr:sp>
    <xdr:clientData/>
  </xdr:twoCellAnchor>
  <xdr:twoCellAnchor>
    <xdr:from>
      <xdr:col>5</xdr:col>
      <xdr:colOff>200025</xdr:colOff>
      <xdr:row>207</xdr:row>
      <xdr:rowOff>38100</xdr:rowOff>
    </xdr:from>
    <xdr:to>
      <xdr:col>6</xdr:col>
      <xdr:colOff>47625</xdr:colOff>
      <xdr:row>210</xdr:row>
      <xdr:rowOff>133350</xdr:rowOff>
    </xdr:to>
    <xdr:sp macro="" textlink="">
      <xdr:nvSpPr>
        <xdr:cNvPr id="63524442" name="Line 20"/>
        <xdr:cNvSpPr>
          <a:spLocks noChangeShapeType="1"/>
        </xdr:cNvSpPr>
      </xdr:nvSpPr>
      <xdr:spPr bwMode="auto">
        <a:xfrm flipH="1">
          <a:off x="3438525" y="31946850"/>
          <a:ext cx="590550" cy="552450"/>
        </a:xfrm>
        <a:prstGeom prst="line">
          <a:avLst/>
        </a:prstGeom>
        <a:noFill/>
        <a:ln w="9525">
          <a:solidFill>
            <a:srgbClr val="000000"/>
          </a:solidFill>
          <a:round/>
          <a:headEnd/>
          <a:tailEnd type="triangle" w="med" len="med"/>
        </a:ln>
      </xdr:spPr>
    </xdr:sp>
    <xdr:clientData/>
  </xdr:twoCellAnchor>
  <xdr:twoCellAnchor>
    <xdr:from>
      <xdr:col>9</xdr:col>
      <xdr:colOff>342900</xdr:colOff>
      <xdr:row>207</xdr:row>
      <xdr:rowOff>19050</xdr:rowOff>
    </xdr:from>
    <xdr:to>
      <xdr:col>9</xdr:col>
      <xdr:colOff>381000</xdr:colOff>
      <xdr:row>209</xdr:row>
      <xdr:rowOff>38100</xdr:rowOff>
    </xdr:to>
    <xdr:sp macro="" textlink="">
      <xdr:nvSpPr>
        <xdr:cNvPr id="63524443" name="Line 21"/>
        <xdr:cNvSpPr>
          <a:spLocks noChangeShapeType="1"/>
        </xdr:cNvSpPr>
      </xdr:nvSpPr>
      <xdr:spPr bwMode="auto">
        <a:xfrm>
          <a:off x="6638925" y="31927800"/>
          <a:ext cx="38100" cy="323850"/>
        </a:xfrm>
        <a:prstGeom prst="line">
          <a:avLst/>
        </a:prstGeom>
        <a:noFill/>
        <a:ln w="9525">
          <a:solidFill>
            <a:srgbClr val="000000"/>
          </a:solidFill>
          <a:round/>
          <a:headEnd/>
          <a:tailEnd type="triangle" w="med" len="med"/>
        </a:ln>
      </xdr:spPr>
    </xdr:sp>
    <xdr:clientData/>
  </xdr:twoCellAnchor>
</xdr:wsDr>
</file>

<file path=xl/drawings/drawing33.xml><?xml version="1.0" encoding="utf-8"?>
<c:userShapes xmlns:c="http://schemas.openxmlformats.org/drawingml/2006/chart">
  <cdr:relSizeAnchor xmlns:cdr="http://schemas.openxmlformats.org/drawingml/2006/chartDrawing">
    <cdr:from>
      <cdr:x>0.87169</cdr:x>
      <cdr:y>0.33315</cdr:y>
    </cdr:from>
    <cdr:to>
      <cdr:x>0.97556</cdr:x>
      <cdr:y>0.93006</cdr:y>
    </cdr:to>
    <cdr:sp macro="" textlink="">
      <cdr:nvSpPr>
        <cdr:cNvPr id="199681" name="Rectangle 1"/>
        <cdr:cNvSpPr>
          <a:spLocks xmlns:a="http://schemas.openxmlformats.org/drawingml/2006/main" noChangeArrowheads="1"/>
        </cdr:cNvSpPr>
      </cdr:nvSpPr>
      <cdr:spPr bwMode="auto">
        <a:xfrm xmlns:a="http://schemas.openxmlformats.org/drawingml/2006/main">
          <a:off x="5394725" y="247517"/>
          <a:ext cx="640602" cy="437788"/>
        </a:xfrm>
        <a:prstGeom xmlns:a="http://schemas.openxmlformats.org/drawingml/2006/main" prst="rect">
          <a:avLst/>
        </a:prstGeom>
        <a:solidFill xmlns:a="http://schemas.openxmlformats.org/drawingml/2006/main">
          <a:srgbClr val="FFFFFF">
            <a:alpha val="0"/>
          </a:srgbClr>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4.xml><?xml version="1.0" encoding="utf-8"?>
<xdr:wsDr xmlns:xdr="http://schemas.openxmlformats.org/drawingml/2006/spreadsheetDrawing" xmlns:a="http://schemas.openxmlformats.org/drawingml/2006/main">
  <xdr:twoCellAnchor>
    <xdr:from>
      <xdr:col>2</xdr:col>
      <xdr:colOff>190500</xdr:colOff>
      <xdr:row>111</xdr:row>
      <xdr:rowOff>123825</xdr:rowOff>
    </xdr:from>
    <xdr:to>
      <xdr:col>7</xdr:col>
      <xdr:colOff>981075</xdr:colOff>
      <xdr:row>134</xdr:row>
      <xdr:rowOff>133350</xdr:rowOff>
    </xdr:to>
    <xdr:graphicFrame macro="">
      <xdr:nvGraphicFramePr>
        <xdr:cNvPr id="527153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66675</xdr:colOff>
      <xdr:row>114</xdr:row>
      <xdr:rowOff>9525</xdr:rowOff>
    </xdr:from>
    <xdr:to>
      <xdr:col>7</xdr:col>
      <xdr:colOff>200025</xdr:colOff>
      <xdr:row>117</xdr:row>
      <xdr:rowOff>47625</xdr:rowOff>
    </xdr:to>
    <xdr:sp macro="" textlink="">
      <xdr:nvSpPr>
        <xdr:cNvPr id="261154" name="Text Box 2"/>
        <xdr:cNvSpPr txBox="1">
          <a:spLocks noChangeArrowheads="1"/>
        </xdr:cNvSpPr>
      </xdr:nvSpPr>
      <xdr:spPr bwMode="auto">
        <a:xfrm>
          <a:off x="3448050" y="17459325"/>
          <a:ext cx="3305175" cy="495300"/>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1" i="0" u="none" strike="noStrike" baseline="0">
              <a:solidFill>
                <a:srgbClr val="000000"/>
              </a:solidFill>
              <a:latin typeface="Arial"/>
              <a:cs typeface="Arial"/>
            </a:rPr>
            <a:t>By time of entry (weekdays)</a:t>
          </a:r>
        </a:p>
      </xdr:txBody>
    </xdr:sp>
    <xdr:clientData/>
  </xdr:twoCellAnchor>
  <xdr:twoCellAnchor>
    <xdr:from>
      <xdr:col>2</xdr:col>
      <xdr:colOff>190500</xdr:colOff>
      <xdr:row>139</xdr:row>
      <xdr:rowOff>114300</xdr:rowOff>
    </xdr:from>
    <xdr:to>
      <xdr:col>7</xdr:col>
      <xdr:colOff>895350</xdr:colOff>
      <xdr:row>162</xdr:row>
      <xdr:rowOff>133350</xdr:rowOff>
    </xdr:to>
    <xdr:graphicFrame macro="">
      <xdr:nvGraphicFramePr>
        <xdr:cNvPr id="527153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247650</xdr:colOff>
      <xdr:row>142</xdr:row>
      <xdr:rowOff>133350</xdr:rowOff>
    </xdr:from>
    <xdr:to>
      <xdr:col>7</xdr:col>
      <xdr:colOff>200025</xdr:colOff>
      <xdr:row>145</xdr:row>
      <xdr:rowOff>47625</xdr:rowOff>
    </xdr:to>
    <xdr:sp macro="" textlink="">
      <xdr:nvSpPr>
        <xdr:cNvPr id="52715311" name="Text Box 4"/>
        <xdr:cNvSpPr txBox="1">
          <a:spLocks noChangeArrowheads="1"/>
        </xdr:cNvSpPr>
      </xdr:nvSpPr>
      <xdr:spPr bwMode="auto">
        <a:xfrm>
          <a:off x="3629025" y="21850350"/>
          <a:ext cx="3124200" cy="371475"/>
        </a:xfrm>
        <a:prstGeom prst="rect">
          <a:avLst/>
        </a:prstGeom>
        <a:noFill/>
        <a:ln w="9525">
          <a:noFill/>
          <a:miter lim="800000"/>
          <a:headEnd/>
          <a:tailEnd/>
        </a:ln>
      </xdr:spPr>
    </xdr:sp>
    <xdr:clientData/>
  </xdr:twoCellAnchor>
</xdr:wsDr>
</file>

<file path=xl/drawings/drawing35.xml><?xml version="1.0" encoding="utf-8"?>
<c:userShapes xmlns:c="http://schemas.openxmlformats.org/drawingml/2006/chart">
  <cdr:relSizeAnchor xmlns:cdr="http://schemas.openxmlformats.org/drawingml/2006/chartDrawing">
    <cdr:from>
      <cdr:x>0.0148</cdr:x>
      <cdr:y>0.09022</cdr:y>
    </cdr:from>
    <cdr:to>
      <cdr:x>0.01897</cdr:x>
      <cdr:y>0.1325</cdr:y>
    </cdr:to>
    <cdr:sp macro="" textlink="">
      <cdr:nvSpPr>
        <cdr:cNvPr id="262145" name="Text Box 1"/>
        <cdr:cNvSpPr txBox="1">
          <a:spLocks xmlns:a="http://schemas.openxmlformats.org/drawingml/2006/main" noChangeArrowheads="1"/>
        </cdr:cNvSpPr>
      </cdr:nvSpPr>
      <cdr:spPr bwMode="auto">
        <a:xfrm xmlns:a="http://schemas.openxmlformats.org/drawingml/2006/main">
          <a:off x="156113" y="433865"/>
          <a:ext cx="75610" cy="2001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0.85535</cdr:x>
      <cdr:y>0.97262</cdr:y>
    </cdr:from>
    <cdr:to>
      <cdr:x>0.98947</cdr:x>
      <cdr:y>0.98625</cdr:y>
    </cdr:to>
    <cdr:sp macro="" textlink="">
      <cdr:nvSpPr>
        <cdr:cNvPr id="768002" name="Text Box 2"/>
        <cdr:cNvSpPr txBox="1">
          <a:spLocks xmlns:a="http://schemas.openxmlformats.org/drawingml/2006/main" noChangeArrowheads="1"/>
        </cdr:cNvSpPr>
      </cdr:nvSpPr>
      <cdr:spPr bwMode="auto">
        <a:xfrm xmlns:a="http://schemas.openxmlformats.org/drawingml/2006/main">
          <a:off x="5207747" y="3430080"/>
          <a:ext cx="817802" cy="497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6.xml><?xml version="1.0" encoding="utf-8"?>
<c:userShapes xmlns:c="http://schemas.openxmlformats.org/drawingml/2006/chart">
  <cdr:relSizeAnchor xmlns:cdr="http://schemas.openxmlformats.org/drawingml/2006/chartDrawing">
    <cdr:from>
      <cdr:x>0.06172</cdr:x>
      <cdr:y>0.1213</cdr:y>
    </cdr:from>
    <cdr:to>
      <cdr:x>0.07303</cdr:x>
      <cdr:y>0.29444</cdr:y>
    </cdr:to>
    <cdr:sp macro="" textlink="">
      <cdr:nvSpPr>
        <cdr:cNvPr id="263169" name="Text Box 1"/>
        <cdr:cNvSpPr txBox="1">
          <a:spLocks xmlns:a="http://schemas.openxmlformats.org/drawingml/2006/main" noChangeArrowheads="1"/>
        </cdr:cNvSpPr>
      </cdr:nvSpPr>
      <cdr:spPr bwMode="auto">
        <a:xfrm xmlns:a="http://schemas.openxmlformats.org/drawingml/2006/main">
          <a:off x="423447" y="455917"/>
          <a:ext cx="75609" cy="20010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7.xml><?xml version="1.0" encoding="utf-8"?>
<xdr:wsDr xmlns:xdr="http://schemas.openxmlformats.org/drawingml/2006/spreadsheetDrawing" xmlns:a="http://schemas.openxmlformats.org/drawingml/2006/main">
  <xdr:twoCellAnchor>
    <xdr:from>
      <xdr:col>4</xdr:col>
      <xdr:colOff>57150</xdr:colOff>
      <xdr:row>147</xdr:row>
      <xdr:rowOff>47625</xdr:rowOff>
    </xdr:from>
    <xdr:to>
      <xdr:col>13</xdr:col>
      <xdr:colOff>85725</xdr:colOff>
      <xdr:row>174</xdr:row>
      <xdr:rowOff>47625</xdr:rowOff>
    </xdr:to>
    <xdr:graphicFrame macro="">
      <xdr:nvGraphicFramePr>
        <xdr:cNvPr id="52729238"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323850</xdr:colOff>
      <xdr:row>156</xdr:row>
      <xdr:rowOff>57150</xdr:rowOff>
    </xdr:from>
    <xdr:to>
      <xdr:col>12</xdr:col>
      <xdr:colOff>438150</xdr:colOff>
      <xdr:row>161</xdr:row>
      <xdr:rowOff>76200</xdr:rowOff>
    </xdr:to>
    <xdr:sp macro="" textlink="">
      <xdr:nvSpPr>
        <xdr:cNvPr id="91150" name="Text Box 14"/>
        <xdr:cNvSpPr txBox="1">
          <a:spLocks noChangeArrowheads="1"/>
        </xdr:cNvSpPr>
      </xdr:nvSpPr>
      <xdr:spPr bwMode="auto">
        <a:xfrm>
          <a:off x="4924425" y="14268450"/>
          <a:ext cx="2295525" cy="7810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Baseline A.M. and P.M. peak values are approximately 220 thousand. 'Graveyard' shift value is roughly 70 thousand.</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209550</xdr:colOff>
      <xdr:row>45</xdr:row>
      <xdr:rowOff>57150</xdr:rowOff>
    </xdr:from>
    <xdr:to>
      <xdr:col>17</xdr:col>
      <xdr:colOff>19050</xdr:colOff>
      <xdr:row>48</xdr:row>
      <xdr:rowOff>81915</xdr:rowOff>
    </xdr:to>
    <xdr:sp macro="" textlink="">
      <xdr:nvSpPr>
        <xdr:cNvPr id="26625" name="Text Box 1"/>
        <xdr:cNvSpPr txBox="1">
          <a:spLocks noChangeArrowheads="1"/>
        </xdr:cNvSpPr>
      </xdr:nvSpPr>
      <xdr:spPr bwMode="auto">
        <a:xfrm>
          <a:off x="8896350" y="7277100"/>
          <a:ext cx="1343025" cy="533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35</xdr:col>
      <xdr:colOff>190500</xdr:colOff>
      <xdr:row>60</xdr:row>
      <xdr:rowOff>133350</xdr:rowOff>
    </xdr:from>
    <xdr:to>
      <xdr:col>35</xdr:col>
      <xdr:colOff>238125</xdr:colOff>
      <xdr:row>61</xdr:row>
      <xdr:rowOff>135255</xdr:rowOff>
    </xdr:to>
    <xdr:sp macro="" textlink="">
      <xdr:nvSpPr>
        <xdr:cNvPr id="26630" name="Text Box 6"/>
        <xdr:cNvSpPr txBox="1">
          <a:spLocks noChangeArrowheads="1"/>
        </xdr:cNvSpPr>
      </xdr:nvSpPr>
      <xdr:spPr bwMode="auto">
        <a:xfrm>
          <a:off x="21669375" y="9782175"/>
          <a:ext cx="47625" cy="171450"/>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900" b="1" i="0" u="none" strike="noStrike" baseline="0">
            <a:solidFill>
              <a:srgbClr val="000000"/>
            </a:solidFill>
            <a:latin typeface="Arial"/>
            <a:cs typeface="Arial"/>
          </a:endParaRPr>
        </a:p>
        <a:p>
          <a:pPr algn="l" rtl="0">
            <a:defRPr sz="1000"/>
          </a:pPr>
          <a:endParaRPr lang="en-US" sz="900" b="1" i="0" u="none" strike="noStrike" baseline="0">
            <a:solidFill>
              <a:srgbClr val="000000"/>
            </a:solidFill>
            <a:latin typeface="Arial"/>
            <a:cs typeface="Arial"/>
          </a:endParaRPr>
        </a:p>
      </xdr:txBody>
    </xdr:sp>
    <xdr:clientData/>
  </xdr:twoCellAnchor>
  <xdr:twoCellAnchor>
    <xdr:from>
      <xdr:col>30</xdr:col>
      <xdr:colOff>104775</xdr:colOff>
      <xdr:row>20</xdr:row>
      <xdr:rowOff>66675</xdr:rowOff>
    </xdr:from>
    <xdr:to>
      <xdr:col>39</xdr:col>
      <xdr:colOff>523875</xdr:colOff>
      <xdr:row>42</xdr:row>
      <xdr:rowOff>114300</xdr:rowOff>
    </xdr:to>
    <xdr:graphicFrame macro="">
      <xdr:nvGraphicFramePr>
        <xdr:cNvPr id="6277671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95250</xdr:colOff>
      <xdr:row>32</xdr:row>
      <xdr:rowOff>142875</xdr:rowOff>
    </xdr:from>
    <xdr:to>
      <xdr:col>25</xdr:col>
      <xdr:colOff>0</xdr:colOff>
      <xdr:row>52</xdr:row>
      <xdr:rowOff>85725</xdr:rowOff>
    </xdr:to>
    <xdr:graphicFrame macro="">
      <xdr:nvGraphicFramePr>
        <xdr:cNvPr id="6277672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114300</xdr:colOff>
      <xdr:row>45</xdr:row>
      <xdr:rowOff>142875</xdr:rowOff>
    </xdr:from>
    <xdr:to>
      <xdr:col>39</xdr:col>
      <xdr:colOff>581025</xdr:colOff>
      <xdr:row>63</xdr:row>
      <xdr:rowOff>9525</xdr:rowOff>
    </xdr:to>
    <xdr:graphicFrame macro="">
      <xdr:nvGraphicFramePr>
        <xdr:cNvPr id="6277672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104775</xdr:colOff>
      <xdr:row>58</xdr:row>
      <xdr:rowOff>114300</xdr:rowOff>
    </xdr:from>
    <xdr:to>
      <xdr:col>25</xdr:col>
      <xdr:colOff>9525</xdr:colOff>
      <xdr:row>83</xdr:row>
      <xdr:rowOff>47625</xdr:rowOff>
    </xdr:to>
    <xdr:graphicFrame macro="">
      <xdr:nvGraphicFramePr>
        <xdr:cNvPr id="6277672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314325</xdr:colOff>
      <xdr:row>106</xdr:row>
      <xdr:rowOff>133350</xdr:rowOff>
    </xdr:from>
    <xdr:to>
      <xdr:col>28</xdr:col>
      <xdr:colOff>266700</xdr:colOff>
      <xdr:row>128</xdr:row>
      <xdr:rowOff>57150</xdr:rowOff>
    </xdr:to>
    <xdr:graphicFrame macro="">
      <xdr:nvGraphicFramePr>
        <xdr:cNvPr id="62776723" name="Chart 5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57150</xdr:colOff>
      <xdr:row>184</xdr:row>
      <xdr:rowOff>19050</xdr:rowOff>
    </xdr:from>
    <xdr:to>
      <xdr:col>9</xdr:col>
      <xdr:colOff>981075</xdr:colOff>
      <xdr:row>212</xdr:row>
      <xdr:rowOff>19050</xdr:rowOff>
    </xdr:to>
    <xdr:graphicFrame macro="">
      <xdr:nvGraphicFramePr>
        <xdr:cNvPr id="527378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485775</xdr:colOff>
      <xdr:row>200</xdr:row>
      <xdr:rowOff>28575</xdr:rowOff>
    </xdr:from>
    <xdr:to>
      <xdr:col>8</xdr:col>
      <xdr:colOff>876300</xdr:colOff>
      <xdr:row>202</xdr:row>
      <xdr:rowOff>133350</xdr:rowOff>
    </xdr:to>
    <xdr:sp macro="" textlink="">
      <xdr:nvSpPr>
        <xdr:cNvPr id="234498" name="Text Box 2"/>
        <xdr:cNvSpPr txBox="1">
          <a:spLocks noChangeArrowheads="1"/>
        </xdr:cNvSpPr>
      </xdr:nvSpPr>
      <xdr:spPr bwMode="auto">
        <a:xfrm>
          <a:off x="2790825" y="30432375"/>
          <a:ext cx="3209925" cy="4476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Changes in elasticity are in percents, not percentage points.</a:t>
          </a:r>
        </a:p>
        <a:p>
          <a:pPr algn="l" rtl="0">
            <a:defRPr sz="1000"/>
          </a:pPr>
          <a:r>
            <a:rPr lang="en-US" sz="800" b="1" i="0" u="none" strike="noStrike" baseline="0">
              <a:solidFill>
                <a:srgbClr val="000000"/>
              </a:solidFill>
              <a:latin typeface="Arial"/>
              <a:cs typeface="Arial"/>
            </a:rPr>
            <a:t>For example, "10%" denotes a 1.10 multiple to the assumed</a:t>
          </a:r>
        </a:p>
        <a:p>
          <a:pPr algn="l" rtl="0">
            <a:defRPr sz="1000"/>
          </a:pPr>
          <a:r>
            <a:rPr lang="en-US" sz="800" b="1" i="0" u="none" strike="noStrike" baseline="0">
              <a:solidFill>
                <a:srgbClr val="000000"/>
              </a:solidFill>
              <a:latin typeface="Arial"/>
              <a:cs typeface="Arial"/>
            </a:rPr>
            <a:t>elasticity; similarly, "-20%" denotes a 0.80 multiple.</a:t>
          </a:r>
        </a:p>
      </xdr:txBody>
    </xdr:sp>
    <xdr:clientData/>
  </xdr:twoCellAnchor>
  <xdr:twoCellAnchor>
    <xdr:from>
      <xdr:col>0</xdr:col>
      <xdr:colOff>0</xdr:colOff>
      <xdr:row>296</xdr:row>
      <xdr:rowOff>19050</xdr:rowOff>
    </xdr:from>
    <xdr:to>
      <xdr:col>9</xdr:col>
      <xdr:colOff>885825</xdr:colOff>
      <xdr:row>321</xdr:row>
      <xdr:rowOff>47625</xdr:rowOff>
    </xdr:to>
    <xdr:graphicFrame macro="">
      <xdr:nvGraphicFramePr>
        <xdr:cNvPr id="5273783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571500</xdr:colOff>
      <xdr:row>301</xdr:row>
      <xdr:rowOff>114300</xdr:rowOff>
    </xdr:from>
    <xdr:to>
      <xdr:col>7</xdr:col>
      <xdr:colOff>142875</xdr:colOff>
      <xdr:row>305</xdr:row>
      <xdr:rowOff>133350</xdr:rowOff>
    </xdr:to>
    <xdr:sp macro="" textlink="">
      <xdr:nvSpPr>
        <xdr:cNvPr id="234501" name="Text Box 5"/>
        <xdr:cNvSpPr txBox="1">
          <a:spLocks noChangeArrowheads="1"/>
        </xdr:cNvSpPr>
      </xdr:nvSpPr>
      <xdr:spPr bwMode="auto">
        <a:xfrm>
          <a:off x="1466850" y="46215300"/>
          <a:ext cx="3209925" cy="7048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900" b="1" i="0" u="none" strike="noStrike" baseline="0">
              <a:solidFill>
                <a:srgbClr val="000000"/>
              </a:solidFill>
              <a:latin typeface="Arial"/>
              <a:cs typeface="Arial"/>
            </a:rPr>
            <a:t>Each curve corresponds to a particular price-elasticity. Their non-linearity captures the exponential character of elasticity functions, which in turn reflects the underlying Law of Diminishing Returns.</a:t>
          </a: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0.40962</cdr:x>
      <cdr:y>0.33212</cdr:y>
    </cdr:from>
    <cdr:to>
      <cdr:x>0.42192</cdr:x>
      <cdr:y>0.38669</cdr:y>
    </cdr:to>
    <cdr:sp macro="" textlink="">
      <cdr:nvSpPr>
        <cdr:cNvPr id="235521" name="Text Box 1"/>
        <cdr:cNvSpPr txBox="1">
          <a:spLocks xmlns:a="http://schemas.openxmlformats.org/drawingml/2006/main" noChangeArrowheads="1"/>
        </cdr:cNvSpPr>
      </cdr:nvSpPr>
      <cdr:spPr bwMode="auto">
        <a:xfrm xmlns:a="http://schemas.openxmlformats.org/drawingml/2006/main">
          <a:off x="2591708" y="1328210"/>
          <a:ext cx="75895" cy="2002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41.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47625</xdr:colOff>
      <xdr:row>134</xdr:row>
      <xdr:rowOff>47625</xdr:rowOff>
    </xdr:to>
    <xdr:pic>
      <xdr:nvPicPr>
        <xdr:cNvPr id="65265685" name="Picture 5" descr="icon_bullet"/>
        <xdr:cNvPicPr>
          <a:picLocks noChangeAspect="1" noChangeArrowheads="1"/>
        </xdr:cNvPicPr>
      </xdr:nvPicPr>
      <xdr:blipFill>
        <a:blip xmlns:r="http://schemas.openxmlformats.org/officeDocument/2006/relationships" r:embed="rId1" cstate="print"/>
        <a:srcRect/>
        <a:stretch>
          <a:fillRect/>
        </a:stretch>
      </xdr:blipFill>
      <xdr:spPr bwMode="auto">
        <a:xfrm>
          <a:off x="180975" y="14411325"/>
          <a:ext cx="47625" cy="47625"/>
        </a:xfrm>
        <a:prstGeom prst="rect">
          <a:avLst/>
        </a:prstGeom>
        <a:noFill/>
        <a:ln w="9525">
          <a:noFill/>
          <a:miter lim="800000"/>
          <a:headEnd/>
          <a:tailEnd/>
        </a:ln>
      </xdr:spPr>
    </xdr:pic>
    <xdr:clientData/>
  </xdr:twoCellAnchor>
  <xdr:twoCellAnchor editAs="oneCell">
    <xdr:from>
      <xdr:col>1</xdr:col>
      <xdr:colOff>0</xdr:colOff>
      <xdr:row>125</xdr:row>
      <xdr:rowOff>0</xdr:rowOff>
    </xdr:from>
    <xdr:to>
      <xdr:col>1</xdr:col>
      <xdr:colOff>47625</xdr:colOff>
      <xdr:row>125</xdr:row>
      <xdr:rowOff>47625</xdr:rowOff>
    </xdr:to>
    <xdr:pic>
      <xdr:nvPicPr>
        <xdr:cNvPr id="3" name="Picture 5" descr="icon_bullet"/>
        <xdr:cNvPicPr>
          <a:picLocks noChangeAspect="1" noChangeArrowheads="1"/>
        </xdr:cNvPicPr>
      </xdr:nvPicPr>
      <xdr:blipFill>
        <a:blip xmlns:r="http://schemas.openxmlformats.org/officeDocument/2006/relationships" r:embed="rId1" cstate="print"/>
        <a:srcRect/>
        <a:stretch>
          <a:fillRect/>
        </a:stretch>
      </xdr:blipFill>
      <xdr:spPr bwMode="auto">
        <a:xfrm>
          <a:off x="180975" y="17716500"/>
          <a:ext cx="47625" cy="476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8</xdr:col>
      <xdr:colOff>266700</xdr:colOff>
      <xdr:row>35</xdr:row>
      <xdr:rowOff>47625</xdr:rowOff>
    </xdr:from>
    <xdr:to>
      <xdr:col>18</xdr:col>
      <xdr:colOff>0</xdr:colOff>
      <xdr:row>55</xdr:row>
      <xdr:rowOff>9525</xdr:rowOff>
    </xdr:to>
    <xdr:graphicFrame macro="">
      <xdr:nvGraphicFramePr>
        <xdr:cNvPr id="527405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228600</xdr:colOff>
      <xdr:row>59</xdr:row>
      <xdr:rowOff>38100</xdr:rowOff>
    </xdr:from>
    <xdr:to>
      <xdr:col>18</xdr:col>
      <xdr:colOff>0</xdr:colOff>
      <xdr:row>79</xdr:row>
      <xdr:rowOff>66675</xdr:rowOff>
    </xdr:to>
    <xdr:graphicFrame macro="">
      <xdr:nvGraphicFramePr>
        <xdr:cNvPr id="5274050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xdr:col>
      <xdr:colOff>66675</xdr:colOff>
      <xdr:row>390</xdr:row>
      <xdr:rowOff>28575</xdr:rowOff>
    </xdr:from>
    <xdr:to>
      <xdr:col>12</xdr:col>
      <xdr:colOff>790575</xdr:colOff>
      <xdr:row>425</xdr:row>
      <xdr:rowOff>114300</xdr:rowOff>
    </xdr:to>
    <xdr:graphicFrame macro="">
      <xdr:nvGraphicFramePr>
        <xdr:cNvPr id="2937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0.1128</cdr:x>
      <cdr:y>0.33216</cdr:y>
    </cdr:from>
    <cdr:to>
      <cdr:x>0.20379</cdr:x>
      <cdr:y>0.50088</cdr:y>
    </cdr:to>
    <cdr:sp macro="" textlink="">
      <cdr:nvSpPr>
        <cdr:cNvPr id="2" name="TextBox 1"/>
        <cdr:cNvSpPr txBox="1"/>
      </cdr:nvSpPr>
      <cdr:spPr>
        <a:xfrm xmlns:a="http://schemas.openxmlformats.org/drawingml/2006/main">
          <a:off x="1133476" y="18002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For typical (9-ton, </a:t>
          </a:r>
        </a:p>
        <a:p xmlns:a="http://schemas.openxmlformats.org/drawingml/2006/main">
          <a:r>
            <a:rPr lang="en-US" sz="1100" b="1"/>
            <a:t>24-foot) truck, add </a:t>
          </a:r>
        </a:p>
        <a:p xmlns:a="http://schemas.openxmlformats.org/drawingml/2006/main">
          <a:r>
            <a:rPr lang="en-US" sz="1100" b="1"/>
            <a:t>50% to costs shown.</a:t>
          </a:r>
        </a:p>
        <a:p xmlns:a="http://schemas.openxmlformats.org/drawingml/2006/main">
          <a:endParaRPr lang="en-US" sz="1100"/>
        </a:p>
      </cdr:txBody>
    </cdr:sp>
  </cdr:relSizeAnchor>
</c:userShapes>
</file>

<file path=xl/drawings/drawing45.xml><?xml version="1.0" encoding="utf-8"?>
<xdr:wsDr xmlns:xdr="http://schemas.openxmlformats.org/drawingml/2006/spreadsheetDrawing" xmlns:a="http://schemas.openxmlformats.org/drawingml/2006/main">
  <xdr:twoCellAnchor>
    <xdr:from>
      <xdr:col>8</xdr:col>
      <xdr:colOff>819150</xdr:colOff>
      <xdr:row>104</xdr:row>
      <xdr:rowOff>0</xdr:rowOff>
    </xdr:from>
    <xdr:to>
      <xdr:col>12</xdr:col>
      <xdr:colOff>104775</xdr:colOff>
      <xdr:row>104</xdr:row>
      <xdr:rowOff>0</xdr:rowOff>
    </xdr:to>
    <xdr:graphicFrame macro="">
      <xdr:nvGraphicFramePr>
        <xdr:cNvPr id="627900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28575</xdr:colOff>
      <xdr:row>104</xdr:row>
      <xdr:rowOff>0</xdr:rowOff>
    </xdr:from>
    <xdr:to>
      <xdr:col>23</xdr:col>
      <xdr:colOff>819150</xdr:colOff>
      <xdr:row>104</xdr:row>
      <xdr:rowOff>0</xdr:rowOff>
    </xdr:to>
    <xdr:graphicFrame macro="">
      <xdr:nvGraphicFramePr>
        <xdr:cNvPr id="627900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57150</xdr:colOff>
      <xdr:row>104</xdr:row>
      <xdr:rowOff>0</xdr:rowOff>
    </xdr:from>
    <xdr:to>
      <xdr:col>23</xdr:col>
      <xdr:colOff>819150</xdr:colOff>
      <xdr:row>104</xdr:row>
      <xdr:rowOff>0</xdr:rowOff>
    </xdr:to>
    <xdr:graphicFrame macro="">
      <xdr:nvGraphicFramePr>
        <xdr:cNvPr id="627900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247650</xdr:colOff>
      <xdr:row>2</xdr:row>
      <xdr:rowOff>0</xdr:rowOff>
    </xdr:from>
    <xdr:to>
      <xdr:col>22</xdr:col>
      <xdr:colOff>495300</xdr:colOff>
      <xdr:row>2</xdr:row>
      <xdr:rowOff>0</xdr:rowOff>
    </xdr:to>
    <xdr:sp macro="" textlink="">
      <xdr:nvSpPr>
        <xdr:cNvPr id="281604" name="Rectangle 4"/>
        <xdr:cNvSpPr>
          <a:spLocks noChangeArrowheads="1"/>
        </xdr:cNvSpPr>
      </xdr:nvSpPr>
      <xdr:spPr bwMode="auto">
        <a:xfrm>
          <a:off x="12106275" y="323850"/>
          <a:ext cx="4486275" cy="0"/>
        </a:xfrm>
        <a:prstGeom prst="rect">
          <a:avLst/>
        </a:prstGeom>
        <a:noFill/>
        <a:ln w="9525">
          <a:noFill/>
          <a:miter lim="800000"/>
          <a:headEnd/>
          <a:tailEnd/>
        </a:ln>
      </xdr:spPr>
      <xdr:txBody>
        <a:bodyPr vertOverflow="clip" wrap="square" lIns="45975" tIns="22988" rIns="45975" bIns="22988" anchor="t" upright="1"/>
        <a:lstStyle/>
        <a:p>
          <a:pPr algn="ctr" rtl="0">
            <a:defRPr sz="1000"/>
          </a:pPr>
          <a:endParaRPr lang="en-US" sz="1700" b="0" i="0" u="none" strike="noStrike" baseline="0">
            <a:solidFill>
              <a:srgbClr val="000000"/>
            </a:solidFill>
            <a:latin typeface="Arial"/>
            <a:cs typeface="Arial"/>
          </a:endParaRPr>
        </a:p>
        <a:p>
          <a:pPr algn="ctr" rtl="0">
            <a:defRPr sz="1000"/>
          </a:pPr>
          <a:endParaRPr lang="en-US" sz="1700" b="0" i="0" u="none" strike="noStrike" baseline="0">
            <a:solidFill>
              <a:srgbClr val="000000"/>
            </a:solidFill>
            <a:latin typeface="Arial"/>
            <a:cs typeface="Arial"/>
          </a:endParaRPr>
        </a:p>
      </xdr:txBody>
    </xdr:sp>
    <xdr:clientData/>
  </xdr:twoCellAnchor>
  <xdr:oneCellAnchor>
    <xdr:from>
      <xdr:col>32</xdr:col>
      <xdr:colOff>552450</xdr:colOff>
      <xdr:row>22</xdr:row>
      <xdr:rowOff>0</xdr:rowOff>
    </xdr:from>
    <xdr:ext cx="92913" cy="319894"/>
    <xdr:sp macro="" textlink="">
      <xdr:nvSpPr>
        <xdr:cNvPr id="281605" name="Text Box 5"/>
        <xdr:cNvSpPr txBox="1">
          <a:spLocks noChangeArrowheads="1"/>
        </xdr:cNvSpPr>
      </xdr:nvSpPr>
      <xdr:spPr bwMode="auto">
        <a:xfrm>
          <a:off x="24393525" y="3800475"/>
          <a:ext cx="92913" cy="282259"/>
        </a:xfrm>
        <a:prstGeom prst="rect">
          <a:avLst/>
        </a:prstGeom>
        <a:noFill/>
        <a:ln w="9525">
          <a:noFill/>
          <a:miter lim="800000"/>
          <a:headEnd/>
          <a:tailEnd/>
        </a:ln>
      </xdr:spPr>
      <xdr:txBody>
        <a:bodyPr wrap="none" lIns="45975" tIns="22988" rIns="45975" bIns="22988" anchor="t" upright="1">
          <a:spAutoFit/>
        </a:bodyPr>
        <a:lstStyle/>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oneCellAnchor>
  <xdr:twoCellAnchor>
    <xdr:from>
      <xdr:col>8</xdr:col>
      <xdr:colOff>76200</xdr:colOff>
      <xdr:row>174</xdr:row>
      <xdr:rowOff>57150</xdr:rowOff>
    </xdr:from>
    <xdr:to>
      <xdr:col>13</xdr:col>
      <xdr:colOff>619125</xdr:colOff>
      <xdr:row>190</xdr:row>
      <xdr:rowOff>114300</xdr:rowOff>
    </xdr:to>
    <xdr:graphicFrame macro="">
      <xdr:nvGraphicFramePr>
        <xdr:cNvPr id="62790034"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47625</xdr:colOff>
      <xdr:row>196</xdr:row>
      <xdr:rowOff>123825</xdr:rowOff>
    </xdr:from>
    <xdr:to>
      <xdr:col>11</xdr:col>
      <xdr:colOff>238125</xdr:colOff>
      <xdr:row>198</xdr:row>
      <xdr:rowOff>114300</xdr:rowOff>
    </xdr:to>
    <xdr:sp macro="[0]!GetRatios" textlink="">
      <xdr:nvSpPr>
        <xdr:cNvPr id="8" name="Rounded Rectangle 7"/>
        <xdr:cNvSpPr/>
      </xdr:nvSpPr>
      <xdr:spPr>
        <a:xfrm>
          <a:off x="7086600" y="29451300"/>
          <a:ext cx="962025" cy="2952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Run</a:t>
          </a:r>
          <a:r>
            <a:rPr lang="en-US" sz="1100" baseline="0"/>
            <a:t> Script!</a:t>
          </a:r>
          <a:endParaRPr lang="en-US" sz="1100"/>
        </a:p>
      </xdr:txBody>
    </xdr:sp>
    <xdr:clientData/>
  </xdr:twoCellAnchor>
</xdr:wsDr>
</file>

<file path=xl/drawings/drawing46.xml><?xml version="1.0" encoding="utf-8"?>
<c:userShapes xmlns:c="http://schemas.openxmlformats.org/drawingml/2006/chart">
  <cdr:relSizeAnchor xmlns:cdr="http://schemas.openxmlformats.org/drawingml/2006/chartDrawing">
    <cdr:from>
      <cdr:x>0.8643</cdr:x>
      <cdr:y>0.36187</cdr:y>
    </cdr:from>
    <cdr:to>
      <cdr:x>0.97014</cdr:x>
      <cdr:y>0.93071</cdr:y>
    </cdr:to>
    <cdr:sp macro="" textlink="">
      <cdr:nvSpPr>
        <cdr:cNvPr id="282625" name="Rectangle 1"/>
        <cdr:cNvSpPr>
          <a:spLocks xmlns:a="http://schemas.openxmlformats.org/drawingml/2006/main" noChangeArrowheads="1"/>
        </cdr:cNvSpPr>
      </cdr:nvSpPr>
      <cdr:spPr bwMode="auto">
        <a:xfrm xmlns:a="http://schemas.openxmlformats.org/drawingml/2006/main">
          <a:off x="5353641" y="268577"/>
          <a:ext cx="651253" cy="417207"/>
        </a:xfrm>
        <a:prstGeom xmlns:a="http://schemas.openxmlformats.org/drawingml/2006/main" prst="rect">
          <a:avLst/>
        </a:prstGeom>
        <a:solidFill xmlns:a="http://schemas.openxmlformats.org/drawingml/2006/main">
          <a:srgbClr val="FFFFFF">
            <a:alpha val="0"/>
          </a:srgbClr>
        </a:solidFill>
        <a:ln xmlns:a="http://schemas.openxmlformats.org/drawingml/2006/main" w="9525">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mta.info/bandt/traffic/btmain.htm" TargetMode="Externa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drawing" Target="../drawings/drawing10.xml"/><Relationship Id="rId4"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9.bin"/><Relationship Id="rId1" Type="http://schemas.openxmlformats.org/officeDocument/2006/relationships/hyperlink" Target="http://nyp.st/fgRXIE"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1.xml"/><Relationship Id="rId1" Type="http://schemas.openxmlformats.org/officeDocument/2006/relationships/printerSettings" Target="../printerSettings/printerSettings65.bin"/><Relationship Id="rId4" Type="http://schemas.openxmlformats.org/officeDocument/2006/relationships/ctrlProp" Target="../ctrlProps/ctrlProp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2.xml"/><Relationship Id="rId1" Type="http://schemas.openxmlformats.org/officeDocument/2006/relationships/printerSettings" Target="../printerSettings/printerSettings66.bin"/><Relationship Id="rId4" Type="http://schemas.openxmlformats.org/officeDocument/2006/relationships/ctrlProp" Target="../ctrlProps/ctrlProp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4" Type="http://schemas.openxmlformats.org/officeDocument/2006/relationships/drawing" Target="../drawings/drawing37.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4" Type="http://schemas.openxmlformats.org/officeDocument/2006/relationships/drawing" Target="../drawings/drawing38.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drawing" Target="../drawings/drawing41.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hyperlink" Target="http://mta.info/mta/budget/nov2007/part6.pdf,%20first%20text%20page%20(under%20%22Financial%20Overview%22)" TargetMode="Externa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printerSettings" Target="../printerSettings/printerSettings9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21.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s>
</file>

<file path=xl/worksheets/sheet1.xml><?xml version="1.0" encoding="utf-8"?>
<worksheet xmlns="http://schemas.openxmlformats.org/spreadsheetml/2006/main" xmlns:r="http://schemas.openxmlformats.org/officeDocument/2006/relationships">
  <sheetPr codeName="Sheet1">
    <pageSetUpPr autoPageBreaks="0"/>
  </sheetPr>
  <dimension ref="A1:AW107"/>
  <sheetViews>
    <sheetView tabSelected="1" showRuler="0" zoomScaleNormal="100" workbookViewId="0"/>
  </sheetViews>
  <sheetFormatPr defaultColWidth="10.375" defaultRowHeight="15" customHeight="1"/>
  <cols>
    <col min="1" max="1" width="3.375" style="92" customWidth="1"/>
    <col min="2" max="11" width="10.75" style="92" customWidth="1"/>
    <col min="12" max="12" width="2.625" style="92" customWidth="1"/>
    <col min="13" max="16" width="10.875" style="92" customWidth="1"/>
    <col min="17" max="16384" width="10.375" style="92"/>
  </cols>
  <sheetData>
    <row r="1" spans="2:16" ht="15" customHeight="1">
      <c r="K1" s="3453">
        <v>40914</v>
      </c>
    </row>
    <row r="3" spans="2:16" ht="15" customHeight="1">
      <c r="B3" s="794" t="s">
        <v>2262</v>
      </c>
    </row>
    <row r="4" spans="2:16" ht="15" customHeight="1">
      <c r="B4" s="794"/>
    </row>
    <row r="5" spans="2:16" ht="15" customHeight="1">
      <c r="B5" s="794"/>
    </row>
    <row r="6" spans="2:16" ht="25.2" customHeight="1">
      <c r="B6" s="3700" t="s">
        <v>2657</v>
      </c>
      <c r="C6" s="3701"/>
      <c r="D6" s="3701"/>
      <c r="E6" s="3701"/>
      <c r="F6" s="3701"/>
      <c r="G6" s="3701"/>
      <c r="H6" s="3701"/>
      <c r="I6" s="3701"/>
      <c r="J6" s="3701"/>
      <c r="K6" s="3701"/>
    </row>
    <row r="7" spans="2:16" ht="15" customHeight="1">
      <c r="B7" s="3711" t="s">
        <v>3939</v>
      </c>
      <c r="C7" s="3712"/>
      <c r="D7" s="3712"/>
      <c r="E7" s="3712"/>
      <c r="F7" s="3712"/>
      <c r="G7" s="3712"/>
      <c r="H7" s="3712"/>
      <c r="I7" s="3712"/>
      <c r="J7" s="3712"/>
      <c r="K7" s="3712"/>
    </row>
    <row r="9" spans="2:16" ht="18" customHeight="1">
      <c r="C9" s="3702" t="s">
        <v>49</v>
      </c>
      <c r="D9" s="3703"/>
      <c r="E9" s="3703"/>
      <c r="F9" s="3703"/>
      <c r="G9" s="3703"/>
      <c r="H9" s="3703"/>
      <c r="I9" s="3703"/>
      <c r="J9" s="3704"/>
      <c r="K9" s="1670"/>
      <c r="M9" s="3693" t="s">
        <v>4274</v>
      </c>
      <c r="N9" s="3678"/>
      <c r="O9" s="3678"/>
      <c r="P9" s="3679"/>
    </row>
    <row r="10" spans="2:16" ht="18" customHeight="1">
      <c r="C10" s="3705"/>
      <c r="D10" s="3706"/>
      <c r="E10" s="3706"/>
      <c r="F10" s="3706"/>
      <c r="G10" s="3706"/>
      <c r="H10" s="3706"/>
      <c r="I10" s="3706"/>
      <c r="J10" s="3707"/>
      <c r="M10" s="3680"/>
      <c r="N10" s="3681"/>
      <c r="O10" s="3681"/>
      <c r="P10" s="3682"/>
    </row>
    <row r="11" spans="2:16" ht="18" customHeight="1">
      <c r="C11" s="3708"/>
      <c r="D11" s="3709"/>
      <c r="E11" s="3709"/>
      <c r="F11" s="3709"/>
      <c r="G11" s="3709"/>
      <c r="H11" s="3709"/>
      <c r="I11" s="3709"/>
      <c r="J11" s="3710"/>
      <c r="M11" s="3680"/>
      <c r="N11" s="3681"/>
      <c r="O11" s="3681"/>
      <c r="P11" s="3682"/>
    </row>
    <row r="12" spans="2:16" ht="15" customHeight="1">
      <c r="B12" s="794"/>
      <c r="M12" s="3680"/>
      <c r="N12" s="3681"/>
      <c r="O12" s="3681"/>
      <c r="P12" s="3682"/>
    </row>
    <row r="13" spans="2:16" ht="20.100000000000001" customHeight="1">
      <c r="B13" s="3713" t="s">
        <v>5745</v>
      </c>
      <c r="C13" s="3714"/>
      <c r="D13" s="3714"/>
      <c r="E13" s="3714"/>
      <c r="F13" s="3714"/>
      <c r="G13" s="3714"/>
      <c r="H13" s="3714"/>
      <c r="I13" s="3714"/>
      <c r="J13" s="3714"/>
      <c r="K13" s="3715"/>
      <c r="M13" s="3680"/>
      <c r="N13" s="3681"/>
      <c r="O13" s="3681"/>
      <c r="P13" s="3682"/>
    </row>
    <row r="14" spans="2:16" ht="20.100000000000001" customHeight="1">
      <c r="B14" s="794"/>
      <c r="M14" s="3680"/>
      <c r="N14" s="3681"/>
      <c r="O14" s="3681"/>
      <c r="P14" s="3682"/>
    </row>
    <row r="15" spans="2:16" ht="20.100000000000001" customHeight="1">
      <c r="B15" s="3716" t="s">
        <v>3445</v>
      </c>
      <c r="C15" s="3717"/>
      <c r="D15" s="3717"/>
      <c r="E15" s="3717"/>
      <c r="F15" s="3717"/>
      <c r="G15" s="3717"/>
      <c r="H15" s="3717"/>
      <c r="I15" s="3717"/>
      <c r="J15" s="3717"/>
      <c r="K15" s="3718"/>
      <c r="M15" s="3683"/>
      <c r="N15" s="3684"/>
      <c r="O15" s="3684"/>
      <c r="P15" s="3685"/>
    </row>
    <row r="16" spans="2:16" ht="20.100000000000001" customHeight="1">
      <c r="B16" s="3719"/>
      <c r="C16" s="3720"/>
      <c r="D16" s="3720"/>
      <c r="E16" s="3720"/>
      <c r="F16" s="3720"/>
      <c r="G16" s="3720"/>
      <c r="H16" s="3720"/>
      <c r="I16" s="3720"/>
      <c r="J16" s="3720"/>
      <c r="K16" s="3721"/>
    </row>
    <row r="17" spans="1:16" ht="15" customHeight="1">
      <c r="B17" s="1805">
        <v>1</v>
      </c>
      <c r="C17" s="3268" t="s">
        <v>3440</v>
      </c>
      <c r="D17" s="3269"/>
      <c r="E17" s="1808"/>
      <c r="F17" s="1808"/>
      <c r="G17" s="1808"/>
      <c r="H17" s="1808"/>
      <c r="I17" s="1808"/>
      <c r="J17" s="1808"/>
      <c r="K17" s="1809"/>
    </row>
    <row r="18" spans="1:16" ht="15" customHeight="1">
      <c r="B18" s="1805">
        <v>2</v>
      </c>
      <c r="C18" s="2097" t="s">
        <v>4875</v>
      </c>
      <c r="D18" s="3269"/>
      <c r="E18" s="1808"/>
      <c r="F18" s="1808"/>
      <c r="G18" s="1808"/>
      <c r="H18" s="1808"/>
      <c r="I18" s="1808"/>
      <c r="J18" s="1808"/>
      <c r="K18" s="1809"/>
    </row>
    <row r="19" spans="1:16" ht="15" customHeight="1">
      <c r="B19" s="1805">
        <v>3</v>
      </c>
      <c r="C19" s="3268" t="s">
        <v>5738</v>
      </c>
      <c r="D19" s="3270"/>
      <c r="E19" s="2094"/>
      <c r="F19" s="2094"/>
      <c r="G19" s="1808"/>
      <c r="H19" s="1808"/>
      <c r="I19" s="1808"/>
      <c r="J19" s="1808"/>
      <c r="K19" s="1809"/>
      <c r="M19" s="3661" t="s">
        <v>5925</v>
      </c>
      <c r="N19" s="3662"/>
      <c r="O19" s="3662"/>
      <c r="P19" s="3663"/>
    </row>
    <row r="20" spans="1:16" ht="15" customHeight="1">
      <c r="B20" s="1805">
        <v>4</v>
      </c>
      <c r="C20" s="3268" t="s">
        <v>3437</v>
      </c>
      <c r="D20" s="3270"/>
      <c r="E20" s="2094"/>
      <c r="F20" s="2094"/>
      <c r="G20" s="1808"/>
      <c r="H20" s="1808"/>
      <c r="I20" s="1808"/>
      <c r="J20" s="1808"/>
      <c r="K20" s="1809"/>
      <c r="M20" s="3664"/>
      <c r="N20" s="3665"/>
      <c r="O20" s="3665"/>
      <c r="P20" s="3666"/>
    </row>
    <row r="21" spans="1:16" ht="15" customHeight="1">
      <c r="B21" s="1805">
        <v>5</v>
      </c>
      <c r="C21" s="2097" t="s">
        <v>3438</v>
      </c>
      <c r="D21" s="3271"/>
      <c r="E21" s="2095"/>
      <c r="F21" s="2095"/>
      <c r="G21" s="1808"/>
      <c r="H21" s="1808"/>
      <c r="I21" s="1808"/>
      <c r="J21" s="1808"/>
      <c r="K21" s="1809"/>
      <c r="M21" s="3664"/>
      <c r="N21" s="3665"/>
      <c r="O21" s="3665"/>
      <c r="P21" s="3666"/>
    </row>
    <row r="22" spans="1:16" ht="15" customHeight="1">
      <c r="B22" s="1805">
        <v>6</v>
      </c>
      <c r="C22" s="2097" t="s">
        <v>3439</v>
      </c>
      <c r="D22" s="3271"/>
      <c r="E22" s="2095"/>
      <c r="F22" s="2095"/>
      <c r="G22" s="3697" t="s">
        <v>5739</v>
      </c>
      <c r="H22" s="3678"/>
      <c r="I22" s="3678"/>
      <c r="J22" s="3678"/>
      <c r="K22" s="3679"/>
      <c r="M22" s="3664"/>
      <c r="N22" s="3665"/>
      <c r="O22" s="3665"/>
      <c r="P22" s="3666"/>
    </row>
    <row r="23" spans="1:16" ht="15" customHeight="1">
      <c r="B23" s="1805">
        <v>7</v>
      </c>
      <c r="C23" s="2098" t="s">
        <v>3441</v>
      </c>
      <c r="D23" s="3269"/>
      <c r="E23" s="1808"/>
      <c r="F23" s="1808"/>
      <c r="G23" s="3680"/>
      <c r="H23" s="3681"/>
      <c r="I23" s="3681"/>
      <c r="J23" s="3681"/>
      <c r="K23" s="3682"/>
      <c r="M23" s="3664"/>
      <c r="N23" s="3665"/>
      <c r="O23" s="3665"/>
      <c r="P23" s="3666"/>
    </row>
    <row r="24" spans="1:16" ht="15" customHeight="1">
      <c r="B24" s="1806"/>
      <c r="C24" s="2096"/>
      <c r="D24" s="1808"/>
      <c r="E24" s="1808"/>
      <c r="F24" s="1808"/>
      <c r="G24" s="3680"/>
      <c r="H24" s="3681"/>
      <c r="I24" s="3681"/>
      <c r="J24" s="3681"/>
      <c r="K24" s="3682"/>
      <c r="M24" s="3694"/>
      <c r="N24" s="3695"/>
      <c r="O24" s="3695"/>
      <c r="P24" s="3696"/>
    </row>
    <row r="25" spans="1:16" ht="15" customHeight="1">
      <c r="B25" s="2099" t="s">
        <v>5737</v>
      </c>
      <c r="C25" s="1808"/>
      <c r="D25" s="1808"/>
      <c r="E25" s="1808"/>
      <c r="F25" s="1808"/>
      <c r="G25" s="3680"/>
      <c r="H25" s="3681"/>
      <c r="I25" s="3681"/>
      <c r="J25" s="3681"/>
      <c r="K25" s="3682"/>
    </row>
    <row r="26" spans="1:16" ht="15" customHeight="1">
      <c r="A26"/>
      <c r="B26" s="1810"/>
      <c r="C26" s="1807"/>
      <c r="D26" s="1811"/>
      <c r="E26" s="1811"/>
      <c r="F26" s="1811"/>
      <c r="G26" s="3683"/>
      <c r="H26" s="3684"/>
      <c r="I26" s="3684"/>
      <c r="J26" s="3684"/>
      <c r="K26" s="3685"/>
    </row>
    <row r="28" spans="1:16" ht="15" customHeight="1">
      <c r="B28" s="3686" t="s">
        <v>3444</v>
      </c>
      <c r="C28" s="3698"/>
      <c r="D28" s="3698"/>
      <c r="E28" s="3698"/>
      <c r="F28" s="3698"/>
      <c r="G28" s="3698"/>
      <c r="H28" s="3698"/>
      <c r="I28" s="3698"/>
      <c r="J28" s="3698"/>
      <c r="K28" s="3699"/>
      <c r="M28" s="3686" t="s">
        <v>5965</v>
      </c>
      <c r="N28" s="3698"/>
      <c r="O28" s="3698"/>
      <c r="P28" s="3699"/>
    </row>
    <row r="29" spans="1:16" ht="15" customHeight="1">
      <c r="B29" s="3667"/>
      <c r="C29" s="3668"/>
      <c r="D29" s="3668"/>
      <c r="E29" s="3668"/>
      <c r="F29" s="3668"/>
      <c r="G29" s="3668"/>
      <c r="H29" s="3668"/>
      <c r="I29" s="3668"/>
      <c r="J29" s="3668"/>
      <c r="K29" s="3669"/>
      <c r="M29" s="3667"/>
      <c r="N29" s="3668"/>
      <c r="O29" s="3668"/>
      <c r="P29" s="3669"/>
    </row>
    <row r="30" spans="1:16" ht="15" customHeight="1">
      <c r="B30" s="3670"/>
      <c r="C30" s="3671"/>
      <c r="D30" s="3671"/>
      <c r="E30" s="3671"/>
      <c r="F30" s="3671"/>
      <c r="G30" s="3671"/>
      <c r="H30" s="3671"/>
      <c r="I30" s="3671"/>
      <c r="J30" s="3671"/>
      <c r="K30" s="3672"/>
      <c r="M30" s="3667"/>
      <c r="N30" s="3668"/>
      <c r="O30" s="3668"/>
      <c r="P30" s="3669"/>
    </row>
    <row r="31" spans="1:16" ht="15" customHeight="1">
      <c r="M31" s="3667"/>
      <c r="N31" s="3668"/>
      <c r="O31" s="3668"/>
      <c r="P31" s="3669"/>
    </row>
    <row r="32" spans="1:16" ht="15" customHeight="1">
      <c r="L32" s="1544"/>
      <c r="M32" s="3667"/>
      <c r="N32" s="3668"/>
      <c r="O32" s="3668"/>
      <c r="P32" s="3669"/>
    </row>
    <row r="33" spans="2:16" ht="15" customHeight="1">
      <c r="B33" s="795" t="s">
        <v>2803</v>
      </c>
      <c r="M33" s="3667"/>
      <c r="N33" s="3668"/>
      <c r="O33" s="3668"/>
      <c r="P33" s="3669"/>
    </row>
    <row r="34" spans="2:16" ht="15" customHeight="1">
      <c r="B34" s="3658" t="s">
        <v>2938</v>
      </c>
      <c r="C34" s="3659"/>
      <c r="D34" s="3659"/>
      <c r="E34" s="3659"/>
      <c r="F34" s="3659"/>
      <c r="G34" s="3659"/>
      <c r="H34" s="3659"/>
      <c r="I34" s="3659"/>
      <c r="J34" s="3659"/>
      <c r="K34" s="3659"/>
      <c r="M34" s="3667"/>
      <c r="N34" s="3668"/>
      <c r="O34" s="3668"/>
      <c r="P34" s="3669"/>
    </row>
    <row r="35" spans="2:16" ht="15" customHeight="1">
      <c r="B35" s="3659"/>
      <c r="C35" s="3659"/>
      <c r="D35" s="3659"/>
      <c r="E35" s="3659"/>
      <c r="F35" s="3659"/>
      <c r="G35" s="3659"/>
      <c r="H35" s="3659"/>
      <c r="I35" s="3659"/>
      <c r="J35" s="3659"/>
      <c r="K35" s="3659"/>
      <c r="M35" s="3667"/>
      <c r="N35" s="3668"/>
      <c r="O35" s="3668"/>
      <c r="P35" s="3669"/>
    </row>
    <row r="36" spans="2:16" ht="15" customHeight="1">
      <c r="B36" s="3659"/>
      <c r="C36" s="3659"/>
      <c r="D36" s="3659"/>
      <c r="E36" s="3659"/>
      <c r="F36" s="3659"/>
      <c r="G36" s="3659"/>
      <c r="H36" s="3659"/>
      <c r="I36" s="3659"/>
      <c r="J36" s="3659"/>
      <c r="K36" s="3659"/>
      <c r="M36" s="3667"/>
      <c r="N36" s="3668"/>
      <c r="O36" s="3668"/>
      <c r="P36" s="3669"/>
    </row>
    <row r="37" spans="2:16" ht="15" customHeight="1">
      <c r="B37" s="3658" t="s">
        <v>3352</v>
      </c>
      <c r="C37" s="3659"/>
      <c r="D37" s="3659"/>
      <c r="E37" s="3659"/>
      <c r="F37" s="3659"/>
      <c r="G37" s="3659"/>
      <c r="H37" s="3659"/>
      <c r="I37" s="3659"/>
      <c r="J37" s="3659"/>
      <c r="K37" s="3659"/>
      <c r="M37" s="3667"/>
      <c r="N37" s="3668"/>
      <c r="O37" s="3668"/>
      <c r="P37" s="3669"/>
    </row>
    <row r="38" spans="2:16" ht="15" customHeight="1">
      <c r="B38" s="3659"/>
      <c r="C38" s="3659"/>
      <c r="D38" s="3659"/>
      <c r="E38" s="3659"/>
      <c r="F38" s="3659"/>
      <c r="G38" s="3659"/>
      <c r="H38" s="3659"/>
      <c r="I38" s="3659"/>
      <c r="J38" s="3659"/>
      <c r="K38" s="3659"/>
      <c r="M38" s="3667"/>
      <c r="N38" s="3668"/>
      <c r="O38" s="3668"/>
      <c r="P38" s="3669"/>
    </row>
    <row r="39" spans="2:16" ht="15" customHeight="1">
      <c r="M39" s="3667"/>
      <c r="N39" s="3668"/>
      <c r="O39" s="3668"/>
      <c r="P39" s="3669"/>
    </row>
    <row r="40" spans="2:16" ht="15" customHeight="1">
      <c r="B40" s="795" t="s">
        <v>3353</v>
      </c>
      <c r="M40" s="3667"/>
      <c r="N40" s="3668"/>
      <c r="O40" s="3668"/>
      <c r="P40" s="3669"/>
    </row>
    <row r="41" spans="2:16" ht="15" customHeight="1">
      <c r="M41" s="3667"/>
      <c r="N41" s="3668"/>
      <c r="O41" s="3668"/>
      <c r="P41" s="3669"/>
    </row>
    <row r="42" spans="2:16" ht="15" customHeight="1">
      <c r="B42" s="3658" t="s">
        <v>3442</v>
      </c>
      <c r="C42" s="3659"/>
      <c r="D42" s="3659"/>
      <c r="E42" s="3659"/>
      <c r="F42" s="3659"/>
      <c r="G42" s="3659"/>
      <c r="H42" s="3659"/>
      <c r="I42" s="3659"/>
      <c r="J42" s="3659"/>
      <c r="K42" s="3659"/>
      <c r="M42" s="3670"/>
      <c r="N42" s="3671"/>
      <c r="O42" s="3671"/>
      <c r="P42" s="3672"/>
    </row>
    <row r="43" spans="2:16" ht="15" customHeight="1">
      <c r="B43" s="3659"/>
      <c r="C43" s="3659"/>
      <c r="D43" s="3659"/>
      <c r="E43" s="3659"/>
      <c r="F43" s="3659"/>
      <c r="G43" s="3659"/>
      <c r="H43" s="3659"/>
      <c r="I43" s="3659"/>
      <c r="J43" s="3659"/>
      <c r="K43" s="3659"/>
    </row>
    <row r="44" spans="2:16" ht="15" customHeight="1">
      <c r="B44" s="3659"/>
      <c r="C44" s="3659"/>
      <c r="D44" s="3659"/>
      <c r="E44" s="3659"/>
      <c r="F44" s="3659"/>
      <c r="G44" s="3659"/>
      <c r="H44" s="3659"/>
      <c r="I44" s="3659"/>
      <c r="J44" s="3659"/>
      <c r="K44" s="3659"/>
    </row>
    <row r="45" spans="2:16" ht="15" customHeight="1">
      <c r="B45" s="3658"/>
      <c r="C45" s="3659"/>
      <c r="D45" s="3659"/>
      <c r="E45" s="3659"/>
      <c r="F45" s="3659"/>
      <c r="G45" s="3659"/>
      <c r="H45" s="3659"/>
      <c r="I45" s="3659"/>
      <c r="J45" s="3659"/>
      <c r="K45" s="3659"/>
    </row>
    <row r="46" spans="2:16" ht="15" customHeight="1">
      <c r="B46" s="795" t="s">
        <v>959</v>
      </c>
      <c r="M46" s="3661" t="s">
        <v>4668</v>
      </c>
      <c r="N46" s="3662"/>
      <c r="O46" s="3662"/>
      <c r="P46" s="3663"/>
    </row>
    <row r="47" spans="2:16" ht="15" customHeight="1">
      <c r="B47" s="3658" t="s">
        <v>2939</v>
      </c>
      <c r="C47" s="3659"/>
      <c r="D47" s="3659"/>
      <c r="E47" s="3659"/>
      <c r="F47" s="3659"/>
      <c r="G47" s="3659"/>
      <c r="H47" s="3659"/>
      <c r="I47" s="3659"/>
      <c r="J47" s="3659"/>
      <c r="K47" s="3659"/>
      <c r="M47" s="3664"/>
      <c r="N47" s="3665"/>
      <c r="O47" s="3665"/>
      <c r="P47" s="3666"/>
    </row>
    <row r="48" spans="2:16" ht="15" customHeight="1">
      <c r="B48" s="3659"/>
      <c r="C48" s="3659"/>
      <c r="D48" s="3659"/>
      <c r="E48" s="3659"/>
      <c r="F48" s="3659"/>
      <c r="G48" s="3659"/>
      <c r="H48" s="3659"/>
      <c r="I48" s="3659"/>
      <c r="J48" s="3659"/>
      <c r="K48" s="3659"/>
      <c r="M48" s="3664"/>
      <c r="N48" s="3665"/>
      <c r="O48" s="3665"/>
      <c r="P48" s="3666"/>
    </row>
    <row r="49" spans="2:16" ht="15" customHeight="1">
      <c r="B49" s="3659"/>
      <c r="C49" s="3659"/>
      <c r="D49" s="3659"/>
      <c r="E49" s="3659"/>
      <c r="F49" s="3659"/>
      <c r="G49" s="3659"/>
      <c r="H49" s="3659"/>
      <c r="I49" s="3659"/>
      <c r="J49" s="3659"/>
      <c r="K49" s="3659"/>
      <c r="M49" s="3664"/>
      <c r="N49" s="3665"/>
      <c r="O49" s="3665"/>
      <c r="P49" s="3666"/>
    </row>
    <row r="50" spans="2:16" ht="15" customHeight="1">
      <c r="B50" s="866" t="s">
        <v>2802</v>
      </c>
      <c r="C50" s="868"/>
      <c r="D50" s="868"/>
      <c r="E50" s="868"/>
      <c r="F50" s="868"/>
      <c r="G50" s="868"/>
      <c r="H50" s="868"/>
      <c r="I50" s="868"/>
      <c r="J50" s="868"/>
      <c r="K50" s="868"/>
      <c r="M50" s="3664"/>
      <c r="N50" s="3665"/>
      <c r="O50" s="3665"/>
      <c r="P50" s="3666"/>
    </row>
    <row r="51" spans="2:16" ht="15" customHeight="1">
      <c r="B51" s="867" t="s">
        <v>2032</v>
      </c>
      <c r="C51" s="867"/>
      <c r="D51" s="867"/>
      <c r="E51" s="867"/>
      <c r="F51" s="867"/>
      <c r="G51" s="867"/>
      <c r="H51" s="867"/>
      <c r="I51" s="867"/>
      <c r="J51" s="867"/>
      <c r="K51" s="867"/>
      <c r="M51" s="3664"/>
      <c r="N51" s="3665"/>
      <c r="O51" s="3665"/>
      <c r="P51" s="3666"/>
    </row>
    <row r="52" spans="2:16" ht="15" customHeight="1">
      <c r="B52" s="867" t="s">
        <v>1909</v>
      </c>
      <c r="C52" s="867"/>
      <c r="D52" s="867"/>
      <c r="E52" s="867"/>
      <c r="F52" s="867"/>
      <c r="G52" s="867"/>
      <c r="H52" s="867"/>
      <c r="I52" s="867"/>
      <c r="J52" s="867"/>
      <c r="K52" s="867"/>
      <c r="M52" s="3667"/>
      <c r="N52" s="3668"/>
      <c r="O52" s="3668"/>
      <c r="P52" s="3669"/>
    </row>
    <row r="53" spans="2:16" ht="15" customHeight="1">
      <c r="B53" s="867" t="s">
        <v>968</v>
      </c>
      <c r="M53" s="3673"/>
      <c r="N53" s="3674"/>
      <c r="O53" s="3674"/>
      <c r="P53" s="3675"/>
    </row>
    <row r="54" spans="2:16" ht="15" customHeight="1">
      <c r="B54" s="3676" t="s">
        <v>969</v>
      </c>
      <c r="C54" s="3676"/>
      <c r="D54" s="3676"/>
      <c r="E54" s="3676"/>
      <c r="F54" s="3676"/>
      <c r="G54" s="3676"/>
      <c r="H54" s="3676"/>
      <c r="I54" s="3676"/>
      <c r="J54" s="3676"/>
      <c r="K54" s="3676"/>
    </row>
    <row r="55" spans="2:16" ht="15" customHeight="1">
      <c r="B55" s="3676"/>
      <c r="C55" s="3676"/>
      <c r="D55" s="3676"/>
      <c r="E55" s="3676"/>
      <c r="F55" s="3676"/>
      <c r="G55" s="3676"/>
      <c r="H55" s="3676"/>
      <c r="I55" s="3676"/>
      <c r="J55" s="3676"/>
      <c r="K55" s="3676"/>
    </row>
    <row r="56" spans="2:16" ht="15" customHeight="1">
      <c r="B56" s="867" t="s">
        <v>3188</v>
      </c>
    </row>
    <row r="58" spans="2:16" ht="15" customHeight="1">
      <c r="B58" s="795" t="s">
        <v>2940</v>
      </c>
      <c r="M58" s="3661" t="s">
        <v>5692</v>
      </c>
      <c r="N58" s="3662"/>
      <c r="O58" s="3662"/>
      <c r="P58" s="3663"/>
    </row>
    <row r="59" spans="2:16" ht="15" customHeight="1">
      <c r="B59" s="3658" t="s">
        <v>3443</v>
      </c>
      <c r="C59" s="3687"/>
      <c r="D59" s="3687"/>
      <c r="E59" s="3687"/>
      <c r="F59" s="3687"/>
      <c r="G59" s="3687"/>
      <c r="H59" s="3687"/>
      <c r="I59" s="3687"/>
      <c r="J59" s="3687"/>
      <c r="K59" s="3687"/>
      <c r="M59" s="3664"/>
      <c r="N59" s="3665"/>
      <c r="O59" s="3665"/>
      <c r="P59" s="3666"/>
    </row>
    <row r="60" spans="2:16" ht="15" customHeight="1">
      <c r="B60" s="3687"/>
      <c r="C60" s="3687"/>
      <c r="D60" s="3687"/>
      <c r="E60" s="3687"/>
      <c r="F60" s="3687"/>
      <c r="G60" s="3687"/>
      <c r="H60" s="3687"/>
      <c r="I60" s="3687"/>
      <c r="J60" s="3687"/>
      <c r="K60" s="3687"/>
      <c r="M60" s="3664"/>
      <c r="N60" s="3665"/>
      <c r="O60" s="3665"/>
      <c r="P60" s="3666"/>
    </row>
    <row r="61" spans="2:16" ht="15" customHeight="1">
      <c r="B61" s="3687"/>
      <c r="C61" s="3687"/>
      <c r="D61" s="3687"/>
      <c r="E61" s="3687"/>
      <c r="F61" s="3687"/>
      <c r="G61" s="3687"/>
      <c r="H61" s="3687"/>
      <c r="I61" s="3687"/>
      <c r="J61" s="3687"/>
      <c r="K61" s="3687"/>
      <c r="M61" s="3664"/>
      <c r="N61" s="3665"/>
      <c r="O61" s="3665"/>
      <c r="P61" s="3666"/>
    </row>
    <row r="62" spans="2:16" ht="15" customHeight="1">
      <c r="B62" s="3687"/>
      <c r="C62" s="3687"/>
      <c r="D62" s="3687"/>
      <c r="E62" s="3687"/>
      <c r="F62" s="3687"/>
      <c r="G62" s="3687"/>
      <c r="H62" s="3687"/>
      <c r="I62" s="3687"/>
      <c r="J62" s="3687"/>
      <c r="K62" s="3687"/>
      <c r="M62" s="3664"/>
      <c r="N62" s="3665"/>
      <c r="O62" s="3665"/>
      <c r="P62" s="3666"/>
    </row>
    <row r="63" spans="2:16" ht="15" customHeight="1">
      <c r="B63" s="866" t="s">
        <v>1910</v>
      </c>
      <c r="M63" s="3664"/>
      <c r="N63" s="3665"/>
      <c r="O63" s="3665"/>
      <c r="P63" s="3666"/>
    </row>
    <row r="64" spans="2:16" ht="15" customHeight="1">
      <c r="M64" s="3667"/>
      <c r="N64" s="3668"/>
      <c r="O64" s="3668"/>
      <c r="P64" s="3669"/>
    </row>
    <row r="65" spans="2:49" ht="15" customHeight="1">
      <c r="B65" s="795" t="s">
        <v>960</v>
      </c>
      <c r="M65" s="3670"/>
      <c r="N65" s="3671"/>
      <c r="O65" s="3671"/>
      <c r="P65" s="3672"/>
      <c r="AO65" s="3658"/>
      <c r="AP65" s="3658"/>
      <c r="AQ65" s="3658"/>
      <c r="AR65" s="3658"/>
      <c r="AS65" s="3658"/>
      <c r="AT65" s="3658"/>
      <c r="AU65" s="3658"/>
      <c r="AV65" s="3658"/>
      <c r="AW65" s="3658"/>
    </row>
    <row r="66" spans="2:49" ht="15" customHeight="1">
      <c r="B66" s="3688" t="s">
        <v>2941</v>
      </c>
      <c r="C66" s="3689"/>
      <c r="D66" s="3689"/>
      <c r="E66" s="3689"/>
      <c r="F66" s="3689"/>
      <c r="G66" s="3689"/>
      <c r="H66" s="3689"/>
      <c r="I66" s="3689"/>
      <c r="J66" s="3689"/>
      <c r="K66" s="3689"/>
      <c r="AO66" s="3658"/>
      <c r="AP66" s="3658"/>
      <c r="AQ66" s="3658"/>
      <c r="AR66" s="3658"/>
      <c r="AS66" s="3658"/>
      <c r="AT66" s="3658"/>
      <c r="AU66" s="3658"/>
      <c r="AV66" s="3658"/>
      <c r="AW66" s="3658"/>
    </row>
    <row r="67" spans="2:49" ht="15" customHeight="1">
      <c r="B67" s="3689"/>
      <c r="C67" s="3689"/>
      <c r="D67" s="3689"/>
      <c r="E67" s="3689"/>
      <c r="F67" s="3689"/>
      <c r="G67" s="3689"/>
      <c r="H67" s="3689"/>
      <c r="I67" s="3689"/>
      <c r="J67" s="3689"/>
      <c r="K67" s="3689"/>
    </row>
    <row r="68" spans="2:49" ht="15" customHeight="1">
      <c r="B68" s="3689"/>
      <c r="C68" s="3689"/>
      <c r="D68" s="3689"/>
      <c r="E68" s="3689"/>
      <c r="F68" s="3689"/>
      <c r="G68" s="3689"/>
      <c r="H68" s="3689"/>
      <c r="I68" s="3689"/>
      <c r="J68" s="3689"/>
      <c r="K68" s="3689"/>
    </row>
    <row r="69" spans="2:49" ht="15" customHeight="1">
      <c r="M69" s="3686" t="s">
        <v>4669</v>
      </c>
      <c r="N69" s="3662"/>
      <c r="O69" s="3662"/>
      <c r="P69" s="3663"/>
    </row>
    <row r="70" spans="2:49" ht="15" customHeight="1">
      <c r="B70" s="797" t="s">
        <v>1920</v>
      </c>
      <c r="M70" s="3664"/>
      <c r="N70" s="3665"/>
      <c r="O70" s="3665"/>
      <c r="P70" s="3666"/>
    </row>
    <row r="71" spans="2:49" ht="15" customHeight="1">
      <c r="M71" s="3664"/>
      <c r="N71" s="3665"/>
      <c r="O71" s="3665"/>
      <c r="P71" s="3666"/>
    </row>
    <row r="72" spans="2:49" ht="15" customHeight="1">
      <c r="B72" s="798" t="s">
        <v>1217</v>
      </c>
      <c r="C72" s="866"/>
      <c r="D72" s="866"/>
      <c r="E72" s="866"/>
      <c r="F72" s="866"/>
      <c r="G72" s="866"/>
      <c r="H72" s="866"/>
      <c r="I72" s="866"/>
      <c r="J72" s="866"/>
      <c r="K72" s="866"/>
      <c r="M72" s="3664"/>
      <c r="N72" s="3665"/>
      <c r="O72" s="3665"/>
      <c r="P72" s="3666"/>
    </row>
    <row r="73" spans="2:49" ht="15" customHeight="1">
      <c r="M73" s="3664"/>
      <c r="N73" s="3665"/>
      <c r="O73" s="3665"/>
      <c r="P73" s="3666"/>
    </row>
    <row r="74" spans="2:49" ht="15" customHeight="1">
      <c r="B74" s="3690" t="s">
        <v>2942</v>
      </c>
      <c r="C74" s="3690"/>
      <c r="D74" s="3690"/>
      <c r="E74" s="3690"/>
      <c r="F74" s="3690"/>
      <c r="G74" s="3690"/>
      <c r="H74" s="3690"/>
      <c r="I74" s="3690"/>
      <c r="J74" s="3690"/>
      <c r="K74" s="3690"/>
      <c r="M74" s="3664"/>
      <c r="N74" s="3665"/>
      <c r="O74" s="3665"/>
      <c r="P74" s="3666"/>
    </row>
    <row r="75" spans="2:49" ht="15" customHeight="1">
      <c r="B75" s="3690"/>
      <c r="C75" s="3690"/>
      <c r="D75" s="3690"/>
      <c r="E75" s="3690"/>
      <c r="F75" s="3690"/>
      <c r="G75" s="3690"/>
      <c r="H75" s="3690"/>
      <c r="I75" s="3690"/>
      <c r="J75" s="3690"/>
      <c r="K75" s="3690"/>
      <c r="M75" s="3667"/>
      <c r="N75" s="3668"/>
      <c r="O75" s="3668"/>
      <c r="P75" s="3669"/>
    </row>
    <row r="76" spans="2:49" ht="15" customHeight="1">
      <c r="B76" s="3660" t="s">
        <v>3189</v>
      </c>
      <c r="C76" s="3660"/>
      <c r="D76" s="3660"/>
      <c r="E76" s="3660"/>
      <c r="F76" s="3660"/>
      <c r="G76" s="3660"/>
      <c r="H76" s="3660"/>
      <c r="I76" s="3660"/>
      <c r="J76" s="3660"/>
      <c r="K76" s="3660"/>
      <c r="M76" s="3667"/>
      <c r="N76" s="3668"/>
      <c r="O76" s="3668"/>
      <c r="P76" s="3669"/>
    </row>
    <row r="77" spans="2:49" ht="15" customHeight="1">
      <c r="B77" s="3660"/>
      <c r="C77" s="3660"/>
      <c r="D77" s="3660"/>
      <c r="E77" s="3660"/>
      <c r="F77" s="3660"/>
      <c r="G77" s="3660"/>
      <c r="H77" s="3660"/>
      <c r="I77" s="3660"/>
      <c r="J77" s="3660"/>
      <c r="K77" s="3660"/>
      <c r="M77" s="3667"/>
      <c r="N77" s="3668"/>
      <c r="O77" s="3668"/>
      <c r="P77" s="3669"/>
    </row>
    <row r="78" spans="2:49" ht="15" customHeight="1">
      <c r="B78" s="3272" t="s">
        <v>3190</v>
      </c>
      <c r="M78" s="3667"/>
      <c r="N78" s="3668"/>
      <c r="O78" s="3668"/>
      <c r="P78" s="3669"/>
    </row>
    <row r="79" spans="2:49" ht="15" customHeight="1">
      <c r="B79" s="3272" t="s">
        <v>2050</v>
      </c>
      <c r="M79" s="3667"/>
      <c r="N79" s="3668"/>
      <c r="O79" s="3668"/>
      <c r="P79" s="3669"/>
    </row>
    <row r="80" spans="2:49" ht="15" customHeight="1">
      <c r="B80" s="3660" t="s">
        <v>729</v>
      </c>
      <c r="C80" s="3660"/>
      <c r="D80" s="3660"/>
      <c r="E80" s="3660"/>
      <c r="F80" s="3660"/>
      <c r="G80" s="3660"/>
      <c r="H80" s="3660"/>
      <c r="I80" s="3660"/>
      <c r="J80" s="3660"/>
      <c r="K80" s="3660"/>
      <c r="M80" s="3667"/>
      <c r="N80" s="3668"/>
      <c r="O80" s="3668"/>
      <c r="P80" s="3669"/>
    </row>
    <row r="81" spans="2:16" ht="15" customHeight="1">
      <c r="B81" s="3660"/>
      <c r="C81" s="3660"/>
      <c r="D81" s="3660"/>
      <c r="E81" s="3660"/>
      <c r="F81" s="3660"/>
      <c r="G81" s="3660"/>
      <c r="H81" s="3660"/>
      <c r="I81" s="3660"/>
      <c r="J81" s="3660"/>
      <c r="K81" s="3660"/>
      <c r="M81" s="3667"/>
      <c r="N81" s="3668"/>
      <c r="O81" s="3668"/>
      <c r="P81" s="3669"/>
    </row>
    <row r="82" spans="2:16" ht="15" customHeight="1">
      <c r="B82" s="3660" t="s">
        <v>3191</v>
      </c>
      <c r="C82" s="3660"/>
      <c r="D82" s="3660"/>
      <c r="E82" s="3660"/>
      <c r="F82" s="3660"/>
      <c r="G82" s="3660"/>
      <c r="H82" s="3660"/>
      <c r="I82" s="3660"/>
      <c r="J82" s="3660"/>
      <c r="K82" s="3660"/>
      <c r="M82" s="3667"/>
      <c r="N82" s="3668"/>
      <c r="O82" s="3668"/>
      <c r="P82" s="3669"/>
    </row>
    <row r="83" spans="2:16" ht="15" customHeight="1">
      <c r="B83" s="3660"/>
      <c r="C83" s="3660"/>
      <c r="D83" s="3660"/>
      <c r="E83" s="3660"/>
      <c r="F83" s="3660"/>
      <c r="G83" s="3660"/>
      <c r="H83" s="3660"/>
      <c r="I83" s="3660"/>
      <c r="J83" s="3660"/>
      <c r="K83" s="3660"/>
      <c r="M83" s="3670"/>
      <c r="N83" s="3671"/>
      <c r="O83" s="3671"/>
      <c r="P83" s="3672"/>
    </row>
    <row r="84" spans="2:16" ht="15" customHeight="1">
      <c r="B84" s="3272" t="s">
        <v>3192</v>
      </c>
    </row>
    <row r="85" spans="2:16" ht="15" customHeight="1">
      <c r="B85" s="3272" t="s">
        <v>3193</v>
      </c>
      <c r="C85" s="1583"/>
      <c r="D85" s="1583"/>
      <c r="E85" s="1583"/>
      <c r="F85" s="1583"/>
      <c r="G85" s="1583"/>
      <c r="H85" s="1583"/>
      <c r="I85" s="1583"/>
      <c r="J85" s="1583"/>
      <c r="K85" s="1583"/>
    </row>
    <row r="86" spans="2:16" ht="15" customHeight="1">
      <c r="B86" s="3272" t="s">
        <v>1765</v>
      </c>
      <c r="C86" s="1583"/>
      <c r="D86" s="1583"/>
      <c r="E86" s="1583"/>
      <c r="F86" s="1583"/>
      <c r="G86" s="1583"/>
      <c r="H86" s="1583"/>
      <c r="I86" s="1583"/>
      <c r="J86" s="1583"/>
      <c r="K86" s="1583"/>
    </row>
    <row r="87" spans="2:16" ht="15" customHeight="1">
      <c r="B87" s="3272" t="s">
        <v>365</v>
      </c>
      <c r="C87" s="1583"/>
      <c r="D87" s="1583"/>
      <c r="E87" s="1583"/>
      <c r="F87" s="1583"/>
      <c r="G87" s="1583"/>
      <c r="H87" s="1583"/>
      <c r="I87" s="1583"/>
      <c r="J87" s="1583"/>
      <c r="K87" s="1583"/>
      <c r="M87" s="3686" t="s">
        <v>4670</v>
      </c>
      <c r="N87" s="3678"/>
      <c r="O87" s="3678"/>
      <c r="P87" s="3679"/>
    </row>
    <row r="88" spans="2:16" ht="15" customHeight="1">
      <c r="B88" s="3660" t="s">
        <v>2943</v>
      </c>
      <c r="C88" s="3660"/>
      <c r="D88" s="3660"/>
      <c r="E88" s="3660"/>
      <c r="F88" s="3660"/>
      <c r="G88" s="3660"/>
      <c r="H88" s="3660"/>
      <c r="I88" s="3660"/>
      <c r="J88" s="3660"/>
      <c r="K88" s="3660"/>
      <c r="M88" s="3680"/>
      <c r="N88" s="3681"/>
      <c r="O88" s="3681"/>
      <c r="P88" s="3682"/>
    </row>
    <row r="89" spans="2:16" ht="15" customHeight="1">
      <c r="B89" s="3660"/>
      <c r="C89" s="3660"/>
      <c r="D89" s="3660"/>
      <c r="E89" s="3660"/>
      <c r="F89" s="3660"/>
      <c r="G89" s="3660"/>
      <c r="H89" s="3660"/>
      <c r="I89" s="3660"/>
      <c r="J89" s="3660"/>
      <c r="K89" s="3660"/>
      <c r="M89" s="3680"/>
      <c r="N89" s="3681"/>
      <c r="O89" s="3681"/>
      <c r="P89" s="3682"/>
    </row>
    <row r="90" spans="2:16" ht="15" customHeight="1">
      <c r="B90" s="3272" t="s">
        <v>5740</v>
      </c>
      <c r="M90" s="3680"/>
      <c r="N90" s="3681"/>
      <c r="O90" s="3681"/>
      <c r="P90" s="3682"/>
    </row>
    <row r="91" spans="2:16" ht="15" customHeight="1">
      <c r="B91" s="3691" t="s">
        <v>5741</v>
      </c>
      <c r="C91" s="3660"/>
      <c r="D91" s="3660"/>
      <c r="E91" s="3660"/>
      <c r="F91" s="3660"/>
      <c r="G91" s="3660"/>
      <c r="H91" s="3660"/>
      <c r="I91" s="3660"/>
      <c r="J91" s="3660"/>
      <c r="K91" s="3660"/>
      <c r="M91" s="3680"/>
      <c r="N91" s="3681"/>
      <c r="O91" s="3681"/>
      <c r="P91" s="3682"/>
    </row>
    <row r="92" spans="2:16" ht="15" customHeight="1">
      <c r="B92" s="3660"/>
      <c r="C92" s="3660"/>
      <c r="D92" s="3660"/>
      <c r="E92" s="3660"/>
      <c r="F92" s="3660"/>
      <c r="G92" s="3660"/>
      <c r="H92" s="3660"/>
      <c r="I92" s="3660"/>
      <c r="J92" s="3660"/>
      <c r="K92" s="3660"/>
      <c r="M92" s="3680"/>
      <c r="N92" s="3681"/>
      <c r="O92" s="3681"/>
      <c r="P92" s="3682"/>
    </row>
    <row r="93" spans="2:16" ht="15" customHeight="1">
      <c r="B93" s="3273" t="s">
        <v>5742</v>
      </c>
      <c r="M93" s="3680"/>
      <c r="N93" s="3681"/>
      <c r="O93" s="3681"/>
      <c r="P93" s="3682"/>
    </row>
    <row r="94" spans="2:16" ht="15" customHeight="1">
      <c r="B94" s="3691" t="s">
        <v>5743</v>
      </c>
      <c r="C94" s="3660"/>
      <c r="D94" s="3660"/>
      <c r="E94" s="3660"/>
      <c r="F94" s="3660"/>
      <c r="G94" s="3660"/>
      <c r="H94" s="3660"/>
      <c r="I94" s="3660"/>
      <c r="J94" s="3660"/>
      <c r="K94" s="3660"/>
      <c r="M94" s="3680"/>
      <c r="N94" s="3681"/>
      <c r="O94" s="3681"/>
      <c r="P94" s="3682"/>
    </row>
    <row r="95" spans="2:16" ht="15" customHeight="1">
      <c r="B95" s="3660"/>
      <c r="C95" s="3660"/>
      <c r="D95" s="3660"/>
      <c r="E95" s="3660"/>
      <c r="F95" s="3660"/>
      <c r="G95" s="3660"/>
      <c r="H95" s="3660"/>
      <c r="I95" s="3660"/>
      <c r="J95" s="3660"/>
      <c r="K95" s="3660"/>
      <c r="M95" s="3680"/>
      <c r="N95" s="3681"/>
      <c r="O95" s="3681"/>
      <c r="P95" s="3682"/>
    </row>
    <row r="96" spans="2:16" ht="15" customHeight="1">
      <c r="B96" s="3273" t="s">
        <v>5744</v>
      </c>
      <c r="C96" s="3273"/>
      <c r="D96" s="3273"/>
      <c r="E96" s="3273"/>
      <c r="F96" s="3273"/>
      <c r="G96" s="3273"/>
      <c r="H96" s="3273"/>
      <c r="I96" s="3273"/>
      <c r="J96" s="3273"/>
      <c r="K96" s="3273"/>
      <c r="M96" s="3680"/>
      <c r="N96" s="3681"/>
      <c r="O96" s="3681"/>
      <c r="P96" s="3682"/>
    </row>
    <row r="97" spans="2:16" ht="15" customHeight="1">
      <c r="B97" s="3692" t="s">
        <v>565</v>
      </c>
      <c r="C97" s="3659"/>
      <c r="D97" s="3659"/>
      <c r="E97" s="3659"/>
      <c r="F97" s="3659"/>
      <c r="G97" s="3659"/>
      <c r="H97" s="3659"/>
      <c r="I97" s="3659"/>
      <c r="J97" s="3659"/>
      <c r="K97" s="3659"/>
      <c r="M97" s="3680"/>
      <c r="N97" s="3681"/>
      <c r="O97" s="3681"/>
      <c r="P97" s="3682"/>
    </row>
    <row r="98" spans="2:16" ht="15" customHeight="1">
      <c r="B98" s="3659"/>
      <c r="C98" s="3659"/>
      <c r="D98" s="3659"/>
      <c r="E98" s="3659"/>
      <c r="F98" s="3659"/>
      <c r="G98" s="3659"/>
      <c r="H98" s="3659"/>
      <c r="I98" s="3659"/>
      <c r="J98" s="3659"/>
      <c r="K98" s="3659"/>
      <c r="M98" s="3680"/>
      <c r="N98" s="3681"/>
      <c r="O98" s="3681"/>
      <c r="P98" s="3682"/>
    </row>
    <row r="99" spans="2:16" ht="15" customHeight="1">
      <c r="B99" s="3659"/>
      <c r="C99" s="3659"/>
      <c r="D99" s="3659"/>
      <c r="E99" s="3659"/>
      <c r="F99" s="3659"/>
      <c r="G99" s="3659"/>
      <c r="H99" s="3659"/>
      <c r="I99" s="3659"/>
      <c r="J99" s="3659"/>
      <c r="K99" s="3659"/>
      <c r="M99" s="3680"/>
      <c r="N99" s="3681"/>
      <c r="O99" s="3681"/>
      <c r="P99" s="3682"/>
    </row>
    <row r="100" spans="2:16" ht="15" customHeight="1">
      <c r="M100" s="3680"/>
      <c r="N100" s="3681"/>
      <c r="O100" s="3681"/>
      <c r="P100" s="3682"/>
    </row>
    <row r="101" spans="2:16" ht="15" customHeight="1">
      <c r="B101" s="3677" t="s">
        <v>6369</v>
      </c>
      <c r="C101" s="3678"/>
      <c r="D101" s="3678"/>
      <c r="E101" s="3678"/>
      <c r="F101" s="3678"/>
      <c r="G101" s="3678"/>
      <c r="H101" s="3678"/>
      <c r="I101" s="3678"/>
      <c r="J101" s="3678"/>
      <c r="K101" s="3679"/>
      <c r="M101" s="3680"/>
      <c r="N101" s="3681"/>
      <c r="O101" s="3681"/>
      <c r="P101" s="3682"/>
    </row>
    <row r="102" spans="2:16" ht="15" customHeight="1">
      <c r="B102" s="3680"/>
      <c r="C102" s="3681"/>
      <c r="D102" s="3681"/>
      <c r="E102" s="3681"/>
      <c r="F102" s="3681"/>
      <c r="G102" s="3681"/>
      <c r="H102" s="3681"/>
      <c r="I102" s="3681"/>
      <c r="J102" s="3681"/>
      <c r="K102" s="3682"/>
      <c r="M102" s="3680"/>
      <c r="N102" s="3681"/>
      <c r="O102" s="3681"/>
      <c r="P102" s="3682"/>
    </row>
    <row r="103" spans="2:16" ht="15" customHeight="1">
      <c r="B103" s="3680"/>
      <c r="C103" s="3681"/>
      <c r="D103" s="3681"/>
      <c r="E103" s="3681"/>
      <c r="F103" s="3681"/>
      <c r="G103" s="3681"/>
      <c r="H103" s="3681"/>
      <c r="I103" s="3681"/>
      <c r="J103" s="3681"/>
      <c r="K103" s="3682"/>
      <c r="M103" s="3680"/>
      <c r="N103" s="3681"/>
      <c r="O103" s="3681"/>
      <c r="P103" s="3682"/>
    </row>
    <row r="104" spans="2:16" ht="15" customHeight="1">
      <c r="B104" s="3680"/>
      <c r="C104" s="3681"/>
      <c r="D104" s="3681"/>
      <c r="E104" s="3681"/>
      <c r="F104" s="3681"/>
      <c r="G104" s="3681"/>
      <c r="H104" s="3681"/>
      <c r="I104" s="3681"/>
      <c r="J104" s="3681"/>
      <c r="K104" s="3682"/>
      <c r="M104" s="3680"/>
      <c r="N104" s="3681"/>
      <c r="O104" s="3681"/>
      <c r="P104" s="3682"/>
    </row>
    <row r="105" spans="2:16" ht="15" customHeight="1">
      <c r="B105" s="3680"/>
      <c r="C105" s="3681"/>
      <c r="D105" s="3681"/>
      <c r="E105" s="3681"/>
      <c r="F105" s="3681"/>
      <c r="G105" s="3681"/>
      <c r="H105" s="3681"/>
      <c r="I105" s="3681"/>
      <c r="J105" s="3681"/>
      <c r="K105" s="3682"/>
      <c r="M105" s="3680"/>
      <c r="N105" s="3681"/>
      <c r="O105" s="3681"/>
      <c r="P105" s="3682"/>
    </row>
    <row r="106" spans="2:16" ht="15" customHeight="1">
      <c r="B106" s="3680"/>
      <c r="C106" s="3681"/>
      <c r="D106" s="3681"/>
      <c r="E106" s="3681"/>
      <c r="F106" s="3681"/>
      <c r="G106" s="3681"/>
      <c r="H106" s="3681"/>
      <c r="I106" s="3681"/>
      <c r="J106" s="3681"/>
      <c r="K106" s="3682"/>
      <c r="M106" s="3680"/>
      <c r="N106" s="3681"/>
      <c r="O106" s="3681"/>
      <c r="P106" s="3682"/>
    </row>
    <row r="107" spans="2:16" ht="15" customHeight="1">
      <c r="B107" s="3683"/>
      <c r="C107" s="3684"/>
      <c r="D107" s="3684"/>
      <c r="E107" s="3684"/>
      <c r="F107" s="3684"/>
      <c r="G107" s="3684"/>
      <c r="H107" s="3684"/>
      <c r="I107" s="3684"/>
      <c r="J107" s="3684"/>
      <c r="K107" s="3685"/>
      <c r="M107" s="3683"/>
      <c r="N107" s="3684"/>
      <c r="O107" s="3684"/>
      <c r="P107" s="3685"/>
    </row>
  </sheetData>
  <customSheetViews>
    <customSheetView guid="{BD5E6263-A0AD-4076-921A-D4EBD62848EF}" showRuler="0">
      <selection activeCell="J2" sqref="J2"/>
      <pageMargins left="0.75" right="0.75" top="1" bottom="1" header="0.5" footer="0.5"/>
      <pageSetup orientation="portrait" r:id="rId1"/>
      <headerFooter alignWithMargins="0"/>
    </customSheetView>
    <customSheetView guid="{1D5AE30A-CA7C-4B32-AEA4-9F37A560AAA8}" showRuler="0">
      <selection activeCell="J2" sqref="J2"/>
      <pageMargins left="0.75" right="0.75" top="1" bottom="1" header="0.5" footer="0.5"/>
      <pageSetup orientation="portrait" r:id="rId2"/>
      <headerFooter alignWithMargins="0"/>
    </customSheetView>
  </customSheetViews>
  <mergeCells count="32">
    <mergeCell ref="B6:K6"/>
    <mergeCell ref="C9:J11"/>
    <mergeCell ref="B7:K7"/>
    <mergeCell ref="B13:K13"/>
    <mergeCell ref="B15:K16"/>
    <mergeCell ref="M9:P15"/>
    <mergeCell ref="M19:P24"/>
    <mergeCell ref="G22:K26"/>
    <mergeCell ref="M28:P42"/>
    <mergeCell ref="B28:K30"/>
    <mergeCell ref="B37:K38"/>
    <mergeCell ref="B34:K36"/>
    <mergeCell ref="B42:K44"/>
    <mergeCell ref="B101:K107"/>
    <mergeCell ref="B88:K89"/>
    <mergeCell ref="M69:P83"/>
    <mergeCell ref="B59:K62"/>
    <mergeCell ref="B66:K68"/>
    <mergeCell ref="B74:K75"/>
    <mergeCell ref="B76:K77"/>
    <mergeCell ref="B91:K92"/>
    <mergeCell ref="B94:K95"/>
    <mergeCell ref="B97:K99"/>
    <mergeCell ref="M87:P107"/>
    <mergeCell ref="B45:K45"/>
    <mergeCell ref="B47:K49"/>
    <mergeCell ref="AO65:AW66"/>
    <mergeCell ref="B80:K81"/>
    <mergeCell ref="B82:K83"/>
    <mergeCell ref="M58:P65"/>
    <mergeCell ref="M46:P53"/>
    <mergeCell ref="B54:K55"/>
  </mergeCells>
  <phoneticPr fontId="6" type="noConversion"/>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sheetPr codeName="Sheet3"/>
  <dimension ref="B1:L60"/>
  <sheetViews>
    <sheetView workbookViewId="0"/>
  </sheetViews>
  <sheetFormatPr defaultRowHeight="17.100000000000001" customHeight="1"/>
  <cols>
    <col min="1" max="1" width="2.75" customWidth="1"/>
    <col min="2" max="2" width="23" customWidth="1"/>
    <col min="12" max="12" width="9.875" customWidth="1"/>
  </cols>
  <sheetData>
    <row r="1" spans="2:12" ht="17.100000000000001" customHeight="1">
      <c r="B1" s="1507" t="s">
        <v>3376</v>
      </c>
      <c r="L1" s="2274">
        <f>'Title Page'!K1</f>
        <v>40914</v>
      </c>
    </row>
    <row r="2" spans="2:12" ht="17.100000000000001" customHeight="1">
      <c r="B2" s="508"/>
      <c r="L2" s="2089"/>
    </row>
    <row r="3" spans="2:12" ht="17.100000000000001" customHeight="1">
      <c r="B3" s="508" t="s">
        <v>5966</v>
      </c>
      <c r="L3" s="2089"/>
    </row>
    <row r="4" spans="2:12" ht="17.100000000000001" customHeight="1">
      <c r="B4" s="508"/>
      <c r="L4" s="2089"/>
    </row>
    <row r="5" spans="2:12" ht="17.100000000000001" customHeight="1">
      <c r="B5" s="2" t="s">
        <v>3625</v>
      </c>
      <c r="C5" s="2" t="s">
        <v>2056</v>
      </c>
    </row>
    <row r="6" spans="2:12" ht="17.100000000000001" customHeight="1">
      <c r="B6" s="2086" t="s">
        <v>3369</v>
      </c>
      <c r="C6" s="19" t="s">
        <v>3421</v>
      </c>
    </row>
    <row r="7" spans="2:12" ht="17.100000000000001" customHeight="1">
      <c r="B7" s="2086" t="s">
        <v>3376</v>
      </c>
      <c r="C7" s="19" t="s">
        <v>3377</v>
      </c>
      <c r="E7" s="2088"/>
    </row>
    <row r="8" spans="2:12" ht="17.100000000000001" customHeight="1">
      <c r="B8" s="2086" t="s">
        <v>3425</v>
      </c>
      <c r="C8" s="2290" t="s">
        <v>6057</v>
      </c>
      <c r="D8" s="518"/>
      <c r="E8" s="518"/>
      <c r="F8" s="518"/>
      <c r="G8" s="518"/>
      <c r="H8" s="518"/>
      <c r="I8" s="518"/>
      <c r="J8" s="518"/>
      <c r="K8" s="518"/>
      <c r="L8" s="518"/>
    </row>
    <row r="9" spans="2:12" ht="17.100000000000001" customHeight="1">
      <c r="B9" s="2086" t="s">
        <v>1376</v>
      </c>
      <c r="C9" s="19" t="s">
        <v>3378</v>
      </c>
    </row>
    <row r="10" spans="2:12" ht="17.100000000000001" customHeight="1">
      <c r="B10" s="2086" t="s">
        <v>2589</v>
      </c>
      <c r="C10" s="2290" t="s">
        <v>3938</v>
      </c>
    </row>
    <row r="11" spans="2:12" ht="17.100000000000001" customHeight="1">
      <c r="B11" s="2086" t="s">
        <v>1881</v>
      </c>
      <c r="C11" s="19" t="s">
        <v>3433</v>
      </c>
    </row>
    <row r="12" spans="2:12" ht="17.100000000000001" customHeight="1">
      <c r="B12" s="2086" t="s">
        <v>2130</v>
      </c>
      <c r="C12" s="19" t="s">
        <v>3379</v>
      </c>
    </row>
    <row r="13" spans="2:12" ht="17.100000000000001" customHeight="1">
      <c r="B13" s="2086" t="s">
        <v>4745</v>
      </c>
      <c r="C13" s="2290" t="s">
        <v>4909</v>
      </c>
    </row>
    <row r="14" spans="2:12" ht="17.100000000000001" customHeight="1">
      <c r="B14" s="2086" t="s">
        <v>1976</v>
      </c>
      <c r="C14" s="19" t="s">
        <v>3380</v>
      </c>
    </row>
    <row r="15" spans="2:12" ht="17.100000000000001" customHeight="1">
      <c r="B15" s="2086" t="s">
        <v>27</v>
      </c>
      <c r="C15" s="19" t="s">
        <v>3381</v>
      </c>
    </row>
    <row r="16" spans="2:12" ht="17.100000000000001" customHeight="1">
      <c r="B16" s="2086" t="s">
        <v>1766</v>
      </c>
      <c r="C16" s="19" t="s">
        <v>3382</v>
      </c>
    </row>
    <row r="17" spans="2:3" ht="17.100000000000001" customHeight="1">
      <c r="B17" s="2086" t="s">
        <v>1642</v>
      </c>
      <c r="C17" s="19" t="s">
        <v>3434</v>
      </c>
    </row>
    <row r="18" spans="2:3" ht="17.100000000000001" customHeight="1">
      <c r="B18" s="2086" t="s">
        <v>3370</v>
      </c>
      <c r="C18" s="2087" t="s">
        <v>3383</v>
      </c>
    </row>
    <row r="19" spans="2:3" ht="17.100000000000001" customHeight="1">
      <c r="B19" s="2086" t="s">
        <v>4704</v>
      </c>
      <c r="C19" s="2290" t="s">
        <v>4730</v>
      </c>
    </row>
    <row r="20" spans="2:3" ht="17.100000000000001" customHeight="1">
      <c r="B20" s="2086" t="s">
        <v>2068</v>
      </c>
      <c r="C20" s="2087" t="s">
        <v>3435</v>
      </c>
    </row>
    <row r="21" spans="2:3" ht="17.100000000000001" customHeight="1">
      <c r="B21" s="2086" t="s">
        <v>2259</v>
      </c>
      <c r="C21" s="19" t="s">
        <v>3384</v>
      </c>
    </row>
    <row r="22" spans="2:3" ht="17.100000000000001" customHeight="1">
      <c r="B22" s="2086" t="s">
        <v>3324</v>
      </c>
      <c r="C22" s="19" t="s">
        <v>3385</v>
      </c>
    </row>
    <row r="23" spans="2:3" ht="17.100000000000001" customHeight="1">
      <c r="B23" s="2086" t="s">
        <v>1509</v>
      </c>
      <c r="C23" s="2290" t="s">
        <v>4977</v>
      </c>
    </row>
    <row r="24" spans="2:3" ht="17.100000000000001" customHeight="1">
      <c r="B24" s="2086" t="s">
        <v>2343</v>
      </c>
      <c r="C24" s="2290" t="s">
        <v>5043</v>
      </c>
    </row>
    <row r="25" spans="2:3" ht="17.100000000000001" customHeight="1">
      <c r="B25" s="2086" t="s">
        <v>1932</v>
      </c>
      <c r="C25" s="19" t="s">
        <v>3389</v>
      </c>
    </row>
    <row r="26" spans="2:3" ht="17.100000000000001" customHeight="1">
      <c r="B26" s="2086" t="s">
        <v>2367</v>
      </c>
      <c r="C26" s="19" t="s">
        <v>3390</v>
      </c>
    </row>
    <row r="27" spans="2:3" ht="17.100000000000001" customHeight="1">
      <c r="B27" s="2086" t="s">
        <v>3391</v>
      </c>
      <c r="C27" s="19" t="s">
        <v>3392</v>
      </c>
    </row>
    <row r="28" spans="2:3" ht="17.100000000000001" customHeight="1">
      <c r="B28" s="2086" t="s">
        <v>3975</v>
      </c>
      <c r="C28" s="2290" t="s">
        <v>3976</v>
      </c>
    </row>
    <row r="29" spans="2:3" ht="17.100000000000001" customHeight="1">
      <c r="B29" s="2086" t="s">
        <v>3393</v>
      </c>
      <c r="C29" s="2087" t="s">
        <v>3436</v>
      </c>
    </row>
    <row r="30" spans="2:3" ht="17.100000000000001" customHeight="1">
      <c r="B30" s="2086" t="s">
        <v>810</v>
      </c>
      <c r="C30" s="19" t="s">
        <v>3394</v>
      </c>
    </row>
    <row r="31" spans="2:3" ht="17.100000000000001" customHeight="1">
      <c r="B31" s="2086" t="s">
        <v>4249</v>
      </c>
      <c r="C31" s="2290" t="s">
        <v>4251</v>
      </c>
    </row>
    <row r="32" spans="2:3" ht="17.100000000000001" customHeight="1">
      <c r="B32" s="2086" t="s">
        <v>2824</v>
      </c>
      <c r="C32" s="19" t="s">
        <v>3395</v>
      </c>
    </row>
    <row r="33" spans="2:3" ht="17.100000000000001" customHeight="1">
      <c r="B33" s="2086" t="s">
        <v>638</v>
      </c>
      <c r="C33" s="2087" t="s">
        <v>3396</v>
      </c>
    </row>
    <row r="34" spans="2:3" ht="17.100000000000001" customHeight="1">
      <c r="B34" s="2086" t="s">
        <v>640</v>
      </c>
      <c r="C34" s="2087" t="s">
        <v>3397</v>
      </c>
    </row>
    <row r="35" spans="2:3" ht="17.100000000000001" customHeight="1">
      <c r="B35" s="2086" t="s">
        <v>1975</v>
      </c>
      <c r="C35" s="19" t="s">
        <v>3398</v>
      </c>
    </row>
    <row r="36" spans="2:3" ht="17.100000000000001" customHeight="1">
      <c r="B36" s="2086" t="s">
        <v>656</v>
      </c>
      <c r="C36" s="19" t="s">
        <v>3386</v>
      </c>
    </row>
    <row r="37" spans="2:3" ht="17.100000000000001" customHeight="1">
      <c r="B37" s="2086" t="s">
        <v>1261</v>
      </c>
      <c r="C37" s="2087" t="s">
        <v>3387</v>
      </c>
    </row>
    <row r="38" spans="2:3" ht="17.100000000000001" customHeight="1">
      <c r="B38" s="2086" t="s">
        <v>2232</v>
      </c>
      <c r="C38" s="19" t="s">
        <v>3388</v>
      </c>
    </row>
    <row r="39" spans="2:3" ht="17.100000000000001" customHeight="1">
      <c r="B39" s="2086" t="s">
        <v>3371</v>
      </c>
      <c r="C39" s="2087" t="s">
        <v>3399</v>
      </c>
    </row>
    <row r="40" spans="2:3" ht="17.100000000000001" customHeight="1">
      <c r="B40" s="2086" t="s">
        <v>3372</v>
      </c>
      <c r="C40" s="2087" t="s">
        <v>3400</v>
      </c>
    </row>
    <row r="41" spans="2:3" ht="17.100000000000001" customHeight="1">
      <c r="B41" s="2086" t="s">
        <v>2919</v>
      </c>
      <c r="C41" s="19" t="s">
        <v>3401</v>
      </c>
    </row>
    <row r="42" spans="2:3" ht="17.100000000000001" customHeight="1">
      <c r="B42" s="2086" t="s">
        <v>1425</v>
      </c>
      <c r="C42" s="19" t="s">
        <v>3402</v>
      </c>
    </row>
    <row r="43" spans="2:3" ht="17.100000000000001" customHeight="1">
      <c r="B43" s="2086" t="s">
        <v>2134</v>
      </c>
      <c r="C43" s="19" t="s">
        <v>3403</v>
      </c>
    </row>
    <row r="44" spans="2:3" ht="17.100000000000001" customHeight="1">
      <c r="B44" s="2086" t="s">
        <v>2308</v>
      </c>
      <c r="C44" s="2087" t="s">
        <v>3404</v>
      </c>
    </row>
    <row r="45" spans="2:3" ht="17.100000000000001" customHeight="1">
      <c r="B45" s="2086" t="s">
        <v>2279</v>
      </c>
      <c r="C45" s="19" t="s">
        <v>3405</v>
      </c>
    </row>
    <row r="46" spans="2:3" ht="17.100000000000001" customHeight="1">
      <c r="B46" s="2086" t="s">
        <v>3373</v>
      </c>
      <c r="C46" s="19" t="s">
        <v>3406</v>
      </c>
    </row>
    <row r="47" spans="2:3" ht="17.100000000000001" customHeight="1">
      <c r="B47" s="2086" t="s">
        <v>957</v>
      </c>
      <c r="C47" s="19" t="s">
        <v>3407</v>
      </c>
    </row>
    <row r="48" spans="2:3" ht="17.100000000000001" customHeight="1">
      <c r="B48" s="2086" t="s">
        <v>2320</v>
      </c>
      <c r="C48" s="19" t="s">
        <v>3408</v>
      </c>
    </row>
    <row r="49" spans="2:3" ht="17.100000000000001" customHeight="1">
      <c r="B49" s="2086" t="s">
        <v>256</v>
      </c>
      <c r="C49" s="19" t="s">
        <v>3409</v>
      </c>
    </row>
    <row r="50" spans="2:3" ht="17.100000000000001" customHeight="1">
      <c r="B50" s="2086" t="s">
        <v>1325</v>
      </c>
      <c r="C50" s="2087" t="s">
        <v>3410</v>
      </c>
    </row>
    <row r="51" spans="2:3" ht="17.100000000000001" customHeight="1">
      <c r="B51" s="2086" t="s">
        <v>3374</v>
      </c>
      <c r="C51" s="2087" t="s">
        <v>3411</v>
      </c>
    </row>
    <row r="52" spans="2:3" ht="17.100000000000001" customHeight="1">
      <c r="B52" s="2086" t="s">
        <v>5961</v>
      </c>
      <c r="C52" s="19" t="s">
        <v>3412</v>
      </c>
    </row>
    <row r="53" spans="2:3" ht="17.100000000000001" customHeight="1">
      <c r="B53" s="2086" t="s">
        <v>3375</v>
      </c>
      <c r="C53" s="19" t="s">
        <v>3413</v>
      </c>
    </row>
    <row r="54" spans="2:3" ht="17.100000000000001" customHeight="1">
      <c r="B54" s="2086" t="s">
        <v>5509</v>
      </c>
      <c r="C54" s="2087" t="s">
        <v>3414</v>
      </c>
    </row>
    <row r="55" spans="2:3" ht="17.100000000000001" customHeight="1">
      <c r="B55" s="2086" t="s">
        <v>2216</v>
      </c>
      <c r="C55" s="19" t="s">
        <v>3415</v>
      </c>
    </row>
    <row r="56" spans="2:3" ht="17.100000000000001" customHeight="1">
      <c r="B56" s="2086" t="s">
        <v>405</v>
      </c>
      <c r="C56" s="2087" t="s">
        <v>3416</v>
      </c>
    </row>
    <row r="57" spans="2:3" ht="17.100000000000001" customHeight="1">
      <c r="B57" s="2086" t="s">
        <v>610</v>
      </c>
      <c r="C57" s="19" t="s">
        <v>3417</v>
      </c>
    </row>
    <row r="58" spans="2:3" ht="17.100000000000001" customHeight="1">
      <c r="B58" s="2086" t="s">
        <v>362</v>
      </c>
      <c r="C58" s="19" t="s">
        <v>3418</v>
      </c>
    </row>
    <row r="59" spans="2:3" ht="17.100000000000001" customHeight="1">
      <c r="B59" s="2086" t="s">
        <v>2249</v>
      </c>
      <c r="C59" s="19" t="s">
        <v>3419</v>
      </c>
    </row>
    <row r="60" spans="2:3" ht="17.100000000000001" customHeight="1">
      <c r="B60" s="2086" t="s">
        <v>2051</v>
      </c>
      <c r="C60" s="19" t="s">
        <v>3420</v>
      </c>
    </row>
  </sheetData>
  <hyperlinks>
    <hyperlink ref="B6" location="'Title Page'!A1" display="Title Page"/>
    <hyperlink ref="B8" location="'Traffic Plans'!A1" display="Traffic Plans"/>
    <hyperlink ref="B9" location="'Flowchart'!A1" display="Flowchart"/>
    <hyperlink ref="B11" location="'Results'!A1" display="Results"/>
    <hyperlink ref="B12" location="'User Inputs'!A1" display="User Inputs"/>
    <hyperlink ref="B14" location="'Revenues'!A1" display="Revenues"/>
    <hyperlink ref="B15" location="'Cost-Benefit'!A1" display="Cost-Benefit"/>
    <hyperlink ref="B16" location="'Travel'!A1" display="Travel"/>
    <hyperlink ref="B17" location="'Motor Vs'!A1" display="Motor Vs"/>
    <hyperlink ref="B18" location="'Motor Vs Weekends'!A1" display="Motor Vs Weekends"/>
    <hyperlink ref="B20" location="'Approaches'!A1" display="Approaches"/>
    <hyperlink ref="B21" location="'Breakeven'!A1" display="Breakeven"/>
    <hyperlink ref="B22" location="'Incidence'!A1" display="Incidence"/>
    <hyperlink ref="B36" location="'Delays'!A1" display="Delays"/>
    <hyperlink ref="B37" location="'Delays Weekends'!A1" display="Delays Weekends"/>
    <hyperlink ref="B38" location="'Delay Costs'!A1" display="Delay Costs"/>
    <hyperlink ref="B24" location="'Taxis'!A1" display="Taxis"/>
    <hyperlink ref="B25" location="'Transit'!A1" display="Transit"/>
    <hyperlink ref="B26" location="'Subways'!A1" display="Subways"/>
    <hyperlink ref="B27" location="'Sub v. Bus'!A1" display="Sub v. Bus"/>
    <hyperlink ref="B29" location="'Time Switching'!A1" display="Time Switching"/>
    <hyperlink ref="B30" location="'Buses'!A1" display="Buses"/>
    <hyperlink ref="B32" location="'Bus Boarding'!A1" display="Bus Boarding"/>
    <hyperlink ref="B33" location="'Weekday Hours'!A1" display="Weekday Hours"/>
    <hyperlink ref="B34" location="'Weekend Hours'!A1" display="Weekend Hours"/>
    <hyperlink ref="B35" location="'Weekends'!A1" display="Weekends"/>
    <hyperlink ref="B39" location="'Speed-Vol., Cordon'!A1" display="Speed-Vol., Cordon"/>
    <hyperlink ref="B40" location="'Speed-Vol., non-Cordon'!A1" display="Speed-Vol., non-Cordon"/>
    <hyperlink ref="B41" location="'VMT'!A1" display="VMT"/>
    <hyperlink ref="B42" location="'Elasticities'!A1" display="Elasticities"/>
    <hyperlink ref="B43" location="'Gini'!A1" display="Gini"/>
    <hyperlink ref="B44" location="'Cordon'!A1" display="Cordon"/>
    <hyperlink ref="B45" location="'Emissions'!A1" display="Emissions"/>
    <hyperlink ref="B46" location="'EMFAC'!A1" display="EMFAC"/>
    <hyperlink ref="B47" location="'Speed-CO2'!A1" display="Speed-CO2"/>
    <hyperlink ref="B48" location="'Fare Collection'!A1" display="Fare Collection"/>
    <hyperlink ref="B49" location="'Pop &amp; Employ'!A1" display="Pop &amp; Employ"/>
    <hyperlink ref="B50" location="'Parking'!A1" display="Parking"/>
    <hyperlink ref="B51" location="'Hub-Bound'!A1" display="Hub-Bound"/>
    <hyperlink ref="B52" location="'Trip Price'!A1" display="Trip Price"/>
    <hyperlink ref="B53" location="'H.I.S.'!A1" display="H.I.S."/>
    <hyperlink ref="B54" location="'River Crossings'!A1" display="River Crossings"/>
    <hyperlink ref="B55" location="'Value of Time'!A1" display="Value of Time"/>
    <hyperlink ref="B56" location="'Toll Rates'!A1" display="Toll Rates"/>
    <hyperlink ref="B57" location="'Constants'!A1" display="Constants"/>
    <hyperlink ref="B58" location="'Regressions'!A1" display="Regressions"/>
    <hyperlink ref="B59" location="'FreshDirect'!A1" display="FreshDirect"/>
    <hyperlink ref="B60" location="'BTA 1.0'!A1" display="BTA 1.0"/>
    <hyperlink ref="B7" location="Index!A1" display="Index"/>
    <hyperlink ref="B10" location="Assumptions!A1" display="Assumptions"/>
    <hyperlink ref="B28" location="'Park-and-Ride'!A1" display="Park-and-Ride"/>
    <hyperlink ref="B31" location="'Bus Routes'!A1" display="Bus Routes"/>
    <hyperlink ref="B19" location="Distances!A1" display="Distances"/>
    <hyperlink ref="B13" location="Changes!A1" display="Changes"/>
    <hyperlink ref="B23" location="Trucks!A1" display="Trucks"/>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sheetPr codeName="Sheet2"/>
  <dimension ref="A1:AO325"/>
  <sheetViews>
    <sheetView showGridLines="0" showRuler="0" zoomScaleNormal="100" workbookViewId="0"/>
  </sheetViews>
  <sheetFormatPr defaultColWidth="9.125" defaultRowHeight="14.1" customHeight="1"/>
  <cols>
    <col min="1" max="1" width="1.625" style="92" customWidth="1"/>
    <col min="2" max="13" width="9.125" style="92" customWidth="1"/>
    <col min="14" max="14" width="10.375" style="92" customWidth="1"/>
    <col min="15" max="15" width="1.75" style="92" customWidth="1"/>
    <col min="16" max="21" width="9.125" style="92" customWidth="1"/>
    <col min="22" max="22" width="3.125" style="92" customWidth="1"/>
    <col min="23" max="28" width="9.125" style="92" customWidth="1"/>
    <col min="29" max="29" width="6.875" style="92" customWidth="1"/>
    <col min="30" max="36" width="9.125" style="92" customWidth="1"/>
    <col min="37" max="37" width="3" style="92" customWidth="1"/>
    <col min="38" max="40" width="9.125" style="92" customWidth="1"/>
    <col min="41" max="41" width="2.625" style="92" customWidth="1"/>
    <col min="42" max="59" width="9.125" style="92"/>
    <col min="60" max="60" width="8.875" style="92" customWidth="1"/>
    <col min="61" max="16384" width="9.125" style="92"/>
  </cols>
  <sheetData>
    <row r="1" spans="2:41" ht="14.1" customHeight="1">
      <c r="AO1" s="1689">
        <f>ROW()</f>
        <v>1</v>
      </c>
    </row>
    <row r="2" spans="2:41" ht="14.1" customHeight="1">
      <c r="B2" s="799" t="s">
        <v>3425</v>
      </c>
      <c r="D2" s="800"/>
      <c r="N2" s="793">
        <f>'Title Page'!K1</f>
        <v>40914</v>
      </c>
      <c r="AO2" s="1689">
        <f>ROW()</f>
        <v>2</v>
      </c>
    </row>
    <row r="3" spans="2:41" ht="14.1" customHeight="1">
      <c r="AO3" s="1689">
        <f>ROW()</f>
        <v>3</v>
      </c>
    </row>
    <row r="4" spans="2:41" ht="14.1" customHeight="1">
      <c r="B4"/>
      <c r="C4"/>
      <c r="D4"/>
      <c r="E4"/>
      <c r="F4"/>
      <c r="G4"/>
      <c r="H4"/>
      <c r="I4"/>
      <c r="J4"/>
      <c r="K4"/>
      <c r="L4"/>
      <c r="M4"/>
      <c r="N4"/>
      <c r="AO4" s="1689">
        <f>ROW()</f>
        <v>4</v>
      </c>
    </row>
    <row r="5" spans="2:41" ht="14.1" customHeight="1">
      <c r="B5" s="3452"/>
      <c r="C5" s="3452"/>
      <c r="D5" s="3452"/>
      <c r="E5" s="3452"/>
      <c r="F5" s="3452"/>
      <c r="G5" s="3452"/>
      <c r="H5" s="3452"/>
      <c r="I5" s="3452"/>
      <c r="J5" s="3452"/>
      <c r="K5" s="3452"/>
      <c r="L5" s="3452"/>
      <c r="M5" s="3452"/>
      <c r="N5" s="3452"/>
      <c r="AO5" s="1689">
        <f>ROW()</f>
        <v>5</v>
      </c>
    </row>
    <row r="6" spans="2:41" ht="14.1" customHeight="1">
      <c r="B6" s="1" t="s">
        <v>6056</v>
      </c>
      <c r="C6" s="3452"/>
      <c r="D6" s="3452"/>
      <c r="E6" s="3452"/>
      <c r="F6" s="3452"/>
      <c r="G6" s="3452"/>
      <c r="H6" s="3452"/>
      <c r="I6" s="3452"/>
      <c r="J6" s="3452"/>
      <c r="K6" s="3452"/>
      <c r="L6" s="3452"/>
      <c r="M6" s="3452"/>
      <c r="N6" s="3452"/>
      <c r="AO6" s="1689">
        <f>ROW()</f>
        <v>6</v>
      </c>
    </row>
    <row r="7" spans="2:41" ht="14.1" customHeight="1">
      <c r="AO7" s="1689">
        <f>ROW()</f>
        <v>7</v>
      </c>
    </row>
    <row r="8" spans="2:41" ht="14.1" customHeight="1">
      <c r="B8" s="1690" t="s">
        <v>6058</v>
      </c>
      <c r="AO8" s="1689">
        <f>ROW()</f>
        <v>8</v>
      </c>
    </row>
    <row r="9" spans="2:41" ht="14.1" customHeight="1">
      <c r="B9" s="795" t="s">
        <v>6151</v>
      </c>
      <c r="M9" s="3461" t="str">
        <f>CONCATENATE("See Rows ",AO16, " to ",AO33, ".")</f>
        <v>See Rows 16 to 33.</v>
      </c>
      <c r="N9" s="3462"/>
      <c r="O9"/>
      <c r="P9"/>
      <c r="R9"/>
      <c r="S9" s="801"/>
      <c r="AO9" s="1689">
        <f>ROW()</f>
        <v>9</v>
      </c>
    </row>
    <row r="10" spans="2:41" ht="14.1" customHeight="1">
      <c r="B10" s="795" t="s">
        <v>6152</v>
      </c>
      <c r="M10" s="3461" t="str">
        <f>CONCATENATE("See Rows ",AO35, " to ",AO52, ".")</f>
        <v>See Rows 35 to 52.</v>
      </c>
      <c r="N10" s="3462"/>
      <c r="O10"/>
      <c r="P10"/>
      <c r="AM10" s="1713">
        <f>'User Inputs'!F119</f>
        <v>2.25</v>
      </c>
      <c r="AO10" s="1689">
        <f>ROW()</f>
        <v>10</v>
      </c>
    </row>
    <row r="11" spans="2:41" ht="14.1" customHeight="1">
      <c r="B11" s="795" t="s">
        <v>6153</v>
      </c>
      <c r="M11" s="3461" t="str">
        <f>CONCATENATE("See Rows ",AO54, " to ",AO71, ".")</f>
        <v>See Rows 54 to 71.</v>
      </c>
      <c r="N11" s="3462"/>
      <c r="O11"/>
      <c r="P11"/>
      <c r="AM11" s="1713">
        <f>'User Inputs'!F119</f>
        <v>2.25</v>
      </c>
      <c r="AO11" s="1689">
        <f>ROW()</f>
        <v>11</v>
      </c>
    </row>
    <row r="12" spans="2:41" ht="14.1" customHeight="1">
      <c r="B12" s="795" t="s">
        <v>6154</v>
      </c>
      <c r="J12"/>
      <c r="K12"/>
      <c r="L12"/>
      <c r="M12" s="3461" t="str">
        <f>CONCATENATE("See Rows ",AO73, " to ",AO76, ".")</f>
        <v>See Rows 73 to 76.</v>
      </c>
      <c r="N12" s="3462"/>
      <c r="O12"/>
      <c r="P12"/>
      <c r="S12"/>
      <c r="T12"/>
      <c r="U12"/>
      <c r="V12"/>
      <c r="W12"/>
      <c r="X12"/>
      <c r="Y12"/>
      <c r="Z12"/>
      <c r="AA12"/>
      <c r="AB12"/>
      <c r="AK12" s="1372" t="s">
        <v>1873</v>
      </c>
      <c r="AM12" s="1713">
        <f>'User Inputs'!F119</f>
        <v>2.25</v>
      </c>
      <c r="AO12" s="1689">
        <f>ROW()</f>
        <v>12</v>
      </c>
    </row>
    <row r="13" spans="2:41" ht="14.1" customHeight="1">
      <c r="B13" s="795" t="s">
        <v>6365</v>
      </c>
      <c r="M13" s="3461" t="str">
        <f>CONCATENATE("See Rows ",AO77, " to ",AO80, ".")</f>
        <v>See Rows 77 to 80.</v>
      </c>
      <c r="N13" s="3462"/>
      <c r="O13"/>
      <c r="P13"/>
      <c r="Q13" s="801"/>
      <c r="S13"/>
      <c r="T13"/>
      <c r="U13"/>
      <c r="V13"/>
      <c r="W13"/>
      <c r="X13"/>
      <c r="Y13"/>
      <c r="Z13"/>
      <c r="AA13"/>
      <c r="AB13"/>
      <c r="AK13" s="1373"/>
      <c r="AM13" s="1713">
        <f>'User Inputs'!F119</f>
        <v>2.25</v>
      </c>
      <c r="AO13" s="1689">
        <f>ROW()</f>
        <v>13</v>
      </c>
    </row>
    <row r="14" spans="2:41" ht="14.1" customHeight="1" thickBot="1">
      <c r="B14" s="795"/>
      <c r="N14"/>
      <c r="O14"/>
      <c r="P14"/>
      <c r="S14"/>
      <c r="T14"/>
      <c r="U14"/>
      <c r="V14"/>
      <c r="W14"/>
      <c r="X14"/>
      <c r="Y14"/>
      <c r="Z14"/>
      <c r="AA14"/>
      <c r="AB14"/>
      <c r="AK14" s="1374" t="s">
        <v>283</v>
      </c>
      <c r="AM14" s="1713">
        <f>'User Inputs'!F119</f>
        <v>2.25</v>
      </c>
      <c r="AO14" s="1689">
        <f>ROW()</f>
        <v>14</v>
      </c>
    </row>
    <row r="15" spans="2:41" ht="14.1" customHeight="1" thickBot="1">
      <c r="H15" s="3457"/>
      <c r="O15" s="801"/>
      <c r="P15" s="801"/>
      <c r="Q15" s="801"/>
      <c r="R15" s="801"/>
      <c r="S15" s="801"/>
      <c r="T15" s="801"/>
      <c r="U15" s="801"/>
      <c r="V15" s="801"/>
      <c r="W15" s="801"/>
      <c r="X15" s="801"/>
      <c r="Y15" s="801"/>
      <c r="Z15" s="801"/>
      <c r="AA15" s="801"/>
      <c r="AB15" s="801"/>
      <c r="AK15" s="1374" t="s">
        <v>2881</v>
      </c>
      <c r="AM15" s="1713">
        <f>'User Inputs'!F121</f>
        <v>2.25</v>
      </c>
      <c r="AO15" s="1689">
        <f>ROW()</f>
        <v>15</v>
      </c>
    </row>
    <row r="16" spans="2:41" ht="14.1" customHeight="1">
      <c r="B16" s="3757" t="s">
        <v>6047</v>
      </c>
      <c r="C16" s="3758"/>
      <c r="D16" s="3758"/>
      <c r="E16" s="3758"/>
      <c r="F16" s="3758"/>
      <c r="G16" s="3758"/>
      <c r="H16" s="3758"/>
      <c r="I16" s="3758"/>
      <c r="J16" s="3758"/>
      <c r="K16" s="3758"/>
      <c r="L16" s="3735" t="s">
        <v>6038</v>
      </c>
      <c r="M16" s="3736"/>
      <c r="N16" s="3737"/>
      <c r="O16"/>
      <c r="P16" s="2002" t="s">
        <v>385</v>
      </c>
      <c r="Q16" s="1520"/>
      <c r="R16" s="1520"/>
      <c r="S16" s="1520"/>
      <c r="T16" s="1520"/>
      <c r="U16" s="1520"/>
      <c r="V16" s="1520"/>
      <c r="W16" s="1520"/>
      <c r="X16" s="1520"/>
      <c r="Y16" s="1520"/>
      <c r="Z16" s="1520"/>
      <c r="AA16" s="1520"/>
      <c r="AB16" s="1520"/>
      <c r="AC16" s="1520"/>
      <c r="AD16" s="1520"/>
      <c r="AE16" s="1520"/>
      <c r="AF16" s="1520"/>
      <c r="AG16" s="1520"/>
      <c r="AH16" s="1520"/>
      <c r="AI16" s="1521"/>
      <c r="AK16" s="1373"/>
      <c r="AM16" s="1713">
        <f>'User Inputs'!F122</f>
        <v>2.25</v>
      </c>
      <c r="AO16" s="1689">
        <f>ROW()</f>
        <v>16</v>
      </c>
    </row>
    <row r="17" spans="2:41" ht="14.1" customHeight="1">
      <c r="B17" s="3759"/>
      <c r="C17" s="3760"/>
      <c r="D17" s="3760"/>
      <c r="E17" s="3760"/>
      <c r="F17" s="3760"/>
      <c r="G17" s="3760"/>
      <c r="H17" s="3760"/>
      <c r="I17" s="3760"/>
      <c r="J17" s="3760"/>
      <c r="K17" s="3760"/>
      <c r="L17" s="3738"/>
      <c r="M17" s="3739"/>
      <c r="N17" s="3740"/>
      <c r="O17" s="801"/>
      <c r="P17" s="3753" t="s">
        <v>6147</v>
      </c>
      <c r="Q17" s="3754"/>
      <c r="R17" s="3754"/>
      <c r="S17" s="3754"/>
      <c r="T17" s="3754"/>
      <c r="U17" s="3754"/>
      <c r="V17" s="3754"/>
      <c r="W17" s="3754"/>
      <c r="X17" s="3754"/>
      <c r="Y17" s="3754"/>
      <c r="Z17" s="3754"/>
      <c r="AA17" s="3754"/>
      <c r="AB17" s="3754"/>
      <c r="AC17" s="3754"/>
      <c r="AD17" s="3754"/>
      <c r="AE17" s="3754"/>
      <c r="AF17" s="3754"/>
      <c r="AG17" s="3754"/>
      <c r="AH17" s="3754"/>
      <c r="AI17" s="3755"/>
      <c r="AK17" s="1373"/>
      <c r="AM17" s="1713">
        <f>'User Inputs'!F124</f>
        <v>2.25</v>
      </c>
      <c r="AO17" s="1689">
        <f>ROW()</f>
        <v>17</v>
      </c>
    </row>
    <row r="18" spans="2:41" ht="14.1" customHeight="1">
      <c r="B18" s="3759"/>
      <c r="C18" s="3760"/>
      <c r="D18" s="3760"/>
      <c r="E18" s="3760"/>
      <c r="F18" s="3760"/>
      <c r="G18" s="3760"/>
      <c r="H18" s="3760"/>
      <c r="I18" s="3760"/>
      <c r="J18" s="3760"/>
      <c r="K18" s="3760"/>
      <c r="L18" s="3738"/>
      <c r="M18" s="3739"/>
      <c r="N18" s="3740"/>
      <c r="O18" s="801"/>
      <c r="P18" s="3756"/>
      <c r="Q18" s="3754"/>
      <c r="R18" s="3754"/>
      <c r="S18" s="3754"/>
      <c r="T18" s="3754"/>
      <c r="U18" s="3754"/>
      <c r="V18" s="3754"/>
      <c r="W18" s="3754"/>
      <c r="X18" s="3754"/>
      <c r="Y18" s="3754"/>
      <c r="Z18" s="3754"/>
      <c r="AA18" s="3754"/>
      <c r="AB18" s="3754"/>
      <c r="AC18" s="3754"/>
      <c r="AD18" s="3754"/>
      <c r="AE18" s="3754"/>
      <c r="AF18" s="3754"/>
      <c r="AG18" s="3754"/>
      <c r="AH18" s="3754"/>
      <c r="AI18" s="3755"/>
      <c r="AK18" s="1374" t="s">
        <v>386</v>
      </c>
      <c r="AM18" s="1713">
        <f>'User Inputs'!F123</f>
        <v>2.25</v>
      </c>
      <c r="AO18" s="1689">
        <f>ROW()</f>
        <v>18</v>
      </c>
    </row>
    <row r="19" spans="2:41" ht="14.1" customHeight="1">
      <c r="B19" s="3761"/>
      <c r="C19" s="3681"/>
      <c r="D19" s="3681"/>
      <c r="E19" s="3681"/>
      <c r="F19" s="3681"/>
      <c r="G19" s="3681"/>
      <c r="H19" s="3681"/>
      <c r="I19" s="3681"/>
      <c r="J19" s="3681"/>
      <c r="K19" s="3681"/>
      <c r="L19" s="3738"/>
      <c r="M19" s="3739"/>
      <c r="N19" s="3740"/>
      <c r="O19" s="801"/>
      <c r="P19" s="1522"/>
      <c r="Q19" s="801"/>
      <c r="R19" s="801"/>
      <c r="S19" s="801"/>
      <c r="T19" s="801"/>
      <c r="U19" s="801"/>
      <c r="V19" s="801"/>
      <c r="W19" s="801"/>
      <c r="X19" s="801"/>
      <c r="Y19" s="801"/>
      <c r="Z19" s="801"/>
      <c r="AA19" s="801"/>
      <c r="AB19" s="801"/>
      <c r="AC19" s="801"/>
      <c r="AD19" s="801"/>
      <c r="AE19" s="801"/>
      <c r="AF19" s="801"/>
      <c r="AG19" s="801"/>
      <c r="AH19" s="801"/>
      <c r="AI19" s="1523"/>
      <c r="AK19" s="1374"/>
      <c r="AM19" s="1713">
        <f>'User Inputs'!F121</f>
        <v>2.25</v>
      </c>
      <c r="AO19" s="1689">
        <f>ROW()</f>
        <v>19</v>
      </c>
    </row>
    <row r="20" spans="2:41" ht="14.1" customHeight="1">
      <c r="B20" s="3761"/>
      <c r="C20" s="3681"/>
      <c r="D20" s="3681"/>
      <c r="E20" s="3681"/>
      <c r="F20" s="3681"/>
      <c r="G20" s="3681"/>
      <c r="H20" s="3681"/>
      <c r="I20" s="3681"/>
      <c r="J20" s="3681"/>
      <c r="K20" s="3681"/>
      <c r="L20" s="3738"/>
      <c r="M20" s="3739"/>
      <c r="N20" s="3740"/>
      <c r="O20" s="801"/>
      <c r="P20" s="1522"/>
      <c r="Q20" s="801"/>
      <c r="R20" s="801"/>
      <c r="S20" s="801"/>
      <c r="T20" s="801"/>
      <c r="U20" s="801"/>
      <c r="V20" s="801"/>
      <c r="W20" s="801"/>
      <c r="X20" s="801"/>
      <c r="Y20" s="801"/>
      <c r="Z20" s="801"/>
      <c r="AA20" s="801"/>
      <c r="AB20" s="801"/>
      <c r="AC20" s="801"/>
      <c r="AD20" s="801"/>
      <c r="AE20" s="801"/>
      <c r="AF20" s="801"/>
      <c r="AG20" s="801"/>
      <c r="AH20" s="801"/>
      <c r="AI20" s="1523"/>
      <c r="AK20" s="1374" t="s">
        <v>890</v>
      </c>
      <c r="AM20" s="1713">
        <f>'User Inputs'!F121</f>
        <v>2.25</v>
      </c>
      <c r="AO20" s="1689">
        <f>ROW()</f>
        <v>20</v>
      </c>
    </row>
    <row r="21" spans="2:41" ht="14.1" customHeight="1">
      <c r="B21" s="3761"/>
      <c r="C21" s="3681"/>
      <c r="D21" s="3681"/>
      <c r="E21" s="3681"/>
      <c r="F21" s="3681"/>
      <c r="G21" s="3681"/>
      <c r="H21" s="3681"/>
      <c r="I21" s="3681"/>
      <c r="J21" s="3681"/>
      <c r="K21" s="3681"/>
      <c r="L21" s="3741"/>
      <c r="M21" s="3742"/>
      <c r="N21" s="3743"/>
      <c r="O21" s="801"/>
      <c r="P21" s="1522"/>
      <c r="Q21" s="801"/>
      <c r="R21" s="801"/>
      <c r="S21" s="801"/>
      <c r="T21" s="801"/>
      <c r="U21" s="801"/>
      <c r="V21" s="801"/>
      <c r="W21" s="801"/>
      <c r="X21" s="801"/>
      <c r="Y21" s="801"/>
      <c r="Z21" s="801"/>
      <c r="AA21" s="801"/>
      <c r="AB21" s="801"/>
      <c r="AC21" s="801"/>
      <c r="AD21" s="801"/>
      <c r="AE21" s="801"/>
      <c r="AF21" s="801"/>
      <c r="AG21" s="801"/>
      <c r="AH21" s="801"/>
      <c r="AI21" s="1523"/>
      <c r="AK21" s="1374"/>
      <c r="AM21" s="1713">
        <f>'User Inputs'!F121</f>
        <v>2.25</v>
      </c>
      <c r="AO21" s="1689">
        <f>ROW()</f>
        <v>21</v>
      </c>
    </row>
    <row r="22" spans="2:41" ht="14.1" customHeight="1">
      <c r="B22" s="3761"/>
      <c r="C22" s="3681"/>
      <c r="D22" s="3681"/>
      <c r="E22" s="3681"/>
      <c r="F22" s="3681"/>
      <c r="G22" s="3681"/>
      <c r="H22" s="3681"/>
      <c r="I22" s="3681"/>
      <c r="J22" s="3681"/>
      <c r="K22" s="3681"/>
      <c r="L22" s="801"/>
      <c r="M22" s="801"/>
      <c r="N22" s="1527"/>
      <c r="O22" s="801"/>
      <c r="P22" s="1522"/>
      <c r="Q22" s="801"/>
      <c r="R22" s="801"/>
      <c r="S22" s="801"/>
      <c r="T22" s="801"/>
      <c r="U22" s="801"/>
      <c r="V22" s="801"/>
      <c r="W22" s="801"/>
      <c r="X22" s="801"/>
      <c r="Y22" s="801"/>
      <c r="Z22" s="801"/>
      <c r="AA22" s="801"/>
      <c r="AB22" s="801"/>
      <c r="AC22" s="801"/>
      <c r="AD22" s="801"/>
      <c r="AE22" s="801"/>
      <c r="AF22" s="801"/>
      <c r="AG22" s="801"/>
      <c r="AH22" s="801"/>
      <c r="AI22" s="1523"/>
      <c r="AK22" s="1374" t="s">
        <v>890</v>
      </c>
      <c r="AM22" s="1713">
        <f>'User Inputs'!F121</f>
        <v>2.25</v>
      </c>
      <c r="AO22" s="1689">
        <f>ROW()</f>
        <v>22</v>
      </c>
    </row>
    <row r="23" spans="2:41" ht="14.1" customHeight="1">
      <c r="B23" s="3761"/>
      <c r="C23" s="3681"/>
      <c r="D23" s="3681"/>
      <c r="E23" s="3681"/>
      <c r="F23" s="3681"/>
      <c r="G23" s="3681"/>
      <c r="H23" s="3681"/>
      <c r="I23" s="3681"/>
      <c r="J23" s="3681"/>
      <c r="K23" s="3681"/>
      <c r="L23" s="801"/>
      <c r="M23" s="801"/>
      <c r="N23" s="1527"/>
      <c r="O23" s="801"/>
      <c r="P23" s="1522"/>
      <c r="Q23" s="801"/>
      <c r="R23" s="801"/>
      <c r="S23" s="801"/>
      <c r="T23" s="801"/>
      <c r="U23" s="801"/>
      <c r="V23" s="801"/>
      <c r="W23" s="801"/>
      <c r="X23" s="801"/>
      <c r="Y23" s="801"/>
      <c r="Z23" s="801"/>
      <c r="AA23" s="801"/>
      <c r="AB23" s="801"/>
      <c r="AC23" s="801"/>
      <c r="AD23" s="801"/>
      <c r="AE23" s="801"/>
      <c r="AF23" s="801"/>
      <c r="AG23" s="801"/>
      <c r="AH23" s="801"/>
      <c r="AI23" s="1523"/>
      <c r="AK23" s="1374"/>
      <c r="AM23" s="1713">
        <f>'User Inputs'!F121</f>
        <v>2.25</v>
      </c>
      <c r="AO23" s="1689">
        <f>ROW()</f>
        <v>23</v>
      </c>
    </row>
    <row r="24" spans="2:41" ht="14.1" customHeight="1">
      <c r="B24" s="3761"/>
      <c r="C24" s="3681"/>
      <c r="D24" s="3681"/>
      <c r="E24" s="3681"/>
      <c r="F24" s="3681"/>
      <c r="G24" s="3681"/>
      <c r="H24" s="3681"/>
      <c r="I24" s="3681"/>
      <c r="J24" s="3681"/>
      <c r="K24" s="3681"/>
      <c r="L24" s="801"/>
      <c r="M24" s="801"/>
      <c r="N24" s="1527"/>
      <c r="O24" s="801"/>
      <c r="P24" s="1522"/>
      <c r="Q24" s="801"/>
      <c r="R24" s="801"/>
      <c r="S24" s="801"/>
      <c r="T24" s="801"/>
      <c r="U24" s="801"/>
      <c r="V24" s="801"/>
      <c r="W24" s="801"/>
      <c r="X24" s="801"/>
      <c r="Y24" s="801"/>
      <c r="Z24" s="801"/>
      <c r="AA24" s="801"/>
      <c r="AB24" s="801"/>
      <c r="AC24" s="801"/>
      <c r="AD24" s="801"/>
      <c r="AE24" s="801"/>
      <c r="AF24" s="801"/>
      <c r="AG24" s="801"/>
      <c r="AH24" s="801"/>
      <c r="AI24" s="1523"/>
      <c r="AK24" s="1374" t="s">
        <v>1008</v>
      </c>
      <c r="AM24" s="1713">
        <f>'User Inputs'!F121</f>
        <v>2.25</v>
      </c>
      <c r="AO24" s="1689">
        <f>ROW()</f>
        <v>24</v>
      </c>
    </row>
    <row r="25" spans="2:41" ht="14.1" customHeight="1">
      <c r="B25" s="3761"/>
      <c r="C25" s="3681"/>
      <c r="D25" s="3681"/>
      <c r="E25" s="3681"/>
      <c r="F25" s="3681"/>
      <c r="G25" s="3681"/>
      <c r="H25" s="3681"/>
      <c r="I25" s="3681"/>
      <c r="J25" s="3681"/>
      <c r="K25" s="3681"/>
      <c r="L25" s="801"/>
      <c r="M25" s="801"/>
      <c r="N25" s="1527"/>
      <c r="O25" s="801"/>
      <c r="P25" s="1522"/>
      <c r="Q25" s="801"/>
      <c r="R25" s="801"/>
      <c r="S25" s="801"/>
      <c r="T25" s="801"/>
      <c r="U25" s="801"/>
      <c r="V25" s="801"/>
      <c r="W25" s="801"/>
      <c r="X25" s="801"/>
      <c r="Y25" s="801"/>
      <c r="Z25" s="801"/>
      <c r="AA25" s="801"/>
      <c r="AB25" s="801"/>
      <c r="AC25" s="801"/>
      <c r="AD25" s="801"/>
      <c r="AE25" s="801"/>
      <c r="AF25" s="801"/>
      <c r="AG25" s="801"/>
      <c r="AH25" s="801"/>
      <c r="AI25" s="1523"/>
      <c r="AK25" s="1374"/>
      <c r="AM25" s="1713">
        <f>'User Inputs'!F122</f>
        <v>2.25</v>
      </c>
      <c r="AO25" s="1689">
        <f>ROW()</f>
        <v>25</v>
      </c>
    </row>
    <row r="26" spans="2:41" ht="14.1" customHeight="1">
      <c r="B26" s="3761"/>
      <c r="C26" s="3681"/>
      <c r="D26" s="3681"/>
      <c r="E26" s="3681"/>
      <c r="F26" s="3681"/>
      <c r="G26" s="3681"/>
      <c r="H26" s="3681"/>
      <c r="I26" s="3681"/>
      <c r="J26" s="3681"/>
      <c r="K26" s="3681"/>
      <c r="L26" s="801"/>
      <c r="M26" s="801"/>
      <c r="N26" s="3458"/>
      <c r="O26" s="801"/>
      <c r="P26" s="1522"/>
      <c r="Q26" s="801"/>
      <c r="R26" s="801"/>
      <c r="S26" s="801"/>
      <c r="T26" s="801"/>
      <c r="U26" s="801"/>
      <c r="V26" s="801"/>
      <c r="W26" s="801"/>
      <c r="X26" s="801"/>
      <c r="Y26" s="801"/>
      <c r="Z26" s="801"/>
      <c r="AA26" s="801"/>
      <c r="AB26" s="801"/>
      <c r="AC26" s="801"/>
      <c r="AD26" s="801"/>
      <c r="AE26" s="801"/>
      <c r="AF26" s="801"/>
      <c r="AG26" s="801"/>
      <c r="AH26" s="801"/>
      <c r="AI26" s="1523"/>
      <c r="AK26" s="1374" t="s">
        <v>891</v>
      </c>
      <c r="AM26" s="1713">
        <f>'User Inputs'!F124</f>
        <v>2.25</v>
      </c>
      <c r="AO26" s="1689">
        <f>ROW()</f>
        <v>26</v>
      </c>
    </row>
    <row r="27" spans="2:41" ht="14.1" customHeight="1" thickBot="1">
      <c r="B27" s="3761"/>
      <c r="C27" s="3681"/>
      <c r="D27" s="3681"/>
      <c r="E27" s="3681"/>
      <c r="F27" s="3681"/>
      <c r="G27" s="3681"/>
      <c r="H27" s="3681"/>
      <c r="I27" s="3681"/>
      <c r="J27" s="3681"/>
      <c r="K27" s="3681"/>
      <c r="L27" s="801"/>
      <c r="M27" s="801"/>
      <c r="N27" s="1527"/>
      <c r="O27" s="801"/>
      <c r="P27" s="1522"/>
      <c r="Q27" s="801"/>
      <c r="R27" s="801"/>
      <c r="S27" s="801"/>
      <c r="T27" s="801"/>
      <c r="U27" s="801"/>
      <c r="V27" s="801"/>
      <c r="W27" s="801"/>
      <c r="X27" s="801"/>
      <c r="Y27" s="801"/>
      <c r="Z27" s="801"/>
      <c r="AA27" s="801"/>
      <c r="AB27" s="801"/>
      <c r="AC27" s="801"/>
      <c r="AD27" s="801"/>
      <c r="AE27" s="801"/>
      <c r="AF27" s="801"/>
      <c r="AG27" s="801"/>
      <c r="AH27" s="801"/>
      <c r="AI27" s="1523"/>
      <c r="AK27" s="1374"/>
      <c r="AM27" s="1713">
        <f>'User Inputs'!F123</f>
        <v>2.25</v>
      </c>
      <c r="AO27" s="1689">
        <f>ROW()</f>
        <v>27</v>
      </c>
    </row>
    <row r="28" spans="2:41" ht="14.1" customHeight="1">
      <c r="B28" s="3761"/>
      <c r="C28" s="3681"/>
      <c r="D28" s="3681"/>
      <c r="E28" s="3681"/>
      <c r="F28" s="3681"/>
      <c r="G28" s="3681"/>
      <c r="H28" s="3681"/>
      <c r="I28" s="3681"/>
      <c r="J28" s="3681"/>
      <c r="K28" s="3681"/>
      <c r="L28" s="3744" t="str">
        <f>CONCATENATE("To activate this plan in the BTA, enter '3' in Cell H",Results!M25, " of the 'Results' worksheet tab.")</f>
        <v>To activate this plan in the BTA, enter '3' in Cell H25 of the 'Results' worksheet tab.</v>
      </c>
      <c r="M28" s="3745"/>
      <c r="N28" s="3746"/>
      <c r="O28" s="801"/>
      <c r="P28" s="1522"/>
      <c r="Q28" s="801"/>
      <c r="R28" s="801"/>
      <c r="S28" s="801"/>
      <c r="T28" s="801"/>
      <c r="U28" s="801"/>
      <c r="V28" s="801"/>
      <c r="W28" s="801"/>
      <c r="X28" s="801"/>
      <c r="Y28" s="801"/>
      <c r="Z28" s="801"/>
      <c r="AA28" s="801"/>
      <c r="AB28" s="801"/>
      <c r="AC28" s="801"/>
      <c r="AD28" s="801"/>
      <c r="AE28" s="801"/>
      <c r="AF28" s="801"/>
      <c r="AG28" s="801"/>
      <c r="AH28" s="801"/>
      <c r="AI28" s="1523"/>
      <c r="AK28" s="1374" t="s">
        <v>2880</v>
      </c>
      <c r="AM28" s="1713">
        <f>'User Inputs'!F121</f>
        <v>2.25</v>
      </c>
      <c r="AO28" s="1689">
        <f>ROW()</f>
        <v>28</v>
      </c>
    </row>
    <row r="29" spans="2:41" ht="14.1" customHeight="1">
      <c r="B29" s="3761"/>
      <c r="C29" s="3681"/>
      <c r="D29" s="3681"/>
      <c r="E29" s="3681"/>
      <c r="F29" s="3681"/>
      <c r="G29" s="3681"/>
      <c r="H29" s="3681"/>
      <c r="I29" s="3681"/>
      <c r="J29" s="3681"/>
      <c r="K29" s="3681"/>
      <c r="L29" s="3747"/>
      <c r="M29" s="3748"/>
      <c r="N29" s="3749"/>
      <c r="O29" s="801"/>
      <c r="P29" s="1522"/>
      <c r="Q29" s="801"/>
      <c r="R29" s="801"/>
      <c r="S29" s="801"/>
      <c r="T29" s="801"/>
      <c r="U29" s="801"/>
      <c r="V29" s="801"/>
      <c r="W29" s="801"/>
      <c r="X29" s="801"/>
      <c r="Y29" s="801"/>
      <c r="Z29" s="801"/>
      <c r="AA29" s="801"/>
      <c r="AB29" s="801"/>
      <c r="AC29" s="801"/>
      <c r="AD29" s="801"/>
      <c r="AE29" s="801"/>
      <c r="AF29" s="801"/>
      <c r="AG29" s="801"/>
      <c r="AH29" s="801"/>
      <c r="AI29" s="1523"/>
      <c r="AK29" s="1374"/>
      <c r="AM29" s="1713">
        <f>'User Inputs'!F120</f>
        <v>2.25</v>
      </c>
      <c r="AO29" s="1689">
        <f>ROW()</f>
        <v>29</v>
      </c>
    </row>
    <row r="30" spans="2:41" ht="14.1" customHeight="1">
      <c r="B30" s="3761"/>
      <c r="C30" s="3681"/>
      <c r="D30" s="3681"/>
      <c r="E30" s="3681"/>
      <c r="F30" s="3681"/>
      <c r="G30" s="3681"/>
      <c r="H30" s="3681"/>
      <c r="I30" s="3681"/>
      <c r="J30" s="3681"/>
      <c r="K30" s="3681"/>
      <c r="L30" s="3747"/>
      <c r="M30" s="3748"/>
      <c r="N30" s="3749"/>
      <c r="O30" s="801"/>
      <c r="P30" s="1522"/>
      <c r="Q30" s="801"/>
      <c r="R30" s="801"/>
      <c r="S30" s="801"/>
      <c r="T30" s="801"/>
      <c r="U30" s="801"/>
      <c r="V30" s="801"/>
      <c r="W30" s="801"/>
      <c r="X30" s="801"/>
      <c r="Y30" s="801"/>
      <c r="Z30" s="801"/>
      <c r="AA30" s="801"/>
      <c r="AB30" s="801"/>
      <c r="AC30" s="801"/>
      <c r="AD30" s="801"/>
      <c r="AE30" s="801"/>
      <c r="AF30" s="801"/>
      <c r="AG30" s="801"/>
      <c r="AH30" s="801"/>
      <c r="AI30" s="1523"/>
      <c r="AK30" s="1374" t="s">
        <v>387</v>
      </c>
      <c r="AM30" s="1713">
        <f>'User Inputs'!F120</f>
        <v>2.25</v>
      </c>
      <c r="AO30" s="1689">
        <f>ROW()</f>
        <v>30</v>
      </c>
    </row>
    <row r="31" spans="2:41" ht="14.1" customHeight="1">
      <c r="B31" s="3761"/>
      <c r="C31" s="3681"/>
      <c r="D31" s="3681"/>
      <c r="E31" s="3681"/>
      <c r="F31" s="3681"/>
      <c r="G31" s="3681"/>
      <c r="H31" s="3681"/>
      <c r="I31" s="3681"/>
      <c r="J31" s="3681"/>
      <c r="K31" s="3681"/>
      <c r="L31" s="3747"/>
      <c r="M31" s="3748"/>
      <c r="N31" s="3749"/>
      <c r="O31" s="801"/>
      <c r="P31" s="1522"/>
      <c r="Q31" s="801"/>
      <c r="R31" s="801"/>
      <c r="S31" s="801"/>
      <c r="T31" s="801"/>
      <c r="U31" s="801"/>
      <c r="V31" s="801"/>
      <c r="W31" s="801"/>
      <c r="X31" s="801"/>
      <c r="Y31" s="801"/>
      <c r="Z31" s="801"/>
      <c r="AA31" s="801"/>
      <c r="AB31" s="801"/>
      <c r="AC31" s="801"/>
      <c r="AD31" s="801"/>
      <c r="AE31" s="801"/>
      <c r="AF31" s="801"/>
      <c r="AG31" s="801"/>
      <c r="AH31" s="801"/>
      <c r="AI31" s="1523"/>
      <c r="AK31" s="1374"/>
      <c r="AM31" s="1713">
        <f>'User Inputs'!F120</f>
        <v>2.25</v>
      </c>
      <c r="AO31" s="1689">
        <f>ROW()</f>
        <v>31</v>
      </c>
    </row>
    <row r="32" spans="2:41" ht="14.1" customHeight="1">
      <c r="B32" s="3761"/>
      <c r="C32" s="3681"/>
      <c r="D32" s="3681"/>
      <c r="E32" s="3681"/>
      <c r="F32" s="3681"/>
      <c r="G32" s="3681"/>
      <c r="H32" s="3681"/>
      <c r="I32" s="3681"/>
      <c r="J32" s="3681"/>
      <c r="K32" s="3681"/>
      <c r="L32" s="3747"/>
      <c r="M32" s="3748"/>
      <c r="N32" s="3749"/>
      <c r="O32" s="801"/>
      <c r="P32" s="1522"/>
      <c r="Q32" s="801"/>
      <c r="R32" s="801"/>
      <c r="S32" s="801"/>
      <c r="T32" s="801"/>
      <c r="U32" s="801"/>
      <c r="V32" s="801"/>
      <c r="W32" s="801"/>
      <c r="X32" s="801"/>
      <c r="Y32" s="801"/>
      <c r="Z32" s="801"/>
      <c r="AA32" s="801"/>
      <c r="AB32" s="801"/>
      <c r="AC32" s="801"/>
      <c r="AD32" s="801"/>
      <c r="AE32" s="801"/>
      <c r="AF32" s="801"/>
      <c r="AG32" s="801"/>
      <c r="AH32" s="801"/>
      <c r="AI32" s="1523"/>
      <c r="AK32" s="1375" t="s">
        <v>1873</v>
      </c>
      <c r="AM32" s="1713">
        <f>'User Inputs'!F119</f>
        <v>2.25</v>
      </c>
      <c r="AO32" s="1689">
        <f>ROW()</f>
        <v>32</v>
      </c>
    </row>
    <row r="33" spans="1:41" ht="14.1" customHeight="1" thickBot="1">
      <c r="B33" s="3762"/>
      <c r="C33" s="3763"/>
      <c r="D33" s="3763"/>
      <c r="E33" s="3763"/>
      <c r="F33" s="3763"/>
      <c r="G33" s="3763"/>
      <c r="H33" s="3763"/>
      <c r="I33" s="3763"/>
      <c r="J33" s="3763"/>
      <c r="K33" s="3763"/>
      <c r="L33" s="3750"/>
      <c r="M33" s="3751"/>
      <c r="N33" s="3752"/>
      <c r="O33" s="801"/>
      <c r="P33" s="2001"/>
      <c r="Q33" s="1371"/>
      <c r="R33" s="1371"/>
      <c r="S33" s="1371"/>
      <c r="T33" s="1371"/>
      <c r="U33" s="1371"/>
      <c r="V33" s="1371"/>
      <c r="W33" s="1371"/>
      <c r="X33" s="1371"/>
      <c r="Y33" s="1371"/>
      <c r="Z33" s="1371"/>
      <c r="AA33" s="1371"/>
      <c r="AB33" s="1371"/>
      <c r="AC33" s="1371"/>
      <c r="AD33" s="1371"/>
      <c r="AE33" s="1371"/>
      <c r="AF33" s="1371"/>
      <c r="AG33" s="1371"/>
      <c r="AH33" s="1371"/>
      <c r="AI33" s="1524"/>
      <c r="AO33" s="1689">
        <f>ROW()</f>
        <v>33</v>
      </c>
    </row>
    <row r="34" spans="1:41" ht="14.1" customHeight="1" thickBot="1">
      <c r="A34"/>
      <c r="Q34" s="801"/>
      <c r="R34" s="801"/>
      <c r="S34" s="801"/>
      <c r="T34" s="801"/>
      <c r="U34" s="801"/>
      <c r="V34" s="801"/>
      <c r="W34" s="801"/>
      <c r="X34" s="801"/>
      <c r="Y34" s="801"/>
      <c r="Z34" s="801"/>
      <c r="AA34" s="801"/>
      <c r="AB34" s="801"/>
      <c r="AO34" s="1689">
        <f>ROW()</f>
        <v>34</v>
      </c>
    </row>
    <row r="35" spans="1:41" ht="14.1" customHeight="1">
      <c r="B35" s="3723" t="s">
        <v>6149</v>
      </c>
      <c r="C35" s="3724"/>
      <c r="D35" s="3724"/>
      <c r="E35" s="3724"/>
      <c r="F35" s="3724"/>
      <c r="G35" s="3724"/>
      <c r="H35" s="3724"/>
      <c r="I35" s="3724"/>
      <c r="J35" s="3724"/>
      <c r="K35" s="3463"/>
      <c r="L35" s="3735" t="s">
        <v>6148</v>
      </c>
      <c r="M35" s="3736"/>
      <c r="N35" s="3737"/>
      <c r="P35" s="2002" t="s">
        <v>385</v>
      </c>
      <c r="Q35" s="1520"/>
      <c r="R35" s="1520"/>
      <c r="S35" s="1520"/>
      <c r="T35" s="1520"/>
      <c r="U35" s="1520"/>
      <c r="V35" s="1520"/>
      <c r="W35" s="1520"/>
      <c r="X35" s="1520"/>
      <c r="Y35" s="1520"/>
      <c r="Z35" s="1520"/>
      <c r="AA35" s="1520"/>
      <c r="AB35" s="1520"/>
      <c r="AC35" s="1520"/>
      <c r="AD35" s="1520"/>
      <c r="AE35" s="1520"/>
      <c r="AF35" s="1520"/>
      <c r="AG35" s="1520"/>
      <c r="AH35" s="1520"/>
      <c r="AI35" s="1521"/>
      <c r="AO35" s="1689">
        <f>ROW()</f>
        <v>35</v>
      </c>
    </row>
    <row r="36" spans="1:41" ht="14.1" customHeight="1">
      <c r="B36" s="3725"/>
      <c r="C36" s="3726"/>
      <c r="D36" s="3726"/>
      <c r="E36" s="3726"/>
      <c r="F36" s="3726"/>
      <c r="G36" s="3726"/>
      <c r="H36" s="3726"/>
      <c r="I36" s="3726"/>
      <c r="J36" s="3726"/>
      <c r="K36" s="3464"/>
      <c r="L36" s="3738"/>
      <c r="M36" s="3739"/>
      <c r="N36" s="3740"/>
      <c r="P36" s="3753" t="s">
        <v>6150</v>
      </c>
      <c r="Q36" s="3754"/>
      <c r="R36" s="3754"/>
      <c r="S36" s="3754"/>
      <c r="T36" s="3754"/>
      <c r="U36" s="3754"/>
      <c r="V36" s="3754"/>
      <c r="W36" s="3754"/>
      <c r="X36" s="3754"/>
      <c r="Y36" s="3754"/>
      <c r="Z36" s="3754"/>
      <c r="AA36" s="3754"/>
      <c r="AB36" s="3754"/>
      <c r="AC36" s="3754"/>
      <c r="AD36" s="3754"/>
      <c r="AE36" s="3754"/>
      <c r="AF36" s="3754"/>
      <c r="AG36" s="3754"/>
      <c r="AH36" s="3754"/>
      <c r="AI36" s="3755"/>
      <c r="AO36" s="1689">
        <f>ROW()</f>
        <v>36</v>
      </c>
    </row>
    <row r="37" spans="1:41" ht="14.1" customHeight="1">
      <c r="B37" s="3725"/>
      <c r="C37" s="3726"/>
      <c r="D37" s="3726"/>
      <c r="E37" s="3726"/>
      <c r="F37" s="3726"/>
      <c r="G37" s="3726"/>
      <c r="H37" s="3726"/>
      <c r="I37" s="3726"/>
      <c r="J37" s="3726"/>
      <c r="K37" s="3464"/>
      <c r="L37" s="3738"/>
      <c r="M37" s="3739"/>
      <c r="N37" s="3740"/>
      <c r="P37" s="3756"/>
      <c r="Q37" s="3754"/>
      <c r="R37" s="3754"/>
      <c r="S37" s="3754"/>
      <c r="T37" s="3754"/>
      <c r="U37" s="3754"/>
      <c r="V37" s="3754"/>
      <c r="W37" s="3754"/>
      <c r="X37" s="3754"/>
      <c r="Y37" s="3754"/>
      <c r="Z37" s="3754"/>
      <c r="AA37" s="3754"/>
      <c r="AB37" s="3754"/>
      <c r="AC37" s="3754"/>
      <c r="AD37" s="3754"/>
      <c r="AE37" s="3754"/>
      <c r="AF37" s="3754"/>
      <c r="AG37" s="3754"/>
      <c r="AH37" s="3754"/>
      <c r="AI37" s="3755"/>
      <c r="AO37" s="1689">
        <f>ROW()</f>
        <v>37</v>
      </c>
    </row>
    <row r="38" spans="1:41" ht="14.1" customHeight="1">
      <c r="B38" s="3725"/>
      <c r="C38" s="3726"/>
      <c r="D38" s="3726"/>
      <c r="E38" s="3726"/>
      <c r="F38" s="3726"/>
      <c r="G38" s="3726"/>
      <c r="H38" s="3726"/>
      <c r="I38" s="3726"/>
      <c r="J38" s="3726"/>
      <c r="K38" s="3465"/>
      <c r="L38" s="3738"/>
      <c r="M38" s="3739"/>
      <c r="N38" s="3740"/>
      <c r="P38" s="1522"/>
      <c r="Q38" s="801"/>
      <c r="R38" s="801"/>
      <c r="S38" s="801"/>
      <c r="T38" s="801"/>
      <c r="U38" s="801"/>
      <c r="V38" s="801"/>
      <c r="W38" s="801"/>
      <c r="X38" s="801"/>
      <c r="Y38" s="801"/>
      <c r="Z38" s="801"/>
      <c r="AA38" s="801"/>
      <c r="AB38" s="801"/>
      <c r="AC38" s="801"/>
      <c r="AD38" s="801"/>
      <c r="AE38" s="801"/>
      <c r="AF38" s="801"/>
      <c r="AG38" s="801"/>
      <c r="AH38" s="801"/>
      <c r="AI38" s="1523"/>
      <c r="AO38" s="1689">
        <f>ROW()</f>
        <v>38</v>
      </c>
    </row>
    <row r="39" spans="1:41" ht="14.1" customHeight="1">
      <c r="B39" s="3725"/>
      <c r="C39" s="3726"/>
      <c r="D39" s="3726"/>
      <c r="E39" s="3726"/>
      <c r="F39" s="3726"/>
      <c r="G39" s="3726"/>
      <c r="H39" s="3726"/>
      <c r="I39" s="3726"/>
      <c r="J39" s="3726"/>
      <c r="K39" s="3465"/>
      <c r="L39" s="3738"/>
      <c r="M39" s="3739"/>
      <c r="N39" s="3740"/>
      <c r="P39" s="1522"/>
      <c r="Q39" s="801"/>
      <c r="R39" s="801"/>
      <c r="S39" s="801"/>
      <c r="T39" s="801"/>
      <c r="U39" s="801"/>
      <c r="V39" s="801"/>
      <c r="W39" s="801"/>
      <c r="X39" s="801"/>
      <c r="Y39" s="801"/>
      <c r="Z39" s="801"/>
      <c r="AA39" s="801"/>
      <c r="AB39" s="801"/>
      <c r="AC39" s="801"/>
      <c r="AD39" s="801"/>
      <c r="AE39" s="801"/>
      <c r="AF39" s="801"/>
      <c r="AG39" s="801"/>
      <c r="AH39" s="801"/>
      <c r="AI39" s="1523"/>
      <c r="AO39" s="1689">
        <f>ROW()</f>
        <v>39</v>
      </c>
    </row>
    <row r="40" spans="1:41" ht="14.1" customHeight="1">
      <c r="B40" s="3725"/>
      <c r="C40" s="3726"/>
      <c r="D40" s="3726"/>
      <c r="E40" s="3726"/>
      <c r="F40" s="3726"/>
      <c r="G40" s="3726"/>
      <c r="H40" s="3726"/>
      <c r="I40" s="3726"/>
      <c r="J40" s="3726"/>
      <c r="K40" s="3465"/>
      <c r="L40" s="3741"/>
      <c r="M40" s="3742"/>
      <c r="N40" s="3743"/>
      <c r="P40" s="1522"/>
      <c r="Q40" s="801"/>
      <c r="R40" s="801"/>
      <c r="S40" s="801"/>
      <c r="T40" s="801"/>
      <c r="U40" s="801"/>
      <c r="V40" s="801"/>
      <c r="W40" s="801"/>
      <c r="X40" s="801"/>
      <c r="Y40" s="801"/>
      <c r="Z40" s="801"/>
      <c r="AA40" s="801"/>
      <c r="AB40" s="801"/>
      <c r="AC40" s="801"/>
      <c r="AD40" s="801"/>
      <c r="AE40" s="801"/>
      <c r="AF40" s="801"/>
      <c r="AG40" s="801"/>
      <c r="AH40" s="801"/>
      <c r="AI40" s="1523"/>
      <c r="AK40" s="3729" t="s">
        <v>376</v>
      </c>
      <c r="AL40" s="3730"/>
      <c r="AM40" s="3730"/>
      <c r="AN40" s="3731"/>
      <c r="AO40" s="1689">
        <f>ROW()</f>
        <v>40</v>
      </c>
    </row>
    <row r="41" spans="1:41" ht="14.1" customHeight="1">
      <c r="B41" s="3725"/>
      <c r="C41" s="3726"/>
      <c r="D41" s="3726"/>
      <c r="E41" s="3726"/>
      <c r="F41" s="3726"/>
      <c r="G41" s="3726"/>
      <c r="H41" s="3726"/>
      <c r="I41" s="3726"/>
      <c r="J41" s="3726"/>
      <c r="K41" s="3465"/>
      <c r="L41" s="801"/>
      <c r="M41" s="801"/>
      <c r="N41" s="1527"/>
      <c r="P41" s="1522"/>
      <c r="Q41" s="801"/>
      <c r="R41" s="801"/>
      <c r="S41" s="801"/>
      <c r="T41" s="801"/>
      <c r="U41" s="801"/>
      <c r="V41" s="801"/>
      <c r="W41" s="801"/>
      <c r="X41" s="801"/>
      <c r="Y41" s="801"/>
      <c r="Z41" s="801"/>
      <c r="AA41" s="801"/>
      <c r="AB41" s="801"/>
      <c r="AC41" s="801"/>
      <c r="AD41" s="801"/>
      <c r="AE41" s="801"/>
      <c r="AF41" s="801"/>
      <c r="AG41" s="801"/>
      <c r="AH41" s="801"/>
      <c r="AI41" s="1523"/>
      <c r="AK41" s="3732"/>
      <c r="AL41" s="3733"/>
      <c r="AM41" s="3733"/>
      <c r="AN41" s="3734"/>
      <c r="AO41" s="1689">
        <f>ROW()</f>
        <v>41</v>
      </c>
    </row>
    <row r="42" spans="1:41" ht="14.1" customHeight="1">
      <c r="B42" s="3725"/>
      <c r="C42" s="3726"/>
      <c r="D42" s="3726"/>
      <c r="E42" s="3726"/>
      <c r="F42" s="3726"/>
      <c r="G42" s="3726"/>
      <c r="H42" s="3726"/>
      <c r="I42" s="3726"/>
      <c r="J42" s="3726"/>
      <c r="K42" s="3465"/>
      <c r="L42" s="801"/>
      <c r="M42" s="801"/>
      <c r="N42" s="1527"/>
      <c r="P42" s="1522"/>
      <c r="Q42" s="801"/>
      <c r="R42" s="801"/>
      <c r="S42" s="801"/>
      <c r="T42" s="801"/>
      <c r="U42" s="801"/>
      <c r="V42" s="801"/>
      <c r="W42" s="801"/>
      <c r="X42" s="801"/>
      <c r="Y42" s="801"/>
      <c r="Z42" s="801"/>
      <c r="AA42" s="801"/>
      <c r="AB42" s="801"/>
      <c r="AC42" s="801"/>
      <c r="AD42" s="801"/>
      <c r="AE42" s="801"/>
      <c r="AF42" s="801"/>
      <c r="AG42" s="801"/>
      <c r="AH42" s="801"/>
      <c r="AI42" s="1523"/>
      <c r="AO42" s="1689">
        <f>ROW()</f>
        <v>42</v>
      </c>
    </row>
    <row r="43" spans="1:41" ht="14.1" customHeight="1">
      <c r="B43" s="3725"/>
      <c r="C43" s="3726"/>
      <c r="D43" s="3726"/>
      <c r="E43" s="3726"/>
      <c r="F43" s="3726"/>
      <c r="G43" s="3726"/>
      <c r="H43" s="3726"/>
      <c r="I43" s="3726"/>
      <c r="J43" s="3726"/>
      <c r="K43" s="3465"/>
      <c r="L43" s="801"/>
      <c r="M43" s="801"/>
      <c r="N43" s="1527"/>
      <c r="P43" s="1522"/>
      <c r="Q43" s="801"/>
      <c r="R43" s="801"/>
      <c r="S43" s="801"/>
      <c r="T43" s="801"/>
      <c r="U43" s="801"/>
      <c r="V43" s="801"/>
      <c r="W43" s="801"/>
      <c r="X43" s="801"/>
      <c r="Y43" s="801"/>
      <c r="Z43" s="801"/>
      <c r="AA43" s="801"/>
      <c r="AB43" s="801"/>
      <c r="AC43" s="801"/>
      <c r="AD43" s="801"/>
      <c r="AE43" s="801"/>
      <c r="AF43" s="801"/>
      <c r="AG43" s="801"/>
      <c r="AH43" s="801"/>
      <c r="AI43" s="1523"/>
      <c r="AL43" s="1999" t="s">
        <v>6041</v>
      </c>
      <c r="AM43" s="1999" t="s">
        <v>6042</v>
      </c>
      <c r="AN43" s="1999" t="s">
        <v>6045</v>
      </c>
      <c r="AO43" s="1689">
        <f>ROW()</f>
        <v>43</v>
      </c>
    </row>
    <row r="44" spans="1:41" ht="14.1" customHeight="1">
      <c r="B44" s="3725"/>
      <c r="C44" s="3726"/>
      <c r="D44" s="3726"/>
      <c r="E44" s="3726"/>
      <c r="F44" s="3726"/>
      <c r="G44" s="3726"/>
      <c r="H44" s="3726"/>
      <c r="I44" s="3726"/>
      <c r="J44" s="3726"/>
      <c r="K44" s="3465"/>
      <c r="L44" s="801"/>
      <c r="M44" s="801"/>
      <c r="N44" s="1527"/>
      <c r="P44" s="1522"/>
      <c r="Q44" s="801"/>
      <c r="R44" s="801"/>
      <c r="S44" s="801"/>
      <c r="T44" s="801"/>
      <c r="U44" s="801"/>
      <c r="V44" s="801"/>
      <c r="W44" s="801"/>
      <c r="X44" s="801"/>
      <c r="Y44" s="801"/>
      <c r="Z44" s="801"/>
      <c r="AA44" s="801"/>
      <c r="AB44" s="801"/>
      <c r="AC44" s="801"/>
      <c r="AD44" s="801"/>
      <c r="AE44" s="801"/>
      <c r="AF44" s="801"/>
      <c r="AG44" s="801"/>
      <c r="AH44" s="801"/>
      <c r="AI44" s="1523"/>
      <c r="AK44" s="1372" t="s">
        <v>2880</v>
      </c>
      <c r="AL44" s="1370">
        <f>'User Inputs'!G25</f>
        <v>3</v>
      </c>
      <c r="AM44" s="1370">
        <f>'User Inputs'!H25</f>
        <v>3</v>
      </c>
      <c r="AN44" s="1370">
        <f>'User Inputs'!I25</f>
        <v>10</v>
      </c>
      <c r="AO44" s="1689">
        <f>ROW()</f>
        <v>44</v>
      </c>
    </row>
    <row r="45" spans="1:41" ht="14.1" customHeight="1">
      <c r="B45" s="3725"/>
      <c r="C45" s="3726"/>
      <c r="D45" s="3726"/>
      <c r="E45" s="3726"/>
      <c r="F45" s="3726"/>
      <c r="G45" s="3726"/>
      <c r="H45" s="3726"/>
      <c r="I45" s="3726"/>
      <c r="J45" s="3726"/>
      <c r="K45" s="3465"/>
      <c r="L45" s="801"/>
      <c r="M45" s="801"/>
      <c r="N45" s="1527"/>
      <c r="P45" s="1522"/>
      <c r="Q45" s="801"/>
      <c r="R45" s="801"/>
      <c r="S45" s="801"/>
      <c r="T45" s="801"/>
      <c r="U45" s="801"/>
      <c r="V45" s="801"/>
      <c r="W45" s="801"/>
      <c r="X45" s="801"/>
      <c r="Y45" s="801"/>
      <c r="Z45" s="801"/>
      <c r="AA45" s="801"/>
      <c r="AB45" s="801"/>
      <c r="AC45" s="801"/>
      <c r="AD45" s="801"/>
      <c r="AE45" s="801"/>
      <c r="AF45" s="801"/>
      <c r="AG45" s="801"/>
      <c r="AH45" s="801"/>
      <c r="AI45" s="1523"/>
      <c r="AK45" s="1373"/>
      <c r="AL45" s="1370">
        <f>'User Inputs'!G25</f>
        <v>3</v>
      </c>
      <c r="AM45" s="1370">
        <f>'User Inputs'!H25</f>
        <v>3</v>
      </c>
      <c r="AN45" s="1370">
        <f>'User Inputs'!I25</f>
        <v>10</v>
      </c>
      <c r="AO45" s="1689">
        <f>ROW()</f>
        <v>45</v>
      </c>
    </row>
    <row r="46" spans="1:41" ht="14.1" customHeight="1" thickBot="1">
      <c r="B46" s="3725"/>
      <c r="C46" s="3726"/>
      <c r="D46" s="3726"/>
      <c r="E46" s="3726"/>
      <c r="F46" s="3726"/>
      <c r="G46" s="3726"/>
      <c r="H46" s="3726"/>
      <c r="I46" s="3726"/>
      <c r="J46" s="3726"/>
      <c r="K46" s="3465"/>
      <c r="L46" s="801"/>
      <c r="M46" s="801"/>
      <c r="N46" s="1527"/>
      <c r="P46" s="1522"/>
      <c r="Q46" s="801"/>
      <c r="R46" s="801"/>
      <c r="S46" s="801"/>
      <c r="T46" s="801"/>
      <c r="U46" s="801"/>
      <c r="V46" s="801"/>
      <c r="W46" s="801"/>
      <c r="X46" s="801"/>
      <c r="Y46" s="801"/>
      <c r="Z46" s="801"/>
      <c r="AA46" s="801"/>
      <c r="AB46" s="801"/>
      <c r="AC46" s="801"/>
      <c r="AD46" s="801"/>
      <c r="AE46" s="801"/>
      <c r="AF46" s="801"/>
      <c r="AG46" s="801"/>
      <c r="AH46" s="801"/>
      <c r="AI46" s="1523"/>
      <c r="AK46" s="1374" t="s">
        <v>283</v>
      </c>
      <c r="AL46" s="1370">
        <f>'User Inputs'!G25</f>
        <v>3</v>
      </c>
      <c r="AM46" s="1370">
        <f>'User Inputs'!H25</f>
        <v>3</v>
      </c>
      <c r="AN46" s="1370">
        <f>'User Inputs'!I25</f>
        <v>10</v>
      </c>
      <c r="AO46" s="1689">
        <f>ROW()</f>
        <v>46</v>
      </c>
    </row>
    <row r="47" spans="1:41" ht="14.1" customHeight="1">
      <c r="B47" s="3725"/>
      <c r="C47" s="3726"/>
      <c r="D47" s="3726"/>
      <c r="E47" s="3726"/>
      <c r="F47" s="3726"/>
      <c r="G47" s="3726"/>
      <c r="H47" s="3726"/>
      <c r="I47" s="3726"/>
      <c r="J47" s="3726"/>
      <c r="K47" s="3465"/>
      <c r="L47" s="3744" t="str">
        <f>CONCATENATE("To activate this plan in the BTA, enter '4' in Cell H",Results!M25, " of the 'Results' worksheet tab.")</f>
        <v>To activate this plan in the BTA, enter '4' in Cell H25 of the 'Results' worksheet tab.</v>
      </c>
      <c r="M47" s="3745"/>
      <c r="N47" s="3746"/>
      <c r="P47" s="1522"/>
      <c r="Q47" s="801"/>
      <c r="R47" s="801"/>
      <c r="S47" s="801"/>
      <c r="T47" s="801"/>
      <c r="U47" s="801"/>
      <c r="V47" s="801"/>
      <c r="W47" s="801"/>
      <c r="X47" s="801"/>
      <c r="Y47" s="801"/>
      <c r="Z47" s="801"/>
      <c r="AA47" s="801"/>
      <c r="AB47" s="801"/>
      <c r="AC47" s="801"/>
      <c r="AD47" s="801"/>
      <c r="AE47" s="801"/>
      <c r="AF47" s="801"/>
      <c r="AG47" s="801"/>
      <c r="AH47" s="801"/>
      <c r="AI47" s="1523"/>
      <c r="AK47" s="1373"/>
      <c r="AL47" s="1370">
        <f>'User Inputs'!G25</f>
        <v>3</v>
      </c>
      <c r="AM47" s="1370">
        <f>'User Inputs'!H25</f>
        <v>3</v>
      </c>
      <c r="AN47" s="1370">
        <f>'User Inputs'!I25</f>
        <v>10</v>
      </c>
      <c r="AO47" s="1689">
        <f>ROW()</f>
        <v>47</v>
      </c>
    </row>
    <row r="48" spans="1:41" ht="14.1" customHeight="1">
      <c r="B48" s="3725"/>
      <c r="C48" s="3726"/>
      <c r="D48" s="3726"/>
      <c r="E48" s="3726"/>
      <c r="F48" s="3726"/>
      <c r="G48" s="3726"/>
      <c r="H48" s="3726"/>
      <c r="I48" s="3726"/>
      <c r="J48" s="3726"/>
      <c r="K48" s="3465"/>
      <c r="L48" s="3747"/>
      <c r="M48" s="3748"/>
      <c r="N48" s="3749"/>
      <c r="P48" s="1522"/>
      <c r="Q48" s="801"/>
      <c r="R48" s="801"/>
      <c r="S48" s="801"/>
      <c r="T48" s="801"/>
      <c r="U48" s="801"/>
      <c r="V48" s="801"/>
      <c r="W48" s="801"/>
      <c r="X48" s="801"/>
      <c r="Y48" s="801"/>
      <c r="Z48" s="801"/>
      <c r="AA48" s="801"/>
      <c r="AB48" s="801"/>
      <c r="AC48" s="801"/>
      <c r="AD48" s="801"/>
      <c r="AE48" s="801"/>
      <c r="AF48" s="801"/>
      <c r="AG48" s="801"/>
      <c r="AH48" s="801"/>
      <c r="AI48" s="1523"/>
      <c r="AK48" s="1374" t="s">
        <v>284</v>
      </c>
      <c r="AL48" s="1370">
        <f>'User Inputs'!G25</f>
        <v>3</v>
      </c>
      <c r="AM48" s="1370">
        <f>'User Inputs'!H25</f>
        <v>3</v>
      </c>
      <c r="AN48" s="1370">
        <f>'User Inputs'!I25</f>
        <v>10</v>
      </c>
      <c r="AO48" s="1689">
        <f>ROW()</f>
        <v>48</v>
      </c>
    </row>
    <row r="49" spans="2:41" ht="14.1" customHeight="1">
      <c r="B49" s="3725"/>
      <c r="C49" s="3726"/>
      <c r="D49" s="3726"/>
      <c r="E49" s="3726"/>
      <c r="F49" s="3726"/>
      <c r="G49" s="3726"/>
      <c r="H49" s="3726"/>
      <c r="I49" s="3726"/>
      <c r="J49" s="3726"/>
      <c r="K49" s="3465"/>
      <c r="L49" s="3747"/>
      <c r="M49" s="3748"/>
      <c r="N49" s="3749"/>
      <c r="P49" s="1522"/>
      <c r="Q49" s="801"/>
      <c r="R49" s="801"/>
      <c r="S49" s="801"/>
      <c r="T49" s="801"/>
      <c r="U49" s="801"/>
      <c r="V49" s="801"/>
      <c r="W49" s="801"/>
      <c r="X49" s="801"/>
      <c r="Y49" s="801"/>
      <c r="Z49" s="801"/>
      <c r="AA49" s="801"/>
      <c r="AB49" s="801"/>
      <c r="AC49" s="801"/>
      <c r="AD49" s="801"/>
      <c r="AE49" s="801"/>
      <c r="AF49" s="801"/>
      <c r="AG49" s="801"/>
      <c r="AH49" s="801"/>
      <c r="AI49" s="1523"/>
      <c r="AK49" s="1373"/>
      <c r="AL49" s="1370">
        <f>'User Inputs'!G25</f>
        <v>3</v>
      </c>
      <c r="AM49" s="1370">
        <f>'User Inputs'!H25</f>
        <v>3</v>
      </c>
      <c r="AN49" s="1370">
        <f>'User Inputs'!I25</f>
        <v>10</v>
      </c>
      <c r="AO49" s="1689">
        <f>ROW()</f>
        <v>49</v>
      </c>
    </row>
    <row r="50" spans="2:41" ht="14.1" customHeight="1">
      <c r="B50" s="3725"/>
      <c r="C50" s="3726"/>
      <c r="D50" s="3726"/>
      <c r="E50" s="3726"/>
      <c r="F50" s="3726"/>
      <c r="G50" s="3726"/>
      <c r="H50" s="3726"/>
      <c r="I50" s="3726"/>
      <c r="J50" s="3726"/>
      <c r="K50" s="3465"/>
      <c r="L50" s="3747"/>
      <c r="M50" s="3748"/>
      <c r="N50" s="3749"/>
      <c r="P50" s="1522"/>
      <c r="Q50" s="801"/>
      <c r="R50" s="801"/>
      <c r="S50" s="801"/>
      <c r="T50" s="801"/>
      <c r="U50" s="801"/>
      <c r="V50" s="801"/>
      <c r="W50" s="801"/>
      <c r="X50" s="801"/>
      <c r="Y50" s="801"/>
      <c r="Z50" s="801"/>
      <c r="AA50" s="801"/>
      <c r="AB50" s="801"/>
      <c r="AC50" s="801"/>
      <c r="AD50" s="801"/>
      <c r="AE50" s="801"/>
      <c r="AF50" s="801"/>
      <c r="AG50" s="801"/>
      <c r="AH50" s="801"/>
      <c r="AI50" s="1523"/>
      <c r="AK50" s="1374" t="s">
        <v>285</v>
      </c>
      <c r="AL50" s="1370">
        <f>'User Inputs'!G26</f>
        <v>7</v>
      </c>
      <c r="AM50" s="1370">
        <f>'User Inputs'!H26</f>
        <v>7</v>
      </c>
      <c r="AN50" s="1370">
        <f>'User Inputs'!I26</f>
        <v>10</v>
      </c>
      <c r="AO50" s="1689">
        <f>ROW()</f>
        <v>50</v>
      </c>
    </row>
    <row r="51" spans="2:41" ht="14.1" customHeight="1">
      <c r="B51" s="3725"/>
      <c r="C51" s="3726"/>
      <c r="D51" s="3726"/>
      <c r="E51" s="3726"/>
      <c r="F51" s="3726"/>
      <c r="G51" s="3726"/>
      <c r="H51" s="3726"/>
      <c r="I51" s="3726"/>
      <c r="J51" s="3726"/>
      <c r="K51" s="3465"/>
      <c r="L51" s="3747"/>
      <c r="M51" s="3748"/>
      <c r="N51" s="3749"/>
      <c r="P51" s="1522"/>
      <c r="Q51" s="801"/>
      <c r="R51" s="801"/>
      <c r="S51" s="801"/>
      <c r="T51" s="801"/>
      <c r="U51" s="801"/>
      <c r="V51" s="801"/>
      <c r="W51" s="801"/>
      <c r="X51" s="801"/>
      <c r="Y51" s="801"/>
      <c r="Z51" s="801"/>
      <c r="AA51" s="801"/>
      <c r="AB51" s="801"/>
      <c r="AC51" s="801"/>
      <c r="AD51" s="801"/>
      <c r="AE51" s="801"/>
      <c r="AF51" s="801"/>
      <c r="AG51" s="801"/>
      <c r="AH51" s="801"/>
      <c r="AI51" s="1523"/>
      <c r="AK51" s="1373"/>
      <c r="AL51" s="1370">
        <f>'User Inputs'!G29</f>
        <v>9.5</v>
      </c>
      <c r="AM51" s="1370">
        <f>'User Inputs'!H29</f>
        <v>9.5</v>
      </c>
      <c r="AN51" s="1370">
        <f>'User Inputs'!I29</f>
        <v>10</v>
      </c>
      <c r="AO51" s="1689">
        <f>ROW()</f>
        <v>51</v>
      </c>
    </row>
    <row r="52" spans="2:41" ht="14.1" customHeight="1" thickBot="1">
      <c r="B52" s="3727"/>
      <c r="C52" s="3728"/>
      <c r="D52" s="3728"/>
      <c r="E52" s="3728"/>
      <c r="F52" s="3728"/>
      <c r="G52" s="3728"/>
      <c r="H52" s="3728"/>
      <c r="I52" s="3728"/>
      <c r="J52" s="3728"/>
      <c r="K52" s="3466"/>
      <c r="L52" s="3750"/>
      <c r="M52" s="3751"/>
      <c r="N52" s="3752"/>
      <c r="P52" s="1522"/>
      <c r="Q52" s="801"/>
      <c r="R52" s="801"/>
      <c r="S52" s="801"/>
      <c r="T52" s="801"/>
      <c r="U52" s="801"/>
      <c r="V52" s="801"/>
      <c r="W52" s="801"/>
      <c r="X52" s="801"/>
      <c r="Y52" s="801"/>
      <c r="Z52" s="801"/>
      <c r="AA52" s="801"/>
      <c r="AB52" s="801"/>
      <c r="AC52" s="801"/>
      <c r="AD52" s="801"/>
      <c r="AE52" s="801"/>
      <c r="AF52" s="801"/>
      <c r="AG52" s="801"/>
      <c r="AH52" s="801"/>
      <c r="AI52" s="1523"/>
      <c r="AK52" s="1373"/>
      <c r="AL52" s="1370">
        <f>'User Inputs'!G29</f>
        <v>9.5</v>
      </c>
      <c r="AM52" s="1370">
        <f>'User Inputs'!H29</f>
        <v>9.5</v>
      </c>
      <c r="AN52" s="1370">
        <f>'User Inputs'!I29</f>
        <v>10</v>
      </c>
      <c r="AO52" s="1689">
        <f>ROW()</f>
        <v>52</v>
      </c>
    </row>
    <row r="53" spans="2:41" ht="14.1" customHeight="1" thickBot="1">
      <c r="Q53" s="801"/>
      <c r="R53" s="801"/>
      <c r="S53" s="801"/>
      <c r="T53" s="801"/>
      <c r="U53" s="801"/>
      <c r="V53" s="801"/>
      <c r="W53" s="801"/>
      <c r="X53" s="801"/>
      <c r="Y53" s="801"/>
      <c r="Z53" s="801"/>
      <c r="AA53" s="801"/>
      <c r="AB53" s="801"/>
      <c r="AK53" s="1374" t="s">
        <v>386</v>
      </c>
      <c r="AL53" s="1370">
        <f>'User Inputs'!G29</f>
        <v>9.5</v>
      </c>
      <c r="AM53" s="1370">
        <f>'User Inputs'!H29</f>
        <v>9.5</v>
      </c>
      <c r="AN53" s="1370">
        <f>'User Inputs'!I29</f>
        <v>10</v>
      </c>
      <c r="AO53" s="1689">
        <f>ROW()</f>
        <v>53</v>
      </c>
    </row>
    <row r="54" spans="2:41" ht="14.1" customHeight="1">
      <c r="B54" s="3757" t="s">
        <v>6048</v>
      </c>
      <c r="C54" s="3758"/>
      <c r="D54" s="3758"/>
      <c r="E54" s="3758"/>
      <c r="F54" s="3758"/>
      <c r="G54" s="3758"/>
      <c r="H54" s="3758"/>
      <c r="I54" s="3758"/>
      <c r="J54" s="3758"/>
      <c r="K54" s="3758"/>
      <c r="L54" s="3735" t="s">
        <v>6079</v>
      </c>
      <c r="M54" s="3736"/>
      <c r="N54" s="3737"/>
      <c r="O54" s="3452"/>
      <c r="P54" s="2002" t="s">
        <v>385</v>
      </c>
      <c r="Q54" s="1520"/>
      <c r="R54" s="1520"/>
      <c r="S54" s="1520"/>
      <c r="T54" s="1520"/>
      <c r="U54" s="1520"/>
      <c r="V54" s="1520"/>
      <c r="W54" s="1520"/>
      <c r="X54" s="1520"/>
      <c r="Y54" s="1520"/>
      <c r="Z54" s="1520"/>
      <c r="AA54" s="1520"/>
      <c r="AB54" s="1520"/>
      <c r="AC54" s="1520"/>
      <c r="AD54" s="1520"/>
      <c r="AE54" s="1520"/>
      <c r="AF54" s="1520"/>
      <c r="AG54" s="1520"/>
      <c r="AH54" s="1520"/>
      <c r="AI54" s="1521"/>
      <c r="AJ54" s="801"/>
      <c r="AK54" s="1374"/>
      <c r="AL54" s="1370">
        <f>'User Inputs'!G28</f>
        <v>9.5</v>
      </c>
      <c r="AM54" s="1370">
        <f>'User Inputs'!H28</f>
        <v>9.5</v>
      </c>
      <c r="AN54" s="1370">
        <f>'User Inputs'!I28</f>
        <v>10</v>
      </c>
      <c r="AO54" s="1689">
        <f>ROW()</f>
        <v>54</v>
      </c>
    </row>
    <row r="55" spans="2:41" ht="14.1" customHeight="1">
      <c r="B55" s="3759"/>
      <c r="C55" s="3760"/>
      <c r="D55" s="3760"/>
      <c r="E55" s="3760"/>
      <c r="F55" s="3760"/>
      <c r="G55" s="3760"/>
      <c r="H55" s="3760"/>
      <c r="I55" s="3760"/>
      <c r="J55" s="3760"/>
      <c r="K55" s="3760"/>
      <c r="L55" s="3738"/>
      <c r="M55" s="3739"/>
      <c r="N55" s="3740"/>
      <c r="O55" s="801"/>
      <c r="P55" s="3753" t="s">
        <v>6046</v>
      </c>
      <c r="Q55" s="3754"/>
      <c r="R55" s="3754"/>
      <c r="S55" s="3754"/>
      <c r="T55" s="3754"/>
      <c r="U55" s="3754"/>
      <c r="V55" s="3754"/>
      <c r="W55" s="3754"/>
      <c r="X55" s="3754"/>
      <c r="Y55" s="3754"/>
      <c r="Z55" s="3754"/>
      <c r="AA55" s="3754"/>
      <c r="AB55" s="3754"/>
      <c r="AC55" s="3754"/>
      <c r="AD55" s="3754"/>
      <c r="AE55" s="3754"/>
      <c r="AF55" s="3754"/>
      <c r="AG55" s="3754"/>
      <c r="AH55" s="3754"/>
      <c r="AI55" s="3755"/>
      <c r="AJ55" s="801"/>
      <c r="AK55" s="1374" t="s">
        <v>890</v>
      </c>
      <c r="AL55" s="1370">
        <f>'User Inputs'!G27</f>
        <v>7</v>
      </c>
      <c r="AM55" s="1370">
        <f>'User Inputs'!H27</f>
        <v>7</v>
      </c>
      <c r="AN55" s="1370">
        <f>'User Inputs'!I27</f>
        <v>10</v>
      </c>
      <c r="AO55" s="1689">
        <f>ROW()</f>
        <v>55</v>
      </c>
    </row>
    <row r="56" spans="2:41" ht="14.1" customHeight="1">
      <c r="B56" s="3759"/>
      <c r="C56" s="3760"/>
      <c r="D56" s="3760"/>
      <c r="E56" s="3760"/>
      <c r="F56" s="3760"/>
      <c r="G56" s="3760"/>
      <c r="H56" s="3760"/>
      <c r="I56" s="3760"/>
      <c r="J56" s="3760"/>
      <c r="K56" s="3760"/>
      <c r="L56" s="3738"/>
      <c r="M56" s="3739"/>
      <c r="N56" s="3740"/>
      <c r="O56" s="801"/>
      <c r="P56" s="3756"/>
      <c r="Q56" s="3754"/>
      <c r="R56" s="3754"/>
      <c r="S56" s="3754"/>
      <c r="T56" s="3754"/>
      <c r="U56" s="3754"/>
      <c r="V56" s="3754"/>
      <c r="W56" s="3754"/>
      <c r="X56" s="3754"/>
      <c r="Y56" s="3754"/>
      <c r="Z56" s="3754"/>
      <c r="AA56" s="3754"/>
      <c r="AB56" s="3754"/>
      <c r="AC56" s="3754"/>
      <c r="AD56" s="3754"/>
      <c r="AE56" s="3754"/>
      <c r="AF56" s="3754"/>
      <c r="AG56" s="3754"/>
      <c r="AH56" s="3754"/>
      <c r="AI56" s="3755"/>
      <c r="AJ56" s="801"/>
      <c r="AK56" s="1374"/>
      <c r="AL56" s="1370">
        <f>'User Inputs'!G27</f>
        <v>7</v>
      </c>
      <c r="AM56" s="1370">
        <f>'User Inputs'!H27</f>
        <v>7</v>
      </c>
      <c r="AN56" s="1370">
        <f>'User Inputs'!I27</f>
        <v>10</v>
      </c>
      <c r="AO56" s="1689">
        <f>ROW()</f>
        <v>56</v>
      </c>
    </row>
    <row r="57" spans="2:41" ht="14.1" customHeight="1">
      <c r="B57" s="3761"/>
      <c r="C57" s="3681"/>
      <c r="D57" s="3681"/>
      <c r="E57" s="3681"/>
      <c r="F57" s="3681"/>
      <c r="G57" s="3681"/>
      <c r="H57" s="3681"/>
      <c r="I57" s="3681"/>
      <c r="J57" s="3681"/>
      <c r="K57" s="3681"/>
      <c r="L57" s="3738"/>
      <c r="M57" s="3739"/>
      <c r="N57" s="3740"/>
      <c r="O57" s="801"/>
      <c r="P57" s="1522"/>
      <c r="Q57" s="801"/>
      <c r="R57" s="801"/>
      <c r="S57" s="801"/>
      <c r="T57" s="801"/>
      <c r="U57" s="801"/>
      <c r="V57" s="801"/>
      <c r="W57" s="801"/>
      <c r="X57" s="801"/>
      <c r="Y57" s="801"/>
      <c r="Z57" s="801"/>
      <c r="AA57" s="801"/>
      <c r="AB57" s="801"/>
      <c r="AC57" s="801"/>
      <c r="AD57" s="801"/>
      <c r="AE57" s="801"/>
      <c r="AF57" s="801"/>
      <c r="AG57" s="801"/>
      <c r="AH57" s="801"/>
      <c r="AI57" s="1523"/>
      <c r="AJ57" s="801"/>
      <c r="AK57" s="1374" t="s">
        <v>890</v>
      </c>
      <c r="AL57" s="1370">
        <f>'User Inputs'!G27</f>
        <v>7</v>
      </c>
      <c r="AM57" s="1370">
        <f>'User Inputs'!H27</f>
        <v>7</v>
      </c>
      <c r="AN57" s="1370">
        <f>'User Inputs'!I27</f>
        <v>10</v>
      </c>
      <c r="AO57" s="1689">
        <f>ROW()</f>
        <v>57</v>
      </c>
    </row>
    <row r="58" spans="2:41" ht="14.1" customHeight="1">
      <c r="B58" s="3761"/>
      <c r="C58" s="3681"/>
      <c r="D58" s="3681"/>
      <c r="E58" s="3681"/>
      <c r="F58" s="3681"/>
      <c r="G58" s="3681"/>
      <c r="H58" s="3681"/>
      <c r="I58" s="3681"/>
      <c r="J58" s="3681"/>
      <c r="K58" s="3681"/>
      <c r="L58" s="3738"/>
      <c r="M58" s="3739"/>
      <c r="N58" s="3740"/>
      <c r="O58" s="801"/>
      <c r="P58" s="1522"/>
      <c r="Q58" s="801"/>
      <c r="R58" s="801"/>
      <c r="S58" s="801"/>
      <c r="T58" s="801"/>
      <c r="U58" s="801"/>
      <c r="V58" s="801"/>
      <c r="W58" s="801"/>
      <c r="X58" s="801"/>
      <c r="Y58" s="801"/>
      <c r="Z58" s="801"/>
      <c r="AA58" s="801"/>
      <c r="AB58" s="801"/>
      <c r="AC58" s="801"/>
      <c r="AD58" s="801"/>
      <c r="AE58" s="801"/>
      <c r="AF58" s="801"/>
      <c r="AG58" s="801"/>
      <c r="AH58" s="801"/>
      <c r="AI58" s="1523"/>
      <c r="AJ58" s="801"/>
      <c r="AK58" s="1374"/>
      <c r="AL58" s="1370">
        <f>'User Inputs'!G27</f>
        <v>7</v>
      </c>
      <c r="AM58" s="1370">
        <f>'User Inputs'!H27</f>
        <v>7</v>
      </c>
      <c r="AN58" s="1370">
        <f>'User Inputs'!I27</f>
        <v>10</v>
      </c>
      <c r="AO58" s="1689">
        <f>ROW()</f>
        <v>58</v>
      </c>
    </row>
    <row r="59" spans="2:41" ht="14.1" customHeight="1">
      <c r="B59" s="3761"/>
      <c r="C59" s="3681"/>
      <c r="D59" s="3681"/>
      <c r="E59" s="3681"/>
      <c r="F59" s="3681"/>
      <c r="G59" s="3681"/>
      <c r="H59" s="3681"/>
      <c r="I59" s="3681"/>
      <c r="J59" s="3681"/>
      <c r="K59" s="3681"/>
      <c r="L59" s="3741"/>
      <c r="M59" s="3742"/>
      <c r="N59" s="3743"/>
      <c r="O59" s="801"/>
      <c r="P59" s="1522"/>
      <c r="Q59" s="801"/>
      <c r="R59" s="801"/>
      <c r="S59" s="801"/>
      <c r="T59" s="801"/>
      <c r="U59" s="801"/>
      <c r="V59" s="801"/>
      <c r="W59" s="801"/>
      <c r="X59" s="801"/>
      <c r="Y59" s="801"/>
      <c r="Z59" s="801"/>
      <c r="AA59" s="801"/>
      <c r="AB59" s="801"/>
      <c r="AC59" s="801"/>
      <c r="AD59" s="801"/>
      <c r="AE59" s="801"/>
      <c r="AF59" s="801"/>
      <c r="AG59" s="801"/>
      <c r="AH59" s="801"/>
      <c r="AI59" s="1523"/>
      <c r="AJ59" s="801"/>
      <c r="AK59" s="1374" t="s">
        <v>1008</v>
      </c>
      <c r="AL59" s="1370">
        <f>'User Inputs'!G28</f>
        <v>9.5</v>
      </c>
      <c r="AM59" s="1370">
        <f>'User Inputs'!H28</f>
        <v>9.5</v>
      </c>
      <c r="AN59" s="1370">
        <f>'User Inputs'!I28</f>
        <v>10</v>
      </c>
      <c r="AO59" s="1689">
        <f>ROW()</f>
        <v>59</v>
      </c>
    </row>
    <row r="60" spans="2:41" ht="14.1" customHeight="1">
      <c r="B60" s="3761"/>
      <c r="C60" s="3681"/>
      <c r="D60" s="3681"/>
      <c r="E60" s="3681"/>
      <c r="F60" s="3681"/>
      <c r="G60" s="3681"/>
      <c r="H60" s="3681"/>
      <c r="I60" s="3681"/>
      <c r="J60" s="3681"/>
      <c r="K60" s="3681"/>
      <c r="L60" s="801"/>
      <c r="M60" s="801"/>
      <c r="N60" s="1527"/>
      <c r="O60" s="801"/>
      <c r="P60" s="1522"/>
      <c r="Q60" s="801"/>
      <c r="R60" s="801"/>
      <c r="S60" s="801"/>
      <c r="T60" s="801"/>
      <c r="U60" s="801"/>
      <c r="V60" s="801"/>
      <c r="W60" s="801"/>
      <c r="X60" s="801"/>
      <c r="Y60" s="801"/>
      <c r="Z60" s="801"/>
      <c r="AA60" s="801"/>
      <c r="AB60" s="801"/>
      <c r="AC60" s="801"/>
      <c r="AD60" s="801"/>
      <c r="AE60" s="801"/>
      <c r="AF60" s="801"/>
      <c r="AG60" s="801"/>
      <c r="AH60" s="801"/>
      <c r="AI60" s="1523"/>
      <c r="AJ60" s="801"/>
      <c r="AK60" s="1374"/>
      <c r="AL60" s="1370">
        <f>'User Inputs'!G28</f>
        <v>9.5</v>
      </c>
      <c r="AM60" s="1370">
        <f>'User Inputs'!H28</f>
        <v>9.5</v>
      </c>
      <c r="AN60" s="1370">
        <f>'User Inputs'!I28</f>
        <v>10</v>
      </c>
      <c r="AO60" s="1689">
        <f>ROW()</f>
        <v>60</v>
      </c>
    </row>
    <row r="61" spans="2:41" ht="14.1" customHeight="1">
      <c r="B61" s="3761"/>
      <c r="C61" s="3681"/>
      <c r="D61" s="3681"/>
      <c r="E61" s="3681"/>
      <c r="F61" s="3681"/>
      <c r="G61" s="3681"/>
      <c r="H61" s="3681"/>
      <c r="I61" s="3681"/>
      <c r="J61" s="3681"/>
      <c r="K61" s="3681"/>
      <c r="L61" s="801"/>
      <c r="M61" s="801"/>
      <c r="N61" s="1527"/>
      <c r="O61" s="801"/>
      <c r="P61" s="1522"/>
      <c r="Q61" s="801"/>
      <c r="R61" s="801"/>
      <c r="S61" s="801"/>
      <c r="T61" s="801"/>
      <c r="U61" s="801"/>
      <c r="V61" s="801"/>
      <c r="W61" s="801"/>
      <c r="X61" s="801"/>
      <c r="Y61" s="801"/>
      <c r="Z61" s="801"/>
      <c r="AA61" s="801"/>
      <c r="AB61" s="801"/>
      <c r="AC61" s="801"/>
      <c r="AD61" s="801"/>
      <c r="AE61" s="801"/>
      <c r="AF61" s="801"/>
      <c r="AG61" s="801"/>
      <c r="AH61" s="801"/>
      <c r="AI61" s="1523"/>
      <c r="AJ61" s="801"/>
      <c r="AK61" s="1374" t="s">
        <v>891</v>
      </c>
      <c r="AL61" s="1370">
        <f>'User Inputs'!G28</f>
        <v>9.5</v>
      </c>
      <c r="AM61" s="1370">
        <f>'User Inputs'!H28</f>
        <v>9.5</v>
      </c>
      <c r="AN61" s="1370">
        <f>'User Inputs'!I28</f>
        <v>10</v>
      </c>
      <c r="AO61" s="1689">
        <f>ROW()</f>
        <v>61</v>
      </c>
    </row>
    <row r="62" spans="2:41" ht="14.1" customHeight="1">
      <c r="B62" s="3761"/>
      <c r="C62" s="3681"/>
      <c r="D62" s="3681"/>
      <c r="E62" s="3681"/>
      <c r="F62" s="3681"/>
      <c r="G62" s="3681"/>
      <c r="H62" s="3681"/>
      <c r="I62" s="3681"/>
      <c r="J62" s="3681"/>
      <c r="K62" s="3681"/>
      <c r="L62" s="801"/>
      <c r="M62" s="801"/>
      <c r="N62" s="1527"/>
      <c r="O62" s="801"/>
      <c r="P62" s="1522"/>
      <c r="Q62" s="801"/>
      <c r="R62" s="801"/>
      <c r="S62" s="801"/>
      <c r="T62" s="801"/>
      <c r="U62" s="801"/>
      <c r="V62" s="801"/>
      <c r="W62" s="801"/>
      <c r="X62" s="801"/>
      <c r="Y62" s="801"/>
      <c r="Z62" s="801"/>
      <c r="AA62" s="801"/>
      <c r="AB62" s="801"/>
      <c r="AC62" s="801"/>
      <c r="AD62" s="801"/>
      <c r="AE62" s="801"/>
      <c r="AF62" s="801"/>
      <c r="AG62" s="801"/>
      <c r="AH62" s="801"/>
      <c r="AI62" s="1523"/>
      <c r="AJ62" s="801"/>
      <c r="AK62" s="1374"/>
      <c r="AL62" s="1370">
        <f>'User Inputs'!G28</f>
        <v>9.5</v>
      </c>
      <c r="AM62" s="1370">
        <f>'User Inputs'!H28</f>
        <v>9.5</v>
      </c>
      <c r="AN62" s="1370">
        <f>'User Inputs'!I28</f>
        <v>10</v>
      </c>
      <c r="AO62" s="1689">
        <f>ROW()</f>
        <v>62</v>
      </c>
    </row>
    <row r="63" spans="2:41" ht="14.1" customHeight="1">
      <c r="B63" s="3761"/>
      <c r="C63" s="3681"/>
      <c r="D63" s="3681"/>
      <c r="E63" s="3681"/>
      <c r="F63" s="3681"/>
      <c r="G63" s="3681"/>
      <c r="H63" s="3681"/>
      <c r="I63" s="3681"/>
      <c r="J63" s="3681"/>
      <c r="K63" s="3681"/>
      <c r="L63" s="801"/>
      <c r="M63" s="801"/>
      <c r="N63" s="1527"/>
      <c r="O63" s="801"/>
      <c r="P63" s="1522"/>
      <c r="Q63" s="801"/>
      <c r="R63" s="801"/>
      <c r="S63" s="801"/>
      <c r="T63" s="801"/>
      <c r="U63" s="801"/>
      <c r="V63" s="801"/>
      <c r="W63" s="801"/>
      <c r="X63" s="801"/>
      <c r="Y63" s="801"/>
      <c r="Z63" s="801"/>
      <c r="AA63" s="801"/>
      <c r="AB63" s="801"/>
      <c r="AC63" s="801"/>
      <c r="AD63" s="801"/>
      <c r="AE63" s="801"/>
      <c r="AF63" s="801"/>
      <c r="AG63" s="801"/>
      <c r="AH63" s="801"/>
      <c r="AI63" s="1523"/>
      <c r="AJ63" s="801"/>
      <c r="AK63" s="1374" t="s">
        <v>2880</v>
      </c>
      <c r="AL63" s="1370">
        <f>'User Inputs'!G28</f>
        <v>9.5</v>
      </c>
      <c r="AM63" s="1370">
        <f>'User Inputs'!H28</f>
        <v>9.5</v>
      </c>
      <c r="AN63" s="1370">
        <f>'User Inputs'!I28</f>
        <v>10</v>
      </c>
      <c r="AO63" s="1689">
        <f>ROW()</f>
        <v>63</v>
      </c>
    </row>
    <row r="64" spans="2:41" ht="14.1" customHeight="1">
      <c r="B64" s="3761"/>
      <c r="C64" s="3681"/>
      <c r="D64" s="3681"/>
      <c r="E64" s="3681"/>
      <c r="F64" s="3681"/>
      <c r="G64" s="3681"/>
      <c r="H64" s="3681"/>
      <c r="I64" s="3681"/>
      <c r="J64" s="3681"/>
      <c r="K64" s="3681"/>
      <c r="L64" s="801"/>
      <c r="M64" s="801"/>
      <c r="N64" s="3458"/>
      <c r="O64" s="801"/>
      <c r="P64" s="1522"/>
      <c r="Q64" s="801"/>
      <c r="R64" s="801"/>
      <c r="S64" s="801"/>
      <c r="T64" s="801"/>
      <c r="U64" s="801"/>
      <c r="V64" s="801"/>
      <c r="W64" s="801"/>
      <c r="X64" s="801"/>
      <c r="Y64" s="801"/>
      <c r="Z64" s="801"/>
      <c r="AA64" s="801"/>
      <c r="AB64" s="801"/>
      <c r="AC64" s="801"/>
      <c r="AD64" s="801"/>
      <c r="AE64" s="801"/>
      <c r="AF64" s="801"/>
      <c r="AG64" s="801"/>
      <c r="AH64" s="801"/>
      <c r="AI64" s="1523"/>
      <c r="AJ64" s="801"/>
      <c r="AK64" s="1374"/>
      <c r="AL64" s="1370">
        <f>'User Inputs'!G28</f>
        <v>9.5</v>
      </c>
      <c r="AM64" s="1370">
        <f>'User Inputs'!H28</f>
        <v>9.5</v>
      </c>
      <c r="AN64" s="1370">
        <f>'User Inputs'!I28</f>
        <v>10</v>
      </c>
      <c r="AO64" s="1689">
        <f>ROW()</f>
        <v>64</v>
      </c>
    </row>
    <row r="65" spans="2:41" ht="14.1" customHeight="1" thickBot="1">
      <c r="B65" s="3761"/>
      <c r="C65" s="3681"/>
      <c r="D65" s="3681"/>
      <c r="E65" s="3681"/>
      <c r="F65" s="3681"/>
      <c r="G65" s="3681"/>
      <c r="H65" s="3681"/>
      <c r="I65" s="3681"/>
      <c r="J65" s="3681"/>
      <c r="K65" s="3681"/>
      <c r="L65" s="801"/>
      <c r="M65" s="801"/>
      <c r="N65" s="1527"/>
      <c r="O65" s="801"/>
      <c r="P65" s="1522"/>
      <c r="Q65" s="801"/>
      <c r="R65" s="801"/>
      <c r="S65" s="801"/>
      <c r="T65" s="801"/>
      <c r="U65" s="801"/>
      <c r="V65" s="801"/>
      <c r="W65" s="801"/>
      <c r="X65" s="801"/>
      <c r="Y65" s="801"/>
      <c r="Z65" s="801"/>
      <c r="AA65" s="801"/>
      <c r="AB65" s="801"/>
      <c r="AC65" s="801"/>
      <c r="AD65" s="801"/>
      <c r="AE65" s="801"/>
      <c r="AF65" s="801"/>
      <c r="AG65" s="801"/>
      <c r="AH65" s="801"/>
      <c r="AI65" s="1523"/>
      <c r="AJ65" s="801"/>
      <c r="AK65" s="1374" t="s">
        <v>387</v>
      </c>
      <c r="AL65" s="1370">
        <f>'User Inputs'!G26</f>
        <v>7</v>
      </c>
      <c r="AM65" s="1370">
        <f>'User Inputs'!H26</f>
        <v>7</v>
      </c>
      <c r="AN65" s="1370">
        <f>'User Inputs'!I26</f>
        <v>10</v>
      </c>
      <c r="AO65" s="1689">
        <f>ROW()</f>
        <v>65</v>
      </c>
    </row>
    <row r="66" spans="2:41" ht="14.1" customHeight="1">
      <c r="B66" s="3761"/>
      <c r="C66" s="3681"/>
      <c r="D66" s="3681"/>
      <c r="E66" s="3681"/>
      <c r="F66" s="3681"/>
      <c r="G66" s="3681"/>
      <c r="H66" s="3681"/>
      <c r="I66" s="3681"/>
      <c r="J66" s="3681"/>
      <c r="K66" s="3681"/>
      <c r="L66" s="3744" t="str">
        <f>CONCATENATE("To activate this plan in the BTA, enter '5' in Cell H",Results!M25, " of the 'Results' worksheet tab.")</f>
        <v>To activate this plan in the BTA, enter '5' in Cell H25 of the 'Results' worksheet tab.</v>
      </c>
      <c r="M66" s="3745"/>
      <c r="N66" s="3746"/>
      <c r="O66" s="801"/>
      <c r="P66" s="1522"/>
      <c r="Q66" s="801"/>
      <c r="R66" s="801"/>
      <c r="S66" s="801"/>
      <c r="T66" s="801"/>
      <c r="U66" s="801"/>
      <c r="V66" s="801"/>
      <c r="W66" s="801"/>
      <c r="X66" s="801"/>
      <c r="Y66" s="801"/>
      <c r="Z66" s="801"/>
      <c r="AA66" s="801"/>
      <c r="AB66" s="801"/>
      <c r="AC66" s="801"/>
      <c r="AD66" s="801"/>
      <c r="AE66" s="801"/>
      <c r="AF66" s="801"/>
      <c r="AG66" s="801"/>
      <c r="AH66" s="801"/>
      <c r="AI66" s="1523"/>
      <c r="AJ66" s="801"/>
      <c r="AK66" s="1374"/>
      <c r="AL66" s="1370">
        <f>'User Inputs'!G26</f>
        <v>7</v>
      </c>
      <c r="AM66" s="1370">
        <f>'User Inputs'!H26</f>
        <v>7</v>
      </c>
      <c r="AN66" s="1370">
        <f>'User Inputs'!I26</f>
        <v>10</v>
      </c>
      <c r="AO66" s="1689">
        <f>ROW()</f>
        <v>66</v>
      </c>
    </row>
    <row r="67" spans="2:41" ht="14.1" customHeight="1">
      <c r="B67" s="3761"/>
      <c r="C67" s="3681"/>
      <c r="D67" s="3681"/>
      <c r="E67" s="3681"/>
      <c r="F67" s="3681"/>
      <c r="G67" s="3681"/>
      <c r="H67" s="3681"/>
      <c r="I67" s="3681"/>
      <c r="J67" s="3681"/>
      <c r="K67" s="3681"/>
      <c r="L67" s="3747"/>
      <c r="M67" s="3748"/>
      <c r="N67" s="3749"/>
      <c r="O67" s="801"/>
      <c r="P67" s="1522"/>
      <c r="Q67" s="801"/>
      <c r="R67" s="801"/>
      <c r="S67" s="801"/>
      <c r="T67" s="801"/>
      <c r="U67" s="801"/>
      <c r="V67" s="801"/>
      <c r="W67" s="801"/>
      <c r="X67" s="801"/>
      <c r="Y67" s="801"/>
      <c r="Z67" s="801"/>
      <c r="AA67" s="801"/>
      <c r="AB67" s="801"/>
      <c r="AC67" s="801"/>
      <c r="AD67" s="801"/>
      <c r="AE67" s="801"/>
      <c r="AF67" s="801"/>
      <c r="AG67" s="801"/>
      <c r="AH67" s="801"/>
      <c r="AI67" s="1523"/>
      <c r="AJ67" s="801"/>
      <c r="AK67" s="1375" t="s">
        <v>1873</v>
      </c>
      <c r="AL67" s="1370">
        <f>'User Inputs'!G26</f>
        <v>7</v>
      </c>
      <c r="AM67" s="1370">
        <f>'User Inputs'!H26</f>
        <v>7</v>
      </c>
      <c r="AN67" s="1370">
        <f>'User Inputs'!I26</f>
        <v>10</v>
      </c>
      <c r="AO67" s="1689">
        <f>ROW()</f>
        <v>67</v>
      </c>
    </row>
    <row r="68" spans="2:41" ht="14.1" customHeight="1">
      <c r="B68" s="3761"/>
      <c r="C68" s="3681"/>
      <c r="D68" s="3681"/>
      <c r="E68" s="3681"/>
      <c r="F68" s="3681"/>
      <c r="G68" s="3681"/>
      <c r="H68" s="3681"/>
      <c r="I68" s="3681"/>
      <c r="J68" s="3681"/>
      <c r="K68" s="3681"/>
      <c r="L68" s="3747"/>
      <c r="M68" s="3748"/>
      <c r="N68" s="3749"/>
      <c r="O68" s="801"/>
      <c r="P68" s="1522"/>
      <c r="Q68" s="801"/>
      <c r="R68" s="801"/>
      <c r="S68" s="801"/>
      <c r="T68" s="801"/>
      <c r="U68" s="801"/>
      <c r="V68" s="801"/>
      <c r="W68" s="801"/>
      <c r="X68" s="801"/>
      <c r="Y68" s="801"/>
      <c r="Z68" s="801"/>
      <c r="AA68" s="801"/>
      <c r="AB68" s="801"/>
      <c r="AC68" s="801"/>
      <c r="AD68" s="801"/>
      <c r="AE68" s="801"/>
      <c r="AF68" s="801"/>
      <c r="AG68" s="801"/>
      <c r="AH68" s="801"/>
      <c r="AI68" s="1523"/>
      <c r="AL68" s="1370"/>
      <c r="AM68" s="1370"/>
      <c r="AN68" s="1370"/>
      <c r="AO68" s="1689">
        <f>ROW()</f>
        <v>68</v>
      </c>
    </row>
    <row r="69" spans="2:41" ht="14.1" customHeight="1">
      <c r="B69" s="3761"/>
      <c r="C69" s="3681"/>
      <c r="D69" s="3681"/>
      <c r="E69" s="3681"/>
      <c r="F69" s="3681"/>
      <c r="G69" s="3681"/>
      <c r="H69" s="3681"/>
      <c r="I69" s="3681"/>
      <c r="J69" s="3681"/>
      <c r="K69" s="3681"/>
      <c r="L69" s="3747"/>
      <c r="M69" s="3748"/>
      <c r="N69" s="3749"/>
      <c r="O69" s="801"/>
      <c r="P69" s="1522"/>
      <c r="Q69" s="801"/>
      <c r="R69" s="801"/>
      <c r="S69" s="801"/>
      <c r="T69" s="801"/>
      <c r="U69" s="801"/>
      <c r="V69" s="801"/>
      <c r="W69" s="801"/>
      <c r="X69" s="801"/>
      <c r="Y69" s="801"/>
      <c r="Z69" s="801"/>
      <c r="AA69" s="801"/>
      <c r="AB69" s="801"/>
      <c r="AC69" s="801"/>
      <c r="AD69" s="801"/>
      <c r="AE69" s="801"/>
      <c r="AF69" s="801"/>
      <c r="AG69" s="801"/>
      <c r="AH69" s="801"/>
      <c r="AI69" s="1523"/>
      <c r="AK69" s="1372" t="s">
        <v>2880</v>
      </c>
      <c r="AL69" s="1370">
        <f>'User Inputs'!G32</f>
        <v>5</v>
      </c>
      <c r="AM69" s="1370">
        <f>'User Inputs'!H32</f>
        <v>5</v>
      </c>
      <c r="AN69" s="1370">
        <f>'User Inputs'!I32</f>
        <v>10</v>
      </c>
      <c r="AO69" s="1689">
        <f>ROW()</f>
        <v>69</v>
      </c>
    </row>
    <row r="70" spans="2:41" ht="14.1" customHeight="1">
      <c r="B70" s="3761"/>
      <c r="C70" s="3681"/>
      <c r="D70" s="3681"/>
      <c r="E70" s="3681"/>
      <c r="F70" s="3681"/>
      <c r="G70" s="3681"/>
      <c r="H70" s="3681"/>
      <c r="I70" s="3681"/>
      <c r="J70" s="3681"/>
      <c r="K70" s="3681"/>
      <c r="L70" s="3747"/>
      <c r="M70" s="3748"/>
      <c r="N70" s="3749"/>
      <c r="O70" s="801"/>
      <c r="P70" s="1522"/>
      <c r="Q70" s="801"/>
      <c r="R70" s="801"/>
      <c r="S70" s="801"/>
      <c r="T70" s="801"/>
      <c r="U70" s="801"/>
      <c r="V70" s="801"/>
      <c r="W70" s="801"/>
      <c r="X70" s="801"/>
      <c r="Y70" s="801"/>
      <c r="Z70" s="801"/>
      <c r="AA70" s="801"/>
      <c r="AB70" s="801"/>
      <c r="AC70" s="801"/>
      <c r="AD70" s="801"/>
      <c r="AE70" s="801"/>
      <c r="AF70" s="801"/>
      <c r="AG70" s="801"/>
      <c r="AH70" s="801"/>
      <c r="AI70" s="1523"/>
      <c r="AK70" s="1373"/>
      <c r="AL70" s="1370">
        <f>'User Inputs'!G32</f>
        <v>5</v>
      </c>
      <c r="AM70" s="1370">
        <f>'User Inputs'!H32</f>
        <v>5</v>
      </c>
      <c r="AN70" s="1370">
        <f>'User Inputs'!I32</f>
        <v>10</v>
      </c>
      <c r="AO70" s="1689">
        <f>ROW()</f>
        <v>70</v>
      </c>
    </row>
    <row r="71" spans="2:41" ht="14.1" customHeight="1" thickBot="1">
      <c r="B71" s="3762"/>
      <c r="C71" s="3763"/>
      <c r="D71" s="3763"/>
      <c r="E71" s="3763"/>
      <c r="F71" s="3763"/>
      <c r="G71" s="3763"/>
      <c r="H71" s="3763"/>
      <c r="I71" s="3763"/>
      <c r="J71" s="3763"/>
      <c r="K71" s="3763"/>
      <c r="L71" s="3750"/>
      <c r="M71" s="3751"/>
      <c r="N71" s="3752"/>
      <c r="O71" s="801"/>
      <c r="P71" s="2001"/>
      <c r="Q71" s="1371"/>
      <c r="R71" s="1371"/>
      <c r="S71" s="1371"/>
      <c r="T71" s="1371"/>
      <c r="U71" s="1371"/>
      <c r="V71" s="1371"/>
      <c r="W71" s="1371"/>
      <c r="X71" s="1371"/>
      <c r="Y71" s="1371"/>
      <c r="Z71" s="1371"/>
      <c r="AA71" s="1371"/>
      <c r="AB71" s="1371"/>
      <c r="AC71" s="1371"/>
      <c r="AD71" s="1371"/>
      <c r="AE71" s="1371"/>
      <c r="AF71" s="1371"/>
      <c r="AG71" s="1371"/>
      <c r="AH71" s="1371"/>
      <c r="AI71" s="1524"/>
      <c r="AK71" s="1374" t="s">
        <v>283</v>
      </c>
      <c r="AL71" s="1370">
        <f>'User Inputs'!G32</f>
        <v>5</v>
      </c>
      <c r="AM71" s="1370">
        <f>'User Inputs'!H32</f>
        <v>5</v>
      </c>
      <c r="AN71" s="1370">
        <f>'User Inputs'!I32</f>
        <v>10</v>
      </c>
      <c r="AO71" s="1689">
        <f>ROW()</f>
        <v>71</v>
      </c>
    </row>
    <row r="72" spans="2:41" ht="14.1" customHeight="1" thickBot="1">
      <c r="AK72" s="1373"/>
      <c r="AL72" s="1370">
        <f>'User Inputs'!G32</f>
        <v>5</v>
      </c>
      <c r="AM72" s="1370">
        <f>'User Inputs'!H32</f>
        <v>5</v>
      </c>
      <c r="AN72" s="1370">
        <f>'User Inputs'!I32</f>
        <v>10</v>
      </c>
      <c r="AO72" s="1689">
        <f>ROW()</f>
        <v>72</v>
      </c>
    </row>
    <row r="73" spans="2:41" ht="14.1" customHeight="1">
      <c r="B73" s="3757" t="s">
        <v>6049</v>
      </c>
      <c r="C73" s="3764"/>
      <c r="D73" s="3764"/>
      <c r="E73" s="3764"/>
      <c r="F73" s="3764"/>
      <c r="G73" s="3764"/>
      <c r="H73" s="3764"/>
      <c r="I73" s="3764"/>
      <c r="J73" s="3764"/>
      <c r="K73" s="3764"/>
      <c r="L73" s="3774" t="s">
        <v>6050</v>
      </c>
      <c r="M73" s="3775"/>
      <c r="N73" s="3776"/>
      <c r="AK73" s="1374" t="s">
        <v>284</v>
      </c>
      <c r="AL73" s="1370">
        <f>'User Inputs'!G32</f>
        <v>5</v>
      </c>
      <c r="AM73" s="1370">
        <f>'User Inputs'!H32</f>
        <v>5</v>
      </c>
      <c r="AN73" s="1370">
        <f>'User Inputs'!I32</f>
        <v>10</v>
      </c>
      <c r="AO73" s="1689">
        <f>ROW()</f>
        <v>73</v>
      </c>
    </row>
    <row r="74" spans="2:41" ht="14.1" customHeight="1">
      <c r="B74" s="3761"/>
      <c r="C74" s="3681"/>
      <c r="D74" s="3681"/>
      <c r="E74" s="3681"/>
      <c r="F74" s="3681"/>
      <c r="G74" s="3681"/>
      <c r="H74" s="3681"/>
      <c r="I74" s="3681"/>
      <c r="J74" s="3681"/>
      <c r="K74" s="3681"/>
      <c r="L74" s="3741"/>
      <c r="M74" s="3742"/>
      <c r="N74" s="3777"/>
      <c r="AK74" s="1373"/>
      <c r="AL74" s="1370">
        <f>'User Inputs'!G32</f>
        <v>5</v>
      </c>
      <c r="AM74" s="1370">
        <f>'User Inputs'!H32</f>
        <v>5</v>
      </c>
      <c r="AN74" s="1370">
        <f>'User Inputs'!I32</f>
        <v>10</v>
      </c>
      <c r="AO74" s="1689">
        <f>ROW()</f>
        <v>74</v>
      </c>
    </row>
    <row r="75" spans="2:41" ht="14.1" customHeight="1">
      <c r="B75" s="3761"/>
      <c r="C75" s="3681"/>
      <c r="D75" s="3681"/>
      <c r="E75" s="3681"/>
      <c r="F75" s="3681"/>
      <c r="G75" s="3681"/>
      <c r="H75" s="3681"/>
      <c r="I75" s="3681"/>
      <c r="J75" s="3681"/>
      <c r="K75" s="3681"/>
      <c r="L75" s="801"/>
      <c r="M75" s="801"/>
      <c r="N75" s="1527"/>
      <c r="AK75" s="1374" t="s">
        <v>285</v>
      </c>
      <c r="AL75" s="1370">
        <f>'User Inputs'!G32</f>
        <v>5</v>
      </c>
      <c r="AM75" s="1370">
        <f>'User Inputs'!H32</f>
        <v>5</v>
      </c>
      <c r="AN75" s="1370">
        <f>'User Inputs'!I32</f>
        <v>10</v>
      </c>
      <c r="AO75" s="1689">
        <f>ROW()</f>
        <v>75</v>
      </c>
    </row>
    <row r="76" spans="2:41" ht="14.1" customHeight="1">
      <c r="B76" s="3761"/>
      <c r="C76" s="3681"/>
      <c r="D76" s="3681"/>
      <c r="E76" s="3681"/>
      <c r="F76" s="3681"/>
      <c r="G76" s="3681"/>
      <c r="H76" s="3681"/>
      <c r="I76" s="3681"/>
      <c r="J76" s="3681"/>
      <c r="K76" s="3681"/>
      <c r="L76" s="3765" t="str">
        <f>CONCATENATE("To activate these plans in the BTA, enter '1' or '2' (respectively) in Cell H",Results!M25, " of the 'Results' worksheet tab.")</f>
        <v>To activate these plans in the BTA, enter '1' or '2' (respectively) in Cell H25 of the 'Results' worksheet tab.</v>
      </c>
      <c r="M76" s="3766"/>
      <c r="N76" s="3767"/>
      <c r="AK76" s="1373"/>
      <c r="AL76" s="1370">
        <f>'User Inputs'!G32</f>
        <v>5</v>
      </c>
      <c r="AM76" s="1370">
        <f>'User Inputs'!H32</f>
        <v>5</v>
      </c>
      <c r="AN76" s="1370">
        <f>'User Inputs'!I32</f>
        <v>10</v>
      </c>
      <c r="AO76" s="1689">
        <f>ROW()</f>
        <v>76</v>
      </c>
    </row>
    <row r="77" spans="2:41" ht="14.1" customHeight="1">
      <c r="B77" s="3761"/>
      <c r="C77" s="3681"/>
      <c r="D77" s="3681"/>
      <c r="E77" s="3681"/>
      <c r="F77" s="3681"/>
      <c r="G77" s="3681"/>
      <c r="H77" s="3681"/>
      <c r="I77" s="3681"/>
      <c r="J77" s="3681"/>
      <c r="K77" s="3681"/>
      <c r="L77" s="3768"/>
      <c r="M77" s="3769"/>
      <c r="N77" s="3770"/>
      <c r="AK77" s="1373"/>
      <c r="AL77" s="1370">
        <f>'User Inputs'!G32</f>
        <v>5</v>
      </c>
      <c r="AM77" s="1370">
        <f>'User Inputs'!H32</f>
        <v>5</v>
      </c>
      <c r="AN77" s="1370">
        <f>'User Inputs'!I32</f>
        <v>10</v>
      </c>
      <c r="AO77" s="1689">
        <f>ROW()</f>
        <v>77</v>
      </c>
    </row>
    <row r="78" spans="2:41" ht="14.1" customHeight="1">
      <c r="B78" s="3761"/>
      <c r="C78" s="3681"/>
      <c r="D78" s="3681"/>
      <c r="E78" s="3681"/>
      <c r="F78" s="3681"/>
      <c r="G78" s="3681"/>
      <c r="H78" s="3681"/>
      <c r="I78" s="3681"/>
      <c r="J78" s="3681"/>
      <c r="K78" s="3681"/>
      <c r="L78" s="3768"/>
      <c r="M78" s="3769"/>
      <c r="N78" s="3770"/>
      <c r="AK78" s="1374" t="s">
        <v>386</v>
      </c>
      <c r="AL78" s="1370">
        <f>'User Inputs'!G32</f>
        <v>5</v>
      </c>
      <c r="AM78" s="1370">
        <f>'User Inputs'!H32</f>
        <v>5</v>
      </c>
      <c r="AN78" s="1370">
        <f>'User Inputs'!I32</f>
        <v>10</v>
      </c>
      <c r="AO78" s="1689">
        <f>ROW()</f>
        <v>78</v>
      </c>
    </row>
    <row r="79" spans="2:41" ht="14.1" customHeight="1">
      <c r="B79" s="3761"/>
      <c r="C79" s="3681"/>
      <c r="D79" s="3681"/>
      <c r="E79" s="3681"/>
      <c r="F79" s="3681"/>
      <c r="G79" s="3681"/>
      <c r="H79" s="3681"/>
      <c r="I79" s="3681"/>
      <c r="J79" s="3681"/>
      <c r="K79" s="3681"/>
      <c r="L79" s="3768"/>
      <c r="M79" s="3769"/>
      <c r="N79" s="3770"/>
      <c r="AK79" s="1374"/>
      <c r="AL79" s="1370">
        <f>'User Inputs'!G33</f>
        <v>5</v>
      </c>
      <c r="AM79" s="1370">
        <f>'User Inputs'!H33</f>
        <v>5</v>
      </c>
      <c r="AN79" s="1370">
        <f>'User Inputs'!I33</f>
        <v>10</v>
      </c>
      <c r="AO79" s="1689">
        <f>ROW()</f>
        <v>79</v>
      </c>
    </row>
    <row r="80" spans="2:41" ht="14.1" customHeight="1" thickBot="1">
      <c r="B80" s="3762"/>
      <c r="C80" s="3763"/>
      <c r="D80" s="3763"/>
      <c r="E80" s="3763"/>
      <c r="F80" s="3763"/>
      <c r="G80" s="3763"/>
      <c r="H80" s="3763"/>
      <c r="I80" s="3763"/>
      <c r="J80" s="3763"/>
      <c r="K80" s="3763"/>
      <c r="L80" s="3771"/>
      <c r="M80" s="3772"/>
      <c r="N80" s="3773"/>
      <c r="AK80" s="1374" t="s">
        <v>890</v>
      </c>
      <c r="AL80" s="1370">
        <f>'User Inputs'!G33</f>
        <v>5</v>
      </c>
      <c r="AM80" s="1370">
        <f>'User Inputs'!H33</f>
        <v>5</v>
      </c>
      <c r="AN80" s="1370">
        <f>'User Inputs'!I33</f>
        <v>10</v>
      </c>
      <c r="AO80" s="1689">
        <f>ROW()</f>
        <v>80</v>
      </c>
    </row>
    <row r="81" spans="2:41" ht="14.1" customHeight="1">
      <c r="AK81" s="1374"/>
      <c r="AL81" s="1370">
        <f>'User Inputs'!G34</f>
        <v>5</v>
      </c>
      <c r="AM81" s="1370">
        <f>'User Inputs'!H34</f>
        <v>5</v>
      </c>
      <c r="AN81" s="1370">
        <f>'User Inputs'!I34</f>
        <v>10</v>
      </c>
      <c r="AO81" s="1689">
        <f>ROW()</f>
        <v>81</v>
      </c>
    </row>
    <row r="82" spans="2:41" ht="14.1" customHeight="1">
      <c r="B82" s="3722" t="s">
        <v>6051</v>
      </c>
      <c r="C82" s="3659"/>
      <c r="D82" s="3659"/>
      <c r="E82" s="3659"/>
      <c r="F82" s="3659"/>
      <c r="G82" s="3659"/>
      <c r="H82" s="3659"/>
      <c r="I82" s="3659"/>
      <c r="J82" s="3659"/>
      <c r="K82" s="3659"/>
      <c r="L82" s="3659"/>
      <c r="M82" s="3659"/>
      <c r="N82" s="3659"/>
      <c r="P82"/>
      <c r="Q82"/>
      <c r="R82"/>
      <c r="S82"/>
      <c r="T82"/>
      <c r="U82"/>
      <c r="V82"/>
      <c r="W82"/>
      <c r="X82"/>
      <c r="Y82"/>
      <c r="Z82"/>
      <c r="AA82"/>
      <c r="AB82"/>
      <c r="AC82"/>
      <c r="AD82"/>
      <c r="AE82"/>
      <c r="AF82"/>
      <c r="AG82"/>
      <c r="AH82"/>
      <c r="AI82"/>
      <c r="AK82" s="1374" t="s">
        <v>890</v>
      </c>
      <c r="AL82" s="1370">
        <f>'User Inputs'!G34</f>
        <v>5</v>
      </c>
      <c r="AM82" s="1370">
        <f>'User Inputs'!H34</f>
        <v>5</v>
      </c>
      <c r="AN82" s="1370">
        <f>'User Inputs'!I34</f>
        <v>10</v>
      </c>
      <c r="AO82" s="1689">
        <f>ROW()</f>
        <v>82</v>
      </c>
    </row>
    <row r="83" spans="2:41" ht="14.1" customHeight="1">
      <c r="B83" s="3659"/>
      <c r="C83" s="3659"/>
      <c r="D83" s="3659"/>
      <c r="E83" s="3659"/>
      <c r="F83" s="3659"/>
      <c r="G83" s="3659"/>
      <c r="H83" s="3659"/>
      <c r="I83" s="3659"/>
      <c r="J83" s="3659"/>
      <c r="K83" s="3659"/>
      <c r="L83" s="3659"/>
      <c r="M83" s="3659"/>
      <c r="N83" s="3659"/>
      <c r="P83"/>
      <c r="Q83"/>
      <c r="R83"/>
      <c r="S83"/>
      <c r="T83"/>
      <c r="U83"/>
      <c r="V83"/>
      <c r="W83"/>
      <c r="X83"/>
      <c r="Y83"/>
      <c r="Z83"/>
      <c r="AA83"/>
      <c r="AB83"/>
      <c r="AC83"/>
      <c r="AD83"/>
      <c r="AE83"/>
      <c r="AF83"/>
      <c r="AG83"/>
      <c r="AH83"/>
      <c r="AI83"/>
      <c r="AK83" s="1374"/>
      <c r="AL83" s="1370">
        <f>'User Inputs'!G34</f>
        <v>5</v>
      </c>
      <c r="AM83" s="1370">
        <f>'User Inputs'!H34</f>
        <v>5</v>
      </c>
      <c r="AN83" s="1370">
        <f>'User Inputs'!I34</f>
        <v>10</v>
      </c>
      <c r="AO83" s="1689">
        <f>ROW()</f>
        <v>83</v>
      </c>
    </row>
    <row r="84" spans="2:41" ht="14.1" customHeight="1">
      <c r="B84" s="3659"/>
      <c r="C84" s="3659"/>
      <c r="D84" s="3659"/>
      <c r="E84" s="3659"/>
      <c r="F84" s="3659"/>
      <c r="G84" s="3659"/>
      <c r="H84" s="3659"/>
      <c r="I84" s="3659"/>
      <c r="J84" s="3659"/>
      <c r="K84" s="3659"/>
      <c r="L84" s="3659"/>
      <c r="M84" s="3659"/>
      <c r="N84" s="3659"/>
      <c r="P84"/>
      <c r="Q84"/>
      <c r="R84"/>
      <c r="S84"/>
      <c r="T84"/>
      <c r="U84"/>
      <c r="V84"/>
      <c r="W84"/>
      <c r="X84"/>
      <c r="Y84"/>
      <c r="Z84"/>
      <c r="AA84"/>
      <c r="AB84"/>
      <c r="AC84"/>
      <c r="AD84"/>
      <c r="AE84"/>
      <c r="AF84"/>
      <c r="AG84"/>
      <c r="AH84"/>
      <c r="AI84"/>
      <c r="AK84" s="1374" t="s">
        <v>1008</v>
      </c>
      <c r="AL84" s="1370">
        <f>'User Inputs'!G34</f>
        <v>5</v>
      </c>
      <c r="AM84" s="1370">
        <f>'User Inputs'!H34</f>
        <v>5</v>
      </c>
      <c r="AN84" s="1370">
        <f>'User Inputs'!I34</f>
        <v>10</v>
      </c>
      <c r="AO84" s="1689">
        <f>ROW()</f>
        <v>84</v>
      </c>
    </row>
    <row r="85" spans="2:41" ht="14.1" customHeight="1">
      <c r="B85" s="3659"/>
      <c r="C85" s="3659"/>
      <c r="D85" s="3659"/>
      <c r="E85" s="3659"/>
      <c r="F85" s="3659"/>
      <c r="G85" s="3659"/>
      <c r="H85" s="3659"/>
      <c r="I85" s="3659"/>
      <c r="J85" s="3659"/>
      <c r="K85" s="3659"/>
      <c r="L85" s="3659"/>
      <c r="M85" s="3659"/>
      <c r="N85" s="3659"/>
      <c r="P85"/>
      <c r="Q85"/>
      <c r="R85"/>
      <c r="S85"/>
      <c r="T85"/>
      <c r="U85"/>
      <c r="V85"/>
      <c r="W85"/>
      <c r="X85"/>
      <c r="Y85"/>
      <c r="Z85"/>
      <c r="AA85"/>
      <c r="AB85"/>
      <c r="AC85"/>
      <c r="AD85"/>
      <c r="AE85"/>
      <c r="AF85"/>
      <c r="AG85"/>
      <c r="AH85"/>
      <c r="AI85"/>
      <c r="AK85" s="1374"/>
      <c r="AL85" s="1370">
        <f>'User Inputs'!G34</f>
        <v>5</v>
      </c>
      <c r="AM85" s="1370">
        <f>'User Inputs'!H34</f>
        <v>5</v>
      </c>
      <c r="AN85" s="1370">
        <f>'User Inputs'!I34</f>
        <v>10</v>
      </c>
      <c r="AO85" s="1689">
        <f>ROW()</f>
        <v>85</v>
      </c>
    </row>
    <row r="86" spans="2:41" ht="14.1" customHeight="1">
      <c r="B86" s="3659"/>
      <c r="C86" s="3659"/>
      <c r="D86" s="3659"/>
      <c r="E86" s="3659"/>
      <c r="F86" s="3659"/>
      <c r="G86" s="3659"/>
      <c r="H86" s="3659"/>
      <c r="I86" s="3659"/>
      <c r="J86" s="3659"/>
      <c r="K86" s="3659"/>
      <c r="L86" s="3659"/>
      <c r="M86" s="3659"/>
      <c r="N86" s="3659"/>
      <c r="P86"/>
      <c r="Q86"/>
      <c r="R86"/>
      <c r="S86"/>
      <c r="T86"/>
      <c r="U86"/>
      <c r="V86"/>
      <c r="W86"/>
      <c r="X86"/>
      <c r="Y86"/>
      <c r="Z86"/>
      <c r="AA86"/>
      <c r="AB86"/>
      <c r="AC86"/>
      <c r="AD86"/>
      <c r="AE86"/>
      <c r="AF86"/>
      <c r="AG86"/>
      <c r="AH86"/>
      <c r="AI86"/>
      <c r="AK86" s="1374" t="s">
        <v>890</v>
      </c>
      <c r="AL86" s="1370">
        <f>'User Inputs'!G35</f>
        <v>5</v>
      </c>
      <c r="AM86" s="1370">
        <f>'User Inputs'!H35</f>
        <v>5</v>
      </c>
      <c r="AN86" s="1370">
        <f>'User Inputs'!I35</f>
        <v>10</v>
      </c>
      <c r="AO86" s="1689">
        <f>ROW()</f>
        <v>86</v>
      </c>
    </row>
    <row r="87" spans="2:41" ht="14.1" customHeight="1">
      <c r="B87"/>
      <c r="C87"/>
      <c r="D87"/>
      <c r="E87"/>
      <c r="F87"/>
      <c r="G87"/>
      <c r="H87"/>
      <c r="I87"/>
      <c r="J87"/>
      <c r="K87"/>
      <c r="L87"/>
      <c r="M87"/>
      <c r="N87"/>
      <c r="P87"/>
      <c r="Q87"/>
      <c r="R87"/>
      <c r="S87"/>
      <c r="T87"/>
      <c r="U87"/>
      <c r="V87"/>
      <c r="W87"/>
      <c r="X87"/>
      <c r="Y87"/>
      <c r="Z87"/>
      <c r="AA87"/>
      <c r="AB87"/>
      <c r="AC87"/>
      <c r="AD87"/>
      <c r="AE87"/>
      <c r="AF87"/>
      <c r="AG87"/>
      <c r="AH87"/>
      <c r="AI87"/>
      <c r="AK87" s="1374"/>
      <c r="AL87" s="1370">
        <f>'User Inputs'!G35</f>
        <v>5</v>
      </c>
      <c r="AM87" s="1370">
        <f>'User Inputs'!H35</f>
        <v>5</v>
      </c>
      <c r="AN87" s="1370">
        <f>'User Inputs'!I35</f>
        <v>10</v>
      </c>
      <c r="AO87" s="1689">
        <f>ROW()</f>
        <v>87</v>
      </c>
    </row>
    <row r="88" spans="2:41" ht="14.1" customHeight="1">
      <c r="B88" s="3459" t="s">
        <v>6052</v>
      </c>
      <c r="C88"/>
      <c r="D88"/>
      <c r="E88"/>
      <c r="F88"/>
      <c r="G88"/>
      <c r="H88"/>
      <c r="I88"/>
      <c r="J88"/>
      <c r="K88"/>
      <c r="L88"/>
      <c r="M88"/>
      <c r="N88"/>
      <c r="P88"/>
      <c r="Q88"/>
      <c r="R88"/>
      <c r="S88"/>
      <c r="T88"/>
      <c r="U88"/>
      <c r="V88"/>
      <c r="W88"/>
      <c r="X88"/>
      <c r="Y88"/>
      <c r="Z88"/>
      <c r="AA88"/>
      <c r="AB88"/>
      <c r="AC88"/>
      <c r="AD88"/>
      <c r="AE88"/>
      <c r="AF88"/>
      <c r="AG88"/>
      <c r="AH88"/>
      <c r="AI88"/>
      <c r="AK88" s="1374" t="s">
        <v>388</v>
      </c>
      <c r="AL88" s="1370">
        <f>'User Inputs'!G35</f>
        <v>5</v>
      </c>
      <c r="AM88" s="1370">
        <f>'User Inputs'!H35</f>
        <v>5</v>
      </c>
      <c r="AN88" s="1370">
        <f>'User Inputs'!I35</f>
        <v>10</v>
      </c>
      <c r="AO88" s="1689">
        <f>ROW()</f>
        <v>88</v>
      </c>
    </row>
    <row r="89" spans="2:41" ht="14.1" customHeight="1">
      <c r="B89" s="2000" t="s">
        <v>1639</v>
      </c>
      <c r="C89"/>
      <c r="D89"/>
      <c r="E89"/>
      <c r="F89"/>
      <c r="G89"/>
      <c r="H89"/>
      <c r="I89"/>
      <c r="J89"/>
      <c r="K89"/>
      <c r="L89"/>
      <c r="M89"/>
      <c r="N89"/>
      <c r="P89"/>
      <c r="Q89"/>
      <c r="R89"/>
      <c r="S89"/>
      <c r="T89"/>
      <c r="U89"/>
      <c r="V89"/>
      <c r="W89"/>
      <c r="X89"/>
      <c r="Y89"/>
      <c r="Z89"/>
      <c r="AA89"/>
      <c r="AB89"/>
      <c r="AC89"/>
      <c r="AD89"/>
      <c r="AE89"/>
      <c r="AF89"/>
      <c r="AG89"/>
      <c r="AH89"/>
      <c r="AI89"/>
      <c r="AK89" s="1374"/>
      <c r="AL89" s="1370">
        <f>'User Inputs'!G34</f>
        <v>5</v>
      </c>
      <c r="AM89" s="1370">
        <f>'User Inputs'!H34</f>
        <v>5</v>
      </c>
      <c r="AN89" s="1370">
        <f>'User Inputs'!I34</f>
        <v>10</v>
      </c>
      <c r="AO89" s="1689">
        <f>ROW()</f>
        <v>89</v>
      </c>
    </row>
    <row r="90" spans="2:41" ht="14.1" customHeight="1">
      <c r="B90" s="2000" t="s">
        <v>169</v>
      </c>
      <c r="C90"/>
      <c r="D90"/>
      <c r="E90"/>
      <c r="F90"/>
      <c r="G90"/>
      <c r="H90"/>
      <c r="I90"/>
      <c r="J90"/>
      <c r="K90"/>
      <c r="L90"/>
      <c r="M90"/>
      <c r="N90"/>
      <c r="P90"/>
      <c r="Q90"/>
      <c r="R90"/>
      <c r="S90"/>
      <c r="T90"/>
      <c r="U90"/>
      <c r="V90"/>
      <c r="W90"/>
      <c r="X90"/>
      <c r="Y90"/>
      <c r="Z90"/>
      <c r="AA90"/>
      <c r="AB90"/>
      <c r="AC90"/>
      <c r="AD90"/>
      <c r="AE90"/>
      <c r="AF90"/>
      <c r="AG90"/>
      <c r="AH90"/>
      <c r="AI90"/>
      <c r="AK90" s="1374" t="s">
        <v>891</v>
      </c>
      <c r="AL90" s="1370">
        <f>'User Inputs'!G34</f>
        <v>5</v>
      </c>
      <c r="AM90" s="1370">
        <f>'User Inputs'!H34</f>
        <v>5</v>
      </c>
      <c r="AN90" s="1370">
        <f>'User Inputs'!I34</f>
        <v>10</v>
      </c>
      <c r="AO90" s="1689">
        <f>ROW()</f>
        <v>90</v>
      </c>
    </row>
    <row r="91" spans="2:41" ht="14.1" customHeight="1">
      <c r="B91" s="2000" t="s">
        <v>2749</v>
      </c>
      <c r="C91"/>
      <c r="D91"/>
      <c r="E91"/>
      <c r="F91"/>
      <c r="G91"/>
      <c r="H91"/>
      <c r="I91"/>
      <c r="J91"/>
      <c r="K91"/>
      <c r="L91"/>
      <c r="M91"/>
      <c r="N91"/>
      <c r="P91"/>
      <c r="Q91"/>
      <c r="R91"/>
      <c r="S91"/>
      <c r="T91"/>
      <c r="U91"/>
      <c r="V91"/>
      <c r="W91"/>
      <c r="X91"/>
      <c r="Y91"/>
      <c r="Z91"/>
      <c r="AA91"/>
      <c r="AB91"/>
      <c r="AC91"/>
      <c r="AD91"/>
      <c r="AE91"/>
      <c r="AF91"/>
      <c r="AG91"/>
      <c r="AH91"/>
      <c r="AI91"/>
      <c r="AK91" s="1374"/>
      <c r="AL91" s="1370">
        <f>'User Inputs'!G33</f>
        <v>5</v>
      </c>
      <c r="AM91" s="1370">
        <f>'User Inputs'!H33</f>
        <v>5</v>
      </c>
      <c r="AN91" s="1370">
        <f>'User Inputs'!I33</f>
        <v>10</v>
      </c>
      <c r="AO91" s="1689">
        <f>ROW()</f>
        <v>91</v>
      </c>
    </row>
    <row r="92" spans="2:41" ht="14.1" customHeight="1">
      <c r="B92" s="2000" t="s">
        <v>852</v>
      </c>
      <c r="C92"/>
      <c r="D92"/>
      <c r="E92"/>
      <c r="F92"/>
      <c r="G92"/>
      <c r="H92"/>
      <c r="I92"/>
      <c r="J92"/>
      <c r="K92"/>
      <c r="L92"/>
      <c r="M92"/>
      <c r="N92"/>
      <c r="P92"/>
      <c r="Q92"/>
      <c r="R92"/>
      <c r="S92"/>
      <c r="T92"/>
      <c r="U92"/>
      <c r="V92"/>
      <c r="W92"/>
      <c r="X92"/>
      <c r="Y92"/>
      <c r="Z92"/>
      <c r="AA92"/>
      <c r="AB92"/>
      <c r="AC92"/>
      <c r="AD92"/>
      <c r="AE92"/>
      <c r="AF92"/>
      <c r="AG92"/>
      <c r="AH92"/>
      <c r="AI92"/>
      <c r="AK92" s="1375" t="s">
        <v>1873</v>
      </c>
      <c r="AL92" s="1370">
        <f>'User Inputs'!G33</f>
        <v>5</v>
      </c>
      <c r="AM92" s="1370">
        <f>'User Inputs'!H33</f>
        <v>5</v>
      </c>
      <c r="AN92" s="1370">
        <f>'User Inputs'!I33</f>
        <v>10</v>
      </c>
      <c r="AO92" s="1689">
        <f>ROW()</f>
        <v>92</v>
      </c>
    </row>
    <row r="93" spans="2:41" ht="14.1" customHeight="1">
      <c r="B93" s="2000" t="s">
        <v>589</v>
      </c>
      <c r="C93"/>
      <c r="D93"/>
      <c r="E93"/>
      <c r="F93"/>
      <c r="G93"/>
      <c r="H93"/>
      <c r="I93"/>
      <c r="J93"/>
      <c r="K93"/>
      <c r="L93"/>
      <c r="M93"/>
      <c r="N93"/>
      <c r="P93"/>
      <c r="Q93"/>
      <c r="R93"/>
      <c r="S93"/>
      <c r="T93"/>
      <c r="U93"/>
      <c r="V93"/>
      <c r="W93"/>
      <c r="X93"/>
      <c r="Y93"/>
      <c r="Z93"/>
      <c r="AA93"/>
      <c r="AB93"/>
      <c r="AC93"/>
      <c r="AD93"/>
      <c r="AE93"/>
      <c r="AF93"/>
      <c r="AG93"/>
      <c r="AH93"/>
      <c r="AI93"/>
      <c r="AO93" s="1689">
        <f>ROW()</f>
        <v>93</v>
      </c>
    </row>
    <row r="94" spans="2:41" ht="14.1" customHeight="1">
      <c r="B94" s="2000" t="s">
        <v>655</v>
      </c>
      <c r="C94"/>
      <c r="D94"/>
      <c r="E94"/>
      <c r="F94"/>
      <c r="G94"/>
      <c r="H94"/>
      <c r="I94"/>
      <c r="J94"/>
      <c r="K94"/>
      <c r="L94"/>
      <c r="M94"/>
      <c r="N94"/>
      <c r="P94"/>
      <c r="Q94"/>
      <c r="R94"/>
      <c r="S94"/>
      <c r="T94"/>
      <c r="U94"/>
      <c r="V94"/>
      <c r="W94"/>
      <c r="X94"/>
      <c r="Y94"/>
      <c r="Z94"/>
      <c r="AA94"/>
      <c r="AB94"/>
      <c r="AC94"/>
      <c r="AD94"/>
      <c r="AE94"/>
      <c r="AF94"/>
      <c r="AG94"/>
      <c r="AH94"/>
      <c r="AI94"/>
      <c r="AO94" s="1689">
        <f>ROW()</f>
        <v>94</v>
      </c>
    </row>
    <row r="95" spans="2:41" ht="14.1" customHeight="1">
      <c r="B95"/>
      <c r="C95"/>
      <c r="D95"/>
      <c r="E95"/>
      <c r="F95"/>
      <c r="G95"/>
      <c r="H95"/>
      <c r="I95"/>
      <c r="J95"/>
      <c r="K95"/>
      <c r="L95"/>
      <c r="M95"/>
      <c r="N95"/>
      <c r="P95"/>
      <c r="Q95"/>
      <c r="R95"/>
      <c r="S95"/>
      <c r="T95"/>
      <c r="U95"/>
      <c r="V95"/>
      <c r="W95"/>
      <c r="X95"/>
      <c r="Y95"/>
      <c r="Z95"/>
      <c r="AA95"/>
      <c r="AB95"/>
      <c r="AC95"/>
      <c r="AD95"/>
      <c r="AE95"/>
      <c r="AF95"/>
      <c r="AG95"/>
      <c r="AH95"/>
      <c r="AI95"/>
      <c r="AJ95"/>
      <c r="AK95"/>
      <c r="AL95"/>
      <c r="AM95"/>
      <c r="AO95" s="1689">
        <f>ROW()</f>
        <v>95</v>
      </c>
    </row>
    <row r="96" spans="2:41" ht="14.1" customHeight="1">
      <c r="B96" s="3459" t="s">
        <v>6053</v>
      </c>
      <c r="C96"/>
      <c r="D96"/>
      <c r="E96"/>
      <c r="F96"/>
      <c r="G96"/>
      <c r="H96"/>
      <c r="I96"/>
      <c r="J96"/>
      <c r="K96"/>
      <c r="L96"/>
      <c r="M96"/>
      <c r="N96"/>
      <c r="P96"/>
      <c r="Q96"/>
      <c r="R96"/>
      <c r="S96"/>
      <c r="T96"/>
      <c r="U96"/>
      <c r="V96"/>
      <c r="W96"/>
      <c r="X96"/>
      <c r="Y96"/>
      <c r="Z96"/>
      <c r="AA96"/>
      <c r="AB96"/>
      <c r="AC96"/>
      <c r="AD96"/>
      <c r="AE96"/>
      <c r="AF96"/>
      <c r="AG96"/>
      <c r="AH96"/>
      <c r="AI96"/>
      <c r="AJ96"/>
      <c r="AK96"/>
      <c r="AL96"/>
      <c r="AM96"/>
      <c r="AO96" s="1689">
        <f>ROW()</f>
        <v>96</v>
      </c>
    </row>
    <row r="97" spans="2:41" ht="14.1" customHeight="1">
      <c r="B97" s="2000" t="s">
        <v>2100</v>
      </c>
      <c r="C97"/>
      <c r="D97"/>
      <c r="E97"/>
      <c r="F97"/>
      <c r="G97"/>
      <c r="H97"/>
      <c r="I97"/>
      <c r="J97"/>
      <c r="K97"/>
      <c r="L97"/>
      <c r="M97"/>
      <c r="N97"/>
      <c r="P97"/>
      <c r="Q97"/>
      <c r="R97"/>
      <c r="S97"/>
      <c r="T97"/>
      <c r="U97"/>
      <c r="V97"/>
      <c r="W97"/>
      <c r="X97"/>
      <c r="Y97"/>
      <c r="Z97"/>
      <c r="AA97"/>
      <c r="AB97"/>
      <c r="AC97"/>
      <c r="AD97"/>
      <c r="AE97"/>
      <c r="AF97"/>
      <c r="AG97"/>
      <c r="AH97"/>
      <c r="AI97"/>
      <c r="AJ97"/>
      <c r="AK97"/>
      <c r="AL97"/>
      <c r="AM97"/>
      <c r="AO97" s="1689">
        <f>ROW()</f>
        <v>97</v>
      </c>
    </row>
    <row r="98" spans="2:41" ht="14.1" customHeight="1">
      <c r="B98" s="2000" t="s">
        <v>643</v>
      </c>
      <c r="C98"/>
      <c r="D98"/>
      <c r="E98"/>
      <c r="F98"/>
      <c r="G98"/>
      <c r="H98"/>
      <c r="I98"/>
      <c r="J98"/>
      <c r="K98"/>
      <c r="L98"/>
      <c r="M98"/>
      <c r="N98"/>
      <c r="P98"/>
      <c r="Q98"/>
      <c r="R98"/>
      <c r="S98"/>
      <c r="T98"/>
      <c r="U98"/>
      <c r="V98"/>
      <c r="W98"/>
      <c r="X98"/>
      <c r="Y98"/>
      <c r="Z98"/>
      <c r="AA98"/>
      <c r="AB98"/>
      <c r="AC98"/>
      <c r="AD98"/>
      <c r="AE98"/>
      <c r="AF98"/>
      <c r="AG98"/>
      <c r="AH98"/>
      <c r="AI98"/>
      <c r="AJ98"/>
      <c r="AK98"/>
      <c r="AL98"/>
      <c r="AM98"/>
      <c r="AO98" s="1689">
        <f>ROW()</f>
        <v>98</v>
      </c>
    </row>
    <row r="99" spans="2:41" ht="14.1" customHeight="1">
      <c r="B99" s="2000" t="s">
        <v>2101</v>
      </c>
      <c r="C99"/>
      <c r="D99"/>
      <c r="E99"/>
      <c r="F99"/>
      <c r="G99"/>
      <c r="H99"/>
      <c r="I99"/>
      <c r="J99"/>
      <c r="K99"/>
      <c r="L99"/>
      <c r="M99"/>
      <c r="N99"/>
      <c r="P99"/>
      <c r="Q99"/>
      <c r="R99"/>
      <c r="S99"/>
      <c r="T99"/>
      <c r="U99"/>
      <c r="V99"/>
      <c r="W99"/>
      <c r="X99"/>
      <c r="Y99"/>
      <c r="Z99"/>
      <c r="AA99"/>
      <c r="AB99"/>
      <c r="AC99"/>
      <c r="AD99"/>
      <c r="AE99"/>
      <c r="AF99"/>
      <c r="AG99"/>
      <c r="AH99"/>
      <c r="AI99"/>
      <c r="AJ99"/>
      <c r="AK99"/>
      <c r="AL99"/>
      <c r="AM99"/>
      <c r="AO99" s="1689">
        <f>ROW()</f>
        <v>99</v>
      </c>
    </row>
    <row r="100" spans="2:41" ht="14.1" customHeight="1">
      <c r="B100" s="2000" t="s">
        <v>1232</v>
      </c>
      <c r="C100"/>
      <c r="D100"/>
      <c r="E100"/>
      <c r="F100"/>
      <c r="G100"/>
      <c r="H100"/>
      <c r="I100"/>
      <c r="J100"/>
      <c r="K100"/>
      <c r="L100"/>
      <c r="M100"/>
      <c r="N100"/>
      <c r="P100"/>
      <c r="Q100"/>
      <c r="R100"/>
      <c r="S100"/>
      <c r="T100"/>
      <c r="U100"/>
      <c r="V100"/>
      <c r="W100"/>
      <c r="X100"/>
      <c r="Y100"/>
      <c r="Z100"/>
      <c r="AA100"/>
      <c r="AB100"/>
      <c r="AC100"/>
      <c r="AD100"/>
      <c r="AE100"/>
      <c r="AF100"/>
      <c r="AG100"/>
      <c r="AH100"/>
      <c r="AI100"/>
      <c r="AJ100"/>
      <c r="AK100"/>
      <c r="AL100"/>
      <c r="AM100"/>
      <c r="AO100" s="1689">
        <f>ROW()</f>
        <v>100</v>
      </c>
    </row>
    <row r="101" spans="2:41" ht="14.1" customHeight="1">
      <c r="B101" s="3451"/>
      <c r="C101"/>
      <c r="D101"/>
      <c r="E101"/>
      <c r="F101"/>
      <c r="G101"/>
      <c r="H101"/>
      <c r="I101"/>
      <c r="J101"/>
      <c r="K101"/>
      <c r="L101"/>
      <c r="M101"/>
      <c r="N101"/>
      <c r="P101"/>
      <c r="Q101"/>
      <c r="R101"/>
      <c r="S101"/>
      <c r="T101"/>
      <c r="U101"/>
      <c r="V101"/>
      <c r="W101"/>
      <c r="X101"/>
      <c r="Y101"/>
      <c r="Z101"/>
      <c r="AA101"/>
      <c r="AB101"/>
      <c r="AC101"/>
      <c r="AD101"/>
      <c r="AE101"/>
      <c r="AF101"/>
      <c r="AG101"/>
      <c r="AH101"/>
      <c r="AI101"/>
      <c r="AJ101"/>
      <c r="AK101"/>
      <c r="AL101"/>
      <c r="AM101"/>
      <c r="AO101" s="1689">
        <f>ROW()</f>
        <v>101</v>
      </c>
    </row>
    <row r="102" spans="2:41" ht="14.1" customHeight="1">
      <c r="B102" s="3459" t="s">
        <v>6054</v>
      </c>
      <c r="C102" s="3450"/>
      <c r="D102" s="3450"/>
      <c r="E102" s="3450"/>
      <c r="F102" s="3450"/>
      <c r="G102" s="3450"/>
      <c r="H102" s="3450"/>
      <c r="I102" s="3450"/>
      <c r="J102" s="3450"/>
      <c r="K102" s="3450"/>
      <c r="L102" s="801"/>
      <c r="M102" s="801"/>
      <c r="N102" s="801"/>
      <c r="P102"/>
      <c r="Q102"/>
      <c r="R102"/>
      <c r="S102"/>
      <c r="T102"/>
      <c r="U102"/>
      <c r="V102"/>
      <c r="W102"/>
      <c r="X102"/>
      <c r="Y102"/>
      <c r="Z102"/>
      <c r="AA102"/>
      <c r="AB102"/>
      <c r="AC102"/>
      <c r="AD102"/>
      <c r="AE102"/>
      <c r="AF102"/>
      <c r="AG102"/>
      <c r="AH102"/>
      <c r="AI102"/>
      <c r="AJ102"/>
      <c r="AK102"/>
      <c r="AL102"/>
      <c r="AM102"/>
      <c r="AO102" s="1689">
        <f>ROW()</f>
        <v>102</v>
      </c>
    </row>
    <row r="103" spans="2:41" ht="14.1" customHeight="1">
      <c r="B103" s="2000" t="s">
        <v>2648</v>
      </c>
      <c r="C103" s="3450"/>
      <c r="D103" s="3450"/>
      <c r="E103" s="3450"/>
      <c r="F103" s="3450"/>
      <c r="G103" s="3450"/>
      <c r="H103" s="3450"/>
      <c r="I103" s="3450"/>
      <c r="J103" s="3450"/>
      <c r="K103" s="3450"/>
      <c r="L103" s="801"/>
      <c r="M103" s="801"/>
      <c r="N103" s="801"/>
      <c r="P103"/>
      <c r="Q103"/>
      <c r="R103"/>
      <c r="S103"/>
      <c r="T103"/>
      <c r="U103"/>
      <c r="V103"/>
      <c r="W103"/>
      <c r="X103"/>
      <c r="Y103"/>
      <c r="Z103"/>
      <c r="AA103"/>
      <c r="AB103"/>
      <c r="AC103"/>
      <c r="AD103"/>
      <c r="AE103"/>
      <c r="AF103"/>
      <c r="AG103"/>
      <c r="AH103"/>
      <c r="AI103"/>
      <c r="AJ103"/>
      <c r="AK103"/>
      <c r="AL103"/>
      <c r="AM103"/>
      <c r="AO103" s="1689">
        <f>ROW()</f>
        <v>103</v>
      </c>
    </row>
    <row r="104" spans="2:41" ht="14.1" customHeight="1">
      <c r="B104" s="2000" t="s">
        <v>2511</v>
      </c>
      <c r="C104" s="3450"/>
      <c r="D104" s="3450"/>
      <c r="E104" s="3450"/>
      <c r="F104" s="3450"/>
      <c r="G104" s="3450"/>
      <c r="H104" s="3450"/>
      <c r="I104" s="3450"/>
      <c r="J104" s="3450"/>
      <c r="K104" s="3450"/>
      <c r="L104" s="801"/>
      <c r="M104" s="801"/>
      <c r="N104" s="801"/>
      <c r="P104"/>
      <c r="Q104"/>
      <c r="R104"/>
      <c r="S104"/>
      <c r="T104"/>
      <c r="U104"/>
      <c r="V104"/>
      <c r="W104"/>
      <c r="X104"/>
      <c r="Y104"/>
      <c r="Z104"/>
      <c r="AA104"/>
      <c r="AB104"/>
      <c r="AC104"/>
      <c r="AD104"/>
      <c r="AE104"/>
      <c r="AF104"/>
      <c r="AG104"/>
      <c r="AH104"/>
      <c r="AI104"/>
      <c r="AJ104"/>
      <c r="AK104"/>
      <c r="AL104"/>
      <c r="AM104"/>
      <c r="AO104" s="1689">
        <f>ROW()</f>
        <v>104</v>
      </c>
    </row>
    <row r="105" spans="2:41" ht="14.1" customHeight="1">
      <c r="B105" s="801"/>
      <c r="C105" s="3450"/>
      <c r="D105" s="3450"/>
      <c r="E105" s="3450"/>
      <c r="F105" s="3450"/>
      <c r="G105" s="3450"/>
      <c r="H105" s="3450"/>
      <c r="I105" s="3450"/>
      <c r="J105" s="3450"/>
      <c r="K105" s="3450"/>
      <c r="L105" s="801"/>
      <c r="M105" s="801"/>
      <c r="N105" s="801"/>
      <c r="P105"/>
      <c r="Q105"/>
      <c r="R105"/>
      <c r="S105"/>
      <c r="T105"/>
      <c r="U105"/>
      <c r="V105"/>
      <c r="W105"/>
      <c r="X105"/>
      <c r="Y105"/>
      <c r="Z105"/>
      <c r="AA105"/>
      <c r="AB105"/>
      <c r="AC105"/>
      <c r="AD105"/>
      <c r="AE105"/>
      <c r="AF105"/>
      <c r="AG105"/>
      <c r="AH105"/>
      <c r="AI105"/>
      <c r="AJ105"/>
      <c r="AK105"/>
      <c r="AL105"/>
      <c r="AM105"/>
      <c r="AO105" s="1689">
        <f>ROW()</f>
        <v>105</v>
      </c>
    </row>
    <row r="106" spans="2:41" ht="14.1" customHeight="1">
      <c r="B106" s="3459" t="s">
        <v>6055</v>
      </c>
      <c r="C106" s="3450"/>
      <c r="D106" s="3450"/>
      <c r="E106" s="3450"/>
      <c r="F106" s="3450"/>
      <c r="G106" s="3450"/>
      <c r="H106" s="3450"/>
      <c r="I106" s="3450"/>
      <c r="J106" s="3450"/>
      <c r="K106" s="3450"/>
      <c r="L106" s="801"/>
      <c r="M106" s="801"/>
      <c r="N106" s="801"/>
      <c r="P106"/>
      <c r="Q106"/>
      <c r="R106"/>
      <c r="S106"/>
      <c r="T106"/>
      <c r="U106"/>
      <c r="V106"/>
      <c r="W106"/>
      <c r="X106"/>
      <c r="Y106"/>
      <c r="Z106"/>
      <c r="AA106"/>
      <c r="AB106"/>
      <c r="AC106"/>
      <c r="AD106"/>
      <c r="AE106"/>
      <c r="AF106"/>
      <c r="AG106"/>
      <c r="AH106"/>
      <c r="AI106"/>
      <c r="AJ106"/>
      <c r="AK106"/>
      <c r="AL106"/>
      <c r="AM106"/>
      <c r="AO106" s="1689">
        <f>ROW()</f>
        <v>106</v>
      </c>
    </row>
    <row r="107" spans="2:41" ht="14.1" customHeight="1">
      <c r="B107" s="3460" t="s">
        <v>2894</v>
      </c>
      <c r="C107" s="3450"/>
      <c r="D107" s="3450"/>
      <c r="E107" s="3450"/>
      <c r="F107" s="3450"/>
      <c r="G107" s="3450"/>
      <c r="H107" s="3450"/>
      <c r="I107" s="3450"/>
      <c r="J107" s="3450"/>
      <c r="K107" s="3450"/>
      <c r="L107" s="801"/>
      <c r="M107" s="801"/>
      <c r="N107" s="801"/>
      <c r="P107"/>
      <c r="Q107"/>
      <c r="R107"/>
      <c r="S107"/>
      <c r="T107"/>
      <c r="U107"/>
      <c r="V107"/>
      <c r="W107"/>
      <c r="X107"/>
      <c r="Y107"/>
      <c r="Z107"/>
      <c r="AA107"/>
      <c r="AB107"/>
      <c r="AC107"/>
      <c r="AD107"/>
      <c r="AE107"/>
      <c r="AF107"/>
      <c r="AG107"/>
      <c r="AH107"/>
      <c r="AI107"/>
      <c r="AJ107"/>
      <c r="AK107"/>
      <c r="AL107"/>
      <c r="AM107"/>
      <c r="AO107" s="1689">
        <f>ROW()</f>
        <v>107</v>
      </c>
    </row>
    <row r="108" spans="2:41" ht="14.1" customHeight="1">
      <c r="B108" s="2000" t="s">
        <v>2858</v>
      </c>
      <c r="C108" s="3450"/>
      <c r="D108" s="3450"/>
      <c r="E108" s="3450"/>
      <c r="F108" s="3450"/>
      <c r="G108" s="3450"/>
      <c r="H108" s="3450"/>
      <c r="I108" s="3450"/>
      <c r="J108" s="3450"/>
      <c r="K108" s="3450"/>
      <c r="L108" s="801"/>
      <c r="M108" s="801"/>
      <c r="N108" s="801"/>
      <c r="P108"/>
      <c r="Q108"/>
      <c r="R108"/>
      <c r="S108"/>
      <c r="T108"/>
      <c r="U108"/>
      <c r="V108"/>
      <c r="W108"/>
      <c r="X108"/>
      <c r="Y108"/>
      <c r="Z108"/>
      <c r="AA108"/>
      <c r="AB108"/>
      <c r="AC108"/>
      <c r="AD108"/>
      <c r="AE108"/>
      <c r="AF108"/>
      <c r="AG108"/>
      <c r="AH108"/>
      <c r="AI108"/>
      <c r="AJ108"/>
      <c r="AK108"/>
      <c r="AL108"/>
      <c r="AM108"/>
      <c r="AO108" s="1689">
        <f>ROW()</f>
        <v>108</v>
      </c>
    </row>
    <row r="109" spans="2:41" ht="14.1" customHeight="1">
      <c r="C109" s="3450"/>
      <c r="D109" s="3450"/>
      <c r="E109" s="3450"/>
      <c r="F109" s="3450"/>
      <c r="G109" s="3450"/>
      <c r="H109" s="3450"/>
      <c r="I109" s="3450"/>
      <c r="J109" s="3450"/>
      <c r="K109" s="3450"/>
      <c r="L109" s="801"/>
      <c r="M109" s="801"/>
      <c r="N109" s="801"/>
      <c r="P109"/>
      <c r="Q109"/>
      <c r="R109"/>
      <c r="S109"/>
      <c r="T109"/>
      <c r="U109"/>
      <c r="V109"/>
      <c r="W109"/>
      <c r="X109"/>
      <c r="Y109"/>
      <c r="Z109"/>
      <c r="AA109"/>
      <c r="AB109"/>
      <c r="AC109"/>
      <c r="AD109"/>
      <c r="AE109"/>
      <c r="AF109"/>
      <c r="AG109"/>
      <c r="AH109"/>
      <c r="AI109"/>
      <c r="AJ109"/>
      <c r="AK109"/>
      <c r="AL109"/>
      <c r="AM109"/>
      <c r="AO109" s="1689">
        <f>ROW()</f>
        <v>109</v>
      </c>
    </row>
    <row r="110" spans="2:41" ht="14.1" customHeight="1">
      <c r="P110"/>
      <c r="Q110"/>
      <c r="R110"/>
      <c r="S110"/>
      <c r="T110"/>
      <c r="U110"/>
      <c r="V110"/>
      <c r="W110"/>
      <c r="X110"/>
      <c r="Y110"/>
      <c r="Z110"/>
      <c r="AA110"/>
      <c r="AB110"/>
      <c r="AC110"/>
      <c r="AD110"/>
      <c r="AE110"/>
      <c r="AF110"/>
      <c r="AG110"/>
      <c r="AH110"/>
      <c r="AI110"/>
      <c r="AJ110"/>
      <c r="AK110"/>
      <c r="AL110"/>
      <c r="AM110"/>
      <c r="AO110" s="1689">
        <f>ROW()</f>
        <v>110</v>
      </c>
    </row>
    <row r="111" spans="2:41" ht="14.1" customHeight="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O111" s="1689">
        <f>ROW()</f>
        <v>111</v>
      </c>
    </row>
    <row r="112" spans="2:41" ht="14.1" customHeight="1">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O112" s="1689">
        <f>ROW()</f>
        <v>112</v>
      </c>
    </row>
    <row r="113" spans="2:41" ht="14.1" customHeight="1">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O113" s="1689">
        <f>ROW()</f>
        <v>113</v>
      </c>
    </row>
    <row r="114" spans="2:41" ht="14.1" customHeight="1">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O114" s="1689">
        <f>ROW()</f>
        <v>114</v>
      </c>
    </row>
    <row r="115" spans="2:41" ht="14.1" customHeight="1">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O115" s="1689">
        <f>ROW()</f>
        <v>115</v>
      </c>
    </row>
    <row r="116" spans="2:41" ht="14.1" customHeight="1">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O116" s="1689">
        <f>ROW()</f>
        <v>116</v>
      </c>
    </row>
    <row r="117" spans="2:41" ht="14.1" customHeight="1">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O117" s="1689">
        <f>ROW()</f>
        <v>117</v>
      </c>
    </row>
    <row r="118" spans="2:41" ht="14.1" customHeight="1">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O118" s="1689">
        <f>ROW()</f>
        <v>118</v>
      </c>
    </row>
    <row r="119" spans="2:41" ht="14.1" customHeight="1">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O119" s="1689">
        <f>ROW()</f>
        <v>119</v>
      </c>
    </row>
    <row r="120" spans="2:41" ht="14.1" customHeight="1">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O120" s="1689">
        <f>ROW()</f>
        <v>120</v>
      </c>
    </row>
    <row r="121" spans="2:41" ht="14.1" customHeight="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O121" s="1689">
        <f>ROW()</f>
        <v>121</v>
      </c>
    </row>
    <row r="122" spans="2:41" ht="14.1" customHeight="1">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O122" s="1689"/>
    </row>
    <row r="123" spans="2:41" ht="14.1" customHeight="1">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O123" s="1689"/>
    </row>
    <row r="124" spans="2:41" ht="14.1" customHeight="1">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O124" s="1689"/>
    </row>
    <row r="125" spans="2:41" ht="14.1" customHeight="1">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O125" s="1689"/>
    </row>
    <row r="126" spans="2:41" ht="14.1" customHeight="1">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O126" s="1689"/>
    </row>
    <row r="127" spans="2:41" ht="14.1" customHeight="1">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O127" s="1689"/>
    </row>
    <row r="128" spans="2:41" ht="14.1" customHeight="1">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O128" s="1689"/>
    </row>
    <row r="129" spans="2:41" ht="14.1" customHeight="1">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O129" s="1689"/>
    </row>
    <row r="130" spans="2:41" ht="14.1" customHeight="1">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O130" s="1689"/>
    </row>
    <row r="131" spans="2:41" ht="14.1" customHeight="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O131" s="1689"/>
    </row>
    <row r="132" spans="2:41" ht="14.1" customHeight="1">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O132" s="1689"/>
    </row>
    <row r="133" spans="2:41" ht="14.1" customHeight="1">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O133" s="1689"/>
    </row>
    <row r="134" spans="2:41" ht="14.1" customHeight="1">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O134" s="1689"/>
    </row>
    <row r="135" spans="2:41" ht="14.1" customHeight="1">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O135" s="1689"/>
    </row>
    <row r="136" spans="2:41" ht="14.1" customHeight="1">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O136" s="1689"/>
    </row>
    <row r="137" spans="2:41" ht="14.1" customHeight="1">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O137" s="1689"/>
    </row>
    <row r="138" spans="2:41" ht="14.1" customHeight="1">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O138" s="1689"/>
    </row>
    <row r="139" spans="2:41" ht="14.1" customHeight="1">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O139" s="1689"/>
    </row>
    <row r="140" spans="2:41" ht="14.1" customHeight="1">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O140" s="1689"/>
    </row>
    <row r="141" spans="2:41" ht="14.1" customHeight="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O141" s="1689"/>
    </row>
    <row r="142" spans="2:41" ht="14.1" customHeight="1">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O142" s="1689"/>
    </row>
    <row r="143" spans="2:41" ht="14.1" customHeight="1">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O143" s="1689"/>
    </row>
    <row r="144" spans="2:41" ht="14.1" customHeight="1">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O144" s="1689"/>
    </row>
    <row r="145" spans="2:41" ht="14.1" customHeight="1">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O145" s="1689"/>
    </row>
    <row r="146" spans="2:41" ht="14.1" customHeight="1">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O146" s="1689"/>
    </row>
    <row r="147" spans="2:41" ht="14.1" customHeight="1">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O147" s="1689"/>
    </row>
    <row r="148" spans="2:41" ht="14.1" customHeight="1">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O148" s="1689"/>
    </row>
    <row r="149" spans="2:41" ht="14.1" customHeight="1">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O149" s="1689"/>
    </row>
    <row r="150" spans="2:41" ht="14.1" customHeight="1">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O150" s="1689"/>
    </row>
    <row r="151" spans="2:41" ht="14.1" customHeight="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O151" s="1689"/>
    </row>
    <row r="152" spans="2:41" ht="14.1" customHeight="1">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O152" s="1689">
        <f>ROW()</f>
        <v>152</v>
      </c>
    </row>
    <row r="153" spans="2:41" ht="14.1" customHeight="1">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O153" s="1689">
        <f>ROW()</f>
        <v>153</v>
      </c>
    </row>
    <row r="154" spans="2:41" ht="14.1" customHeight="1">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O154" s="1689">
        <f>ROW()</f>
        <v>154</v>
      </c>
    </row>
    <row r="155" spans="2:41" ht="14.1" customHeight="1">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O155" s="1689">
        <f>ROW()</f>
        <v>155</v>
      </c>
    </row>
    <row r="156" spans="2:41" ht="14.1" customHeight="1">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O156" s="1689">
        <f>ROW()</f>
        <v>156</v>
      </c>
    </row>
    <row r="157" spans="2:41" ht="14.1" customHeight="1">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O157" s="1689">
        <f>ROW()</f>
        <v>157</v>
      </c>
    </row>
    <row r="158" spans="2:41" ht="14.1" customHeight="1">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O158" s="1689">
        <f>ROW()</f>
        <v>158</v>
      </c>
    </row>
    <row r="159" spans="2:41" ht="14.1" customHeight="1">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O159" s="1689">
        <f>ROW()</f>
        <v>159</v>
      </c>
    </row>
    <row r="160" spans="2:41" ht="14.1" customHeight="1">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O160" s="1689">
        <f>ROW()</f>
        <v>160</v>
      </c>
    </row>
    <row r="161" spans="2:41" ht="14.1" customHeight="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O161" s="1689">
        <f>ROW()</f>
        <v>161</v>
      </c>
    </row>
    <row r="162" spans="2:41" ht="14.1" customHeight="1">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O162" s="1689">
        <f>ROW()</f>
        <v>162</v>
      </c>
    </row>
    <row r="163" spans="2:41" ht="14.1" customHeight="1">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O163" s="1689">
        <f>ROW()</f>
        <v>163</v>
      </c>
    </row>
    <row r="164" spans="2:41" ht="14.1" customHeight="1">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O164" s="1689">
        <f>ROW()</f>
        <v>164</v>
      </c>
    </row>
    <row r="165" spans="2:41" ht="14.1" customHeight="1">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O165" s="1689">
        <f>ROW()</f>
        <v>165</v>
      </c>
    </row>
    <row r="166" spans="2:41" ht="14.1" customHeight="1">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O166" s="1689">
        <f>ROW()</f>
        <v>166</v>
      </c>
    </row>
    <row r="167" spans="2:41" ht="14.1" customHeight="1">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O167" s="1689">
        <f>ROW()</f>
        <v>167</v>
      </c>
    </row>
    <row r="168" spans="2:41" ht="14.1" customHeight="1">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O168" s="1689">
        <f>ROW()</f>
        <v>168</v>
      </c>
    </row>
    <row r="169" spans="2:41" ht="14.1" customHeight="1">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O169" s="1689">
        <f>ROW()</f>
        <v>169</v>
      </c>
    </row>
    <row r="170" spans="2:41" ht="14.1" customHeight="1">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O170" s="1689">
        <f>ROW()</f>
        <v>170</v>
      </c>
    </row>
    <row r="171" spans="2:41" ht="14.1" customHeight="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O171" s="1689">
        <f>ROW()</f>
        <v>171</v>
      </c>
    </row>
    <row r="172" spans="2:41" ht="14.1" customHeight="1">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O172" s="1689">
        <f>ROW()</f>
        <v>172</v>
      </c>
    </row>
    <row r="173" spans="2:41" ht="14.1" customHeight="1">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O173" s="1689">
        <f>ROW()</f>
        <v>173</v>
      </c>
    </row>
    <row r="174" spans="2:41" ht="14.1" customHeight="1">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O174" s="1689">
        <f>ROW()</f>
        <v>174</v>
      </c>
    </row>
    <row r="175" spans="2:41" ht="14.1" customHeight="1">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O175" s="1689">
        <f>ROW()</f>
        <v>175</v>
      </c>
    </row>
    <row r="176" spans="2:41" ht="14.1" customHeight="1">
      <c r="P176"/>
      <c r="Q176"/>
      <c r="R176"/>
      <c r="S176"/>
      <c r="T176"/>
      <c r="U176"/>
      <c r="V176"/>
      <c r="W176"/>
      <c r="X176"/>
      <c r="Y176"/>
      <c r="Z176"/>
      <c r="AA176"/>
      <c r="AB176"/>
      <c r="AC176"/>
      <c r="AD176"/>
      <c r="AE176"/>
      <c r="AF176"/>
      <c r="AG176"/>
      <c r="AH176"/>
      <c r="AI176"/>
      <c r="AO176" s="1689"/>
    </row>
    <row r="177" spans="15:41" ht="14.1" customHeight="1">
      <c r="P177"/>
      <c r="Q177"/>
      <c r="R177"/>
      <c r="S177"/>
      <c r="T177"/>
      <c r="U177"/>
      <c r="V177"/>
      <c r="W177"/>
      <c r="X177"/>
      <c r="Y177"/>
      <c r="Z177"/>
      <c r="AA177"/>
      <c r="AB177"/>
      <c r="AC177"/>
      <c r="AD177"/>
      <c r="AE177"/>
      <c r="AF177"/>
      <c r="AG177"/>
      <c r="AH177"/>
      <c r="AI177"/>
      <c r="AO177" s="1689"/>
    </row>
    <row r="178" spans="15:41" ht="14.1" customHeight="1">
      <c r="P178"/>
      <c r="Q178"/>
      <c r="R178"/>
      <c r="S178"/>
      <c r="T178"/>
      <c r="U178"/>
      <c r="V178"/>
      <c r="W178"/>
      <c r="X178"/>
      <c r="Y178"/>
      <c r="Z178"/>
      <c r="AA178"/>
      <c r="AB178"/>
      <c r="AC178"/>
      <c r="AD178"/>
      <c r="AE178"/>
      <c r="AF178"/>
      <c r="AG178"/>
      <c r="AH178"/>
      <c r="AI178"/>
      <c r="AO178" s="1689"/>
    </row>
    <row r="179" spans="15:41" ht="14.1" customHeight="1">
      <c r="P179"/>
      <c r="Q179"/>
      <c r="R179"/>
      <c r="S179"/>
      <c r="T179"/>
      <c r="U179"/>
      <c r="V179"/>
      <c r="W179"/>
      <c r="X179"/>
      <c r="Y179"/>
      <c r="Z179"/>
      <c r="AA179"/>
      <c r="AB179"/>
      <c r="AC179"/>
      <c r="AD179"/>
      <c r="AE179"/>
      <c r="AF179"/>
      <c r="AG179"/>
      <c r="AH179"/>
      <c r="AI179"/>
      <c r="AO179" s="1689"/>
    </row>
    <row r="180" spans="15:41" ht="14.1" customHeight="1">
      <c r="P180"/>
      <c r="Q180"/>
      <c r="R180"/>
      <c r="S180"/>
      <c r="T180"/>
      <c r="U180"/>
      <c r="V180"/>
      <c r="W180"/>
      <c r="X180"/>
      <c r="Y180"/>
      <c r="Z180"/>
      <c r="AA180"/>
      <c r="AB180"/>
      <c r="AC180"/>
      <c r="AD180"/>
      <c r="AE180"/>
      <c r="AF180"/>
      <c r="AG180"/>
      <c r="AH180"/>
      <c r="AI180"/>
      <c r="AO180" s="1689"/>
    </row>
    <row r="181" spans="15:41" ht="14.1" customHeight="1">
      <c r="P181"/>
      <c r="Q181"/>
      <c r="R181"/>
      <c r="S181"/>
      <c r="T181"/>
      <c r="U181"/>
      <c r="V181"/>
      <c r="W181"/>
      <c r="X181"/>
      <c r="Y181"/>
      <c r="Z181"/>
      <c r="AA181"/>
      <c r="AB181"/>
      <c r="AC181"/>
      <c r="AD181"/>
      <c r="AE181"/>
      <c r="AF181"/>
      <c r="AG181"/>
      <c r="AH181"/>
      <c r="AI181"/>
      <c r="AO181" s="1689"/>
    </row>
    <row r="182" spans="15:41" ht="14.1" customHeight="1">
      <c r="P182"/>
      <c r="Q182"/>
      <c r="R182"/>
      <c r="S182"/>
      <c r="T182"/>
      <c r="U182"/>
      <c r="V182"/>
      <c r="W182"/>
      <c r="X182"/>
      <c r="Y182"/>
      <c r="Z182"/>
      <c r="AA182"/>
      <c r="AB182"/>
      <c r="AC182"/>
      <c r="AD182"/>
      <c r="AE182"/>
      <c r="AF182"/>
      <c r="AG182"/>
      <c r="AH182"/>
      <c r="AI182"/>
      <c r="AO182" s="1689"/>
    </row>
    <row r="183" spans="15:41" ht="14.1" customHeight="1">
      <c r="P183"/>
      <c r="Q183"/>
      <c r="R183"/>
      <c r="S183"/>
      <c r="T183"/>
      <c r="U183"/>
      <c r="V183"/>
      <c r="W183"/>
      <c r="X183"/>
      <c r="Y183"/>
      <c r="Z183"/>
      <c r="AA183"/>
      <c r="AB183"/>
      <c r="AC183"/>
      <c r="AD183"/>
      <c r="AE183"/>
      <c r="AF183"/>
      <c r="AG183"/>
      <c r="AH183"/>
      <c r="AI183"/>
      <c r="AO183" s="1689"/>
    </row>
    <row r="184" spans="15:41" ht="14.1" customHeight="1">
      <c r="P184"/>
      <c r="Q184"/>
      <c r="R184"/>
      <c r="S184"/>
      <c r="T184"/>
      <c r="U184"/>
      <c r="V184"/>
      <c r="W184"/>
      <c r="X184"/>
      <c r="Y184"/>
      <c r="Z184"/>
      <c r="AA184"/>
      <c r="AB184"/>
      <c r="AC184"/>
      <c r="AD184"/>
      <c r="AE184"/>
      <c r="AF184"/>
      <c r="AG184"/>
      <c r="AH184"/>
      <c r="AI184"/>
      <c r="AO184" s="1689"/>
    </row>
    <row r="185" spans="15:41" ht="14.1" customHeight="1">
      <c r="P185"/>
      <c r="Q185"/>
      <c r="R185"/>
      <c r="S185"/>
      <c r="T185"/>
      <c r="U185"/>
      <c r="V185"/>
      <c r="W185"/>
      <c r="X185"/>
      <c r="Y185"/>
      <c r="Z185"/>
      <c r="AA185"/>
      <c r="AB185"/>
      <c r="AC185"/>
      <c r="AD185"/>
      <c r="AE185"/>
      <c r="AF185"/>
      <c r="AG185"/>
      <c r="AH185"/>
      <c r="AI185"/>
      <c r="AO185" s="1689"/>
    </row>
    <row r="186" spans="15:41" ht="14.1" customHeight="1">
      <c r="Q186" s="801"/>
      <c r="R186" s="801"/>
      <c r="S186" s="801"/>
      <c r="T186" s="801"/>
      <c r="U186" s="801"/>
      <c r="V186" s="801"/>
      <c r="W186" s="801"/>
      <c r="X186" s="801"/>
      <c r="Y186" s="801"/>
      <c r="Z186" s="801"/>
      <c r="AA186" s="801"/>
      <c r="AB186" s="801"/>
      <c r="AO186" s="1689"/>
    </row>
    <row r="187" spans="15:41" ht="14.1" customHeight="1">
      <c r="Q187" s="801"/>
      <c r="R187" s="801"/>
      <c r="S187" s="801"/>
      <c r="T187" s="801"/>
      <c r="U187" s="801"/>
      <c r="V187" s="801"/>
      <c r="W187" s="801"/>
      <c r="X187" s="801"/>
      <c r="Y187" s="801"/>
      <c r="Z187" s="801"/>
      <c r="AA187" s="801"/>
      <c r="AB187" s="801"/>
      <c r="AO187" s="1689"/>
    </row>
    <row r="188" spans="15:41" ht="14.1" customHeight="1">
      <c r="Q188" s="801"/>
      <c r="R188" s="801"/>
      <c r="S188" s="801"/>
      <c r="T188" s="801"/>
      <c r="U188" s="801"/>
      <c r="V188" s="801"/>
      <c r="W188" s="801"/>
      <c r="X188" s="801"/>
      <c r="Y188" s="801"/>
      <c r="Z188" s="801"/>
      <c r="AA188" s="801"/>
      <c r="AB188" s="801"/>
      <c r="AO188" s="1689"/>
    </row>
    <row r="189" spans="15:41" ht="14.1" customHeight="1">
      <c r="Q189" s="801"/>
      <c r="R189" s="801"/>
      <c r="S189" s="801"/>
      <c r="T189" s="801"/>
      <c r="U189" s="801"/>
      <c r="V189" s="801"/>
      <c r="W189" s="801"/>
      <c r="X189" s="801"/>
      <c r="Y189" s="801"/>
      <c r="Z189" s="801"/>
      <c r="AA189" s="801"/>
      <c r="AB189" s="801"/>
      <c r="AO189" s="1689"/>
    </row>
    <row r="190" spans="15:41" ht="14.1" customHeight="1">
      <c r="Q190" s="801"/>
      <c r="R190" s="801"/>
      <c r="S190" s="801"/>
      <c r="T190" s="801"/>
      <c r="U190" s="801"/>
      <c r="V190" s="801"/>
      <c r="W190" s="801"/>
      <c r="X190" s="801"/>
      <c r="Y190" s="801"/>
      <c r="Z190" s="801"/>
      <c r="AA190" s="801"/>
      <c r="AB190" s="801"/>
      <c r="AO190" s="1689"/>
    </row>
    <row r="191" spans="15:41" ht="14.1" customHeight="1">
      <c r="Q191" s="801"/>
      <c r="R191" s="801"/>
      <c r="S191" s="801"/>
      <c r="T191" s="801"/>
      <c r="U191" s="801"/>
      <c r="V191" s="801"/>
      <c r="W191" s="801"/>
      <c r="X191" s="801"/>
      <c r="Y191" s="801"/>
      <c r="Z191" s="801"/>
      <c r="AA191" s="801"/>
      <c r="AB191" s="801"/>
      <c r="AO191" s="1689"/>
    </row>
    <row r="192" spans="15:41" ht="14.1" customHeight="1">
      <c r="O192" s="801"/>
      <c r="P192" s="801"/>
      <c r="Q192" s="801"/>
      <c r="R192" s="801"/>
      <c r="S192" s="801"/>
      <c r="T192" s="801"/>
      <c r="U192" s="801"/>
      <c r="V192" s="801"/>
      <c r="W192" s="801"/>
      <c r="X192" s="801"/>
      <c r="Y192" s="801"/>
      <c r="Z192" s="801"/>
      <c r="AA192" s="801"/>
      <c r="AB192" s="801"/>
      <c r="AO192" s="1689"/>
    </row>
    <row r="193" spans="22:41" ht="14.1" customHeight="1">
      <c r="V193" s="801"/>
      <c r="W193" s="801"/>
      <c r="X193" s="801"/>
      <c r="Y193" s="801"/>
      <c r="Z193" s="801"/>
      <c r="AA193" s="801"/>
      <c r="AB193" s="801"/>
      <c r="AO193" s="1689"/>
    </row>
    <row r="194" spans="22:41" ht="14.1" customHeight="1">
      <c r="AO194" s="1689"/>
    </row>
    <row r="195" spans="22:41" ht="14.1" customHeight="1">
      <c r="AO195" s="1689"/>
    </row>
    <row r="196" spans="22:41" ht="14.1" customHeight="1">
      <c r="AO196" s="1689"/>
    </row>
    <row r="197" spans="22:41" ht="14.1" customHeight="1">
      <c r="AO197" s="1689"/>
    </row>
    <row r="198" spans="22:41" ht="14.1" customHeight="1">
      <c r="AO198" s="1689"/>
    </row>
    <row r="199" spans="22:41" ht="14.1" customHeight="1">
      <c r="AO199" s="1689"/>
    </row>
    <row r="200" spans="22:41" ht="14.1" customHeight="1">
      <c r="AO200" s="1689"/>
    </row>
    <row r="201" spans="22:41" ht="14.1" customHeight="1">
      <c r="AO201" s="1689"/>
    </row>
    <row r="202" spans="22:41" ht="14.1" customHeight="1">
      <c r="AO202" s="1689"/>
    </row>
    <row r="203" spans="22:41" ht="14.1" customHeight="1">
      <c r="AO203" s="1689"/>
    </row>
    <row r="204" spans="22:41" ht="14.1" customHeight="1">
      <c r="AO204" s="1689"/>
    </row>
    <row r="205" spans="22:41" ht="14.1" customHeight="1">
      <c r="AO205" s="1689"/>
    </row>
    <row r="206" spans="22:41" ht="14.1" customHeight="1">
      <c r="AO206" s="1689"/>
    </row>
    <row r="207" spans="22:41" ht="14.1" customHeight="1">
      <c r="AO207" s="1689"/>
    </row>
    <row r="208" spans="22:41" ht="14.1" customHeight="1">
      <c r="V208" s="801"/>
      <c r="W208" s="801"/>
      <c r="X208" s="801"/>
      <c r="Y208" s="801"/>
      <c r="Z208" s="801"/>
      <c r="AA208" s="801"/>
      <c r="AB208" s="801"/>
      <c r="AO208" s="1689"/>
    </row>
    <row r="209" spans="15:41" ht="14.1" customHeight="1">
      <c r="V209" s="801"/>
      <c r="W209" s="801"/>
      <c r="X209" s="801"/>
      <c r="Y209" s="801"/>
      <c r="Z209" s="801"/>
      <c r="AA209" s="801"/>
      <c r="AB209" s="801"/>
      <c r="AO209" s="1689"/>
    </row>
    <row r="210" spans="15:41" ht="14.1" customHeight="1">
      <c r="O210" s="1371"/>
      <c r="P210" s="1371"/>
      <c r="Q210" s="1371"/>
      <c r="R210" s="1371"/>
      <c r="S210" s="1371"/>
      <c r="T210" s="1371"/>
      <c r="U210" s="1371"/>
      <c r="V210" s="1371"/>
      <c r="W210" s="1371"/>
      <c r="X210" s="1371"/>
      <c r="Y210" s="1371"/>
      <c r="Z210" s="1371"/>
      <c r="AA210" s="1371"/>
      <c r="AB210" s="1371"/>
      <c r="AO210" s="1689"/>
    </row>
    <row r="211" spans="15:41" ht="14.1" customHeight="1">
      <c r="AO211" s="1689"/>
    </row>
    <row r="212" spans="15:41" ht="14.1" customHeight="1">
      <c r="AO212" s="1689"/>
    </row>
    <row r="213" spans="15:41" ht="14.1" customHeight="1">
      <c r="AO213" s="1689"/>
    </row>
    <row r="214" spans="15:41" ht="14.1" customHeight="1">
      <c r="AO214" s="1689"/>
    </row>
    <row r="215" spans="15:41" ht="14.1" customHeight="1">
      <c r="AO215" s="1689"/>
    </row>
    <row r="216" spans="15:41" ht="14.1" customHeight="1">
      <c r="AO216" s="1689"/>
    </row>
    <row r="217" spans="15:41" ht="14.1" customHeight="1">
      <c r="AO217" s="1689"/>
    </row>
    <row r="218" spans="15:41" ht="14.1" customHeight="1">
      <c r="AO218" s="1689"/>
    </row>
    <row r="219" spans="15:41" ht="14.1" customHeight="1">
      <c r="AO219" s="1689"/>
    </row>
    <row r="220" spans="15:41" ht="14.1" customHeight="1">
      <c r="AO220" s="1689"/>
    </row>
    <row r="221" spans="15:41" ht="14.1" customHeight="1">
      <c r="AO221" s="1689"/>
    </row>
    <row r="222" spans="15:41" ht="14.1" customHeight="1">
      <c r="AO222" s="1689"/>
    </row>
    <row r="223" spans="15:41" ht="14.1" customHeight="1">
      <c r="AO223" s="1689"/>
    </row>
    <row r="224" spans="15:41" ht="14.1" customHeight="1">
      <c r="AO224" s="1689"/>
    </row>
    <row r="225" spans="14:41" ht="14.1" customHeight="1">
      <c r="AO225" s="1689"/>
    </row>
    <row r="226" spans="14:41" ht="14.1" customHeight="1">
      <c r="AO226" s="1689"/>
    </row>
    <row r="227" spans="14:41" ht="14.1" customHeight="1">
      <c r="AO227" s="1689"/>
    </row>
    <row r="228" spans="14:41" ht="14.1" customHeight="1">
      <c r="AO228" s="1689"/>
    </row>
    <row r="229" spans="14:41" ht="14.1" customHeight="1">
      <c r="AO229" s="1689"/>
    </row>
    <row r="230" spans="14:41" ht="14.1" customHeight="1">
      <c r="AO230" s="1689"/>
    </row>
    <row r="231" spans="14:41" ht="14.1" customHeight="1">
      <c r="AO231" s="1689"/>
    </row>
    <row r="232" spans="14:41" ht="14.1" customHeight="1">
      <c r="N232" s="801"/>
      <c r="O232" s="801"/>
      <c r="P232" s="801"/>
      <c r="Q232" s="801"/>
      <c r="R232" s="801"/>
      <c r="S232" s="801"/>
      <c r="T232" s="801"/>
      <c r="U232" s="801"/>
      <c r="V232" s="801"/>
      <c r="W232" s="801"/>
      <c r="X232" s="801"/>
      <c r="Y232" s="801"/>
      <c r="Z232" s="801"/>
      <c r="AA232" s="801"/>
      <c r="AB232" s="801"/>
      <c r="AO232" s="1689"/>
    </row>
    <row r="233" spans="14:41" ht="14.1" customHeight="1">
      <c r="P233" s="801"/>
      <c r="Q233" s="801"/>
      <c r="R233" s="801"/>
      <c r="S233" s="801"/>
      <c r="T233" s="801"/>
      <c r="U233" s="801"/>
      <c r="V233" s="801"/>
      <c r="W233" s="801"/>
      <c r="X233" s="801"/>
      <c r="Y233" s="801"/>
      <c r="Z233" s="801"/>
      <c r="AA233" s="801"/>
      <c r="AB233" s="801"/>
      <c r="AO233" s="1689"/>
    </row>
    <row r="234" spans="14:41" ht="14.1" customHeight="1">
      <c r="AO234" s="1689"/>
    </row>
    <row r="235" spans="14:41" ht="14.1" customHeight="1">
      <c r="AO235" s="1689"/>
    </row>
    <row r="236" spans="14:41" ht="14.1" customHeight="1">
      <c r="AO236" s="1689"/>
    </row>
    <row r="237" spans="14:41" ht="14.1" customHeight="1">
      <c r="AO237" s="1689"/>
    </row>
    <row r="238" spans="14:41" ht="14.1" customHeight="1">
      <c r="AO238" s="1689"/>
    </row>
    <row r="239" spans="14:41" ht="14.1" customHeight="1">
      <c r="AO239" s="1689"/>
    </row>
    <row r="240" spans="14:41" ht="14.1" customHeight="1">
      <c r="AO240" s="1689"/>
    </row>
    <row r="241" spans="29:41" ht="14.1" customHeight="1">
      <c r="AO241" s="1689"/>
    </row>
    <row r="242" spans="29:41" ht="14.1" customHeight="1">
      <c r="AO242" s="1689"/>
    </row>
    <row r="243" spans="29:41" ht="14.1" customHeight="1">
      <c r="AO243" s="1689"/>
    </row>
    <row r="244" spans="29:41" ht="14.1" customHeight="1">
      <c r="AO244" s="1689"/>
    </row>
    <row r="245" spans="29:41" ht="14.1" customHeight="1">
      <c r="AO245" s="1689"/>
    </row>
    <row r="246" spans="29:41" ht="14.1" customHeight="1">
      <c r="AO246" s="1689"/>
    </row>
    <row r="247" spans="29:41" ht="14.1" customHeight="1">
      <c r="AO247" s="1689"/>
    </row>
    <row r="248" spans="29:41" ht="14.1" customHeight="1">
      <c r="AO248" s="1689"/>
    </row>
    <row r="249" spans="29:41" ht="14.1" customHeight="1">
      <c r="AO249" s="1689"/>
    </row>
    <row r="250" spans="29:41" ht="14.1" customHeight="1">
      <c r="AO250" s="1689"/>
    </row>
    <row r="251" spans="29:41" ht="14.1" customHeight="1">
      <c r="AO251" s="1689"/>
    </row>
    <row r="252" spans="29:41" ht="14.1" customHeight="1">
      <c r="AO252" s="1689"/>
    </row>
    <row r="253" spans="29:41" ht="14.1" customHeight="1">
      <c r="AO253" s="1689"/>
    </row>
    <row r="254" spans="29:41" ht="14.1" customHeight="1">
      <c r="AO254" s="1689"/>
    </row>
    <row r="255" spans="29:41" ht="14.1" customHeight="1">
      <c r="AC255" s="801"/>
      <c r="AD255" s="801"/>
      <c r="AE255" s="801"/>
      <c r="AF255" s="801"/>
      <c r="AG255" s="801"/>
      <c r="AH255" s="801"/>
      <c r="AO255" s="1689"/>
    </row>
    <row r="256" spans="29:41" ht="14.1" customHeight="1">
      <c r="AO256" s="1689"/>
    </row>
    <row r="257" spans="41:41" ht="14.1" customHeight="1">
      <c r="AO257" s="1689"/>
    </row>
    <row r="258" spans="41:41" ht="14.1" customHeight="1">
      <c r="AO258" s="1689"/>
    </row>
    <row r="259" spans="41:41" ht="14.1" customHeight="1">
      <c r="AO259" s="1689"/>
    </row>
    <row r="260" spans="41:41" ht="14.1" customHeight="1">
      <c r="AO260" s="1689"/>
    </row>
    <row r="261" spans="41:41" ht="14.1" customHeight="1">
      <c r="AO261" s="1689"/>
    </row>
    <row r="262" spans="41:41" ht="14.1" customHeight="1">
      <c r="AO262" s="1689"/>
    </row>
    <row r="263" spans="41:41" ht="14.1" customHeight="1">
      <c r="AO263" s="1689"/>
    </row>
    <row r="264" spans="41:41" ht="14.1" customHeight="1">
      <c r="AO264" s="1689"/>
    </row>
    <row r="265" spans="41:41" ht="14.1" customHeight="1">
      <c r="AO265" s="1689"/>
    </row>
    <row r="266" spans="41:41" ht="14.1" customHeight="1">
      <c r="AO266" s="1689"/>
    </row>
    <row r="267" spans="41:41" ht="14.1" customHeight="1">
      <c r="AO267" s="1689"/>
    </row>
    <row r="268" spans="41:41" ht="14.1" customHeight="1">
      <c r="AO268" s="1689"/>
    </row>
    <row r="269" spans="41:41" ht="14.1" customHeight="1">
      <c r="AO269" s="1689"/>
    </row>
    <row r="270" spans="41:41" ht="14.1" customHeight="1">
      <c r="AO270" s="1689"/>
    </row>
    <row r="271" spans="41:41" ht="14.1" customHeight="1">
      <c r="AO271" s="1689"/>
    </row>
    <row r="272" spans="41:41" ht="14.1" customHeight="1">
      <c r="AO272" s="1689"/>
    </row>
    <row r="273" spans="41:41" ht="14.1" customHeight="1">
      <c r="AO273" s="1689"/>
    </row>
    <row r="274" spans="41:41" ht="14.1" customHeight="1">
      <c r="AO274" s="1689"/>
    </row>
    <row r="275" spans="41:41" ht="14.1" customHeight="1">
      <c r="AO275" s="1689"/>
    </row>
    <row r="276" spans="41:41" ht="14.1" customHeight="1">
      <c r="AO276" s="1689"/>
    </row>
    <row r="277" spans="41:41" ht="14.1" customHeight="1">
      <c r="AO277" s="1689"/>
    </row>
    <row r="278" spans="41:41" ht="14.1" customHeight="1">
      <c r="AO278" s="1689"/>
    </row>
    <row r="279" spans="41:41" ht="14.1" customHeight="1">
      <c r="AO279" s="1689"/>
    </row>
    <row r="280" spans="41:41" ht="14.1" customHeight="1">
      <c r="AO280" s="1689"/>
    </row>
    <row r="281" spans="41:41" ht="14.1" customHeight="1">
      <c r="AO281" s="1689"/>
    </row>
    <row r="282" spans="41:41" ht="14.1" customHeight="1">
      <c r="AO282" s="1689"/>
    </row>
    <row r="283" spans="41:41" ht="14.1" customHeight="1">
      <c r="AO283" s="1689"/>
    </row>
    <row r="284" spans="41:41" ht="14.1" customHeight="1">
      <c r="AO284" s="1689"/>
    </row>
    <row r="285" spans="41:41" ht="14.1" customHeight="1">
      <c r="AO285" s="1689"/>
    </row>
    <row r="286" spans="41:41" ht="14.1" customHeight="1">
      <c r="AO286" s="1689"/>
    </row>
    <row r="287" spans="41:41" ht="14.1" customHeight="1">
      <c r="AO287" s="1689"/>
    </row>
    <row r="288" spans="41:41" ht="14.1" customHeight="1">
      <c r="AO288" s="1689"/>
    </row>
    <row r="289" spans="41:41" ht="14.1" customHeight="1">
      <c r="AO289" s="1689"/>
    </row>
    <row r="290" spans="41:41" ht="14.1" customHeight="1">
      <c r="AO290" s="1689"/>
    </row>
    <row r="291" spans="41:41" ht="14.1" customHeight="1">
      <c r="AO291" s="1689"/>
    </row>
    <row r="292" spans="41:41" ht="14.1" customHeight="1">
      <c r="AO292" s="1689"/>
    </row>
    <row r="293" spans="41:41" ht="14.1" customHeight="1">
      <c r="AO293" s="1689"/>
    </row>
    <row r="294" spans="41:41" ht="14.1" customHeight="1">
      <c r="AO294" s="1689"/>
    </row>
    <row r="295" spans="41:41" ht="14.1" customHeight="1">
      <c r="AO295" s="1689"/>
    </row>
    <row r="296" spans="41:41" ht="14.1" customHeight="1">
      <c r="AO296" s="1689"/>
    </row>
    <row r="297" spans="41:41" ht="14.1" customHeight="1">
      <c r="AO297" s="1689"/>
    </row>
    <row r="298" spans="41:41" ht="14.1" customHeight="1">
      <c r="AO298" s="1689"/>
    </row>
    <row r="299" spans="41:41" ht="14.1" customHeight="1">
      <c r="AO299" s="1689"/>
    </row>
    <row r="300" spans="41:41" ht="14.1" customHeight="1">
      <c r="AO300" s="1689"/>
    </row>
    <row r="301" spans="41:41" ht="14.1" customHeight="1">
      <c r="AO301" s="1689"/>
    </row>
    <row r="302" spans="41:41" ht="14.1" customHeight="1">
      <c r="AO302" s="1689"/>
    </row>
    <row r="303" spans="41:41" ht="14.1" customHeight="1">
      <c r="AO303" s="1689"/>
    </row>
    <row r="304" spans="41:41" ht="14.1" customHeight="1">
      <c r="AO304" s="1689"/>
    </row>
    <row r="305" spans="41:41" ht="14.1" customHeight="1">
      <c r="AO305" s="1689"/>
    </row>
    <row r="306" spans="41:41" ht="14.1" customHeight="1">
      <c r="AO306" s="1689"/>
    </row>
    <row r="307" spans="41:41" ht="14.1" customHeight="1">
      <c r="AO307" s="1689"/>
    </row>
    <row r="308" spans="41:41" ht="14.1" customHeight="1">
      <c r="AO308" s="1689"/>
    </row>
    <row r="309" spans="41:41" ht="14.1" customHeight="1">
      <c r="AO309" s="1689"/>
    </row>
    <row r="310" spans="41:41" ht="14.1" customHeight="1">
      <c r="AO310" s="1689"/>
    </row>
    <row r="311" spans="41:41" ht="14.1" customHeight="1">
      <c r="AO311" s="1689"/>
    </row>
    <row r="312" spans="41:41" ht="14.1" customHeight="1">
      <c r="AO312" s="1689"/>
    </row>
    <row r="313" spans="41:41" ht="14.1" customHeight="1">
      <c r="AO313" s="1689"/>
    </row>
    <row r="314" spans="41:41" ht="14.1" customHeight="1">
      <c r="AO314" s="1689"/>
    </row>
    <row r="315" spans="41:41" ht="14.1" customHeight="1">
      <c r="AO315" s="1689"/>
    </row>
    <row r="316" spans="41:41" ht="14.1" customHeight="1">
      <c r="AO316" s="1689"/>
    </row>
    <row r="317" spans="41:41" ht="14.1" customHeight="1">
      <c r="AO317" s="1689"/>
    </row>
    <row r="318" spans="41:41" ht="14.1" customHeight="1">
      <c r="AO318" s="1689"/>
    </row>
    <row r="319" spans="41:41" ht="14.1" customHeight="1">
      <c r="AO319" s="1689"/>
    </row>
    <row r="320" spans="41:41" ht="14.1" customHeight="1">
      <c r="AO320" s="1689"/>
    </row>
    <row r="321" spans="41:41" ht="14.1" customHeight="1">
      <c r="AO321" s="1689"/>
    </row>
    <row r="322" spans="41:41" ht="14.1" customHeight="1">
      <c r="AO322" s="1689"/>
    </row>
    <row r="323" spans="41:41" ht="14.1" customHeight="1">
      <c r="AO323" s="1689"/>
    </row>
    <row r="324" spans="41:41" ht="14.1" customHeight="1">
      <c r="AO324" s="1689"/>
    </row>
    <row r="325" spans="41:41" ht="14.1" customHeight="1">
      <c r="AO325" s="1689"/>
    </row>
  </sheetData>
  <customSheetViews>
    <customSheetView guid="{BD5E6263-A0AD-4076-921A-D4EBD62848EF}" showRuler="0">
      <selection activeCell="A2" sqref="A2"/>
      <pageMargins left="0.75" right="0.75" top="1" bottom="1" header="0.5" footer="0.5"/>
      <pageSetup orientation="portrait" r:id="rId1"/>
      <headerFooter alignWithMargins="0"/>
    </customSheetView>
    <customSheetView guid="{1D5AE30A-CA7C-4B32-AEA4-9F37A560AAA8}" showRuler="0">
      <selection activeCell="A2" sqref="A2"/>
      <pageMargins left="0.75" right="0.75" top="1" bottom="1" header="0.5" footer="0.5"/>
      <pageSetup orientation="portrait" r:id="rId2"/>
      <headerFooter alignWithMargins="0"/>
    </customSheetView>
  </customSheetViews>
  <mergeCells count="17">
    <mergeCell ref="P17:AI18"/>
    <mergeCell ref="B16:K33"/>
    <mergeCell ref="L28:N33"/>
    <mergeCell ref="L16:N21"/>
    <mergeCell ref="L76:N80"/>
    <mergeCell ref="L73:N74"/>
    <mergeCell ref="B82:N86"/>
    <mergeCell ref="B35:J52"/>
    <mergeCell ref="AK40:AN41"/>
    <mergeCell ref="L35:N40"/>
    <mergeCell ref="L47:N52"/>
    <mergeCell ref="P36:AI37"/>
    <mergeCell ref="B54:K71"/>
    <mergeCell ref="L54:N59"/>
    <mergeCell ref="P55:AI56"/>
    <mergeCell ref="L66:N71"/>
    <mergeCell ref="B73:K80"/>
  </mergeCells>
  <phoneticPr fontId="6" type="noConversion"/>
  <pageMargins left="0.75" right="0.75" top="1" bottom="1" header="0.5" footer="0.5"/>
  <pageSetup orientation="portrait" r:id="rId3"/>
  <headerFooter alignWithMargins="0"/>
  <drawing r:id="rId4"/>
</worksheet>
</file>

<file path=xl/worksheets/sheet4.xml><?xml version="1.0" encoding="utf-8"?>
<worksheet xmlns="http://schemas.openxmlformats.org/spreadsheetml/2006/main" xmlns:r="http://schemas.openxmlformats.org/officeDocument/2006/relationships">
  <sheetPr codeName="Sheet47"/>
  <dimension ref="B2:F48"/>
  <sheetViews>
    <sheetView workbookViewId="0"/>
  </sheetViews>
  <sheetFormatPr defaultColWidth="15.625" defaultRowHeight="15" customHeight="1"/>
  <cols>
    <col min="1" max="1" width="2.75" customWidth="1"/>
    <col min="2" max="2" width="25.75" customWidth="1"/>
    <col min="3" max="3" width="50.375" customWidth="1"/>
    <col min="4" max="5" width="11.75" customWidth="1"/>
    <col min="6" max="6" width="23.125" customWidth="1"/>
  </cols>
  <sheetData>
    <row r="2" spans="2:6" ht="15" customHeight="1">
      <c r="B2" s="115" t="s">
        <v>1376</v>
      </c>
      <c r="F2" s="181">
        <f>'Title Page'!K1</f>
        <v>40914</v>
      </c>
    </row>
    <row r="6" spans="2:6" ht="15" customHeight="1">
      <c r="B6" s="3778" t="s">
        <v>3539</v>
      </c>
      <c r="C6" s="3779"/>
      <c r="D6" s="3779"/>
      <c r="E6" s="3779"/>
    </row>
    <row r="7" spans="2:6" ht="15" customHeight="1">
      <c r="B7" s="3779"/>
      <c r="C7" s="3779"/>
      <c r="D7" s="3779"/>
      <c r="E7" s="3779"/>
    </row>
    <row r="9" spans="2:6" ht="15" customHeight="1">
      <c r="B9" s="3778" t="s">
        <v>3540</v>
      </c>
      <c r="C9" s="3779"/>
      <c r="D9" s="3779"/>
      <c r="E9" s="3779"/>
    </row>
    <row r="10" spans="2:6" ht="15" customHeight="1">
      <c r="B10" s="3779"/>
      <c r="C10" s="3779"/>
      <c r="D10" s="3779"/>
      <c r="E10" s="3779"/>
    </row>
    <row r="12" spans="2:6" ht="15" customHeight="1">
      <c r="B12" s="3778" t="s">
        <v>3541</v>
      </c>
      <c r="C12" s="3779"/>
      <c r="D12" s="3779"/>
      <c r="E12" s="3779"/>
    </row>
    <row r="13" spans="2:6" ht="15" customHeight="1">
      <c r="B13" s="3779"/>
      <c r="C13" s="3779"/>
      <c r="D13" s="3779"/>
      <c r="E13" s="3779"/>
    </row>
    <row r="14" spans="2:6" ht="15" customHeight="1">
      <c r="B14" s="3779"/>
      <c r="C14" s="3779"/>
      <c r="D14" s="3779"/>
      <c r="E14" s="3779"/>
    </row>
    <row r="16" spans="2:6" ht="15" customHeight="1">
      <c r="B16" s="3779" t="s">
        <v>3533</v>
      </c>
      <c r="C16" s="3779"/>
      <c r="D16" s="3779"/>
      <c r="E16" s="3779"/>
    </row>
    <row r="17" spans="2:6" ht="15" customHeight="1">
      <c r="B17" s="3779"/>
      <c r="C17" s="3779"/>
      <c r="D17" s="3779"/>
      <c r="E17" s="3779"/>
    </row>
    <row r="18" spans="2:6" ht="15" customHeight="1">
      <c r="B18" s="3779"/>
      <c r="C18" s="3779"/>
      <c r="D18" s="3779"/>
      <c r="E18" s="3779"/>
    </row>
    <row r="19" spans="2:6" ht="15" customHeight="1">
      <c r="B19" s="3779"/>
      <c r="C19" s="3779"/>
      <c r="D19" s="3779"/>
      <c r="E19" s="3779"/>
    </row>
    <row r="20" spans="2:6" ht="15" customHeight="1">
      <c r="B20" s="45"/>
      <c r="C20" s="45"/>
      <c r="D20" s="45"/>
      <c r="E20" s="45"/>
    </row>
    <row r="21" spans="2:6" ht="15" customHeight="1">
      <c r="B21" t="s">
        <v>789</v>
      </c>
    </row>
    <row r="23" spans="2:6" ht="15" customHeight="1">
      <c r="B23" s="3780" t="s">
        <v>1391</v>
      </c>
      <c r="C23" s="3780" t="s">
        <v>796</v>
      </c>
      <c r="D23" s="3780" t="s">
        <v>1390</v>
      </c>
      <c r="E23" s="3780" t="s">
        <v>3021</v>
      </c>
    </row>
    <row r="24" spans="2:6" ht="15" customHeight="1">
      <c r="B24" s="3781"/>
      <c r="C24" s="3781"/>
      <c r="D24" s="3781"/>
      <c r="E24" s="3781"/>
    </row>
    <row r="25" spans="2:6" ht="15" customHeight="1">
      <c r="B25" s="3781"/>
      <c r="C25" s="3781"/>
      <c r="D25" s="3781"/>
      <c r="E25" s="3781"/>
    </row>
    <row r="26" spans="2:6" ht="15" customHeight="1">
      <c r="B26" s="3781"/>
      <c r="C26" s="3781"/>
      <c r="D26" s="3781"/>
      <c r="E26" s="3781"/>
      <c r="F26" s="2" t="s">
        <v>3022</v>
      </c>
    </row>
    <row r="28" spans="2:6" ht="15" customHeight="1">
      <c r="B28" s="6" t="s">
        <v>1380</v>
      </c>
      <c r="C28" t="s">
        <v>1386</v>
      </c>
      <c r="D28" t="s">
        <v>1377</v>
      </c>
      <c r="E28" t="s">
        <v>1383</v>
      </c>
      <c r="F28" s="9" t="s">
        <v>3024</v>
      </c>
    </row>
    <row r="29" spans="2:6" ht="15" customHeight="1">
      <c r="C29" t="s">
        <v>1392</v>
      </c>
      <c r="D29" t="s">
        <v>1378</v>
      </c>
      <c r="E29" t="s">
        <v>1379</v>
      </c>
      <c r="F29" s="9" t="s">
        <v>3023</v>
      </c>
    </row>
    <row r="30" spans="2:6" ht="15" customHeight="1">
      <c r="C30" t="s">
        <v>788</v>
      </c>
      <c r="D30" t="s">
        <v>1377</v>
      </c>
      <c r="E30" t="s">
        <v>1382</v>
      </c>
      <c r="F30" s="9" t="s">
        <v>3025</v>
      </c>
    </row>
    <row r="32" spans="2:6" ht="15" customHeight="1">
      <c r="B32" s="6" t="s">
        <v>1393</v>
      </c>
      <c r="C32" t="s">
        <v>1381</v>
      </c>
      <c r="D32" t="s">
        <v>1377</v>
      </c>
      <c r="E32" t="s">
        <v>1382</v>
      </c>
      <c r="F32" s="9" t="s">
        <v>3026</v>
      </c>
    </row>
    <row r="33" spans="2:6" ht="15" customHeight="1">
      <c r="C33" t="s">
        <v>1386</v>
      </c>
      <c r="D33" t="s">
        <v>1378</v>
      </c>
      <c r="E33" t="s">
        <v>1382</v>
      </c>
      <c r="F33" s="9" t="s">
        <v>3028</v>
      </c>
    </row>
    <row r="34" spans="2:6" ht="15" customHeight="1">
      <c r="C34" t="s">
        <v>1392</v>
      </c>
      <c r="D34" t="s">
        <v>1378</v>
      </c>
      <c r="E34" t="s">
        <v>1379</v>
      </c>
      <c r="F34" s="9" t="s">
        <v>3534</v>
      </c>
    </row>
    <row r="35" spans="2:6" ht="15" customHeight="1">
      <c r="C35" t="s">
        <v>788</v>
      </c>
      <c r="D35" t="s">
        <v>1377</v>
      </c>
      <c r="E35" t="s">
        <v>1382</v>
      </c>
      <c r="F35" s="9" t="s">
        <v>3027</v>
      </c>
    </row>
    <row r="37" spans="2:6" ht="15" customHeight="1">
      <c r="B37" s="6" t="s">
        <v>1384</v>
      </c>
      <c r="C37" t="s">
        <v>1385</v>
      </c>
      <c r="D37" t="s">
        <v>1378</v>
      </c>
      <c r="E37" t="s">
        <v>1382</v>
      </c>
      <c r="F37" s="9" t="s">
        <v>3535</v>
      </c>
    </row>
    <row r="38" spans="2:6" ht="15" customHeight="1">
      <c r="C38" t="s">
        <v>1386</v>
      </c>
      <c r="D38" t="s">
        <v>1378</v>
      </c>
      <c r="E38" t="s">
        <v>1382</v>
      </c>
      <c r="F38" s="9" t="s">
        <v>3029</v>
      </c>
    </row>
    <row r="39" spans="2:6" ht="15" customHeight="1">
      <c r="C39" t="s">
        <v>795</v>
      </c>
      <c r="D39" t="s">
        <v>1378</v>
      </c>
      <c r="E39" t="s">
        <v>1379</v>
      </c>
      <c r="F39" s="9" t="s">
        <v>3536</v>
      </c>
    </row>
    <row r="41" spans="2:6" ht="15" customHeight="1">
      <c r="B41" s="6" t="s">
        <v>790</v>
      </c>
      <c r="C41" t="s">
        <v>1385</v>
      </c>
      <c r="D41" t="s">
        <v>1378</v>
      </c>
      <c r="E41" t="s">
        <v>1382</v>
      </c>
      <c r="F41" s="9" t="s">
        <v>3535</v>
      </c>
    </row>
    <row r="42" spans="2:6" ht="15" customHeight="1">
      <c r="C42" t="s">
        <v>1386</v>
      </c>
      <c r="D42" t="s">
        <v>1378</v>
      </c>
      <c r="E42" t="s">
        <v>1382</v>
      </c>
      <c r="F42" s="9" t="s">
        <v>3029</v>
      </c>
    </row>
    <row r="43" spans="2:6" ht="15" customHeight="1">
      <c r="C43" t="s">
        <v>794</v>
      </c>
      <c r="D43" t="s">
        <v>1378</v>
      </c>
      <c r="E43" t="s">
        <v>1379</v>
      </c>
      <c r="F43" s="9" t="s">
        <v>3536</v>
      </c>
    </row>
    <row r="44" spans="2:6" ht="15" customHeight="1">
      <c r="C44" t="s">
        <v>791</v>
      </c>
      <c r="D44" t="s">
        <v>1378</v>
      </c>
      <c r="E44" t="s">
        <v>1379</v>
      </c>
      <c r="F44" s="9" t="s">
        <v>3537</v>
      </c>
    </row>
    <row r="46" spans="2:6" ht="15" customHeight="1">
      <c r="B46" s="1754" t="s">
        <v>797</v>
      </c>
      <c r="C46" t="s">
        <v>792</v>
      </c>
      <c r="D46" t="s">
        <v>1377</v>
      </c>
      <c r="E46" t="s">
        <v>1382</v>
      </c>
      <c r="F46" s="9" t="s">
        <v>3538</v>
      </c>
    </row>
    <row r="48" spans="2:6" ht="15" customHeight="1">
      <c r="B48" s="1754" t="s">
        <v>798</v>
      </c>
      <c r="C48" t="s">
        <v>793</v>
      </c>
      <c r="D48" t="s">
        <v>1377</v>
      </c>
      <c r="E48" t="s">
        <v>1382</v>
      </c>
      <c r="F48" s="9" t="s">
        <v>3538</v>
      </c>
    </row>
  </sheetData>
  <mergeCells count="8">
    <mergeCell ref="B6:E7"/>
    <mergeCell ref="B23:B26"/>
    <mergeCell ref="C23:C26"/>
    <mergeCell ref="E23:E26"/>
    <mergeCell ref="D23:D26"/>
    <mergeCell ref="B9:E10"/>
    <mergeCell ref="B12:E14"/>
    <mergeCell ref="B16:E19"/>
  </mergeCells>
  <phoneticPr fontId="6" type="noConversion"/>
  <pageMargins left="0.75" right="0.75" top="1" bottom="1" header="0.5" footer="0.5"/>
  <pageSetup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codeName="Sheet36"/>
  <dimension ref="A1:O763"/>
  <sheetViews>
    <sheetView zoomScaleNormal="100" workbookViewId="0"/>
  </sheetViews>
  <sheetFormatPr defaultColWidth="12.75" defaultRowHeight="14.1" customHeight="1"/>
  <cols>
    <col min="1" max="1" width="2.75" customWidth="1"/>
    <col min="9" max="9" width="12.75" customWidth="1"/>
    <col min="12" max="12" width="2.75" customWidth="1"/>
  </cols>
  <sheetData>
    <row r="1" spans="2:12" ht="14.1" customHeight="1">
      <c r="C1" s="1990"/>
      <c r="L1" s="117">
        <f>ROW()</f>
        <v>1</v>
      </c>
    </row>
    <row r="2" spans="2:12" ht="14.1" customHeight="1">
      <c r="B2" s="115" t="s">
        <v>2589</v>
      </c>
      <c r="I2" s="2274">
        <f>'Title Page'!K1</f>
        <v>40914</v>
      </c>
      <c r="L2" s="117">
        <f>ROW()</f>
        <v>2</v>
      </c>
    </row>
    <row r="3" spans="2:12" ht="14.1" customHeight="1">
      <c r="L3" s="117">
        <f>ROW()</f>
        <v>3</v>
      </c>
    </row>
    <row r="4" spans="2:12" ht="14.1" customHeight="1">
      <c r="B4" s="1" t="s">
        <v>4561</v>
      </c>
      <c r="L4" s="117">
        <f>ROW()</f>
        <v>4</v>
      </c>
    </row>
    <row r="5" spans="2:12" ht="14.1" customHeight="1">
      <c r="L5" s="117">
        <f>ROW()</f>
        <v>5</v>
      </c>
    </row>
    <row r="6" spans="2:12" ht="14.1" customHeight="1">
      <c r="B6" s="3787" t="s">
        <v>4562</v>
      </c>
      <c r="C6" s="3779"/>
      <c r="D6" s="3779"/>
      <c r="E6" s="3779"/>
      <c r="F6" s="3779"/>
      <c r="G6" s="3779"/>
      <c r="H6" s="3779"/>
      <c r="I6" s="3779"/>
      <c r="L6" s="117">
        <f>ROW()</f>
        <v>6</v>
      </c>
    </row>
    <row r="7" spans="2:12" ht="14.1" customHeight="1">
      <c r="B7" s="3779"/>
      <c r="C7" s="3779"/>
      <c r="D7" s="3779"/>
      <c r="E7" s="3779"/>
      <c r="F7" s="3779"/>
      <c r="G7" s="3779"/>
      <c r="H7" s="3779"/>
      <c r="I7" s="3779"/>
      <c r="L7" s="117">
        <f>ROW()</f>
        <v>7</v>
      </c>
    </row>
    <row r="8" spans="2:12" ht="14.1" customHeight="1">
      <c r="L8" s="117">
        <f>ROW()</f>
        <v>8</v>
      </c>
    </row>
    <row r="9" spans="2:12" ht="14.1" customHeight="1">
      <c r="B9" s="3787" t="s">
        <v>3937</v>
      </c>
      <c r="C9" s="3779"/>
      <c r="D9" s="3779"/>
      <c r="E9" s="3779"/>
      <c r="F9" s="3779"/>
      <c r="G9" s="3779"/>
      <c r="H9" s="3779"/>
      <c r="I9" s="3779"/>
      <c r="L9" s="117">
        <f>ROW()</f>
        <v>9</v>
      </c>
    </row>
    <row r="10" spans="2:12" ht="14.1" customHeight="1">
      <c r="B10" s="3779"/>
      <c r="C10" s="3779"/>
      <c r="D10" s="3779"/>
      <c r="E10" s="3779"/>
      <c r="F10" s="3779"/>
      <c r="G10" s="3779"/>
      <c r="H10" s="3779"/>
      <c r="I10" s="3779"/>
      <c r="L10" s="117">
        <f>ROW()</f>
        <v>10</v>
      </c>
    </row>
    <row r="11" spans="2:12" ht="14.1" customHeight="1">
      <c r="L11" s="117">
        <f>ROW()</f>
        <v>11</v>
      </c>
    </row>
    <row r="12" spans="2:12" ht="14.1" customHeight="1">
      <c r="B12" s="1" t="str">
        <f>CONCATENATE("Rather than scroll through this long (",MAX(L1:L10063), " rows) worksheet, click on any link below to be taken directly to that section.")</f>
        <v>Rather than scroll through this long (752 rows) worksheet, click on any link below to be taken directly to that section.</v>
      </c>
      <c r="C12" s="1"/>
      <c r="D12" s="1"/>
      <c r="E12" s="1"/>
      <c r="F12" s="1"/>
      <c r="G12" s="1"/>
      <c r="H12" s="1"/>
      <c r="I12" s="1"/>
      <c r="L12" s="117">
        <f>ROW()</f>
        <v>12</v>
      </c>
    </row>
    <row r="13" spans="2:12" ht="14.1" customHeight="1">
      <c r="B13" s="1"/>
      <c r="C13" s="1"/>
      <c r="D13" s="1"/>
      <c r="E13" s="1"/>
      <c r="F13" s="1"/>
      <c r="G13" s="1"/>
      <c r="H13" s="1"/>
      <c r="I13" s="1"/>
      <c r="L13" s="117">
        <f>ROW()</f>
        <v>13</v>
      </c>
    </row>
    <row r="14" spans="2:12" ht="14.1" customHeight="1">
      <c r="B14" s="2086" t="s">
        <v>3934</v>
      </c>
      <c r="L14" s="117">
        <f>ROW()</f>
        <v>14</v>
      </c>
    </row>
    <row r="15" spans="2:12" ht="14.1" customHeight="1">
      <c r="B15" s="2086" t="s">
        <v>1976</v>
      </c>
      <c r="L15" s="117">
        <f>ROW()</f>
        <v>15</v>
      </c>
    </row>
    <row r="16" spans="2:12" ht="14.1" customHeight="1">
      <c r="B16" s="2086" t="s">
        <v>27</v>
      </c>
      <c r="L16" s="117">
        <f>ROW()</f>
        <v>16</v>
      </c>
    </row>
    <row r="17" spans="1:12" ht="14.1" customHeight="1">
      <c r="B17" s="2086" t="s">
        <v>1766</v>
      </c>
      <c r="L17" s="117">
        <f>ROW()</f>
        <v>17</v>
      </c>
    </row>
    <row r="18" spans="1:12" ht="14.1" customHeight="1">
      <c r="B18" s="2086" t="s">
        <v>3935</v>
      </c>
      <c r="L18" s="117">
        <f>ROW()</f>
        <v>18</v>
      </c>
    </row>
    <row r="19" spans="1:12" ht="14.1" customHeight="1">
      <c r="B19" s="2086" t="s">
        <v>3324</v>
      </c>
      <c r="L19" s="117">
        <f>ROW()</f>
        <v>19</v>
      </c>
    </row>
    <row r="20" spans="1:12" s="3263" customFormat="1" ht="14.1" customHeight="1">
      <c r="A20"/>
      <c r="B20" s="2086" t="s">
        <v>1509</v>
      </c>
      <c r="C20" s="2086"/>
      <c r="L20" s="117">
        <f>ROW()</f>
        <v>20</v>
      </c>
    </row>
    <row r="21" spans="1:12" ht="14.1" customHeight="1">
      <c r="B21" s="2086" t="s">
        <v>2343</v>
      </c>
      <c r="L21" s="117">
        <f>ROW()</f>
        <v>21</v>
      </c>
    </row>
    <row r="22" spans="1:12" ht="14.1" customHeight="1">
      <c r="B22" s="2086" t="s">
        <v>1932</v>
      </c>
      <c r="L22" s="117">
        <f>ROW()</f>
        <v>22</v>
      </c>
    </row>
    <row r="23" spans="1:12" ht="14.1" customHeight="1">
      <c r="B23" s="2086" t="s">
        <v>2367</v>
      </c>
      <c r="L23" s="117">
        <f>ROW()</f>
        <v>23</v>
      </c>
    </row>
    <row r="24" spans="1:12" ht="14.1" customHeight="1">
      <c r="B24" s="2086" t="s">
        <v>910</v>
      </c>
      <c r="L24" s="117">
        <f>ROW()</f>
        <v>24</v>
      </c>
    </row>
    <row r="25" spans="1:12" s="3263" customFormat="1" ht="14.1" customHeight="1">
      <c r="B25" s="2086" t="s">
        <v>810</v>
      </c>
      <c r="L25" s="117">
        <f>ROW()</f>
        <v>25</v>
      </c>
    </row>
    <row r="26" spans="1:12" ht="14.1" customHeight="1">
      <c r="B26" s="2086" t="s">
        <v>3936</v>
      </c>
      <c r="L26" s="117">
        <f>ROW()</f>
        <v>26</v>
      </c>
    </row>
    <row r="27" spans="1:12" ht="14.1" customHeight="1">
      <c r="B27" s="2086" t="s">
        <v>1975</v>
      </c>
      <c r="L27" s="117">
        <f>ROW()</f>
        <v>27</v>
      </c>
    </row>
    <row r="28" spans="1:12" ht="14.1" customHeight="1">
      <c r="B28" s="2086" t="s">
        <v>3885</v>
      </c>
      <c r="L28" s="117">
        <f>ROW()</f>
        <v>28</v>
      </c>
    </row>
    <row r="29" spans="1:12" ht="14.1" customHeight="1">
      <c r="B29" s="2086" t="s">
        <v>3888</v>
      </c>
      <c r="L29" s="117">
        <f>ROW()</f>
        <v>29</v>
      </c>
    </row>
    <row r="30" spans="1:12" ht="14.1" customHeight="1">
      <c r="B30" s="2086" t="s">
        <v>2919</v>
      </c>
      <c r="L30" s="117">
        <f>ROW()</f>
        <v>30</v>
      </c>
    </row>
    <row r="31" spans="1:12" ht="14.1" customHeight="1">
      <c r="B31" s="2086" t="s">
        <v>1425</v>
      </c>
      <c r="L31" s="117">
        <f>ROW()</f>
        <v>31</v>
      </c>
    </row>
    <row r="32" spans="1:12" ht="14.1" customHeight="1">
      <c r="B32" s="2086" t="s">
        <v>2308</v>
      </c>
      <c r="L32" s="117">
        <f>ROW()</f>
        <v>32</v>
      </c>
    </row>
    <row r="33" spans="2:12" ht="14.1" customHeight="1">
      <c r="B33" s="2086" t="s">
        <v>2279</v>
      </c>
      <c r="L33" s="117">
        <f>ROW()</f>
        <v>33</v>
      </c>
    </row>
    <row r="34" spans="2:12" ht="14.1" customHeight="1">
      <c r="B34" s="2086" t="s">
        <v>1325</v>
      </c>
      <c r="L34" s="117">
        <f>ROW()</f>
        <v>34</v>
      </c>
    </row>
    <row r="35" spans="2:12" ht="14.1" customHeight="1">
      <c r="B35" s="2086" t="s">
        <v>2216</v>
      </c>
      <c r="L35" s="117">
        <f>ROW()</f>
        <v>35</v>
      </c>
    </row>
    <row r="36" spans="2:12" ht="14.1" customHeight="1">
      <c r="L36" s="117">
        <f>ROW()</f>
        <v>36</v>
      </c>
    </row>
    <row r="37" spans="2:12" ht="14.1" customHeight="1">
      <c r="B37" s="24" t="s">
        <v>3761</v>
      </c>
      <c r="L37" s="117">
        <f>ROW()</f>
        <v>37</v>
      </c>
    </row>
    <row r="38" spans="2:12" ht="14.1" customHeight="1">
      <c r="L38" s="117">
        <f>ROW()</f>
        <v>38</v>
      </c>
    </row>
    <row r="39" spans="2:12" ht="14.1" customHeight="1">
      <c r="B39" s="3787" t="s">
        <v>3796</v>
      </c>
      <c r="C39" s="3779"/>
      <c r="D39" s="3779"/>
      <c r="E39" s="3779"/>
      <c r="F39" s="3779"/>
      <c r="G39" s="3779"/>
      <c r="H39" s="3779"/>
      <c r="I39" s="3779"/>
      <c r="L39" s="117">
        <f>ROW()</f>
        <v>39</v>
      </c>
    </row>
    <row r="40" spans="2:12" ht="14.1" customHeight="1">
      <c r="B40" s="3779"/>
      <c r="C40" s="3779"/>
      <c r="D40" s="3779"/>
      <c r="E40" s="3779"/>
      <c r="F40" s="3779"/>
      <c r="G40" s="3779"/>
      <c r="H40" s="3779"/>
      <c r="I40" s="3779"/>
      <c r="L40" s="117">
        <f>ROW()</f>
        <v>40</v>
      </c>
    </row>
    <row r="41" spans="2:12" ht="14.1" customHeight="1">
      <c r="B41" s="3779"/>
      <c r="C41" s="3779"/>
      <c r="D41" s="3779"/>
      <c r="E41" s="3779"/>
      <c r="F41" s="3779"/>
      <c r="G41" s="3779"/>
      <c r="H41" s="3779"/>
      <c r="I41" s="3779"/>
      <c r="L41" s="117">
        <f>ROW()</f>
        <v>41</v>
      </c>
    </row>
    <row r="42" spans="2:12" ht="14.1" customHeight="1">
      <c r="B42" s="3779"/>
      <c r="C42" s="3779"/>
      <c r="D42" s="3779"/>
      <c r="E42" s="3779"/>
      <c r="F42" s="3779"/>
      <c r="G42" s="3779"/>
      <c r="H42" s="3779"/>
      <c r="I42" s="3779"/>
      <c r="L42" s="117">
        <f>ROW()</f>
        <v>42</v>
      </c>
    </row>
    <row r="43" spans="2:12" ht="14.1" customHeight="1">
      <c r="L43" s="117">
        <f>ROW()</f>
        <v>43</v>
      </c>
    </row>
    <row r="44" spans="2:12" ht="14.1" customHeight="1">
      <c r="B44" s="24" t="s">
        <v>1976</v>
      </c>
      <c r="L44" s="117">
        <f>ROW()</f>
        <v>44</v>
      </c>
    </row>
    <row r="45" spans="2:12" ht="14.1" customHeight="1">
      <c r="L45" s="117">
        <f>ROW()</f>
        <v>45</v>
      </c>
    </row>
    <row r="46" spans="2:12" ht="14.1" customHeight="1">
      <c r="B46" s="1" t="s">
        <v>3752</v>
      </c>
      <c r="I46" s="23">
        <f>Revenues!G163</f>
        <v>0.05</v>
      </c>
      <c r="L46" s="117">
        <f>ROW()</f>
        <v>46</v>
      </c>
    </row>
    <row r="47" spans="2:12" ht="14.1" customHeight="1">
      <c r="B47" s="265" t="str">
        <f>CONCATENATE("Is given in Cell G",Revenues!Q163,". Affects calculation of baseline toll revenues from tolled portals to the Manhattan CBD.")</f>
        <v>Is given in Cell G163. Affects calculation of baseline toll revenues from tolled portals to the Manhattan CBD.</v>
      </c>
      <c r="L47" s="117">
        <f>ROW()</f>
        <v>47</v>
      </c>
    </row>
    <row r="48" spans="2:12" s="3240" customFormat="1" ht="14.1" customHeight="1">
      <c r="B48" s="1" t="s">
        <v>5659</v>
      </c>
      <c r="I48" s="23">
        <f>Revenues!N163</f>
        <v>0.25</v>
      </c>
      <c r="L48" s="117">
        <f>ROW()</f>
        <v>48</v>
      </c>
    </row>
    <row r="49" spans="2:12" s="3240" customFormat="1" ht="14.1" customHeight="1">
      <c r="B49" s="265" t="str">
        <f>CONCATENATE("Is given in Cell N",Revenues!Q163,". Affects estimate of PANYNJ lost revenues if cordon toll is additive to existing tolls (i.e., no rebate).")</f>
        <v>Is given in Cell N163. Affects estimate of PANYNJ lost revenues if cordon toll is additive to existing tolls (i.e., no rebate).</v>
      </c>
      <c r="L49" s="117">
        <f>ROW()</f>
        <v>49</v>
      </c>
    </row>
    <row r="50" spans="2:12" ht="14.1" customHeight="1">
      <c r="B50" s="1" t="s">
        <v>3753</v>
      </c>
      <c r="I50" s="22">
        <f>Revenues!H311</f>
        <v>2.53661029224715E-2</v>
      </c>
      <c r="L50" s="117">
        <f>ROW()</f>
        <v>50</v>
      </c>
    </row>
    <row r="51" spans="2:12" ht="14.1" customHeight="1">
      <c r="B51" s="1" t="s">
        <v>3754</v>
      </c>
      <c r="I51" s="22">
        <f>Revenues!F311</f>
        <v>0.11147906152375756</v>
      </c>
      <c r="L51" s="117">
        <f>ROW()</f>
        <v>51</v>
      </c>
    </row>
    <row r="52" spans="2:12" ht="14.1" customHeight="1">
      <c r="B52" s="265" t="str">
        <f>CONCATENATE("Appear on Row ",Revenues!Q311, ". Affects MTA revenue loss if plan includes discounts to intra-city commuter rail trips.")</f>
        <v>Appear on Row 311. Affects MTA revenue loss if plan includes discounts to intra-city commuter rail trips.</v>
      </c>
      <c r="L52" s="117">
        <f>ROW()</f>
        <v>52</v>
      </c>
    </row>
    <row r="53" spans="2:12" ht="14.1" customHeight="1">
      <c r="L53" s="117">
        <f>ROW()</f>
        <v>53</v>
      </c>
    </row>
    <row r="54" spans="2:12" ht="14.1" customHeight="1">
      <c r="B54" s="24" t="s">
        <v>27</v>
      </c>
      <c r="L54" s="117">
        <f>ROW()</f>
        <v>54</v>
      </c>
    </row>
    <row r="55" spans="2:12" ht="14.1" customHeight="1">
      <c r="L55" s="117">
        <f>ROW()</f>
        <v>55</v>
      </c>
    </row>
    <row r="56" spans="2:12" ht="14.1" customHeight="1">
      <c r="B56" s="3787" t="str">
        <f>CONCATENATE("The Cost-Benefit worksheet, now ",MAX('Cost-Benefit'!O1:'Cost-Benefit'!O1533), " rows long, derives estimates of important social-cost indicators but is not essential to the architecture of the BTA. It is also exhaustively referenced. Accordingly, only a handful of key assumptions are shown here. ")</f>
        <v xml:space="preserve">The Cost-Benefit worksheet, now 696 rows long, derives estimates of important social-cost indicators but is not essential to the architecture of the BTA. It is also exhaustively referenced. Accordingly, only a handful of key assumptions are shown here. </v>
      </c>
      <c r="C56" s="3779"/>
      <c r="D56" s="3779"/>
      <c r="E56" s="3779"/>
      <c r="F56" s="3779"/>
      <c r="G56" s="3779"/>
      <c r="H56" s="3779"/>
      <c r="I56" s="3779"/>
      <c r="L56" s="117">
        <f>ROW()</f>
        <v>56</v>
      </c>
    </row>
    <row r="57" spans="2:12" ht="14.1" customHeight="1">
      <c r="B57" s="3779"/>
      <c r="C57" s="3779"/>
      <c r="D57" s="3779"/>
      <c r="E57" s="3779"/>
      <c r="F57" s="3779"/>
      <c r="G57" s="3779"/>
      <c r="H57" s="3779"/>
      <c r="I57" s="3779"/>
      <c r="L57" s="117">
        <f>ROW()</f>
        <v>57</v>
      </c>
    </row>
    <row r="58" spans="2:12" ht="14.1" customHeight="1">
      <c r="B58" s="2281"/>
      <c r="C58" s="2281"/>
      <c r="D58" s="2281"/>
      <c r="E58" s="2281"/>
      <c r="F58" s="2281"/>
      <c r="G58" s="2281"/>
      <c r="H58" s="2281"/>
      <c r="I58" s="2281"/>
      <c r="L58" s="117">
        <f>ROW()</f>
        <v>58</v>
      </c>
    </row>
    <row r="59" spans="2:12" ht="14.1" customHeight="1">
      <c r="B59" s="1" t="s">
        <v>3760</v>
      </c>
      <c r="C59" s="2281"/>
      <c r="D59" s="2281"/>
      <c r="E59" s="2281"/>
      <c r="F59" s="2281"/>
      <c r="G59" s="2281"/>
      <c r="H59" s="2281"/>
      <c r="I59" s="2281"/>
      <c r="L59" s="117">
        <f>ROW()</f>
        <v>59</v>
      </c>
    </row>
    <row r="60" spans="2:12" ht="14.1" customHeight="1">
      <c r="B60" s="312" t="s">
        <v>5663</v>
      </c>
      <c r="C60" s="2281"/>
      <c r="D60" s="2281"/>
      <c r="E60" s="2281"/>
      <c r="F60" s="2281"/>
      <c r="G60" s="2281"/>
      <c r="H60" s="2281"/>
      <c r="I60" s="2287">
        <f ca="1">'Value of Time'!M91</f>
        <v>41.450576392516979</v>
      </c>
      <c r="L60" s="117">
        <f>ROW()</f>
        <v>60</v>
      </c>
    </row>
    <row r="61" spans="2:12" ht="14.1" customHeight="1">
      <c r="B61" s="312" t="s">
        <v>5662</v>
      </c>
      <c r="C61" s="2281"/>
      <c r="D61" s="2281"/>
      <c r="E61" s="2281"/>
      <c r="F61" s="2281"/>
      <c r="G61" s="2281"/>
      <c r="H61" s="2281"/>
      <c r="L61" s="117">
        <f>ROW()</f>
        <v>61</v>
      </c>
    </row>
    <row r="62" spans="2:12" s="3240" customFormat="1" ht="14.1" customHeight="1">
      <c r="B62" s="316" t="s">
        <v>5664</v>
      </c>
      <c r="C62" s="3239"/>
      <c r="D62" s="265" t="str">
        <f>CONCATENATE("Shown in Cost-Ben tab, Row ",'Cost-Benefit'!O103, ".")</f>
        <v>Shown in Cost-Ben tab, Row 103.</v>
      </c>
      <c r="E62" s="3239"/>
      <c r="F62" s="3798" t="s">
        <v>5666</v>
      </c>
      <c r="G62" s="3799"/>
      <c r="H62" s="3249">
        <f>'Value of Time'!D105</f>
        <v>0.9</v>
      </c>
      <c r="I62" s="2288">
        <f>'Cost-Benefit'!M103</f>
        <v>0.6</v>
      </c>
      <c r="L62" s="117">
        <f>ROW()</f>
        <v>62</v>
      </c>
    </row>
    <row r="63" spans="2:12" s="3240" customFormat="1" ht="14.1" customHeight="1">
      <c r="B63" s="316" t="s">
        <v>5665</v>
      </c>
      <c r="C63" s="3239"/>
      <c r="D63" s="265" t="str">
        <f>CONCATENATE("Shown in Cost-Ben tab, Row ",'Cost-Benefit'!O104, ".")</f>
        <v>Shown in Cost-Ben tab, Row 104.</v>
      </c>
      <c r="E63" s="3239"/>
      <c r="F63" s="3800"/>
      <c r="G63" s="3801"/>
      <c r="H63" s="3782" t="str">
        <f>CONCATENATE("From VOTime tab, Row ",'Value of Time'!O105, ".")</f>
        <v>From VOTime tab, Row 105.</v>
      </c>
      <c r="I63" s="2288">
        <f>'Cost-Benefit'!M104</f>
        <v>0.66666666666666663</v>
      </c>
      <c r="L63" s="117">
        <f>ROW()</f>
        <v>63</v>
      </c>
    </row>
    <row r="64" spans="2:12" ht="14.1" customHeight="1">
      <c r="B64" s="312" t="s">
        <v>3758</v>
      </c>
      <c r="C64" s="2281"/>
      <c r="D64" s="265" t="str">
        <f>CONCATENATE("(Product of Rows ",L60, " and ",L62, ".)")</f>
        <v>(Product of Rows 60 and 62.)</v>
      </c>
      <c r="H64" s="3783"/>
      <c r="I64" s="2287">
        <f ca="1">I60*I62</f>
        <v>24.870345835510186</v>
      </c>
      <c r="L64" s="117">
        <f>ROW()</f>
        <v>64</v>
      </c>
    </row>
    <row r="65" spans="2:12" ht="14.1" customHeight="1">
      <c r="B65" s="312" t="s">
        <v>4550</v>
      </c>
      <c r="C65" s="2281"/>
      <c r="D65" s="2281"/>
      <c r="E65" s="2281"/>
      <c r="F65" s="2281"/>
      <c r="G65" s="2281"/>
      <c r="H65" s="2281"/>
      <c r="I65" s="2287">
        <f>'Value of Time'!M127</f>
        <v>29.715524962837527</v>
      </c>
      <c r="L65" s="117">
        <f>ROW()</f>
        <v>65</v>
      </c>
    </row>
    <row r="66" spans="2:12" ht="14.1" customHeight="1">
      <c r="B66" s="312" t="s">
        <v>3759</v>
      </c>
      <c r="C66" s="2281"/>
      <c r="D66" s="2281"/>
      <c r="E66" s="2281"/>
      <c r="F66" s="2281"/>
      <c r="G66" s="2281"/>
      <c r="H66" s="2281"/>
      <c r="I66" s="2287">
        <f>I65*I62</f>
        <v>17.829314977702516</v>
      </c>
      <c r="L66" s="117">
        <f>ROW()</f>
        <v>66</v>
      </c>
    </row>
    <row r="67" spans="2:12" ht="14.1" customHeight="1">
      <c r="L67" s="117">
        <f>ROW()</f>
        <v>67</v>
      </c>
    </row>
    <row r="68" spans="2:12" ht="14.1" customHeight="1">
      <c r="B68" s="1" t="s">
        <v>3797</v>
      </c>
      <c r="I68" s="2287">
        <v>50</v>
      </c>
      <c r="L68" s="117">
        <f>ROW()</f>
        <v>68</v>
      </c>
    </row>
    <row r="69" spans="2:12" ht="14.1" customHeight="1">
      <c r="L69" s="117">
        <f>ROW()</f>
        <v>69</v>
      </c>
    </row>
    <row r="70" spans="2:12" ht="14.1" customHeight="1">
      <c r="B70" s="1" t="s">
        <v>3798</v>
      </c>
      <c r="I70" s="716">
        <f>'Cost-Benefit'!L494/'Cost-Benefit'!L500</f>
        <v>0.15563428518143471</v>
      </c>
      <c r="L70" s="117">
        <f>ROW()</f>
        <v>70</v>
      </c>
    </row>
    <row r="71" spans="2:12" ht="14.1" customHeight="1">
      <c r="B71" s="265" t="str">
        <f>CONCATENATE("Calculations are documented in 'Cost-Benefit' worksheet tab, Rows ",'Cost-Benefit'!O465, " through ",'Cost-Benefit'!O500, ".")</f>
        <v>Calculations are documented in 'Cost-Benefit' worksheet tab, Rows 465 through 500.</v>
      </c>
      <c r="I71" s="716"/>
      <c r="L71" s="117">
        <f>ROW()</f>
        <v>71</v>
      </c>
    </row>
    <row r="72" spans="2:12" ht="14.1" customHeight="1">
      <c r="B72" s="312"/>
      <c r="I72" s="716"/>
      <c r="L72" s="117">
        <f>ROW()</f>
        <v>72</v>
      </c>
    </row>
    <row r="73" spans="2:12" ht="14.1" customHeight="1">
      <c r="B73" s="1" t="s">
        <v>3799</v>
      </c>
      <c r="I73" s="183">
        <f>'Cost-Benefit'!E556*'Cost-Benefit'!G556</f>
        <v>3200000</v>
      </c>
      <c r="L73" s="117">
        <f>ROW()</f>
        <v>73</v>
      </c>
    </row>
    <row r="74" spans="2:12" ht="14.1" customHeight="1">
      <c r="B74" s="265" t="str">
        <f>CONCATENATE("Calculations documented in 'Cost-Benefit' worksheet tab, Rows ",'Cost-Benefit'!O539, " through ",'Cost-Benefit'!O556, ". Is ",'Cost-Benefit'!G556, "x value assigned by Calif. Air Resources Board.")</f>
        <v>Calculations documented in 'Cost-Benefit' worksheet tab, Rows 539 through 556. Is 10x value assigned by Calif. Air Resources Board.</v>
      </c>
      <c r="I74" s="716"/>
      <c r="L74" s="117">
        <f>ROW()</f>
        <v>74</v>
      </c>
    </row>
    <row r="75" spans="2:12" ht="14.1" customHeight="1">
      <c r="B75" s="312"/>
      <c r="I75" s="716"/>
      <c r="L75" s="117">
        <f>ROW()</f>
        <v>75</v>
      </c>
    </row>
    <row r="76" spans="2:12" ht="14.1" customHeight="1">
      <c r="B76" s="1" t="s">
        <v>3800</v>
      </c>
      <c r="I76" s="1219">
        <f>'Cost-Benefit'!I647*('Cost-Benefit'!I645-'Cost-Benefit'!I631)</f>
        <v>2.168421052631579E-3</v>
      </c>
      <c r="L76" s="117">
        <f>ROW()</f>
        <v>76</v>
      </c>
    </row>
    <row r="77" spans="2:12" ht="14.1" customHeight="1">
      <c r="B77" s="3754" t="str">
        <f>CONCATENATE("Calculations documented in 'Cost-Benefit' worksheet tab, Rows ",'Cost-Benefit'!O631, " through ",'Cost-Benefit'!O648, ". Underlying assumption is that NYC auto traffic would need to be eliminated altogether for cycling's mode share to rise to current levels in Germany, Denmark and Netherlands.")</f>
        <v>Calculations documented in 'Cost-Benefit' worksheet tab, Rows 631 through 648. Underlying assumption is that NYC auto traffic would need to be eliminated altogether for cycling's mode share to rise to current levels in Germany, Denmark and Netherlands.</v>
      </c>
      <c r="C77" s="3659"/>
      <c r="D77" s="3659"/>
      <c r="E77" s="3659"/>
      <c r="F77" s="3659"/>
      <c r="G77" s="3659"/>
      <c r="H77" s="3659"/>
      <c r="I77" s="3659"/>
      <c r="L77" s="117">
        <f>ROW()</f>
        <v>77</v>
      </c>
    </row>
    <row r="78" spans="2:12" ht="14.1" customHeight="1">
      <c r="B78" s="3659"/>
      <c r="C78" s="3659"/>
      <c r="D78" s="3659"/>
      <c r="E78" s="3659"/>
      <c r="F78" s="3659"/>
      <c r="G78" s="3659"/>
      <c r="H78" s="3659"/>
      <c r="I78" s="3659"/>
      <c r="L78" s="117">
        <f>ROW()</f>
        <v>78</v>
      </c>
    </row>
    <row r="79" spans="2:12" ht="14.1" customHeight="1">
      <c r="B79" s="312"/>
      <c r="I79" s="716"/>
      <c r="L79" s="117">
        <f>ROW()</f>
        <v>79</v>
      </c>
    </row>
    <row r="80" spans="2:12" ht="14.1" customHeight="1">
      <c r="B80" s="1" t="s">
        <v>3801</v>
      </c>
      <c r="I80" s="2289">
        <f>ROUND('Cost-Benefit'!I678*'Cost-Benefit'!I680,0)</f>
        <v>4</v>
      </c>
      <c r="J80" s="1" t="s">
        <v>2616</v>
      </c>
      <c r="K80" s="1"/>
      <c r="L80" s="117">
        <f>ROW()</f>
        <v>80</v>
      </c>
    </row>
    <row r="81" spans="2:12" ht="14.1" customHeight="1">
      <c r="B81" s="265" t="str">
        <f>CONCATENATE("Derived in 'Cost-Benefit' tab, Rows ",'Cost-Benefit'!O376, " through ",'Cost-Benefit'!O381, ".")</f>
        <v>Derived in 'Cost-Benefit' tab, Rows 376 through 381.</v>
      </c>
      <c r="I81" s="716"/>
      <c r="L81" s="117">
        <f>ROW()</f>
        <v>81</v>
      </c>
    </row>
    <row r="82" spans="2:12" ht="14.1" customHeight="1">
      <c r="L82" s="117">
        <f>ROW()</f>
        <v>82</v>
      </c>
    </row>
    <row r="83" spans="2:12" ht="14.1" customHeight="1">
      <c r="B83" s="24" t="s">
        <v>1766</v>
      </c>
      <c r="L83" s="117">
        <f>ROW()</f>
        <v>83</v>
      </c>
    </row>
    <row r="84" spans="2:12" ht="14.1" customHeight="1">
      <c r="L84" s="117">
        <f>ROW()</f>
        <v>84</v>
      </c>
    </row>
    <row r="85" spans="2:12" ht="14.1" customHeight="1">
      <c r="B85" s="1" t="s">
        <v>3755</v>
      </c>
      <c r="L85" s="117">
        <f>ROW()</f>
        <v>85</v>
      </c>
    </row>
    <row r="86" spans="2:12" ht="14.1" customHeight="1">
      <c r="B86" s="312" t="s">
        <v>2065</v>
      </c>
      <c r="I86" s="117">
        <f>Travel!G59</f>
        <v>1.1499999999999999</v>
      </c>
      <c r="L86" s="117">
        <f>ROW()</f>
        <v>86</v>
      </c>
    </row>
    <row r="87" spans="2:12" ht="14.1" customHeight="1">
      <c r="B87" s="312" t="s">
        <v>2066</v>
      </c>
      <c r="I87" s="117">
        <f>Travel!G60</f>
        <v>1.5</v>
      </c>
      <c r="L87" s="117">
        <f>ROW()</f>
        <v>87</v>
      </c>
    </row>
    <row r="88" spans="2:12" ht="14.1" customHeight="1">
      <c r="B88" s="312" t="s">
        <v>198</v>
      </c>
      <c r="I88" s="117">
        <f>Travel!G61</f>
        <v>1.2945212934424437</v>
      </c>
      <c r="L88" s="117">
        <f>ROW()</f>
        <v>88</v>
      </c>
    </row>
    <row r="89" spans="2:12" ht="14.1" customHeight="1">
      <c r="B89" s="215" t="str">
        <f>CONCATENATE("First two figures are from 'H.I.S.' worksheet, Row ",H.I.S.!Z128, ". Third is mean of those two.")</f>
        <v>First two figures are from 'H.I.S.' worksheet, Row 128. Third is mean of those two.</v>
      </c>
      <c r="L89" s="117">
        <f>ROW()</f>
        <v>89</v>
      </c>
    </row>
    <row r="90" spans="2:12" ht="14.1" customHeight="1">
      <c r="B90" s="1" t="s">
        <v>3756</v>
      </c>
      <c r="L90" s="117">
        <f>ROW()</f>
        <v>90</v>
      </c>
    </row>
    <row r="91" spans="2:12" ht="14.1" customHeight="1">
      <c r="B91" s="312" t="s">
        <v>2065</v>
      </c>
      <c r="I91" s="117">
        <f>Travel!G203</f>
        <v>-0.05</v>
      </c>
      <c r="L91" s="117">
        <f>ROW()</f>
        <v>91</v>
      </c>
    </row>
    <row r="92" spans="2:12" ht="14.1" customHeight="1">
      <c r="B92" s="312" t="s">
        <v>2066</v>
      </c>
      <c r="I92" s="117">
        <f>Travel!H203</f>
        <v>-0.1</v>
      </c>
      <c r="L92" s="117">
        <f>ROW()</f>
        <v>92</v>
      </c>
    </row>
    <row r="93" spans="2:12" ht="14.1" customHeight="1">
      <c r="B93" s="312" t="s">
        <v>198</v>
      </c>
      <c r="I93" s="621">
        <f>Travel!I203</f>
        <v>-7.5000000000000011E-2</v>
      </c>
      <c r="L93" s="117">
        <f>ROW()</f>
        <v>93</v>
      </c>
    </row>
    <row r="94" spans="2:12" ht="14.1" customHeight="1">
      <c r="B94" s="3785" t="s">
        <v>3802</v>
      </c>
      <c r="C94" s="3785"/>
      <c r="D94" s="3785"/>
      <c r="E94" s="3785"/>
      <c r="F94" s="3785"/>
      <c r="G94" s="3785"/>
      <c r="H94" s="3785"/>
      <c r="I94" s="3785"/>
      <c r="L94" s="117">
        <f>ROW()</f>
        <v>94</v>
      </c>
    </row>
    <row r="95" spans="2:12" ht="14.1" customHeight="1">
      <c r="B95" s="3785"/>
      <c r="C95" s="3785"/>
      <c r="D95" s="3785"/>
      <c r="E95" s="3785"/>
      <c r="F95" s="3785"/>
      <c r="G95" s="3785"/>
      <c r="H95" s="3785"/>
      <c r="I95" s="3785"/>
      <c r="L95" s="117">
        <f>ROW()</f>
        <v>95</v>
      </c>
    </row>
    <row r="96" spans="2:12" ht="14.1" customHeight="1">
      <c r="B96" s="3785"/>
      <c r="C96" s="3785"/>
      <c r="D96" s="3785"/>
      <c r="E96" s="3785"/>
      <c r="F96" s="3785"/>
      <c r="G96" s="3785"/>
      <c r="H96" s="3785"/>
      <c r="I96" s="3785"/>
      <c r="L96" s="117">
        <f>ROW()</f>
        <v>96</v>
      </c>
    </row>
    <row r="97" spans="2:12" ht="14.1" customHeight="1">
      <c r="B97" s="3786"/>
      <c r="C97" s="3786"/>
      <c r="D97" s="3786"/>
      <c r="E97" s="3786"/>
      <c r="F97" s="3786"/>
      <c r="G97" s="3786"/>
      <c r="H97" s="3786"/>
      <c r="I97" s="3786"/>
      <c r="L97" s="117">
        <f>ROW()</f>
        <v>97</v>
      </c>
    </row>
    <row r="98" spans="2:12" ht="14.1" customHeight="1">
      <c r="L98" s="117">
        <f>ROW()</f>
        <v>98</v>
      </c>
    </row>
    <row r="99" spans="2:12" ht="14.1" customHeight="1">
      <c r="B99" s="24" t="s">
        <v>3808</v>
      </c>
      <c r="E99" t="str">
        <f>CONCATENATE("(This section occupies the next ",L226 - L101+1, " rows.)")</f>
        <v>(This section occupies the next 126 rows.)</v>
      </c>
      <c r="L99" s="117">
        <f>ROW()</f>
        <v>99</v>
      </c>
    </row>
    <row r="100" spans="2:12" ht="14.1" customHeight="1">
      <c r="D100" s="10"/>
      <c r="L100" s="117">
        <f>ROW()</f>
        <v>100</v>
      </c>
    </row>
    <row r="101" spans="2:12" ht="14.1" customHeight="1">
      <c r="B101" s="2" t="s">
        <v>3767</v>
      </c>
      <c r="H101" s="1892" t="s">
        <v>781</v>
      </c>
      <c r="I101" s="1892" t="s">
        <v>1975</v>
      </c>
      <c r="L101" s="117">
        <f>ROW()</f>
        <v>101</v>
      </c>
    </row>
    <row r="102" spans="2:12" ht="14.1" customHeight="1">
      <c r="B102" s="312" t="s">
        <v>5667</v>
      </c>
      <c r="H102" s="1122">
        <f>ROUND('Motor Vs'!I76,-2)</f>
        <v>260800</v>
      </c>
      <c r="I102" s="1122">
        <f>ROUND('Motor Vs Weekends'!I76,-2)</f>
        <v>92300</v>
      </c>
      <c r="J102" s="3782" t="str">
        <f>CONCATENATE("Note: These figures treat 'through-round-trips' -- trips that cross the CBD in connecting a non-CBD origin and destination, and then do the same on the return journey -- as one CBD trip, even though they will pay two tolls. See 'Motor Vehicles' tab, Rows ",'Motor Vs'!O27, "-",'Motor Vs'!O76, ".")</f>
        <v>Note: These figures treat 'through-round-trips' -- trips that cross the CBD in connecting a non-CBD origin and destination, and then do the same on the return journey -- as one CBD trip, even though they will pay two tolls. See 'Motor Vehicles' tab, Rows 27-76.</v>
      </c>
      <c r="K102" s="3783"/>
      <c r="L102" s="117">
        <f>ROW()</f>
        <v>102</v>
      </c>
    </row>
    <row r="103" spans="2:12" ht="14.1" customHeight="1">
      <c r="B103" s="312" t="s">
        <v>5668</v>
      </c>
      <c r="D103" s="3754" t="s">
        <v>3803</v>
      </c>
      <c r="E103" s="3659"/>
      <c r="F103" s="3659"/>
      <c r="G103" s="3659"/>
      <c r="H103" s="1122">
        <f>ROUND('Motor Vs'!J76,-2)</f>
        <v>183400</v>
      </c>
      <c r="I103" s="1122">
        <f>ROUND('Motor Vs Weekends'!J76,-2)</f>
        <v>277000</v>
      </c>
      <c r="J103" s="3783"/>
      <c r="K103" s="3783"/>
      <c r="L103" s="117">
        <f>ROW()</f>
        <v>103</v>
      </c>
    </row>
    <row r="104" spans="2:12" ht="14.1" customHeight="1">
      <c r="B104" s="312" t="s">
        <v>3763</v>
      </c>
      <c r="D104" s="3659"/>
      <c r="E104" s="3659"/>
      <c r="F104" s="3659"/>
      <c r="G104" s="3659"/>
      <c r="H104" s="3259">
        <f>ROUND('Motor Vs'!K76,-2)</f>
        <v>127100</v>
      </c>
      <c r="I104" s="3259">
        <f>ROUND('Motor Vs Weekends'!K76,-2)</f>
        <v>129800</v>
      </c>
      <c r="J104" s="3783"/>
      <c r="K104" s="3783"/>
      <c r="L104" s="117">
        <f>ROW()</f>
        <v>104</v>
      </c>
    </row>
    <row r="105" spans="2:12" ht="14.1" customHeight="1">
      <c r="B105" s="312" t="s">
        <v>3764</v>
      </c>
      <c r="D105" s="3659"/>
      <c r="E105" s="3659"/>
      <c r="F105" s="3659"/>
      <c r="G105" s="3659"/>
      <c r="H105" s="1122">
        <f>ROUND('Motor Vs'!L76,-2)</f>
        <v>65000</v>
      </c>
      <c r="I105" s="1122">
        <f>ROUND('Motor Vs Weekends'!L76,-2)</f>
        <v>65000</v>
      </c>
      <c r="J105" s="3783"/>
      <c r="K105" s="3783"/>
      <c r="L105" s="117">
        <f>ROW()</f>
        <v>105</v>
      </c>
    </row>
    <row r="106" spans="2:12" ht="14.1" customHeight="1">
      <c r="B106" s="312" t="s">
        <v>1509</v>
      </c>
      <c r="D106" s="3659"/>
      <c r="E106" s="3659"/>
      <c r="F106" s="3659"/>
      <c r="G106" s="3659"/>
      <c r="H106" s="1122">
        <f>ROUND('Motor Vs'!M76,-2)</f>
        <v>38200</v>
      </c>
      <c r="I106" s="1122">
        <f>ROUND('Motor Vs Weekends'!M76,-2)</f>
        <v>12700</v>
      </c>
      <c r="J106" s="3783"/>
      <c r="K106" s="3783"/>
      <c r="L106" s="117">
        <f>ROW()</f>
        <v>106</v>
      </c>
    </row>
    <row r="107" spans="2:12" ht="14.1" customHeight="1">
      <c r="B107" s="312" t="s">
        <v>810</v>
      </c>
      <c r="D107" s="3754" t="str">
        <f>CONCATENATE("Figures shown here are rounded versions of actual figures appearing in both worksheets, in Row ",'Motor Vs'!O68, ".")</f>
        <v>Figures shown here are rounded versions of actual figures appearing in both worksheets, in Row 68.</v>
      </c>
      <c r="E107" s="3659"/>
      <c r="F107" s="3659"/>
      <c r="G107" s="3659"/>
      <c r="H107" s="1122">
        <f>ROUND('Motor Vs'!N76,-2)</f>
        <v>11400</v>
      </c>
      <c r="I107" s="1122">
        <f>ROUND('Motor Vs Weekends'!N76,-1)</f>
        <v>5710</v>
      </c>
      <c r="J107" s="3783"/>
      <c r="K107" s="3783"/>
      <c r="L107" s="117">
        <f>ROW()</f>
        <v>107</v>
      </c>
    </row>
    <row r="108" spans="2:12" ht="14.1" customHeight="1">
      <c r="B108" s="312" t="s">
        <v>228</v>
      </c>
      <c r="D108" s="3659"/>
      <c r="E108" s="3659"/>
      <c r="F108" s="3659"/>
      <c r="G108" s="3659"/>
      <c r="H108" s="1122">
        <f>ROUND('Motor Vs'!H76,-2)</f>
        <v>685900</v>
      </c>
      <c r="I108" s="1122">
        <f>ROUND('Motor Vs Weekends'!H76,-2)</f>
        <v>582500</v>
      </c>
      <c r="J108" s="3783"/>
      <c r="K108" s="3783"/>
      <c r="L108" s="117">
        <f>ROW()</f>
        <v>108</v>
      </c>
    </row>
    <row r="109" spans="2:12" s="3240" customFormat="1" ht="14.1" customHeight="1">
      <c r="B109" s="312"/>
      <c r="D109" s="3238"/>
      <c r="E109" s="3238"/>
      <c r="F109" s="3238"/>
      <c r="G109" s="3238"/>
      <c r="H109" s="1122"/>
      <c r="I109" s="1122"/>
      <c r="J109"/>
      <c r="K109"/>
      <c r="L109" s="117">
        <f>ROW()</f>
        <v>109</v>
      </c>
    </row>
    <row r="110" spans="2:12" s="3240" customFormat="1" ht="14.1" customHeight="1">
      <c r="B110" s="312" t="s">
        <v>5672</v>
      </c>
      <c r="D110" s="3238"/>
      <c r="E110" s="3238"/>
      <c r="F110" s="3238"/>
      <c r="G110" s="3238"/>
      <c r="H110" s="1122"/>
      <c r="I110" s="39">
        <f>'Motor Vs'!I39</f>
        <v>0.58708201873587496</v>
      </c>
      <c r="J110"/>
      <c r="K110"/>
      <c r="L110" s="117">
        <f>ROW()</f>
        <v>110</v>
      </c>
    </row>
    <row r="111" spans="2:12" s="3240" customFormat="1" ht="14.1" customHeight="1">
      <c r="B111" s="215" t="str">
        <f>CONCATENATE("Taken from 'Motor Vs' worksheet, Row ",'Motor Vs'!O39, ", but derived in H.I.S. worksheet, Row ",H.I.S.!Z131, ".")</f>
        <v>Taken from 'Motor Vs' worksheet, Row 39, but derived in H.I.S. worksheet, Row 131.</v>
      </c>
      <c r="D111" s="3238"/>
      <c r="E111" s="3238"/>
      <c r="F111" s="3238"/>
      <c r="G111" s="3238"/>
      <c r="H111" s="1122"/>
      <c r="I111" s="1122"/>
      <c r="J111"/>
      <c r="K111"/>
      <c r="L111" s="117">
        <f>ROW()</f>
        <v>111</v>
      </c>
    </row>
    <row r="112" spans="2:12" s="3240" customFormat="1" ht="14.1" customHeight="1">
      <c r="B112" s="312" t="s">
        <v>5672</v>
      </c>
      <c r="D112" s="3238"/>
      <c r="E112" s="3238"/>
      <c r="F112" s="3238"/>
      <c r="G112" s="3238"/>
      <c r="H112" s="1122"/>
      <c r="I112" s="39">
        <f>'Motor Vs Weekends'!I39</f>
        <v>0.25</v>
      </c>
      <c r="L112" s="117">
        <f>ROW()</f>
        <v>112</v>
      </c>
    </row>
    <row r="113" spans="2:12" s="3240" customFormat="1" ht="14.1" customHeight="1">
      <c r="B113" s="215" t="str">
        <f>CONCATENATE("Komanoff assumption entered in Row ",'Motor Vs Weekends'!O39, " of 'Motor Vs Weekends' tab.")</f>
        <v>Komanoff assumption entered in Row 39 of 'Motor Vs Weekends' tab.</v>
      </c>
      <c r="D113" s="3238"/>
      <c r="E113" s="3238"/>
      <c r="F113" s="3238"/>
      <c r="G113" s="3238"/>
      <c r="H113" s="1122"/>
      <c r="I113" s="1122"/>
      <c r="L113" s="117">
        <f>ROW()</f>
        <v>113</v>
      </c>
    </row>
    <row r="114" spans="2:12" s="3240" customFormat="1" ht="14.1" customHeight="1">
      <c r="B114" s="312" t="s">
        <v>5670</v>
      </c>
      <c r="D114" s="3238"/>
      <c r="E114" s="3238"/>
      <c r="F114" s="3238"/>
      <c r="G114" s="3238"/>
      <c r="H114" s="1122"/>
      <c r="I114" s="39">
        <f>'Motor Vs'!I43</f>
        <v>0.8</v>
      </c>
      <c r="J114"/>
      <c r="K114"/>
      <c r="L114" s="117">
        <f>ROW()</f>
        <v>114</v>
      </c>
    </row>
    <row r="115" spans="2:12" ht="14.1" customHeight="1">
      <c r="B115" s="3258" t="str">
        <f>CONCATENATE("Komanoff assumption entered in Row ",'Motor Vs'!O43, ", intended to capture 'toll-shopping' as well as presumed greater flexibility and range of through-trips.")</f>
        <v>Komanoff assumption entered in Row 43, intended to capture 'toll-shopping' as well as presumed greater flexibility and range of through-trips.</v>
      </c>
      <c r="L115" s="117">
        <f>ROW()</f>
        <v>115</v>
      </c>
    </row>
    <row r="116" spans="2:12" s="3240" customFormat="1" ht="14.1" customHeight="1">
      <c r="B116" s="312" t="s">
        <v>5671</v>
      </c>
      <c r="I116" s="3240">
        <f>'Motor Vs'!K81</f>
        <v>1.5</v>
      </c>
      <c r="L116" s="117">
        <f>ROW()</f>
        <v>116</v>
      </c>
    </row>
    <row r="117" spans="2:12" s="3240" customFormat="1" ht="14.1" customHeight="1">
      <c r="B117" s="3258" t="str">
        <f>CONCATENATE("Komanoff assumption entered in Row ",'Motor Vs'!O81, ". See other columns, same row, for factors for trucks and buses.")</f>
        <v>Komanoff assumption entered in Row 81. See other columns, same row, for factors for trucks and buses.</v>
      </c>
      <c r="L117" s="117">
        <f>ROW()</f>
        <v>117</v>
      </c>
    </row>
    <row r="118" spans="2:12" s="3240" customFormat="1" ht="14.1" customHeight="1">
      <c r="B118" s="3258"/>
      <c r="L118" s="117">
        <f>ROW()</f>
        <v>118</v>
      </c>
    </row>
    <row r="119" spans="2:12" ht="14.1" customHeight="1">
      <c r="B119" s="2" t="s">
        <v>3793</v>
      </c>
      <c r="G119" s="1892" t="s">
        <v>3765</v>
      </c>
      <c r="H119" s="1892" t="s">
        <v>4717</v>
      </c>
      <c r="I119" s="1892" t="s">
        <v>3766</v>
      </c>
      <c r="L119" s="117">
        <f>ROW()</f>
        <v>119</v>
      </c>
    </row>
    <row r="120" spans="2:12" ht="14.1" customHeight="1">
      <c r="B120" s="312" t="s">
        <v>5667</v>
      </c>
      <c r="E120" s="265"/>
      <c r="F120" s="265"/>
      <c r="G120" s="21">
        <f>'Motor Vs'!I87</f>
        <v>18.150058730389546</v>
      </c>
      <c r="H120" s="21">
        <f>'Motor Vs'!I79</f>
        <v>16.900058730389546</v>
      </c>
      <c r="I120" s="117">
        <f>'Motor Vs'!I85</f>
        <v>1.25</v>
      </c>
      <c r="L120" s="117">
        <f>ROW()</f>
        <v>120</v>
      </c>
    </row>
    <row r="121" spans="2:12" ht="14.1" customHeight="1">
      <c r="B121" s="312" t="s">
        <v>5668</v>
      </c>
      <c r="D121" s="265" t="str">
        <f>CONCATENATE("See 'Motor Vs' sheet, Rows ",'Motor Vs'!O79, " through ", 'Motor Vs'!O87, ".")</f>
        <v>See 'Motor Vs' sheet, Rows 79 through 87.</v>
      </c>
      <c r="E121" s="265"/>
      <c r="F121" s="265"/>
      <c r="G121" s="21">
        <f>'Motor Vs'!J87</f>
        <v>18.150058730389546</v>
      </c>
      <c r="H121" s="21">
        <f>'Motor Vs'!J79</f>
        <v>16.900058730389546</v>
      </c>
      <c r="I121" s="117">
        <f>'Motor Vs'!J85</f>
        <v>1.25</v>
      </c>
      <c r="L121" s="117">
        <f>ROW()</f>
        <v>121</v>
      </c>
    </row>
    <row r="122" spans="2:12" ht="14.1" customHeight="1">
      <c r="B122" s="312" t="s">
        <v>3763</v>
      </c>
      <c r="D122" s="3789" t="s">
        <v>4718</v>
      </c>
      <c r="E122" s="3659"/>
      <c r="F122" s="3659"/>
      <c r="G122" s="21">
        <f>'Motor Vs'!K87</f>
        <v>26.95008809558432</v>
      </c>
      <c r="H122" s="21">
        <f>'Motor Vs'!K79</f>
        <v>25.350088095584319</v>
      </c>
      <c r="I122" s="117">
        <f>'Motor Vs'!K85</f>
        <v>1.6</v>
      </c>
      <c r="L122" s="117">
        <f>ROW()</f>
        <v>122</v>
      </c>
    </row>
    <row r="123" spans="2:12" ht="14.1" customHeight="1">
      <c r="B123" s="312" t="s">
        <v>3764</v>
      </c>
      <c r="D123" s="3659"/>
      <c r="E123" s="3659"/>
      <c r="F123" s="3659"/>
      <c r="G123" s="21">
        <f>'Motor Vs'!L87</f>
        <v>8</v>
      </c>
      <c r="H123" s="21">
        <f>'Motor Vs'!L79</f>
        <v>6</v>
      </c>
      <c r="I123" s="117">
        <f>'Motor Vs'!L85</f>
        <v>2</v>
      </c>
      <c r="L123" s="117">
        <f>ROW()</f>
        <v>123</v>
      </c>
    </row>
    <row r="124" spans="2:12" ht="14.1" customHeight="1">
      <c r="B124" s="312" t="s">
        <v>1509</v>
      </c>
      <c r="D124" s="3659"/>
      <c r="E124" s="3659"/>
      <c r="F124" s="3659"/>
      <c r="G124" s="21">
        <f>'Motor Vs'!M87</f>
        <v>15.520200577749323</v>
      </c>
      <c r="H124" s="21">
        <f>'Motor Vs'!M79</f>
        <v>12.520200577749323</v>
      </c>
      <c r="I124" s="117">
        <f>'Motor Vs'!M85</f>
        <v>3</v>
      </c>
      <c r="L124" s="117">
        <f>ROW()</f>
        <v>124</v>
      </c>
    </row>
    <row r="125" spans="2:12" ht="14.1" customHeight="1">
      <c r="B125" s="312" t="s">
        <v>810</v>
      </c>
      <c r="D125" s="3659"/>
      <c r="E125" s="3659"/>
      <c r="F125" s="3659"/>
      <c r="G125" s="21">
        <f>'Motor Vs'!N87</f>
        <v>19.36691118150528</v>
      </c>
      <c r="H125" s="21">
        <f>'Motor Vs'!N79</f>
        <v>17.36691118150528</v>
      </c>
      <c r="I125" s="117">
        <f>'Motor Vs'!N85</f>
        <v>2</v>
      </c>
      <c r="L125" s="117">
        <f>ROW()</f>
        <v>125</v>
      </c>
    </row>
    <row r="126" spans="2:12" ht="14.1" customHeight="1">
      <c r="B126" s="215" t="str">
        <f>CONCATENATE("CBD Portions for weekends are slightly higher than for wkdays for auto work + non-work trips. See factors in 'Motor Vs Weekends' tab, Row ",'Motor Vs Weekends'!O83, ".")</f>
        <v>CBD Portions for weekends are slightly higher than for wkdays for auto work + non-work trips. See factors in 'Motor Vs Weekends' tab, Row 83.</v>
      </c>
      <c r="L126" s="117">
        <f>ROW()</f>
        <v>126</v>
      </c>
    </row>
    <row r="127" spans="2:12" ht="14.1" customHeight="1">
      <c r="L127" s="117">
        <f>ROW()</f>
        <v>127</v>
      </c>
    </row>
    <row r="128" spans="2:12" ht="14.1" customHeight="1">
      <c r="B128" s="2" t="s">
        <v>3768</v>
      </c>
      <c r="L128" s="117">
        <f>ROW()</f>
        <v>128</v>
      </c>
    </row>
    <row r="129" spans="2:12" ht="14.1" customHeight="1">
      <c r="D129" s="1892" t="s">
        <v>781</v>
      </c>
      <c r="L129" s="117">
        <f>ROW()</f>
        <v>129</v>
      </c>
    </row>
    <row r="130" spans="2:12" ht="14.1" customHeight="1">
      <c r="C130" s="3" t="s">
        <v>3769</v>
      </c>
      <c r="D130" s="1122">
        <f>'Motor Vs'!G125</f>
        <v>9969.3982972017802</v>
      </c>
      <c r="E130" s="3789" t="str">
        <f>CONCATENATE("Figures here are derived through elaborate algorithms in 'Weekday Hours' and 'Weekend Hours' worksheets, with final calculations appearing in Row ",'Motor Vs'!O125, " of 'Motor Vs'. Sums, multiplied by hours, equal totals in Row ",L108, ".")</f>
        <v>Figures here are derived through elaborate algorithms in 'Weekday Hours' and 'Weekend Hours' worksheets, with final calculations appearing in Row 125 of 'Motor Vs'. Sums, multiplied by hours, equal totals in Row 108.</v>
      </c>
      <c r="F130" s="3659"/>
      <c r="I130" s="1892" t="s">
        <v>1975</v>
      </c>
      <c r="L130" s="117">
        <f>ROW()</f>
        <v>130</v>
      </c>
    </row>
    <row r="131" spans="2:12" ht="14.1" customHeight="1">
      <c r="C131" s="3" t="s">
        <v>3770</v>
      </c>
      <c r="D131" s="575">
        <f>'Motor Vs'!H125</f>
        <v>24061.208416006182</v>
      </c>
      <c r="E131" s="3659"/>
      <c r="F131" s="3659"/>
      <c r="H131" s="3" t="s">
        <v>3776</v>
      </c>
      <c r="I131" s="575">
        <f>'Motor Vs Weekends'!G125</f>
        <v>13809.494622810271</v>
      </c>
      <c r="L131" s="117">
        <f>ROW()</f>
        <v>131</v>
      </c>
    </row>
    <row r="132" spans="2:12" ht="14.1" customHeight="1">
      <c r="C132" s="3" t="s">
        <v>3771</v>
      </c>
      <c r="D132" s="575">
        <f>'Motor Vs'!I125</f>
        <v>46257.883543478631</v>
      </c>
      <c r="E132" s="3659"/>
      <c r="F132" s="3659"/>
      <c r="H132" s="3" t="s">
        <v>3777</v>
      </c>
      <c r="I132" s="575">
        <f>'Motor Vs Weekends'!H125</f>
        <v>26797.406512498372</v>
      </c>
      <c r="L132" s="117">
        <f>ROW()</f>
        <v>132</v>
      </c>
    </row>
    <row r="133" spans="2:12" ht="14.1" customHeight="1">
      <c r="C133" s="3" t="s">
        <v>3772</v>
      </c>
      <c r="D133" s="575">
        <f>'Motor Vs'!J125</f>
        <v>41059.235442521305</v>
      </c>
      <c r="E133" s="3659"/>
      <c r="F133" s="3659"/>
      <c r="H133" s="3" t="s">
        <v>3778</v>
      </c>
      <c r="I133" s="575">
        <f>'Motor Vs Weekends'!I125</f>
        <v>33696.598709760619</v>
      </c>
      <c r="L133" s="117">
        <f>ROW()</f>
        <v>133</v>
      </c>
    </row>
    <row r="134" spans="2:12" ht="14.1" customHeight="1">
      <c r="C134" s="3" t="s">
        <v>3773</v>
      </c>
      <c r="D134" s="575">
        <f>'Motor Vs'!K125</f>
        <v>33113.495856239599</v>
      </c>
      <c r="E134" s="3659"/>
      <c r="F134" s="3659"/>
      <c r="H134" s="3" t="s">
        <v>3779</v>
      </c>
      <c r="I134" s="575">
        <f>'Motor Vs Weekends'!J125</f>
        <v>36205.202812135693</v>
      </c>
      <c r="L134" s="117">
        <f>ROW()</f>
        <v>134</v>
      </c>
    </row>
    <row r="135" spans="2:12" ht="14.1" customHeight="1">
      <c r="C135" s="3" t="s">
        <v>3774</v>
      </c>
      <c r="D135" s="575">
        <f>'Motor Vs'!L125</f>
        <v>35835.577042099219</v>
      </c>
      <c r="E135" s="3659"/>
      <c r="F135" s="3659"/>
      <c r="H135" s="3" t="s">
        <v>3780</v>
      </c>
      <c r="I135" s="575">
        <f>'Motor Vs Weekends'!K125</f>
        <v>32061.445883617922</v>
      </c>
      <c r="L135" s="117">
        <f>ROW()</f>
        <v>135</v>
      </c>
    </row>
    <row r="136" spans="2:12" ht="14.1" customHeight="1">
      <c r="C136" s="3" t="s">
        <v>3775</v>
      </c>
      <c r="D136" s="575">
        <f>'Motor Vs'!M125</f>
        <v>24918.623739954266</v>
      </c>
      <c r="H136" s="3" t="s">
        <v>3781</v>
      </c>
      <c r="I136" s="575">
        <f>'Motor Vs Weekends'!L125</f>
        <v>24812.706830560528</v>
      </c>
      <c r="L136" s="117">
        <f>ROW()</f>
        <v>136</v>
      </c>
    </row>
    <row r="137" spans="2:12" ht="14.1" customHeight="1">
      <c r="L137" s="117">
        <f>ROW()</f>
        <v>137</v>
      </c>
    </row>
    <row r="138" spans="2:12" ht="14.1" customHeight="1">
      <c r="B138" s="2" t="s">
        <v>5673</v>
      </c>
      <c r="E138" s="575"/>
      <c r="I138" s="1824">
        <f>'Motor Vs'!K187</f>
        <v>9.5000487407030025</v>
      </c>
      <c r="L138" s="117">
        <f>ROW()</f>
        <v>138</v>
      </c>
    </row>
    <row r="139" spans="2:12" ht="14.1" customHeight="1">
      <c r="B139" s="265" t="str">
        <f>CONCATENATE("Equals figure in 'Motor Vs' tab, Row ",'Motor Vs'!O187, ". See discussion in that worksheet, Rows ",'Motor Vs'!O177, " through ",'Motor Vs'!O190, ", which draws on 2009-10 NYCDOT data.")</f>
        <v>Equals figure in 'Motor Vs' tab, Row 187. See discussion in that worksheet, Rows 177 through 190, which draws on 2009-10 NYCDOT data.</v>
      </c>
      <c r="L139" s="117">
        <f>ROW()</f>
        <v>139</v>
      </c>
    </row>
    <row r="140" spans="2:12" ht="14.1" customHeight="1">
      <c r="B140" s="2" t="s">
        <v>5674</v>
      </c>
      <c r="I140" s="1824">
        <f>'Motor Vs'!K203</f>
        <v>18.219843721850598</v>
      </c>
      <c r="L140" s="117">
        <f>ROW()</f>
        <v>140</v>
      </c>
    </row>
    <row r="141" spans="2:12" ht="14.1" customHeight="1">
      <c r="B141" s="265" t="str">
        <f>CONCATENATE("Equals figure in 'Motor Vs' tab, Row ",'Motor Vs'!O203, ". See discussion in that worksheet, Rows ",'Motor Vs'!O195, " through ",'Motor Vs'!O205, ", which draws on data in 2007 PlaNYC report.")</f>
        <v>Equals figure in 'Motor Vs' tab, Row 203. See discussion in that worksheet, Rows 195 through 205, which draws on data in 2007 PlaNYC report.</v>
      </c>
      <c r="L141" s="117">
        <f>ROW()</f>
        <v>141</v>
      </c>
    </row>
    <row r="142" spans="2:12" ht="14.1" customHeight="1">
      <c r="B142" s="265"/>
      <c r="L142" s="117">
        <f>ROW()</f>
        <v>142</v>
      </c>
    </row>
    <row r="143" spans="2:12" ht="14.1" customHeight="1">
      <c r="B143" s="3784" t="s">
        <v>5675</v>
      </c>
      <c r="C143" s="3784"/>
      <c r="D143" s="3784"/>
      <c r="E143" s="3784"/>
      <c r="F143" s="3784"/>
      <c r="G143" s="3784"/>
      <c r="H143" s="3784"/>
      <c r="I143" s="3784"/>
      <c r="L143" s="117">
        <f>ROW()</f>
        <v>143</v>
      </c>
    </row>
    <row r="144" spans="2:12" ht="14.1" customHeight="1">
      <c r="B144" s="3784" t="s">
        <v>781</v>
      </c>
      <c r="C144" s="3784"/>
      <c r="D144" s="3784"/>
      <c r="E144" s="3784"/>
      <c r="F144" s="3784" t="s">
        <v>1975</v>
      </c>
      <c r="G144" s="3784"/>
      <c r="H144" s="3784"/>
      <c r="I144" s="3784"/>
      <c r="L144" s="117">
        <f>ROW()</f>
        <v>144</v>
      </c>
    </row>
    <row r="145" spans="2:12" ht="14.1" customHeight="1">
      <c r="D145" s="1892" t="s">
        <v>2132</v>
      </c>
      <c r="E145" s="1892" t="s">
        <v>2068</v>
      </c>
      <c r="L145" s="117">
        <f>ROW()</f>
        <v>145</v>
      </c>
    </row>
    <row r="146" spans="2:12" ht="14.1" customHeight="1">
      <c r="C146" s="3" t="s">
        <v>3769</v>
      </c>
      <c r="D146" s="21">
        <f>'Motor Vs'!G184</f>
        <v>21.069959679339988</v>
      </c>
      <c r="E146" s="21">
        <f>'Motor Vs'!G200</f>
        <v>55</v>
      </c>
      <c r="H146" s="1892" t="s">
        <v>2132</v>
      </c>
      <c r="I146" s="1892" t="s">
        <v>2068</v>
      </c>
      <c r="L146" s="117">
        <f>ROW()</f>
        <v>146</v>
      </c>
    </row>
    <row r="147" spans="2:12" ht="14.1" customHeight="1">
      <c r="C147" s="3" t="s">
        <v>3770</v>
      </c>
      <c r="D147" s="21">
        <f>'Motor Vs'!H184</f>
        <v>20.198796211465559</v>
      </c>
      <c r="E147" s="21">
        <f>'Motor Vs'!H200</f>
        <v>44.21060782845241</v>
      </c>
      <c r="G147" s="3" t="s">
        <v>3776</v>
      </c>
      <c r="H147" s="21">
        <f>'Motor Vs Weekends'!G184</f>
        <v>19.55302538817131</v>
      </c>
      <c r="I147" s="21">
        <f>'Motor Vs Weekends'!G200</f>
        <v>53.892819398314273</v>
      </c>
      <c r="L147" s="117">
        <f>ROW()</f>
        <v>147</v>
      </c>
    </row>
    <row r="148" spans="2:12" ht="14.1" customHeight="1">
      <c r="C148" s="3" t="s">
        <v>3771</v>
      </c>
      <c r="D148" s="21">
        <f>'Motor Vs'!I184</f>
        <v>9.18464960823135</v>
      </c>
      <c r="E148" s="21">
        <f>'Motor Vs'!I200</f>
        <v>17.071636237590194</v>
      </c>
      <c r="G148" s="3" t="s">
        <v>3777</v>
      </c>
      <c r="H148" s="21">
        <f>'Motor Vs Weekends'!H184</f>
        <v>14.463163590642981</v>
      </c>
      <c r="I148" s="21">
        <f>'Motor Vs Weekends'!H200</f>
        <v>30.025936900764989</v>
      </c>
      <c r="L148" s="117">
        <f>ROW()</f>
        <v>148</v>
      </c>
    </row>
    <row r="149" spans="2:12" ht="14.1" customHeight="1">
      <c r="C149" s="3" t="s">
        <v>3772</v>
      </c>
      <c r="D149" s="21">
        <f>'Motor Vs'!J184</f>
        <v>9.7946762584405249</v>
      </c>
      <c r="E149" s="21">
        <f>'Motor Vs'!J200</f>
        <v>20.301370221590386</v>
      </c>
      <c r="G149" s="3" t="s">
        <v>3778</v>
      </c>
      <c r="H149" s="21">
        <f>'Motor Vs Weekends'!I184</f>
        <v>10.942583528894987</v>
      </c>
      <c r="I149" s="21">
        <f>'Motor Vs Weekends'!I200</f>
        <v>22.417363279123798</v>
      </c>
      <c r="L149" s="117">
        <f>ROW()</f>
        <v>149</v>
      </c>
    </row>
    <row r="150" spans="2:12" ht="14.1" customHeight="1">
      <c r="C150" s="3" t="s">
        <v>3773</v>
      </c>
      <c r="D150" s="21">
        <f>'Motor Vs'!K184</f>
        <v>12.090312708203816</v>
      </c>
      <c r="E150" s="21">
        <f>'Motor Vs'!K200</f>
        <v>24.008086562678411</v>
      </c>
      <c r="G150" s="3" t="s">
        <v>3779</v>
      </c>
      <c r="H150" s="21">
        <f>'Motor Vs Weekends'!J184</f>
        <v>9.6014485895675374</v>
      </c>
      <c r="I150" s="21">
        <f>'Motor Vs Weekends'!J200</f>
        <v>20.15974744174078</v>
      </c>
      <c r="L150" s="117">
        <f>ROW()</f>
        <v>150</v>
      </c>
    </row>
    <row r="151" spans="2:12" ht="14.1" customHeight="1">
      <c r="C151" s="3" t="s">
        <v>3774</v>
      </c>
      <c r="D151" s="21">
        <f>'Motor Vs'!L184</f>
        <v>8.1810393307876197</v>
      </c>
      <c r="E151" s="21">
        <f>'Motor Vs'!L200</f>
        <v>15.481363917407503</v>
      </c>
      <c r="G151" s="3" t="s">
        <v>3780</v>
      </c>
      <c r="H151" s="21">
        <f>'Motor Vs Weekends'!K184</f>
        <v>11.888482146116795</v>
      </c>
      <c r="I151" s="21">
        <f>'Motor Vs Weekends'!K200</f>
        <v>25.611658347782868</v>
      </c>
      <c r="L151" s="117">
        <f>ROW()</f>
        <v>151</v>
      </c>
    </row>
    <row r="152" spans="2:12" ht="14.1" customHeight="1">
      <c r="C152" s="3" t="s">
        <v>3775</v>
      </c>
      <c r="D152" s="21">
        <f>'Motor Vs'!M184</f>
        <v>11.923235598532427</v>
      </c>
      <c r="E152" s="21">
        <f>'Motor Vs'!M200</f>
        <v>25.879955628508849</v>
      </c>
      <c r="G152" s="3" t="s">
        <v>3781</v>
      </c>
      <c r="H152" s="21">
        <f>'Motor Vs Weekends'!L184</f>
        <v>14.083954279243196</v>
      </c>
      <c r="I152" s="21">
        <f>'Motor Vs Weekends'!L200</f>
        <v>31.144695461388313</v>
      </c>
      <c r="L152" s="117">
        <f>ROW()</f>
        <v>152</v>
      </c>
    </row>
    <row r="153" spans="2:12" ht="14.1" customHeight="1">
      <c r="B153" s="3754" t="str">
        <f>CONCATENATE("Weekday speeds in Rows ",L146, " through ",L152, " are calculated in 'Motor Vs' and 'Motor Vs Weekends' tabs so that (i) traffic-weighted average speeds equal averages in Rows ",L138, " and ",L140, ", and (ii) each period’s speed and traffic volume satisfy equations developed in 'Speed-Vol., Cordon and 'Speed-Vol., non-Cordon' tabs. Same applies to calculations of weekend speeds. Averages are harmonic, due to speed's inverse relationship to time.")</f>
        <v>Weekday speeds in Rows 146 through 152 are calculated in 'Motor Vs' and 'Motor Vs Weekends' tabs so that (i) traffic-weighted average speeds equal averages in Rows 138 and 140, and (ii) each period’s speed and traffic volume satisfy equations developed in 'Speed-Vol., Cordon and 'Speed-Vol., non-Cordon' tabs. Same applies to calculations of weekend speeds. Averages are harmonic, due to speed's inverse relationship to time.</v>
      </c>
      <c r="C153" s="3754"/>
      <c r="D153" s="3754"/>
      <c r="E153" s="3754"/>
      <c r="F153" s="3754"/>
      <c r="G153" s="3754"/>
      <c r="H153" s="3754"/>
      <c r="I153" s="3754"/>
      <c r="L153" s="117">
        <f>ROW()</f>
        <v>153</v>
      </c>
    </row>
    <row r="154" spans="2:12" ht="14.1" customHeight="1">
      <c r="B154" s="3754"/>
      <c r="C154" s="3754"/>
      <c r="D154" s="3754"/>
      <c r="E154" s="3754"/>
      <c r="F154" s="3754"/>
      <c r="G154" s="3754"/>
      <c r="H154" s="3754"/>
      <c r="I154" s="3754"/>
      <c r="L154" s="117">
        <f>ROW()</f>
        <v>154</v>
      </c>
    </row>
    <row r="155" spans="2:12" ht="14.1" customHeight="1">
      <c r="B155" s="3754"/>
      <c r="C155" s="3754"/>
      <c r="D155" s="3754"/>
      <c r="E155" s="3754"/>
      <c r="F155" s="3754"/>
      <c r="G155" s="3754"/>
      <c r="H155" s="3754"/>
      <c r="I155" s="3754"/>
      <c r="L155" s="117">
        <f>ROW()</f>
        <v>155</v>
      </c>
    </row>
    <row r="156" spans="2:12" ht="14.1" customHeight="1">
      <c r="B156" s="3659"/>
      <c r="C156" s="3659"/>
      <c r="D156" s="3659"/>
      <c r="E156" s="3659"/>
      <c r="F156" s="3659"/>
      <c r="G156" s="3659"/>
      <c r="H156" s="3659"/>
      <c r="I156" s="3659"/>
      <c r="L156" s="117">
        <f>ROW()</f>
        <v>156</v>
      </c>
    </row>
    <row r="157" spans="2:12" ht="14.1" customHeight="1">
      <c r="L157" s="117">
        <f>ROW()</f>
        <v>157</v>
      </c>
    </row>
    <row r="158" spans="2:12" ht="14.1" customHeight="1">
      <c r="B158" s="2" t="s">
        <v>3782</v>
      </c>
      <c r="L158" s="117">
        <f>ROW()</f>
        <v>158</v>
      </c>
    </row>
    <row r="159" spans="2:12" ht="14.1" customHeight="1">
      <c r="B159" s="3787" t="s">
        <v>3783</v>
      </c>
      <c r="C159" s="3779"/>
      <c r="D159" s="3779"/>
      <c r="E159" s="3779"/>
      <c r="F159" s="3779"/>
      <c r="G159" s="3779"/>
      <c r="H159" s="3779"/>
      <c r="I159" s="3779"/>
      <c r="L159" s="117">
        <f>ROW()</f>
        <v>159</v>
      </c>
    </row>
    <row r="160" spans="2:12" ht="14.1" customHeight="1">
      <c r="B160" s="3779"/>
      <c r="C160" s="3779"/>
      <c r="D160" s="3779"/>
      <c r="E160" s="3779"/>
      <c r="F160" s="3779"/>
      <c r="G160" s="3779"/>
      <c r="H160" s="3779"/>
      <c r="I160" s="3779"/>
      <c r="L160" s="117">
        <f>ROW()</f>
        <v>160</v>
      </c>
    </row>
    <row r="161" spans="2:12" ht="14.1" customHeight="1">
      <c r="B161" s="3779"/>
      <c r="C161" s="3779"/>
      <c r="D161" s="3779"/>
      <c r="E161" s="3779"/>
      <c r="F161" s="3779"/>
      <c r="G161" s="3779"/>
      <c r="H161" s="3779"/>
      <c r="I161" s="3779"/>
      <c r="L161" s="117">
        <f>ROW()</f>
        <v>161</v>
      </c>
    </row>
    <row r="162" spans="2:12" ht="14.1" customHeight="1">
      <c r="B162" s="3779"/>
      <c r="C162" s="3779"/>
      <c r="D162" s="3779"/>
      <c r="E162" s="3779"/>
      <c r="F162" s="3779"/>
      <c r="G162" s="3779"/>
      <c r="H162" s="3779"/>
      <c r="I162" s="3779"/>
      <c r="L162" s="117">
        <f>ROW()</f>
        <v>162</v>
      </c>
    </row>
    <row r="163" spans="2:12" ht="14.1" customHeight="1">
      <c r="B163" s="3781"/>
      <c r="C163" s="3781"/>
      <c r="D163" s="3781"/>
      <c r="E163" s="3781"/>
      <c r="F163" s="3781"/>
      <c r="G163" s="3781"/>
      <c r="H163" s="3781"/>
      <c r="I163" s="3781"/>
      <c r="L163" s="117">
        <f>ROW()</f>
        <v>163</v>
      </c>
    </row>
    <row r="164" spans="2:12" ht="14.1" customHeight="1">
      <c r="B164" s="3811" t="s">
        <v>3787</v>
      </c>
      <c r="C164" s="3811"/>
      <c r="D164" s="3811"/>
      <c r="E164" s="3811"/>
      <c r="F164" s="3811"/>
      <c r="G164" s="3811"/>
      <c r="H164" s="3811"/>
      <c r="I164" s="3811"/>
      <c r="L164" s="117">
        <f>ROW()</f>
        <v>164</v>
      </c>
    </row>
    <row r="165" spans="2:12" ht="14.1" customHeight="1">
      <c r="C165" s="2282" t="str">
        <f>'Motor Vs'!P226</f>
        <v>Graveyard</v>
      </c>
      <c r="D165" s="2282" t="str">
        <f>'Motor Vs'!Q226</f>
        <v>A.M. Pre-peak</v>
      </c>
      <c r="E165" s="2282" t="str">
        <f>'Motor Vs'!R226</f>
        <v>A.M. Peak</v>
      </c>
      <c r="F165" s="2282" t="str">
        <f>'Motor Vs'!S226</f>
        <v>A.M. Post-peak</v>
      </c>
      <c r="G165" s="2282" t="str">
        <f>'Motor Vs'!T226</f>
        <v>Midday Peak</v>
      </c>
      <c r="H165" s="2282" t="str">
        <f>'Motor Vs'!U226</f>
        <v>P.M. Peak</v>
      </c>
      <c r="I165" s="2282" t="str">
        <f>'Motor Vs'!V226</f>
        <v>P.M. Post-peak</v>
      </c>
      <c r="L165" s="117">
        <f>ROW()</f>
        <v>165</v>
      </c>
    </row>
    <row r="166" spans="2:12" ht="14.1" customHeight="1">
      <c r="C166" s="2283" t="str">
        <f>'Motor Vs'!P227</f>
        <v>11 p.m. - 5 a.m.</v>
      </c>
      <c r="D166" s="2283" t="str">
        <f>'Motor Vs'!Q227</f>
        <v>5 a.m. - 6 a.m.</v>
      </c>
      <c r="E166" s="2283" t="str">
        <f>'Motor Vs'!R227</f>
        <v>6 a.m. - 9 a.m.</v>
      </c>
      <c r="F166" s="2283" t="str">
        <f>'Motor Vs'!S227</f>
        <v>9 a.m. - 10 a.m.</v>
      </c>
      <c r="G166" s="2283" t="str">
        <f>'Motor Vs'!T227</f>
        <v>10 a.m. - 2 p.m.</v>
      </c>
      <c r="H166" s="2283" t="str">
        <f>'Motor Vs'!U227</f>
        <v xml:space="preserve">2 p.m. - 8 p.m. </v>
      </c>
      <c r="I166" s="2283" t="str">
        <f>'Motor Vs'!V227</f>
        <v>8 p.m. - 11 p.m.</v>
      </c>
      <c r="L166" s="117">
        <f>ROW()</f>
        <v>166</v>
      </c>
    </row>
    <row r="167" spans="2:12" ht="14.1" customHeight="1">
      <c r="B167" s="2290" t="s">
        <v>1324</v>
      </c>
      <c r="C167" s="26">
        <f>'Motor Vs'!P254</f>
        <v>5.8335914216468927</v>
      </c>
      <c r="D167" s="26">
        <f>'Motor Vs'!Q254</f>
        <v>5.7795128709376788</v>
      </c>
      <c r="E167" s="26">
        <f>'Motor Vs'!R254</f>
        <v>8.6948566278012542</v>
      </c>
      <c r="F167" s="26">
        <f>'Motor Vs'!S254</f>
        <v>7.7681488352781916</v>
      </c>
      <c r="G167" s="26">
        <f>'Motor Vs'!T254</f>
        <v>6.960369293452346</v>
      </c>
      <c r="H167" s="26">
        <f>'Motor Vs'!U254</f>
        <v>9.3687033618835063</v>
      </c>
      <c r="I167" s="26">
        <f>'Motor Vs'!V254</f>
        <v>6.7380950365536441</v>
      </c>
      <c r="L167" s="117">
        <f>ROW()</f>
        <v>167</v>
      </c>
    </row>
    <row r="168" spans="2:12" ht="14.1" customHeight="1">
      <c r="B168" s="2290" t="s">
        <v>1325</v>
      </c>
      <c r="C168" s="26">
        <f>'Motor Vs'!P255</f>
        <v>1.42</v>
      </c>
      <c r="D168" s="26">
        <f>'Motor Vs'!Q255</f>
        <v>4.24</v>
      </c>
      <c r="E168" s="26">
        <f>'Motor Vs'!R255</f>
        <v>14.919999999999998</v>
      </c>
      <c r="F168" s="26">
        <f>'Motor Vs'!S255</f>
        <v>18.78</v>
      </c>
      <c r="G168" s="26">
        <f>'Motor Vs'!T255</f>
        <v>17.319999999999997</v>
      </c>
      <c r="H168" s="26">
        <f>'Motor Vs'!U255</f>
        <v>10.889999999999999</v>
      </c>
      <c r="I168" s="26">
        <f>'Motor Vs'!V255</f>
        <v>6.34</v>
      </c>
      <c r="L168" s="117">
        <f>ROW()</f>
        <v>168</v>
      </c>
    </row>
    <row r="169" spans="2:12" ht="14.1" customHeight="1">
      <c r="B169" s="2290" t="s">
        <v>3786</v>
      </c>
      <c r="C169" s="26">
        <f>'Motor Vs'!P256</f>
        <v>1.9646431698302398</v>
      </c>
      <c r="D169" s="26">
        <f>'Motor Vs'!Q256</f>
        <v>1.9646431698302398</v>
      </c>
      <c r="E169" s="26">
        <f>'Motor Vs'!R256</f>
        <v>2.1577435714695872</v>
      </c>
      <c r="F169" s="26">
        <f>'Motor Vs'!S256</f>
        <v>1.9646431698302398</v>
      </c>
      <c r="G169" s="26">
        <f>'Motor Vs'!T256</f>
        <v>1.9646431698302398</v>
      </c>
      <c r="H169" s="26">
        <f>'Motor Vs'!U256</f>
        <v>2.0611933706499137</v>
      </c>
      <c r="I169" s="26">
        <f>'Motor Vs'!V256</f>
        <v>1.9646431698302398</v>
      </c>
      <c r="L169" s="117">
        <f>ROW()</f>
        <v>169</v>
      </c>
    </row>
    <row r="170" spans="2:12" ht="14.1" customHeight="1">
      <c r="B170" s="2290" t="s">
        <v>3784</v>
      </c>
      <c r="C170" s="26">
        <f>'Motor Vs'!P257</f>
        <v>1.4520046984311636</v>
      </c>
      <c r="D170" s="26">
        <f>'Motor Vs'!Q257</f>
        <v>2.9040093968623273</v>
      </c>
      <c r="E170" s="26">
        <f>'Motor Vs'!R257</f>
        <v>2.9040093968623273</v>
      </c>
      <c r="F170" s="26">
        <f>'Motor Vs'!S257</f>
        <v>2.9040093968623273</v>
      </c>
      <c r="G170" s="26">
        <f>'Motor Vs'!T257</f>
        <v>2.9040093968623273</v>
      </c>
      <c r="H170" s="26">
        <f>'Motor Vs'!U257</f>
        <v>2.9040093968623273</v>
      </c>
      <c r="I170" s="26">
        <f>'Motor Vs'!V257</f>
        <v>2.9040093968623273</v>
      </c>
      <c r="L170" s="117">
        <f>ROW()</f>
        <v>170</v>
      </c>
    </row>
    <row r="171" spans="2:12" ht="14.1" customHeight="1">
      <c r="B171" s="2290" t="s">
        <v>228</v>
      </c>
      <c r="C171" s="2291">
        <f>'Motor Vs'!P253</f>
        <v>10.670239289908297</v>
      </c>
      <c r="D171" s="2291">
        <f>'Motor Vs'!Q253</f>
        <v>14.888165437630246</v>
      </c>
      <c r="E171" s="2291">
        <f>'Motor Vs'!R253</f>
        <v>28.676609596133169</v>
      </c>
      <c r="F171" s="2291">
        <f>'Motor Vs'!S253</f>
        <v>31.416801401970758</v>
      </c>
      <c r="G171" s="2291">
        <f>'Motor Vs'!T253</f>
        <v>29.149021860144909</v>
      </c>
      <c r="H171" s="2291">
        <f>'Motor Vs'!U253</f>
        <v>25.223906129395747</v>
      </c>
      <c r="I171" s="2291">
        <f>'Motor Vs'!V253</f>
        <v>17.946747603246212</v>
      </c>
      <c r="L171" s="117">
        <f>ROW()</f>
        <v>171</v>
      </c>
    </row>
    <row r="172" spans="2:12" ht="14.1" customHeight="1">
      <c r="B172" s="7" t="s">
        <v>3785</v>
      </c>
      <c r="L172" s="117">
        <f>ROW()</f>
        <v>172</v>
      </c>
    </row>
    <row r="173" spans="2:12" ht="14.1" customHeight="1">
      <c r="B173" s="3754" t="str">
        <f>CONCATENATE("Each figure in matrix is product of calculations on subsidiary assumptions which may be traced via Rows ",'Motor Vs'!O219, " through ",'Motor Vs'!O257, " of 'Motor Vs' tab. Fuel costs vary by time of day due to differences in travel speeds which affect fuel economy. Slight variation in existing tolls reflects PANYNJ time-of-day tolls. Most critical item, parking, has its own eponymous worksheet tab.")</f>
        <v>Each figure in matrix is product of calculations on subsidiary assumptions which may be traced via Rows 219 through 257 of 'Motor Vs' tab. Fuel costs vary by time of day due to differences in travel speeds which affect fuel economy. Slight variation in existing tolls reflects PANYNJ time-of-day tolls. Most critical item, parking, has its own eponymous worksheet tab.</v>
      </c>
      <c r="C173" s="3754"/>
      <c r="D173" s="3754"/>
      <c r="E173" s="3754"/>
      <c r="F173" s="3754"/>
      <c r="G173" s="3754"/>
      <c r="H173" s="3754"/>
      <c r="I173" s="3754"/>
      <c r="L173" s="117">
        <f>ROW()</f>
        <v>173</v>
      </c>
    </row>
    <row r="174" spans="2:12" ht="14.1" customHeight="1">
      <c r="B174" s="3754"/>
      <c r="C174" s="3754"/>
      <c r="D174" s="3754"/>
      <c r="E174" s="3754"/>
      <c r="F174" s="3754"/>
      <c r="G174" s="3754"/>
      <c r="H174" s="3754"/>
      <c r="I174" s="3754"/>
      <c r="L174" s="117">
        <f>ROW()</f>
        <v>174</v>
      </c>
    </row>
    <row r="175" spans="2:12" ht="14.1" customHeight="1">
      <c r="B175" s="3754"/>
      <c r="C175" s="3754"/>
      <c r="D175" s="3754"/>
      <c r="E175" s="3754"/>
      <c r="F175" s="3754"/>
      <c r="G175" s="3754"/>
      <c r="H175" s="3754"/>
      <c r="I175" s="3754"/>
      <c r="L175" s="117">
        <f>ROW()</f>
        <v>175</v>
      </c>
    </row>
    <row r="176" spans="2:12" ht="14.1" customHeight="1">
      <c r="L176" s="117">
        <f>ROW()</f>
        <v>176</v>
      </c>
    </row>
    <row r="177" spans="2:12" ht="14.1" customHeight="1">
      <c r="B177" s="2" t="s">
        <v>5676</v>
      </c>
      <c r="I177" s="2292">
        <f>'Motor Vs'!H282</f>
        <v>0.06</v>
      </c>
      <c r="L177" s="117">
        <f>ROW()</f>
        <v>177</v>
      </c>
    </row>
    <row r="178" spans="2:12" ht="14.1" customHeight="1">
      <c r="B178" s="3754" t="s">
        <v>4551</v>
      </c>
      <c r="C178" s="3754"/>
      <c r="D178" s="3754"/>
      <c r="E178" s="3754"/>
      <c r="F178" s="3754"/>
      <c r="G178" s="3754"/>
      <c r="H178" s="3754"/>
      <c r="I178" s="3754"/>
      <c r="L178" s="117">
        <f>ROW()</f>
        <v>178</v>
      </c>
    </row>
    <row r="179" spans="2:12" ht="14.1" customHeight="1">
      <c r="B179" s="3754"/>
      <c r="C179" s="3754"/>
      <c r="D179" s="3754"/>
      <c r="E179" s="3754"/>
      <c r="F179" s="3754"/>
      <c r="G179" s="3754"/>
      <c r="H179" s="3754"/>
      <c r="I179" s="3754"/>
      <c r="L179" s="117">
        <f>ROW()</f>
        <v>179</v>
      </c>
    </row>
    <row r="180" spans="2:12" ht="14.1" customHeight="1">
      <c r="B180" s="3754"/>
      <c r="C180" s="3754"/>
      <c r="D180" s="3754"/>
      <c r="E180" s="3754"/>
      <c r="F180" s="3754"/>
      <c r="G180" s="3754"/>
      <c r="H180" s="3754"/>
      <c r="I180" s="3754"/>
      <c r="L180" s="117">
        <f>ROW()</f>
        <v>180</v>
      </c>
    </row>
    <row r="181" spans="2:12" ht="14.1" customHeight="1">
      <c r="B181" s="3659"/>
      <c r="C181" s="3659"/>
      <c r="D181" s="3659"/>
      <c r="E181" s="3659"/>
      <c r="F181" s="3659"/>
      <c r="G181" s="3659"/>
      <c r="H181" s="3659"/>
      <c r="I181" s="3659"/>
      <c r="L181" s="117">
        <f>ROW()</f>
        <v>181</v>
      </c>
    </row>
    <row r="182" spans="2:12" ht="14.1" customHeight="1">
      <c r="B182" s="2446"/>
      <c r="C182" s="2446"/>
      <c r="D182" s="2446"/>
      <c r="E182" s="2446"/>
      <c r="F182" s="2446"/>
      <c r="G182" s="2446"/>
      <c r="H182" s="2446"/>
      <c r="I182" s="2446"/>
      <c r="L182" s="117">
        <f>ROW()</f>
        <v>182</v>
      </c>
    </row>
    <row r="183" spans="2:12" ht="14.1" customHeight="1">
      <c r="B183" s="2" t="s">
        <v>4361</v>
      </c>
      <c r="C183" s="2446"/>
      <c r="D183" s="2446"/>
      <c r="E183" s="2446"/>
      <c r="F183" s="2446"/>
      <c r="G183" s="2446"/>
      <c r="H183" s="2446"/>
      <c r="I183" s="2292">
        <f>'Motor Vs'!K319</f>
        <v>2.5000000000000001E-2</v>
      </c>
      <c r="L183" s="117">
        <f>ROW()</f>
        <v>183</v>
      </c>
    </row>
    <row r="184" spans="2:12" ht="14.1" customHeight="1">
      <c r="B184" s="265" t="s">
        <v>4362</v>
      </c>
      <c r="C184" s="2446"/>
      <c r="D184" s="2446"/>
      <c r="E184" s="2446"/>
      <c r="F184" s="2446"/>
      <c r="G184" s="2446"/>
      <c r="H184" s="2446"/>
      <c r="I184" s="2292"/>
      <c r="L184" s="117">
        <f>ROW()</f>
        <v>184</v>
      </c>
    </row>
    <row r="185" spans="2:12" ht="14.1" customHeight="1">
      <c r="L185" s="117">
        <f>ROW()</f>
        <v>185</v>
      </c>
    </row>
    <row r="186" spans="2:12" ht="14.1" customHeight="1">
      <c r="B186" s="2" t="s">
        <v>3839</v>
      </c>
      <c r="D186" s="3754" t="str">
        <f>CONCATENATE("For discussion and derivation, see Elasticities' worksheet, esp'ly Rows ",Elasticities!O1, "-",Elasticities!O77, " &amp; ",Elasticities!O119, "-",Elasticities!O154, ". For cross-elasticities, see Rows ",Elasticities!O78, "-",Elasticities!O115, ". Weekend thru-trip elasticities differ from values here, due to different weights betw work and non-work trips.")</f>
        <v>For discussion and derivation, see Elasticities' worksheet, esp'ly Rows 1-77 &amp; 119-154. For cross-elasticities, see Rows 78-115. Weekend thru-trip elasticities differ from values here, due to different weights betw work and non-work trips.</v>
      </c>
      <c r="E186" s="3659"/>
      <c r="F186" s="3812" t="s">
        <v>3805</v>
      </c>
      <c r="G186" s="3813"/>
      <c r="H186" s="3812" t="s">
        <v>3804</v>
      </c>
      <c r="I186" s="3813"/>
      <c r="L186" s="117">
        <f>ROW()</f>
        <v>186</v>
      </c>
    </row>
    <row r="187" spans="2:12" ht="14.1" customHeight="1">
      <c r="D187" s="3659"/>
      <c r="E187" s="3659"/>
      <c r="F187" s="3813"/>
      <c r="G187" s="3813"/>
      <c r="H187" s="3813"/>
      <c r="I187" s="3813"/>
      <c r="L187" s="117">
        <f>ROW()</f>
        <v>187</v>
      </c>
    </row>
    <row r="188" spans="2:12" ht="14.1" customHeight="1">
      <c r="B188" s="1" t="s">
        <v>3762</v>
      </c>
      <c r="D188" s="3659"/>
      <c r="E188" s="3659"/>
      <c r="F188" s="1584"/>
      <c r="G188" s="621">
        <f>Elasticities!G51</f>
        <v>-0.5</v>
      </c>
      <c r="H188" s="621"/>
      <c r="I188" s="621">
        <f>Elasticities!G52</f>
        <v>-1</v>
      </c>
      <c r="L188" s="117">
        <f>ROW()</f>
        <v>188</v>
      </c>
    </row>
    <row r="189" spans="2:12" ht="14.1" customHeight="1">
      <c r="B189" s="1" t="s">
        <v>3790</v>
      </c>
      <c r="D189" s="3659"/>
      <c r="E189" s="3659"/>
      <c r="F189" s="1584"/>
      <c r="G189" s="621">
        <f>Elasticities!H51</f>
        <v>-0.9</v>
      </c>
      <c r="H189" s="621"/>
      <c r="I189" s="621">
        <f>Elasticities!H52</f>
        <v>-1</v>
      </c>
      <c r="L189" s="117">
        <f>ROW()</f>
        <v>189</v>
      </c>
    </row>
    <row r="190" spans="2:12" ht="14.1" customHeight="1">
      <c r="B190" s="1" t="s">
        <v>3806</v>
      </c>
      <c r="D190" s="3659"/>
      <c r="E190" s="3659"/>
      <c r="F190" s="1584"/>
      <c r="G190" s="621">
        <f>Elasticities!I51</f>
        <v>-0.66516719250565004</v>
      </c>
      <c r="H190" s="621"/>
      <c r="I190" s="621">
        <f>Elasticities!I52</f>
        <v>-1</v>
      </c>
      <c r="L190" s="117">
        <f>ROW()</f>
        <v>190</v>
      </c>
    </row>
    <row r="191" spans="2:12" ht="14.1" customHeight="1">
      <c r="B191" s="1" t="s">
        <v>3791</v>
      </c>
      <c r="D191" s="3659"/>
      <c r="E191" s="3659"/>
      <c r="F191" s="1584"/>
      <c r="G191" s="621">
        <f>Elasticities!G53</f>
        <v>-0.22</v>
      </c>
      <c r="H191" s="621"/>
      <c r="I191" s="621">
        <f>Elasticities!G54</f>
        <v>-0.8</v>
      </c>
      <c r="L191" s="117">
        <f>ROW()</f>
        <v>191</v>
      </c>
    </row>
    <row r="192" spans="2:12" ht="14.1" customHeight="1">
      <c r="L192" s="117">
        <f>ROW()</f>
        <v>192</v>
      </c>
    </row>
    <row r="193" spans="2:15" ht="14.1" customHeight="1">
      <c r="B193" s="2" t="s">
        <v>3792</v>
      </c>
      <c r="L193" s="117">
        <f>ROW()</f>
        <v>193</v>
      </c>
      <c r="N193" s="2234"/>
      <c r="O193" s="1584"/>
    </row>
    <row r="194" spans="2:15" ht="14.1" customHeight="1">
      <c r="B194" s="3788" t="str">
        <f>CONCATENATE("The BTA applies price-elasticities shown directly above to total baseline price of round-trip into CBD in Row ",L171, ". As a quick comparison of figures in Rows ",L169, " and ",L171, " demonstrates, total baseline price is 3-12 times as great as baseline toll price alone. Hence, price-elasticities from sources that are calibrated to toll prices alone must be adjusted (upward) many-fold for comparability.")</f>
        <v>The BTA applies price-elasticities shown directly above to total baseline price of round-trip into CBD in Row 171. As a quick comparison of figures in Rows 169 and 171 demonstrates, total baseline price is 3-12 times as great as baseline toll price alone. Hence, price-elasticities from sources that are calibrated to toll prices alone must be adjusted (upward) many-fold for comparability.</v>
      </c>
      <c r="C194" s="3810"/>
      <c r="D194" s="3810"/>
      <c r="E194" s="3810"/>
      <c r="F194" s="3810"/>
      <c r="G194" s="3810"/>
      <c r="H194" s="3810"/>
      <c r="I194" s="3810"/>
      <c r="L194" s="117">
        <f>ROW()</f>
        <v>194</v>
      </c>
      <c r="M194" s="2234"/>
      <c r="N194" s="2234"/>
      <c r="O194" s="1584"/>
    </row>
    <row r="195" spans="2:15" ht="14.1" customHeight="1">
      <c r="B195" s="3810"/>
      <c r="C195" s="3810"/>
      <c r="D195" s="3810"/>
      <c r="E195" s="3810"/>
      <c r="F195" s="3810"/>
      <c r="G195" s="3810"/>
      <c r="H195" s="3810"/>
      <c r="I195" s="3810"/>
      <c r="L195" s="117">
        <f>ROW()</f>
        <v>195</v>
      </c>
      <c r="M195" s="2234"/>
      <c r="N195" s="2234"/>
      <c r="O195" s="1584"/>
    </row>
    <row r="196" spans="2:15" ht="14.1" customHeight="1">
      <c r="B196" s="3810"/>
      <c r="C196" s="3810"/>
      <c r="D196" s="3810"/>
      <c r="E196" s="3810"/>
      <c r="F196" s="3810"/>
      <c r="G196" s="3810"/>
      <c r="H196" s="3810"/>
      <c r="I196" s="3810"/>
      <c r="L196" s="117">
        <f>ROW()</f>
        <v>196</v>
      </c>
      <c r="M196" s="2234"/>
      <c r="N196" s="2234"/>
      <c r="O196" s="1584"/>
    </row>
    <row r="197" spans="2:15" ht="14.1" customHeight="1">
      <c r="B197" s="3810"/>
      <c r="C197" s="3810"/>
      <c r="D197" s="3810"/>
      <c r="E197" s="3810"/>
      <c r="F197" s="3810"/>
      <c r="G197" s="3810"/>
      <c r="H197" s="3810"/>
      <c r="I197" s="3810"/>
      <c r="L197" s="117">
        <f>ROW()</f>
        <v>197</v>
      </c>
      <c r="M197" s="2234"/>
      <c r="N197" s="2234"/>
      <c r="O197" s="1584"/>
    </row>
    <row r="198" spans="2:15" ht="14.1" customHeight="1">
      <c r="B198" s="2286"/>
      <c r="C198" s="2286"/>
      <c r="D198" s="2286"/>
      <c r="E198" s="2286"/>
      <c r="F198" s="2286"/>
      <c r="G198" s="2286"/>
      <c r="H198" s="2286"/>
      <c r="I198" s="2286"/>
      <c r="L198" s="117">
        <f>ROW()</f>
        <v>198</v>
      </c>
      <c r="M198" s="2234"/>
      <c r="N198" s="2234"/>
      <c r="O198" s="1584"/>
    </row>
    <row r="199" spans="2:15" ht="14.1" customHeight="1">
      <c r="B199" s="2" t="s">
        <v>3843</v>
      </c>
      <c r="C199" s="2286"/>
      <c r="D199" s="2286"/>
      <c r="E199" s="2286"/>
      <c r="F199" s="2286"/>
      <c r="G199" s="2286"/>
      <c r="H199" s="2286"/>
      <c r="I199" s="2286"/>
      <c r="L199" s="117">
        <f>ROW()</f>
        <v>199</v>
      </c>
      <c r="M199" s="2234"/>
      <c r="N199" s="2234"/>
      <c r="O199" s="1584"/>
    </row>
    <row r="200" spans="2:15" ht="14.1" customHeight="1">
      <c r="B200" s="2286"/>
      <c r="C200" s="2286"/>
      <c r="D200" s="2286"/>
      <c r="E200" s="2286"/>
      <c r="F200" s="2286"/>
      <c r="G200" s="2286"/>
      <c r="H200" s="2286"/>
      <c r="I200" s="2286"/>
      <c r="L200" s="117">
        <f>ROW()</f>
        <v>200</v>
      </c>
      <c r="M200" s="2234"/>
      <c r="N200" s="2234"/>
      <c r="O200" s="1584"/>
    </row>
    <row r="201" spans="2:15" ht="14.1" customHeight="1">
      <c r="C201" s="3790" t="s">
        <v>1272</v>
      </c>
      <c r="D201" s="3791" t="s">
        <v>1273</v>
      </c>
      <c r="E201" s="3792" t="s">
        <v>1274</v>
      </c>
      <c r="F201" s="3791" t="s">
        <v>1273</v>
      </c>
      <c r="G201" s="3791" t="s">
        <v>1273</v>
      </c>
      <c r="H201" s="3792" t="s">
        <v>1274</v>
      </c>
      <c r="I201" s="2305" t="s">
        <v>1274</v>
      </c>
      <c r="L201" s="117">
        <f>ROW()</f>
        <v>201</v>
      </c>
    </row>
    <row r="202" spans="2:15" ht="14.1" customHeight="1">
      <c r="C202" s="3793" t="s">
        <v>2282</v>
      </c>
      <c r="D202" s="3794"/>
      <c r="E202" s="3795"/>
      <c r="F202" s="3794" t="s">
        <v>1271</v>
      </c>
      <c r="G202" s="3794"/>
      <c r="H202" s="3795"/>
      <c r="I202" s="2306">
        <v>-0.6</v>
      </c>
      <c r="L202" s="117">
        <f>ROW()</f>
        <v>202</v>
      </c>
    </row>
    <row r="203" spans="2:15" ht="14.1" customHeight="1">
      <c r="C203" s="3793" t="s">
        <v>2282</v>
      </c>
      <c r="D203" s="3794"/>
      <c r="E203" s="3795"/>
      <c r="F203" s="3794" t="s">
        <v>2300</v>
      </c>
      <c r="G203" s="3794"/>
      <c r="H203" s="3795"/>
      <c r="I203" s="2307">
        <v>-0.13</v>
      </c>
      <c r="L203" s="117">
        <f>ROW()</f>
        <v>203</v>
      </c>
    </row>
    <row r="204" spans="2:15" ht="14.1" customHeight="1">
      <c r="C204" s="3793" t="s">
        <v>1270</v>
      </c>
      <c r="D204" s="3794"/>
      <c r="E204" s="3795"/>
      <c r="F204" s="3794" t="s">
        <v>2302</v>
      </c>
      <c r="G204" s="3794"/>
      <c r="H204" s="3795"/>
      <c r="I204" s="2307">
        <v>-0.22</v>
      </c>
      <c r="L204" s="117">
        <f>ROW()</f>
        <v>204</v>
      </c>
    </row>
    <row r="205" spans="2:15" ht="14.1" customHeight="1">
      <c r="C205" s="3793" t="s">
        <v>1270</v>
      </c>
      <c r="D205" s="3794"/>
      <c r="E205" s="3795"/>
      <c r="F205" s="3794" t="s">
        <v>773</v>
      </c>
      <c r="G205" s="3794"/>
      <c r="H205" s="3795"/>
      <c r="I205" s="2307">
        <v>-0.09</v>
      </c>
      <c r="L205" s="117">
        <f>ROW()</f>
        <v>205</v>
      </c>
    </row>
    <row r="206" spans="2:15" ht="14.1" customHeight="1">
      <c r="C206" s="3834" t="s">
        <v>3844</v>
      </c>
      <c r="D206" s="3681"/>
      <c r="E206" s="3681"/>
      <c r="F206" s="3681"/>
      <c r="G206" s="3681"/>
      <c r="H206" s="3681"/>
      <c r="I206" s="3682"/>
      <c r="L206" s="117">
        <f>ROW()</f>
        <v>206</v>
      </c>
    </row>
    <row r="207" spans="2:15" ht="14.1" customHeight="1">
      <c r="C207" s="3680"/>
      <c r="D207" s="3681"/>
      <c r="E207" s="3681"/>
      <c r="F207" s="3681"/>
      <c r="G207" s="3681"/>
      <c r="H207" s="3681"/>
      <c r="I207" s="3682"/>
      <c r="L207" s="117">
        <f>ROW()</f>
        <v>207</v>
      </c>
    </row>
    <row r="208" spans="2:15" ht="14.1" customHeight="1">
      <c r="C208" s="3683"/>
      <c r="D208" s="3684"/>
      <c r="E208" s="3684"/>
      <c r="F208" s="3684"/>
      <c r="G208" s="3684"/>
      <c r="H208" s="3684"/>
      <c r="I208" s="3685"/>
      <c r="L208" s="117">
        <f>ROW()</f>
        <v>208</v>
      </c>
    </row>
    <row r="209" spans="2:15" ht="14.1" customHeight="1">
      <c r="C209" s="2284"/>
      <c r="D209" s="2284"/>
      <c r="E209" s="2284"/>
      <c r="F209" s="2284"/>
      <c r="G209" s="2284"/>
      <c r="H209" s="2284"/>
      <c r="I209" s="2284"/>
      <c r="L209" s="117">
        <f>ROW()</f>
        <v>209</v>
      </c>
    </row>
    <row r="210" spans="2:15" ht="14.1" customHeight="1">
      <c r="B210" s="3787" t="s">
        <v>3845</v>
      </c>
      <c r="C210" s="3779"/>
      <c r="D210" s="3779"/>
      <c r="E210" s="3779"/>
      <c r="F210" s="3779"/>
      <c r="G210" s="3779"/>
      <c r="H210" s="3779"/>
      <c r="I210" s="3779"/>
      <c r="L210" s="117">
        <f>ROW()</f>
        <v>210</v>
      </c>
      <c r="M210" s="2234"/>
      <c r="N210" s="2234"/>
      <c r="O210" s="1584"/>
    </row>
    <row r="211" spans="2:15" ht="14.1" customHeight="1">
      <c r="B211" s="3779"/>
      <c r="C211" s="3779"/>
      <c r="D211" s="3779"/>
      <c r="E211" s="3779"/>
      <c r="F211" s="3779"/>
      <c r="G211" s="3779"/>
      <c r="H211" s="3779"/>
      <c r="I211" s="3779"/>
      <c r="L211" s="117">
        <f>ROW()</f>
        <v>211</v>
      </c>
      <c r="M211" s="2234"/>
      <c r="N211" s="2234"/>
      <c r="O211" s="1584"/>
    </row>
    <row r="212" spans="2:15" ht="14.1" customHeight="1">
      <c r="B212" s="3779"/>
      <c r="C212" s="3779"/>
      <c r="D212" s="3779"/>
      <c r="E212" s="3779"/>
      <c r="F212" s="3779"/>
      <c r="G212" s="3779"/>
      <c r="H212" s="3779"/>
      <c r="I212" s="3779"/>
      <c r="L212" s="117">
        <f>ROW()</f>
        <v>212</v>
      </c>
      <c r="M212" s="2234"/>
      <c r="N212" s="2234"/>
      <c r="O212" s="1584"/>
    </row>
    <row r="213" spans="2:15" ht="14.1" customHeight="1">
      <c r="B213" s="2286"/>
      <c r="C213" s="2286"/>
      <c r="D213" s="2286"/>
      <c r="E213" s="2286"/>
      <c r="F213" s="2286"/>
      <c r="G213" s="2286"/>
      <c r="H213" s="2286"/>
      <c r="I213" s="2286"/>
      <c r="L213" s="117">
        <f>ROW()</f>
        <v>213</v>
      </c>
      <c r="M213" s="2234"/>
      <c r="N213" s="2234"/>
      <c r="O213" s="1584"/>
    </row>
    <row r="214" spans="2:15" ht="14.1" customHeight="1">
      <c r="B214" s="2" t="s">
        <v>3794</v>
      </c>
      <c r="I214" s="2146">
        <f>'Motor Vs'!K163</f>
        <v>1.9529149453935233</v>
      </c>
      <c r="L214" s="117">
        <f>ROW()</f>
        <v>214</v>
      </c>
    </row>
    <row r="215" spans="2:15" ht="14.1" customHeight="1">
      <c r="B215" s="3788" t="s">
        <v>5677</v>
      </c>
      <c r="C215" s="3810"/>
      <c r="D215" s="3810"/>
      <c r="E215" s="3810"/>
      <c r="F215" s="3810"/>
      <c r="G215" s="3810"/>
      <c r="H215" s="3810"/>
      <c r="I215" s="3810"/>
      <c r="L215" s="117">
        <f>ROW()</f>
        <v>215</v>
      </c>
    </row>
    <row r="216" spans="2:15" ht="14.1" customHeight="1">
      <c r="B216" s="3810"/>
      <c r="C216" s="3810"/>
      <c r="D216" s="3810"/>
      <c r="E216" s="3810"/>
      <c r="F216" s="3810"/>
      <c r="G216" s="3810"/>
      <c r="H216" s="3810"/>
      <c r="I216" s="3810"/>
      <c r="L216" s="117">
        <f>ROW()</f>
        <v>216</v>
      </c>
    </row>
    <row r="217" spans="2:15" ht="14.1" customHeight="1">
      <c r="B217" s="3810"/>
      <c r="C217" s="3810"/>
      <c r="D217" s="3810"/>
      <c r="E217" s="3810"/>
      <c r="F217" s="3810"/>
      <c r="G217" s="3810"/>
      <c r="H217" s="3810"/>
      <c r="I217" s="3810"/>
      <c r="L217" s="117">
        <f>ROW()</f>
        <v>217</v>
      </c>
    </row>
    <row r="218" spans="2:15" ht="14.1" customHeight="1">
      <c r="B218" s="3810"/>
      <c r="C218" s="3810"/>
      <c r="D218" s="3810"/>
      <c r="E218" s="3810"/>
      <c r="F218" s="3810"/>
      <c r="G218" s="3810"/>
      <c r="H218" s="3810"/>
      <c r="I218" s="3810"/>
      <c r="L218" s="117">
        <f>ROW()</f>
        <v>218</v>
      </c>
    </row>
    <row r="219" spans="2:15" ht="14.1" customHeight="1">
      <c r="B219" s="3779"/>
      <c r="C219" s="3779"/>
      <c r="D219" s="3779"/>
      <c r="E219" s="3779"/>
      <c r="F219" s="3779"/>
      <c r="G219" s="3779"/>
      <c r="H219" s="3779"/>
      <c r="I219" s="3779"/>
      <c r="L219" s="117">
        <f>ROW()</f>
        <v>219</v>
      </c>
    </row>
    <row r="220" spans="2:15" ht="14.1" customHeight="1">
      <c r="B220" s="3779"/>
      <c r="C220" s="3779"/>
      <c r="D220" s="3779"/>
      <c r="E220" s="3779"/>
      <c r="F220" s="3779"/>
      <c r="G220" s="3779"/>
      <c r="H220" s="3779"/>
      <c r="I220" s="3779"/>
      <c r="L220" s="117">
        <f>ROW()</f>
        <v>220</v>
      </c>
    </row>
    <row r="221" spans="2:15" ht="14.1" customHeight="1">
      <c r="B221" s="3779"/>
      <c r="C221" s="3779"/>
      <c r="D221" s="3779"/>
      <c r="E221" s="3779"/>
      <c r="F221" s="3779"/>
      <c r="G221" s="3779"/>
      <c r="H221" s="3779"/>
      <c r="I221" s="3779"/>
      <c r="L221" s="117">
        <f>ROW()</f>
        <v>221</v>
      </c>
    </row>
    <row r="222" spans="2:15" ht="14.1" customHeight="1">
      <c r="B222" s="3779"/>
      <c r="C222" s="3779"/>
      <c r="D222" s="3779"/>
      <c r="E222" s="3779"/>
      <c r="F222" s="3779"/>
      <c r="G222" s="3779"/>
      <c r="H222" s="3779"/>
      <c r="I222" s="3779"/>
      <c r="L222" s="117">
        <f>ROW()</f>
        <v>222</v>
      </c>
    </row>
    <row r="223" spans="2:15" ht="14.1" customHeight="1">
      <c r="B223" s="2" t="s">
        <v>3795</v>
      </c>
      <c r="I223" s="2146">
        <f>'Motor Vs'!K164</f>
        <v>0.1</v>
      </c>
      <c r="L223" s="117">
        <f>ROW()</f>
        <v>223</v>
      </c>
    </row>
    <row r="224" spans="2:15" ht="14.1" customHeight="1">
      <c r="B224" s="3787" t="str">
        <f>CONCATENATE("The proportion of medallion taxis' non-cordon VMT that takes place in trips that never enter the CBD is far lower than that for cars, trucks and buses. This figure, and the analogous one for other vehicles, shown above at Row ",L214, ", are presented in the 'Motor Vs' worksheet., Rows ",'Motor Vs'!O161, " to ",'Motor Vs'!O164, ".")</f>
        <v>The proportion of medallion taxis' non-cordon VMT that takes place in trips that never enter the CBD is far lower than that for cars, trucks and buses. This figure, and the analogous one for other vehicles, shown above at Row 214, are presented in the 'Motor Vs' worksheet., Rows 161 to 164.</v>
      </c>
      <c r="C224" s="3779"/>
      <c r="D224" s="3779"/>
      <c r="E224" s="3779"/>
      <c r="F224" s="3779"/>
      <c r="G224" s="3779"/>
      <c r="H224" s="3779"/>
      <c r="I224" s="3779"/>
      <c r="L224" s="117">
        <f>ROW()</f>
        <v>224</v>
      </c>
    </row>
    <row r="225" spans="2:12" ht="14.1" customHeight="1">
      <c r="B225" s="3779"/>
      <c r="C225" s="3779"/>
      <c r="D225" s="3779"/>
      <c r="E225" s="3779"/>
      <c r="F225" s="3779"/>
      <c r="G225" s="3779"/>
      <c r="H225" s="3779"/>
      <c r="I225" s="3779"/>
      <c r="L225" s="117">
        <f>ROW()</f>
        <v>225</v>
      </c>
    </row>
    <row r="226" spans="2:12" ht="14.1" customHeight="1">
      <c r="B226" s="3779"/>
      <c r="C226" s="3779"/>
      <c r="D226" s="3779"/>
      <c r="E226" s="3779"/>
      <c r="F226" s="3779"/>
      <c r="G226" s="3779"/>
      <c r="H226" s="3779"/>
      <c r="I226" s="3779"/>
      <c r="L226" s="117">
        <f>ROW()</f>
        <v>226</v>
      </c>
    </row>
    <row r="227" spans="2:12" ht="14.1" customHeight="1">
      <c r="L227" s="117">
        <f>ROW()</f>
        <v>227</v>
      </c>
    </row>
    <row r="228" spans="2:12" ht="14.1" customHeight="1">
      <c r="B228" s="24" t="s">
        <v>5706</v>
      </c>
      <c r="L228" s="117">
        <f>ROW()</f>
        <v>228</v>
      </c>
    </row>
    <row r="229" spans="2:12" ht="14.1" customHeight="1">
      <c r="B229" s="24"/>
      <c r="L229" s="117">
        <f>ROW()</f>
        <v>229</v>
      </c>
    </row>
    <row r="230" spans="2:12" ht="14.1" customHeight="1">
      <c r="B230" s="2" t="s">
        <v>3807</v>
      </c>
      <c r="L230" s="117">
        <f>ROW()</f>
        <v>230</v>
      </c>
    </row>
    <row r="231" spans="2:12" ht="14.1" customHeight="1">
      <c r="B231" s="265" t="str">
        <f>CONCATENATE("From 'Incidence' tab, Row ",Incidence!AA56, ". Reflects assumption that every third carpool has two passengers rather than one.")</f>
        <v>From 'Incidence' tab, Row 56. Reflects assumption that every third carpool has two passengers rather than one.</v>
      </c>
      <c r="G231" s="7"/>
      <c r="I231" s="621">
        <f>Incidence!F56</f>
        <v>2.3330000000000002</v>
      </c>
      <c r="L231" s="117">
        <f>ROW()</f>
        <v>231</v>
      </c>
    </row>
    <row r="232" spans="2:12" s="3240" customFormat="1" ht="14.1" customHeight="1">
      <c r="B232" s="265"/>
      <c r="G232" s="7"/>
      <c r="I232" s="621"/>
      <c r="L232" s="117">
        <f>ROW()</f>
        <v>232</v>
      </c>
    </row>
    <row r="233" spans="2:12" ht="14.1" customHeight="1">
      <c r="B233" s="2" t="s">
        <v>5624</v>
      </c>
      <c r="G233" s="7" t="str">
        <f>CONCATENATE("(From 'Incidence' tab, Row ",Incidence!AA75, ".)")</f>
        <v>(From 'Incidence' tab, Row 75.)</v>
      </c>
      <c r="I233" s="23">
        <f>Incidence!K75</f>
        <v>0.85</v>
      </c>
      <c r="L233" s="117">
        <f>ROW()</f>
        <v>233</v>
      </c>
    </row>
    <row r="234" spans="2:12" s="3240" customFormat="1" ht="14.1" customHeight="1">
      <c r="E234" s="1892" t="s">
        <v>781</v>
      </c>
      <c r="F234" s="1892" t="s">
        <v>1975</v>
      </c>
      <c r="G234" s="7"/>
      <c r="I234" s="23"/>
      <c r="L234" s="117">
        <f>ROW()</f>
        <v>234</v>
      </c>
    </row>
    <row r="235" spans="2:12" s="3240" customFormat="1" ht="14.1" customHeight="1">
      <c r="B235" s="312" t="s">
        <v>5678</v>
      </c>
      <c r="E235" s="23">
        <f>Incidence!K75</f>
        <v>0.85</v>
      </c>
      <c r="F235" s="23">
        <f>Incidence!K135</f>
        <v>0.72249999999999992</v>
      </c>
      <c r="G235" s="3785" t="str">
        <f>CONCATENATE("Array is from 'Incidence' tab, Rows ",Incidence!AA75, "-",Incidence!AA78, ", and Rows ",Incidence!AA135, "-",Incidence!AA138, ".")</f>
        <v>Array is from 'Incidence' tab, Rows 75-78, and Rows 135-138.</v>
      </c>
      <c r="H235" s="3786"/>
      <c r="I235" s="23"/>
      <c r="L235" s="117">
        <f>ROW()</f>
        <v>235</v>
      </c>
    </row>
    <row r="236" spans="2:12" s="3240" customFormat="1" ht="14.1" customHeight="1">
      <c r="B236" s="312" t="s">
        <v>5679</v>
      </c>
      <c r="E236" s="23">
        <f>Incidence!K76</f>
        <v>0.8</v>
      </c>
      <c r="F236" s="23">
        <f>Incidence!K136</f>
        <v>0.68</v>
      </c>
      <c r="G236" s="3786"/>
      <c r="H236" s="3786"/>
      <c r="I236" s="23"/>
      <c r="L236" s="117">
        <f>ROW()</f>
        <v>236</v>
      </c>
    </row>
    <row r="237" spans="2:12" s="3240" customFormat="1" ht="14.1" customHeight="1">
      <c r="B237" s="312" t="s">
        <v>5680</v>
      </c>
      <c r="E237" s="23">
        <f>Incidence!K77</f>
        <v>0.8</v>
      </c>
      <c r="F237" s="23">
        <f>Incidence!K137</f>
        <v>0.68</v>
      </c>
      <c r="G237" s="3786"/>
      <c r="H237" s="3786"/>
      <c r="I237" s="23"/>
      <c r="L237" s="117">
        <f>ROW()</f>
        <v>237</v>
      </c>
    </row>
    <row r="238" spans="2:12" s="3240" customFormat="1" ht="14.1" customHeight="1">
      <c r="B238" s="312" t="s">
        <v>5681</v>
      </c>
      <c r="E238" s="23">
        <f>Incidence!K78</f>
        <v>0.35</v>
      </c>
      <c r="F238" s="23">
        <f>Incidence!K138</f>
        <v>0.29749999999999999</v>
      </c>
      <c r="G238" s="3786"/>
      <c r="H238" s="3786"/>
      <c r="I238" s="23"/>
      <c r="L238" s="117">
        <f>ROW()</f>
        <v>238</v>
      </c>
    </row>
    <row r="239" spans="2:12" s="3240" customFormat="1" ht="14.1" customHeight="1">
      <c r="B239" s="2"/>
      <c r="G239" s="7"/>
      <c r="I239" s="23"/>
      <c r="L239" s="117">
        <f>ROW()</f>
        <v>239</v>
      </c>
    </row>
    <row r="240" spans="2:12" s="3240" customFormat="1" ht="14.1" customHeight="1">
      <c r="B240" s="3787" t="s">
        <v>5529</v>
      </c>
      <c r="C240" s="3787"/>
      <c r="D240" s="3787"/>
      <c r="E240" s="3787"/>
      <c r="F240" s="3787"/>
      <c r="G240" s="3754" t="s">
        <v>5684</v>
      </c>
      <c r="H240" s="3659"/>
      <c r="I240" s="1892" t="s">
        <v>781</v>
      </c>
      <c r="J240" s="1892" t="s">
        <v>1975</v>
      </c>
      <c r="L240" s="117">
        <f>ROW()</f>
        <v>240</v>
      </c>
    </row>
    <row r="241" spans="2:12" s="3240" customFormat="1" ht="14.1" customHeight="1">
      <c r="B241" s="3787"/>
      <c r="C241" s="3787"/>
      <c r="D241" s="3787"/>
      <c r="E241" s="3787"/>
      <c r="F241" s="3787"/>
      <c r="G241" s="3659"/>
      <c r="H241" s="3659"/>
      <c r="I241" s="136">
        <f>Incidence!K101</f>
        <v>0.15</v>
      </c>
      <c r="J241" s="136">
        <f>Incidence!K141</f>
        <v>0.35</v>
      </c>
      <c r="L241" s="117">
        <f>ROW()</f>
        <v>241</v>
      </c>
    </row>
    <row r="242" spans="2:12" s="3240" customFormat="1" ht="14.1" customHeight="1">
      <c r="B242" s="2"/>
      <c r="G242" s="7"/>
      <c r="I242" s="23"/>
      <c r="L242" s="117">
        <f>ROW()</f>
        <v>242</v>
      </c>
    </row>
    <row r="243" spans="2:12" s="3240" customFormat="1" ht="14.1" customHeight="1">
      <c r="B243" s="1" t="s">
        <v>5685</v>
      </c>
      <c r="G243" s="265" t="str">
        <f>CONCATENATE("'Incidence' tab, Rows",Incidence!AA199, "-",Incidence!AA213, ", has assumptions in array by county and toll crossing.")</f>
        <v>'Incidence' tab, Rows199-213, has assumptions in array by county and toll crossing.</v>
      </c>
      <c r="I243" s="23"/>
      <c r="L243" s="117">
        <f>ROW()</f>
        <v>243</v>
      </c>
    </row>
    <row r="244" spans="2:12" s="3240" customFormat="1" ht="14.1" customHeight="1">
      <c r="B244" s="2"/>
      <c r="G244" s="265"/>
      <c r="I244" s="23"/>
      <c r="L244" s="117">
        <f>ROW()</f>
        <v>244</v>
      </c>
    </row>
    <row r="245" spans="2:12" ht="14.1" customHeight="1">
      <c r="B245" s="1" t="s">
        <v>5686</v>
      </c>
      <c r="G245" s="265" t="str">
        <f>CONCATENATE("(From 'Incidence' tab, Row ",Incidence!AA263, ".)")</f>
        <v>(From 'Incidence' tab, Row 263.)</v>
      </c>
      <c r="I245" s="136">
        <f>Incidence!I263</f>
        <v>0.7</v>
      </c>
      <c r="L245" s="117">
        <f>ROW()</f>
        <v>245</v>
      </c>
    </row>
    <row r="246" spans="2:12" ht="14.1" customHeight="1">
      <c r="L246" s="117">
        <f>ROW()</f>
        <v>246</v>
      </c>
    </row>
    <row r="247" spans="2:12" ht="14.1" customHeight="1">
      <c r="B247" s="1" t="s">
        <v>5690</v>
      </c>
      <c r="H247" s="265" t="s">
        <v>1526</v>
      </c>
      <c r="I247" s="23">
        <f>Incidence!G324</f>
        <v>0.1</v>
      </c>
      <c r="L247" s="117">
        <f>ROW()</f>
        <v>247</v>
      </c>
    </row>
    <row r="248" spans="2:12" ht="14.1" customHeight="1">
      <c r="L248" s="117">
        <f>ROW()</f>
        <v>248</v>
      </c>
    </row>
    <row r="249" spans="2:12" ht="14.1" customHeight="1">
      <c r="B249" s="1" t="s">
        <v>5687</v>
      </c>
      <c r="F249" s="265" t="str">
        <f>CONCATENATE("(Komanoff assumptions, Row ",Incidence!AA361, ".)")</f>
        <v>(Komanoff assumptions, Row 361.)</v>
      </c>
      <c r="I249" t="str">
        <f>CONCATENATE("Between ",MIN(Incidence!G361:W361), " and ",MAX(Incidence!G361:W361), ", depending on county.")</f>
        <v>Between 0.5 and 3, depending on county.</v>
      </c>
      <c r="L249" s="117">
        <f>ROW()</f>
        <v>249</v>
      </c>
    </row>
    <row r="250" spans="2:12" ht="14.1" customHeight="1">
      <c r="F250" s="265"/>
      <c r="L250" s="117">
        <f>ROW()</f>
        <v>250</v>
      </c>
    </row>
    <row r="251" spans="2:12" s="3240" customFormat="1" ht="14.1" customHeight="1">
      <c r="B251" s="1" t="s">
        <v>5688</v>
      </c>
      <c r="F251" s="265" t="str">
        <f>CONCATENATE("(Komanoff assumptions, Row ",Incidence!AA376, ".)")</f>
        <v>(Komanoff assumptions, Row 376.)</v>
      </c>
      <c r="I251" s="3240" t="str">
        <f>CONCATENATE("Between ",100*MIN(Incidence!G376:W376), "% and ",100*MAX(Incidence!G376:W376), "%, depending on county.")</f>
        <v>Between 85% and 90%, depending on county.</v>
      </c>
      <c r="L251" s="117">
        <f>ROW()</f>
        <v>251</v>
      </c>
    </row>
    <row r="252" spans="2:12" s="3240" customFormat="1" ht="14.1" customHeight="1">
      <c r="L252" s="117">
        <f>ROW()</f>
        <v>252</v>
      </c>
    </row>
    <row r="253" spans="2:12" s="3240" customFormat="1" ht="14.1" customHeight="1">
      <c r="B253" s="1" t="s">
        <v>5689</v>
      </c>
      <c r="H253" s="265" t="s">
        <v>1526</v>
      </c>
      <c r="I253" s="2298">
        <f>Incidence!G388*100</f>
        <v>5</v>
      </c>
      <c r="L253" s="117">
        <f>ROW()</f>
        <v>253</v>
      </c>
    </row>
    <row r="254" spans="2:12" s="3240" customFormat="1" ht="14.1" customHeight="1">
      <c r="L254" s="117">
        <f>ROW()</f>
        <v>254</v>
      </c>
    </row>
    <row r="255" spans="2:12" s="3240" customFormat="1" ht="14.1" customHeight="1">
      <c r="B255" s="1" t="s">
        <v>5691</v>
      </c>
      <c r="G255" s="265" t="str">
        <f>CONCATENATE("(Komanoff assmptns, Row ",Incidence!AA382, ".)")</f>
        <v>(Komanoff assmptns, Row 382.)</v>
      </c>
      <c r="I255" s="3240" t="str">
        <f>CONCATENATE("Between ",100*MIN(Incidence!G382:W382), "% and ",100*MAX(Incidence!G382:W382), "%, depending on county.")</f>
        <v>Between 20% and 60%, depending on county.</v>
      </c>
      <c r="L255" s="117">
        <f>ROW()</f>
        <v>255</v>
      </c>
    </row>
    <row r="256" spans="2:12" s="3240" customFormat="1" ht="14.1" customHeight="1">
      <c r="L256" s="117">
        <f>ROW()</f>
        <v>256</v>
      </c>
    </row>
    <row r="257" spans="2:12" s="3240" customFormat="1" ht="14.1" customHeight="1">
      <c r="B257" s="3788" t="s">
        <v>6009</v>
      </c>
      <c r="C257" s="3788"/>
      <c r="D257" s="3788"/>
      <c r="E257" s="3788"/>
      <c r="F257" s="2"/>
      <c r="I257" s="2640">
        <f>Incidence!X396</f>
        <v>0.10184093132057249</v>
      </c>
      <c r="L257" s="117">
        <f>ROW()</f>
        <v>257</v>
      </c>
    </row>
    <row r="258" spans="2:12" s="3240" customFormat="1" ht="14.1" customHeight="1">
      <c r="B258" s="3788"/>
      <c r="C258" s="3788"/>
      <c r="D258" s="3788"/>
      <c r="E258" s="3788"/>
      <c r="F258" s="7" t="str">
        <f>CONCATENATE("This number, calc'd in Cell ",Incidence!AA396, ", is a result, not an assumption. It is shown here for completeness.")</f>
        <v>This number, calc'd in Cell 396, is a result, not an assumption. It is shown here for completeness.</v>
      </c>
      <c r="L258" s="117">
        <f>ROW()</f>
        <v>258</v>
      </c>
    </row>
    <row r="259" spans="2:12" s="3240" customFormat="1" ht="14.1" customHeight="1">
      <c r="L259" s="117">
        <f>ROW()</f>
        <v>259</v>
      </c>
    </row>
    <row r="260" spans="2:12" s="3263" customFormat="1" ht="14.1" customHeight="1">
      <c r="B260" s="24" t="s">
        <v>1509</v>
      </c>
      <c r="L260" s="117">
        <f>ROW()</f>
        <v>260</v>
      </c>
    </row>
    <row r="261" spans="2:12" s="3263" customFormat="1" ht="14.1" customHeight="1">
      <c r="B261" s="24"/>
      <c r="I261" s="1892" t="s">
        <v>781</v>
      </c>
      <c r="J261" s="1892" t="s">
        <v>1975</v>
      </c>
      <c r="L261" s="117">
        <f>ROW()</f>
        <v>261</v>
      </c>
    </row>
    <row r="262" spans="2:12" s="3263" customFormat="1" ht="14.1" customHeight="1">
      <c r="B262" s="2" t="s">
        <v>5726</v>
      </c>
      <c r="G262" s="3754" t="s">
        <v>5730</v>
      </c>
      <c r="L262" s="117">
        <f>ROW()</f>
        <v>262</v>
      </c>
    </row>
    <row r="263" spans="2:12" s="3263" customFormat="1" ht="14.1" customHeight="1">
      <c r="B263" s="1" t="s">
        <v>5723</v>
      </c>
      <c r="G263" s="3754"/>
      <c r="H263" s="265" t="str">
        <f>CONCATENATE("Row ",'Motor Vs'!O27,)</f>
        <v>Row 27</v>
      </c>
      <c r="I263" s="10">
        <f>'Motor Vs'!M27</f>
        <v>45000</v>
      </c>
      <c r="J263" s="10">
        <f>'Motor Vs Weekends'!M27</f>
        <v>15000</v>
      </c>
      <c r="L263" s="117">
        <f>ROW()</f>
        <v>263</v>
      </c>
    </row>
    <row r="264" spans="2:12" s="3263" customFormat="1" ht="14.1" customHeight="1">
      <c r="B264" s="1" t="s">
        <v>5724</v>
      </c>
      <c r="G264" s="3754"/>
      <c r="H264" s="265" t="str">
        <f>CONCATENATE("Row ",'Motor Vs'!O32,)</f>
        <v>Row 32</v>
      </c>
      <c r="I264" s="39">
        <f>'Motor Vs'!M32</f>
        <v>0.34</v>
      </c>
      <c r="J264" s="39">
        <f>'Motor Vs Weekends'!M32</f>
        <v>0.37400000000000005</v>
      </c>
      <c r="L264" s="117">
        <f>ROW()</f>
        <v>264</v>
      </c>
    </row>
    <row r="265" spans="2:12" s="3263" customFormat="1" ht="14.1" customHeight="1">
      <c r="B265" s="1" t="s">
        <v>5725</v>
      </c>
      <c r="G265" s="3754"/>
      <c r="H265" s="265" t="str">
        <f>CONCATENATE("Row ",'Motor Vs'!O43,)</f>
        <v>Row 43</v>
      </c>
      <c r="I265" s="39">
        <f>'Motor Vs'!M43</f>
        <v>0.8</v>
      </c>
      <c r="J265" s="39">
        <f>'Motor Vs Weekends'!M43</f>
        <v>0.70000000000000007</v>
      </c>
      <c r="L265" s="117">
        <f>ROW()</f>
        <v>265</v>
      </c>
    </row>
    <row r="266" spans="2:12" s="3263" customFormat="1" ht="14.1" customHeight="1">
      <c r="B266" s="1" t="s">
        <v>5728</v>
      </c>
      <c r="G266" s="3754"/>
      <c r="H266" s="265" t="str">
        <f>CONCATENATE("Row ",'Motor Vs'!O45,)</f>
        <v>Row 45</v>
      </c>
      <c r="I266" s="39">
        <f>'Motor Vs'!M45</f>
        <v>0.88888888888888895</v>
      </c>
      <c r="J266" s="39">
        <f>'Motor Vs Weekends'!M45</f>
        <v>0.82352941176470584</v>
      </c>
      <c r="L266" s="117">
        <f>ROW()</f>
        <v>266</v>
      </c>
    </row>
    <row r="267" spans="2:12" s="3263" customFormat="1" ht="14.1" customHeight="1">
      <c r="B267" s="1"/>
      <c r="G267" s="3754"/>
      <c r="H267" s="265"/>
      <c r="I267" s="10"/>
      <c r="J267" s="10"/>
      <c r="L267" s="117">
        <f>ROW()</f>
        <v>267</v>
      </c>
    </row>
    <row r="268" spans="2:12" s="3263" customFormat="1" ht="14.1" customHeight="1">
      <c r="B268" s="2" t="s">
        <v>5727</v>
      </c>
      <c r="G268" s="3754"/>
      <c r="H268" s="265"/>
      <c r="I268" s="10"/>
      <c r="J268" s="10"/>
      <c r="L268" s="117">
        <f>ROW()</f>
        <v>268</v>
      </c>
    </row>
    <row r="269" spans="2:12" s="3263" customFormat="1" ht="14.1" customHeight="1">
      <c r="B269" s="1" t="s">
        <v>5458</v>
      </c>
      <c r="G269" s="3754"/>
      <c r="H269" s="265" t="str">
        <f>CONCATENATE("Row ",'Motor Vs'!O62,)</f>
        <v>Row 62</v>
      </c>
      <c r="I269" s="10">
        <f>'Motor Vs'!M62</f>
        <v>29699.999999999996</v>
      </c>
      <c r="J269" s="10">
        <f>'Motor Vs Weekends'!M62</f>
        <v>9389.9999999999982</v>
      </c>
      <c r="L269" s="117">
        <f>ROW()</f>
        <v>269</v>
      </c>
    </row>
    <row r="270" spans="2:12" s="3263" customFormat="1" ht="14.1" customHeight="1">
      <c r="B270" s="1" t="s">
        <v>5459</v>
      </c>
      <c r="G270" s="3754"/>
      <c r="H270" s="265" t="str">
        <f>CONCATENATE("Row ",'Motor Vs'!O63,)</f>
        <v>Row 63</v>
      </c>
      <c r="I270" s="10">
        <f>'Motor Vs'!M63</f>
        <v>8500</v>
      </c>
      <c r="J270" s="10">
        <f>'Motor Vs Weekends'!M63</f>
        <v>3300.0000000000005</v>
      </c>
      <c r="L270" s="117">
        <f>ROW()</f>
        <v>270</v>
      </c>
    </row>
    <row r="271" spans="2:12" s="3263" customFormat="1" ht="14.1" customHeight="1">
      <c r="B271" s="1" t="s">
        <v>5461</v>
      </c>
      <c r="G271" s="3754"/>
      <c r="H271" s="265" t="str">
        <f>CONCATENATE("Row ",'Motor Vs'!O64,)</f>
        <v>Row 64</v>
      </c>
      <c r="I271" s="10">
        <f>'Motor Vs'!M64</f>
        <v>15300</v>
      </c>
      <c r="J271" s="10">
        <f>'Motor Vs Weekends'!M64</f>
        <v>5610.0000000000009</v>
      </c>
      <c r="L271" s="117">
        <f>ROW()</f>
        <v>271</v>
      </c>
    </row>
    <row r="272" spans="2:12" s="3263" customFormat="1" ht="14.1" customHeight="1">
      <c r="B272" s="1" t="s">
        <v>5729</v>
      </c>
      <c r="G272" s="3754"/>
      <c r="H272" s="265" t="str">
        <f>CONCATENATE("Row ",'Motor Vs'!O71,)</f>
        <v>Row 71</v>
      </c>
      <c r="I272" s="10">
        <f>'Motor Vs'!M71</f>
        <v>38200</v>
      </c>
      <c r="J272" s="10">
        <f>'Motor Vs Weekends'!M71</f>
        <v>12689.999999999998</v>
      </c>
      <c r="L272" s="117">
        <f>ROW()</f>
        <v>272</v>
      </c>
    </row>
    <row r="273" spans="2:12" s="3263" customFormat="1" ht="14.1" customHeight="1">
      <c r="B273" s="1"/>
      <c r="H273" s="265"/>
      <c r="I273" s="10"/>
      <c r="L273" s="117">
        <f>ROW()</f>
        <v>273</v>
      </c>
    </row>
    <row r="274" spans="2:12" s="3263" customFormat="1" ht="14.1" customHeight="1">
      <c r="B274" s="2" t="s">
        <v>5731</v>
      </c>
      <c r="F274" s="3267">
        <v>2</v>
      </c>
      <c r="G274" s="3267">
        <v>3</v>
      </c>
      <c r="H274" s="3267">
        <v>4</v>
      </c>
      <c r="I274" s="3267">
        <v>5</v>
      </c>
      <c r="J274" s="3267">
        <v>6</v>
      </c>
      <c r="L274" s="117">
        <f>ROW()</f>
        <v>274</v>
      </c>
    </row>
    <row r="275" spans="2:12" s="3263" customFormat="1" ht="14.1" customHeight="1">
      <c r="B275" s="1"/>
      <c r="F275" s="2640">
        <f>Trucks!E91</f>
        <v>0.74502220273748587</v>
      </c>
      <c r="G275" s="2640">
        <f>Trucks!F91</f>
        <v>0.20799657164271568</v>
      </c>
      <c r="H275" s="2640">
        <f>Trucks!G91</f>
        <v>3.0482256189018678E-2</v>
      </c>
      <c r="I275" s="2640">
        <f>Trucks!H91</f>
        <v>1.4344591147773495E-2</v>
      </c>
      <c r="J275" s="2640">
        <f>Trucks!I91</f>
        <v>2.1543782830062319E-3</v>
      </c>
      <c r="K275" s="973"/>
      <c r="L275" s="117">
        <f>ROW()</f>
        <v>275</v>
      </c>
    </row>
    <row r="276" spans="2:12" s="3263" customFormat="1" ht="14.1" customHeight="1">
      <c r="B276" s="265" t="str">
        <f>CONCATENATE("These are shown in 'Trucks' worksheet, Row ",Trucks!O91, ", and are derived there in Rows ",Trucks!O32, "-",Trucks!O94, ".")</f>
        <v>These are shown in 'Trucks' worksheet, Row 91, and are derived there in Rows 32-94.</v>
      </c>
      <c r="H276" s="265"/>
      <c r="I276" s="10"/>
      <c r="L276" s="117">
        <f>ROW()</f>
        <v>276</v>
      </c>
    </row>
    <row r="277" spans="2:12" s="3263" customFormat="1" ht="14.1" customHeight="1">
      <c r="B277" s="1"/>
      <c r="H277" s="265"/>
      <c r="I277" s="10"/>
      <c r="L277" s="117">
        <f>ROW()</f>
        <v>277</v>
      </c>
    </row>
    <row r="278" spans="2:12" ht="14.1" customHeight="1">
      <c r="B278" s="24" t="s">
        <v>2343</v>
      </c>
      <c r="C278" s="3779" t="str">
        <f>CONCATENATE("The assumptions below make up only a fraction of the entries in the 'Taxis' worksheet, which runs to over ",Taxis!O518, " rows. Most of those rows perform mathematical operations on the data below as well as on data such as CBD vehicle speeds that are 'called' from other worksheets.")</f>
        <v>The assumptions below make up only a fraction of the entries in the 'Taxis' worksheet, which runs to over 518 rows. Most of those rows perform mathematical operations on the data below as well as on data such as CBD vehicle speeds that are 'called' from other worksheets.</v>
      </c>
      <c r="D278" s="3779"/>
      <c r="E278" s="3779"/>
      <c r="F278" s="3779"/>
      <c r="G278" s="3779"/>
      <c r="H278" s="3779"/>
      <c r="I278" s="39"/>
      <c r="L278" s="117">
        <f>ROW()</f>
        <v>278</v>
      </c>
    </row>
    <row r="279" spans="2:12" ht="14.1" customHeight="1">
      <c r="B279" s="24"/>
      <c r="C279" s="3779"/>
      <c r="D279" s="3779"/>
      <c r="E279" s="3779"/>
      <c r="F279" s="3779"/>
      <c r="G279" s="3779"/>
      <c r="H279" s="3779"/>
      <c r="I279" s="39"/>
      <c r="L279" s="117">
        <f>ROW()</f>
        <v>279</v>
      </c>
    </row>
    <row r="280" spans="2:12" ht="14.1" customHeight="1">
      <c r="B280" s="24"/>
      <c r="C280" s="3779"/>
      <c r="D280" s="3779"/>
      <c r="E280" s="3779"/>
      <c r="F280" s="3779"/>
      <c r="G280" s="3779"/>
      <c r="H280" s="3779"/>
      <c r="I280" s="39"/>
      <c r="L280" s="117">
        <f>ROW()</f>
        <v>280</v>
      </c>
    </row>
    <row r="281" spans="2:12" ht="14.1" customHeight="1">
      <c r="L281" s="117">
        <f>ROW()</f>
        <v>281</v>
      </c>
    </row>
    <row r="282" spans="2:12" ht="14.1" customHeight="1">
      <c r="B282" s="1792" t="s">
        <v>5693</v>
      </c>
      <c r="L282" s="117">
        <f>ROW()</f>
        <v>282</v>
      </c>
    </row>
    <row r="283" spans="2:12" ht="14.1" customHeight="1">
      <c r="I283" s="1892" t="s">
        <v>3809</v>
      </c>
      <c r="J283" s="1892" t="s">
        <v>1975</v>
      </c>
      <c r="K283" s="1892"/>
      <c r="L283" s="117">
        <f>ROW()</f>
        <v>283</v>
      </c>
    </row>
    <row r="284" spans="2:12" ht="14.1" customHeight="1">
      <c r="B284" s="312" t="s">
        <v>5036</v>
      </c>
      <c r="G284" s="3754" t="s">
        <v>5039</v>
      </c>
      <c r="H284" s="3659"/>
      <c r="I284" s="2293">
        <f>Taxis!L141</f>
        <v>1905.9940000000001</v>
      </c>
      <c r="L284" s="117">
        <f>ROW()</f>
        <v>284</v>
      </c>
    </row>
    <row r="285" spans="2:12" ht="14.1" customHeight="1">
      <c r="B285" s="312" t="s">
        <v>5038</v>
      </c>
      <c r="G285" s="3659"/>
      <c r="H285" s="3659"/>
      <c r="I285" s="2298">
        <f>Taxis!L75</f>
        <v>172</v>
      </c>
      <c r="L285" s="117">
        <f>ROW()</f>
        <v>285</v>
      </c>
    </row>
    <row r="286" spans="2:12" ht="14.1" customHeight="1">
      <c r="B286" s="312" t="s">
        <v>318</v>
      </c>
      <c r="G286" s="3659"/>
      <c r="H286" s="3659"/>
      <c r="I286" s="2296">
        <f>Taxis!L77</f>
        <v>1.4</v>
      </c>
      <c r="J286">
        <v>1.5</v>
      </c>
      <c r="L286" s="117">
        <f>ROW()</f>
        <v>286</v>
      </c>
    </row>
    <row r="287" spans="2:12" ht="14.1" customHeight="1">
      <c r="B287" s="312" t="s">
        <v>649</v>
      </c>
      <c r="G287" s="3659"/>
      <c r="H287" s="3659"/>
      <c r="I287" s="2296">
        <f>Taxis!L79</f>
        <v>2.8</v>
      </c>
      <c r="L287" s="117">
        <f>ROW()</f>
        <v>287</v>
      </c>
    </row>
    <row r="288" spans="2:12" ht="14.1" customHeight="1">
      <c r="B288" s="312" t="s">
        <v>2434</v>
      </c>
      <c r="G288" s="3659"/>
      <c r="H288" s="3659"/>
      <c r="I288" s="2294">
        <f>Taxis!L81</f>
        <v>0.8</v>
      </c>
      <c r="L288" s="117">
        <f>ROW()</f>
        <v>288</v>
      </c>
    </row>
    <row r="289" spans="2:12" ht="14.1" customHeight="1">
      <c r="B289" s="312" t="s">
        <v>738</v>
      </c>
      <c r="G289" s="3659"/>
      <c r="H289" s="3659"/>
      <c r="I289" s="2296">
        <f>Taxis!L85</f>
        <v>4</v>
      </c>
      <c r="L289" s="117">
        <f>ROW()</f>
        <v>289</v>
      </c>
    </row>
    <row r="290" spans="2:12" ht="14.1" customHeight="1">
      <c r="B290" s="312" t="s">
        <v>2433</v>
      </c>
      <c r="G290" s="3659"/>
      <c r="H290" s="3659"/>
      <c r="I290" s="2294">
        <f>Taxis!L88</f>
        <v>0.35</v>
      </c>
      <c r="L290" s="117">
        <f>ROW()</f>
        <v>290</v>
      </c>
    </row>
    <row r="291" spans="2:12" ht="14.1" customHeight="1">
      <c r="B291" s="312" t="s">
        <v>3146</v>
      </c>
      <c r="G291" s="2280"/>
      <c r="H291" s="2280"/>
      <c r="I291" s="2298">
        <f>Taxis!L280</f>
        <v>30</v>
      </c>
      <c r="L291" s="117">
        <f>ROW()</f>
        <v>291</v>
      </c>
    </row>
    <row r="292" spans="2:12" ht="14.1" customHeight="1">
      <c r="L292" s="117">
        <f>ROW()</f>
        <v>292</v>
      </c>
    </row>
    <row r="293" spans="2:12" ht="14.1" customHeight="1">
      <c r="B293" s="1792" t="s">
        <v>3817</v>
      </c>
      <c r="G293" s="2280"/>
      <c r="H293" s="2280"/>
      <c r="I293" s="2294"/>
      <c r="L293" s="117">
        <f>ROW()</f>
        <v>293</v>
      </c>
    </row>
    <row r="294" spans="2:12" s="1" customFormat="1" ht="14.1" customHeight="1">
      <c r="B294" s="312" t="s">
        <v>3812</v>
      </c>
      <c r="I294" s="2296">
        <f>Taxis!L107</f>
        <v>2.5</v>
      </c>
      <c r="L294" s="117">
        <f>ROW()</f>
        <v>294</v>
      </c>
    </row>
    <row r="295" spans="2:12" ht="14.1" customHeight="1">
      <c r="B295" s="316" t="s">
        <v>3813</v>
      </c>
      <c r="I295" s="2296">
        <f>Taxis!L109</f>
        <v>1.8</v>
      </c>
      <c r="L295" s="117">
        <f>ROW()</f>
        <v>295</v>
      </c>
    </row>
    <row r="296" spans="2:12" ht="14.1" customHeight="1">
      <c r="B296" s="312" t="s">
        <v>3814</v>
      </c>
      <c r="I296" s="2296">
        <f>Taxis!L117</f>
        <v>1.4</v>
      </c>
      <c r="L296" s="117">
        <f>ROW()</f>
        <v>296</v>
      </c>
    </row>
    <row r="297" spans="2:12" ht="14.1" customHeight="1">
      <c r="B297" s="312" t="s">
        <v>934</v>
      </c>
      <c r="L297" s="117">
        <f>ROW()</f>
        <v>297</v>
      </c>
    </row>
    <row r="298" spans="2:12" ht="14.1" customHeight="1">
      <c r="B298" s="316" t="s">
        <v>3810</v>
      </c>
      <c r="I298" s="2296">
        <f>Taxis!L122</f>
        <v>2</v>
      </c>
      <c r="L298" s="117">
        <f>ROW()</f>
        <v>298</v>
      </c>
    </row>
    <row r="299" spans="2:12" ht="14.1" customHeight="1">
      <c r="B299" s="316" t="s">
        <v>3811</v>
      </c>
      <c r="I299" s="2296">
        <f>Taxis!L123</f>
        <v>5.25</v>
      </c>
      <c r="L299" s="117">
        <f>ROW()</f>
        <v>299</v>
      </c>
    </row>
    <row r="300" spans="2:12" ht="14.1" customHeight="1">
      <c r="B300" s="316" t="s">
        <v>455</v>
      </c>
      <c r="E300" s="7" t="str">
        <f>CONCATENATE("Calc'd algebraically from Rows ",L299," &amp; ",L300, " &amp; 'Taxis' tab Rows ",Taxis!O355, "-",Taxis!O359, ".")</f>
        <v>Calc'd algebraically from Rows 299 &amp; 300 &amp; 'Taxis' tab Rows 355-359.</v>
      </c>
      <c r="I300" s="2296">
        <f>Taxis!L124</f>
        <v>2.9999999999999982</v>
      </c>
      <c r="L300" s="117">
        <f>ROW()</f>
        <v>300</v>
      </c>
    </row>
    <row r="301" spans="2:12" ht="14.1" customHeight="1">
      <c r="B301" s="312" t="s">
        <v>3815</v>
      </c>
      <c r="I301" s="2294">
        <f>Taxis!L130</f>
        <v>0.75</v>
      </c>
      <c r="L301" s="117">
        <f>ROW()</f>
        <v>301</v>
      </c>
    </row>
    <row r="302" spans="2:12" ht="14.1" customHeight="1">
      <c r="B302" s="312" t="s">
        <v>3818</v>
      </c>
      <c r="I302" s="2298">
        <f>Taxis!L192</f>
        <v>13237</v>
      </c>
      <c r="L302" s="117">
        <f>ROW()</f>
        <v>302</v>
      </c>
    </row>
    <row r="303" spans="2:12" ht="14.1" customHeight="1">
      <c r="B303" s="312" t="s">
        <v>3154</v>
      </c>
      <c r="I303" s="2294">
        <f>Taxis!L243</f>
        <v>0.75</v>
      </c>
      <c r="L303" s="117">
        <f>ROW()</f>
        <v>303</v>
      </c>
    </row>
    <row r="304" spans="2:12" ht="14.1" customHeight="1">
      <c r="B304" s="312" t="s">
        <v>3819</v>
      </c>
      <c r="I304" s="2297">
        <f>Taxis!L282</f>
        <v>1.1865729898516784</v>
      </c>
      <c r="J304" s="2297">
        <f>Taxis!N282</f>
        <v>1.1865729898516784</v>
      </c>
      <c r="K304" s="2297"/>
      <c r="L304" s="117">
        <f>ROW()</f>
        <v>304</v>
      </c>
    </row>
    <row r="305" spans="2:12" ht="14.1" customHeight="1">
      <c r="B305" s="312" t="s">
        <v>3820</v>
      </c>
      <c r="I305" s="2294">
        <f>Taxis!L286</f>
        <v>7.4999999999999997E-2</v>
      </c>
      <c r="L305" s="117">
        <f>ROW()</f>
        <v>305</v>
      </c>
    </row>
    <row r="306" spans="2:12" ht="14.1" customHeight="1">
      <c r="B306" s="312" t="s">
        <v>3821</v>
      </c>
      <c r="I306" s="2294">
        <f>Taxis!L290</f>
        <v>0.05</v>
      </c>
      <c r="L306" s="117">
        <f>ROW()</f>
        <v>306</v>
      </c>
    </row>
    <row r="307" spans="2:12" ht="14.1" customHeight="1">
      <c r="B307" s="312" t="s">
        <v>3822</v>
      </c>
      <c r="I307" s="2294">
        <f>Taxis!L294</f>
        <v>0.4</v>
      </c>
      <c r="L307" s="117">
        <f>ROW()</f>
        <v>307</v>
      </c>
    </row>
    <row r="308" spans="2:12" ht="14.1" customHeight="1">
      <c r="B308" s="312" t="s">
        <v>3823</v>
      </c>
      <c r="I308" s="509">
        <f>Taxis!G325</f>
        <v>0.25</v>
      </c>
      <c r="L308" s="117">
        <f>ROW()</f>
        <v>308</v>
      </c>
    </row>
    <row r="309" spans="2:12" ht="14.1" customHeight="1">
      <c r="B309" s="312" t="s">
        <v>3824</v>
      </c>
      <c r="I309" s="509">
        <f>Taxis!G326</f>
        <v>0.4</v>
      </c>
      <c r="L309" s="117">
        <f>ROW()</f>
        <v>309</v>
      </c>
    </row>
    <row r="310" spans="2:12" ht="14.1" customHeight="1">
      <c r="B310" s="312" t="s">
        <v>5694</v>
      </c>
      <c r="I310" s="2296">
        <f>Taxis!F399</f>
        <v>5.3819049382022941</v>
      </c>
      <c r="J310" s="2296">
        <f>Taxis!K399</f>
        <v>4.4094134729769872</v>
      </c>
      <c r="K310" s="2296"/>
      <c r="L310" s="117">
        <f>ROW()</f>
        <v>310</v>
      </c>
    </row>
    <row r="311" spans="2:12" ht="14.1" customHeight="1">
      <c r="L311" s="117">
        <f>ROW()</f>
        <v>311</v>
      </c>
    </row>
    <row r="312" spans="2:12" ht="14.1" customHeight="1">
      <c r="B312" s="1792" t="s">
        <v>3825</v>
      </c>
      <c r="L312" s="117">
        <f>ROW()</f>
        <v>312</v>
      </c>
    </row>
    <row r="313" spans="2:12" ht="14.1" customHeight="1">
      <c r="B313" s="312" t="s">
        <v>2076</v>
      </c>
      <c r="L313" s="117">
        <f>ROW()</f>
        <v>313</v>
      </c>
    </row>
    <row r="314" spans="2:12" ht="14.1" customHeight="1">
      <c r="B314" s="316" t="s">
        <v>966</v>
      </c>
      <c r="I314" s="2294">
        <f>Taxis!I440</f>
        <v>0.45</v>
      </c>
      <c r="J314" s="2294">
        <f>Taxis!L440</f>
        <v>0.4</v>
      </c>
      <c r="K314" s="2294"/>
      <c r="L314" s="117">
        <f>ROW()</f>
        <v>314</v>
      </c>
    </row>
    <row r="315" spans="2:12" ht="14.1" customHeight="1">
      <c r="B315" s="316" t="s">
        <v>967</v>
      </c>
      <c r="D315" s="3754" t="s">
        <v>5695</v>
      </c>
      <c r="E315" s="3659"/>
      <c r="F315" s="3659"/>
      <c r="G315" s="3659"/>
      <c r="I315" s="2294">
        <f>Taxis!I441</f>
        <v>0.33</v>
      </c>
      <c r="J315" s="2294">
        <f>Taxis!L441</f>
        <v>0.25</v>
      </c>
      <c r="K315" s="2294"/>
      <c r="L315" s="117">
        <f>ROW()</f>
        <v>315</v>
      </c>
    </row>
    <row r="316" spans="2:12" ht="14.1" customHeight="1">
      <c r="B316" s="316" t="s">
        <v>1348</v>
      </c>
      <c r="D316" s="3659"/>
      <c r="E316" s="3659"/>
      <c r="F316" s="3659"/>
      <c r="G316" s="3659"/>
      <c r="I316" s="2294">
        <f>Taxis!I442</f>
        <v>0.15</v>
      </c>
      <c r="J316" s="2294">
        <f>Taxis!L442</f>
        <v>0.25</v>
      </c>
      <c r="K316" s="2294"/>
      <c r="L316" s="117">
        <f>ROW()</f>
        <v>316</v>
      </c>
    </row>
    <row r="317" spans="2:12" ht="14.1" customHeight="1">
      <c r="B317" s="316" t="s">
        <v>1349</v>
      </c>
      <c r="D317" s="3659"/>
      <c r="E317" s="3659"/>
      <c r="F317" s="3659"/>
      <c r="G317" s="3659"/>
      <c r="I317" s="2294">
        <f>Taxis!I443</f>
        <v>0.05</v>
      </c>
      <c r="J317" s="2294">
        <f>Taxis!L443</f>
        <v>0.08</v>
      </c>
      <c r="K317" s="2294"/>
      <c r="L317" s="117">
        <f>ROW()</f>
        <v>317</v>
      </c>
    </row>
    <row r="318" spans="2:12" ht="14.1" customHeight="1">
      <c r="B318" s="316" t="s">
        <v>1350</v>
      </c>
      <c r="I318" s="2294">
        <f>Taxis!I444</f>
        <v>1.9999999999999907E-2</v>
      </c>
      <c r="J318" s="2294">
        <f>Taxis!L444</f>
        <v>2.0000000000000018E-2</v>
      </c>
      <c r="K318" s="2294"/>
      <c r="L318" s="117">
        <f>ROW()</f>
        <v>318</v>
      </c>
    </row>
    <row r="319" spans="2:12" ht="14.1" customHeight="1">
      <c r="L319" s="117">
        <f>ROW()</f>
        <v>319</v>
      </c>
    </row>
    <row r="320" spans="2:12" ht="14.1" customHeight="1">
      <c r="B320" s="24" t="s">
        <v>1932</v>
      </c>
      <c r="L320" s="117">
        <f>ROW()</f>
        <v>320</v>
      </c>
    </row>
    <row r="321" spans="2:12" ht="14.1" customHeight="1">
      <c r="B321" s="24"/>
      <c r="I321" s="1892" t="s">
        <v>966</v>
      </c>
      <c r="J321" s="1892" t="s">
        <v>967</v>
      </c>
      <c r="L321" s="117">
        <f>ROW()</f>
        <v>321</v>
      </c>
    </row>
    <row r="322" spans="2:12" s="3240" customFormat="1" ht="14.1" customHeight="1">
      <c r="B322" s="1" t="s">
        <v>5526</v>
      </c>
      <c r="F322" s="3754" t="str">
        <f>CONCATENATE("Figs are first 8 months 2010 and are documented and calculated in 'Transit' worksheet, Rows",Transit!O22, "-",Transit!O23, ".")</f>
        <v>Figs are first 8 months 2010 and are documented and calculated in 'Transit' worksheet, Rows22-23.</v>
      </c>
      <c r="G322" s="3659"/>
      <c r="H322" s="3659"/>
      <c r="I322" s="22">
        <f>Transit!H20</f>
        <v>0.48187249521940934</v>
      </c>
      <c r="J322" s="22">
        <f>Transit!I20</f>
        <v>0.51489585928002524</v>
      </c>
      <c r="L322" s="117">
        <f>ROW()</f>
        <v>322</v>
      </c>
    </row>
    <row r="323" spans="2:12" s="3240" customFormat="1" ht="14.1" customHeight="1">
      <c r="B323" s="1" t="s">
        <v>5701</v>
      </c>
      <c r="F323" s="3659"/>
      <c r="G323" s="3659"/>
      <c r="H323" s="3659"/>
      <c r="I323" s="22">
        <f>Transit!H25</f>
        <v>0.10900811262124731</v>
      </c>
      <c r="J323" s="22">
        <f>Transit!I25</f>
        <v>0.18948777469213426</v>
      </c>
      <c r="L323" s="117">
        <f>ROW()</f>
        <v>323</v>
      </c>
    </row>
    <row r="324" spans="2:12" s="3240" customFormat="1" ht="14.1" customHeight="1">
      <c r="B324" s="24"/>
      <c r="L324" s="117">
        <f>ROW()</f>
        <v>324</v>
      </c>
    </row>
    <row r="325" spans="2:12" s="3240" customFormat="1" ht="14.1" customHeight="1">
      <c r="B325" s="1" t="str">
        <f>CONCATENATE("Note: See 'Transit' tab, Rows ",Transit!O38, "-",Transit!O64, ", for baseline transit fares, discounts, etc.")</f>
        <v>Note: See 'Transit' tab, Rows 38-64, for baseline transit fares, discounts, etc.</v>
      </c>
      <c r="L325" s="117">
        <f>ROW()</f>
        <v>325</v>
      </c>
    </row>
    <row r="326" spans="2:12" s="3240" customFormat="1" ht="14.1" customHeight="1">
      <c r="B326" s="24"/>
      <c r="L326" s="117">
        <f>ROW()</f>
        <v>326</v>
      </c>
    </row>
    <row r="327" spans="2:12" s="3240" customFormat="1" ht="14.1" customHeight="1">
      <c r="B327" s="1" t="s">
        <v>5702</v>
      </c>
      <c r="G327" s="3832" t="str">
        <f>CONCATENATE("Calculated and documented in 'Transit' tab, Rows ",Transit!O104, "-",Transit!O108, ".")</f>
        <v>Calculated and documented in 'Transit' tab, Rows 104-108.</v>
      </c>
      <c r="H327" s="3833"/>
      <c r="I327" s="22">
        <f>Transit!H104</f>
        <v>0.95574999999999999</v>
      </c>
      <c r="L327" s="117">
        <f>ROW()</f>
        <v>327</v>
      </c>
    </row>
    <row r="328" spans="2:12" s="3240" customFormat="1" ht="14.1" customHeight="1">
      <c r="B328" s="1" t="s">
        <v>4397</v>
      </c>
      <c r="G328" s="3833"/>
      <c r="H328" s="3833"/>
      <c r="I328" s="22">
        <f>Transit!H106</f>
        <v>0.73954545454545451</v>
      </c>
      <c r="L328" s="117">
        <f>ROW()</f>
        <v>328</v>
      </c>
    </row>
    <row r="329" spans="2:12" s="3240" customFormat="1" ht="14.1" customHeight="1">
      <c r="B329" s="1" t="str">
        <f>Transit!B108</f>
        <v>% bus trips w/ no subway component</v>
      </c>
      <c r="G329" s="3833"/>
      <c r="H329" s="3833"/>
      <c r="I329" s="22">
        <f>Transit!H108</f>
        <v>0.77272727272727271</v>
      </c>
      <c r="L329" s="117">
        <f>ROW()</f>
        <v>329</v>
      </c>
    </row>
    <row r="330" spans="2:12" s="3240" customFormat="1" ht="14.1" customHeight="1">
      <c r="L330" s="117">
        <f>ROW()</f>
        <v>330</v>
      </c>
    </row>
    <row r="331" spans="2:12" ht="14.1" customHeight="1">
      <c r="B331" s="1" t="str">
        <f>Transit!C182</f>
        <v>Duration of a typical subway trip, hours</v>
      </c>
      <c r="G331" s="1"/>
      <c r="I331" s="1">
        <f>Transit!I182</f>
        <v>0.75</v>
      </c>
      <c r="L331" s="117">
        <f>ROW()</f>
        <v>331</v>
      </c>
    </row>
    <row r="332" spans="2:12" ht="14.1" customHeight="1">
      <c r="B332" s="3754" t="s">
        <v>3832</v>
      </c>
      <c r="C332" s="3659"/>
      <c r="D332" s="3659"/>
      <c r="E332" s="3659"/>
      <c r="F332" s="3659"/>
      <c r="G332" s="3659"/>
      <c r="H332" s="3659"/>
      <c r="L332" s="117">
        <f>ROW()</f>
        <v>332</v>
      </c>
    </row>
    <row r="333" spans="2:12" ht="14.1" customHeight="1">
      <c r="B333" s="3659"/>
      <c r="C333" s="3659"/>
      <c r="D333" s="3659"/>
      <c r="E333" s="3659"/>
      <c r="F333" s="3659"/>
      <c r="G333" s="3659"/>
      <c r="H333" s="3659"/>
      <c r="L333" s="117">
        <f>ROW()</f>
        <v>333</v>
      </c>
    </row>
    <row r="334" spans="2:12" ht="14.1" customHeight="1">
      <c r="B334" s="2285"/>
      <c r="C334" s="2285"/>
      <c r="D334" s="2285"/>
      <c r="E334" s="2285"/>
      <c r="F334" s="2285"/>
      <c r="G334" s="2285"/>
      <c r="H334" s="2285"/>
      <c r="L334" s="117">
        <f>ROW()</f>
        <v>334</v>
      </c>
    </row>
    <row r="335" spans="2:12" ht="14.1" customHeight="1">
      <c r="B335" s="1" t="s">
        <v>5794</v>
      </c>
      <c r="C335" s="2285"/>
      <c r="D335" s="2285"/>
      <c r="E335" s="2285"/>
      <c r="F335" s="2285"/>
      <c r="G335" s="2285"/>
      <c r="H335" s="2285"/>
      <c r="I335" s="2301">
        <f>Transit!I195</f>
        <v>1.292647273190028E-2</v>
      </c>
      <c r="L335" s="117">
        <f>ROW()</f>
        <v>335</v>
      </c>
    </row>
    <row r="336" spans="2:12" ht="14.1" customHeight="1">
      <c r="B336" s="3754" t="str">
        <f>CONCATENATE("Derived in 'Transit' worksheet, based on NYC Transit data on expense savings, lengthening of travel time, and riders affected from two measures adopted on system-wide basis in Winter 2010. We have reduced the figure derived through this "&amp;"process by a factor of ",Transit!I191," to make it an appropriate basis for extrapolating the extent to which increased investment would be expected to improve subway trip times. This is intended to avoid over-optimistic prediction of travel time "&amp;"gains from increased expenditures, especially insofar as the base from which the deterioration in service documented in the 'Transit' worksheet is so slender.")</f>
        <v>Derived in 'Transit' worksheet, based on NYC Transit data on expense savings, lengthening of travel time, and riders affected from two measures adopted on system-wide basis in Winter 2010. We have reduced the figure derived through this process by a factor of 3 to make it an appropriate basis for extrapolating the extent to which increased investment would be expected to improve subway trip times. This is intended to avoid over-optimistic prediction of travel time gains from increased expenditures, especially insofar as the base from which the deterioration in service documented in the 'Transit' worksheet is so slender.</v>
      </c>
      <c r="C336" s="3659"/>
      <c r="D336" s="3659"/>
      <c r="E336" s="3659"/>
      <c r="F336" s="3659"/>
      <c r="G336" s="3659"/>
      <c r="H336" s="3659"/>
      <c r="I336" s="2293"/>
      <c r="L336" s="117">
        <f>ROW()</f>
        <v>336</v>
      </c>
    </row>
    <row r="337" spans="2:12" ht="14.1" customHeight="1">
      <c r="B337" s="3659"/>
      <c r="C337" s="3659"/>
      <c r="D337" s="3659"/>
      <c r="E337" s="3659"/>
      <c r="F337" s="3659"/>
      <c r="G337" s="3659"/>
      <c r="H337" s="3659"/>
      <c r="L337" s="117">
        <f>ROW()</f>
        <v>337</v>
      </c>
    </row>
    <row r="338" spans="2:12" ht="14.1" customHeight="1">
      <c r="B338" s="3659"/>
      <c r="C338" s="3659"/>
      <c r="D338" s="3659"/>
      <c r="E338" s="3659"/>
      <c r="F338" s="3659"/>
      <c r="G338" s="3659"/>
      <c r="H338" s="3659"/>
      <c r="L338" s="117">
        <f>ROW()</f>
        <v>338</v>
      </c>
    </row>
    <row r="339" spans="2:12" ht="14.1" customHeight="1">
      <c r="B339" s="3659"/>
      <c r="C339" s="3659"/>
      <c r="D339" s="3659"/>
      <c r="E339" s="3659"/>
      <c r="F339" s="3659"/>
      <c r="G339" s="3659"/>
      <c r="H339" s="3659"/>
      <c r="L339" s="117">
        <f>ROW()</f>
        <v>339</v>
      </c>
    </row>
    <row r="340" spans="2:12" ht="14.1" customHeight="1">
      <c r="B340" s="3659"/>
      <c r="C340" s="3659"/>
      <c r="D340" s="3659"/>
      <c r="E340" s="3659"/>
      <c r="F340" s="3659"/>
      <c r="G340" s="3659"/>
      <c r="H340" s="3659"/>
      <c r="L340" s="117">
        <f>ROW()</f>
        <v>340</v>
      </c>
    </row>
    <row r="341" spans="2:12" ht="14.1" customHeight="1">
      <c r="B341" s="2285"/>
      <c r="C341" s="2285"/>
      <c r="D341" s="2285"/>
      <c r="E341" s="2285"/>
      <c r="F341" s="2285"/>
      <c r="G341" s="2285"/>
      <c r="H341" s="2285"/>
      <c r="L341" s="117">
        <f>ROW()</f>
        <v>341</v>
      </c>
    </row>
    <row r="342" spans="2:12" ht="14.1" customHeight="1">
      <c r="B342" s="1" t="s">
        <v>3827</v>
      </c>
      <c r="I342" s="2294">
        <f>Transit!I198</f>
        <v>0.05</v>
      </c>
      <c r="L342" s="117">
        <f>ROW()</f>
        <v>342</v>
      </c>
    </row>
    <row r="343" spans="2:12" ht="14.1" customHeight="1">
      <c r="B343" s="265" t="s">
        <v>3828</v>
      </c>
      <c r="L343" s="117">
        <f>ROW()</f>
        <v>343</v>
      </c>
    </row>
    <row r="344" spans="2:12" ht="14.1" customHeight="1">
      <c r="L344" s="117">
        <f>ROW()</f>
        <v>344</v>
      </c>
    </row>
    <row r="345" spans="2:12" s="3240" customFormat="1" ht="14.1" customHeight="1">
      <c r="B345" s="1" t="s">
        <v>5696</v>
      </c>
      <c r="I345" s="3240">
        <f>Transit!I243</f>
        <v>5</v>
      </c>
      <c r="L345" s="117">
        <f>ROW()</f>
        <v>345</v>
      </c>
    </row>
    <row r="346" spans="2:12" s="3240" customFormat="1" ht="14.1" customHeight="1">
      <c r="B346" s="265" t="s">
        <v>5697</v>
      </c>
      <c r="L346" s="117">
        <f>ROW()</f>
        <v>346</v>
      </c>
    </row>
    <row r="347" spans="2:12" s="3240" customFormat="1" ht="14.1" customHeight="1">
      <c r="L347" s="117">
        <f>ROW()</f>
        <v>347</v>
      </c>
    </row>
    <row r="348" spans="2:12" ht="14.1" customHeight="1">
      <c r="B348" s="1" t="s">
        <v>3829</v>
      </c>
      <c r="I348">
        <f>Transit!I273</f>
        <v>3.63</v>
      </c>
      <c r="L348" s="117">
        <f>ROW()</f>
        <v>348</v>
      </c>
    </row>
    <row r="349" spans="2:12" ht="14.1" customHeight="1">
      <c r="B349" s="3754" t="s">
        <v>3833</v>
      </c>
      <c r="C349" s="3659"/>
      <c r="D349" s="3659"/>
      <c r="E349" s="3659"/>
      <c r="F349" s="3659"/>
      <c r="G349" s="3659"/>
      <c r="H349" s="3659"/>
      <c r="L349" s="117">
        <f>ROW()</f>
        <v>349</v>
      </c>
    </row>
    <row r="350" spans="2:12" ht="14.1" customHeight="1">
      <c r="B350" s="3659"/>
      <c r="C350" s="3659"/>
      <c r="D350" s="3659"/>
      <c r="E350" s="3659"/>
      <c r="F350" s="3659"/>
      <c r="G350" s="3659"/>
      <c r="H350" s="3659"/>
      <c r="L350" s="117">
        <f>ROW()</f>
        <v>350</v>
      </c>
    </row>
    <row r="351" spans="2:12" ht="14.1" customHeight="1">
      <c r="B351" s="3659"/>
      <c r="C351" s="3659"/>
      <c r="D351" s="3659"/>
      <c r="E351" s="3659"/>
      <c r="F351" s="3659"/>
      <c r="G351" s="3659"/>
      <c r="H351" s="3659"/>
      <c r="L351" s="117">
        <f>ROW()</f>
        <v>351</v>
      </c>
    </row>
    <row r="352" spans="2:12" ht="14.1" customHeight="1">
      <c r="L352" s="117">
        <f>ROW()</f>
        <v>352</v>
      </c>
    </row>
    <row r="353" spans="2:12" s="3291" customFormat="1" ht="14.1" customHeight="1">
      <c r="B353" s="1" t="s">
        <v>5799</v>
      </c>
      <c r="I353" s="23">
        <f>'User Inputs'!J105</f>
        <v>0.66666666666666663</v>
      </c>
      <c r="L353" s="117">
        <f>ROW()</f>
        <v>353</v>
      </c>
    </row>
    <row r="354" spans="2:12" s="3291" customFormat="1" ht="14.1" customHeight="1">
      <c r="B354" s="265" t="str">
        <f>CONCATENATE("This input parameter is set by the user in Row ",'User Inputs'!N105, " of 'User Inputs' tab.")</f>
        <v>This input parameter is set by the user in Row 105 of 'User Inputs' tab.</v>
      </c>
      <c r="L354" s="117">
        <f>ROW()</f>
        <v>354</v>
      </c>
    </row>
    <row r="355" spans="2:12" s="3291" customFormat="1" ht="14.1" customHeight="1">
      <c r="L355" s="117">
        <f>ROW()</f>
        <v>355</v>
      </c>
    </row>
    <row r="356" spans="2:12" ht="14.1" customHeight="1">
      <c r="B356" s="1" t="s">
        <v>3830</v>
      </c>
      <c r="I356" s="2302">
        <f>Transit!I308</f>
        <v>6.1860107571095916E-3</v>
      </c>
      <c r="L356" s="117">
        <f>ROW()</f>
        <v>356</v>
      </c>
    </row>
    <row r="357" spans="2:12" ht="14.1" customHeight="1">
      <c r="B357" s="265" t="str">
        <f>CONCATENATE("From 'Buses' worksheet, Row ",Buses!O274, ". Estimated by distributing $50 million among the 20 most frequented bus lines.")</f>
        <v>From 'Buses' worksheet, Row 274. Estimated by distributing $50 million among the 20 most frequented bus lines.</v>
      </c>
      <c r="L357" s="117">
        <f>ROW()</f>
        <v>357</v>
      </c>
    </row>
    <row r="358" spans="2:12" ht="14.1" customHeight="1">
      <c r="L358" s="117">
        <f>ROW()</f>
        <v>358</v>
      </c>
    </row>
    <row r="359" spans="2:12" ht="14.1" customHeight="1">
      <c r="B359" s="1" t="str">
        <f>CONCATENATE("Rate of Attrition of Effectiveness of Increased Expenditures, Relative to That for Capital given in Row ",L342, ".")</f>
        <v>Rate of Attrition of Effectiveness of Increased Expenditures, Relative to That for Capital given in Row 342.</v>
      </c>
      <c r="I359">
        <f>Transit!I311</f>
        <v>1.2</v>
      </c>
      <c r="L359" s="117">
        <f>ROW()</f>
        <v>359</v>
      </c>
    </row>
    <row r="360" spans="2:12" ht="14.1" customHeight="1">
      <c r="B360" s="3754" t="s">
        <v>5698</v>
      </c>
      <c r="C360" s="3659"/>
      <c r="D360" s="3659"/>
      <c r="E360" s="3659"/>
      <c r="F360" s="3659"/>
      <c r="G360" s="3659"/>
      <c r="H360" s="3659"/>
      <c r="L360" s="117">
        <f>ROW()</f>
        <v>360</v>
      </c>
    </row>
    <row r="361" spans="2:12" ht="14.1" customHeight="1">
      <c r="B361" s="3659"/>
      <c r="C361" s="3659"/>
      <c r="D361" s="3659"/>
      <c r="E361" s="3659"/>
      <c r="F361" s="3659"/>
      <c r="G361" s="3659"/>
      <c r="H361" s="3659"/>
      <c r="L361" s="117">
        <f>ROW()</f>
        <v>361</v>
      </c>
    </row>
    <row r="362" spans="2:12" s="3240" customFormat="1" ht="14.1" customHeight="1">
      <c r="B362" s="3238"/>
      <c r="C362" s="3238"/>
      <c r="D362" s="3238"/>
      <c r="E362" s="3238"/>
      <c r="F362" s="3238"/>
      <c r="G362" s="3238"/>
      <c r="H362" s="3238"/>
      <c r="L362" s="117">
        <f>ROW()</f>
        <v>362</v>
      </c>
    </row>
    <row r="363" spans="2:12" s="3240" customFormat="1" ht="14.1" customHeight="1">
      <c r="B363" s="1" t="s">
        <v>5699</v>
      </c>
      <c r="C363" s="3238"/>
      <c r="D363" s="3238"/>
      <c r="E363" s="3238"/>
      <c r="F363" s="3238"/>
      <c r="G363" s="3238"/>
      <c r="H363" s="3238"/>
      <c r="I363" s="2294">
        <f>Transit!I315</f>
        <v>0.03</v>
      </c>
      <c r="L363" s="117">
        <f>ROW()</f>
        <v>363</v>
      </c>
    </row>
    <row r="364" spans="2:12" s="3240" customFormat="1" ht="14.1" customHeight="1">
      <c r="B364" s="3754" t="str">
        <f>CONCATENATE("Komanoff assumption. Is product of Row ",L342, ", Row ",L359, ", and one-half (to adjust $100 million base in Row ",L342," to $50 million base in Row ",L356, ").")</f>
        <v>Komanoff assumption. Is product of Row 342, Row 359, and one-half (to adjust $100 million base in Row 342 to $50 million base in Row 356).</v>
      </c>
      <c r="C364" s="3659"/>
      <c r="D364" s="3659"/>
      <c r="E364" s="3659"/>
      <c r="F364" s="3659"/>
      <c r="G364" s="3659"/>
      <c r="H364" s="3659"/>
      <c r="L364" s="117">
        <f>ROW()</f>
        <v>364</v>
      </c>
    </row>
    <row r="365" spans="2:12" ht="14.1" customHeight="1">
      <c r="B365" s="3659"/>
      <c r="C365" s="3659"/>
      <c r="D365" s="3659"/>
      <c r="E365" s="3659"/>
      <c r="F365" s="3659"/>
      <c r="G365" s="3659"/>
      <c r="H365" s="3659"/>
      <c r="L365" s="117">
        <f>ROW()</f>
        <v>365</v>
      </c>
    </row>
    <row r="366" spans="2:12" s="3291" customFormat="1" ht="14.1" customHeight="1">
      <c r="B366" s="3287"/>
      <c r="C366" s="3287"/>
      <c r="D366" s="3287"/>
      <c r="E366" s="3287"/>
      <c r="F366" s="3287"/>
      <c r="G366" s="3287"/>
      <c r="H366" s="3287"/>
      <c r="L366" s="117">
        <f>ROW()</f>
        <v>366</v>
      </c>
    </row>
    <row r="367" spans="2:12" ht="14.1" customHeight="1">
      <c r="B367" s="24" t="s">
        <v>2367</v>
      </c>
      <c r="L367" s="117">
        <f>ROW()</f>
        <v>367</v>
      </c>
    </row>
    <row r="368" spans="2:12" ht="14.1" customHeight="1">
      <c r="L368" s="117">
        <f>ROW()</f>
        <v>368</v>
      </c>
    </row>
    <row r="369" spans="2:12" ht="14.1" customHeight="1">
      <c r="B369" s="1" t="s">
        <v>4552</v>
      </c>
      <c r="I369" s="779">
        <f>Subways!J18</f>
        <v>1631.7</v>
      </c>
      <c r="K369" s="2"/>
      <c r="L369" s="117">
        <f>ROW()</f>
        <v>369</v>
      </c>
    </row>
    <row r="370" spans="2:12" ht="14.1" customHeight="1">
      <c r="B370" s="3754" t="s">
        <v>4364</v>
      </c>
      <c r="C370" s="3659"/>
      <c r="D370" s="3659"/>
      <c r="E370" s="3659"/>
      <c r="F370" s="3659"/>
      <c r="G370" s="3659"/>
      <c r="H370" s="3659"/>
      <c r="L370" s="117">
        <f>ROW()</f>
        <v>370</v>
      </c>
    </row>
    <row r="371" spans="2:12" ht="14.1" customHeight="1">
      <c r="B371" s="3659"/>
      <c r="C371" s="3659"/>
      <c r="D371" s="3659"/>
      <c r="E371" s="3659"/>
      <c r="F371" s="3659"/>
      <c r="G371" s="3659"/>
      <c r="H371" s="3659"/>
      <c r="L371" s="117">
        <f>ROW()</f>
        <v>371</v>
      </c>
    </row>
    <row r="372" spans="2:12" ht="14.1" customHeight="1">
      <c r="B372" s="1" t="s">
        <v>905</v>
      </c>
      <c r="I372" s="22">
        <f>Subways!J22</f>
        <v>0.95574999999999999</v>
      </c>
      <c r="L372" s="117">
        <f>ROW()</f>
        <v>372</v>
      </c>
    </row>
    <row r="373" spans="2:12" ht="14.1" customHeight="1">
      <c r="B373" s="265" t="str">
        <f>CONCATENATE("Komanoff estimate. Is shown in 'Subways' worksheet, Row ",Subways!O22, ", but is derived in 'Transit' worksheet, Row ",Transit!O104, ".")</f>
        <v>Komanoff estimate. Is shown in 'Subways' worksheet, Row 22, but is derived in 'Transit' worksheet, Row 104.</v>
      </c>
      <c r="C373" s="265"/>
      <c r="D373" s="265"/>
      <c r="E373" s="265"/>
      <c r="F373" s="265"/>
      <c r="G373" s="265"/>
      <c r="H373" s="265"/>
      <c r="L373" s="117">
        <f>ROW()</f>
        <v>373</v>
      </c>
    </row>
    <row r="374" spans="2:12" ht="14.1" customHeight="1">
      <c r="B374" s="1" t="s">
        <v>4553</v>
      </c>
      <c r="I374" s="779">
        <f>Subways!J28</f>
        <v>1559.4972749999999</v>
      </c>
      <c r="L374" s="117">
        <f>ROW()</f>
        <v>374</v>
      </c>
    </row>
    <row r="375" spans="2:12" ht="14.1" customHeight="1">
      <c r="B375" s="265" t="str">
        <f>CONCATENATE("Appears in 'Subways' worksheet, Row ",Subways!O28, ". Is product of Rows ",L369, " and ",L372, ", above.")</f>
        <v>Appears in 'Subways' worksheet, Row 28. Is product of Rows 369 and 372, above.</v>
      </c>
      <c r="L375" s="117">
        <f>ROW()</f>
        <v>375</v>
      </c>
    </row>
    <row r="376" spans="2:12" ht="14.1" customHeight="1">
      <c r="B376" s="1" t="s">
        <v>3834</v>
      </c>
      <c r="I376" s="23">
        <f>Subways!K31</f>
        <v>0.6</v>
      </c>
      <c r="L376" s="117">
        <f>ROW()</f>
        <v>376</v>
      </c>
    </row>
    <row r="377" spans="2:12" ht="14.1" customHeight="1">
      <c r="B377" s="265" t="str">
        <f>CONCATENATE("Komanoff assumption. Is relevant because of differing work and non-work elasticities. Appears in 'Subways' worksheet, Row ",Subways!O31, ".")</f>
        <v>Komanoff assumption. Is relevant because of differing work and non-work elasticities. Appears in 'Subways' worksheet, Row 31.</v>
      </c>
      <c r="L377" s="117">
        <f>ROW()</f>
        <v>377</v>
      </c>
    </row>
    <row r="378" spans="2:12" ht="14.1" customHeight="1">
      <c r="B378" s="1" t="s">
        <v>4554</v>
      </c>
      <c r="I378" s="2303">
        <f>Subways!J36</f>
        <v>2436.3000000000002</v>
      </c>
      <c r="L378" s="117">
        <f>ROW()</f>
        <v>378</v>
      </c>
    </row>
    <row r="379" spans="2:12" ht="14.1" customHeight="1">
      <c r="B379" s="265" t="str">
        <f>CONCATENATE("From same Nov. 2010 MTA budget document referenced in Row ",L370, ", above.")</f>
        <v>From same Nov. 2010 MTA budget document referenced in Row 370, above.</v>
      </c>
      <c r="C379" s="265"/>
      <c r="D379" s="265"/>
      <c r="E379" s="265"/>
      <c r="F379" s="265"/>
      <c r="G379" s="265"/>
      <c r="H379" s="265"/>
      <c r="L379" s="117">
        <f>ROW()</f>
        <v>379</v>
      </c>
    </row>
    <row r="380" spans="2:12" ht="14.1" customHeight="1">
      <c r="G380" s="2304" t="str">
        <f>Subways!J42</f>
        <v>Overall</v>
      </c>
      <c r="H380" s="2304" t="str">
        <f>Subways!K42</f>
        <v>Work</v>
      </c>
      <c r="I380" s="2304" t="str">
        <f>Subways!L42</f>
        <v>Non-work</v>
      </c>
      <c r="L380" s="117">
        <f>ROW()</f>
        <v>380</v>
      </c>
    </row>
    <row r="381" spans="2:12" ht="14.1" customHeight="1">
      <c r="B381" s="1" t="s">
        <v>2607</v>
      </c>
      <c r="G381" s="2295">
        <f>Subways!J44</f>
        <v>1.5622342142277872</v>
      </c>
      <c r="H381" s="2295">
        <f>Subways!K44</f>
        <v>1.5622342142277872</v>
      </c>
      <c r="I381" s="2295">
        <f>Subways!L44</f>
        <v>1.5622342142277872</v>
      </c>
      <c r="L381" s="117">
        <f>ROW()</f>
        <v>381</v>
      </c>
    </row>
    <row r="382" spans="2:12" ht="14.1" customHeight="1">
      <c r="B382" s="3754" t="str">
        <f>CONCATENATE("Overall Fare is calculated by dividing Farebox Revenue in Row ",L378, " by Adjusted Ridership in Row ",L374, ". See 'Subways' tab, Row ",Subways!O41, " for derivation of average work and non-work fares.")</f>
        <v>Overall Fare is calculated by dividing Farebox Revenue in Row 378 by Adjusted Ridership in Row 374. See 'Subways' tab, Row 41 for derivation of average work and non-work fares.</v>
      </c>
      <c r="C382" s="3659"/>
      <c r="D382" s="3659"/>
      <c r="E382" s="3659"/>
      <c r="F382" s="3659"/>
      <c r="G382" s="3659"/>
      <c r="H382" s="3659"/>
      <c r="I382" s="3754"/>
      <c r="L382" s="117">
        <f>ROW()</f>
        <v>382</v>
      </c>
    </row>
    <row r="383" spans="2:12" ht="14.1" customHeight="1">
      <c r="B383" s="3659"/>
      <c r="C383" s="3659"/>
      <c r="D383" s="3659"/>
      <c r="E383" s="3659"/>
      <c r="F383" s="3659"/>
      <c r="G383" s="3659"/>
      <c r="H383" s="3659"/>
      <c r="I383" s="3659"/>
      <c r="L383" s="117">
        <f>ROW()</f>
        <v>383</v>
      </c>
    </row>
    <row r="384" spans="2:12" ht="14.1" customHeight="1">
      <c r="B384" s="2527"/>
      <c r="C384" s="2527"/>
      <c r="D384" s="2527"/>
      <c r="E384" s="2527"/>
      <c r="F384" s="2527"/>
      <c r="G384" s="2527"/>
      <c r="H384" s="2527"/>
      <c r="I384" s="2527"/>
      <c r="L384" s="117">
        <f>ROW()</f>
        <v>384</v>
      </c>
    </row>
    <row r="385" spans="2:12" ht="14.1" customHeight="1">
      <c r="B385" s="1" t="s">
        <v>4556</v>
      </c>
      <c r="C385" s="2527"/>
      <c r="D385" s="2527"/>
      <c r="E385" s="2527"/>
      <c r="F385" s="2527"/>
      <c r="G385" s="2527"/>
      <c r="H385" s="2527"/>
      <c r="I385" s="22">
        <f>Transit!H53</f>
        <v>5.4164757359697585E-2</v>
      </c>
      <c r="L385" s="117">
        <f>ROW()</f>
        <v>385</v>
      </c>
    </row>
    <row r="386" spans="2:12" ht="14.1" customHeight="1">
      <c r="B386" s="3754" t="str">
        <f>CONCATENATE("Is derived in 'Transit' worksheet, Row ",Transit!O53, ". Reflects 2011 MTA bonus discount and share of incremental-cost paying rides eligible for bonus, both of which are specified or derived in 'Transit' worksheet, Rows ",Transit!O42, " and ",Transit!O53, ".")</f>
        <v>Is derived in 'Transit' worksheet, Row 53. Reflects 2011 MTA bonus discount and share of incremental-cost paying rides eligible for bonus, both of which are specified or derived in 'Transit' worksheet, Rows 42 and 53.</v>
      </c>
      <c r="C386" s="3659"/>
      <c r="D386" s="3659"/>
      <c r="E386" s="3659"/>
      <c r="F386" s="3659"/>
      <c r="G386" s="3659"/>
      <c r="H386" s="3659"/>
      <c r="I386" s="2527"/>
      <c r="L386" s="117">
        <f>ROW()</f>
        <v>386</v>
      </c>
    </row>
    <row r="387" spans="2:12" ht="14.1" customHeight="1">
      <c r="B387" s="3659"/>
      <c r="C387" s="3659"/>
      <c r="D387" s="3659"/>
      <c r="E387" s="3659"/>
      <c r="F387" s="3659"/>
      <c r="G387" s="3659"/>
      <c r="H387" s="3659"/>
      <c r="I387" s="2527"/>
      <c r="L387" s="117">
        <f>ROW()</f>
        <v>387</v>
      </c>
    </row>
    <row r="388" spans="2:12" ht="14.1" customHeight="1">
      <c r="B388" s="2527"/>
      <c r="C388" s="2527"/>
      <c r="D388" s="2527"/>
      <c r="E388" s="2527"/>
      <c r="F388" s="2527"/>
      <c r="G388" s="2527"/>
      <c r="H388" s="2527"/>
      <c r="I388" s="2527"/>
      <c r="L388" s="117">
        <f>ROW()</f>
        <v>388</v>
      </c>
    </row>
    <row r="389" spans="2:12" ht="14.1" customHeight="1">
      <c r="B389" s="1" t="s">
        <v>3836</v>
      </c>
      <c r="I389" s="131" t="s">
        <v>3838</v>
      </c>
      <c r="L389" s="117">
        <f>ROW()</f>
        <v>389</v>
      </c>
    </row>
    <row r="390" spans="2:12" ht="14.1" customHeight="1">
      <c r="B390" s="3754" t="str">
        <f>CONCATENATE("Figures appear in 'Subways' worksheet, Row ",Subways!O129, " and are from NYMTC, Hub-Bound Travel Report 2008, &lt;http://www.nymtc.org/files/hub_bound/HUB_Bound_2008_Report.pdf&gt;, Tables 24 &amp; 25, 'Total Persons Entering (Leaving) The Hub By Hour and Mode in 2008'; prorated by 2011 and 2008 total ridership.")</f>
        <v>Figures appear in 'Subways' worksheet, Row 129 and are from NYMTC, Hub-Bound Travel Report 2008, &lt;http://www.nymtc.org/files/hub_bound/HUB_Bound_2008_Report.pdf&gt;, Tables 24 &amp; 25, 'Total Persons Entering (Leaving) The Hub By Hour and Mode in 2008'; prorated by 2011 and 2008 total ridership.</v>
      </c>
      <c r="C390" s="3659"/>
      <c r="D390" s="3659"/>
      <c r="E390" s="3659"/>
      <c r="F390" s="3659"/>
      <c r="G390" s="3659"/>
      <c r="H390" s="3659"/>
      <c r="L390" s="117">
        <f>ROW()</f>
        <v>390</v>
      </c>
    </row>
    <row r="391" spans="2:12" ht="14.1" customHeight="1">
      <c r="B391" s="3659" t="str">
        <f>Subways!B46</f>
        <v>Weekday/Weekend breakout (un-normalized)</v>
      </c>
      <c r="C391" s="3659"/>
      <c r="D391" s="3659"/>
      <c r="E391" s="3659"/>
      <c r="F391" s="3659"/>
      <c r="G391" s="3659"/>
      <c r="H391" s="3659"/>
      <c r="L391" s="117">
        <f>ROW()</f>
        <v>391</v>
      </c>
    </row>
    <row r="392" spans="2:12" ht="14.1" customHeight="1">
      <c r="B392" s="3659"/>
      <c r="C392" s="3659"/>
      <c r="D392" s="3659"/>
      <c r="E392" s="3659"/>
      <c r="F392" s="3659"/>
      <c r="G392" s="3659"/>
      <c r="H392" s="3659"/>
      <c r="L392" s="117">
        <f>ROW()</f>
        <v>392</v>
      </c>
    </row>
    <row r="393" spans="2:12" ht="14.1" customHeight="1">
      <c r="B393" s="1" t="s">
        <v>3837</v>
      </c>
      <c r="I393" s="131" t="s">
        <v>3838</v>
      </c>
      <c r="L393" s="117">
        <f>ROW()</f>
        <v>393</v>
      </c>
    </row>
    <row r="394" spans="2:12" ht="14.1" customHeight="1">
      <c r="B394" s="3754" t="str">
        <f>CONCATENATE("This breakdown is needed because price- and time-elasticities of travel demand differ between transit work and non-work trips. Figures appear in 'Subways' worksheet, Row ",Subways!O133," and are drawn from matrix in 'Weekday Hours' worksheet tab (extending from Column P to Column R, Row ",'Weekday Hours'!N18," to ",'Weekday Hours'!N25,") that helps apporition CBD-bound auto trips among work, non-work and through; we apply those factors to subway trips as well.")</f>
        <v>This breakdown is needed because price- and time-elasticities of travel demand differ between transit work and non-work trips. Figures appear in 'Subways' worksheet, Row 133 and are drawn from matrix in 'Weekday Hours' worksheet tab (extending from Column P to Column R, Row 18 to 25) that helps apporition CBD-bound auto trips among work, non-work and through; we apply those factors to subway trips as well.</v>
      </c>
      <c r="C394" s="3659"/>
      <c r="D394" s="3659"/>
      <c r="E394" s="3659"/>
      <c r="F394" s="3659"/>
      <c r="G394" s="3659"/>
      <c r="H394" s="3659"/>
      <c r="L394" s="117">
        <f>ROW()</f>
        <v>394</v>
      </c>
    </row>
    <row r="395" spans="2:12" ht="14.1" customHeight="1">
      <c r="B395" s="3659"/>
      <c r="C395" s="3659"/>
      <c r="D395" s="3659"/>
      <c r="E395" s="3659"/>
      <c r="F395" s="3659"/>
      <c r="G395" s="3659"/>
      <c r="H395" s="3659"/>
      <c r="L395" s="117">
        <f>ROW()</f>
        <v>395</v>
      </c>
    </row>
    <row r="396" spans="2:12" ht="14.1" customHeight="1">
      <c r="B396" s="3659"/>
      <c r="C396" s="3659"/>
      <c r="D396" s="3659"/>
      <c r="E396" s="3659"/>
      <c r="F396" s="3659"/>
      <c r="G396" s="3659"/>
      <c r="H396" s="3659"/>
      <c r="L396" s="117">
        <f>ROW()</f>
        <v>396</v>
      </c>
    </row>
    <row r="397" spans="2:12" ht="14.1" customHeight="1">
      <c r="B397" s="3659"/>
      <c r="C397" s="3659"/>
      <c r="D397" s="3659"/>
      <c r="E397" s="3659"/>
      <c r="F397" s="3659"/>
      <c r="G397" s="3659"/>
      <c r="H397" s="3659"/>
      <c r="L397" s="117">
        <f>ROW()</f>
        <v>397</v>
      </c>
    </row>
    <row r="398" spans="2:12" ht="14.1" customHeight="1">
      <c r="F398" s="3812" t="s">
        <v>3805</v>
      </c>
      <c r="G398" s="3813"/>
      <c r="H398" s="3812" t="s">
        <v>3804</v>
      </c>
      <c r="I398" s="3813"/>
      <c r="L398" s="117">
        <f>ROW()</f>
        <v>398</v>
      </c>
    </row>
    <row r="399" spans="2:12" ht="14.1" customHeight="1">
      <c r="B399" s="2" t="s">
        <v>3840</v>
      </c>
      <c r="F399" s="3813"/>
      <c r="G399" s="3813"/>
      <c r="H399" s="3813"/>
      <c r="I399" s="3813"/>
      <c r="L399" s="117">
        <f>ROW()</f>
        <v>399</v>
      </c>
    </row>
    <row r="400" spans="2:12" ht="14.1" customHeight="1">
      <c r="B400" s="1" t="s">
        <v>3788</v>
      </c>
      <c r="G400" s="621">
        <f>Elasticities!G49</f>
        <v>-0.09</v>
      </c>
      <c r="I400" s="621">
        <f>Elasticities!G50</f>
        <v>-0.5</v>
      </c>
      <c r="L400" s="117">
        <f>ROW()</f>
        <v>400</v>
      </c>
    </row>
    <row r="401" spans="2:12" ht="14.1" customHeight="1">
      <c r="B401" s="1" t="s">
        <v>3789</v>
      </c>
      <c r="G401" s="621">
        <f>Elasticities!H49</f>
        <v>-0.23400000000000001</v>
      </c>
      <c r="H401" s="621"/>
      <c r="I401" s="621">
        <f>Elasticities!H50</f>
        <v>-0.55000000000000004</v>
      </c>
      <c r="L401" s="117">
        <f>ROW()</f>
        <v>401</v>
      </c>
    </row>
    <row r="402" spans="2:12" ht="14.1" customHeight="1">
      <c r="B402" s="3754" t="str">
        <f>CONCATENATE("Derivation and detailed discussion may be found in 'Elasticities' worksheet, esp'ly Rows ",Elasticities!O4, " to ",Elasticities!O77, " and ",Elasticities!O117, " to ",Elasticities!O156, ". For cross-elasticities (not shown here), see same worksheet, Rows ",Elasticities!O79, " to ",Elasticities!O115, ". Time-switching elasticities are discussed in eponymous worksheet.")</f>
        <v>Derivation and detailed discussion may be found in 'Elasticities' worksheet, esp'ly Rows 4 to 77 and 117 to 156. For cross-elasticities (not shown here), see same worksheet, Rows 79 to 115. Time-switching elasticities are discussed in eponymous worksheet.</v>
      </c>
      <c r="C402" s="3659"/>
      <c r="D402" s="3659"/>
      <c r="E402" s="3659"/>
      <c r="F402" s="3659"/>
      <c r="G402" s="3659"/>
      <c r="H402" s="1584"/>
      <c r="L402" s="117">
        <f>ROW()</f>
        <v>402</v>
      </c>
    </row>
    <row r="403" spans="2:12" ht="14.1" customHeight="1">
      <c r="B403" s="3659"/>
      <c r="C403" s="3659"/>
      <c r="D403" s="3659"/>
      <c r="E403" s="3659"/>
      <c r="F403" s="3659"/>
      <c r="G403" s="3659"/>
      <c r="H403" s="1584"/>
      <c r="L403" s="117">
        <f>ROW()</f>
        <v>403</v>
      </c>
    </row>
    <row r="404" spans="2:12" ht="14.1" customHeight="1">
      <c r="B404" s="3659"/>
      <c r="C404" s="3659"/>
      <c r="D404" s="3659"/>
      <c r="E404" s="3659"/>
      <c r="F404" s="3659"/>
      <c r="G404" s="3659"/>
      <c r="H404" s="1584"/>
      <c r="L404" s="117">
        <f>ROW()</f>
        <v>404</v>
      </c>
    </row>
    <row r="405" spans="2:12" ht="14.1" customHeight="1">
      <c r="L405" s="117">
        <f>ROW()</f>
        <v>405</v>
      </c>
    </row>
    <row r="406" spans="2:12" ht="14.1" customHeight="1">
      <c r="B406" s="1" t="s">
        <v>3841</v>
      </c>
      <c r="I406" s="22">
        <f>Subways!L202</f>
        <v>-8.4398477821031881E-2</v>
      </c>
      <c r="L406" s="117">
        <f>ROW()</f>
        <v>406</v>
      </c>
    </row>
    <row r="407" spans="2:12" ht="14.1" customHeight="1">
      <c r="B407" s="3754" t="str">
        <f>CONCATENATE("Figure is shown in 'Subways' worksheet, Row ",Subways!O202, ", but is actually derived at 'Transit' worksheet in Rows ",Transit!O206, " and ",Transit!O340, ". It reflects results of investments made possible by toll revenues that will help keep system in state of good repair, as well as possible service expansions. It is applied uniformly in all time periods.")</f>
        <v>Figure is shown in 'Subways' worksheet, Row 202, but is actually derived at 'Transit' worksheet in Rows 206 and 340. It reflects results of investments made possible by toll revenues that will help keep system in state of good repair, as well as possible service expansions. It is applied uniformly in all time periods.</v>
      </c>
      <c r="C407" s="3659"/>
      <c r="D407" s="3659"/>
      <c r="E407" s="3659"/>
      <c r="F407" s="3659"/>
      <c r="G407" s="3659"/>
      <c r="H407" s="3659"/>
      <c r="L407" s="117">
        <f>ROW()</f>
        <v>407</v>
      </c>
    </row>
    <row r="408" spans="2:12" ht="14.1" customHeight="1">
      <c r="B408" s="3659"/>
      <c r="C408" s="3659"/>
      <c r="D408" s="3659"/>
      <c r="E408" s="3659"/>
      <c r="F408" s="3659"/>
      <c r="G408" s="3659"/>
      <c r="H408" s="3659"/>
      <c r="L408" s="117">
        <f>ROW()</f>
        <v>408</v>
      </c>
    </row>
    <row r="409" spans="2:12" ht="14.1" customHeight="1">
      <c r="B409" s="3659"/>
      <c r="C409" s="3659"/>
      <c r="D409" s="3659"/>
      <c r="E409" s="3659"/>
      <c r="F409" s="3659"/>
      <c r="G409" s="3659"/>
      <c r="H409" s="3659"/>
      <c r="L409" s="117">
        <f>ROW()</f>
        <v>409</v>
      </c>
    </row>
    <row r="410" spans="2:12" ht="14.1" customHeight="1">
      <c r="B410" s="1" t="s">
        <v>3842</v>
      </c>
      <c r="I410" s="22">
        <f>Subways!L206</f>
        <v>0</v>
      </c>
      <c r="L410" s="117">
        <f>ROW()</f>
        <v>410</v>
      </c>
    </row>
    <row r="411" spans="2:12" ht="14.1" customHeight="1">
      <c r="B411" s="1"/>
      <c r="I411" s="22"/>
      <c r="L411" s="117">
        <f>ROW()</f>
        <v>411</v>
      </c>
    </row>
    <row r="412" spans="2:12" ht="14.1" customHeight="1">
      <c r="B412" s="1" t="s">
        <v>4555</v>
      </c>
      <c r="I412" s="22">
        <f>Subways!N273</f>
        <v>0.48187249521940934</v>
      </c>
      <c r="L412" s="117">
        <f>ROW()</f>
        <v>412</v>
      </c>
    </row>
    <row r="413" spans="2:12" ht="14.1" customHeight="1">
      <c r="B413" s="3754" t="str">
        <f>CONCATENATE("Shown in 'Subways' worksheet, Row ",Subways!O273, ", but derived in 'Transit' worksheet, Row ",Transit!O34, " as sum of cash, pay-per-ride &amp; bonus-pay-per-ride shares in first eight months of 2010 (most recent data available).")</f>
        <v>Shown in 'Subways' worksheet, Row 273, but derived in 'Transit' worksheet, Row 34 as sum of cash, pay-per-ride &amp; bonus-pay-per-ride shares in first eight months of 2010 (most recent data available).</v>
      </c>
      <c r="C413" s="3659"/>
      <c r="D413" s="3659"/>
      <c r="E413" s="3659"/>
      <c r="F413" s="3659"/>
      <c r="G413" s="3659"/>
      <c r="H413" s="3659"/>
      <c r="L413" s="117">
        <f>ROW()</f>
        <v>413</v>
      </c>
    </row>
    <row r="414" spans="2:12" ht="14.1" customHeight="1">
      <c r="B414" s="3659"/>
      <c r="C414" s="3659"/>
      <c r="D414" s="3659"/>
      <c r="E414" s="3659"/>
      <c r="F414" s="3659"/>
      <c r="G414" s="3659"/>
      <c r="H414" s="3659"/>
      <c r="L414" s="117">
        <f>ROW()</f>
        <v>414</v>
      </c>
    </row>
    <row r="415" spans="2:12" ht="14.1" customHeight="1">
      <c r="B415" s="1" t="s">
        <v>6172</v>
      </c>
      <c r="I415" s="131"/>
      <c r="L415" s="117">
        <f>ROW()</f>
        <v>415</v>
      </c>
    </row>
    <row r="416" spans="2:12" ht="14.1" customHeight="1">
      <c r="B416" s="265" t="str">
        <f>CONCATENATE("These figures appear in 'Subways' worksheet, Rows ",Subways!O275, " and ",Subways!O277, ", and are derived in the dozen or so rows oreceding them.")</f>
        <v>These figures appear in 'Subways' worksheet, Rows 275 and 277, and are derived in the dozen or so rows oreceding them.</v>
      </c>
      <c r="L416" s="117">
        <f>ROW()</f>
        <v>416</v>
      </c>
    </row>
    <row r="417" spans="2:12" ht="14.1" customHeight="1">
      <c r="B417" s="265"/>
      <c r="L417" s="117">
        <f>ROW()</f>
        <v>417</v>
      </c>
    </row>
    <row r="418" spans="2:12" ht="14.1" customHeight="1">
      <c r="B418" s="2" t="s">
        <v>3846</v>
      </c>
      <c r="L418" s="117">
        <f>ROW()</f>
        <v>418</v>
      </c>
    </row>
    <row r="419" spans="2:12" ht="14.1" customHeight="1">
      <c r="H419" s="1892" t="s">
        <v>2820</v>
      </c>
      <c r="I419" s="1892" t="s">
        <v>2821</v>
      </c>
      <c r="L419" s="117">
        <f>ROW()</f>
        <v>419</v>
      </c>
    </row>
    <row r="420" spans="2:12" ht="14.1" customHeight="1">
      <c r="B420" s="182" t="s">
        <v>591</v>
      </c>
      <c r="H420" s="3264" t="s">
        <v>5703</v>
      </c>
      <c r="I420" s="2347" t="s">
        <v>5703</v>
      </c>
      <c r="J420" s="2426" t="str">
        <f>CONCATENATE("See 'Elasticities' tab, Row ",Elasticities!O87, ".")</f>
        <v>See 'Elasticities' tab, Row 87.</v>
      </c>
      <c r="K420" s="2424"/>
      <c r="L420" s="117">
        <f>ROW()</f>
        <v>420</v>
      </c>
    </row>
    <row r="421" spans="2:12" ht="14.1" customHeight="1">
      <c r="B421" s="182" t="s">
        <v>523</v>
      </c>
      <c r="H421" s="1219">
        <f>Elasticities!I91</f>
        <v>0.90249999999999997</v>
      </c>
      <c r="I421" s="1219">
        <f>Elasticities!J91</f>
        <v>0.47499999999999998</v>
      </c>
      <c r="L421" s="117">
        <f>ROW()</f>
        <v>421</v>
      </c>
    </row>
    <row r="422" spans="2:12" ht="14.1" customHeight="1">
      <c r="B422" s="182" t="s">
        <v>6173</v>
      </c>
      <c r="H422" s="1219">
        <f>Elasticities!I94</f>
        <v>4.7500000000000001E-2</v>
      </c>
      <c r="I422" s="1219">
        <f>Elasticities!J94</f>
        <v>2.5000000000000001E-2</v>
      </c>
      <c r="L422" s="117">
        <f>ROW()</f>
        <v>422</v>
      </c>
    </row>
    <row r="423" spans="2:12" ht="14.1" customHeight="1">
      <c r="B423" s="182" t="s">
        <v>6174</v>
      </c>
      <c r="H423" s="1219">
        <f>Elasticities!I97</f>
        <v>0.90249999999999997</v>
      </c>
      <c r="I423" s="1219">
        <f>Elasticities!J97</f>
        <v>0.47499999999999998</v>
      </c>
      <c r="L423" s="117">
        <f>ROW()</f>
        <v>423</v>
      </c>
    </row>
    <row r="424" spans="2:12" ht="14.1" customHeight="1">
      <c r="B424" s="182" t="s">
        <v>6175</v>
      </c>
      <c r="H424" s="1219">
        <f>Elasticities!I100</f>
        <v>0.90249999999999997</v>
      </c>
      <c r="I424" s="1219">
        <f>Elasticities!J100</f>
        <v>0.50349999999999995</v>
      </c>
      <c r="L424" s="117">
        <f>ROW()</f>
        <v>424</v>
      </c>
    </row>
    <row r="425" spans="2:12" ht="14.1" customHeight="1">
      <c r="B425" s="182" t="s">
        <v>6176</v>
      </c>
      <c r="H425" s="1219">
        <f>Elasticities!I103</f>
        <v>4.7500000000000001E-2</v>
      </c>
      <c r="I425" s="1219">
        <f>Elasticities!J103</f>
        <v>2.5750000000000002E-2</v>
      </c>
      <c r="L425" s="117">
        <f>ROW()</f>
        <v>425</v>
      </c>
    </row>
    <row r="426" spans="2:12" ht="14.1" customHeight="1">
      <c r="B426" s="265" t="str">
        <f>CONCATENATE("These figures are explained and derived in 'Elasticities' worksheet, Rows ",Elasticities!O87, "-",Elasticities!O116, ".")</f>
        <v>These figures are explained and derived in 'Elasticities' worksheet, Rows 87-116.</v>
      </c>
      <c r="H426" s="1219"/>
      <c r="I426" s="1219"/>
      <c r="L426" s="117">
        <f>ROW()</f>
        <v>426</v>
      </c>
    </row>
    <row r="427" spans="2:12" ht="14.1" customHeight="1">
      <c r="L427" s="117">
        <f>ROW()</f>
        <v>427</v>
      </c>
    </row>
    <row r="428" spans="2:12" ht="14.1" customHeight="1">
      <c r="B428" s="1" t="s">
        <v>816</v>
      </c>
      <c r="C428" s="2300"/>
      <c r="D428" s="2300"/>
      <c r="E428" s="2300"/>
      <c r="F428" s="2300"/>
      <c r="G428" s="2300"/>
      <c r="H428" s="2300"/>
      <c r="I428" s="2300">
        <f>'Weekday Hours'!H198</f>
        <v>1.5</v>
      </c>
      <c r="L428" s="117">
        <f>ROW()</f>
        <v>428</v>
      </c>
    </row>
    <row r="429" spans="2:12" ht="14.1" customHeight="1">
      <c r="B429" s="3754" t="s">
        <v>3860</v>
      </c>
      <c r="C429" s="3659"/>
      <c r="D429" s="3659"/>
      <c r="E429" s="3659"/>
      <c r="F429" s="3659"/>
      <c r="G429" s="3659"/>
      <c r="H429" s="3659"/>
      <c r="I429" s="2300"/>
      <c r="L429" s="117">
        <f>ROW()</f>
        <v>429</v>
      </c>
    </row>
    <row r="430" spans="2:12" ht="14.1" customHeight="1">
      <c r="B430" s="3659"/>
      <c r="C430" s="3659"/>
      <c r="D430" s="3659"/>
      <c r="E430" s="3659"/>
      <c r="F430" s="3659"/>
      <c r="G430" s="3659"/>
      <c r="H430" s="3659"/>
      <c r="I430" s="2300"/>
      <c r="L430" s="117">
        <f>ROW()</f>
        <v>430</v>
      </c>
    </row>
    <row r="431" spans="2:12" ht="14.1" customHeight="1">
      <c r="B431" s="2299"/>
      <c r="C431" s="2299"/>
      <c r="D431" s="2299"/>
      <c r="E431" s="2299"/>
      <c r="F431" s="2299"/>
      <c r="G431" s="2299"/>
      <c r="H431" s="2299"/>
      <c r="I431" s="2300"/>
      <c r="L431" s="117">
        <f>ROW()</f>
        <v>431</v>
      </c>
    </row>
    <row r="432" spans="2:12" ht="14.1" customHeight="1">
      <c r="B432" s="1" t="s">
        <v>1266</v>
      </c>
      <c r="I432" s="23">
        <f>Subways!R469</f>
        <v>0.2</v>
      </c>
      <c r="L432" s="117">
        <f>ROW()</f>
        <v>432</v>
      </c>
    </row>
    <row r="433" spans="2:12" ht="14.1" customHeight="1">
      <c r="L433" s="117">
        <f>ROW()</f>
        <v>433</v>
      </c>
    </row>
    <row r="434" spans="2:12" ht="14.1" customHeight="1">
      <c r="B434" s="2" t="s">
        <v>3847</v>
      </c>
      <c r="L434" s="117">
        <f>ROW()</f>
        <v>434</v>
      </c>
    </row>
    <row r="435" spans="2:12" ht="14.1" customHeight="1">
      <c r="B435" s="1" t="s">
        <v>549</v>
      </c>
      <c r="I435" s="117">
        <f>Subways!N559</f>
        <v>2</v>
      </c>
      <c r="L435" s="117">
        <f>ROW()</f>
        <v>435</v>
      </c>
    </row>
    <row r="436" spans="2:12" ht="14.1" customHeight="1">
      <c r="B436" s="1" t="s">
        <v>5704</v>
      </c>
      <c r="I436" s="117">
        <f>Subways!N560</f>
        <v>1.29</v>
      </c>
      <c r="L436" s="117">
        <f>ROW()</f>
        <v>436</v>
      </c>
    </row>
    <row r="437" spans="2:12" ht="14.1" customHeight="1">
      <c r="L437" s="117">
        <f>ROW()</f>
        <v>437</v>
      </c>
    </row>
    <row r="438" spans="2:12" ht="14.1" customHeight="1">
      <c r="B438" s="24" t="s">
        <v>5705</v>
      </c>
      <c r="L438" s="117">
        <f>ROW()</f>
        <v>438</v>
      </c>
    </row>
    <row r="439" spans="2:12" ht="14.1" customHeight="1">
      <c r="L439" s="117">
        <f>ROW()</f>
        <v>439</v>
      </c>
    </row>
    <row r="440" spans="2:12" ht="14.1" customHeight="1">
      <c r="H440" s="1892" t="s">
        <v>966</v>
      </c>
      <c r="I440" s="1892" t="s">
        <v>967</v>
      </c>
      <c r="L440" s="117">
        <f>ROW()</f>
        <v>440</v>
      </c>
    </row>
    <row r="441" spans="2:12" ht="14.1" customHeight="1">
      <c r="B441" t="s">
        <v>2270</v>
      </c>
      <c r="E441" s="7" t="s">
        <v>3851</v>
      </c>
      <c r="H441">
        <f>'Sub v. Bus'!F20</f>
        <v>10</v>
      </c>
      <c r="I441">
        <f>'Sub v. Bus'!G20</f>
        <v>10</v>
      </c>
      <c r="L441" s="117">
        <f>ROW()</f>
        <v>441</v>
      </c>
    </row>
    <row r="442" spans="2:12" ht="14.1" customHeight="1">
      <c r="B442" s="1" t="s">
        <v>3852</v>
      </c>
      <c r="H442" s="21">
        <f>'Sub v. Bus'!F31</f>
        <v>17.044934316990528</v>
      </c>
      <c r="I442" s="21">
        <f>'Sub v. Bus'!G31</f>
        <v>40.198077431575165</v>
      </c>
      <c r="L442" s="117">
        <f>ROW()</f>
        <v>442</v>
      </c>
    </row>
    <row r="443" spans="2:12" ht="14.1" customHeight="1">
      <c r="B443" s="3754" t="str">
        <f>CONCATENATE("Calculations use avg subway trip duration from 'Sub v. Bus' worksheet, Row ",'Sub v. Bus'!I31, " which in turn draws on (adjusted) avg length of one-way subway commute trip for both modes to keep comparison on common footing.")</f>
        <v>Calculations use avg subway trip duration from 'Sub v. Bus' worksheet, Row 31 which in turn draws on (adjusted) avg length of one-way subway commute trip for both modes to keep comparison on common footing.</v>
      </c>
      <c r="C443" s="3659"/>
      <c r="D443" s="3659"/>
      <c r="E443" s="3659"/>
      <c r="F443" s="3659"/>
      <c r="G443" s="3659"/>
      <c r="H443" s="3659"/>
      <c r="L443" s="117">
        <f>ROW()</f>
        <v>443</v>
      </c>
    </row>
    <row r="444" spans="2:12" ht="14.1" customHeight="1">
      <c r="B444" s="3659"/>
      <c r="C444" s="3659"/>
      <c r="D444" s="3659"/>
      <c r="E444" s="3659"/>
      <c r="F444" s="3659"/>
      <c r="G444" s="3659"/>
      <c r="H444" s="3659"/>
      <c r="L444" s="117">
        <f>ROW()</f>
        <v>444</v>
      </c>
    </row>
    <row r="445" spans="2:12" ht="14.1" customHeight="1">
      <c r="L445" s="117">
        <f>ROW()</f>
        <v>445</v>
      </c>
    </row>
    <row r="446" spans="2:12" ht="14.1" customHeight="1">
      <c r="B446" s="1" t="s">
        <v>5707</v>
      </c>
      <c r="F446" s="265" t="s">
        <v>5708</v>
      </c>
      <c r="I446" s="26">
        <f ca="1">'Sub v. Bus'!G40</f>
        <v>29.0840040545358</v>
      </c>
      <c r="L446" s="117">
        <f>ROW()</f>
        <v>446</v>
      </c>
    </row>
    <row r="447" spans="2:12" ht="14.1" customHeight="1">
      <c r="B447" s="1" t="s">
        <v>3853</v>
      </c>
      <c r="I447" s="23">
        <f>'Sub v. Bus'!G41</f>
        <v>0.25</v>
      </c>
      <c r="L447" s="117">
        <f>ROW()</f>
        <v>447</v>
      </c>
    </row>
    <row r="448" spans="2:12" ht="14.1" customHeight="1">
      <c r="B448" s="1" t="s">
        <v>5709</v>
      </c>
      <c r="I448" s="26">
        <f ca="1">'Sub v. Bus'!H39</f>
        <v>21.8</v>
      </c>
      <c r="L448" s="117">
        <f>ROW()</f>
        <v>448</v>
      </c>
    </row>
    <row r="449" spans="2:12" ht="14.1" customHeight="1">
      <c r="B449" s="265" t="s">
        <v>3854</v>
      </c>
      <c r="L449" s="117">
        <f>ROW()</f>
        <v>449</v>
      </c>
    </row>
    <row r="450" spans="2:12" ht="14.1" customHeight="1">
      <c r="B450" s="1" t="s">
        <v>3855</v>
      </c>
      <c r="I450" s="22">
        <f>'Sub v. Bus'!H47</f>
        <v>0.24099999999999999</v>
      </c>
      <c r="L450" s="117">
        <f>ROW()</f>
        <v>450</v>
      </c>
    </row>
    <row r="451" spans="2:12" ht="14.1" customHeight="1">
      <c r="B451" s="3754" t="s">
        <v>3872</v>
      </c>
      <c r="C451" s="3659"/>
      <c r="D451" s="3659"/>
      <c r="E451" s="3659"/>
      <c r="F451" s="3659"/>
      <c r="G451" s="3659"/>
      <c r="H451" s="3659"/>
      <c r="L451" s="117">
        <f>ROW()</f>
        <v>451</v>
      </c>
    </row>
    <row r="452" spans="2:12" ht="14.1" customHeight="1">
      <c r="B452" s="3659"/>
      <c r="C452" s="3659"/>
      <c r="D452" s="3659"/>
      <c r="E452" s="3659"/>
      <c r="F452" s="3659"/>
      <c r="G452" s="3659"/>
      <c r="H452" s="3659"/>
      <c r="L452" s="117">
        <f>ROW()</f>
        <v>452</v>
      </c>
    </row>
    <row r="453" spans="2:12" ht="14.1" customHeight="1">
      <c r="B453" s="2308"/>
      <c r="C453" s="2308"/>
      <c r="D453" s="2308"/>
      <c r="E453" s="2308"/>
      <c r="F453" s="2308"/>
      <c r="G453" s="2308"/>
      <c r="H453" s="2308"/>
      <c r="L453" s="117">
        <f>ROW()</f>
        <v>453</v>
      </c>
    </row>
    <row r="454" spans="2:12" ht="14.1" customHeight="1">
      <c r="B454" s="24" t="s">
        <v>810</v>
      </c>
      <c r="L454" s="117">
        <f>ROW()</f>
        <v>454</v>
      </c>
    </row>
    <row r="455" spans="2:12" ht="14.1" customHeight="1">
      <c r="L455" s="117">
        <f>ROW()</f>
        <v>455</v>
      </c>
    </row>
    <row r="456" spans="2:12" ht="14.1" customHeight="1">
      <c r="B456" s="1" t="s">
        <v>3862</v>
      </c>
      <c r="I456" s="10">
        <f>Buses!I220</f>
        <v>104061</v>
      </c>
      <c r="L456" s="117">
        <f>ROW()</f>
        <v>456</v>
      </c>
    </row>
    <row r="457" spans="2:12" ht="14.1" customHeight="1">
      <c r="B457" s="3754" t="s">
        <v>5714</v>
      </c>
      <c r="C457" s="3659"/>
      <c r="D457" s="3659"/>
      <c r="E457" s="3659"/>
      <c r="F457" s="3659"/>
      <c r="G457" s="3659"/>
      <c r="H457" s="3659"/>
      <c r="L457" s="117">
        <f>ROW()</f>
        <v>457</v>
      </c>
    </row>
    <row r="458" spans="2:12" ht="14.1" customHeight="1">
      <c r="B458" s="3659"/>
      <c r="C458" s="3659"/>
      <c r="D458" s="3659"/>
      <c r="E458" s="3659"/>
      <c r="F458" s="3659"/>
      <c r="G458" s="3659"/>
      <c r="H458" s="3659"/>
      <c r="L458" s="117">
        <f>ROW()</f>
        <v>458</v>
      </c>
    </row>
    <row r="459" spans="2:12" ht="14.1" customHeight="1">
      <c r="L459" s="117">
        <f>ROW()</f>
        <v>459</v>
      </c>
    </row>
    <row r="460" spans="2:12" ht="14.1" customHeight="1">
      <c r="B460" s="1" t="s">
        <v>4558</v>
      </c>
      <c r="I460" s="21">
        <f>Buses!J15</f>
        <v>707.5</v>
      </c>
      <c r="L460" s="117">
        <f>ROW()</f>
        <v>460</v>
      </c>
    </row>
    <row r="461" spans="2:12" ht="14.1" customHeight="1">
      <c r="B461" s="265" t="s">
        <v>4557</v>
      </c>
      <c r="L461" s="117">
        <f>ROW()</f>
        <v>461</v>
      </c>
    </row>
    <row r="462" spans="2:12" ht="14.1" customHeight="1">
      <c r="B462" t="str">
        <f>Buses!B21</f>
        <v>Adjustment factor to normalize ridership to full fare</v>
      </c>
      <c r="I462" s="39">
        <f>Buses!J21</f>
        <v>0.8</v>
      </c>
      <c r="L462" s="117">
        <f>ROW()</f>
        <v>462</v>
      </c>
    </row>
    <row r="463" spans="2:12" ht="14.1" customHeight="1">
      <c r="B463" s="265" t="s">
        <v>133</v>
      </c>
      <c r="L463" s="117">
        <f>ROW()</f>
        <v>463</v>
      </c>
    </row>
    <row r="464" spans="2:12" ht="14.1" customHeight="1">
      <c r="B464" s="1" t="s">
        <v>4559</v>
      </c>
      <c r="I464" s="779">
        <f>Buses!J23</f>
        <v>566</v>
      </c>
      <c r="L464" s="117">
        <f>ROW()</f>
        <v>464</v>
      </c>
    </row>
    <row r="465" spans="2:12" ht="14.1" customHeight="1">
      <c r="B465" s="265" t="str">
        <f>CONCATENATE("Appears in 'Buses' worksheet, Row ",Buses!O23, ". Is product of Rows ",L460, " and ",L462, ", above.")</f>
        <v>Appears in 'Buses' worksheet, Row 23. Is product of Rows 460 and 462, above.</v>
      </c>
      <c r="L465" s="117">
        <f>ROW()</f>
        <v>465</v>
      </c>
    </row>
    <row r="466" spans="2:12" ht="14.1" customHeight="1">
      <c r="B466" t="str">
        <f>Buses!B25</f>
        <v>Bus revenue, 2011, projected, millions</v>
      </c>
      <c r="I466" s="2303">
        <f>Buses!J25</f>
        <v>851.9</v>
      </c>
      <c r="L466" s="117">
        <f>ROW()</f>
        <v>466</v>
      </c>
    </row>
    <row r="467" spans="2:12" ht="14.1" customHeight="1">
      <c r="B467" s="3754" t="s">
        <v>4367</v>
      </c>
      <c r="C467" s="3659"/>
      <c r="D467" s="3659"/>
      <c r="E467" s="3659"/>
      <c r="F467" s="3659"/>
      <c r="G467" s="3659"/>
      <c r="H467" s="3659"/>
      <c r="L467" s="117">
        <f>ROW()</f>
        <v>467</v>
      </c>
    </row>
    <row r="468" spans="2:12" ht="14.1" customHeight="1">
      <c r="B468" s="3659"/>
      <c r="C468" s="3659"/>
      <c r="D468" s="3659"/>
      <c r="E468" s="3659"/>
      <c r="F468" s="3659"/>
      <c r="G468" s="3659"/>
      <c r="H468" s="3659"/>
      <c r="L468" s="117">
        <f>ROW()</f>
        <v>468</v>
      </c>
    </row>
    <row r="469" spans="2:12" ht="14.1" customHeight="1">
      <c r="B469" t="str">
        <f>Buses!B28</f>
        <v>Current (2011) normalized bus fare, all trips (no distinction betw work and non-work trips)</v>
      </c>
      <c r="I469" s="26">
        <f>Buses!J28</f>
        <v>1.5051236749116608</v>
      </c>
      <c r="L469" s="117">
        <f>ROW()</f>
        <v>469</v>
      </c>
    </row>
    <row r="470" spans="2:12" ht="14.1" customHeight="1">
      <c r="B470" s="265" t="str">
        <f>CONCATENATE("Calculated by dividing projected farebox revenue shown in Row ",L466, " by adjusted ridership in Row ",L464, ". Is shown in 'Buses' worksheet, Row ",Buses!O28, ".")</f>
        <v>Calculated by dividing projected farebox revenue shown in Row 466 by adjusted ridership in Row 464. Is shown in 'Buses' worksheet, Row 28.</v>
      </c>
      <c r="I470" s="26"/>
      <c r="L470" s="117">
        <f>ROW()</f>
        <v>470</v>
      </c>
    </row>
    <row r="471" spans="2:12" ht="14.1" customHeight="1">
      <c r="B471" s="1" t="s">
        <v>4560</v>
      </c>
      <c r="I471" s="22">
        <f ca="1">Buses!I74</f>
        <v>4.6274901250482281E-2</v>
      </c>
      <c r="L471" s="117">
        <f>ROW()</f>
        <v>471</v>
      </c>
    </row>
    <row r="472" spans="2:12" ht="14.1" customHeight="1">
      <c r="B472" s="3754" t="str">
        <f>CONCATENATE("Calculated in 'Buses' worksheet, Row ",Buses!O74, ", drawing on calculation in 'Bus Boarding' worksheet that draws on citywide-average reduction in VMT, and on calculation in 'Transit' worksheet relating expenditures to more frequent bus arrivals.")</f>
        <v>Calculated in 'Buses' worksheet, Row 74, drawing on calculation in 'Bus Boarding' worksheet that draws on citywide-average reduction in VMT, and on calculation in 'Transit' worksheet relating expenditures to more frequent bus arrivals.</v>
      </c>
      <c r="C472" s="3659"/>
      <c r="D472" s="3659"/>
      <c r="E472" s="3659"/>
      <c r="F472" s="3659"/>
      <c r="G472" s="3659"/>
      <c r="H472" s="3659"/>
      <c r="L472" s="117">
        <f>ROW()</f>
        <v>472</v>
      </c>
    </row>
    <row r="473" spans="2:12" ht="14.1" customHeight="1">
      <c r="B473" s="3659"/>
      <c r="C473" s="3659"/>
      <c r="D473" s="3659"/>
      <c r="E473" s="3659"/>
      <c r="F473" s="3659"/>
      <c r="G473" s="3659"/>
      <c r="H473" s="3659"/>
      <c r="L473" s="117">
        <f>ROW()</f>
        <v>473</v>
      </c>
    </row>
    <row r="474" spans="2:12" ht="14.1" customHeight="1">
      <c r="B474" s="1" t="s">
        <v>3864</v>
      </c>
      <c r="F474" s="265" t="s">
        <v>768</v>
      </c>
      <c r="I474" s="23">
        <f>Buses!H34</f>
        <v>0.4</v>
      </c>
      <c r="L474" s="117">
        <f>ROW()</f>
        <v>474</v>
      </c>
    </row>
    <row r="475" spans="2:12" ht="14.1" customHeight="1">
      <c r="L475" s="117">
        <f>ROW()</f>
        <v>475</v>
      </c>
    </row>
    <row r="476" spans="2:12" ht="14.1" customHeight="1">
      <c r="B476" s="24" t="s">
        <v>3880</v>
      </c>
      <c r="C476" s="24"/>
      <c r="D476" s="3817" t="s">
        <v>3882</v>
      </c>
      <c r="E476" s="3779"/>
      <c r="F476" s="3779"/>
      <c r="G476" s="3779"/>
      <c r="H476" s="3779"/>
      <c r="I476" s="3779"/>
      <c r="L476" s="117">
        <f>ROW()</f>
        <v>476</v>
      </c>
    </row>
    <row r="477" spans="2:12" ht="14.1" customHeight="1">
      <c r="B477" s="2313" t="s">
        <v>3881</v>
      </c>
      <c r="C477" s="24"/>
      <c r="D477" s="3779"/>
      <c r="E477" s="3779"/>
      <c r="F477" s="3779"/>
      <c r="G477" s="3779"/>
      <c r="H477" s="3779"/>
      <c r="I477" s="3779"/>
      <c r="L477" s="117">
        <f>ROW()</f>
        <v>477</v>
      </c>
    </row>
    <row r="478" spans="2:12" ht="14.1" customHeight="1">
      <c r="B478" s="24" t="s">
        <v>3879</v>
      </c>
      <c r="C478" s="24"/>
      <c r="D478" s="3779"/>
      <c r="E478" s="3779"/>
      <c r="F478" s="3779"/>
      <c r="G478" s="3779"/>
      <c r="H478" s="3779"/>
      <c r="I478" s="3779"/>
      <c r="L478" s="117">
        <f>ROW()</f>
        <v>478</v>
      </c>
    </row>
    <row r="479" spans="2:12" ht="14.1" customHeight="1">
      <c r="B479" s="24"/>
      <c r="C479" s="24"/>
      <c r="D479" s="3779"/>
      <c r="E479" s="3779"/>
      <c r="F479" s="3779"/>
      <c r="G479" s="3779"/>
      <c r="H479" s="3779"/>
      <c r="I479" s="3779"/>
      <c r="L479" s="117">
        <f>ROW()</f>
        <v>479</v>
      </c>
    </row>
    <row r="480" spans="2:12" ht="14.1" customHeight="1">
      <c r="C480" s="2309"/>
      <c r="D480" s="2309"/>
      <c r="E480" s="2309"/>
      <c r="F480" s="2309"/>
      <c r="G480" s="2309"/>
      <c r="H480" s="2309"/>
      <c r="I480" s="2309"/>
      <c r="L480" s="117">
        <f>ROW()</f>
        <v>480</v>
      </c>
    </row>
    <row r="481" spans="2:12" ht="14.1" customHeight="1">
      <c r="B481" s="1" t="s">
        <v>3871</v>
      </c>
      <c r="I481" s="155">
        <f>'Weekday Hours'!C55</f>
        <v>955662</v>
      </c>
      <c r="L481" s="117">
        <f>ROW()</f>
        <v>481</v>
      </c>
    </row>
    <row r="482" spans="2:12" ht="14.1" customHeight="1">
      <c r="B482" s="3754" t="str">
        <f>CONCATENATE("Source: NYCDOT, 'Manhattan River Crossings, 2006.' We use its hour-by-hour figures, shown in 'Weekday Hours' worksheet, Rows ",'Weekday Hours'!N31, "-",'Weekday Hours'!N54, ", as proxy for entries to CBD. Note that 2007 total (956,483) matches 2006 figure used here.")</f>
        <v>Source: NYCDOT, 'Manhattan River Crossings, 2006.' We use its hour-by-hour figures, shown in 'Weekday Hours' worksheet, Rows 31-54, as proxy for entries to CBD. Note that 2007 total (956,483) matches 2006 figure used here.</v>
      </c>
      <c r="C482" s="3659"/>
      <c r="D482" s="3659"/>
      <c r="E482" s="3659"/>
      <c r="F482" s="3659"/>
      <c r="G482" s="3659"/>
      <c r="H482" s="3659"/>
      <c r="L482" s="117">
        <f>ROW()</f>
        <v>482</v>
      </c>
    </row>
    <row r="483" spans="2:12" ht="14.1" customHeight="1">
      <c r="B483" s="3659"/>
      <c r="C483" s="3659"/>
      <c r="D483" s="3659"/>
      <c r="E483" s="3659"/>
      <c r="F483" s="3659"/>
      <c r="G483" s="3659"/>
      <c r="H483" s="3659"/>
      <c r="L483" s="117">
        <f>ROW()</f>
        <v>483</v>
      </c>
    </row>
    <row r="484" spans="2:12" ht="14.1" customHeight="1">
      <c r="L484" s="117">
        <f>ROW()</f>
        <v>484</v>
      </c>
    </row>
    <row r="485" spans="2:12" ht="14.1" customHeight="1">
      <c r="B485" s="2" t="s">
        <v>3873</v>
      </c>
      <c r="C485" s="1584"/>
      <c r="D485" s="1584"/>
      <c r="E485" s="3814" t="s">
        <v>781</v>
      </c>
      <c r="F485" s="3815"/>
      <c r="G485" s="3816"/>
      <c r="H485" s="1584"/>
      <c r="L485" s="117">
        <f>ROW()</f>
        <v>485</v>
      </c>
    </row>
    <row r="486" spans="2:12" ht="14.1" customHeight="1">
      <c r="B486" s="1584"/>
      <c r="C486" s="1584"/>
      <c r="E486" s="609"/>
      <c r="F486" s="647" t="s">
        <v>2065</v>
      </c>
      <c r="G486" s="600" t="s">
        <v>1067</v>
      </c>
      <c r="H486" s="1584"/>
      <c r="L486" s="117">
        <f>ROW()</f>
        <v>486</v>
      </c>
    </row>
    <row r="487" spans="2:12" ht="14.1" customHeight="1">
      <c r="B487" s="3818" t="str">
        <f>CONCATENATE("Figures in boxes at right are Komanoff ests. They adjust work and thru-trip shares of auto trips from 24-h avgs shown in Rows ",L102, " and ",L104, ". Value of 1.00 indicates that % of work or thru trips in period matches its 24-h avg. Factor of 2.00 for graveyard thru-trips indicates that overnight thru-trips had 2x their 24-h share. Non-work trip factors 'fall out of' work and thru-trip shares.")</f>
        <v>Figures in boxes at right are Komanoff ests. They adjust work and thru-trip shares of auto trips from 24-h avgs shown in Rows 102 and 104. Value of 1.00 indicates that % of work or thru trips in period matches its 24-h avg. Factor of 2.00 for graveyard thru-trips indicates that overnight thru-trips had 2x their 24-h share. Non-work trip factors 'fall out of' work and thru-trip shares.</v>
      </c>
      <c r="C487" s="3659"/>
      <c r="D487" s="3682"/>
      <c r="E487" s="571" t="str">
        <f>'Weekday Hours'!P19</f>
        <v>Graveyard</v>
      </c>
      <c r="F487" s="643">
        <f>'Weekday Hours'!Q19</f>
        <v>0.4</v>
      </c>
      <c r="G487" s="644">
        <f>'Weekday Hours'!R19</f>
        <v>2</v>
      </c>
      <c r="H487" s="3814" t="s">
        <v>1975</v>
      </c>
      <c r="I487" s="3815"/>
      <c r="J487" s="3816"/>
      <c r="L487" s="117">
        <f>ROW()</f>
        <v>487</v>
      </c>
    </row>
    <row r="488" spans="2:12" ht="14.1" customHeight="1">
      <c r="B488" s="3659"/>
      <c r="C488" s="3659"/>
      <c r="D488" s="3682"/>
      <c r="E488" s="571" t="str">
        <f>'Weekday Hours'!P20</f>
        <v>A.M. Pre-peak</v>
      </c>
      <c r="F488" s="643">
        <f>'Weekday Hours'!Q20</f>
        <v>1.5</v>
      </c>
      <c r="G488" s="644">
        <f>'Weekday Hours'!R20</f>
        <v>1</v>
      </c>
      <c r="H488" s="609"/>
      <c r="I488" s="647" t="s">
        <v>2065</v>
      </c>
      <c r="J488" s="600" t="s">
        <v>1067</v>
      </c>
      <c r="L488" s="117">
        <f>ROW()</f>
        <v>488</v>
      </c>
    </row>
    <row r="489" spans="2:12" ht="14.1" customHeight="1">
      <c r="B489" s="3659"/>
      <c r="C489" s="3659"/>
      <c r="D489" s="3682"/>
      <c r="E489" s="571" t="str">
        <f>'Weekday Hours'!P21</f>
        <v>A.M. Peak</v>
      </c>
      <c r="F489" s="643">
        <f>'Weekday Hours'!Q21</f>
        <v>1.6</v>
      </c>
      <c r="G489" s="644">
        <f>'Weekday Hours'!R21</f>
        <v>0.6</v>
      </c>
      <c r="H489" s="571" t="str">
        <f>'Weekend Hours'!P20</f>
        <v>Graveyard</v>
      </c>
      <c r="I489" s="643">
        <f>'Weekend Hours'!Q20</f>
        <v>1.3</v>
      </c>
      <c r="J489" s="644">
        <f>'Weekend Hours'!R20</f>
        <v>1.3</v>
      </c>
      <c r="L489" s="117">
        <f>ROW()</f>
        <v>489</v>
      </c>
    </row>
    <row r="490" spans="2:12" ht="14.1" customHeight="1">
      <c r="B490" s="3659"/>
      <c r="C490" s="3659"/>
      <c r="D490" s="3682"/>
      <c r="E490" s="571" t="str">
        <f>'Weekday Hours'!P22</f>
        <v>A.M. Post-peak</v>
      </c>
      <c r="F490" s="643">
        <f>'Weekday Hours'!Q22</f>
        <v>1.3</v>
      </c>
      <c r="G490" s="644">
        <f>'Weekday Hours'!R22</f>
        <v>0.6</v>
      </c>
      <c r="H490" s="571" t="str">
        <f>'Weekend Hours'!P21</f>
        <v>Early Shoulder</v>
      </c>
      <c r="I490" s="643">
        <f>'Weekend Hours'!Q21</f>
        <v>1.2</v>
      </c>
      <c r="J490" s="644">
        <f>'Weekend Hours'!R21</f>
        <v>1.2</v>
      </c>
      <c r="L490" s="117">
        <f>ROW()</f>
        <v>490</v>
      </c>
    </row>
    <row r="491" spans="2:12" ht="14.1" customHeight="1">
      <c r="B491" s="3659"/>
      <c r="C491" s="3659"/>
      <c r="D491" s="3682"/>
      <c r="E491" s="571" t="str">
        <f>'Weekday Hours'!P23</f>
        <v>Midday Peak</v>
      </c>
      <c r="F491" s="643">
        <f>'Weekday Hours'!Q23</f>
        <v>1.1000000000000001</v>
      </c>
      <c r="G491" s="644">
        <f>'Weekday Hours'!R23</f>
        <v>0.8</v>
      </c>
      <c r="H491" s="571" t="str">
        <f>'Weekend Hours'!P22</f>
        <v>Shoulders</v>
      </c>
      <c r="I491" s="643">
        <f>'Weekend Hours'!Q22</f>
        <v>1</v>
      </c>
      <c r="J491" s="644">
        <f>'Weekend Hours'!R22</f>
        <v>0.9</v>
      </c>
      <c r="L491" s="117">
        <f>ROW()</f>
        <v>491</v>
      </c>
    </row>
    <row r="492" spans="2:12" ht="14.1" customHeight="1">
      <c r="B492" s="3659"/>
      <c r="C492" s="3659"/>
      <c r="D492" s="3682"/>
      <c r="E492" s="571" t="str">
        <f>'Weekday Hours'!P24</f>
        <v>P.M. Peak</v>
      </c>
      <c r="F492" s="643">
        <f>'Weekday Hours'!Q24</f>
        <v>0.75</v>
      </c>
      <c r="G492" s="644">
        <f>'Weekday Hours'!R24</f>
        <v>1</v>
      </c>
      <c r="H492" s="571" t="str">
        <f>'Weekend Hours'!P23</f>
        <v>Peak</v>
      </c>
      <c r="I492" s="643">
        <f>'Weekend Hours'!Q23</f>
        <v>0.6</v>
      </c>
      <c r="J492" s="644">
        <f>'Weekend Hours'!R23</f>
        <v>0.8</v>
      </c>
      <c r="L492" s="117">
        <f>ROW()</f>
        <v>492</v>
      </c>
    </row>
    <row r="493" spans="2:12" ht="14.1" customHeight="1">
      <c r="B493" s="3659"/>
      <c r="C493" s="3659"/>
      <c r="D493" s="3682"/>
      <c r="E493" s="572" t="str">
        <f>'Weekday Hours'!P25</f>
        <v>P.M. Post-peak</v>
      </c>
      <c r="F493" s="2315">
        <f>'Weekday Hours'!Q25</f>
        <v>0.6</v>
      </c>
      <c r="G493" s="2316">
        <f>'Weekday Hours'!R25</f>
        <v>1.5</v>
      </c>
      <c r="H493" s="572" t="str">
        <f>'Weekend Hours'!P24</f>
        <v>Late Shoulder</v>
      </c>
      <c r="I493" s="2315">
        <f>'Weekend Hours'!Q24</f>
        <v>0.8</v>
      </c>
      <c r="J493" s="2316">
        <f>'Weekend Hours'!R24</f>
        <v>0.9</v>
      </c>
      <c r="L493" s="117">
        <f>ROW()</f>
        <v>493</v>
      </c>
    </row>
    <row r="494" spans="2:12" ht="14.1" customHeight="1">
      <c r="L494" s="117">
        <f>ROW()</f>
        <v>494</v>
      </c>
    </row>
    <row r="495" spans="2:12" ht="14.1" customHeight="1">
      <c r="B495" s="2" t="s">
        <v>1881</v>
      </c>
      <c r="L495" s="117">
        <f>ROW()</f>
        <v>495</v>
      </c>
    </row>
    <row r="496" spans="2:12" ht="14.1" customHeight="1">
      <c r="L496" s="117">
        <f>ROW()</f>
        <v>496</v>
      </c>
    </row>
    <row r="497" spans="2:12" ht="14.1" customHeight="1">
      <c r="B497" s="3787" t="s">
        <v>3874</v>
      </c>
      <c r="C497" s="3779"/>
      <c r="D497" s="3779"/>
      <c r="E497" s="3779"/>
      <c r="F497" s="3779"/>
      <c r="G497" s="3779"/>
      <c r="H497" s="3779"/>
      <c r="I497" s="3779"/>
      <c r="L497" s="117">
        <f>ROW()</f>
        <v>497</v>
      </c>
    </row>
    <row r="498" spans="2:12" ht="14.1" customHeight="1">
      <c r="B498" s="3779"/>
      <c r="C498" s="3779"/>
      <c r="D498" s="3779"/>
      <c r="E498" s="3779"/>
      <c r="F498" s="3779"/>
      <c r="G498" s="3779"/>
      <c r="H498" s="3779"/>
      <c r="I498" s="3779"/>
      <c r="L498" s="117">
        <f>ROW()</f>
        <v>498</v>
      </c>
    </row>
    <row r="499" spans="2:12" ht="14.1" customHeight="1">
      <c r="C499" s="1584"/>
      <c r="D499" s="1544"/>
      <c r="E499" s="113"/>
      <c r="L499" s="117">
        <f>ROW()</f>
        <v>499</v>
      </c>
    </row>
    <row r="500" spans="2:12" ht="14.1" customHeight="1">
      <c r="C500" s="1792" t="s">
        <v>781</v>
      </c>
      <c r="D500" s="113"/>
      <c r="E500" s="113"/>
      <c r="F500" s="2311" t="s">
        <v>2065</v>
      </c>
      <c r="G500" s="2311" t="s">
        <v>2692</v>
      </c>
      <c r="H500" s="2314" t="s">
        <v>1067</v>
      </c>
      <c r="J500" s="3829" t="s">
        <v>3878</v>
      </c>
      <c r="L500" s="117">
        <f>ROW()</f>
        <v>500</v>
      </c>
    </row>
    <row r="501" spans="2:12" ht="14.1" customHeight="1">
      <c r="B501" s="1584"/>
      <c r="D501" s="657"/>
      <c r="E501" s="657"/>
      <c r="F501" s="3819" t="s">
        <v>1107</v>
      </c>
      <c r="G501" s="3820"/>
      <c r="H501" s="3821"/>
      <c r="J501" s="3830"/>
      <c r="L501" s="117">
        <f>ROW()</f>
        <v>501</v>
      </c>
    </row>
    <row r="502" spans="2:12" ht="14.1" customHeight="1">
      <c r="B502" s="1584"/>
      <c r="D502" s="657"/>
      <c r="E502" s="657"/>
      <c r="F502" s="3822"/>
      <c r="G502" s="3823"/>
      <c r="H502" s="3824"/>
      <c r="J502" s="3830"/>
      <c r="L502" s="117">
        <f>ROW()</f>
        <v>502</v>
      </c>
    </row>
    <row r="503" spans="2:12" ht="14.1" customHeight="1">
      <c r="B503" s="1584"/>
      <c r="C503" s="2054" t="s">
        <v>3875</v>
      </c>
      <c r="D503" s="3802" t="s">
        <v>2233</v>
      </c>
      <c r="E503" s="3803"/>
      <c r="F503" s="3825"/>
      <c r="G503" s="3826"/>
      <c r="H503" s="3827"/>
      <c r="J503" s="3830"/>
      <c r="L503" s="117">
        <f>ROW()</f>
        <v>503</v>
      </c>
    </row>
    <row r="504" spans="2:12" ht="14.1" customHeight="1">
      <c r="C504" s="2317">
        <f>'Motor Vs'!G118</f>
        <v>6</v>
      </c>
      <c r="D504" s="253" t="str">
        <f>'Motor Vs'!G116</f>
        <v>11 pm - 5 am</v>
      </c>
      <c r="E504" s="684" t="str">
        <f>'Weekday Hours'!P19</f>
        <v>Graveyard</v>
      </c>
      <c r="F504" s="236">
        <f>'Weekday Hours'!T62</f>
        <v>3.4774377160509851E-2</v>
      </c>
      <c r="G504" s="236">
        <f>'Weekday Hours'!U62</f>
        <v>0.10122911966386694</v>
      </c>
      <c r="H504" s="236">
        <f>'Weekday Hours'!V62</f>
        <v>0.1745943240278571</v>
      </c>
      <c r="J504" s="3830"/>
      <c r="L504" s="117">
        <f>ROW()</f>
        <v>504</v>
      </c>
    </row>
    <row r="505" spans="2:12" ht="14.1" customHeight="1">
      <c r="C505" s="2317">
        <f>'Motor Vs'!H118</f>
        <v>1</v>
      </c>
      <c r="D505" s="253" t="str">
        <f>'Motor Vs'!H116</f>
        <v>5 am - 6 am</v>
      </c>
      <c r="E505" s="684" t="str">
        <f>'Weekday Hours'!P20</f>
        <v>A.M. Pre-peak</v>
      </c>
      <c r="F505" s="236">
        <f>'Weekday Hours'!T63</f>
        <v>5.2542158476622504E-2</v>
      </c>
      <c r="G505" s="236">
        <f>'Weekday Hours'!U63</f>
        <v>1.0165605680828938E-2</v>
      </c>
      <c r="H505" s="236">
        <f>'Weekday Hours'!V63</f>
        <v>3.5173647538809284E-2</v>
      </c>
      <c r="J505" s="3830"/>
      <c r="L505" s="117">
        <f>ROW()</f>
        <v>505</v>
      </c>
    </row>
    <row r="506" spans="2:12" ht="14.1" customHeight="1">
      <c r="C506" s="2317">
        <f>'Motor Vs'!I118</f>
        <v>3</v>
      </c>
      <c r="D506" s="253" t="str">
        <f>'Motor Vs'!I116</f>
        <v>6 am - 9 am</v>
      </c>
      <c r="E506" s="684" t="str">
        <f>'Weekday Hours'!P21</f>
        <v>A.M. Peak</v>
      </c>
      <c r="F506" s="236">
        <f>'Weekday Hours'!T64</f>
        <v>0.32329562193577821</v>
      </c>
      <c r="G506" s="236">
        <f>'Weekday Hours'!U64</f>
        <v>8.6035622937990705E-2</v>
      </c>
      <c r="H506" s="236">
        <f>'Weekday Hours'!V64</f>
        <v>0.1217395935932313</v>
      </c>
      <c r="J506" s="3830"/>
      <c r="L506" s="117">
        <f>ROW()</f>
        <v>506</v>
      </c>
    </row>
    <row r="507" spans="2:12" ht="14.1" customHeight="1">
      <c r="C507" s="2317">
        <f>'Motor Vs'!J118</f>
        <v>1</v>
      </c>
      <c r="D507" s="253" t="str">
        <f>'Motor Vs'!J116</f>
        <v>9 am - 10 am</v>
      </c>
      <c r="E507" s="684" t="str">
        <f>'Weekday Hours'!P22</f>
        <v>A.M. Post-peak</v>
      </c>
      <c r="F507" s="236">
        <f>'Weekday Hours'!T65</f>
        <v>7.7685085667039425E-2</v>
      </c>
      <c r="G507" s="236">
        <f>'Weekday Hours'!U65</f>
        <v>5.1030902605753624E-2</v>
      </c>
      <c r="H507" s="236">
        <f>'Weekday Hours'!V65</f>
        <v>3.6003631125768515E-2</v>
      </c>
      <c r="J507" s="3830"/>
      <c r="L507" s="117">
        <f>ROW()</f>
        <v>507</v>
      </c>
    </row>
    <row r="508" spans="2:12" ht="14.1" customHeight="1">
      <c r="C508" s="2317">
        <f>'Motor Vs'!K118</f>
        <v>4</v>
      </c>
      <c r="D508" s="253" t="str">
        <f>'Motor Vs'!K116</f>
        <v>10 am - 2 pm</v>
      </c>
      <c r="E508" s="684" t="str">
        <f>'Weekday Hours'!P23</f>
        <v>Midday Peak</v>
      </c>
      <c r="F508" s="236">
        <f>'Weekday Hours'!T66</f>
        <v>0.21198723025228811</v>
      </c>
      <c r="G508" s="236">
        <f>'Weekday Hours'!U66</f>
        <v>0.19276532032773872</v>
      </c>
      <c r="H508" s="236">
        <f>'Weekday Hours'!V66</f>
        <v>0.15481311843790296</v>
      </c>
      <c r="J508" s="3830"/>
      <c r="L508" s="117">
        <f>ROW()</f>
        <v>508</v>
      </c>
    </row>
    <row r="509" spans="2:12" ht="14.1" customHeight="1">
      <c r="C509" s="2317">
        <f>'Motor Vs'!L118</f>
        <v>6</v>
      </c>
      <c r="D509" s="253" t="str">
        <f>'Motor Vs'!L116</f>
        <v xml:space="preserve">2 pm - 8 pm </v>
      </c>
      <c r="E509" s="684" t="str">
        <f>'Weekday Hours'!P24</f>
        <v>P.M. Peak</v>
      </c>
      <c r="F509" s="236">
        <f>'Weekday Hours'!T67</f>
        <v>0.23450542496050372</v>
      </c>
      <c r="G509" s="236">
        <f>'Weekday Hours'!U67</f>
        <v>0.42543582042105477</v>
      </c>
      <c r="H509" s="236">
        <f>'Weekday Hours'!V67</f>
        <v>0.31397306097233896</v>
      </c>
      <c r="J509" s="3830"/>
      <c r="L509" s="117">
        <f>ROW()</f>
        <v>509</v>
      </c>
    </row>
    <row r="510" spans="2:12" ht="14.1" customHeight="1">
      <c r="C510" s="2317">
        <f>'Motor Vs'!M118</f>
        <v>3</v>
      </c>
      <c r="D510" s="253" t="str">
        <f>'Motor Vs'!M116</f>
        <v>8 pm - 11 pm</v>
      </c>
      <c r="E510" s="684" t="str">
        <f>'Weekday Hours'!P25</f>
        <v>P.M. Post-peak</v>
      </c>
      <c r="F510" s="236">
        <f>'Weekday Hours'!T68</f>
        <v>6.5210101547258273E-2</v>
      </c>
      <c r="G510" s="236">
        <f>'Weekday Hours'!U68</f>
        <v>0.13333760836276631</v>
      </c>
      <c r="H510" s="236">
        <f>'Weekday Hours'!V68</f>
        <v>0.16370262430409191</v>
      </c>
      <c r="J510" s="3830"/>
      <c r="L510" s="117">
        <f>ROW()</f>
        <v>510</v>
      </c>
    </row>
    <row r="511" spans="2:12" ht="14.1" customHeight="1">
      <c r="D511" s="6"/>
      <c r="E511" s="6"/>
      <c r="F511" s="236">
        <f>'Weekday Hours'!T69</f>
        <v>1.0000000000000002</v>
      </c>
      <c r="G511" s="236">
        <f>'Weekday Hours'!U69</f>
        <v>1</v>
      </c>
      <c r="H511" s="236">
        <f>'Weekday Hours'!V69</f>
        <v>1.0000000000000002</v>
      </c>
      <c r="J511" s="3830"/>
      <c r="L511" s="117">
        <f>ROW()</f>
        <v>511</v>
      </c>
    </row>
    <row r="512" spans="2:12" ht="14.1" customHeight="1">
      <c r="J512" s="3830"/>
      <c r="L512" s="117">
        <f>ROW()</f>
        <v>512</v>
      </c>
    </row>
    <row r="513" spans="2:12" ht="14.1" customHeight="1">
      <c r="C513" s="1792" t="s">
        <v>1975</v>
      </c>
      <c r="D513" s="113"/>
      <c r="E513" s="113"/>
      <c r="F513" s="2311" t="s">
        <v>2065</v>
      </c>
      <c r="G513" s="2311" t="s">
        <v>2692</v>
      </c>
      <c r="H513" s="2314" t="s">
        <v>1067</v>
      </c>
      <c r="J513" s="3830"/>
      <c r="L513" s="117">
        <f>ROW()</f>
        <v>513</v>
      </c>
    </row>
    <row r="514" spans="2:12" ht="14.1" customHeight="1">
      <c r="D514" s="657"/>
      <c r="E514" s="657"/>
      <c r="F514" s="3819" t="s">
        <v>1107</v>
      </c>
      <c r="G514" s="3820"/>
      <c r="H514" s="3821"/>
      <c r="J514" s="3830"/>
      <c r="L514" s="117">
        <f>ROW()</f>
        <v>514</v>
      </c>
    </row>
    <row r="515" spans="2:12" ht="14.1" customHeight="1">
      <c r="D515" s="657"/>
      <c r="E515" s="657"/>
      <c r="F515" s="3822"/>
      <c r="G515" s="3823"/>
      <c r="H515" s="3824"/>
      <c r="J515" s="3830"/>
      <c r="L515" s="117">
        <f>ROW()</f>
        <v>515</v>
      </c>
    </row>
    <row r="516" spans="2:12" ht="14.1" customHeight="1">
      <c r="D516" s="3802" t="s">
        <v>2233</v>
      </c>
      <c r="E516" s="3803"/>
      <c r="F516" s="3825"/>
      <c r="G516" s="3826"/>
      <c r="H516" s="3827"/>
      <c r="J516" s="3830"/>
      <c r="L516" s="117">
        <f>ROW()</f>
        <v>516</v>
      </c>
    </row>
    <row r="517" spans="2:12" ht="14.1" customHeight="1">
      <c r="C517" s="2317">
        <f>'Motor Vs Weekends'!G118</f>
        <v>10</v>
      </c>
      <c r="D517" s="253" t="str">
        <f>'Motor Vs Weekends'!G116</f>
        <v>Midnight-10 am</v>
      </c>
      <c r="E517" s="684" t="str">
        <f>'Weekend Hours'!P20</f>
        <v>Graveyard</v>
      </c>
      <c r="F517" s="944">
        <f>'Weekend Hours'!T62</f>
        <v>0.30889838189731578</v>
      </c>
      <c r="G517" s="944">
        <f>'Weekend Hours'!U62</f>
        <v>0.18027561129818534</v>
      </c>
      <c r="H517" s="944">
        <f>'Weekend Hours'!V62</f>
        <v>0.30708975836803903</v>
      </c>
      <c r="J517" s="3830"/>
      <c r="L517" s="117">
        <f>ROW()</f>
        <v>517</v>
      </c>
    </row>
    <row r="518" spans="2:12" ht="14.1" customHeight="1">
      <c r="C518" s="2317">
        <f>'Motor Vs Weekends'!H118</f>
        <v>2</v>
      </c>
      <c r="D518" s="253" t="str">
        <f>'Motor Vs Weekends'!H116</f>
        <v>10 am-Noon</v>
      </c>
      <c r="E518" s="684" t="str">
        <f>'Weekend Hours'!P21</f>
        <v>Early Shoulder</v>
      </c>
      <c r="F518" s="944">
        <f>'Weekend Hours'!T63</f>
        <v>0.1106516165526385</v>
      </c>
      <c r="G518" s="944">
        <f>'Weekend Hours'!U63</f>
        <v>7.7345916876528725E-2</v>
      </c>
      <c r="H518" s="944">
        <f>'Weekend Hours'!V63</f>
        <v>0.11000374291853143</v>
      </c>
      <c r="J518" s="3830"/>
      <c r="L518" s="117">
        <f>ROW()</f>
        <v>518</v>
      </c>
    </row>
    <row r="519" spans="2:12" ht="14.1" customHeight="1">
      <c r="C519" s="2317">
        <f>'Motor Vs Weekends'!I118+'Motor Vs Weekends'!K118</f>
        <v>7</v>
      </c>
      <c r="D519" s="253" t="s">
        <v>3876</v>
      </c>
      <c r="E519" s="684" t="str">
        <f>'Weekend Hours'!P22</f>
        <v>Shoulders</v>
      </c>
      <c r="F519" s="944">
        <f>'Weekend Hours'!T64</f>
        <v>0.40007884955301048</v>
      </c>
      <c r="G519" s="944">
        <f>'Weekend Hours'!U64</f>
        <v>0.41842090063715753</v>
      </c>
      <c r="H519" s="944">
        <f>'Weekend Hours'!V64</f>
        <v>0.35796272170313426</v>
      </c>
      <c r="J519" s="3830"/>
      <c r="L519" s="117">
        <f>ROW()</f>
        <v>519</v>
      </c>
    </row>
    <row r="520" spans="2:12" ht="14.1" customHeight="1">
      <c r="C520" s="2317">
        <f>'Motor Vs Weekends'!J118</f>
        <v>3</v>
      </c>
      <c r="D520" s="253" t="str">
        <f>'Motor Vs Weekends'!J116</f>
        <v>5 pm-8 pm</v>
      </c>
      <c r="E520" s="684" t="str">
        <f>'Weekend Hours'!P23</f>
        <v>Peak</v>
      </c>
      <c r="F520" s="944">
        <f>'Weekend Hours'!T65</f>
        <v>0.1120850441492954</v>
      </c>
      <c r="G520" s="944">
        <f>'Weekend Hours'!U65</f>
        <v>0.22900161604506891</v>
      </c>
      <c r="H520" s="944">
        <f>'Weekend Hours'!V65</f>
        <v>0.14857170358339225</v>
      </c>
      <c r="J520" s="3830"/>
      <c r="L520" s="117">
        <f>ROW()</f>
        <v>520</v>
      </c>
    </row>
    <row r="521" spans="2:12" ht="14.1" customHeight="1">
      <c r="C521" s="2317">
        <f>'Motor Vs Weekends'!K118</f>
        <v>2</v>
      </c>
      <c r="D521" s="253" t="str">
        <f>'Motor Vs Weekends'!L116</f>
        <v>10 pm-Midnight</v>
      </c>
      <c r="E521" s="684" t="str">
        <f>'Weekend Hours'!P24</f>
        <v>Late Shoulder</v>
      </c>
      <c r="F521" s="944">
        <f>'Weekend Hours'!T66</f>
        <v>6.8286107847739766E-2</v>
      </c>
      <c r="G521" s="944">
        <f>'Weekend Hours'!U66</f>
        <v>9.4955955143059378E-2</v>
      </c>
      <c r="H521" s="944">
        <f>'Weekend Hours'!V66</f>
        <v>7.6372073426902887E-2</v>
      </c>
      <c r="J521" s="3830"/>
      <c r="L521" s="117">
        <f>ROW()</f>
        <v>521</v>
      </c>
    </row>
    <row r="522" spans="2:12" ht="14.1" customHeight="1">
      <c r="F522" s="944">
        <f>'Weekend Hours'!T67</f>
        <v>1</v>
      </c>
      <c r="G522" s="944">
        <f>'Weekend Hours'!U67</f>
        <v>1</v>
      </c>
      <c r="H522" s="944">
        <f>'Weekend Hours'!V67</f>
        <v>0.99999999999999978</v>
      </c>
      <c r="J522" s="3831"/>
      <c r="L522" s="117">
        <f>ROW()</f>
        <v>522</v>
      </c>
    </row>
    <row r="523" spans="2:12" ht="14.1" customHeight="1">
      <c r="L523" s="117">
        <f>ROW()</f>
        <v>523</v>
      </c>
    </row>
    <row r="524" spans="2:12" ht="14.1" customHeight="1">
      <c r="B524" s="24" t="s">
        <v>1975</v>
      </c>
      <c r="L524" s="117">
        <f>ROW()</f>
        <v>524</v>
      </c>
    </row>
    <row r="525" spans="2:12" ht="14.1" customHeight="1">
      <c r="L525" s="117">
        <f>ROW()</f>
        <v>525</v>
      </c>
    </row>
    <row r="526" spans="2:12" ht="14.1" customHeight="1">
      <c r="B526" s="1" t="s">
        <v>3883</v>
      </c>
      <c r="I526" s="12">
        <f>Weekends!V148</f>
        <v>0.8505209452271516</v>
      </c>
      <c r="L526" s="117">
        <f>ROW()</f>
        <v>526</v>
      </c>
    </row>
    <row r="527" spans="2:12" ht="14.1" customHeight="1">
      <c r="B527" s="3754" t="s">
        <v>3884</v>
      </c>
      <c r="C527" s="3659"/>
      <c r="D527" s="3659"/>
      <c r="E527" s="3659"/>
      <c r="F527" s="3659"/>
      <c r="G527" s="3659"/>
      <c r="H527" s="3659"/>
      <c r="L527" s="117">
        <f>ROW()</f>
        <v>527</v>
      </c>
    </row>
    <row r="528" spans="2:12" ht="14.1" customHeight="1">
      <c r="B528" s="3659"/>
      <c r="C528" s="3659"/>
      <c r="D528" s="3659"/>
      <c r="E528" s="3659"/>
      <c r="F528" s="3659"/>
      <c r="G528" s="3659"/>
      <c r="H528" s="3659"/>
      <c r="L528" s="117">
        <f>ROW()</f>
        <v>528</v>
      </c>
    </row>
    <row r="529" spans="2:12" ht="14.1" customHeight="1">
      <c r="B529" s="3659"/>
      <c r="C529" s="3659"/>
      <c r="D529" s="3659"/>
      <c r="E529" s="3659"/>
      <c r="F529" s="3659"/>
      <c r="G529" s="3659"/>
      <c r="H529" s="3659"/>
      <c r="L529" s="117">
        <f>ROW()</f>
        <v>529</v>
      </c>
    </row>
    <row r="530" spans="2:12" ht="14.1" customHeight="1">
      <c r="B530" s="3659"/>
      <c r="C530" s="3659"/>
      <c r="D530" s="3659"/>
      <c r="E530" s="3659"/>
      <c r="F530" s="3659"/>
      <c r="G530" s="3659"/>
      <c r="H530" s="3659"/>
      <c r="L530" s="117">
        <f>ROW()</f>
        <v>530</v>
      </c>
    </row>
    <row r="531" spans="2:12" ht="14.1" customHeight="1">
      <c r="L531" s="117">
        <f>ROW()</f>
        <v>531</v>
      </c>
    </row>
    <row r="532" spans="2:12" ht="14.1" customHeight="1">
      <c r="B532" s="24" t="s">
        <v>3885</v>
      </c>
      <c r="L532" s="117">
        <f>ROW()</f>
        <v>532</v>
      </c>
    </row>
    <row r="533" spans="2:12" ht="14.1" customHeight="1">
      <c r="L533" s="117">
        <f>ROW()</f>
        <v>533</v>
      </c>
    </row>
    <row r="534" spans="2:12" ht="14.1" customHeight="1">
      <c r="B534" s="1" t="s">
        <v>3886</v>
      </c>
      <c r="L534" s="117">
        <f>ROW()</f>
        <v>534</v>
      </c>
    </row>
    <row r="535" spans="2:12" ht="14.1" customHeight="1">
      <c r="B535" s="2318" t="s">
        <v>5710</v>
      </c>
      <c r="L535" s="117">
        <f>ROW()</f>
        <v>535</v>
      </c>
    </row>
    <row r="536" spans="2:12" ht="14.1" customHeight="1">
      <c r="B536" s="3787" t="s">
        <v>5711</v>
      </c>
      <c r="C536" s="3779"/>
      <c r="D536" s="3779"/>
      <c r="E536" s="3779"/>
      <c r="F536" s="3779"/>
      <c r="G536" s="3779"/>
      <c r="H536" s="3779"/>
      <c r="L536" s="117">
        <f>ROW()</f>
        <v>536</v>
      </c>
    </row>
    <row r="537" spans="2:12" ht="14.1" customHeight="1">
      <c r="B537" s="3779"/>
      <c r="C537" s="3779"/>
      <c r="D537" s="3779"/>
      <c r="E537" s="3779"/>
      <c r="F537" s="3779"/>
      <c r="G537" s="3779"/>
      <c r="H537" s="3779"/>
      <c r="L537" s="117">
        <f>ROW()</f>
        <v>537</v>
      </c>
    </row>
    <row r="538" spans="2:12" ht="14.1" customHeight="1">
      <c r="B538" s="3779"/>
      <c r="C538" s="3779"/>
      <c r="D538" s="3779"/>
      <c r="E538" s="3779"/>
      <c r="F538" s="3779"/>
      <c r="G538" s="3779"/>
      <c r="H538" s="3779"/>
      <c r="L538" s="117">
        <f>ROW()</f>
        <v>538</v>
      </c>
    </row>
    <row r="539" spans="2:12" ht="14.1" customHeight="1">
      <c r="B539" s="3779"/>
      <c r="C539" s="3779"/>
      <c r="D539" s="3779"/>
      <c r="E539" s="3779"/>
      <c r="F539" s="3779"/>
      <c r="G539" s="3779"/>
      <c r="H539" s="3779"/>
      <c r="L539" s="117">
        <f>ROW()</f>
        <v>539</v>
      </c>
    </row>
    <row r="540" spans="2:12" s="3242" customFormat="1" ht="14.1" customHeight="1">
      <c r="B540" s="3779"/>
      <c r="C540" s="3779"/>
      <c r="D540" s="3779"/>
      <c r="E540" s="3779"/>
      <c r="F540" s="3779"/>
      <c r="G540" s="3779"/>
      <c r="H540" s="3779"/>
      <c r="L540" s="117">
        <f>ROW()</f>
        <v>540</v>
      </c>
    </row>
    <row r="541" spans="2:12" ht="14.1" customHeight="1">
      <c r="L541" s="117">
        <f>ROW()</f>
        <v>541</v>
      </c>
    </row>
    <row r="542" spans="2:12" ht="14.1" customHeight="1">
      <c r="B542" s="1" t="s">
        <v>3887</v>
      </c>
      <c r="L542" s="117">
        <f>ROW()</f>
        <v>542</v>
      </c>
    </row>
    <row r="543" spans="2:12" ht="14.1" customHeight="1">
      <c r="L543" s="117">
        <f>ROW()</f>
        <v>543</v>
      </c>
    </row>
    <row r="544" spans="2:12" ht="14.1" customHeight="1">
      <c r="B544" s="24" t="s">
        <v>3888</v>
      </c>
      <c r="L544" s="117">
        <f>ROW()</f>
        <v>544</v>
      </c>
    </row>
    <row r="545" spans="2:12" ht="14.1" customHeight="1">
      <c r="L545" s="117">
        <f>ROW()</f>
        <v>545</v>
      </c>
    </row>
    <row r="546" spans="2:12" ht="14.1" customHeight="1">
      <c r="B546" s="1" t="s">
        <v>3889</v>
      </c>
      <c r="L546" s="117">
        <f>ROW()</f>
        <v>546</v>
      </c>
    </row>
    <row r="547" spans="2:12" ht="14.1" customHeight="1">
      <c r="B547" s="2318" t="s">
        <v>5712</v>
      </c>
      <c r="L547" s="117">
        <f>ROW()</f>
        <v>547</v>
      </c>
    </row>
    <row r="548" spans="2:12" ht="14.1" customHeight="1">
      <c r="B548" s="3787" t="s">
        <v>5713</v>
      </c>
      <c r="C548" s="3779"/>
      <c r="D548" s="3779"/>
      <c r="E548" s="3779"/>
      <c r="F548" s="3779"/>
      <c r="G548" s="3779"/>
      <c r="H548" s="3779"/>
      <c r="L548" s="117">
        <f>ROW()</f>
        <v>548</v>
      </c>
    </row>
    <row r="549" spans="2:12" ht="14.1" customHeight="1">
      <c r="B549" s="3779"/>
      <c r="C549" s="3779"/>
      <c r="D549" s="3779"/>
      <c r="E549" s="3779"/>
      <c r="F549" s="3779"/>
      <c r="G549" s="3779"/>
      <c r="H549" s="3779"/>
      <c r="L549" s="117">
        <f>ROW()</f>
        <v>549</v>
      </c>
    </row>
    <row r="550" spans="2:12" ht="14.1" customHeight="1">
      <c r="B550" s="3779"/>
      <c r="C550" s="3779"/>
      <c r="D550" s="3779"/>
      <c r="E550" s="3779"/>
      <c r="F550" s="3779"/>
      <c r="G550" s="3779"/>
      <c r="H550" s="3779"/>
      <c r="L550" s="117">
        <f>ROW()</f>
        <v>550</v>
      </c>
    </row>
    <row r="551" spans="2:12" ht="14.1" customHeight="1">
      <c r="B551" s="3779"/>
      <c r="C551" s="3779"/>
      <c r="D551" s="3779"/>
      <c r="E551" s="3779"/>
      <c r="F551" s="3779"/>
      <c r="G551" s="3779"/>
      <c r="H551" s="3779"/>
      <c r="L551" s="117">
        <f>ROW()</f>
        <v>551</v>
      </c>
    </row>
    <row r="552" spans="2:12" ht="14.1" customHeight="1">
      <c r="B552" s="3779"/>
      <c r="C552" s="3779"/>
      <c r="D552" s="3779"/>
      <c r="E552" s="3779"/>
      <c r="F552" s="3779"/>
      <c r="G552" s="3779"/>
      <c r="H552" s="3779"/>
      <c r="L552" s="117">
        <f>ROW()</f>
        <v>552</v>
      </c>
    </row>
    <row r="553" spans="2:12" ht="14.1" customHeight="1">
      <c r="B553" s="3779"/>
      <c r="C553" s="3779"/>
      <c r="D553" s="3779"/>
      <c r="E553" s="3779"/>
      <c r="F553" s="3779"/>
      <c r="G553" s="3779"/>
      <c r="H553" s="3779"/>
      <c r="L553" s="117">
        <f>ROW()</f>
        <v>553</v>
      </c>
    </row>
    <row r="554" spans="2:12" ht="14.1" customHeight="1">
      <c r="B554" s="1" t="s">
        <v>3887</v>
      </c>
      <c r="L554" s="117">
        <f>ROW()</f>
        <v>554</v>
      </c>
    </row>
    <row r="555" spans="2:12" ht="14.1" customHeight="1">
      <c r="L555" s="117">
        <f>ROW()</f>
        <v>555</v>
      </c>
    </row>
    <row r="556" spans="2:12" ht="14.1" customHeight="1">
      <c r="B556" s="24" t="s">
        <v>2919</v>
      </c>
      <c r="L556" s="117">
        <f>ROW()</f>
        <v>556</v>
      </c>
    </row>
    <row r="557" spans="2:12" ht="14.1" customHeight="1">
      <c r="B557" s="2"/>
      <c r="L557" s="117">
        <f>ROW()</f>
        <v>557</v>
      </c>
    </row>
    <row r="558" spans="2:12" ht="14.1" customHeight="1">
      <c r="B558" s="1" t="s">
        <v>3868</v>
      </c>
      <c r="I558" s="10">
        <f>VMT!G50</f>
        <v>24081.540060392937</v>
      </c>
      <c r="L558" s="117">
        <f>ROW()</f>
        <v>558</v>
      </c>
    </row>
    <row r="559" spans="2:12" ht="14.1" customHeight="1">
      <c r="B559" t="str">
        <f>CONCATENATE("See 'VMT' worksheet, Row ",VMT!O51, " for documentation.")</f>
        <v>See 'VMT' worksheet, Row 51 for documentation.</v>
      </c>
      <c r="L559" s="117">
        <f>ROW()</f>
        <v>559</v>
      </c>
    </row>
    <row r="560" spans="2:12" ht="14.1" customHeight="1">
      <c r="B560" s="1" t="s">
        <v>3867</v>
      </c>
      <c r="I560" s="23">
        <f>VMT!G56</f>
        <v>0.75</v>
      </c>
      <c r="L560" s="117">
        <f>ROW()</f>
        <v>560</v>
      </c>
    </row>
    <row r="561" spans="2:12" ht="14.1" customHeight="1">
      <c r="B561" s="265" t="s">
        <v>3866</v>
      </c>
      <c r="L561" s="117">
        <f>ROW()</f>
        <v>561</v>
      </c>
    </row>
    <row r="562" spans="2:12" ht="14.1" customHeight="1">
      <c r="B562" t="str">
        <f>VMT!B261</f>
        <v>Percent of cordon-bound vehicle trips made by NYC residents (pertains to "into" + "thru" CBD trips alike)</v>
      </c>
      <c r="I562" s="22">
        <f>VMT!J261</f>
        <v>0.56895204791072718</v>
      </c>
      <c r="L562" s="117">
        <f>ROW()</f>
        <v>562</v>
      </c>
    </row>
    <row r="563" spans="2:12" s="3242" customFormat="1" ht="14.1" customHeight="1">
      <c r="B563" s="265" t="str">
        <f>CONCATENATE("Appears in 'VMT' tab, Row ",VMT!O261, ", but is derived in 'Incidence' tab, Row ",Incidence!AA187, ".")</f>
        <v>Appears in 'VMT' tab, Row 261, but is derived in 'Incidence' tab, Row 187.</v>
      </c>
      <c r="I563" s="22"/>
      <c r="L563" s="117">
        <f>ROW()</f>
        <v>563</v>
      </c>
    </row>
    <row r="564" spans="2:12" ht="14.1" customHeight="1">
      <c r="B564" t="str">
        <f>VMT!B263</f>
        <v xml:space="preserve">Percent of VMT occurring within city limits, for cordon-bound vehicle trips made by NYC residents </v>
      </c>
      <c r="I564" s="23">
        <f>VMT!J263</f>
        <v>0.75</v>
      </c>
      <c r="L564" s="117">
        <f>ROW()</f>
        <v>564</v>
      </c>
    </row>
    <row r="565" spans="2:12" ht="14.1" customHeight="1">
      <c r="B565" t="str">
        <f>VMT!B265</f>
        <v>Percent of cordon-bound vehicle trips made by non-NYC residents</v>
      </c>
      <c r="I565" s="22">
        <f>VMT!J265</f>
        <v>0.43104795208927282</v>
      </c>
      <c r="L565" s="117">
        <f>ROW()</f>
        <v>565</v>
      </c>
    </row>
    <row r="566" spans="2:12" s="3242" customFormat="1" ht="14.1" customHeight="1">
      <c r="B566" s="265" t="str">
        <f>CONCATENATE("Complement of Row ",L562, " here.")</f>
        <v>Complement of Row 562 here.</v>
      </c>
      <c r="I566" s="22"/>
      <c r="L566" s="117">
        <f>ROW()</f>
        <v>566</v>
      </c>
    </row>
    <row r="567" spans="2:12" ht="14.1" customHeight="1">
      <c r="B567" t="str">
        <f>VMT!B267</f>
        <v xml:space="preserve">Percent of VMT occurring within city limits, for cordon-bound vehicle trips made by non-NYC residents </v>
      </c>
      <c r="I567" s="23">
        <f>VMT!J267</f>
        <v>0.6</v>
      </c>
      <c r="L567" s="117">
        <f>ROW()</f>
        <v>567</v>
      </c>
    </row>
    <row r="568" spans="2:12" s="3242" customFormat="1" ht="14.1" customHeight="1">
      <c r="B568" s="265" t="str">
        <f>CONCATENATE("Komanoff assumption, appears in 'VMT' tab, Row ",VMT!O267, ".")</f>
        <v>Komanoff assumption, appears in 'VMT' tab, Row 267.</v>
      </c>
      <c r="I568" s="23"/>
      <c r="L568" s="117">
        <f>ROW()</f>
        <v>568</v>
      </c>
    </row>
    <row r="569" spans="2:12" ht="14.1" customHeight="1">
      <c r="B569" t="str">
        <f>VMT!B269</f>
        <v>Percent of outside-cordon VMT in all cordon-bound vehicle trips that occurs within the city limits</v>
      </c>
      <c r="I569" s="22">
        <f>VMT!J269</f>
        <v>0.685342807186609</v>
      </c>
      <c r="L569" s="117">
        <f>ROW()</f>
        <v>569</v>
      </c>
    </row>
    <row r="570" spans="2:12" ht="14.1" customHeight="1">
      <c r="B570" s="3754" t="str">
        <f>CONCATENATE("Figures in Rows ",L562, "-",L567, " are specified and justified in 'VMT' worksheet, Rows ",VMT!O262, "-",VMT!O268, ". Figure in Row ",L569, " here follows algebraically from the preceding four.")</f>
        <v>Figures in Rows 562-567 are specified and justified in 'VMT' worksheet, Rows 262-268. Figure in Row 569 here follows algebraically from the preceding four.</v>
      </c>
      <c r="C570" s="3659"/>
      <c r="D570" s="3659"/>
      <c r="E570" s="3659"/>
      <c r="F570" s="3659"/>
      <c r="G570" s="3659"/>
      <c r="H570" s="3659"/>
      <c r="L570" s="117">
        <f>ROW()</f>
        <v>570</v>
      </c>
    </row>
    <row r="571" spans="2:12" ht="14.1" customHeight="1">
      <c r="B571" s="3659"/>
      <c r="C571" s="3659"/>
      <c r="D571" s="3659"/>
      <c r="E571" s="3659"/>
      <c r="F571" s="3659"/>
      <c r="G571" s="3659"/>
      <c r="H571" s="3659"/>
      <c r="L571" s="117">
        <f>ROW()</f>
        <v>571</v>
      </c>
    </row>
    <row r="572" spans="2:12" ht="14.1" customHeight="1">
      <c r="L572" s="117">
        <f>ROW()</f>
        <v>572</v>
      </c>
    </row>
    <row r="573" spans="2:12" ht="14.1" customHeight="1">
      <c r="B573" s="24" t="s">
        <v>1425</v>
      </c>
      <c r="L573" s="117">
        <f>ROW()</f>
        <v>573</v>
      </c>
    </row>
    <row r="574" spans="2:12" ht="14.1" customHeight="1">
      <c r="L574" s="117">
        <f>ROW()</f>
        <v>574</v>
      </c>
    </row>
    <row r="575" spans="2:12" ht="14.1" customHeight="1">
      <c r="B575" s="1" t="str">
        <f>CONCATENATE("Auto elasticities (including taxicabs) are shown and referenced in Rows ",L186, "-",L191, ", above.")</f>
        <v>Auto elasticities (including taxicabs) are shown and referenced in Rows 186-191, above.</v>
      </c>
      <c r="L575" s="117">
        <f>ROW()</f>
        <v>575</v>
      </c>
    </row>
    <row r="576" spans="2:12" ht="14.1" customHeight="1">
      <c r="B576" s="1" t="str">
        <f>CONCATENATE("Time-of-travel-switching elasticities are shown and referenced in Rows ",L201, "-",L208, ", above.")</f>
        <v>Time-of-travel-switching elasticities are shown and referenced in Rows 201-208, above.</v>
      </c>
      <c r="L576" s="117">
        <f>ROW()</f>
        <v>576</v>
      </c>
    </row>
    <row r="577" spans="2:12" ht="14.1" customHeight="1">
      <c r="B577" s="1" t="str">
        <f>CONCATENATE("Transit elasticities are shown and referenced in Rows ",L398, "-",L404, ", above.")</f>
        <v>Transit elasticities are shown and referenced in Rows 398-404, above.</v>
      </c>
      <c r="L577" s="117">
        <f>ROW()</f>
        <v>577</v>
      </c>
    </row>
    <row r="578" spans="2:12" ht="14.1" customHeight="1">
      <c r="B578" s="1" t="str">
        <f>CONCATENATE("Cross-elasticities (between modes) are shown and referenced in Rows ",L418, "-",L426, ", above.")</f>
        <v>Cross-elasticities (between modes) are shown and referenced in Rows 418-426, above.</v>
      </c>
      <c r="L578" s="117">
        <f>ROW()</f>
        <v>578</v>
      </c>
    </row>
    <row r="579" spans="2:12" ht="14.1" customHeight="1">
      <c r="L579" s="117">
        <f>ROW()</f>
        <v>579</v>
      </c>
    </row>
    <row r="580" spans="2:12" ht="14.1" customHeight="1">
      <c r="B580" s="1" t="s">
        <v>3890</v>
      </c>
      <c r="F580" s="3754" t="str">
        <f>CONCATENATE("Komanoff assumptions. Shown in 'Elasticities', Rows ",Elasticities!O173, "-",Elasticities!O176, ".")</f>
        <v>Komanoff assumptions. Shown in 'Elasticities', Rows 173-176.</v>
      </c>
      <c r="L580" s="117">
        <f>ROW()</f>
        <v>580</v>
      </c>
    </row>
    <row r="581" spans="2:12" ht="14.1" customHeight="1">
      <c r="B581" s="312" t="s">
        <v>623</v>
      </c>
      <c r="F581" s="3659"/>
      <c r="G581" s="2319">
        <f>Elasticities!J62</f>
        <v>0.33333333333333331</v>
      </c>
      <c r="L581" s="117">
        <f>ROW()</f>
        <v>581</v>
      </c>
    </row>
    <row r="582" spans="2:12" ht="14.1" customHeight="1">
      <c r="B582" s="312" t="s">
        <v>624</v>
      </c>
      <c r="F582" s="3659"/>
      <c r="G582" s="2319">
        <f>Elasticities!J63</f>
        <v>0.2</v>
      </c>
      <c r="L582" s="117">
        <f>ROW()</f>
        <v>582</v>
      </c>
    </row>
    <row r="583" spans="2:12" ht="14.1" customHeight="1">
      <c r="B583" s="312" t="s">
        <v>625</v>
      </c>
      <c r="F583" s="3659"/>
      <c r="G583" s="2319">
        <f>Elasticities!J64</f>
        <v>0.33333333333333331</v>
      </c>
      <c r="L583" s="117">
        <f>ROW()</f>
        <v>583</v>
      </c>
    </row>
    <row r="584" spans="2:12" ht="14.1" customHeight="1">
      <c r="B584" s="312" t="s">
        <v>626</v>
      </c>
      <c r="F584" s="3659"/>
      <c r="G584" s="2319" t="str">
        <f>Elasticities!J65</f>
        <v>NA</v>
      </c>
      <c r="H584" s="7" t="s">
        <v>1540</v>
      </c>
      <c r="L584" s="117">
        <f>ROW()</f>
        <v>584</v>
      </c>
    </row>
    <row r="585" spans="2:12" ht="14.1" customHeight="1">
      <c r="L585" s="117">
        <f>ROW()</f>
        <v>585</v>
      </c>
    </row>
    <row r="586" spans="2:12" ht="14.1" customHeight="1">
      <c r="B586" s="24" t="s">
        <v>2308</v>
      </c>
      <c r="L586" s="117">
        <f>ROW()</f>
        <v>586</v>
      </c>
    </row>
    <row r="587" spans="2:12" ht="14.1" customHeight="1">
      <c r="L587" s="117">
        <f>ROW()</f>
        <v>587</v>
      </c>
    </row>
    <row r="588" spans="2:12" ht="14.1" customHeight="1">
      <c r="B588" s="2" t="s">
        <v>2103</v>
      </c>
      <c r="L588" s="117">
        <f>ROW()</f>
        <v>588</v>
      </c>
    </row>
    <row r="589" spans="2:12" ht="14.1" customHeight="1">
      <c r="L589" s="117">
        <f>ROW()</f>
        <v>589</v>
      </c>
    </row>
    <row r="590" spans="2:12" ht="14.1" customHeight="1">
      <c r="B590" s="1" t="s">
        <v>3741</v>
      </c>
      <c r="I590" s="2320">
        <f>Cordon!H13</f>
        <v>224000000</v>
      </c>
      <c r="L590" s="117">
        <f>ROW()</f>
        <v>590</v>
      </c>
    </row>
    <row r="591" spans="2:12" ht="14.1" customHeight="1">
      <c r="B591" s="265" t="s">
        <v>3893</v>
      </c>
      <c r="L591" s="117">
        <f>ROW()</f>
        <v>591</v>
      </c>
    </row>
    <row r="592" spans="2:12" ht="14.1" customHeight="1">
      <c r="B592" s="1" t="s">
        <v>3894</v>
      </c>
      <c r="I592">
        <f>Cordon!H25</f>
        <v>340</v>
      </c>
      <c r="L592" s="117">
        <f>ROW()</f>
        <v>592</v>
      </c>
    </row>
    <row r="593" spans="2:12" ht="14.1" customHeight="1">
      <c r="B593" s="265" t="s">
        <v>3895</v>
      </c>
      <c r="L593" s="117">
        <f>ROW()</f>
        <v>593</v>
      </c>
    </row>
    <row r="594" spans="2:12" ht="14.1" customHeight="1">
      <c r="B594" s="1" t="s">
        <v>3746</v>
      </c>
      <c r="I594" s="2320">
        <f>Cordon!H27</f>
        <v>500000</v>
      </c>
      <c r="L594" s="117">
        <f>ROW()</f>
        <v>594</v>
      </c>
    </row>
    <row r="595" spans="2:12" ht="14.1" customHeight="1">
      <c r="B595" s="265" t="str">
        <f>CONCATENATE("Ratio of Row ",L590, " to Row ",L594, ".")</f>
        <v>Ratio of Row 590 to Row 594.</v>
      </c>
      <c r="L595" s="117">
        <f>ROW()</f>
        <v>595</v>
      </c>
    </row>
    <row r="596" spans="2:12" ht="14.1" customHeight="1">
      <c r="B596" s="1" t="s">
        <v>3896</v>
      </c>
      <c r="I596" s="39">
        <f>Cordon!H32</f>
        <v>1</v>
      </c>
      <c r="L596" s="117">
        <f>ROW()</f>
        <v>596</v>
      </c>
    </row>
    <row r="597" spans="2:12" ht="14.1" customHeight="1">
      <c r="B597" s="1" t="s">
        <v>3897</v>
      </c>
      <c r="I597" s="39">
        <f>Cordon!H33</f>
        <v>1</v>
      </c>
      <c r="L597" s="117">
        <f>ROW()</f>
        <v>597</v>
      </c>
    </row>
    <row r="598" spans="2:12" ht="14.1" customHeight="1">
      <c r="B598" s="1" t="s">
        <v>3745</v>
      </c>
      <c r="I598" s="2320">
        <f>Cordon!H34</f>
        <v>2000000</v>
      </c>
      <c r="L598" s="117">
        <f>ROW()</f>
        <v>598</v>
      </c>
    </row>
    <row r="599" spans="2:12" ht="14.1" customHeight="1">
      <c r="B599" s="265" t="str">
        <f>CONCATENATE("Row ",L594, " times one plus Row ",L596, ", times one plus Row ",L597, ". Note that two adders are compounded.")</f>
        <v>Row 594 times one plus Row 596, times one plus Row 597. Note that two adders are compounded.</v>
      </c>
      <c r="L599" s="117">
        <f>ROW()</f>
        <v>599</v>
      </c>
    </row>
    <row r="600" spans="2:12" ht="14.1" customHeight="1">
      <c r="B600" s="1" t="s">
        <v>1228</v>
      </c>
      <c r="L600" s="117">
        <f>ROW()</f>
        <v>600</v>
      </c>
    </row>
    <row r="601" spans="2:12" ht="14.1" customHeight="1">
      <c r="B601" s="312" t="s">
        <v>3891</v>
      </c>
      <c r="I601">
        <f>Cordon!H42</f>
        <v>12</v>
      </c>
      <c r="L601" s="117">
        <f>ROW()</f>
        <v>601</v>
      </c>
    </row>
    <row r="602" spans="2:12" ht="14.1" customHeight="1">
      <c r="B602" s="312" t="s">
        <v>3892</v>
      </c>
      <c r="I602">
        <f>Cordon!H43</f>
        <v>6</v>
      </c>
      <c r="L602" s="117">
        <f>ROW()</f>
        <v>602</v>
      </c>
    </row>
    <row r="603" spans="2:12" ht="14.1" customHeight="1">
      <c r="B603" s="312" t="s">
        <v>3898</v>
      </c>
      <c r="I603">
        <f>Cordon!H44</f>
        <v>4</v>
      </c>
      <c r="L603" s="117">
        <f>ROW()</f>
        <v>603</v>
      </c>
    </row>
    <row r="604" spans="2:12" ht="14.1" customHeight="1">
      <c r="B604" s="312" t="s">
        <v>2860</v>
      </c>
      <c r="I604">
        <f>Cordon!H45</f>
        <v>22</v>
      </c>
      <c r="L604" s="117">
        <f>ROW()</f>
        <v>604</v>
      </c>
    </row>
    <row r="605" spans="2:12" ht="14.1" customHeight="1">
      <c r="B605" s="1" t="str">
        <f>CONCATENATE("Cost for all Locations (product of Rows ",L598, " and ",L604, ")")</f>
        <v>Cost for all Locations (product of Rows 598 and 604)</v>
      </c>
      <c r="I605" s="2320">
        <f>Cordon!H46</f>
        <v>44000000</v>
      </c>
      <c r="L605" s="117">
        <f>ROW()</f>
        <v>605</v>
      </c>
    </row>
    <row r="606" spans="2:12" ht="14.1" customHeight="1">
      <c r="B606" s="1" t="s">
        <v>3900</v>
      </c>
      <c r="I606">
        <f>Cordon!H53</f>
        <v>5</v>
      </c>
      <c r="L606" s="117">
        <f>ROW()</f>
        <v>606</v>
      </c>
    </row>
    <row r="607" spans="2:12" s="2" customFormat="1" ht="14.1" customHeight="1">
      <c r="B607" s="2" t="str">
        <f>CONCATENATE("Annualized capital cost (quotient of Rows ",L605, " and ",L606, ")")</f>
        <v>Annualized capital cost (quotient of Rows 605 and 606)</v>
      </c>
      <c r="I607" s="2321">
        <f>Cordon!H54</f>
        <v>20000000</v>
      </c>
      <c r="L607" s="638">
        <f>ROW()</f>
        <v>607</v>
      </c>
    </row>
    <row r="608" spans="2:12" ht="14.1" customHeight="1">
      <c r="L608" s="117">
        <f>ROW()</f>
        <v>608</v>
      </c>
    </row>
    <row r="609" spans="2:12" ht="14.1" customHeight="1">
      <c r="B609" s="2" t="s">
        <v>3905</v>
      </c>
      <c r="L609" s="117">
        <f>ROW()</f>
        <v>609</v>
      </c>
    </row>
    <row r="610" spans="2:12" ht="14.1" customHeight="1">
      <c r="L610" s="117">
        <f>ROW()</f>
        <v>610</v>
      </c>
    </row>
    <row r="611" spans="2:12" ht="14.1" customHeight="1">
      <c r="B611" s="1" t="s">
        <v>295</v>
      </c>
      <c r="I611" s="1122">
        <f ca="1">Cordon!H60</f>
        <v>500600</v>
      </c>
      <c r="L611" s="117">
        <f>ROW()</f>
        <v>611</v>
      </c>
    </row>
    <row r="612" spans="2:12" ht="14.1" customHeight="1">
      <c r="B612" s="265" t="str">
        <f>CONCATENATE("From 'Motor V's' worksheet, Row ",'Motor Vs'!O848, ",with taxi entries substracted from total.")</f>
        <v>From 'Motor V's' worksheet, Row 848,with taxi entries substracted from total.</v>
      </c>
      <c r="L612" s="117">
        <f>ROW()</f>
        <v>612</v>
      </c>
    </row>
    <row r="613" spans="2:12" ht="14.1" customHeight="1">
      <c r="B613" s="1" t="s">
        <v>5718</v>
      </c>
      <c r="I613" s="23">
        <f>Cordon!H77</f>
        <v>0.8</v>
      </c>
      <c r="L613" s="117">
        <f>ROW()</f>
        <v>613</v>
      </c>
    </row>
    <row r="614" spans="2:12" ht="14.1" customHeight="1">
      <c r="B614" s="1" t="s">
        <v>733</v>
      </c>
      <c r="E614" s="1892" t="s">
        <v>2093</v>
      </c>
      <c r="F614" s="1892" t="str">
        <f>Cordon!C83</f>
        <v>Other (cash)</v>
      </c>
      <c r="L614" s="117">
        <f>ROW()</f>
        <v>614</v>
      </c>
    </row>
    <row r="615" spans="2:12" ht="14.1" customHeight="1">
      <c r="E615" s="2322">
        <f>Cordon!D82</f>
        <v>0.15</v>
      </c>
      <c r="F615" s="2322">
        <f>Cordon!D83</f>
        <v>0.5</v>
      </c>
      <c r="L615" s="117">
        <f>ROW()</f>
        <v>615</v>
      </c>
    </row>
    <row r="616" spans="2:12" ht="14.1" customHeight="1">
      <c r="E616" s="7" t="str">
        <f>CONCATENATE("See 'Cordon' worksheet, Rows ",Cordon!L84, "-",Cordon!L87, ".")</f>
        <v>See 'Cordon' worksheet, Rows 84-87.</v>
      </c>
      <c r="L616" s="117">
        <f>ROW()</f>
        <v>616</v>
      </c>
    </row>
    <row r="617" spans="2:12" ht="14.1" customHeight="1">
      <c r="B617" s="1" t="s">
        <v>3751</v>
      </c>
      <c r="G617" s="3785" t="str">
        <f>CONCATENATE("Calculated from figures in
Rows ",L611, ", ",L613, " and ",L615, ".")</f>
        <v>Calculated from figures in
Rows 611, 613 and 615.</v>
      </c>
      <c r="H617" s="3785"/>
      <c r="I617" s="2320">
        <f ca="1">Cordon!H91</f>
        <v>60100</v>
      </c>
      <c r="L617" s="117">
        <f>ROW()</f>
        <v>617</v>
      </c>
    </row>
    <row r="618" spans="2:12" ht="14.1" customHeight="1">
      <c r="B618" s="1" t="s">
        <v>241</v>
      </c>
      <c r="G618" s="3785"/>
      <c r="H618" s="3785"/>
      <c r="I618" s="2320">
        <f ca="1">Cordon!H92</f>
        <v>50100</v>
      </c>
      <c r="L618" s="117">
        <f>ROW()</f>
        <v>618</v>
      </c>
    </row>
    <row r="619" spans="2:12" ht="14.1" customHeight="1">
      <c r="B619" s="1" t="s">
        <v>243</v>
      </c>
      <c r="F619" s="7"/>
      <c r="G619" s="7"/>
      <c r="I619" s="39">
        <f>Cordon!H96</f>
        <v>1</v>
      </c>
      <c r="L619" s="117">
        <f>ROW()</f>
        <v>619</v>
      </c>
    </row>
    <row r="620" spans="2:12" ht="14.1" customHeight="1">
      <c r="B620" s="2" t="s">
        <v>3901</v>
      </c>
      <c r="I620" s="2321">
        <f ca="1">Cordon!H97</f>
        <v>55100000</v>
      </c>
      <c r="L620" s="117">
        <f>ROW()</f>
        <v>620</v>
      </c>
    </row>
    <row r="621" spans="2:12" ht="14.1" customHeight="1">
      <c r="B621" s="265" t="str">
        <f>CONCATENATE(" Product of (i) Sum of Rows ",L617, " and ",L618, "; (ii) one plus Row ",L619, " ; and (iii) weekdays in year.")</f>
        <v xml:space="preserve"> Product of (i) Sum of Rows 617 and 618; (ii) one plus Row 619 ; and (iii) weekdays in year.</v>
      </c>
      <c r="L621" s="117">
        <f>ROW()</f>
        <v>621</v>
      </c>
    </row>
    <row r="622" spans="2:12" ht="14.1" customHeight="1">
      <c r="B622" s="1" t="s">
        <v>3747</v>
      </c>
      <c r="I622" s="1122">
        <f ca="1">Cordon!H101</f>
        <v>425800</v>
      </c>
      <c r="L622" s="117">
        <f>ROW()</f>
        <v>622</v>
      </c>
    </row>
    <row r="623" spans="2:12" ht="14.1" customHeight="1">
      <c r="B623" s="265" t="str">
        <f>CONCATENATE("From 'Motor V's Weekends' worksheet, Row ",'Motor Vs'!O848, ",with taxi entries substracted from total.")</f>
        <v>From 'Motor V's Weekends' worksheet, Row 848,with taxi entries substracted from total.</v>
      </c>
      <c r="L623" s="117">
        <f>ROW()</f>
        <v>623</v>
      </c>
    </row>
    <row r="624" spans="2:12" ht="14.1" customHeight="1">
      <c r="B624" s="1" t="s">
        <v>3749</v>
      </c>
      <c r="G624" s="3785" t="s">
        <v>5719</v>
      </c>
      <c r="H624" s="3785"/>
      <c r="I624" s="2320">
        <f ca="1">Cordon!H113</f>
        <v>47900</v>
      </c>
      <c r="L624" s="117">
        <f>ROW()</f>
        <v>624</v>
      </c>
    </row>
    <row r="625" spans="2:12" ht="14.1" customHeight="1">
      <c r="B625" s="1" t="s">
        <v>248</v>
      </c>
      <c r="G625" s="3785"/>
      <c r="H625" s="3785"/>
      <c r="I625" s="2320">
        <f ca="1">Cordon!H114</f>
        <v>53300</v>
      </c>
      <c r="L625" s="117">
        <f>ROW()</f>
        <v>625</v>
      </c>
    </row>
    <row r="626" spans="2:12" ht="14.1" customHeight="1">
      <c r="B626" s="1" t="s">
        <v>243</v>
      </c>
      <c r="I626" s="39">
        <f>Cordon!H118</f>
        <v>1</v>
      </c>
      <c r="L626" s="117">
        <f>ROW()</f>
        <v>626</v>
      </c>
    </row>
    <row r="627" spans="2:12" ht="14.1" customHeight="1">
      <c r="B627" s="2" t="s">
        <v>3902</v>
      </c>
      <c r="I627" s="2321">
        <f ca="1">Cordon!H119</f>
        <v>23300000</v>
      </c>
      <c r="L627" s="117">
        <f>ROW()</f>
        <v>627</v>
      </c>
    </row>
    <row r="628" spans="2:12" ht="14.1" customHeight="1">
      <c r="L628" s="117">
        <f>ROW()</f>
        <v>628</v>
      </c>
    </row>
    <row r="629" spans="2:12" ht="14.1" customHeight="1">
      <c r="B629" s="2" t="s">
        <v>3904</v>
      </c>
      <c r="E629" s="7" t="str">
        <f>CONCATENATE("Shown in 'Cordon', Row ",Cordon!L128, "; is also sum of Rows ",L607, ", ",L620, " &amp; ",L627, " here.")</f>
        <v>Shown in 'Cordon', Row 128; is also sum of Rows 607, 620 &amp; 627 here.</v>
      </c>
      <c r="I629" s="2321">
        <f ca="1">Cordon!H128</f>
        <v>118000000</v>
      </c>
      <c r="L629" s="117">
        <f>ROW()</f>
        <v>629</v>
      </c>
    </row>
    <row r="630" spans="2:12" ht="14.1" customHeight="1">
      <c r="L630" s="117">
        <f>ROW()</f>
        <v>630</v>
      </c>
    </row>
    <row r="631" spans="2:12" ht="14.1" customHeight="1">
      <c r="B631" s="2" t="s">
        <v>3906</v>
      </c>
      <c r="L631" s="117">
        <f>ROW()</f>
        <v>631</v>
      </c>
    </row>
    <row r="632" spans="2:12" ht="14.1" customHeight="1">
      <c r="L632" s="117">
        <f>ROW()</f>
        <v>632</v>
      </c>
    </row>
    <row r="633" spans="2:12" ht="14.1" customHeight="1">
      <c r="B633" s="3787" t="s">
        <v>5720</v>
      </c>
      <c r="C633" s="3779"/>
      <c r="D633" s="3779"/>
      <c r="E633" s="3779"/>
      <c r="F633" s="3779"/>
      <c r="G633" s="3779"/>
      <c r="H633" s="3779"/>
      <c r="I633" s="3779"/>
      <c r="L633" s="117">
        <f>ROW()</f>
        <v>633</v>
      </c>
    </row>
    <row r="634" spans="2:12" ht="14.1" customHeight="1">
      <c r="B634" s="3779"/>
      <c r="C634" s="3779"/>
      <c r="D634" s="3779"/>
      <c r="E634" s="3779"/>
      <c r="F634" s="3779"/>
      <c r="G634" s="3779"/>
      <c r="H634" s="3779"/>
      <c r="I634" s="3779"/>
      <c r="L634" s="117">
        <f>ROW()</f>
        <v>634</v>
      </c>
    </row>
    <row r="635" spans="2:12" ht="14.1" customHeight="1">
      <c r="B635" s="3779"/>
      <c r="C635" s="3779"/>
      <c r="D635" s="3779"/>
      <c r="E635" s="3779"/>
      <c r="F635" s="3779"/>
      <c r="G635" s="3779"/>
      <c r="H635" s="3779"/>
      <c r="I635" s="3779"/>
      <c r="L635" s="117">
        <f>ROW()</f>
        <v>635</v>
      </c>
    </row>
    <row r="636" spans="2:12" ht="14.1" customHeight="1">
      <c r="L636" s="117">
        <f>ROW()</f>
        <v>636</v>
      </c>
    </row>
    <row r="637" spans="2:12" ht="14.1" customHeight="1">
      <c r="B637" s="1" t="str">
        <f>CONCATENATE("The BTA processes that parameter as a % of total current street space available for vehicles (see 'Motor Vs' worksheet, Row ",'Motor Vs'!O399, ").")</f>
        <v>The BTA processes that parameter as a % of total current street space available for vehicles (see 'Motor Vs' worksheet, Row 399).</v>
      </c>
      <c r="L637" s="117">
        <f>ROW()</f>
        <v>637</v>
      </c>
    </row>
    <row r="638" spans="2:12" ht="14.1" customHeight="1">
      <c r="L638" s="117">
        <f>ROW()</f>
        <v>638</v>
      </c>
    </row>
    <row r="639" spans="2:12" ht="14.1" customHeight="1">
      <c r="B639" s="3787" t="s">
        <v>3911</v>
      </c>
      <c r="C639" s="3779"/>
      <c r="D639" s="3779"/>
      <c r="E639" s="3779"/>
      <c r="F639" s="3779"/>
      <c r="G639" s="3779"/>
      <c r="H639" s="3779"/>
      <c r="I639" s="3779"/>
      <c r="L639" s="117">
        <f>ROW()</f>
        <v>639</v>
      </c>
    </row>
    <row r="640" spans="2:12" ht="14.1" customHeight="1">
      <c r="B640" s="3779"/>
      <c r="C640" s="3779"/>
      <c r="D640" s="3779"/>
      <c r="E640" s="3779"/>
      <c r="F640" s="3779"/>
      <c r="G640" s="3779"/>
      <c r="H640" s="3779"/>
      <c r="I640" s="3779"/>
      <c r="L640" s="117">
        <f>ROW()</f>
        <v>640</v>
      </c>
    </row>
    <row r="641" spans="2:12" ht="14.1" customHeight="1">
      <c r="L641" s="117">
        <f>ROW()</f>
        <v>641</v>
      </c>
    </row>
    <row r="642" spans="2:12" ht="14.1" customHeight="1">
      <c r="B642" s="3787" t="s">
        <v>3907</v>
      </c>
      <c r="C642" s="3779"/>
      <c r="D642" s="3779"/>
      <c r="E642" s="3779"/>
      <c r="F642" s="3779"/>
      <c r="G642" s="3779"/>
      <c r="H642" s="3779"/>
      <c r="L642" s="117">
        <f>ROW()</f>
        <v>642</v>
      </c>
    </row>
    <row r="643" spans="2:12" ht="14.1" customHeight="1">
      <c r="B643" s="3779"/>
      <c r="C643" s="3779"/>
      <c r="D643" s="3779"/>
      <c r="E643" s="3779"/>
      <c r="F643" s="3779"/>
      <c r="G643" s="3779"/>
      <c r="H643" s="3779"/>
      <c r="L643" s="117">
        <f>ROW()</f>
        <v>643</v>
      </c>
    </row>
    <row r="644" spans="2:12" ht="14.1" customHeight="1">
      <c r="L644" s="117">
        <f>ROW()</f>
        <v>644</v>
      </c>
    </row>
    <row r="645" spans="2:12" ht="14.1" customHeight="1">
      <c r="B645" s="1" t="s">
        <v>3908</v>
      </c>
      <c r="I645" s="509">
        <f>Cordon!F160</f>
        <v>4.2231022344658715</v>
      </c>
      <c r="L645" s="117">
        <f>ROW()</f>
        <v>645</v>
      </c>
    </row>
    <row r="646" spans="2:12" ht="14.1" customHeight="1">
      <c r="B646" s="265" t="str">
        <f>CONCATENATE("Calculated through detailed measurements memorialized in 'Cordon' worksheet, Rows ",Cordon!L136, "-",Cordon!L160, ".")</f>
        <v>Calculated through detailed measurements memorialized in 'Cordon' worksheet, Rows 136-160.</v>
      </c>
      <c r="L646" s="117">
        <f>ROW()</f>
        <v>646</v>
      </c>
    </row>
    <row r="647" spans="2:12" ht="14.1" customHeight="1">
      <c r="B647" s="1" t="s">
        <v>3910</v>
      </c>
      <c r="I647" s="575">
        <f>Cordon!F189</f>
        <v>1270</v>
      </c>
      <c r="L647" s="117">
        <f>ROW()</f>
        <v>647</v>
      </c>
    </row>
    <row r="648" spans="2:12" ht="14.1" customHeight="1">
      <c r="B648" s="265" t="str">
        <f>CONCATENATE("Calculated through detailed measurements memorialized in 'Cordon' worksheet, Rows ",Cordon!L167, "-",Cordon!L189, ".")</f>
        <v>Calculated through detailed measurements memorialized in 'Cordon' worksheet, Rows 167-189.</v>
      </c>
      <c r="L648" s="117">
        <f>ROW()</f>
        <v>648</v>
      </c>
    </row>
    <row r="649" spans="2:12" ht="14.1" customHeight="1">
      <c r="B649" s="1" t="s">
        <v>3909</v>
      </c>
      <c r="I649" s="734">
        <f>I645/I647</f>
        <v>3.325277349973127E-3</v>
      </c>
      <c r="L649" s="117">
        <f>ROW()</f>
        <v>649</v>
      </c>
    </row>
    <row r="650" spans="2:12" ht="14.1" customHeight="1">
      <c r="B650" s="265" t="str">
        <f>CONCATENATE("Ratio of Row ",L645, " to Row ",L647, ".")</f>
        <v>Ratio of Row 645 to Row 647.</v>
      </c>
      <c r="L650" s="117">
        <f>ROW()</f>
        <v>650</v>
      </c>
    </row>
    <row r="651" spans="2:12" ht="14.1" customHeight="1">
      <c r="L651" s="117">
        <f>ROW()</f>
        <v>651</v>
      </c>
    </row>
    <row r="652" spans="2:12" ht="14.1" customHeight="1">
      <c r="B652" s="24" t="s">
        <v>2279</v>
      </c>
      <c r="L652" s="117">
        <f>ROW()</f>
        <v>652</v>
      </c>
    </row>
    <row r="653" spans="2:12" ht="14.1" customHeight="1">
      <c r="L653" s="117">
        <f>ROW()</f>
        <v>653</v>
      </c>
    </row>
    <row r="654" spans="2:12" ht="14.1" customHeight="1">
      <c r="B654" s="3787" t="s">
        <v>5721</v>
      </c>
      <c r="C654" s="3779"/>
      <c r="D654" s="3779"/>
      <c r="E654" s="3779"/>
      <c r="F654" s="3779"/>
      <c r="G654" s="3779"/>
      <c r="H654" s="3779"/>
      <c r="I654" s="3779"/>
      <c r="L654" s="117">
        <f>ROW()</f>
        <v>654</v>
      </c>
    </row>
    <row r="655" spans="2:12" ht="14.1" customHeight="1">
      <c r="B655" s="3779"/>
      <c r="C655" s="3779"/>
      <c r="D655" s="3779"/>
      <c r="E655" s="3779"/>
      <c r="F655" s="3779"/>
      <c r="G655" s="3779"/>
      <c r="H655" s="3779"/>
      <c r="I655" s="3779"/>
      <c r="L655" s="117">
        <f>ROW()</f>
        <v>655</v>
      </c>
    </row>
    <row r="656" spans="2:12" ht="14.1" customHeight="1">
      <c r="B656" s="3779"/>
      <c r="C656" s="3779"/>
      <c r="D656" s="3779"/>
      <c r="E656" s="3779"/>
      <c r="F656" s="3779"/>
      <c r="G656" s="3779"/>
      <c r="H656" s="3779"/>
      <c r="I656" s="3779"/>
      <c r="L656" s="117">
        <f>ROW()</f>
        <v>656</v>
      </c>
    </row>
    <row r="657" spans="2:12" ht="14.1" customHeight="1">
      <c r="L657" s="117">
        <f>ROW()</f>
        <v>657</v>
      </c>
    </row>
    <row r="658" spans="2:12" ht="14.1" customHeight="1">
      <c r="B658" s="3787" t="s">
        <v>3912</v>
      </c>
      <c r="C658" s="3779"/>
      <c r="D658" s="3779"/>
      <c r="E658" s="3779"/>
      <c r="F658" s="3779"/>
      <c r="G658" s="3779"/>
      <c r="H658" s="3779"/>
      <c r="I658" s="3779"/>
      <c r="L658" s="117">
        <f>ROW()</f>
        <v>658</v>
      </c>
    </row>
    <row r="659" spans="2:12" ht="14.1" customHeight="1">
      <c r="B659" s="3779"/>
      <c r="C659" s="3779"/>
      <c r="D659" s="3779"/>
      <c r="E659" s="3779"/>
      <c r="F659" s="3779"/>
      <c r="G659" s="3779"/>
      <c r="H659" s="3779"/>
      <c r="I659" s="3779"/>
      <c r="L659" s="117">
        <f>ROW()</f>
        <v>659</v>
      </c>
    </row>
    <row r="660" spans="2:12" ht="14.1" customHeight="1">
      <c r="B660" s="3779"/>
      <c r="C660" s="3779"/>
      <c r="D660" s="3779"/>
      <c r="E660" s="3779"/>
      <c r="F660" s="3779"/>
      <c r="G660" s="3779"/>
      <c r="H660" s="3779"/>
      <c r="I660" s="3779"/>
      <c r="L660" s="117">
        <f>ROW()</f>
        <v>660</v>
      </c>
    </row>
    <row r="661" spans="2:12" ht="14.1" customHeight="1">
      <c r="B661" s="3779"/>
      <c r="C661" s="3779"/>
      <c r="D661" s="3779"/>
      <c r="E661" s="3779"/>
      <c r="F661" s="3779"/>
      <c r="G661" s="3779"/>
      <c r="H661" s="3779"/>
      <c r="I661" s="3779"/>
      <c r="L661" s="117">
        <f>ROW()</f>
        <v>661</v>
      </c>
    </row>
    <row r="662" spans="2:12" ht="14.1" customHeight="1">
      <c r="L662" s="117">
        <f>ROW()</f>
        <v>662</v>
      </c>
    </row>
    <row r="663" spans="2:12" ht="14.1" customHeight="1">
      <c r="B663" s="3787" t="s">
        <v>3913</v>
      </c>
      <c r="C663" s="3779"/>
      <c r="D663" s="3779"/>
      <c r="E663" s="3779"/>
      <c r="F663" s="3779"/>
      <c r="G663" s="3779"/>
      <c r="H663" s="3779"/>
      <c r="I663" s="3779"/>
      <c r="L663" s="117">
        <f>ROW()</f>
        <v>663</v>
      </c>
    </row>
    <row r="664" spans="2:12" ht="14.1" customHeight="1">
      <c r="B664" s="3779"/>
      <c r="C664" s="3779"/>
      <c r="D664" s="3779"/>
      <c r="E664" s="3779"/>
      <c r="F664" s="3779"/>
      <c r="G664" s="3779"/>
      <c r="H664" s="3779"/>
      <c r="I664" s="3779"/>
      <c r="L664" s="117">
        <f>ROW()</f>
        <v>664</v>
      </c>
    </row>
    <row r="665" spans="2:12" ht="14.1" customHeight="1">
      <c r="B665" s="3779"/>
      <c r="C665" s="3779"/>
      <c r="D665" s="3779"/>
      <c r="E665" s="3779"/>
      <c r="F665" s="3779"/>
      <c r="G665" s="3779"/>
      <c r="H665" s="3779"/>
      <c r="I665" s="3779"/>
      <c r="L665" s="117">
        <f>ROW()</f>
        <v>665</v>
      </c>
    </row>
    <row r="666" spans="2:12" ht="14.1" customHeight="1">
      <c r="B666" s="3779"/>
      <c r="C666" s="3779"/>
      <c r="D666" s="3779"/>
      <c r="E666" s="3779"/>
      <c r="F666" s="3779"/>
      <c r="G666" s="3779"/>
      <c r="H666" s="3779"/>
      <c r="I666" s="3779"/>
      <c r="L666" s="117">
        <f>ROW()</f>
        <v>666</v>
      </c>
    </row>
    <row r="667" spans="2:12" ht="14.1" customHeight="1">
      <c r="B667" s="3779"/>
      <c r="C667" s="3779"/>
      <c r="D667" s="3779"/>
      <c r="E667" s="3779"/>
      <c r="F667" s="3779"/>
      <c r="G667" s="3779"/>
      <c r="H667" s="3779"/>
      <c r="I667" s="3779"/>
      <c r="L667" s="117">
        <f>ROW()</f>
        <v>667</v>
      </c>
    </row>
    <row r="668" spans="2:12" ht="14.1" customHeight="1">
      <c r="B668" s="1"/>
      <c r="L668" s="117">
        <f>ROW()</f>
        <v>668</v>
      </c>
    </row>
    <row r="669" spans="2:12" ht="14.1" customHeight="1">
      <c r="B669" s="3787" t="s">
        <v>3914</v>
      </c>
      <c r="C669" s="3779"/>
      <c r="D669" s="3779"/>
      <c r="E669" s="3779"/>
      <c r="F669" s="3779"/>
      <c r="G669" s="3779"/>
      <c r="H669" s="3779"/>
      <c r="I669" s="3779"/>
      <c r="L669" s="117">
        <f>ROW()</f>
        <v>669</v>
      </c>
    </row>
    <row r="670" spans="2:12" ht="14.1" customHeight="1">
      <c r="B670" s="3779"/>
      <c r="C670" s="3779"/>
      <c r="D670" s="3779"/>
      <c r="E670" s="3779"/>
      <c r="F670" s="3779"/>
      <c r="G670" s="3779"/>
      <c r="H670" s="3779"/>
      <c r="I670" s="3779"/>
      <c r="L670" s="117">
        <f>ROW()</f>
        <v>670</v>
      </c>
    </row>
    <row r="671" spans="2:12" ht="14.1" customHeight="1">
      <c r="L671" s="117">
        <f>ROW()</f>
        <v>671</v>
      </c>
    </row>
    <row r="672" spans="2:12" ht="14.1" customHeight="1">
      <c r="B672" s="1" t="s">
        <v>3915</v>
      </c>
      <c r="I672" s="21">
        <f>Emissions!U8</f>
        <v>2.6</v>
      </c>
      <c r="L672" s="117">
        <f>ROW()</f>
        <v>672</v>
      </c>
    </row>
    <row r="673" spans="2:12" ht="14.1" customHeight="1">
      <c r="B673" s="1" t="s">
        <v>3916</v>
      </c>
      <c r="I673" s="21">
        <f>Emissions!U10</f>
        <v>3.4098360655737707</v>
      </c>
      <c r="L673" s="117">
        <f>ROW()</f>
        <v>673</v>
      </c>
    </row>
    <row r="674" spans="2:12" ht="14.1" customHeight="1">
      <c r="B674" s="1" t="s">
        <v>3917</v>
      </c>
      <c r="I674" s="21">
        <f>Emissions!T13</f>
        <v>1.1990049751243781</v>
      </c>
      <c r="L674" s="117">
        <f>ROW()</f>
        <v>674</v>
      </c>
    </row>
    <row r="675" spans="2:12" ht="14.1" customHeight="1">
      <c r="B675" t="str">
        <f>CONCATENATE("See 'Emissions' worksheet, Rows ",Emissions!AG5, "-",Emissions!AG17, ", for details.")</f>
        <v>See 'Emissions' worksheet, Rows 5-17, for details.</v>
      </c>
      <c r="L675" s="117">
        <f>ROW()</f>
        <v>675</v>
      </c>
    </row>
    <row r="676" spans="2:12" ht="14.1" customHeight="1">
      <c r="L676" s="117">
        <f>ROW()</f>
        <v>676</v>
      </c>
    </row>
    <row r="677" spans="2:12" ht="14.1" customHeight="1">
      <c r="B677" s="24" t="s">
        <v>1325</v>
      </c>
      <c r="L677" s="117">
        <f>ROW()</f>
        <v>677</v>
      </c>
    </row>
    <row r="678" spans="2:12" ht="14.1" customHeight="1">
      <c r="L678" s="117">
        <f>ROW()</f>
        <v>678</v>
      </c>
    </row>
    <row r="679" spans="2:12" ht="14.1" customHeight="1">
      <c r="B679" s="3794" t="str">
        <f>CONCATENATE("The column of daily costs in Column I of the table below was used to guide the specification of parking costs that form a significant part of the total baseline costs of round-trip auto trips to the Manhattan CBD, appearing in Rows ",'Motor Vs'!O237, "-",'Motor Vs'!O251, " of the 'Motor Vs' and 'Motor Vs Weekends' worksheeets.")</f>
        <v>The column of daily costs in Column I of the table below was used to guide the specification of parking costs that form a significant part of the total baseline costs of round-trip auto trips to the Manhattan CBD, appearing in Rows 237-251 of the 'Motor Vs' and 'Motor Vs Weekends' worksheeets.</v>
      </c>
      <c r="C679" s="3796"/>
      <c r="D679" s="3796"/>
      <c r="E679" s="3796"/>
      <c r="F679" s="3796"/>
      <c r="G679" s="3796"/>
      <c r="H679" s="3796"/>
      <c r="I679" s="3796"/>
      <c r="L679" s="117">
        <f>ROW()</f>
        <v>679</v>
      </c>
    </row>
    <row r="680" spans="2:12" ht="14.1" customHeight="1">
      <c r="B680" s="3796"/>
      <c r="C680" s="3796"/>
      <c r="D680" s="3796"/>
      <c r="E680" s="3796"/>
      <c r="F680" s="3796"/>
      <c r="G680" s="3796"/>
      <c r="H680" s="3796"/>
      <c r="I680" s="3796"/>
      <c r="L680" s="117">
        <f>ROW()</f>
        <v>680</v>
      </c>
    </row>
    <row r="681" spans="2:12" ht="14.1" customHeight="1">
      <c r="B681" s="3796"/>
      <c r="C681" s="3796"/>
      <c r="D681" s="3796"/>
      <c r="E681" s="3796"/>
      <c r="F681" s="3796"/>
      <c r="G681" s="3796"/>
      <c r="H681" s="3796"/>
      <c r="I681" s="3796"/>
      <c r="L681" s="117">
        <f>ROW()</f>
        <v>681</v>
      </c>
    </row>
    <row r="682" spans="2:12" ht="14.1" customHeight="1">
      <c r="B682" s="2312"/>
      <c r="C682" s="2312"/>
      <c r="D682" s="2312"/>
      <c r="E682" s="2312"/>
      <c r="F682" s="2312"/>
      <c r="G682" s="2312"/>
      <c r="H682" s="2312"/>
      <c r="I682" s="2312"/>
      <c r="L682" s="117">
        <f>ROW()</f>
        <v>682</v>
      </c>
    </row>
    <row r="683" spans="2:12" ht="14.1" customHeight="1">
      <c r="B683" s="3794" t="s">
        <v>6177</v>
      </c>
      <c r="C683" s="3796"/>
      <c r="D683" s="3796"/>
      <c r="E683" s="3796"/>
      <c r="F683" s="3796"/>
      <c r="G683" s="3796"/>
      <c r="H683" s="3796"/>
      <c r="I683" s="3796"/>
      <c r="L683" s="117">
        <f>ROW()</f>
        <v>683</v>
      </c>
    </row>
    <row r="684" spans="2:12" ht="14.1" customHeight="1">
      <c r="B684" s="3796"/>
      <c r="C684" s="3796"/>
      <c r="D684" s="3796"/>
      <c r="E684" s="3796"/>
      <c r="F684" s="3796"/>
      <c r="G684" s="3796"/>
      <c r="H684" s="3796"/>
      <c r="I684" s="3796"/>
      <c r="L684" s="117">
        <f>ROW()</f>
        <v>684</v>
      </c>
    </row>
    <row r="685" spans="2:12" ht="14.1" customHeight="1">
      <c r="B685" s="3796"/>
      <c r="C685" s="3796"/>
      <c r="D685" s="3796"/>
      <c r="E685" s="3796"/>
      <c r="F685" s="3796"/>
      <c r="G685" s="3796"/>
      <c r="H685" s="3796"/>
      <c r="I685" s="3796"/>
      <c r="L685" s="117">
        <f>ROW()</f>
        <v>685</v>
      </c>
    </row>
    <row r="686" spans="2:12" ht="14.1" customHeight="1">
      <c r="L686" s="117">
        <f>ROW()</f>
        <v>686</v>
      </c>
    </row>
    <row r="687" spans="2:12" ht="14.1" customHeight="1">
      <c r="B687" s="2312"/>
      <c r="C687" s="2312"/>
      <c r="D687" s="2312"/>
      <c r="E687" s="2312"/>
      <c r="F687" s="3797" t="s">
        <v>52</v>
      </c>
      <c r="G687" s="3797"/>
      <c r="H687" s="3797" t="s">
        <v>53</v>
      </c>
      <c r="I687" s="3797"/>
      <c r="L687" s="117">
        <f>ROW()</f>
        <v>687</v>
      </c>
    </row>
    <row r="688" spans="2:12" ht="14.1" customHeight="1">
      <c r="B688" s="2312"/>
      <c r="C688" s="2312"/>
      <c r="D688" s="2312"/>
      <c r="F688" s="3806" t="s">
        <v>3242</v>
      </c>
      <c r="G688" s="3806" t="s">
        <v>3243</v>
      </c>
      <c r="H688" s="3806" t="s">
        <v>3242</v>
      </c>
      <c r="I688" s="3806" t="s">
        <v>3243</v>
      </c>
      <c r="L688" s="117">
        <f>ROW()</f>
        <v>688</v>
      </c>
    </row>
    <row r="689" spans="2:12" ht="14.1" customHeight="1">
      <c r="B689" s="2312"/>
      <c r="C689" s="2312"/>
      <c r="D689" s="2312"/>
      <c r="F689" s="3807"/>
      <c r="G689" s="3807"/>
      <c r="H689" s="3807"/>
      <c r="I689" s="3807"/>
      <c r="L689" s="117">
        <f>ROW()</f>
        <v>689</v>
      </c>
    </row>
    <row r="690" spans="2:12" ht="14.1" customHeight="1">
      <c r="B690" s="2312"/>
      <c r="C690" s="2312"/>
      <c r="D690" s="2312"/>
      <c r="F690" s="3807"/>
      <c r="G690" s="3807"/>
      <c r="H690" s="3807"/>
      <c r="I690" s="3807"/>
      <c r="L690" s="117">
        <f>ROW()</f>
        <v>690</v>
      </c>
    </row>
    <row r="691" spans="2:12" ht="14.1" customHeight="1">
      <c r="B691" s="1831" t="s">
        <v>3241</v>
      </c>
      <c r="C691" s="113"/>
      <c r="D691" s="113"/>
      <c r="E691" s="113"/>
      <c r="F691" s="3807"/>
      <c r="G691" s="3807"/>
      <c r="H691" s="3807"/>
      <c r="I691" s="3807"/>
      <c r="L691" s="117">
        <f>ROW()</f>
        <v>691</v>
      </c>
    </row>
    <row r="692" spans="2:12" ht="14.1" customHeight="1">
      <c r="B692" s="158" t="s">
        <v>3246</v>
      </c>
      <c r="C692" s="113"/>
      <c r="D692" s="113"/>
      <c r="E692" s="113"/>
      <c r="F692" s="629">
        <f>Parking!F32</f>
        <v>0.38</v>
      </c>
      <c r="G692" s="2323">
        <f>Parking!G32</f>
        <v>24.42</v>
      </c>
      <c r="H692" s="629">
        <f>Parking!H32</f>
        <v>0.3967906976744186</v>
      </c>
      <c r="I692" s="2323">
        <f>Parking!I32</f>
        <v>25</v>
      </c>
      <c r="L692" s="117">
        <f>ROW()</f>
        <v>692</v>
      </c>
    </row>
    <row r="693" spans="2:12" ht="14.1" customHeight="1">
      <c r="B693" s="158" t="s">
        <v>3247</v>
      </c>
      <c r="C693" s="113"/>
      <c r="D693" s="113"/>
      <c r="E693" s="113"/>
      <c r="F693" s="629">
        <f>Parking!F33</f>
        <v>0.05</v>
      </c>
      <c r="G693" s="2323">
        <f>Parking!G33</f>
        <v>1.73</v>
      </c>
      <c r="H693" s="629">
        <f>Parking!H33</f>
        <v>5.2209302325581394E-2</v>
      </c>
      <c r="I693" s="2323">
        <f>Parking!I33</f>
        <v>2</v>
      </c>
      <c r="L693" s="117">
        <f>ROW()</f>
        <v>693</v>
      </c>
    </row>
    <row r="694" spans="2:12" ht="14.1" customHeight="1">
      <c r="B694" s="158" t="s">
        <v>3248</v>
      </c>
      <c r="C694" s="113"/>
      <c r="D694" s="113"/>
      <c r="E694" s="113"/>
      <c r="F694" s="629">
        <f>Parking!F34</f>
        <v>0.38</v>
      </c>
      <c r="G694" s="2323">
        <f>Parking!G34</f>
        <v>0</v>
      </c>
      <c r="H694" s="629">
        <f>Parking!H34</f>
        <v>0.38</v>
      </c>
      <c r="I694" s="2323">
        <f>Parking!I34</f>
        <v>6.1050000000000004</v>
      </c>
      <c r="L694" s="117">
        <f>ROW()</f>
        <v>694</v>
      </c>
    </row>
    <row r="695" spans="2:12" ht="14.1" customHeight="1">
      <c r="B695" s="158" t="s">
        <v>3249</v>
      </c>
      <c r="C695" s="113"/>
      <c r="D695" s="113"/>
      <c r="E695" s="113"/>
      <c r="F695" s="629">
        <f>Parking!F35</f>
        <v>0.19</v>
      </c>
      <c r="G695" s="2323">
        <f>Parking!G35</f>
        <v>0</v>
      </c>
      <c r="H695" s="629">
        <f>Parking!H35</f>
        <v>0.17100000000000001</v>
      </c>
      <c r="I695" s="2323">
        <f>Parking!I35</f>
        <v>0</v>
      </c>
      <c r="L695" s="117">
        <f>ROW()</f>
        <v>695</v>
      </c>
    </row>
    <row r="696" spans="2:12" ht="14.1" customHeight="1">
      <c r="B696" s="1831" t="s">
        <v>228</v>
      </c>
      <c r="C696" s="113"/>
      <c r="D696" s="113"/>
      <c r="E696" s="113"/>
      <c r="F696" s="1832">
        <f>SUM(F692:F695)</f>
        <v>1</v>
      </c>
      <c r="G696" s="2324">
        <f>SUMPRODUCT(F692:F695,G692:G695)</f>
        <v>9.3660999999999994</v>
      </c>
      <c r="H696" s="1832">
        <f>SUM(H692:H695)</f>
        <v>1</v>
      </c>
      <c r="I696" s="2324">
        <f>SUMPRODUCT(H692:H695,I692:I695)</f>
        <v>12.344086046511627</v>
      </c>
      <c r="L696" s="117">
        <f>ROW()</f>
        <v>696</v>
      </c>
    </row>
    <row r="697" spans="2:12" ht="14.1" customHeight="1">
      <c r="B697" s="113"/>
      <c r="C697" s="113"/>
      <c r="D697" s="113"/>
      <c r="E697" s="113"/>
      <c r="F697" s="113"/>
      <c r="G697" s="113"/>
      <c r="H697" s="113"/>
      <c r="I697" s="113"/>
      <c r="L697" s="117">
        <f>ROW()</f>
        <v>697</v>
      </c>
    </row>
    <row r="698" spans="2:12" ht="14.1" customHeight="1">
      <c r="B698" s="1" t="s">
        <v>3919</v>
      </c>
      <c r="C698" s="113"/>
      <c r="D698" s="113"/>
      <c r="E698" s="113"/>
      <c r="F698" s="113"/>
      <c r="G698" s="113"/>
      <c r="H698" s="113"/>
      <c r="I698" s="23">
        <f>Parking!I46</f>
        <v>0.25</v>
      </c>
      <c r="L698" s="117">
        <f>ROW()</f>
        <v>698</v>
      </c>
    </row>
    <row r="699" spans="2:12" ht="14.1" customHeight="1">
      <c r="B699" s="113"/>
      <c r="C699" s="113"/>
      <c r="D699" s="113"/>
      <c r="E699" s="113"/>
      <c r="F699" s="113"/>
      <c r="G699" s="113"/>
      <c r="H699" s="113"/>
      <c r="I699" s="113"/>
      <c r="L699" s="117">
        <f>ROW()</f>
        <v>699</v>
      </c>
    </row>
    <row r="700" spans="2:12" ht="14.1" customHeight="1">
      <c r="B700" s="1480" t="s">
        <v>3244</v>
      </c>
      <c r="C700" s="113"/>
      <c r="D700" s="113"/>
      <c r="E700" s="113"/>
      <c r="F700" s="113"/>
      <c r="G700" s="113"/>
      <c r="H700" s="113"/>
      <c r="I700" s="113"/>
      <c r="L700" s="117">
        <f>ROW()</f>
        <v>700</v>
      </c>
    </row>
    <row r="701" spans="2:12" ht="14.1" customHeight="1">
      <c r="B701" s="113"/>
      <c r="C701" s="113"/>
      <c r="D701" s="113"/>
      <c r="E701" s="113"/>
      <c r="F701" s="113"/>
      <c r="G701" s="113"/>
      <c r="H701" s="113"/>
      <c r="I701" s="113"/>
      <c r="L701" s="117">
        <f>ROW()</f>
        <v>701</v>
      </c>
    </row>
    <row r="702" spans="2:12" ht="14.1" customHeight="1">
      <c r="B702" s="3808" t="s">
        <v>3920</v>
      </c>
      <c r="C702" s="3809"/>
      <c r="D702" s="3809"/>
      <c r="E702" s="3809"/>
      <c r="F702" s="3809"/>
      <c r="G702" s="3809"/>
      <c r="H702" s="3809"/>
      <c r="I702" s="3809"/>
      <c r="L702" s="117">
        <f>ROW()</f>
        <v>702</v>
      </c>
    </row>
    <row r="703" spans="2:12" ht="14.1" customHeight="1">
      <c r="B703" s="3809"/>
      <c r="C703" s="3809"/>
      <c r="D703" s="3809"/>
      <c r="E703" s="3809"/>
      <c r="F703" s="3809"/>
      <c r="G703" s="3809"/>
      <c r="H703" s="3809"/>
      <c r="I703" s="3809"/>
      <c r="L703" s="117">
        <f>ROW()</f>
        <v>703</v>
      </c>
    </row>
    <row r="704" spans="2:12" ht="14.1" customHeight="1">
      <c r="B704" s="3809"/>
      <c r="C704" s="3809"/>
      <c r="D704" s="3809"/>
      <c r="E704" s="3809"/>
      <c r="F704" s="3809"/>
      <c r="G704" s="3809"/>
      <c r="H704" s="3809"/>
      <c r="I704" s="3809"/>
      <c r="L704" s="117">
        <f>ROW()</f>
        <v>704</v>
      </c>
    </row>
    <row r="705" spans="2:12" ht="14.1" customHeight="1">
      <c r="B705" s="3809"/>
      <c r="C705" s="3809"/>
      <c r="D705" s="3809"/>
      <c r="E705" s="3809"/>
      <c r="F705" s="3809"/>
      <c r="G705" s="3809"/>
      <c r="H705" s="3809"/>
      <c r="I705" s="3809"/>
      <c r="L705" s="117">
        <f>ROW()</f>
        <v>705</v>
      </c>
    </row>
    <row r="706" spans="2:12" ht="14.1" customHeight="1">
      <c r="B706" s="3809"/>
      <c r="C706" s="3809"/>
      <c r="D706" s="3809"/>
      <c r="E706" s="3809"/>
      <c r="F706" s="3809"/>
      <c r="G706" s="3809"/>
      <c r="H706" s="3809"/>
      <c r="I706" s="3809"/>
      <c r="L706" s="117">
        <f>ROW()</f>
        <v>706</v>
      </c>
    </row>
    <row r="707" spans="2:12" ht="14.1" customHeight="1">
      <c r="L707" s="117">
        <f>ROW()</f>
        <v>707</v>
      </c>
    </row>
    <row r="708" spans="2:12" ht="14.1" customHeight="1">
      <c r="B708" s="3828" t="s">
        <v>3921</v>
      </c>
      <c r="C708" s="3828"/>
      <c r="D708" s="3828"/>
      <c r="E708" s="3828"/>
      <c r="F708" s="3828"/>
      <c r="G708" s="3828"/>
      <c r="H708" s="3828"/>
      <c r="I708" s="3828"/>
      <c r="L708" s="117">
        <f>ROW()</f>
        <v>708</v>
      </c>
    </row>
    <row r="709" spans="2:12" ht="14.1" customHeight="1">
      <c r="B709" s="3828"/>
      <c r="C709" s="3828"/>
      <c r="D709" s="3828"/>
      <c r="E709" s="3828"/>
      <c r="F709" s="3828"/>
      <c r="G709" s="3828"/>
      <c r="H709" s="3828"/>
      <c r="I709" s="3828"/>
      <c r="L709" s="117">
        <f>ROW()</f>
        <v>709</v>
      </c>
    </row>
    <row r="710" spans="2:12" ht="14.1" customHeight="1">
      <c r="B710" s="3828"/>
      <c r="C710" s="3828"/>
      <c r="D710" s="3828"/>
      <c r="E710" s="3828"/>
      <c r="F710" s="3828"/>
      <c r="G710" s="3828"/>
      <c r="H710" s="3828"/>
      <c r="I710" s="3828"/>
      <c r="L710" s="117">
        <f>ROW()</f>
        <v>710</v>
      </c>
    </row>
    <row r="711" spans="2:12" ht="14.1" customHeight="1">
      <c r="L711" s="117">
        <f>ROW()</f>
        <v>711</v>
      </c>
    </row>
    <row r="712" spans="2:12" ht="14.1" customHeight="1">
      <c r="B712" s="24" t="s">
        <v>2216</v>
      </c>
      <c r="L712" s="117">
        <f>ROW()</f>
        <v>712</v>
      </c>
    </row>
    <row r="713" spans="2:12" ht="14.1" customHeight="1">
      <c r="L713" s="117">
        <f>ROW()</f>
        <v>713</v>
      </c>
    </row>
    <row r="714" spans="2:12" ht="14.1" customHeight="1">
      <c r="B714" s="3787" t="s">
        <v>3922</v>
      </c>
      <c r="C714" s="3779"/>
      <c r="D714" s="3779"/>
      <c r="E714" s="3779"/>
      <c r="F714" s="3779"/>
      <c r="G714" s="3779"/>
      <c r="H714" s="3779"/>
      <c r="I714" s="3779"/>
      <c r="L714" s="117">
        <f>ROW()</f>
        <v>714</v>
      </c>
    </row>
    <row r="715" spans="2:12" ht="14.1" customHeight="1">
      <c r="B715" s="3779"/>
      <c r="C715" s="3779"/>
      <c r="D715" s="3779"/>
      <c r="E715" s="3779"/>
      <c r="F715" s="3779"/>
      <c r="G715" s="3779"/>
      <c r="H715" s="3779"/>
      <c r="I715" s="3779"/>
      <c r="L715" s="117">
        <f>ROW()</f>
        <v>715</v>
      </c>
    </row>
    <row r="716" spans="2:12" ht="14.1" customHeight="1">
      <c r="L716" s="117">
        <f>ROW()</f>
        <v>716</v>
      </c>
    </row>
    <row r="717" spans="2:12" ht="14.1" customHeight="1">
      <c r="B717" s="1" t="s">
        <v>3923</v>
      </c>
      <c r="L717" s="117">
        <f>ROW()</f>
        <v>717</v>
      </c>
    </row>
    <row r="718" spans="2:12" ht="14.1" customHeight="1">
      <c r="B718" s="1"/>
      <c r="L718" s="117">
        <f>ROW()</f>
        <v>718</v>
      </c>
    </row>
    <row r="719" spans="2:12" ht="14.1" customHeight="1">
      <c r="E719" s="2087"/>
      <c r="F719" s="3784" t="s">
        <v>3928</v>
      </c>
      <c r="G719" s="3784"/>
      <c r="I719" s="3784" t="s">
        <v>3929</v>
      </c>
      <c r="J719" s="3784"/>
      <c r="L719" s="117">
        <f>ROW()</f>
        <v>719</v>
      </c>
    </row>
    <row r="720" spans="2:12" ht="14.1" customHeight="1">
      <c r="D720" s="3804" t="s">
        <v>3925</v>
      </c>
      <c r="F720" s="3804" t="s">
        <v>3926</v>
      </c>
      <c r="G720" s="3804" t="s">
        <v>3927</v>
      </c>
      <c r="H720" s="7"/>
      <c r="I720" s="3804" t="s">
        <v>3926</v>
      </c>
      <c r="J720" s="3804" t="s">
        <v>3927</v>
      </c>
      <c r="L720" s="117">
        <f>ROW()</f>
        <v>720</v>
      </c>
    </row>
    <row r="721" spans="2:12" ht="14.1" customHeight="1">
      <c r="D721" s="3805"/>
      <c r="F721" s="3805"/>
      <c r="G721" s="3805"/>
      <c r="H721" s="7"/>
      <c r="I721" s="3805"/>
      <c r="J721" s="3805"/>
      <c r="L721" s="117">
        <f>ROW()</f>
        <v>721</v>
      </c>
    </row>
    <row r="722" spans="2:12" ht="14.1" customHeight="1">
      <c r="B722" s="1" t="s">
        <v>1281</v>
      </c>
      <c r="D722" s="509">
        <f>'Value of Time'!I63</f>
        <v>0.14999999999999991</v>
      </c>
      <c r="F722" s="12">
        <f ca="1">'Value of Time'!L82</f>
        <v>0.19737261638660217</v>
      </c>
      <c r="G722" s="26">
        <f>'Value of Time'!L63</f>
        <v>35.758098041474646</v>
      </c>
      <c r="I722" s="12">
        <f>'Value of Time'!L118</f>
        <v>0.38151773243734199</v>
      </c>
      <c r="J722" s="26">
        <f>'Value of Time'!M118</f>
        <v>23.838732027649762</v>
      </c>
      <c r="L722" s="117">
        <f>ROW()</f>
        <v>722</v>
      </c>
    </row>
    <row r="723" spans="2:12" ht="14.1" customHeight="1">
      <c r="B723" s="1" t="s">
        <v>1282</v>
      </c>
      <c r="D723" s="509">
        <f>'Value of Time'!I64</f>
        <v>0.5</v>
      </c>
      <c r="F723" s="12">
        <f ca="1">'Value of Time'!L83</f>
        <v>0.14570442787742618</v>
      </c>
      <c r="G723" s="26">
        <f>'Value of Time'!L64</f>
        <v>20.08881912442396</v>
      </c>
      <c r="I723" s="12">
        <f>'Value of Time'!L119</f>
        <v>0.26833649620832323</v>
      </c>
      <c r="J723" s="26">
        <f>'Value of Time'!M119</f>
        <v>13.392546082949305</v>
      </c>
      <c r="L723" s="117">
        <f>ROW()</f>
        <v>723</v>
      </c>
    </row>
    <row r="724" spans="2:12" ht="14.1" customHeight="1">
      <c r="B724" s="1" t="s">
        <v>635</v>
      </c>
      <c r="D724" s="509">
        <f>'Value of Time'!I65</f>
        <v>0.32499999999999996</v>
      </c>
      <c r="F724" s="12">
        <f ca="1">'Value of Time'!L84</f>
        <v>8.2270639454200101E-2</v>
      </c>
      <c r="G724" s="26">
        <f>'Value of Time'!L65</f>
        <v>29.003232610887093</v>
      </c>
      <c r="I724" s="12">
        <f>'Value of Time'!L120</f>
        <v>0.17005815957259404</v>
      </c>
      <c r="J724" s="26">
        <f>'Value of Time'!M120</f>
        <v>19.335488407258062</v>
      </c>
      <c r="L724" s="117">
        <f>ROW()</f>
        <v>724</v>
      </c>
    </row>
    <row r="725" spans="2:12" ht="14.1" customHeight="1">
      <c r="B725" s="1" t="s">
        <v>1278</v>
      </c>
      <c r="D725" s="509" t="str">
        <f>'Value of Time'!I66</f>
        <v>passngr's are encompassed in figures to left</v>
      </c>
      <c r="F725" s="12">
        <f ca="1">'Value of Time'!L85</f>
        <v>7.5559335079347076E-2</v>
      </c>
      <c r="G725" s="26">
        <f>'Value of Time'!L66</f>
        <v>48.213165898617504</v>
      </c>
      <c r="I725" s="12">
        <f>'Value of Time'!L121</f>
        <v>0.10645097410117206</v>
      </c>
      <c r="J725" s="26">
        <f>'Value of Time'!M121</f>
        <v>43.391849308755759</v>
      </c>
      <c r="L725" s="117">
        <f>ROW()</f>
        <v>725</v>
      </c>
    </row>
    <row r="726" spans="2:12" ht="14.1" customHeight="1">
      <c r="B726" s="1" t="s">
        <v>1279</v>
      </c>
      <c r="D726" s="509">
        <f>'Value of Time'!I67</f>
        <v>0</v>
      </c>
      <c r="F726" s="12">
        <f ca="1">'Value of Time'!L86</f>
        <v>8.8893335387467149E-3</v>
      </c>
      <c r="G726" s="26">
        <f>'Value of Time'!L67</f>
        <v>80.35527649769584</v>
      </c>
      <c r="I726" s="12">
        <f>'Value of Time'!L122</f>
        <v>1.2523644011902597E-2</v>
      </c>
      <c r="J726" s="26">
        <f>'Value of Time'!M122</f>
        <v>72.319748847926249</v>
      </c>
      <c r="L726" s="117">
        <f>ROW()</f>
        <v>726</v>
      </c>
    </row>
    <row r="727" spans="2:12" ht="14.1" customHeight="1">
      <c r="B727" s="1" t="s">
        <v>1280</v>
      </c>
      <c r="D727" s="509">
        <f>'Value of Time'!I68</f>
        <v>0</v>
      </c>
      <c r="F727" s="12">
        <f ca="1">'Value of Time'!L87</f>
        <v>4.4446667693733575E-3</v>
      </c>
      <c r="G727" s="26">
        <f>'Value of Time'!L68</f>
        <v>160.71055299539168</v>
      </c>
      <c r="I727" s="12">
        <f>'Value of Time'!L123</f>
        <v>6.2618220059512987E-3</v>
      </c>
      <c r="J727" s="26">
        <f>'Value of Time'!M123</f>
        <v>144.6394976958525</v>
      </c>
      <c r="L727" s="117">
        <f>ROW()</f>
        <v>727</v>
      </c>
    </row>
    <row r="728" spans="2:12" ht="14.1" customHeight="1">
      <c r="B728" s="1" t="s">
        <v>967</v>
      </c>
      <c r="D728" s="509">
        <f>'Value of Time'!I69</f>
        <v>20</v>
      </c>
      <c r="F728" s="12">
        <f ca="1">'Value of Time'!L88</f>
        <v>2.2506052633521931E-2</v>
      </c>
      <c r="G728" s="26">
        <f>'Value of Time'!L69</f>
        <v>224.99477419354835</v>
      </c>
      <c r="I728" s="12">
        <f>'Value of Time'!L124</f>
        <v>4.2274228741604317E-2</v>
      </c>
      <c r="J728" s="26">
        <f>'Value of Time'!M124</f>
        <v>160.71055299539165</v>
      </c>
      <c r="L728" s="117">
        <f>ROW()</f>
        <v>728</v>
      </c>
    </row>
    <row r="729" spans="2:12" ht="14.1" customHeight="1">
      <c r="B729" s="1" t="s">
        <v>3924</v>
      </c>
      <c r="D729" s="509">
        <f>'Value of Time'!I70</f>
        <v>0.39999999999999991</v>
      </c>
      <c r="F729" s="12">
        <f ca="1">'Value of Time'!L89</f>
        <v>0.30111440336950851</v>
      </c>
      <c r="G729" s="26">
        <f>'Value of Time'!L70</f>
        <v>55.991556663594466</v>
      </c>
      <c r="I729" s="12">
        <f>'Value of Time'!L125</f>
        <v>8.175012898721792E-3</v>
      </c>
      <c r="J729" s="26">
        <f>'Value of Time'!M125</f>
        <v>55.991556663594466</v>
      </c>
      <c r="L729" s="117">
        <f>ROW()</f>
        <v>729</v>
      </c>
    </row>
    <row r="730" spans="2:12" ht="14.1" customHeight="1">
      <c r="B730" s="1" t="s">
        <v>2149</v>
      </c>
      <c r="D730" s="509">
        <f>'Value of Time'!I71</f>
        <v>0</v>
      </c>
      <c r="F730" s="12">
        <f ca="1">'Value of Time'!L90</f>
        <v>0.16213852489127378</v>
      </c>
      <c r="G730" s="26">
        <f>'Value of Time'!L71</f>
        <v>12.856844239631336</v>
      </c>
      <c r="I730" s="12">
        <f>'Value of Time'!L126</f>
        <v>4.401930022388657E-3</v>
      </c>
      <c r="J730" s="26">
        <f>'Value of Time'!M126</f>
        <v>12.856844239631336</v>
      </c>
      <c r="L730" s="117">
        <f>ROW()</f>
        <v>730</v>
      </c>
    </row>
    <row r="731" spans="2:12" ht="14.1" customHeight="1">
      <c r="B731" s="2" t="s">
        <v>837</v>
      </c>
      <c r="F731" s="2326">
        <f ca="1">SUM(F722:F730)</f>
        <v>0.99999999999999989</v>
      </c>
      <c r="G731" s="2291">
        <f ca="1">'Value of Time'!M91</f>
        <v>41.450576392516979</v>
      </c>
      <c r="I731" s="2326">
        <f>SUM(I722:I730)</f>
        <v>1.0000000000000002</v>
      </c>
      <c r="J731" s="2291">
        <f>'Value of Time'!M127</f>
        <v>29.715524962837527</v>
      </c>
      <c r="L731" s="117">
        <f>ROW()</f>
        <v>731</v>
      </c>
    </row>
    <row r="732" spans="2:12" ht="14.1" customHeight="1">
      <c r="L732" s="117">
        <f>ROW()</f>
        <v>732</v>
      </c>
    </row>
    <row r="733" spans="2:12" ht="14.1" customHeight="1">
      <c r="B733" s="2" t="s">
        <v>536</v>
      </c>
      <c r="L733" s="117">
        <f>ROW()</f>
        <v>733</v>
      </c>
    </row>
    <row r="734" spans="2:12" ht="14.1" customHeight="1">
      <c r="L734" s="117">
        <f>ROW()</f>
        <v>734</v>
      </c>
    </row>
    <row r="735" spans="2:12" ht="14.1" customHeight="1">
      <c r="B735" s="1" t="s">
        <v>5722</v>
      </c>
      <c r="L735" s="117">
        <f>ROW()</f>
        <v>735</v>
      </c>
    </row>
    <row r="736" spans="2:12" ht="14.1" customHeight="1">
      <c r="L736" s="117">
        <f>ROW()</f>
        <v>736</v>
      </c>
    </row>
    <row r="737" spans="2:12" ht="14.1" customHeight="1">
      <c r="B737" s="1" t="s">
        <v>3930</v>
      </c>
      <c r="I737" s="26">
        <f>'Value of Time'!H29</f>
        <v>53.570184331797229</v>
      </c>
      <c r="L737" s="117">
        <f>ROW()</f>
        <v>737</v>
      </c>
    </row>
    <row r="738" spans="2:12" ht="14.1" customHeight="1">
      <c r="B738" s="265" t="str">
        <f>CONCATENATE("Based on work at Brookings Institution, sourced and calculated in 'Value of Time' worksheet, Rows ",'Value of Time'!O25, "-",'Value of Time'!O43, ".")</f>
        <v>Based on work at Brookings Institution, sourced and calculated in 'Value of Time' worksheet, Rows 25-43.</v>
      </c>
      <c r="L738" s="117">
        <f>ROW()</f>
        <v>738</v>
      </c>
    </row>
    <row r="739" spans="2:12" ht="14.1" customHeight="1">
      <c r="B739" s="1" t="s">
        <v>3931</v>
      </c>
      <c r="I739" s="117">
        <f>'Value of Time'!H54</f>
        <v>1.2</v>
      </c>
      <c r="L739" s="117">
        <f>ROW()</f>
        <v>739</v>
      </c>
    </row>
    <row r="740" spans="2:12" ht="14.1" customHeight="1">
      <c r="B740" s="265" t="str">
        <f>CONCATENATE("See 'Value of Time' worksheet, Rows ",'Value of Time'!O47, "-",'Value of Time'!O53, ".")</f>
        <v>See 'Value of Time' worksheet, Rows 47-53.</v>
      </c>
      <c r="L740" s="117">
        <f>ROW()</f>
        <v>740</v>
      </c>
    </row>
    <row r="741" spans="2:12" s="2" customFormat="1" ht="14.1" customHeight="1">
      <c r="B741" s="2" t="s">
        <v>3932</v>
      </c>
      <c r="I741" s="2291">
        <f>'Value of Time'!H55</f>
        <v>64.284221198156672</v>
      </c>
      <c r="L741" s="638">
        <f>ROW()</f>
        <v>741</v>
      </c>
    </row>
    <row r="742" spans="2:12" ht="14.1" customHeight="1">
      <c r="B742" s="265" t="str">
        <f>CONCATENATE("Product of Rows ",L737, " and ",L739, ".")</f>
        <v>Product of Rows 737 and 739.</v>
      </c>
      <c r="L742" s="117">
        <f>ROW()</f>
        <v>742</v>
      </c>
    </row>
    <row r="743" spans="2:12" ht="14.1" customHeight="1">
      <c r="L743" s="117">
        <f>ROW()</f>
        <v>743</v>
      </c>
    </row>
    <row r="744" spans="2:12" ht="14.1" customHeight="1">
      <c r="B744" s="3787" t="str">
        <f>CONCATENATE("The time of drivers and occupants in each vehicle category in the table in Rows ",L719, "-",L731, " was then valued vis-à-vis the value of time for the NYC-area airline passenger shown in Row ",L741, ".")</f>
        <v>The time of drivers and occupants in each vehicle category in the table in Rows 719-731 was then valued vis-à-vis the value of time for the NYC-area airline passenger shown in Row 741.</v>
      </c>
      <c r="C744" s="3779"/>
      <c r="D744" s="3779"/>
      <c r="E744" s="3779"/>
      <c r="F744" s="3779"/>
      <c r="G744" s="3779"/>
      <c r="H744" s="3779"/>
      <c r="I744" s="3779"/>
      <c r="L744" s="117">
        <f>ROW()</f>
        <v>744</v>
      </c>
    </row>
    <row r="745" spans="2:12" ht="14.1" customHeight="1">
      <c r="B745" s="3779"/>
      <c r="C745" s="3779"/>
      <c r="D745" s="3779"/>
      <c r="E745" s="3779"/>
      <c r="F745" s="3779"/>
      <c r="G745" s="3779"/>
      <c r="H745" s="3779"/>
      <c r="I745" s="3779"/>
      <c r="L745" s="117">
        <f>ROW()</f>
        <v>745</v>
      </c>
    </row>
    <row r="746" spans="2:12" ht="14.1" customHeight="1">
      <c r="L746" s="117">
        <f>ROW()</f>
        <v>746</v>
      </c>
    </row>
    <row r="747" spans="2:12" ht="14.1" customHeight="1">
      <c r="B747" s="3787" t="str">
        <f>CONCATENATE("Our assumed relative value of time for drivers (relative to that of the NYC-area airline passenger in Row ",L741, ") ranges from ",'Value of Time'!F71," for the driver of an empty taxicab and ",'Value of Time'!F64, " for an auto driver on a non-work trip, to ",'Value of Time'!F63, " for an auto driver on a work trip and ",'Value of Time'!F70, " for a taxi passenger. Lesser values are used for passengers or additional taxi riders, and values outside the CBD are generally taken as 2/3 of the corresponding value of time within. Weekend values are discounted by 40%.")</f>
        <v>Our assumed relative value of time for drivers (relative to that of the NYC-area airline passenger in Row 741) ranges from 0.2 for the driver of an empty taxicab and 0.25 for an auto driver on a non-work trip, to 0.5 for an auto driver on a work trip and 0.67 for a taxi passenger. Lesser values are used for passengers or additional taxi riders, and values outside the CBD are generally taken as 2/3 of the corresponding value of time within. Weekend values are discounted by 40%.</v>
      </c>
      <c r="C747" s="3779"/>
      <c r="D747" s="3779"/>
      <c r="E747" s="3779"/>
      <c r="F747" s="3779"/>
      <c r="G747" s="3779"/>
      <c r="H747" s="3779"/>
      <c r="I747" s="3779"/>
      <c r="L747" s="117">
        <f>ROW()</f>
        <v>747</v>
      </c>
    </row>
    <row r="748" spans="2:12" ht="14.1" customHeight="1">
      <c r="B748" s="3779"/>
      <c r="C748" s="3779"/>
      <c r="D748" s="3779"/>
      <c r="E748" s="3779"/>
      <c r="F748" s="3779"/>
      <c r="G748" s="3779"/>
      <c r="H748" s="3779"/>
      <c r="I748" s="3779"/>
      <c r="L748" s="117">
        <f>ROW()</f>
        <v>748</v>
      </c>
    </row>
    <row r="749" spans="2:12" ht="14.1" customHeight="1">
      <c r="B749" s="3779"/>
      <c r="C749" s="3779"/>
      <c r="D749" s="3779"/>
      <c r="E749" s="3779"/>
      <c r="F749" s="3779"/>
      <c r="G749" s="3779"/>
      <c r="H749" s="3779"/>
      <c r="I749" s="3779"/>
      <c r="L749" s="117">
        <f>ROW()</f>
        <v>749</v>
      </c>
    </row>
    <row r="750" spans="2:12" ht="14.1" customHeight="1">
      <c r="B750" s="3781"/>
      <c r="C750" s="3781"/>
      <c r="D750" s="3781"/>
      <c r="E750" s="3781"/>
      <c r="F750" s="3781"/>
      <c r="G750" s="3781"/>
      <c r="H750" s="3781"/>
      <c r="I750" s="3781"/>
      <c r="L750" s="117">
        <f>ROW()</f>
        <v>750</v>
      </c>
    </row>
    <row r="751" spans="2:12" ht="14.1" customHeight="1">
      <c r="L751" s="117">
        <f>ROW()</f>
        <v>751</v>
      </c>
    </row>
    <row r="752" spans="2:12" ht="14.1" customHeight="1">
      <c r="B752" s="1" t="s">
        <v>3933</v>
      </c>
      <c r="L752" s="117">
        <f>ROW()</f>
        <v>752</v>
      </c>
    </row>
    <row r="753" spans="12:12" ht="14.1" customHeight="1">
      <c r="L753" s="117"/>
    </row>
    <row r="754" spans="12:12" ht="14.1" customHeight="1">
      <c r="L754" s="117"/>
    </row>
    <row r="755" spans="12:12" ht="14.1" customHeight="1">
      <c r="L755" s="117"/>
    </row>
    <row r="756" spans="12:12" ht="14.1" customHeight="1">
      <c r="L756" s="117"/>
    </row>
    <row r="757" spans="12:12" ht="14.1" customHeight="1">
      <c r="L757" s="117"/>
    </row>
    <row r="758" spans="12:12" ht="14.1" customHeight="1">
      <c r="L758" s="117"/>
    </row>
    <row r="759" spans="12:12" ht="14.1" customHeight="1">
      <c r="L759" s="117"/>
    </row>
    <row r="760" spans="12:12" ht="14.1" customHeight="1">
      <c r="L760" s="117"/>
    </row>
    <row r="761" spans="12:12" ht="14.1" customHeight="1">
      <c r="L761" s="117"/>
    </row>
    <row r="762" spans="12:12" ht="14.1" customHeight="1">
      <c r="L762" s="117"/>
    </row>
    <row r="763" spans="12:12" ht="14.1" customHeight="1">
      <c r="L763" s="117"/>
    </row>
  </sheetData>
  <mergeCells count="116">
    <mergeCell ref="J500:J522"/>
    <mergeCell ref="F580:F584"/>
    <mergeCell ref="B536:H540"/>
    <mergeCell ref="F205:H205"/>
    <mergeCell ref="F322:H323"/>
    <mergeCell ref="G327:H329"/>
    <mergeCell ref="B407:H409"/>
    <mergeCell ref="B658:I661"/>
    <mergeCell ref="D315:G317"/>
    <mergeCell ref="C206:I208"/>
    <mergeCell ref="B210:I212"/>
    <mergeCell ref="F398:G399"/>
    <mergeCell ref="H398:I399"/>
    <mergeCell ref="B402:G404"/>
    <mergeCell ref="I382:I383"/>
    <mergeCell ref="B360:H361"/>
    <mergeCell ref="B332:H333"/>
    <mergeCell ref="B336:H340"/>
    <mergeCell ref="B349:H351"/>
    <mergeCell ref="B390:H392"/>
    <mergeCell ref="B394:H397"/>
    <mergeCell ref="B370:H371"/>
    <mergeCell ref="B382:H383"/>
    <mergeCell ref="B747:I750"/>
    <mergeCell ref="E485:G485"/>
    <mergeCell ref="B451:H452"/>
    <mergeCell ref="B482:H483"/>
    <mergeCell ref="B413:H414"/>
    <mergeCell ref="B570:H571"/>
    <mergeCell ref="B443:H444"/>
    <mergeCell ref="B429:H430"/>
    <mergeCell ref="B457:H458"/>
    <mergeCell ref="B467:H468"/>
    <mergeCell ref="B472:H473"/>
    <mergeCell ref="D476:I479"/>
    <mergeCell ref="B487:D493"/>
    <mergeCell ref="B497:I498"/>
    <mergeCell ref="F501:H503"/>
    <mergeCell ref="F514:H516"/>
    <mergeCell ref="H487:J487"/>
    <mergeCell ref="G617:H618"/>
    <mergeCell ref="B744:I745"/>
    <mergeCell ref="B708:I710"/>
    <mergeCell ref="B714:I715"/>
    <mergeCell ref="D720:D721"/>
    <mergeCell ref="G720:G721"/>
    <mergeCell ref="F720:F721"/>
    <mergeCell ref="B6:I7"/>
    <mergeCell ref="B224:I226"/>
    <mergeCell ref="B153:I156"/>
    <mergeCell ref="G284:H290"/>
    <mergeCell ref="C278:H280"/>
    <mergeCell ref="B194:I197"/>
    <mergeCell ref="B215:I222"/>
    <mergeCell ref="B164:I164"/>
    <mergeCell ref="B173:I175"/>
    <mergeCell ref="B178:I181"/>
    <mergeCell ref="F186:G187"/>
    <mergeCell ref="H186:I187"/>
    <mergeCell ref="E130:F135"/>
    <mergeCell ref="B144:E144"/>
    <mergeCell ref="B39:I42"/>
    <mergeCell ref="B56:I57"/>
    <mergeCell ref="B94:I97"/>
    <mergeCell ref="B77:I78"/>
    <mergeCell ref="B9:I10"/>
    <mergeCell ref="F719:G719"/>
    <mergeCell ref="I719:J719"/>
    <mergeCell ref="I720:I721"/>
    <mergeCell ref="J720:J721"/>
    <mergeCell ref="F688:F691"/>
    <mergeCell ref="G688:G691"/>
    <mergeCell ref="H688:H691"/>
    <mergeCell ref="I688:I691"/>
    <mergeCell ref="B702:I706"/>
    <mergeCell ref="B669:I670"/>
    <mergeCell ref="B679:I681"/>
    <mergeCell ref="F687:G687"/>
    <mergeCell ref="H687:I687"/>
    <mergeCell ref="B683:I685"/>
    <mergeCell ref="B654:I656"/>
    <mergeCell ref="B663:I667"/>
    <mergeCell ref="F62:G63"/>
    <mergeCell ref="H63:H64"/>
    <mergeCell ref="G624:H625"/>
    <mergeCell ref="G262:G272"/>
    <mergeCell ref="B386:H387"/>
    <mergeCell ref="D516:E516"/>
    <mergeCell ref="D503:E503"/>
    <mergeCell ref="B642:H643"/>
    <mergeCell ref="B633:I635"/>
    <mergeCell ref="B639:I640"/>
    <mergeCell ref="B527:H530"/>
    <mergeCell ref="B548:H553"/>
    <mergeCell ref="B364:H365"/>
    <mergeCell ref="J102:K108"/>
    <mergeCell ref="B143:I143"/>
    <mergeCell ref="G235:H238"/>
    <mergeCell ref="B240:F241"/>
    <mergeCell ref="G240:H241"/>
    <mergeCell ref="B257:E258"/>
    <mergeCell ref="D186:E191"/>
    <mergeCell ref="F144:I144"/>
    <mergeCell ref="B159:I163"/>
    <mergeCell ref="D103:G106"/>
    <mergeCell ref="D107:G108"/>
    <mergeCell ref="D122:F125"/>
    <mergeCell ref="C201:E201"/>
    <mergeCell ref="F201:H201"/>
    <mergeCell ref="C202:E202"/>
    <mergeCell ref="F202:H202"/>
    <mergeCell ref="C203:E203"/>
    <mergeCell ref="F203:H203"/>
    <mergeCell ref="C204:E204"/>
    <mergeCell ref="F204:H204"/>
    <mergeCell ref="C205:E205"/>
  </mergeCells>
  <hyperlinks>
    <hyperlink ref="B14" location="Assumptions!B37" display="Results &amp; User Inputs"/>
    <hyperlink ref="B15" location="Assumptions!B44" display="Revenues"/>
    <hyperlink ref="B16" location="Assumptions!B54" display="Cost-Benefit"/>
    <hyperlink ref="B17" location="Assumptions!B83" display="Travel"/>
    <hyperlink ref="B18" location="Assumptions!B99" display="Motor Vs &amp; Motor Vs Weekends"/>
    <hyperlink ref="B19" location="Assumptions!B228" display="Incidence"/>
    <hyperlink ref="B21" location="Assumptions!B278" display="Taxis"/>
    <hyperlink ref="B22" location="Assumptions!B320" display="Transit"/>
    <hyperlink ref="B23" location="Assumptions!B369" display="Subways"/>
    <hyperlink ref="B24" location="Assumptions!B440" display="Subway vs. Bus"/>
    <hyperlink ref="B26" location="Assumptions!B479" display="Weekday Hours &amp; Weekend Hours"/>
    <hyperlink ref="B27" location="Assumptions!B527" display="Weekends"/>
    <hyperlink ref="B28" location="Assumptions!B547" display="Speed-Volume, Cordon"/>
    <hyperlink ref="B30" location="Assumptions!B559" display="VMT"/>
    <hyperlink ref="B31" location="Assumptions!B576" display="Elasticities"/>
    <hyperlink ref="B32" location="Assumptions!B589" display="Cordon"/>
    <hyperlink ref="B33" location="Assumptions!B655" display="Emissions"/>
    <hyperlink ref="B34" location="Assumptions!B679" display="Parking"/>
    <hyperlink ref="B35" location="Assumptions!B714" display="Value of Time"/>
    <hyperlink ref="B29" location="Assumptions!B547" display="Speed-Volume, non-Cordon"/>
    <hyperlink ref="B20" location="Assumptions!B260" display="Trucks"/>
    <hyperlink ref="B25" location="Assumptions!B456" display="Buses"/>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sheetPr codeName="Sheet4"/>
  <dimension ref="A1:AD148"/>
  <sheetViews>
    <sheetView showRuler="0" zoomScaleNormal="100" workbookViewId="0"/>
  </sheetViews>
  <sheetFormatPr defaultColWidth="9.125" defaultRowHeight="14.1" customHeight="1"/>
  <cols>
    <col min="1" max="1" width="2.75" customWidth="1"/>
    <col min="2" max="2" width="41.25" style="1244" customWidth="1"/>
    <col min="3" max="4" width="13.625" style="1244" customWidth="1"/>
    <col min="5" max="7" width="14" style="1244" customWidth="1"/>
    <col min="8" max="8" width="14" style="1002" customWidth="1"/>
    <col min="9" max="9" width="14.75" style="1244" customWidth="1"/>
    <col min="10" max="10" width="14" style="1244" customWidth="1"/>
    <col min="11" max="11" width="14" customWidth="1"/>
    <col min="12" max="12" width="14" style="1244" customWidth="1"/>
    <col min="13" max="13" width="2" style="1244" customWidth="1"/>
    <col min="14" max="14" width="2.75" style="1244" customWidth="1"/>
    <col min="15" max="21" width="9.125" style="1002"/>
    <col min="22" max="22" width="10.375" style="1002" bestFit="1" customWidth="1"/>
    <col min="23" max="16384" width="9.125" style="1002"/>
  </cols>
  <sheetData>
    <row r="1" spans="2:23" ht="14.1" customHeight="1">
      <c r="I1" s="1002"/>
      <c r="M1" s="2170">
        <f>ROW()</f>
        <v>1</v>
      </c>
    </row>
    <row r="2" spans="2:23" ht="14.1" customHeight="1">
      <c r="B2" s="1336" t="s">
        <v>1881</v>
      </c>
      <c r="C2" s="1280"/>
      <c r="D2" s="1337"/>
      <c r="E2" s="1280"/>
      <c r="F2" s="1280"/>
      <c r="G2" s="1280"/>
      <c r="H2" s="1337"/>
      <c r="I2" s="1002"/>
      <c r="J2" s="1341">
        <f>'Title Page'!K1</f>
        <v>40914</v>
      </c>
      <c r="M2" s="2170">
        <f>ROW()</f>
        <v>2</v>
      </c>
      <c r="O2" s="2246" t="s">
        <v>3705</v>
      </c>
    </row>
    <row r="3" spans="2:23" ht="14.1" customHeight="1">
      <c r="B3" s="1279"/>
      <c r="C3" s="1280"/>
      <c r="D3" s="1280"/>
      <c r="E3" s="1280"/>
      <c r="F3" s="1280"/>
      <c r="G3" s="1280"/>
      <c r="H3" s="1337"/>
      <c r="I3" s="2057"/>
      <c r="J3" s="1002"/>
      <c r="M3" s="2170">
        <f>ROW()</f>
        <v>3</v>
      </c>
    </row>
    <row r="4" spans="2:23" ht="14.1" customHeight="1">
      <c r="B4" s="1244" t="s">
        <v>3733</v>
      </c>
      <c r="C4" s="1280"/>
      <c r="D4" s="1280"/>
      <c r="E4" s="1280"/>
      <c r="F4" s="1280"/>
      <c r="G4" s="1280"/>
      <c r="H4" s="1337"/>
      <c r="I4" s="2057"/>
      <c r="J4" s="1002"/>
      <c r="M4" s="2170">
        <f>ROW()</f>
        <v>4</v>
      </c>
    </row>
    <row r="5" spans="2:23" ht="14.1" customHeight="1">
      <c r="B5" s="1279"/>
      <c r="C5" s="1280"/>
      <c r="D5" s="1280"/>
      <c r="E5" s="1280"/>
      <c r="F5" s="1280"/>
      <c r="G5" s="1280"/>
      <c r="H5" s="1337"/>
      <c r="I5" s="2057"/>
      <c r="J5" s="1002"/>
      <c r="M5" s="2170">
        <f>ROW()</f>
        <v>5</v>
      </c>
      <c r="O5" s="3870" t="s">
        <v>3734</v>
      </c>
      <c r="P5" s="3810"/>
      <c r="Q5" s="3810"/>
      <c r="R5" s="3810"/>
      <c r="S5" s="3810"/>
      <c r="T5" s="3810"/>
      <c r="U5" s="3810"/>
      <c r="V5" s="3810"/>
      <c r="W5" s="3810"/>
    </row>
    <row r="6" spans="2:23" ht="14.1" customHeight="1">
      <c r="B6" s="1244" t="s">
        <v>3626</v>
      </c>
      <c r="I6" s="1002"/>
      <c r="J6" s="1002"/>
      <c r="M6" s="2170">
        <f>ROW()</f>
        <v>6</v>
      </c>
      <c r="O6" s="3810"/>
      <c r="P6" s="3810"/>
      <c r="Q6" s="3810"/>
      <c r="R6" s="3810"/>
      <c r="S6" s="3810"/>
      <c r="T6" s="3810"/>
      <c r="U6" s="3810"/>
      <c r="V6" s="3810"/>
      <c r="W6" s="3810"/>
    </row>
    <row r="7" spans="2:23" ht="14.1" customHeight="1">
      <c r="I7" s="1002"/>
      <c r="J7" s="1002"/>
      <c r="M7" s="2170">
        <f>ROW()</f>
        <v>7</v>
      </c>
      <c r="O7" s="3810"/>
      <c r="P7" s="3810"/>
      <c r="Q7" s="3810"/>
      <c r="R7" s="3810"/>
      <c r="S7" s="3810"/>
      <c r="T7" s="3810"/>
      <c r="U7" s="3810"/>
      <c r="V7" s="3810"/>
      <c r="W7" s="3810"/>
    </row>
    <row r="8" spans="2:23" ht="14.1" customHeight="1">
      <c r="B8" s="3839" t="s">
        <v>5838</v>
      </c>
      <c r="C8" s="3840"/>
      <c r="D8" s="3840"/>
      <c r="E8" s="3840"/>
      <c r="F8" s="3840"/>
      <c r="G8" s="3840"/>
      <c r="H8" s="3840"/>
      <c r="I8" s="1002"/>
      <c r="J8" s="1002"/>
      <c r="M8" s="2170">
        <f>ROW()</f>
        <v>8</v>
      </c>
    </row>
    <row r="9" spans="2:23" ht="14.1" customHeight="1">
      <c r="B9" s="3840"/>
      <c r="C9" s="3840"/>
      <c r="D9" s="3840"/>
      <c r="E9" s="3840"/>
      <c r="F9" s="3840"/>
      <c r="G9" s="3840"/>
      <c r="H9" s="3840"/>
      <c r="I9" s="1002"/>
      <c r="J9" s="1002"/>
      <c r="M9" s="2170">
        <f>ROW()</f>
        <v>9</v>
      </c>
      <c r="O9" s="3870" t="s">
        <v>3757</v>
      </c>
      <c r="P9" s="3810"/>
      <c r="Q9" s="3810"/>
      <c r="R9" s="3810"/>
      <c r="S9" s="3810"/>
      <c r="T9" s="3810"/>
      <c r="U9" s="3810"/>
      <c r="V9" s="3810"/>
      <c r="W9" s="3810"/>
    </row>
    <row r="10" spans="2:23" ht="14.1" customHeight="1">
      <c r="B10" s="2172"/>
      <c r="C10" s="2172"/>
      <c r="D10" s="3266"/>
      <c r="E10" s="2172"/>
      <c r="F10" s="2172"/>
      <c r="G10" s="3843" t="s">
        <v>5922</v>
      </c>
      <c r="H10" s="3844"/>
      <c r="I10" s="1002"/>
      <c r="J10" s="1002"/>
      <c r="M10" s="2170">
        <f>ROW()</f>
        <v>10</v>
      </c>
      <c r="O10" s="3810"/>
      <c r="P10" s="3810"/>
      <c r="Q10" s="3810"/>
      <c r="R10" s="3810"/>
      <c r="S10" s="3810"/>
      <c r="T10" s="3810"/>
      <c r="U10" s="3810"/>
      <c r="V10" s="3810"/>
      <c r="W10" s="3810"/>
    </row>
    <row r="11" spans="2:23" ht="14.1" customHeight="1">
      <c r="B11" s="3849" t="str">
        <f>CONCATENATE("Key results of plan selected in black block cell (H",M25, ") are shown in blue boxes at right:")</f>
        <v>Key results of plan selected in black block cell (H25) are shown in blue boxes at right:</v>
      </c>
      <c r="D11" s="3843" t="s">
        <v>3563</v>
      </c>
      <c r="E11" s="3844"/>
      <c r="G11" s="3920"/>
      <c r="H11" s="3921"/>
      <c r="M11" s="2170">
        <f>ROW()</f>
        <v>11</v>
      </c>
      <c r="O11" s="3810"/>
      <c r="P11" s="3810"/>
      <c r="Q11" s="3810"/>
      <c r="R11" s="3810"/>
      <c r="S11" s="3810"/>
      <c r="T11" s="3810"/>
      <c r="U11" s="3810"/>
      <c r="V11" s="3810"/>
      <c r="W11" s="3810"/>
    </row>
    <row r="12" spans="2:23" ht="14.1" customHeight="1">
      <c r="B12" s="3850"/>
      <c r="D12" s="3845"/>
      <c r="E12" s="3846"/>
      <c r="G12" s="3738"/>
      <c r="H12" s="3922"/>
      <c r="M12" s="2170">
        <f>ROW()</f>
        <v>12</v>
      </c>
      <c r="O12" s="3810"/>
      <c r="P12" s="3810"/>
      <c r="Q12" s="3810"/>
      <c r="R12" s="3810"/>
      <c r="S12" s="3810"/>
      <c r="T12" s="3810"/>
      <c r="U12" s="3810"/>
      <c r="V12" s="3810"/>
      <c r="W12" s="3810"/>
    </row>
    <row r="13" spans="2:23" ht="14.1" customHeight="1">
      <c r="D13" s="2176">
        <f ca="1">I55-J36-J39-J52</f>
        <v>1050</v>
      </c>
      <c r="E13" s="2041" t="s">
        <v>3564</v>
      </c>
      <c r="G13" s="3741"/>
      <c r="H13" s="3777"/>
      <c r="M13" s="2170">
        <f>ROW()</f>
        <v>13</v>
      </c>
    </row>
    <row r="14" spans="2:23" ht="14.1" customHeight="1">
      <c r="B14" s="3304" t="s">
        <v>3627</v>
      </c>
      <c r="C14"/>
      <c r="D14" s="3847" t="str">
        <f>CONCATENATE("(Row ",M55, " Revenue, less Expenditures in Rows ",M36, ", ",M39, " &amp; ",M52, ")")</f>
        <v>(Row 55 Revenue, less Expenditures in Rows 36, 39 &amp; 52)</v>
      </c>
      <c r="E14" s="3836"/>
      <c r="G14" s="3841">
        <f ca="1">F87</f>
        <v>0.17767912522370133</v>
      </c>
      <c r="H14" s="3842"/>
      <c r="M14" s="2170">
        <f>ROW()</f>
        <v>14</v>
      </c>
      <c r="O14" s="3839" t="s">
        <v>3706</v>
      </c>
      <c r="P14" s="3779"/>
      <c r="Q14" s="3779"/>
      <c r="R14" s="3779"/>
      <c r="S14" s="3779"/>
      <c r="T14" s="3779"/>
      <c r="U14" s="3779"/>
      <c r="V14" s="3779"/>
      <c r="W14" s="3779"/>
    </row>
    <row r="15" spans="2:23" ht="14.1" customHeight="1">
      <c r="D15" s="3848"/>
      <c r="E15" s="3838"/>
      <c r="G15" s="3927" t="str">
        <f>CONCATENATE("(From Cell F",M87,")")</f>
        <v>(From Cell F87)</v>
      </c>
      <c r="H15" s="3928"/>
      <c r="M15" s="2170">
        <f>ROW()</f>
        <v>15</v>
      </c>
      <c r="O15" s="3779"/>
      <c r="P15" s="3779"/>
      <c r="Q15" s="3779"/>
      <c r="R15" s="3779"/>
      <c r="S15" s="3779"/>
      <c r="T15" s="3779"/>
      <c r="U15" s="3779"/>
      <c r="V15" s="3779"/>
      <c r="W15" s="3779"/>
    </row>
    <row r="16" spans="2:23" ht="14.1" customHeight="1">
      <c r="B16"/>
      <c r="C16"/>
      <c r="D16"/>
      <c r="E16"/>
      <c r="F16"/>
      <c r="G16"/>
      <c r="H16"/>
      <c r="I16"/>
      <c r="J16" s="3134"/>
      <c r="M16" s="2170">
        <f>ROW()</f>
        <v>16</v>
      </c>
    </row>
    <row r="17" spans="2:30" ht="14.1" customHeight="1">
      <c r="B17" s="3866" t="str">
        <f>CONCATENATE("This worksheet displays key results for the traffic-pricing plan selected in Row ",M25, ", as well as for any 'Custom' plan you, the user, may devise.")</f>
        <v>This worksheet displays key results for the traffic-pricing plan selected in Row 25, as well as for any 'Custom' plan you, the user, may devise.</v>
      </c>
      <c r="C17" s="3866"/>
      <c r="D17" s="3866"/>
      <c r="E17" s="3866"/>
      <c r="F17" s="3866"/>
      <c r="G17" s="3866"/>
      <c r="H17" s="3866"/>
      <c r="I17" s="3866"/>
      <c r="J17" s="3134"/>
      <c r="M17" s="2170">
        <f>ROW()</f>
        <v>17</v>
      </c>
      <c r="O17" s="3870" t="s">
        <v>6178</v>
      </c>
      <c r="P17" s="3810"/>
      <c r="Q17" s="3810"/>
      <c r="R17" s="3810"/>
      <c r="S17" s="3810"/>
      <c r="T17" s="3810"/>
      <c r="U17" s="3810"/>
      <c r="V17" s="3810"/>
      <c r="W17" s="3810"/>
    </row>
    <row r="18" spans="2:30" ht="14.1" customHeight="1">
      <c r="B18" s="1276"/>
      <c r="C18" s="1276"/>
      <c r="D18" s="1276"/>
      <c r="E18" s="1276"/>
      <c r="F18" s="1276"/>
      <c r="G18" s="1276"/>
      <c r="H18" s="2039"/>
      <c r="I18" s="1276"/>
      <c r="J18" s="2037"/>
      <c r="M18" s="2170">
        <f>ROW()</f>
        <v>18</v>
      </c>
      <c r="O18" s="3810"/>
      <c r="P18" s="3810"/>
      <c r="Q18" s="3810"/>
      <c r="R18" s="3810"/>
      <c r="S18" s="3810"/>
      <c r="T18" s="3810"/>
      <c r="U18" s="3810"/>
      <c r="V18" s="3810"/>
      <c r="W18" s="3810"/>
    </row>
    <row r="19" spans="2:30" ht="14.1" customHeight="1">
      <c r="B19" s="3860" t="str">
        <f>CONCATENATE("Use the 'Switch' in Cell H",M25," to select among five plans shown. The Baseline plan (#1) has been pre-set to represent actual 2010-11 conditions. If it 'returns' zero results (e.g., no net revenue), that would be an indication that the BTA is well benchmarked.")</f>
        <v>Use the 'Switch' in Cell H25 to select among five plans shown. The Baseline plan (#1) has been pre-set to represent actual 2010-11 conditions. If it 'returns' zero results (e.g., no net revenue), that would be an indication that the BTA is well benchmarked.</v>
      </c>
      <c r="C19" s="3861"/>
      <c r="D19" s="3861"/>
      <c r="E19" s="3861"/>
      <c r="F19" s="3861"/>
      <c r="G19" s="3861"/>
      <c r="H19" s="3862"/>
      <c r="I19" s="1590"/>
      <c r="J19" s="2040"/>
      <c r="M19" s="2170">
        <f>ROW()</f>
        <v>19</v>
      </c>
      <c r="O19" s="3810"/>
      <c r="P19" s="3810"/>
      <c r="Q19" s="3810"/>
      <c r="R19" s="3810"/>
      <c r="S19" s="3810"/>
      <c r="T19" s="3810"/>
      <c r="U19" s="3810"/>
      <c r="V19" s="3810"/>
      <c r="W19" s="3810"/>
    </row>
    <row r="20" spans="2:30" ht="14.1" customHeight="1">
      <c r="B20" s="3863"/>
      <c r="C20" s="3864"/>
      <c r="D20" s="3864"/>
      <c r="E20" s="3864"/>
      <c r="F20" s="3864"/>
      <c r="G20" s="3864"/>
      <c r="H20" s="3865"/>
      <c r="M20" s="2170">
        <f>ROW()</f>
        <v>20</v>
      </c>
      <c r="O20" s="3810"/>
      <c r="P20" s="3810"/>
      <c r="Q20" s="3810"/>
      <c r="R20" s="3810"/>
      <c r="S20" s="3810"/>
      <c r="T20" s="3810"/>
      <c r="U20" s="3810"/>
      <c r="V20" s="3810"/>
      <c r="W20" s="3810"/>
    </row>
    <row r="21" spans="2:30" ht="14.1" customHeight="1">
      <c r="B21" s="1691"/>
      <c r="C21" s="1691"/>
      <c r="D21" s="1691"/>
      <c r="E21" s="1691"/>
      <c r="F21" s="1691"/>
      <c r="G21" s="1691"/>
      <c r="H21" s="1691"/>
      <c r="M21" s="2170">
        <f>ROW()</f>
        <v>21</v>
      </c>
    </row>
    <row r="22" spans="2:30" ht="14.1" customHeight="1">
      <c r="B22" s="1167" t="s">
        <v>5839</v>
      </c>
      <c r="C22" s="1249"/>
      <c r="D22" s="1249"/>
      <c r="E22" s="1250"/>
      <c r="F22" s="1248"/>
      <c r="G22" s="1248"/>
      <c r="H22" s="2048"/>
      <c r="M22" s="2170">
        <f>ROW()</f>
        <v>22</v>
      </c>
      <c r="N22" s="1249"/>
      <c r="O22" s="1101" t="s">
        <v>3707</v>
      </c>
      <c r="P22" s="2058"/>
      <c r="Q22" s="2058"/>
      <c r="R22" s="2058"/>
    </row>
    <row r="23" spans="2:30" ht="14.1" customHeight="1">
      <c r="C23" s="1249"/>
      <c r="D23" s="1249"/>
      <c r="E23" s="1250"/>
      <c r="F23" s="1248"/>
      <c r="G23" s="1248"/>
      <c r="H23" s="2048"/>
      <c r="M23" s="2170">
        <f>ROW()</f>
        <v>23</v>
      </c>
      <c r="N23" s="1249"/>
      <c r="P23" s="2058"/>
      <c r="Q23" s="2058"/>
      <c r="R23" s="2058"/>
    </row>
    <row r="24" spans="2:30" ht="14.1" customHeight="1">
      <c r="B24" s="3017" t="s">
        <v>3628</v>
      </c>
      <c r="C24" s="2737">
        <v>1</v>
      </c>
      <c r="D24" s="2737">
        <v>2</v>
      </c>
      <c r="E24" s="2737">
        <v>3</v>
      </c>
      <c r="F24" s="2737">
        <v>4</v>
      </c>
      <c r="G24" s="2177">
        <v>5</v>
      </c>
      <c r="H24" s="2178" t="s">
        <v>94</v>
      </c>
      <c r="I24" s="3874" t="s">
        <v>6171</v>
      </c>
      <c r="J24" s="3875"/>
      <c r="M24" s="2170">
        <f>ROW()</f>
        <v>24</v>
      </c>
      <c r="N24" s="1254"/>
      <c r="O24" s="3870" t="s">
        <v>3735</v>
      </c>
      <c r="P24" s="3810"/>
      <c r="Q24" s="3810"/>
      <c r="R24" s="3810"/>
      <c r="S24" s="3810"/>
      <c r="T24" s="3810"/>
      <c r="U24" s="3810"/>
      <c r="V24" s="3810"/>
      <c r="W24" s="3810"/>
      <c r="AD24" s="1005"/>
    </row>
    <row r="25" spans="2:30" ht="14.1" customHeight="1">
      <c r="B25" s="3907" t="str">
        <f>CONCATENATE("Click on cell H",M25," to choose one of the plans shown.")</f>
        <v>Click on cell H25 to choose one of the plans shown.</v>
      </c>
      <c r="C25" s="3855" t="s">
        <v>1463</v>
      </c>
      <c r="D25" s="3855" t="s">
        <v>6363</v>
      </c>
      <c r="E25" s="3855" t="s">
        <v>6043</v>
      </c>
      <c r="F25" s="3855" t="s">
        <v>6044</v>
      </c>
      <c r="G25" s="3855" t="s">
        <v>6020</v>
      </c>
      <c r="H25" s="3882" t="s">
        <v>6043</v>
      </c>
      <c r="I25" s="3876"/>
      <c r="J25" s="3877"/>
      <c r="M25" s="2170">
        <f>ROW()</f>
        <v>25</v>
      </c>
      <c r="N25" s="1254"/>
      <c r="O25" s="3810"/>
      <c r="P25" s="3810"/>
      <c r="Q25" s="3810"/>
      <c r="R25" s="3810"/>
      <c r="S25" s="3810"/>
      <c r="T25" s="3810"/>
      <c r="U25" s="3810"/>
      <c r="V25" s="3810"/>
      <c r="W25" s="3810"/>
      <c r="AD25" s="1005"/>
    </row>
    <row r="26" spans="2:30" ht="14.1" customHeight="1">
      <c r="B26" s="3908"/>
      <c r="C26" s="3856"/>
      <c r="D26" s="3856"/>
      <c r="E26" s="3856"/>
      <c r="F26" s="3856"/>
      <c r="G26" s="3856"/>
      <c r="H26" s="3883"/>
      <c r="I26" s="3876"/>
      <c r="J26" s="3877"/>
      <c r="M26" s="2170">
        <f>ROW()</f>
        <v>26</v>
      </c>
      <c r="N26" s="1254"/>
      <c r="O26" s="3810"/>
      <c r="P26" s="3810"/>
      <c r="Q26" s="3810"/>
      <c r="R26" s="3810"/>
      <c r="S26" s="3810"/>
      <c r="T26" s="3810"/>
      <c r="U26" s="3810"/>
      <c r="V26" s="3810"/>
      <c r="W26" s="3810"/>
    </row>
    <row r="27" spans="2:30" ht="14.1" customHeight="1">
      <c r="B27" s="3908"/>
      <c r="C27" s="3856"/>
      <c r="D27" s="3856"/>
      <c r="E27" s="3856"/>
      <c r="F27" s="3856"/>
      <c r="G27" s="3856"/>
      <c r="H27" s="3884"/>
      <c r="I27" s="3876"/>
      <c r="J27" s="3877"/>
      <c r="K27" s="1002"/>
      <c r="L27" s="1002"/>
      <c r="M27" s="2170">
        <f>ROW()</f>
        <v>27</v>
      </c>
      <c r="O27" s="3810"/>
      <c r="P27" s="3810"/>
      <c r="Q27" s="3810"/>
      <c r="R27" s="3810"/>
      <c r="S27" s="3810"/>
      <c r="T27" s="3810"/>
      <c r="U27" s="3810"/>
      <c r="V27" s="3810"/>
      <c r="W27" s="3810"/>
      <c r="X27" s="35"/>
      <c r="Y27" s="35"/>
      <c r="Z27" s="35"/>
      <c r="AA27" s="35"/>
      <c r="AB27" s="35"/>
      <c r="AC27" s="35"/>
    </row>
    <row r="28" spans="2:30" ht="14.1" customHeight="1">
      <c r="B28" s="3909"/>
      <c r="C28" s="3857"/>
      <c r="D28" s="3857"/>
      <c r="E28" s="3857"/>
      <c r="F28" s="3857"/>
      <c r="G28" s="3857"/>
      <c r="H28" s="3885"/>
      <c r="I28" s="3878"/>
      <c r="J28" s="3879"/>
      <c r="M28" s="2170">
        <f>ROW()</f>
        <v>28</v>
      </c>
      <c r="O28" s="2725"/>
      <c r="P28" s="2725"/>
      <c r="Q28" s="2725"/>
      <c r="R28" s="2725"/>
      <c r="S28" s="2725"/>
      <c r="T28" s="2725"/>
      <c r="U28" s="2725"/>
      <c r="V28" s="2725"/>
      <c r="W28" s="2725"/>
      <c r="X28" s="35"/>
      <c r="Y28" s="35"/>
      <c r="Z28" s="35"/>
      <c r="AA28" s="35"/>
      <c r="AB28" s="35"/>
      <c r="AC28" s="35"/>
    </row>
    <row r="29" spans="2:30" ht="14.1" customHeight="1">
      <c r="C29" s="1251"/>
      <c r="D29" s="3924" t="s">
        <v>5747</v>
      </c>
      <c r="E29" s="3924"/>
      <c r="F29" s="3924"/>
      <c r="G29" s="3924"/>
      <c r="H29" s="3924"/>
      <c r="I29" s="3924"/>
      <c r="J29" s="3924"/>
      <c r="L29" s="1247"/>
      <c r="M29" s="2170">
        <f>ROW()</f>
        <v>29</v>
      </c>
      <c r="N29" s="1247"/>
      <c r="O29" s="3923" t="s">
        <v>5835</v>
      </c>
      <c r="P29" s="3810"/>
      <c r="Q29" s="3810"/>
      <c r="R29" s="3810"/>
      <c r="S29" s="3810"/>
      <c r="T29" s="3810"/>
      <c r="U29" s="3810"/>
      <c r="V29" s="3810"/>
      <c r="W29" s="3810"/>
    </row>
    <row r="30" spans="2:30" ht="14.1" customHeight="1">
      <c r="C30" s="3851" t="s">
        <v>1176</v>
      </c>
      <c r="I30" s="3871" t="s">
        <v>3367</v>
      </c>
      <c r="J30" s="3871" t="s">
        <v>5647</v>
      </c>
      <c r="L30" s="1247"/>
      <c r="M30" s="2170">
        <f>ROW()</f>
        <v>30</v>
      </c>
      <c r="N30" s="1247"/>
      <c r="O30" s="3810"/>
      <c r="P30" s="3810"/>
      <c r="Q30" s="3810"/>
      <c r="R30" s="3810"/>
      <c r="S30" s="3810"/>
      <c r="T30" s="3810"/>
      <c r="U30" s="3810"/>
      <c r="V30" s="3810"/>
      <c r="W30" s="3810"/>
    </row>
    <row r="31" spans="2:30" ht="14.1" customHeight="1">
      <c r="B31" s="1205" t="s">
        <v>261</v>
      </c>
      <c r="C31" s="3851"/>
      <c r="D31" s="3852" t="s">
        <v>2056</v>
      </c>
      <c r="E31" s="3852"/>
      <c r="F31" s="3852"/>
      <c r="G31" s="3852"/>
      <c r="I31" s="3871"/>
      <c r="J31" s="3871"/>
      <c r="L31" s="1247"/>
      <c r="M31" s="2170">
        <f>ROW()</f>
        <v>31</v>
      </c>
      <c r="N31" s="1247"/>
      <c r="O31" s="3810"/>
      <c r="P31" s="3810"/>
      <c r="Q31" s="3810"/>
      <c r="R31" s="3810"/>
      <c r="S31" s="3810"/>
      <c r="T31" s="3810"/>
      <c r="U31" s="3810"/>
      <c r="V31" s="3810"/>
      <c r="W31" s="3810"/>
    </row>
    <row r="32" spans="2:30" ht="14.1" customHeight="1">
      <c r="B32" s="1804" t="s">
        <v>3542</v>
      </c>
      <c r="C32" s="2125"/>
      <c r="D32" s="492"/>
      <c r="E32" s="492"/>
      <c r="F32" s="492"/>
      <c r="G32" s="492"/>
      <c r="I32" s="2126"/>
      <c r="J32" s="2124"/>
      <c r="L32" s="1247"/>
      <c r="M32" s="2170">
        <f>ROW()</f>
        <v>32</v>
      </c>
      <c r="N32" s="1247"/>
      <c r="O32" s="3810"/>
      <c r="P32" s="3810"/>
      <c r="Q32" s="3810"/>
      <c r="R32" s="3810"/>
      <c r="S32" s="3810"/>
      <c r="T32" s="3810"/>
      <c r="U32" s="3810"/>
      <c r="V32" s="3810"/>
      <c r="W32" s="3810"/>
    </row>
    <row r="33" spans="1:29" ht="14.1" customHeight="1">
      <c r="B33" s="2670" t="s">
        <v>5643</v>
      </c>
      <c r="C33" s="1339" t="s">
        <v>2738</v>
      </c>
      <c r="D33" s="3886" t="s">
        <v>5645</v>
      </c>
      <c r="E33" s="3887"/>
      <c r="F33" s="3887"/>
      <c r="G33" s="3887"/>
      <c r="H33" s="3887"/>
      <c r="I33" s="3229">
        <f ca="1">ROUND(Revenues!G49,-1)</f>
        <v>1080</v>
      </c>
      <c r="J33" s="3228"/>
      <c r="L33" s="1247"/>
      <c r="M33" s="2170">
        <f>ROW()</f>
        <v>33</v>
      </c>
      <c r="N33" s="1247"/>
      <c r="O33" s="3810"/>
      <c r="P33" s="3810"/>
      <c r="Q33" s="3810"/>
      <c r="R33" s="3810"/>
      <c r="S33" s="3810"/>
      <c r="T33" s="3810"/>
      <c r="U33" s="3810"/>
      <c r="V33" s="3810"/>
      <c r="W33" s="3810"/>
    </row>
    <row r="34" spans="1:29" ht="14.1" customHeight="1">
      <c r="A34" s="3223"/>
      <c r="B34" s="2670" t="s">
        <v>5644</v>
      </c>
      <c r="C34" s="3224" t="s">
        <v>1642</v>
      </c>
      <c r="D34" s="3222" t="str">
        <f>CONCATENATE("Loss from switching advent of wkday off-peak toll to 6 pm, from 8 pm time assumed in Row ",M33, ".")</f>
        <v>Loss from switching advent of wkday off-peak toll to 6 pm, from 8 pm time assumed in Row 33.</v>
      </c>
      <c r="E34" s="3221"/>
      <c r="F34" s="3221"/>
      <c r="G34" s="3221"/>
      <c r="H34" s="3221"/>
      <c r="I34" s="3228"/>
      <c r="J34" s="3229">
        <f ca="1">ROUND('Motor Vs'!L1002,-1)</f>
        <v>40</v>
      </c>
      <c r="K34" s="3223"/>
      <c r="L34" s="1247"/>
      <c r="M34" s="2170">
        <f>ROW()</f>
        <v>34</v>
      </c>
      <c r="N34" s="1247"/>
      <c r="O34" s="3810"/>
      <c r="P34" s="3810"/>
      <c r="Q34" s="3810"/>
      <c r="R34" s="3810"/>
      <c r="S34" s="3810"/>
      <c r="T34" s="3810"/>
      <c r="U34" s="3810"/>
      <c r="V34" s="3810"/>
      <c r="W34" s="3810"/>
    </row>
    <row r="35" spans="1:29" ht="14.1" customHeight="1">
      <c r="A35" s="3223"/>
      <c r="B35" s="2670" t="s">
        <v>5646</v>
      </c>
      <c r="C35" s="3224" t="s">
        <v>1881</v>
      </c>
      <c r="D35" s="3222" t="str">
        <f>CONCATENATE("Row ",M33, " figure, less Row ",M34, " figure.")</f>
        <v>Row 33 figure, less Row 34 figure.</v>
      </c>
      <c r="E35" s="3221"/>
      <c r="F35" s="3221"/>
      <c r="G35" s="3221"/>
      <c r="H35" s="3221"/>
      <c r="I35" s="3228">
        <f ca="1">I33-J34</f>
        <v>1040</v>
      </c>
      <c r="J35" s="3228"/>
      <c r="K35" s="3223"/>
      <c r="L35" s="1247"/>
      <c r="M35" s="2170">
        <f>ROW()</f>
        <v>35</v>
      </c>
      <c r="N35" s="1247"/>
      <c r="O35" s="487"/>
      <c r="P35" s="487"/>
      <c r="Q35" s="487"/>
      <c r="R35" s="487"/>
      <c r="S35" s="487"/>
      <c r="T35" s="487"/>
      <c r="U35" s="487"/>
      <c r="V35" s="487"/>
      <c r="W35" s="487"/>
    </row>
    <row r="36" spans="1:29" ht="14.1" customHeight="1">
      <c r="B36" s="318" t="s">
        <v>3543</v>
      </c>
      <c r="C36" s="1339" t="s">
        <v>2308</v>
      </c>
      <c r="D36" s="3887" t="s">
        <v>1143</v>
      </c>
      <c r="E36" s="3887"/>
      <c r="F36" s="3887"/>
      <c r="G36" s="3887"/>
      <c r="I36" s="3228"/>
      <c r="J36" s="3228">
        <f ca="1">IF('Weekday Hours'!H7&gt;0,(ROUND(Cordon!H128/1000000,-1)),0)</f>
        <v>120</v>
      </c>
      <c r="L36" s="1247"/>
      <c r="M36" s="2170">
        <f>ROW()</f>
        <v>36</v>
      </c>
      <c r="N36" s="1247"/>
      <c r="O36" s="487"/>
      <c r="P36" s="487"/>
      <c r="Q36" s="3925" t="s">
        <v>3731</v>
      </c>
      <c r="R36" s="487"/>
      <c r="S36" s="3925" t="s">
        <v>3708</v>
      </c>
      <c r="T36" s="487"/>
      <c r="U36" s="487"/>
      <c r="V36" s="487"/>
      <c r="W36" s="487"/>
    </row>
    <row r="37" spans="1:29" ht="14.1" customHeight="1">
      <c r="B37" s="1202" t="s">
        <v>2342</v>
      </c>
      <c r="D37" s="3880"/>
      <c r="E37" s="3881"/>
      <c r="F37" s="3881"/>
      <c r="G37" s="3881"/>
      <c r="H37" s="3881"/>
      <c r="J37" s="3228"/>
      <c r="L37" s="1247"/>
      <c r="M37" s="2170">
        <f>ROW()</f>
        <v>37</v>
      </c>
      <c r="N37" s="1247"/>
      <c r="Q37" s="3807"/>
      <c r="S37" s="3807"/>
      <c r="X37" s="35"/>
      <c r="Y37" s="35"/>
      <c r="Z37" s="35"/>
      <c r="AA37" s="35"/>
      <c r="AB37" s="35"/>
      <c r="AC37" s="1005"/>
    </row>
    <row r="38" spans="1:29" ht="14.1" customHeight="1">
      <c r="B38" s="318" t="s">
        <v>2738</v>
      </c>
      <c r="C38" s="1339" t="s">
        <v>2738</v>
      </c>
      <c r="D38" s="3880" t="s">
        <v>3546</v>
      </c>
      <c r="E38" s="3881"/>
      <c r="F38" s="3881"/>
      <c r="G38" s="3881"/>
      <c r="H38" s="3881"/>
      <c r="I38" s="3228">
        <f ca="1">ROUND(Revenues!M49,-1)</f>
        <v>160</v>
      </c>
      <c r="J38" s="3228"/>
      <c r="L38" s="1247"/>
      <c r="M38" s="2170">
        <f>ROW()</f>
        <v>38</v>
      </c>
      <c r="N38" s="1247"/>
      <c r="O38" s="2247" t="s">
        <v>3730</v>
      </c>
      <c r="Q38" s="3807"/>
      <c r="S38" s="3807"/>
      <c r="X38" s="35"/>
      <c r="Y38" s="35"/>
      <c r="Z38" s="35"/>
      <c r="AA38" s="35"/>
      <c r="AB38" s="35"/>
      <c r="AC38" s="1005"/>
    </row>
    <row r="39" spans="1:29" ht="14.1" customHeight="1">
      <c r="B39" s="2670" t="s">
        <v>6252</v>
      </c>
      <c r="C39"/>
      <c r="D39" s="3880" t="s">
        <v>3545</v>
      </c>
      <c r="E39" s="3881"/>
      <c r="F39" s="3881"/>
      <c r="G39" s="3881"/>
      <c r="H39" s="3881"/>
      <c r="I39" s="3228"/>
      <c r="J39" s="3228">
        <f ca="1">ROUND('User Inputs'!J89*Results!I38,-1)</f>
        <v>20</v>
      </c>
      <c r="L39" s="1247"/>
      <c r="M39" s="2170">
        <f>ROW()</f>
        <v>39</v>
      </c>
      <c r="N39" s="1247"/>
      <c r="P39" s="1508"/>
      <c r="T39" s="1508"/>
      <c r="U39" s="1508"/>
      <c r="V39" s="1508"/>
      <c r="W39" s="1508"/>
      <c r="X39" s="35"/>
      <c r="Y39" s="35"/>
      <c r="Z39" s="35"/>
      <c r="AA39" s="35"/>
      <c r="AB39" s="35"/>
      <c r="AC39" s="1005"/>
    </row>
    <row r="40" spans="1:29" ht="14.1" customHeight="1">
      <c r="B40" s="1804" t="s">
        <v>3544</v>
      </c>
      <c r="C40" s="1339"/>
      <c r="D40" s="2127"/>
      <c r="E40" s="1326"/>
      <c r="F40" s="1326"/>
      <c r="G40" s="1326"/>
      <c r="H40" s="1326"/>
      <c r="I40" s="3228"/>
      <c r="J40" s="3228"/>
      <c r="L40" s="1247"/>
      <c r="M40" s="2170">
        <f>ROW()</f>
        <v>40</v>
      </c>
      <c r="N40" s="1247"/>
      <c r="O40" s="2247" t="s">
        <v>3709</v>
      </c>
      <c r="P40" s="35"/>
      <c r="Q40" s="2250">
        <v>1710</v>
      </c>
      <c r="S40" s="2249">
        <v>0.19400000000000001</v>
      </c>
      <c r="U40" s="2247"/>
      <c r="V40" s="35"/>
      <c r="W40" s="35"/>
      <c r="X40" s="35"/>
      <c r="Y40" s="35"/>
      <c r="Z40" s="35"/>
      <c r="AA40" s="35"/>
      <c r="AB40" s="35"/>
      <c r="AC40" s="1005"/>
    </row>
    <row r="41" spans="1:29" ht="14.1" customHeight="1">
      <c r="B41" s="2670" t="s">
        <v>5160</v>
      </c>
      <c r="C41" s="1339" t="s">
        <v>2738</v>
      </c>
      <c r="D41" s="3880" t="s">
        <v>5162</v>
      </c>
      <c r="E41" s="3881"/>
      <c r="F41" s="3881"/>
      <c r="G41" s="3881"/>
      <c r="H41" s="3881"/>
      <c r="I41" s="3228">
        <f ca="1">ROUND(Revenues!G31,-1)</f>
        <v>180</v>
      </c>
      <c r="J41" s="3228"/>
      <c r="L41" s="1247"/>
      <c r="M41" s="2170">
        <f>ROW()</f>
        <v>41</v>
      </c>
      <c r="N41" s="1247"/>
      <c r="Q41" s="89"/>
      <c r="T41" s="2247"/>
      <c r="U41" s="2247"/>
      <c r="X41" s="35"/>
      <c r="Y41" s="35"/>
      <c r="Z41" s="35"/>
      <c r="AA41" s="35"/>
      <c r="AB41" s="35"/>
      <c r="AC41" s="1005"/>
    </row>
    <row r="42" spans="1:29" ht="14.1" customHeight="1">
      <c r="B42" s="2670" t="s">
        <v>5161</v>
      </c>
      <c r="C42" s="1339" t="s">
        <v>2738</v>
      </c>
      <c r="D42" s="3880" t="s">
        <v>5163</v>
      </c>
      <c r="E42" s="3881"/>
      <c r="F42" s="3881"/>
      <c r="G42" s="3881"/>
      <c r="H42" s="3881"/>
      <c r="I42" s="3228">
        <f ca="1">ROUND(Revenues!J31,-1)</f>
        <v>20</v>
      </c>
      <c r="J42" s="3228"/>
      <c r="L42" s="1247"/>
      <c r="M42" s="2170">
        <f>ROW()</f>
        <v>42</v>
      </c>
      <c r="N42" s="1247"/>
      <c r="O42" s="88" t="s">
        <v>3710</v>
      </c>
      <c r="Q42" s="2251">
        <v>1690</v>
      </c>
      <c r="S42" s="2248">
        <v>0.19500000000000001</v>
      </c>
      <c r="T42" s="2247"/>
      <c r="U42" s="2247"/>
      <c r="X42" s="35"/>
      <c r="Y42" s="35"/>
      <c r="Z42" s="35"/>
      <c r="AA42" s="35"/>
      <c r="AB42" s="35"/>
      <c r="AC42" s="1005"/>
    </row>
    <row r="43" spans="1:29" ht="14.1" customHeight="1">
      <c r="B43" s="2670" t="s">
        <v>5955</v>
      </c>
      <c r="C43" s="1339" t="s">
        <v>2320</v>
      </c>
      <c r="D43" s="3892" t="s">
        <v>391</v>
      </c>
      <c r="E43" s="3892"/>
      <c r="F43" s="3892"/>
      <c r="G43" s="3892"/>
      <c r="H43" s="3892"/>
      <c r="I43" s="3228">
        <f>ROUND('Fare Collection'!J138/1000000,-1)</f>
        <v>0</v>
      </c>
      <c r="J43" s="3228"/>
      <c r="L43" s="1247"/>
      <c r="M43" s="2170">
        <f>ROW()</f>
        <v>43</v>
      </c>
      <c r="N43" s="1247"/>
      <c r="O43" s="88" t="s">
        <v>3711</v>
      </c>
      <c r="P43" s="35"/>
      <c r="Q43" s="2251">
        <v>1620</v>
      </c>
      <c r="S43" s="2248">
        <v>0.253</v>
      </c>
      <c r="X43" s="35"/>
      <c r="Y43" s="35"/>
      <c r="Z43" s="35"/>
      <c r="AA43" s="35"/>
      <c r="AB43" s="35"/>
      <c r="AC43" s="35"/>
    </row>
    <row r="44" spans="1:29" ht="14.1" customHeight="1">
      <c r="B44" s="318" t="s">
        <v>3549</v>
      </c>
      <c r="C44" s="1339" t="s">
        <v>2130</v>
      </c>
      <c r="D44" s="3891" t="s">
        <v>3553</v>
      </c>
      <c r="E44" s="3892"/>
      <c r="F44" s="3892"/>
      <c r="G44" s="3892"/>
      <c r="H44" s="3892"/>
      <c r="I44" s="3228"/>
      <c r="J44" s="3228">
        <f>'User Inputs'!J99</f>
        <v>490</v>
      </c>
      <c r="L44" s="1247"/>
      <c r="M44" s="2170">
        <f>ROW()</f>
        <v>44</v>
      </c>
      <c r="N44" s="1247"/>
      <c r="O44" s="88" t="s">
        <v>3712</v>
      </c>
      <c r="Q44" s="2251">
        <v>1810</v>
      </c>
      <c r="S44" s="2248">
        <v>0.152</v>
      </c>
      <c r="T44" s="2078"/>
      <c r="V44" s="35"/>
      <c r="W44" s="35"/>
      <c r="X44" s="35"/>
      <c r="Y44" s="35"/>
      <c r="Z44" s="35"/>
      <c r="AA44" s="35"/>
      <c r="AB44" s="35"/>
      <c r="AC44" s="35"/>
    </row>
    <row r="45" spans="1:29" ht="14.1" customHeight="1">
      <c r="B45" s="318" t="s">
        <v>3550</v>
      </c>
      <c r="C45" s="1339" t="s">
        <v>2130</v>
      </c>
      <c r="D45" s="3891" t="s">
        <v>3554</v>
      </c>
      <c r="E45" s="3892"/>
      <c r="F45" s="3892"/>
      <c r="G45" s="3892"/>
      <c r="H45" s="3892"/>
      <c r="I45" s="3228"/>
      <c r="J45" s="3228">
        <f>'User Inputs'!J102</f>
        <v>490</v>
      </c>
      <c r="L45" s="1247"/>
      <c r="M45" s="2170">
        <f>ROW()</f>
        <v>45</v>
      </c>
      <c r="N45" s="1247"/>
      <c r="O45" s="88" t="s">
        <v>3713</v>
      </c>
      <c r="P45" s="2078"/>
      <c r="Q45" s="2251">
        <v>1750</v>
      </c>
      <c r="S45" s="2248">
        <v>0.13800000000000001</v>
      </c>
      <c r="V45" s="35"/>
      <c r="W45" s="35"/>
      <c r="X45" s="35"/>
      <c r="Y45" s="35"/>
      <c r="Z45" s="35"/>
      <c r="AA45" s="35"/>
      <c r="AB45" s="35"/>
      <c r="AC45" s="35"/>
    </row>
    <row r="46" spans="1:29" ht="14.1" customHeight="1">
      <c r="B46" s="318" t="s">
        <v>3547</v>
      </c>
      <c r="C46" s="1339" t="s">
        <v>2738</v>
      </c>
      <c r="D46" s="3891" t="s">
        <v>3551</v>
      </c>
      <c r="E46" s="3892"/>
      <c r="F46" s="3892"/>
      <c r="G46" s="3892"/>
      <c r="H46" s="3892"/>
      <c r="I46" s="3228"/>
      <c r="J46" s="3529">
        <f ca="1">ROUND(Revenues!G31-Revenues!G23,-1)</f>
        <v>10</v>
      </c>
      <c r="K46" s="3919" t="s">
        <v>6253</v>
      </c>
      <c r="L46" s="3679"/>
      <c r="M46" s="2170">
        <f>ROW()</f>
        <v>46</v>
      </c>
      <c r="O46" s="88" t="s">
        <v>3714</v>
      </c>
      <c r="P46" s="2077"/>
      <c r="Q46" s="2251">
        <v>1740</v>
      </c>
      <c r="S46" s="2248">
        <v>0.159</v>
      </c>
    </row>
    <row r="47" spans="1:29" ht="14.1" customHeight="1">
      <c r="B47" s="318" t="s">
        <v>3548</v>
      </c>
      <c r="C47" s="1339" t="s">
        <v>2738</v>
      </c>
      <c r="D47" s="3891" t="s">
        <v>3552</v>
      </c>
      <c r="E47" s="3892"/>
      <c r="F47" s="3892"/>
      <c r="G47" s="3892"/>
      <c r="H47" s="3892"/>
      <c r="I47" s="3228"/>
      <c r="J47" s="3530">
        <f ca="1">ROUND(Revenues!J31-Revenues!J23,-1)</f>
        <v>0</v>
      </c>
      <c r="K47" s="3683"/>
      <c r="L47" s="3685"/>
      <c r="M47" s="2170">
        <f>ROW()</f>
        <v>47</v>
      </c>
      <c r="O47" s="88" t="s">
        <v>3715</v>
      </c>
      <c r="P47" s="2077"/>
      <c r="Q47" s="2251">
        <v>1780</v>
      </c>
      <c r="S47" s="2248">
        <v>0.16500000000000001</v>
      </c>
      <c r="T47" s="35"/>
    </row>
    <row r="48" spans="1:29" ht="14.1" customHeight="1">
      <c r="B48" s="1971" t="s">
        <v>6018</v>
      </c>
      <c r="C48" s="1339" t="str">
        <f>C38</f>
        <v>Revenue</v>
      </c>
      <c r="D48" s="3891" t="s">
        <v>6019</v>
      </c>
      <c r="E48" s="3892"/>
      <c r="F48" s="3892"/>
      <c r="G48" s="3892"/>
      <c r="H48" s="3892"/>
      <c r="I48" s="3228">
        <f>ROUND(Revenues!I115/1000,-1)</f>
        <v>-150</v>
      </c>
      <c r="J48" s="3228"/>
      <c r="L48"/>
      <c r="M48" s="2170">
        <f>ROW()</f>
        <v>48</v>
      </c>
      <c r="N48" s="1247"/>
      <c r="O48" s="88" t="s">
        <v>3716</v>
      </c>
      <c r="P48" s="2077"/>
      <c r="Q48" s="2251">
        <v>1660</v>
      </c>
      <c r="S48" s="2248">
        <v>0.19</v>
      </c>
      <c r="V48" s="35"/>
      <c r="W48" s="35"/>
      <c r="X48" s="35"/>
      <c r="Y48" s="35"/>
      <c r="Z48" s="35"/>
      <c r="AA48" s="35"/>
      <c r="AB48" s="35"/>
      <c r="AC48" s="1005"/>
    </row>
    <row r="49" spans="2:19" ht="14.1" customHeight="1">
      <c r="B49" s="1971" t="s">
        <v>5177</v>
      </c>
      <c r="C49" s="1339" t="s">
        <v>2738</v>
      </c>
      <c r="D49" s="3886" t="s">
        <v>5178</v>
      </c>
      <c r="E49" s="3887"/>
      <c r="F49" s="3887"/>
      <c r="G49" s="3887"/>
      <c r="H49" s="3887"/>
      <c r="I49" s="3228"/>
      <c r="J49" s="3228">
        <f>ROUND(Revenues!J238/1000000,-1)</f>
        <v>0</v>
      </c>
      <c r="L49" s="1255"/>
      <c r="M49" s="2170">
        <f>ROW()</f>
        <v>49</v>
      </c>
      <c r="N49" s="1263"/>
      <c r="O49" s="88" t="s">
        <v>3717</v>
      </c>
      <c r="P49" s="2077"/>
      <c r="Q49" s="2251">
        <v>1810</v>
      </c>
      <c r="S49" s="2248">
        <v>0.17799999999999999</v>
      </c>
    </row>
    <row r="50" spans="2:19" ht="14.1" customHeight="1">
      <c r="B50" s="1971" t="str">
        <f>CONCATENATE("Add to Row ",M49," if intra-city rail fare = $",Transit!H40, "")</f>
        <v>Add to Row 49 if intra-city rail fare = $2.25</v>
      </c>
      <c r="C50" s="1339" t="s">
        <v>2738</v>
      </c>
      <c r="D50" s="3886" t="s">
        <v>5179</v>
      </c>
      <c r="E50" s="3887"/>
      <c r="F50" s="3887"/>
      <c r="G50" s="3887"/>
      <c r="H50" s="3887"/>
      <c r="I50" s="3228"/>
      <c r="J50" s="3228">
        <f>ROUND(IF('User Inputs'!$J$144="YES",1,0)*Revenues!J260/1000000,-1)</f>
        <v>40</v>
      </c>
      <c r="L50" s="1255"/>
      <c r="M50" s="2170">
        <f>ROW()</f>
        <v>50</v>
      </c>
      <c r="N50" s="1263"/>
      <c r="O50" s="88" t="s">
        <v>3718</v>
      </c>
      <c r="P50" s="2077"/>
      <c r="Q50" s="2251">
        <v>1920</v>
      </c>
      <c r="S50" s="2248">
        <v>0.20699999999999999</v>
      </c>
    </row>
    <row r="51" spans="2:19" ht="14.1" customHeight="1">
      <c r="B51" s="1971" t="s">
        <v>5748</v>
      </c>
      <c r="C51" s="1339" t="s">
        <v>2738</v>
      </c>
      <c r="D51" s="3886" t="s">
        <v>4868</v>
      </c>
      <c r="E51" s="3887"/>
      <c r="F51" s="3887"/>
      <c r="G51" s="3887"/>
      <c r="H51" s="3887"/>
      <c r="I51" s="3228"/>
      <c r="J51" s="3228">
        <f>ROUND('User Inputs'!$J$147*Revenues!I223/1000,-1)</f>
        <v>20</v>
      </c>
      <c r="L51" s="492"/>
      <c r="M51" s="2170">
        <f>ROW()</f>
        <v>51</v>
      </c>
      <c r="N51" s="1254"/>
      <c r="O51" s="88" t="s">
        <v>3719</v>
      </c>
      <c r="P51" s="2077"/>
      <c r="Q51" s="2251">
        <v>1710</v>
      </c>
      <c r="S51" s="2248">
        <v>0.17699999999999999</v>
      </c>
    </row>
    <row r="52" spans="2:19" ht="14.1" customHeight="1">
      <c r="B52" s="1971" t="s">
        <v>5627</v>
      </c>
      <c r="C52" s="1339" t="s">
        <v>2738</v>
      </c>
      <c r="D52" s="3893" t="s">
        <v>6169</v>
      </c>
      <c r="E52" s="3894"/>
      <c r="F52" s="3894"/>
      <c r="G52" s="3894"/>
      <c r="H52" s="3895"/>
      <c r="I52" s="3228"/>
      <c r="J52" s="3228">
        <f ca="1">ROUND(J53+J54,-1)</f>
        <v>60</v>
      </c>
      <c r="L52"/>
      <c r="M52" s="2170">
        <f>ROW()</f>
        <v>52</v>
      </c>
      <c r="N52" s="1254"/>
      <c r="O52" s="88" t="s">
        <v>3720</v>
      </c>
      <c r="Q52" s="2251">
        <v>1730</v>
      </c>
      <c r="S52" s="2248">
        <v>0.222</v>
      </c>
    </row>
    <row r="53" spans="2:19" ht="14.1" customHeight="1">
      <c r="B53" s="1338" t="s">
        <v>3222</v>
      </c>
      <c r="C53" s="1251"/>
      <c r="D53" s="3680"/>
      <c r="E53" s="3681"/>
      <c r="F53" s="3681"/>
      <c r="G53" s="3681"/>
      <c r="H53" s="3682"/>
      <c r="I53" s="3228"/>
      <c r="J53" s="3229">
        <f ca="1">-ROUND((Revenues!K193/1000),-1)</f>
        <v>20</v>
      </c>
      <c r="L53"/>
      <c r="M53" s="2170">
        <f>ROW()</f>
        <v>53</v>
      </c>
      <c r="N53" s="1254"/>
      <c r="O53" s="88" t="s">
        <v>3721</v>
      </c>
      <c r="Q53" s="2251">
        <v>1700</v>
      </c>
      <c r="S53" s="2248">
        <v>0.16300000000000001</v>
      </c>
    </row>
    <row r="54" spans="2:19" ht="14.1" customHeight="1">
      <c r="B54" s="1338" t="s">
        <v>3223</v>
      </c>
      <c r="C54" s="1251"/>
      <c r="D54" s="3683"/>
      <c r="E54" s="3684"/>
      <c r="F54" s="3684"/>
      <c r="G54" s="3684"/>
      <c r="H54" s="3685"/>
      <c r="I54" s="3228"/>
      <c r="J54" s="3229">
        <f ca="1">-ROUND((IF('User Inputs'!$J$50="INCREMENT",1,0)*Revenues!J94/1000),-1)</f>
        <v>40</v>
      </c>
      <c r="L54"/>
      <c r="M54" s="2170">
        <f>ROW()</f>
        <v>54</v>
      </c>
      <c r="N54" s="1254"/>
      <c r="O54" s="88" t="s">
        <v>3722</v>
      </c>
      <c r="P54" s="2076"/>
      <c r="Q54" s="2251">
        <v>1840</v>
      </c>
      <c r="S54" s="2248">
        <v>0.159</v>
      </c>
    </row>
    <row r="55" spans="2:19" ht="14.1" customHeight="1">
      <c r="B55" s="1971" t="s">
        <v>3224</v>
      </c>
      <c r="C55" s="1251"/>
      <c r="D55" s="3886"/>
      <c r="E55" s="3887"/>
      <c r="F55" s="3887"/>
      <c r="G55" s="3887"/>
      <c r="H55" s="3887"/>
      <c r="I55" s="3228">
        <f ca="1">SUM(I35:I54)</f>
        <v>1250</v>
      </c>
      <c r="J55" s="3228"/>
      <c r="L55"/>
      <c r="M55" s="2170">
        <f>ROW()</f>
        <v>55</v>
      </c>
      <c r="N55" s="1254"/>
      <c r="O55" s="88" t="s">
        <v>3723</v>
      </c>
      <c r="P55" s="2076"/>
      <c r="Q55" s="2251">
        <v>1740</v>
      </c>
      <c r="S55" s="2248">
        <v>0.161</v>
      </c>
    </row>
    <row r="56" spans="2:19" ht="14.1" customHeight="1">
      <c r="B56" s="1971" t="s">
        <v>3225</v>
      </c>
      <c r="C56" s="1251"/>
      <c r="D56" s="1252"/>
      <c r="E56" s="1262"/>
      <c r="F56" s="1262"/>
      <c r="G56" s="1262"/>
      <c r="I56" s="3228"/>
      <c r="J56" s="3228">
        <f ca="1">SUM(J36:J51)+J52</f>
        <v>1250</v>
      </c>
      <c r="L56"/>
      <c r="M56" s="2170">
        <f>ROW()</f>
        <v>56</v>
      </c>
      <c r="N56" s="1254"/>
      <c r="O56" s="88" t="s">
        <v>3724</v>
      </c>
      <c r="P56" s="2076"/>
      <c r="Q56" s="2251">
        <v>1710</v>
      </c>
      <c r="S56" s="2248">
        <v>0.20100000000000001</v>
      </c>
    </row>
    <row r="57" spans="2:19" ht="14.1" customHeight="1">
      <c r="B57" s="1972" t="s">
        <v>3314</v>
      </c>
      <c r="C57" s="1323"/>
      <c r="D57" s="1973"/>
      <c r="E57" s="1324"/>
      <c r="F57" s="1324"/>
      <c r="G57" s="1324"/>
      <c r="H57" s="2049" t="s">
        <v>4604</v>
      </c>
      <c r="I57" s="3872">
        <f ca="1">I55-J56</f>
        <v>0</v>
      </c>
      <c r="J57" s="3873"/>
      <c r="L57"/>
      <c r="M57" s="2170">
        <f>ROW()</f>
        <v>57</v>
      </c>
      <c r="O57" s="88" t="s">
        <v>3725</v>
      </c>
      <c r="P57" s="2076"/>
      <c r="Q57" s="2251">
        <v>1720</v>
      </c>
      <c r="S57" s="2248">
        <v>0.157</v>
      </c>
    </row>
    <row r="58" spans="2:19" ht="14.1" customHeight="1">
      <c r="B58" s="1251"/>
      <c r="C58" s="1251"/>
      <c r="D58" s="1251"/>
      <c r="E58" s="1251"/>
      <c r="F58" s="1251"/>
      <c r="G58" s="1251"/>
      <c r="H58" s="1339"/>
      <c r="I58" s="1251"/>
      <c r="J58" s="1245"/>
      <c r="L58" s="1247"/>
      <c r="M58" s="2170">
        <f>ROW()</f>
        <v>58</v>
      </c>
      <c r="O58" s="88" t="s">
        <v>3726</v>
      </c>
      <c r="P58" s="2076"/>
      <c r="Q58" s="2251">
        <v>1650</v>
      </c>
      <c r="S58" s="2248">
        <v>0.215</v>
      </c>
    </row>
    <row r="59" spans="2:19" ht="14.1" customHeight="1">
      <c r="B59" s="1247"/>
      <c r="C59" s="1247"/>
      <c r="D59" s="1247"/>
      <c r="E59" s="1247"/>
      <c r="F59" s="1247"/>
      <c r="G59" s="1247"/>
      <c r="H59" s="35"/>
      <c r="I59" s="1247"/>
      <c r="J59" s="1247"/>
      <c r="L59" s="1257"/>
      <c r="M59" s="2170">
        <f>ROW()</f>
        <v>59</v>
      </c>
      <c r="N59" s="1264"/>
      <c r="O59" s="88" t="s">
        <v>3727</v>
      </c>
      <c r="P59" s="2076"/>
      <c r="Q59" s="2251">
        <v>1730</v>
      </c>
      <c r="S59" s="2248">
        <v>0.155</v>
      </c>
    </row>
    <row r="60" spans="2:19" ht="14.1" customHeight="1">
      <c r="B60" s="1247"/>
      <c r="C60" s="1247"/>
      <c r="D60" s="1247"/>
      <c r="E60" s="1247"/>
      <c r="F60" s="1247"/>
      <c r="G60" s="1247"/>
      <c r="J60" s="1247"/>
      <c r="K60" s="1247"/>
      <c r="L60" s="1247"/>
      <c r="M60" s="2170">
        <f>ROW()</f>
        <v>60</v>
      </c>
      <c r="N60" s="1264"/>
      <c r="O60" s="88" t="s">
        <v>3728</v>
      </c>
      <c r="P60" s="2076"/>
      <c r="Q60" s="2251">
        <v>1620</v>
      </c>
      <c r="S60" s="2248">
        <v>0.23899999999999999</v>
      </c>
    </row>
    <row r="61" spans="2:19" ht="14.1" customHeight="1">
      <c r="B61" s="1247"/>
      <c r="C61" s="1247"/>
      <c r="D61" s="1247"/>
      <c r="E61" s="1247"/>
      <c r="F61" s="1247"/>
      <c r="G61" s="1247"/>
      <c r="J61" s="1247"/>
      <c r="K61" s="1247"/>
      <c r="L61" s="1247"/>
      <c r="M61" s="2170">
        <f>ROW()</f>
        <v>61</v>
      </c>
      <c r="N61" s="1264"/>
      <c r="O61" s="88" t="s">
        <v>3736</v>
      </c>
      <c r="P61" s="2076"/>
      <c r="Q61" s="826" t="s">
        <v>3737</v>
      </c>
      <c r="S61" s="2076"/>
    </row>
    <row r="62" spans="2:19" ht="14.1" customHeight="1">
      <c r="B62" s="1247"/>
      <c r="C62" s="1247"/>
      <c r="D62" s="1247"/>
      <c r="E62" s="1247"/>
      <c r="F62" s="1247"/>
      <c r="G62" s="1247"/>
      <c r="J62" s="1247"/>
      <c r="K62" s="1247"/>
      <c r="L62" s="1247"/>
      <c r="M62" s="2170">
        <f>ROW()</f>
        <v>62</v>
      </c>
      <c r="N62" s="1264"/>
    </row>
    <row r="63" spans="2:19" ht="14.1" customHeight="1">
      <c r="B63" s="1247"/>
      <c r="C63" s="1247"/>
      <c r="D63" s="1247"/>
      <c r="E63" s="1247"/>
      <c r="F63" s="1247"/>
      <c r="G63" s="1247"/>
      <c r="J63" s="1247"/>
      <c r="K63" s="1247"/>
      <c r="L63" s="1247"/>
      <c r="M63" s="2170">
        <f>ROW()</f>
        <v>63</v>
      </c>
      <c r="N63" s="1264"/>
      <c r="O63" s="2262" t="s">
        <v>755</v>
      </c>
      <c r="P63" s="2263"/>
      <c r="Q63" s="2264">
        <f>AVERAGE(Q42:Q60)</f>
        <v>1733.1578947368421</v>
      </c>
      <c r="R63" s="2253"/>
      <c r="S63" s="2268">
        <f>AVERAGE(S42:S60)</f>
        <v>0.18347368421052629</v>
      </c>
    </row>
    <row r="64" spans="2:19" ht="14.1" customHeight="1">
      <c r="B64" s="1247"/>
      <c r="C64" s="1247"/>
      <c r="D64" s="1247"/>
      <c r="E64" s="1247"/>
      <c r="F64" s="1247"/>
      <c r="G64" s="1247"/>
      <c r="J64" s="1247"/>
      <c r="K64" s="1247"/>
      <c r="L64" s="1247"/>
      <c r="M64" s="2170">
        <f>ROW()</f>
        <v>64</v>
      </c>
      <c r="N64" s="1264"/>
      <c r="O64" s="2265" t="s">
        <v>3729</v>
      </c>
      <c r="P64" s="2266"/>
      <c r="Q64" s="2267">
        <f>STDEV(Q42:Q60)</f>
        <v>75.575762691702636</v>
      </c>
      <c r="R64" s="2257"/>
      <c r="S64" s="2269">
        <f>STDEV(S42:S60)</f>
        <v>3.2090788607485203E-2</v>
      </c>
    </row>
    <row r="65" spans="2:23" ht="14.1" customHeight="1">
      <c r="B65" s="1247"/>
      <c r="C65" s="1247"/>
      <c r="D65" s="1247"/>
      <c r="E65" s="1247"/>
      <c r="F65" s="1247"/>
      <c r="G65" s="1247"/>
      <c r="J65" s="1247"/>
      <c r="K65" s="1247"/>
      <c r="L65" s="1247"/>
      <c r="M65" s="2170">
        <f>ROW()</f>
        <v>65</v>
      </c>
      <c r="N65" s="1264"/>
    </row>
    <row r="66" spans="2:23" ht="14.1" customHeight="1">
      <c r="B66" s="1247"/>
      <c r="C66" s="1247"/>
      <c r="D66" s="1247"/>
      <c r="E66" s="1247"/>
      <c r="F66" s="1247"/>
      <c r="G66" s="1247"/>
      <c r="J66" s="1247"/>
      <c r="K66" s="1247"/>
      <c r="L66" s="1247"/>
      <c r="M66" s="2170">
        <f>ROW()</f>
        <v>66</v>
      </c>
      <c r="N66" s="1264"/>
      <c r="O66" s="3926" t="s">
        <v>5836</v>
      </c>
      <c r="P66" s="3659"/>
      <c r="Q66" s="3659"/>
      <c r="R66" s="3659"/>
      <c r="S66" s="3659"/>
      <c r="T66" s="3659"/>
      <c r="U66" s="3659"/>
      <c r="V66" s="3659"/>
      <c r="W66" s="3659"/>
    </row>
    <row r="67" spans="2:23" ht="14.1" customHeight="1">
      <c r="B67" s="1247"/>
      <c r="C67" s="1247"/>
      <c r="D67" s="1247"/>
      <c r="E67" s="1247"/>
      <c r="F67" s="1247"/>
      <c r="G67" s="1247"/>
      <c r="J67" s="1247"/>
      <c r="K67" s="1247"/>
      <c r="L67" s="1247"/>
      <c r="M67" s="2170">
        <f>ROW()</f>
        <v>67</v>
      </c>
      <c r="N67" s="1264"/>
      <c r="O67" s="3659"/>
      <c r="P67" s="3659"/>
      <c r="Q67" s="3659"/>
      <c r="R67" s="3659"/>
      <c r="S67" s="3659"/>
      <c r="T67" s="3659"/>
      <c r="U67" s="3659"/>
      <c r="V67" s="3659"/>
      <c r="W67" s="3659"/>
    </row>
    <row r="68" spans="2:23" ht="14.1" customHeight="1">
      <c r="B68" s="1247"/>
      <c r="C68" s="1247"/>
      <c r="D68" s="1247"/>
      <c r="E68" s="1247"/>
      <c r="F68" s="1247"/>
      <c r="G68" s="1247"/>
      <c r="J68" s="1247"/>
      <c r="K68" s="1247"/>
      <c r="L68" s="1247"/>
      <c r="M68" s="2170">
        <f>ROW()</f>
        <v>68</v>
      </c>
      <c r="N68" s="1264"/>
      <c r="O68" s="3659"/>
      <c r="P68" s="3659"/>
      <c r="Q68" s="3659"/>
      <c r="R68" s="3659"/>
      <c r="S68" s="3659"/>
      <c r="T68" s="3659"/>
      <c r="U68" s="3659"/>
      <c r="V68" s="3659"/>
      <c r="W68" s="3659"/>
    </row>
    <row r="69" spans="2:23" ht="14.1" customHeight="1">
      <c r="B69" s="1247"/>
      <c r="C69" s="1247"/>
      <c r="D69" s="1247"/>
      <c r="E69" s="1247"/>
      <c r="F69" s="1247"/>
      <c r="G69" s="1247"/>
      <c r="J69" s="1247"/>
      <c r="K69" s="1247"/>
      <c r="L69" s="1247"/>
      <c r="M69" s="2170">
        <f>ROW()</f>
        <v>69</v>
      </c>
      <c r="N69" s="1264"/>
      <c r="O69" s="3659"/>
      <c r="P69" s="3659"/>
      <c r="Q69" s="3659"/>
      <c r="R69" s="3659"/>
      <c r="S69" s="3659"/>
      <c r="T69" s="3659"/>
      <c r="U69" s="3659"/>
      <c r="V69" s="3659"/>
      <c r="W69" s="3659"/>
    </row>
    <row r="70" spans="2:23" ht="14.1" customHeight="1">
      <c r="B70" s="1247"/>
      <c r="C70" s="1247"/>
      <c r="D70" s="1247"/>
      <c r="E70" s="1247"/>
      <c r="F70" s="1247"/>
      <c r="G70" s="1247"/>
      <c r="J70" s="1247"/>
      <c r="K70" s="1247"/>
      <c r="L70" s="1247"/>
      <c r="M70" s="2170">
        <f>ROW()</f>
        <v>70</v>
      </c>
      <c r="N70" s="1264"/>
    </row>
    <row r="71" spans="2:23" ht="14.1" customHeight="1">
      <c r="B71" s="1247"/>
      <c r="C71" s="1247"/>
      <c r="D71" s="1247"/>
      <c r="E71" s="1247"/>
      <c r="F71" s="1247"/>
      <c r="G71" s="1247"/>
      <c r="J71" s="1247"/>
      <c r="K71" s="1247"/>
      <c r="L71" s="1247"/>
      <c r="M71" s="2170">
        <f>ROW()</f>
        <v>71</v>
      </c>
      <c r="N71" s="1264"/>
      <c r="O71" s="3923" t="s">
        <v>5837</v>
      </c>
      <c r="P71" s="3810"/>
      <c r="Q71" s="3810"/>
      <c r="R71" s="3810"/>
      <c r="S71" s="3810"/>
      <c r="T71" s="3810"/>
      <c r="U71" s="3810"/>
      <c r="V71" s="3810"/>
      <c r="W71" s="3810"/>
    </row>
    <row r="72" spans="2:23" ht="14.1" customHeight="1">
      <c r="B72" s="1247"/>
      <c r="C72" s="1247"/>
      <c r="D72" s="1247"/>
      <c r="E72" s="1247"/>
      <c r="F72" s="1247"/>
      <c r="G72" s="1247"/>
      <c r="J72" s="1247"/>
      <c r="K72" s="1247"/>
      <c r="L72" s="1247"/>
      <c r="M72" s="2170">
        <f>ROW()</f>
        <v>72</v>
      </c>
      <c r="N72" s="1264"/>
      <c r="O72" s="3810"/>
      <c r="P72" s="3810"/>
      <c r="Q72" s="3810"/>
      <c r="R72" s="3810"/>
      <c r="S72" s="3810"/>
      <c r="T72" s="3810"/>
      <c r="U72" s="3810"/>
      <c r="V72" s="3810"/>
      <c r="W72" s="3810"/>
    </row>
    <row r="73" spans="2:23" ht="14.1" customHeight="1">
      <c r="B73" s="1247"/>
      <c r="C73" s="1247"/>
      <c r="D73" s="1247"/>
      <c r="E73" s="1247"/>
      <c r="F73" s="1247"/>
      <c r="G73" s="1247"/>
      <c r="J73" s="1247"/>
      <c r="K73" s="1247"/>
      <c r="L73" s="1247"/>
      <c r="M73" s="2170">
        <f>ROW()</f>
        <v>73</v>
      </c>
      <c r="N73" s="1264"/>
      <c r="O73" s="3810"/>
      <c r="P73" s="3810"/>
      <c r="Q73" s="3810"/>
      <c r="R73" s="3810"/>
      <c r="S73" s="3810"/>
      <c r="T73" s="3810"/>
      <c r="U73" s="3810"/>
      <c r="V73" s="3810"/>
      <c r="W73" s="3810"/>
    </row>
    <row r="74" spans="2:23" ht="14.1" customHeight="1">
      <c r="B74" s="1247"/>
      <c r="C74" s="1247"/>
      <c r="D74" s="1247"/>
      <c r="E74" s="1247"/>
      <c r="F74" s="1247"/>
      <c r="G74" s="1247"/>
      <c r="J74" s="1247"/>
      <c r="K74" s="1247"/>
      <c r="L74" s="1247"/>
      <c r="M74" s="2170">
        <f>ROW()</f>
        <v>74</v>
      </c>
      <c r="N74" s="1264"/>
      <c r="O74" s="3810"/>
      <c r="P74" s="3810"/>
      <c r="Q74" s="3810"/>
      <c r="R74" s="3810"/>
      <c r="S74" s="3810"/>
      <c r="T74" s="3810"/>
      <c r="U74" s="3810"/>
      <c r="V74" s="3810"/>
      <c r="W74" s="3810"/>
    </row>
    <row r="75" spans="2:23" ht="14.1" customHeight="1">
      <c r="B75" s="1247"/>
      <c r="C75" s="1247"/>
      <c r="D75" s="1247"/>
      <c r="E75" s="1247"/>
      <c r="F75" s="1247"/>
      <c r="G75" s="1247"/>
      <c r="J75" s="1247"/>
      <c r="K75" s="1247"/>
      <c r="L75" s="1247"/>
      <c r="M75" s="2170">
        <f>ROW()</f>
        <v>75</v>
      </c>
      <c r="N75" s="1264"/>
      <c r="O75" s="3810"/>
      <c r="P75" s="3810"/>
      <c r="Q75" s="3810"/>
      <c r="R75" s="3810"/>
      <c r="S75" s="3810"/>
      <c r="T75" s="3810"/>
      <c r="U75" s="3810"/>
      <c r="V75" s="3810"/>
      <c r="W75" s="3810"/>
    </row>
    <row r="76" spans="2:23" ht="14.1" customHeight="1">
      <c r="B76" s="1247"/>
      <c r="C76" s="1247"/>
      <c r="D76" s="1247"/>
      <c r="E76" s="1247"/>
      <c r="F76" s="1247"/>
      <c r="G76" s="1247"/>
      <c r="J76" s="1247"/>
      <c r="K76" s="1247"/>
      <c r="L76" s="1247"/>
      <c r="M76" s="2170">
        <f>ROW()</f>
        <v>76</v>
      </c>
      <c r="N76" s="1264"/>
      <c r="O76" s="3810"/>
      <c r="P76" s="3810"/>
      <c r="Q76" s="3810"/>
      <c r="R76" s="3810"/>
      <c r="S76" s="3810"/>
      <c r="T76" s="3810"/>
      <c r="U76" s="3810"/>
      <c r="V76" s="3810"/>
      <c r="W76" s="3810"/>
    </row>
    <row r="77" spans="2:23" ht="14.1" customHeight="1">
      <c r="B77" s="1247"/>
      <c r="C77" s="1247"/>
      <c r="D77" s="1247"/>
      <c r="E77" s="1247"/>
      <c r="F77" s="1247"/>
      <c r="G77" s="1247"/>
      <c r="J77" s="1247"/>
      <c r="K77" s="1247"/>
      <c r="L77" s="1247"/>
      <c r="M77" s="2170">
        <f>ROW()</f>
        <v>77</v>
      </c>
      <c r="N77" s="1264"/>
      <c r="O77" s="89" t="s">
        <v>3738</v>
      </c>
      <c r="P77" s="1508"/>
      <c r="Q77" s="1508"/>
      <c r="R77" s="1508"/>
      <c r="S77" s="1508"/>
      <c r="T77" s="1508"/>
      <c r="U77" s="1508"/>
      <c r="V77" s="1508"/>
      <c r="W77" s="1508"/>
    </row>
    <row r="78" spans="2:23" ht="14.1" customHeight="1">
      <c r="B78" s="1247"/>
      <c r="C78" s="1247"/>
      <c r="D78" s="1247"/>
      <c r="E78" s="1247"/>
      <c r="F78" s="1247"/>
      <c r="G78" s="1247"/>
      <c r="J78" s="1247"/>
      <c r="K78" s="1247"/>
      <c r="L78" s="1247"/>
      <c r="M78" s="2170">
        <f>ROW()</f>
        <v>78</v>
      </c>
      <c r="N78" s="1264"/>
      <c r="O78" s="1508"/>
      <c r="P78" s="1508"/>
      <c r="Q78" s="1508"/>
      <c r="R78" s="1508"/>
      <c r="S78" s="1508"/>
      <c r="T78" s="1508"/>
      <c r="U78" s="1508"/>
      <c r="V78" s="1508"/>
      <c r="W78" s="1508"/>
    </row>
    <row r="79" spans="2:23" ht="14.1" customHeight="1">
      <c r="B79" s="1247"/>
      <c r="C79" s="1247"/>
      <c r="D79" s="1247"/>
      <c r="E79" s="1247"/>
      <c r="F79" s="1247"/>
      <c r="G79" s="1247"/>
      <c r="J79" s="1247"/>
      <c r="K79" s="1247"/>
      <c r="L79" s="1247"/>
      <c r="M79" s="2170">
        <f>ROW()</f>
        <v>79</v>
      </c>
      <c r="N79" s="1264"/>
      <c r="O79" s="1508"/>
      <c r="P79" s="2252"/>
      <c r="Q79" s="3571" t="s">
        <v>1976</v>
      </c>
      <c r="R79" s="3571" t="s">
        <v>6304</v>
      </c>
      <c r="S79" s="3571" t="s">
        <v>6305</v>
      </c>
      <c r="T79" s="3572" t="s">
        <v>6306</v>
      </c>
      <c r="U79" s="1508"/>
      <c r="V79" s="1508"/>
      <c r="W79" s="1508"/>
    </row>
    <row r="80" spans="2:23" ht="14.1" customHeight="1">
      <c r="B80" s="1247"/>
      <c r="C80" s="1247"/>
      <c r="D80" s="1247"/>
      <c r="E80" s="1247"/>
      <c r="F80" s="1247"/>
      <c r="G80" s="1247"/>
      <c r="J80" s="1247"/>
      <c r="K80" s="1247"/>
      <c r="L80" s="1247"/>
      <c r="M80" s="2170">
        <f>ROW()</f>
        <v>80</v>
      </c>
      <c r="N80" s="1264"/>
      <c r="O80" s="1508"/>
      <c r="P80" s="2259"/>
      <c r="Q80" s="2260" t="s">
        <v>6106</v>
      </c>
      <c r="R80" s="2344"/>
      <c r="S80" s="2261"/>
      <c r="T80" s="2255"/>
      <c r="U80" s="1508"/>
      <c r="V80" s="1508"/>
      <c r="W80" s="1508"/>
    </row>
    <row r="81" spans="2:23" ht="14.1" customHeight="1">
      <c r="B81" s="1247"/>
      <c r="C81" s="1247"/>
      <c r="D81" s="1247"/>
      <c r="E81" s="1247"/>
      <c r="F81" s="1247"/>
      <c r="G81" s="1247"/>
      <c r="J81" s="1247"/>
      <c r="K81" s="1247"/>
      <c r="L81" s="1247"/>
      <c r="M81" s="2170">
        <f>ROW()</f>
        <v>81</v>
      </c>
      <c r="N81" s="1264"/>
      <c r="P81" s="2254"/>
      <c r="Q81" s="3230">
        <f ca="1">I41+I42</f>
        <v>200</v>
      </c>
      <c r="R81" s="3230">
        <f ca="1">J36</f>
        <v>120</v>
      </c>
      <c r="S81" s="3230">
        <f ca="1">F95</f>
        <v>1100</v>
      </c>
      <c r="T81" s="3573">
        <f ca="1">'Cost-Benefit'!K204*Travel!H62/1000000</f>
        <v>40.551951402418247</v>
      </c>
      <c r="V81" s="3911" t="s">
        <v>6307</v>
      </c>
      <c r="W81" s="3912"/>
    </row>
    <row r="82" spans="2:23" ht="14.1" customHeight="1">
      <c r="B82" s="1247"/>
      <c r="C82" s="1247"/>
      <c r="D82" s="1247"/>
      <c r="E82" s="1247"/>
      <c r="F82" s="3868" t="str">
        <f>CONCATENATE("For VMT changes in specific districts, go to 'Approaches' tab, Cells M",Approaches!O145, "-M",Approaches!O155, ".")</f>
        <v>For VMT changes in specific districts, go to 'Approaches' tab, Cells M145-M155.</v>
      </c>
      <c r="G82" s="3869"/>
      <c r="J82" s="1247"/>
      <c r="K82" s="1247"/>
      <c r="L82" s="1247"/>
      <c r="M82" s="1244">
        <f>ROW()</f>
        <v>82</v>
      </c>
      <c r="N82" s="1264"/>
      <c r="P82" s="2254"/>
      <c r="Q82" s="3230">
        <f ca="1">I35</f>
        <v>1040</v>
      </c>
      <c r="R82" s="3230">
        <f ca="1">J39</f>
        <v>20</v>
      </c>
      <c r="S82" s="3230">
        <f ca="1">G95</f>
        <v>1040</v>
      </c>
      <c r="T82" s="3573">
        <f ca="1">'Cost-Benefit'!K218*Travel!H62/1000000</f>
        <v>54.753604394821949</v>
      </c>
      <c r="V82" s="3913"/>
      <c r="W82" s="3914"/>
    </row>
    <row r="83" spans="2:23" ht="14.1" customHeight="1">
      <c r="B83" s="3910" t="s">
        <v>5841</v>
      </c>
      <c r="C83" s="3858" t="s">
        <v>3325</v>
      </c>
      <c r="D83" s="3899" t="s">
        <v>5749</v>
      </c>
      <c r="E83" s="3659"/>
      <c r="F83" s="3869"/>
      <c r="G83" s="3869"/>
      <c r="J83" s="1247"/>
      <c r="L83" s="1257"/>
      <c r="M83" s="1244">
        <f>ROW()</f>
        <v>83</v>
      </c>
      <c r="P83" s="2254"/>
      <c r="Q83" s="3232">
        <f>I48</f>
        <v>-150</v>
      </c>
      <c r="R83" s="3230">
        <f>J44</f>
        <v>490</v>
      </c>
      <c r="S83" s="3230">
        <f ca="1">ROUND('Cost-Benefit'!K50,-1)</f>
        <v>730</v>
      </c>
      <c r="T83" s="3574">
        <f ca="1">('Cost-Benefit'!K114+'Cost-Benefit'!K135+'Cost-Benefit'!I169)/1000000</f>
        <v>52.465101999091551</v>
      </c>
      <c r="V83" s="3913"/>
      <c r="W83" s="3914"/>
    </row>
    <row r="84" spans="2:23" ht="14.1" customHeight="1">
      <c r="B84" s="3779"/>
      <c r="C84" s="3859"/>
      <c r="D84" s="3659"/>
      <c r="E84" s="3659"/>
      <c r="F84" s="3869"/>
      <c r="G84" s="3869"/>
      <c r="I84" s="146"/>
      <c r="J84" s="1247"/>
      <c r="L84" s="1257"/>
      <c r="M84" s="1244">
        <f>ROW()</f>
        <v>84</v>
      </c>
      <c r="P84" s="1291"/>
      <c r="Q84" s="3230">
        <f ca="1">I38</f>
        <v>160</v>
      </c>
      <c r="R84" s="3230">
        <f>J45</f>
        <v>490</v>
      </c>
      <c r="S84" s="3230">
        <f ca="1">SUM(S81:S83)</f>
        <v>2870</v>
      </c>
      <c r="T84" s="3574">
        <f ca="1">SUM(T81:T83)</f>
        <v>147.77065779633176</v>
      </c>
      <c r="V84" s="3913"/>
      <c r="W84" s="3914"/>
    </row>
    <row r="85" spans="2:23" ht="14.1" customHeight="1">
      <c r="B85" s="143"/>
      <c r="C85" s="1771"/>
      <c r="D85" s="3659"/>
      <c r="E85" s="3659"/>
      <c r="G85" s="3905" t="s">
        <v>545</v>
      </c>
      <c r="J85" s="1247"/>
      <c r="L85" s="1257"/>
      <c r="M85" s="1244">
        <f>ROW()</f>
        <v>85</v>
      </c>
      <c r="P85" s="1291"/>
      <c r="Q85" s="3230"/>
      <c r="R85" s="3230">
        <f ca="1">J46</f>
        <v>10</v>
      </c>
      <c r="S85" s="3230"/>
      <c r="T85" s="2255"/>
      <c r="V85" s="3913"/>
      <c r="W85" s="3914"/>
    </row>
    <row r="86" spans="2:23" ht="14.1" customHeight="1">
      <c r="B86" s="2035" t="s">
        <v>3334</v>
      </c>
      <c r="C86" s="3900" t="s">
        <v>1642</v>
      </c>
      <c r="D86" s="3902" t="s">
        <v>550</v>
      </c>
      <c r="F86" s="3275" t="s">
        <v>2132</v>
      </c>
      <c r="G86" s="3906"/>
      <c r="L86" s="1257"/>
      <c r="M86" s="1244">
        <f>ROW()</f>
        <v>86</v>
      </c>
      <c r="P86" s="1291"/>
      <c r="Q86" s="3230"/>
      <c r="R86" s="3230">
        <f ca="1">J47</f>
        <v>0</v>
      </c>
      <c r="S86" s="3230"/>
      <c r="T86" s="2255"/>
      <c r="V86" s="3915"/>
      <c r="W86" s="3916"/>
    </row>
    <row r="87" spans="2:23" ht="14.1" customHeight="1">
      <c r="B87" s="2027" t="s">
        <v>2058</v>
      </c>
      <c r="C87" s="3833"/>
      <c r="D87" s="3903"/>
      <c r="E87" s="146" t="s">
        <v>674</v>
      </c>
      <c r="F87" s="2028">
        <f ca="1">'Motor Vs'!G935-1</f>
        <v>0.17767912522370111</v>
      </c>
      <c r="G87" s="2050">
        <f ca="1">'Motor Vs'!G940-1</f>
        <v>6.3747682209684964E-2</v>
      </c>
      <c r="L87" s="1257"/>
      <c r="M87" s="1244">
        <f>ROW()</f>
        <v>87</v>
      </c>
      <c r="N87" s="1264"/>
      <c r="P87" s="1291"/>
      <c r="Q87" s="3230"/>
      <c r="R87" s="3230">
        <f>J49</f>
        <v>0</v>
      </c>
      <c r="S87" s="3230"/>
      <c r="T87" s="2255"/>
      <c r="V87" s="3915"/>
      <c r="W87" s="3916"/>
    </row>
    <row r="88" spans="2:23" ht="14.1" customHeight="1">
      <c r="B88" s="2029" t="s">
        <v>2059</v>
      </c>
      <c r="C88" s="3833"/>
      <c r="D88" s="3903"/>
      <c r="E88" s="146" t="s">
        <v>674</v>
      </c>
      <c r="F88" s="2030">
        <f ca="1">'Motor Vs'!H935-1</f>
        <v>0.16346807522688644</v>
      </c>
      <c r="G88" s="2051">
        <f ca="1">'Motor Vs'!H940-1</f>
        <v>6.2184543708020845E-2</v>
      </c>
      <c r="L88" s="1261"/>
      <c r="M88" s="1244">
        <f>ROW()</f>
        <v>88</v>
      </c>
      <c r="N88" s="1246"/>
      <c r="P88" s="1291"/>
      <c r="Q88" s="3230"/>
      <c r="R88" s="3230">
        <f>J50</f>
        <v>40</v>
      </c>
      <c r="S88" s="3230"/>
      <c r="T88" s="2255"/>
      <c r="V88" s="3917"/>
      <c r="W88" s="3918"/>
    </row>
    <row r="89" spans="2:23" ht="14.1" customHeight="1">
      <c r="B89" s="2027" t="s">
        <v>1689</v>
      </c>
      <c r="C89" s="3833"/>
      <c r="D89" s="3903"/>
      <c r="E89" s="118" t="s">
        <v>674</v>
      </c>
      <c r="F89" s="2028">
        <f ca="1">'Motor Vs'!G948-1</f>
        <v>-7.176948519664561E-2</v>
      </c>
      <c r="G89" s="2050">
        <f ca="1">('Motor Vs'!G952-1)*Approaches!$F$20</f>
        <v>-6.4473605083884056E-2</v>
      </c>
      <c r="L89" s="1261"/>
      <c r="M89" s="1244">
        <f>ROW()</f>
        <v>89</v>
      </c>
      <c r="N89" s="1246"/>
      <c r="P89" s="1291"/>
      <c r="Q89" s="3230"/>
      <c r="R89" s="3230">
        <f>J51</f>
        <v>20</v>
      </c>
      <c r="S89" s="3230"/>
      <c r="T89" s="2255"/>
    </row>
    <row r="90" spans="2:23" ht="14.1" customHeight="1">
      <c r="B90" s="2029" t="s">
        <v>1690</v>
      </c>
      <c r="C90" s="3833"/>
      <c r="D90" s="3903"/>
      <c r="E90" s="118" t="s">
        <v>674</v>
      </c>
      <c r="F90" s="2030">
        <f ca="1">'Motor Vs'!H948-1</f>
        <v>-7.0388466978050013E-2</v>
      </c>
      <c r="G90" s="2051">
        <f ca="1">('Motor Vs'!H952-1)*Approaches!$F$20</f>
        <v>-6.5989405827329692E-2</v>
      </c>
      <c r="J90" s="1273"/>
      <c r="L90" s="1261"/>
      <c r="M90" s="1244">
        <f>ROW()</f>
        <v>90</v>
      </c>
      <c r="N90" s="1246"/>
      <c r="P90" s="1291"/>
      <c r="Q90" s="3230"/>
      <c r="R90" s="3230">
        <f ca="1">J52</f>
        <v>60</v>
      </c>
      <c r="S90" s="3230"/>
      <c r="T90" s="2255"/>
    </row>
    <row r="91" spans="2:23" ht="14.1" customHeight="1">
      <c r="B91" s="2027" t="s">
        <v>546</v>
      </c>
      <c r="C91" s="3833"/>
      <c r="D91" s="3903"/>
      <c r="E91" s="146" t="s">
        <v>674</v>
      </c>
      <c r="F91" s="2028">
        <f ca="1">'Motor Vs'!N894</f>
        <v>-0.15324301538909701</v>
      </c>
      <c r="G91" s="2052" t="s">
        <v>2417</v>
      </c>
      <c r="J91" s="1273"/>
      <c r="L91" s="1261"/>
      <c r="M91" s="1244">
        <f>ROW()</f>
        <v>91</v>
      </c>
      <c r="N91" s="1246"/>
      <c r="O91" s="2079"/>
      <c r="P91" s="2256"/>
      <c r="Q91" s="3231"/>
      <c r="R91" s="3231">
        <f ca="1">I57</f>
        <v>0</v>
      </c>
      <c r="S91" s="3231"/>
      <c r="T91" s="2258"/>
    </row>
    <row r="92" spans="2:23" ht="14.1" customHeight="1">
      <c r="B92" s="2029" t="s">
        <v>547</v>
      </c>
      <c r="C92" s="3833"/>
      <c r="D92" s="3904"/>
      <c r="E92" s="146" t="s">
        <v>674</v>
      </c>
      <c r="F92" s="2031">
        <f ca="1">'Motor Vs'!N893</f>
        <v>-0.15915001357109371</v>
      </c>
      <c r="G92" s="2053" t="s">
        <v>2417</v>
      </c>
      <c r="J92" s="1258"/>
      <c r="L92" s="1261"/>
      <c r="M92" s="1244">
        <f>ROW()</f>
        <v>92</v>
      </c>
      <c r="N92" s="1246"/>
      <c r="O92" s="2079"/>
    </row>
    <row r="93" spans="2:23" ht="14.1" customHeight="1">
      <c r="D93"/>
      <c r="E93"/>
      <c r="F93" s="3896" t="s">
        <v>5926</v>
      </c>
      <c r="G93" s="3853" t="s">
        <v>5868</v>
      </c>
      <c r="I93" s="1258"/>
      <c r="L93" s="1261"/>
      <c r="M93" s="1244">
        <f>ROW()</f>
        <v>93</v>
      </c>
      <c r="N93" s="1246"/>
      <c r="O93" s="2079"/>
    </row>
    <row r="94" spans="2:23" ht="14.1" customHeight="1">
      <c r="B94" s="2036" t="s">
        <v>1830</v>
      </c>
      <c r="C94" s="1339" t="s">
        <v>27</v>
      </c>
      <c r="D94" s="1253"/>
      <c r="F94" s="3897"/>
      <c r="G94" s="3854"/>
      <c r="L94" s="1261"/>
      <c r="M94" s="1244">
        <f>ROW()</f>
        <v>94</v>
      </c>
      <c r="N94" s="1246"/>
      <c r="O94" s="2079"/>
    </row>
    <row r="95" spans="2:23" ht="14.1" customHeight="1">
      <c r="B95" s="1338" t="s">
        <v>392</v>
      </c>
      <c r="C95" s="35"/>
      <c r="D95" s="1247"/>
      <c r="F95" s="3296">
        <f ca="1">ROUND('Cost-Benefit'!H54,-1)</f>
        <v>1100</v>
      </c>
      <c r="G95" s="3297">
        <f ca="1">ROUND('Cost-Benefit'!H55,-1)</f>
        <v>1040</v>
      </c>
      <c r="L95" s="1261"/>
      <c r="M95" s="1244">
        <f>ROW()</f>
        <v>95</v>
      </c>
      <c r="N95" s="1246"/>
      <c r="O95" s="2079"/>
    </row>
    <row r="96" spans="2:23" ht="14.1" customHeight="1">
      <c r="B96" s="2273" t="s">
        <v>3732</v>
      </c>
      <c r="C96"/>
      <c r="D96"/>
      <c r="E96"/>
      <c r="F96" s="3901">
        <f ca="1">'Cost-Benefit'!I175</f>
        <v>0</v>
      </c>
      <c r="G96" s="3901"/>
      <c r="I96"/>
      <c r="J96" s="1259"/>
      <c r="L96" s="1247"/>
      <c r="M96" s="1244">
        <f>ROW()</f>
        <v>96</v>
      </c>
    </row>
    <row r="97" spans="2:19" ht="14.1" customHeight="1">
      <c r="B97" s="1325" t="s">
        <v>2073</v>
      </c>
      <c r="C97" s="1340"/>
      <c r="D97" s="2022"/>
      <c r="E97" s="2022"/>
      <c r="F97" s="3233">
        <f ca="1">SUM(F95:G96)</f>
        <v>2140</v>
      </c>
      <c r="G97" s="1955"/>
      <c r="I97"/>
      <c r="J97" s="1259"/>
      <c r="L97" s="1247"/>
      <c r="M97" s="1244">
        <f>ROW()</f>
        <v>97</v>
      </c>
    </row>
    <row r="98" spans="2:19" ht="14.1" customHeight="1">
      <c r="B98"/>
      <c r="C98"/>
      <c r="D98" s="2024" t="s">
        <v>1726</v>
      </c>
      <c r="E98" s="2024" t="s">
        <v>1727</v>
      </c>
      <c r="F98" s="2024" t="s">
        <v>1973</v>
      </c>
      <c r="G98" s="2054" t="s">
        <v>363</v>
      </c>
      <c r="I98"/>
      <c r="J98" s="1259"/>
      <c r="L98" s="1247"/>
      <c r="M98" s="1244">
        <f>ROW()</f>
        <v>98</v>
      </c>
    </row>
    <row r="99" spans="2:19" ht="14.1" customHeight="1">
      <c r="B99" s="3226" t="s">
        <v>5634</v>
      </c>
      <c r="C99" s="1773"/>
      <c r="D99" s="1774">
        <f>Travel!G118</f>
        <v>3483000</v>
      </c>
      <c r="E99" s="1774">
        <f ca="1">Travel!H118</f>
        <v>3580000</v>
      </c>
      <c r="F99" s="1774">
        <f ca="1">Travel!I118</f>
        <v>97000</v>
      </c>
      <c r="G99" s="2055">
        <f ca="1">Travel!J118</f>
        <v>2.7849554981337926E-2</v>
      </c>
      <c r="I99"/>
      <c r="J99" s="1259"/>
      <c r="L99" s="1247"/>
      <c r="M99" s="1244">
        <f>ROW()</f>
        <v>99</v>
      </c>
    </row>
    <row r="100" spans="2:19" ht="14.1" customHeight="1">
      <c r="B100" s="2032" t="s">
        <v>364</v>
      </c>
      <c r="C100" s="113"/>
      <c r="D100"/>
      <c r="E100"/>
      <c r="F100"/>
      <c r="G100"/>
      <c r="H100" s="9"/>
      <c r="I100"/>
      <c r="J100" s="1259"/>
      <c r="L100" s="1247"/>
      <c r="M100" s="1244">
        <f>ROW()</f>
        <v>100</v>
      </c>
    </row>
    <row r="101" spans="2:19" ht="14.1" customHeight="1">
      <c r="B101" s="2032"/>
      <c r="C101" s="113"/>
      <c r="D101"/>
      <c r="H101" s="9"/>
      <c r="I101"/>
      <c r="J101" s="1259"/>
      <c r="L101" s="1247"/>
      <c r="M101" s="1244">
        <f>ROW()</f>
        <v>101</v>
      </c>
    </row>
    <row r="102" spans="2:19" ht="14.1" customHeight="1">
      <c r="C102" s="3858" t="s">
        <v>3325</v>
      </c>
      <c r="I102" s="1266"/>
      <c r="L102" s="1247"/>
      <c r="M102" s="1244">
        <f>ROW()</f>
        <v>102</v>
      </c>
    </row>
    <row r="103" spans="2:19" ht="14.1" customHeight="1">
      <c r="C103" s="3859"/>
      <c r="E103"/>
      <c r="F103"/>
      <c r="I103" s="1266"/>
      <c r="L103" s="1247"/>
      <c r="M103" s="1244">
        <f>ROW()</f>
        <v>103</v>
      </c>
    </row>
    <row r="104" spans="2:19" ht="14.1" customHeight="1">
      <c r="B104" s="1204" t="s">
        <v>5813</v>
      </c>
      <c r="C104" s="2175" t="s">
        <v>2919</v>
      </c>
      <c r="D104" s="2025" t="s">
        <v>3697</v>
      </c>
      <c r="E104"/>
      <c r="F104" s="146" t="s">
        <v>674</v>
      </c>
      <c r="G104" s="1526">
        <f ca="1">VMT!L22</f>
        <v>-3.2906114154561225E-2</v>
      </c>
      <c r="I104" s="1266"/>
      <c r="L104" s="1247"/>
      <c r="M104" s="1244">
        <f>ROW()</f>
        <v>104</v>
      </c>
    </row>
    <row r="105" spans="2:19" ht="14.1" customHeight="1">
      <c r="C105" s="1002"/>
      <c r="L105" s="1247"/>
      <c r="M105" s="1244">
        <f>ROW()</f>
        <v>105</v>
      </c>
    </row>
    <row r="106" spans="2:19" ht="14.1" customHeight="1">
      <c r="B106" s="1204" t="s">
        <v>2057</v>
      </c>
      <c r="C106" s="1002"/>
      <c r="H106" s="2056"/>
      <c r="L106" s="1247"/>
      <c r="M106" s="1244">
        <f>ROW()</f>
        <v>106</v>
      </c>
      <c r="S106" s="3232"/>
    </row>
    <row r="107" spans="2:19" ht="14.1" customHeight="1">
      <c r="B107" s="1338" t="s">
        <v>2133</v>
      </c>
      <c r="C107" s="3900" t="s">
        <v>2367</v>
      </c>
      <c r="F107" s="146" t="s">
        <v>674</v>
      </c>
      <c r="G107" s="1526">
        <f ca="1">Subways!AN418</f>
        <v>7.4586827723451002E-2</v>
      </c>
      <c r="H107" s="2056"/>
      <c r="L107" s="1247"/>
      <c r="M107" s="1244">
        <f>ROW()</f>
        <v>107</v>
      </c>
    </row>
    <row r="108" spans="2:19" ht="14.1" customHeight="1">
      <c r="B108" s="1338" t="s">
        <v>2671</v>
      </c>
      <c r="C108" s="3833"/>
      <c r="F108" s="118" t="s">
        <v>674</v>
      </c>
      <c r="G108" s="3302">
        <f ca="1">Subways!X418</f>
        <v>6.0948978109446932E-2</v>
      </c>
      <c r="H108" s="2056"/>
      <c r="L108" s="1247"/>
      <c r="M108" s="1244">
        <f>ROW()</f>
        <v>108</v>
      </c>
    </row>
    <row r="109" spans="2:19" ht="14.1" customHeight="1">
      <c r="B109" s="1338" t="s">
        <v>2672</v>
      </c>
      <c r="C109" s="3833"/>
      <c r="F109" s="118" t="s">
        <v>674</v>
      </c>
      <c r="G109" s="3302">
        <f ca="1">Subways!AG418</f>
        <v>6.5210556174197368E-2</v>
      </c>
      <c r="H109" s="2056"/>
      <c r="J109" s="1259"/>
      <c r="L109" s="1247"/>
      <c r="M109" s="1244">
        <f>ROW()</f>
        <v>109</v>
      </c>
    </row>
    <row r="110" spans="2:19" ht="14.1" customHeight="1">
      <c r="B110" s="1338" t="s">
        <v>2496</v>
      </c>
      <c r="C110" s="3833"/>
      <c r="F110" s="118" t="s">
        <v>674</v>
      </c>
      <c r="G110" s="3302">
        <f ca="1">Subways!AN421</f>
        <v>7.5655540986606873E-2</v>
      </c>
      <c r="H110" s="35"/>
      <c r="J110" s="1274"/>
      <c r="L110" s="1247"/>
      <c r="M110" s="1244">
        <f>ROW()</f>
        <v>110</v>
      </c>
    </row>
    <row r="111" spans="2:19" ht="14.1" customHeight="1">
      <c r="B111" s="1338" t="s">
        <v>1134</v>
      </c>
      <c r="C111" s="3833"/>
      <c r="F111" s="1816" t="s">
        <v>674</v>
      </c>
      <c r="G111" s="3303">
        <f ca="1">Subways!M534</f>
        <v>7.3669088329664234E-2</v>
      </c>
      <c r="H111" s="35"/>
      <c r="L111" s="1251"/>
      <c r="M111" s="1244">
        <f>ROW()</f>
        <v>111</v>
      </c>
      <c r="N111" s="1267"/>
      <c r="O111" s="2042"/>
      <c r="P111" s="2042"/>
      <c r="Q111" s="2042"/>
      <c r="R111" s="2042"/>
    </row>
    <row r="112" spans="2:19" ht="14.1" customHeight="1">
      <c r="B112" s="1338" t="s">
        <v>3323</v>
      </c>
      <c r="C112" s="1339" t="s">
        <v>2134</v>
      </c>
      <c r="D112" s="2025" t="s">
        <v>3321</v>
      </c>
      <c r="E112" s="1343"/>
      <c r="F112" s="118" t="s">
        <v>674</v>
      </c>
      <c r="G112" s="3302">
        <f ca="1">Gini!B81</f>
        <v>-1.2728326059680106E-2</v>
      </c>
      <c r="H112" s="35"/>
      <c r="L112" s="1251"/>
      <c r="M112" s="1244">
        <f>ROW()</f>
        <v>112</v>
      </c>
      <c r="N112" s="1267"/>
      <c r="O112" s="2042"/>
      <c r="P112" s="2042"/>
      <c r="Q112" s="2042"/>
      <c r="R112" s="2042"/>
    </row>
    <row r="113" spans="2:29" ht="14.1" customHeight="1">
      <c r="D113" s="1277"/>
      <c r="E113" s="1277"/>
      <c r="L113" s="1251"/>
      <c r="M113" s="1244">
        <f>ROW()</f>
        <v>113</v>
      </c>
      <c r="N113" s="1267"/>
      <c r="O113" s="2042"/>
      <c r="P113" s="2042"/>
      <c r="Q113" s="2042"/>
      <c r="R113" s="2042"/>
    </row>
    <row r="114" spans="2:29" ht="14.1" customHeight="1">
      <c r="B114" s="1204" t="s">
        <v>2332</v>
      </c>
      <c r="C114" s="1339" t="s">
        <v>810</v>
      </c>
      <c r="D114" s="2025" t="s">
        <v>3322</v>
      </c>
      <c r="E114" s="1619"/>
      <c r="F114" s="146" t="s">
        <v>674</v>
      </c>
      <c r="G114" s="1526">
        <f ca="1">Buses!H109</f>
        <v>2.2929808354438808E-2</v>
      </c>
      <c r="L114" s="1251"/>
      <c r="M114" s="1244">
        <f>ROW()</f>
        <v>114</v>
      </c>
      <c r="N114" s="1267"/>
      <c r="O114" s="2042"/>
      <c r="P114" s="2042"/>
      <c r="Q114" s="2042"/>
      <c r="R114" s="2042"/>
    </row>
    <row r="115" spans="2:29" ht="14.1" customHeight="1">
      <c r="B115"/>
      <c r="D115" s="1261"/>
      <c r="E115" s="1247"/>
      <c r="L115" s="1251"/>
      <c r="M115" s="1244">
        <f>ROW()</f>
        <v>115</v>
      </c>
      <c r="N115" s="1267"/>
      <c r="O115" s="2042"/>
      <c r="P115" s="2042"/>
      <c r="Q115" s="2042"/>
      <c r="R115" s="2042"/>
    </row>
    <row r="116" spans="2:29" ht="14.1" customHeight="1">
      <c r="B116" s="1204" t="s">
        <v>4609</v>
      </c>
      <c r="C116" s="2175" t="s">
        <v>292</v>
      </c>
      <c r="D116" s="3898" t="s">
        <v>2367</v>
      </c>
      <c r="E116" s="3898"/>
      <c r="F116" s="3898" t="s">
        <v>810</v>
      </c>
      <c r="G116" s="3898"/>
      <c r="L116" s="1251"/>
      <c r="M116" s="1244">
        <f>ROW()</f>
        <v>116</v>
      </c>
      <c r="N116" s="1267"/>
      <c r="O116" s="2042"/>
      <c r="P116" s="2042"/>
      <c r="Q116" s="2042"/>
      <c r="R116" s="2042"/>
    </row>
    <row r="117" spans="2:29" ht="14.1" customHeight="1">
      <c r="D117" s="2675" t="s">
        <v>2739</v>
      </c>
      <c r="E117" s="2676" t="s">
        <v>1973</v>
      </c>
      <c r="F117" s="2675" t="s">
        <v>2739</v>
      </c>
      <c r="G117" s="2676" t="s">
        <v>1973</v>
      </c>
      <c r="H117" s="35"/>
      <c r="I117" s="1247"/>
      <c r="J117" s="1268"/>
      <c r="L117" s="1269"/>
      <c r="M117" s="1244">
        <f>ROW()</f>
        <v>117</v>
      </c>
      <c r="N117" s="1270"/>
      <c r="O117" s="2080"/>
      <c r="P117" s="2080"/>
      <c r="Q117" s="2080"/>
      <c r="R117" s="2080"/>
    </row>
    <row r="118" spans="2:29" ht="14.1" customHeight="1">
      <c r="B118" s="2670" t="s">
        <v>4610</v>
      </c>
      <c r="C118" s="3867" t="s">
        <v>292</v>
      </c>
      <c r="D118" s="2672">
        <f>Subways!J43</f>
        <v>1.4931053502482075</v>
      </c>
      <c r="E118" s="2085"/>
      <c r="F118" s="2672">
        <f>Buses!H47*Buses!J21</f>
        <v>1.2040989399293287</v>
      </c>
      <c r="G118" s="2085"/>
      <c r="I118" s="1272"/>
      <c r="J118" s="1247"/>
      <c r="L118" s="1269"/>
      <c r="M118" s="1244">
        <f>ROW()</f>
        <v>118</v>
      </c>
      <c r="N118" s="1270"/>
      <c r="O118" s="2080"/>
      <c r="P118" s="2080"/>
      <c r="Q118" s="2080"/>
      <c r="R118" s="2080"/>
    </row>
    <row r="119" spans="2:29" ht="14.1" customHeight="1">
      <c r="B119" s="318" t="s">
        <v>2231</v>
      </c>
      <c r="C119" s="3833"/>
      <c r="D119" s="2672">
        <f ca="1">Subways!R536</f>
        <v>1.4864249667801175</v>
      </c>
      <c r="E119" s="2673">
        <f ca="1">D119/D$118-1</f>
        <v>-4.4741541291640763E-3</v>
      </c>
      <c r="F119" s="2674">
        <f ca="1">Buses!I164</f>
        <v>1.2040989399293289</v>
      </c>
      <c r="G119" s="2673">
        <f ca="1">F119/F$118-1</f>
        <v>0</v>
      </c>
      <c r="I119" s="1247"/>
      <c r="J119" s="1265"/>
      <c r="L119" s="1269"/>
      <c r="M119" s="1244">
        <f>ROW()</f>
        <v>119</v>
      </c>
      <c r="N119" s="1270"/>
      <c r="O119" s="2080"/>
      <c r="P119" s="2080"/>
      <c r="Q119" s="2080"/>
      <c r="R119" s="2080"/>
    </row>
    <row r="120" spans="2:29" ht="14.1" customHeight="1">
      <c r="B120" s="318" t="s">
        <v>3347</v>
      </c>
      <c r="C120" s="3833"/>
      <c r="D120" s="2672">
        <f ca="1">Subways!R540</f>
        <v>1.4876485350225741</v>
      </c>
      <c r="E120" s="2673">
        <f ca="1">D120/D$118-1</f>
        <v>-3.6546752877995026E-3</v>
      </c>
      <c r="F120" s="2674">
        <f ca="1">Buses!H164</f>
        <v>1.2040989399293289</v>
      </c>
      <c r="G120" s="2673">
        <f ca="1">F120/F$118-1</f>
        <v>0</v>
      </c>
      <c r="I120" s="1275"/>
      <c r="J120" s="1247"/>
      <c r="L120" s="1247"/>
      <c r="M120" s="1244">
        <f>ROW()</f>
        <v>120</v>
      </c>
    </row>
    <row r="121" spans="2:29" ht="14.1" customHeight="1">
      <c r="I121" s="1275"/>
      <c r="J121" s="1247"/>
      <c r="L121" s="1247"/>
      <c r="M121" s="1244">
        <f>ROW()</f>
        <v>121</v>
      </c>
      <c r="S121" s="1008"/>
      <c r="T121" s="1008"/>
      <c r="U121" s="1008"/>
      <c r="V121" s="1008"/>
      <c r="W121" s="1008"/>
      <c r="X121" s="1008"/>
      <c r="Y121" s="1008"/>
      <c r="Z121" s="1008"/>
      <c r="AA121" s="1008"/>
      <c r="AB121" s="1008"/>
      <c r="AC121" s="1008"/>
    </row>
    <row r="122" spans="2:29" ht="14.1" customHeight="1">
      <c r="B122" s="1204" t="s">
        <v>3346</v>
      </c>
      <c r="C122" s="1339" t="s">
        <v>2343</v>
      </c>
      <c r="D122" s="1002"/>
      <c r="E122" s="1002"/>
      <c r="F122" s="146" t="s">
        <v>674</v>
      </c>
      <c r="G122" s="1526">
        <f ca="1">Taxis!M235</f>
        <v>5.7846227307365217E-2</v>
      </c>
      <c r="I122" s="1247"/>
      <c r="J122" s="1247"/>
      <c r="L122" s="1256"/>
      <c r="M122" s="1244">
        <f>ROW()</f>
        <v>122</v>
      </c>
      <c r="N122" s="1271"/>
      <c r="O122" s="1008"/>
      <c r="P122" s="1008"/>
      <c r="Q122" s="1008"/>
      <c r="R122" s="1008"/>
      <c r="S122" s="1008"/>
      <c r="T122" s="1008"/>
      <c r="U122" s="1008"/>
      <c r="V122" s="1008"/>
      <c r="W122" s="1008"/>
      <c r="X122" s="1008"/>
      <c r="Y122" s="1008"/>
      <c r="Z122" s="1008"/>
      <c r="AA122" s="1008"/>
      <c r="AB122" s="1008"/>
      <c r="AC122" s="1008"/>
    </row>
    <row r="123" spans="2:29" ht="14.1" customHeight="1">
      <c r="I123" s="1260"/>
      <c r="J123" s="1260"/>
      <c r="L123" s="1256"/>
      <c r="M123" s="1244">
        <f>ROW()</f>
        <v>123</v>
      </c>
      <c r="N123" s="1271"/>
      <c r="O123" s="1008"/>
      <c r="P123" s="1008"/>
      <c r="Q123" s="1008"/>
      <c r="R123" s="1008"/>
      <c r="S123" s="1008"/>
      <c r="T123" s="1008"/>
      <c r="U123" s="1008"/>
      <c r="V123" s="1008"/>
      <c r="W123" s="1008"/>
      <c r="X123" s="1008"/>
      <c r="Y123" s="1008"/>
      <c r="Z123" s="1008"/>
      <c r="AA123" s="1008"/>
      <c r="AB123" s="1008"/>
      <c r="AC123" s="1008"/>
    </row>
    <row r="124" spans="2:29" ht="14.1" customHeight="1">
      <c r="B124" s="1204" t="s">
        <v>3320</v>
      </c>
      <c r="C124" s="2042" t="s">
        <v>3324</v>
      </c>
      <c r="D124" s="3835" t="s">
        <v>4591</v>
      </c>
      <c r="E124" s="3836"/>
      <c r="H124" s="2038"/>
      <c r="I124" s="1260"/>
      <c r="J124" s="1260"/>
      <c r="L124" s="1247"/>
      <c r="M124" s="1244">
        <f>ROW()</f>
        <v>124</v>
      </c>
    </row>
    <row r="125" spans="2:29" ht="14.1" customHeight="1">
      <c r="B125" s="2033" t="s">
        <v>3331</v>
      </c>
      <c r="D125" s="3837"/>
      <c r="E125" s="3838"/>
      <c r="H125" s="2038"/>
      <c r="I125" s="1260"/>
      <c r="J125" s="1260"/>
      <c r="L125" s="1247"/>
      <c r="M125" s="1244">
        <f>ROW()</f>
        <v>125</v>
      </c>
    </row>
    <row r="126" spans="2:29" ht="14.1" customHeight="1">
      <c r="B126" s="2033" t="s">
        <v>3326</v>
      </c>
      <c r="C126" s="2026"/>
      <c r="D126"/>
      <c r="E126"/>
      <c r="F126" s="1139" t="str">
        <f ca="1">IF(OR($H$25="Baseline",$H$25="Baseline with $320M/yr cut in subway spending"),"NA",HLOOKUP(F127,Incidence!$G$273:'Incidence'!$K$277,5,FALSE))</f>
        <v>Queens</v>
      </c>
      <c r="G126" s="3888" t="s">
        <v>3335</v>
      </c>
      <c r="H126" s="2038"/>
      <c r="I126" s="1260"/>
      <c r="J126" s="1260"/>
      <c r="L126" s="1247"/>
      <c r="M126" s="1244">
        <f>ROW()</f>
        <v>126</v>
      </c>
    </row>
    <row r="127" spans="2:29" ht="14.1" customHeight="1">
      <c r="B127" s="318" t="s">
        <v>3336</v>
      </c>
      <c r="D127"/>
      <c r="E127"/>
      <c r="F127" s="2043">
        <f ca="1">IF(OR($H$25="Baseline",$H$25="Baseline with $320M/yr cut in subway spending"),"NA",MAX(Incidence!$G$273:$K$273))</f>
        <v>0.20899999999999999</v>
      </c>
      <c r="G127" s="3889"/>
      <c r="H127" s="35"/>
      <c r="I127" s="1247"/>
      <c r="J127" s="1247"/>
      <c r="L127" s="1247"/>
      <c r="M127" s="1244">
        <f>ROW()</f>
        <v>127</v>
      </c>
    </row>
    <row r="128" spans="2:29" ht="14.1" customHeight="1">
      <c r="B128" s="2033" t="s">
        <v>3327</v>
      </c>
      <c r="C128" s="2026"/>
      <c r="D128"/>
      <c r="E128"/>
      <c r="F128" s="1139" t="str">
        <f ca="1">IF(OR($H$25="Baseline",$H$25="Baseline with $320M/yr cut in subway spending"),"NA",HLOOKUP(F129,Incidence!$G$273:'Incidence'!$K$277,5,FALSE))</f>
        <v>Brooklyn</v>
      </c>
      <c r="G128" s="3889"/>
      <c r="H128" s="35"/>
      <c r="I128" s="1247"/>
      <c r="J128" s="1247"/>
      <c r="L128" s="1247"/>
      <c r="M128" s="1244">
        <f>ROW()</f>
        <v>128</v>
      </c>
    </row>
    <row r="129" spans="2:13" ht="14.1" customHeight="1">
      <c r="B129" s="318" t="s">
        <v>3337</v>
      </c>
      <c r="D129"/>
      <c r="E129"/>
      <c r="F129" s="2043">
        <f ca="1">IF(OR($H$25="Baseline",$H$25="Baseline with $320M/yr cut in subway spending"),"NA",LARGE(Incidence!$G$273:$K$273,2))</f>
        <v>0.154</v>
      </c>
      <c r="G129" s="3889"/>
      <c r="H129" s="35"/>
      <c r="I129" s="1247"/>
      <c r="J129" s="1247"/>
      <c r="L129" s="1247"/>
      <c r="M129" s="1244">
        <f>ROW()</f>
        <v>129</v>
      </c>
    </row>
    <row r="130" spans="2:13" ht="14.1" customHeight="1">
      <c r="B130" s="318" t="str">
        <f ca="1">CONCATENATE("Percentage points by which toll payment share for ",F126," will exceed that for ",F128,"")</f>
        <v>Percentage points by which toll payment share for Queens will exceed that for Brooklyn</v>
      </c>
      <c r="C130" s="1247"/>
      <c r="D130"/>
      <c r="E130"/>
      <c r="F130" s="2044">
        <f ca="1">IF(OR($H$25="Baseline",$H$25="Baseline with $320M/yr cut in subway spending"),"NA",F127-F129)</f>
        <v>5.4999999999999993E-2</v>
      </c>
      <c r="G130" s="3889"/>
      <c r="H130" s="35"/>
      <c r="I130" s="1247"/>
      <c r="J130" s="1247"/>
      <c r="L130" s="1247"/>
      <c r="M130" s="1244">
        <f>ROW()</f>
        <v>130</v>
      </c>
    </row>
    <row r="131" spans="2:13" ht="14.1" customHeight="1">
      <c r="B131" s="2033" t="s">
        <v>3328</v>
      </c>
      <c r="C131" s="2034"/>
      <c r="D131"/>
      <c r="E131"/>
      <c r="F131" s="2045">
        <f ca="1">IF(OR($H$25="Baseline",$H$25="Baseline with $320M/yr cut in subway spending"),"NA",Incidence!$L$273)</f>
        <v>0.66500000000000004</v>
      </c>
      <c r="G131" s="3889"/>
      <c r="H131" s="35"/>
      <c r="I131" s="1247"/>
      <c r="J131" s="1247"/>
      <c r="L131" s="1247"/>
      <c r="M131" s="1244">
        <f>ROW()</f>
        <v>131</v>
      </c>
    </row>
    <row r="132" spans="2:13" ht="14.1" customHeight="1">
      <c r="B132" s="318" t="s">
        <v>3333</v>
      </c>
      <c r="D132"/>
      <c r="E132"/>
      <c r="F132" s="2046">
        <f ca="1">IF(OR($H$25="Baseline",$H$25="Baseline with $320M/yr cut in subway spending"),"NA",Incidence!I273/F131)</f>
        <v>0.23007518796992479</v>
      </c>
      <c r="G132" s="3889"/>
      <c r="H132" s="35"/>
      <c r="I132" s="1247"/>
      <c r="J132" s="1247"/>
      <c r="L132" s="1247"/>
      <c r="M132" s="1244">
        <f>ROW()</f>
        <v>132</v>
      </c>
    </row>
    <row r="133" spans="2:13" ht="14.1" customHeight="1">
      <c r="B133"/>
      <c r="D133"/>
      <c r="E133"/>
      <c r="F133" s="2047"/>
      <c r="G133" s="3889"/>
      <c r="H133" s="35"/>
      <c r="I133" s="1247"/>
      <c r="J133" s="1247"/>
      <c r="L133" s="1247"/>
      <c r="M133" s="1244">
        <f>ROW()</f>
        <v>133</v>
      </c>
    </row>
    <row r="134" spans="2:13" ht="14.1" customHeight="1">
      <c r="B134" s="2033" t="s">
        <v>3332</v>
      </c>
      <c r="D134"/>
      <c r="E134"/>
      <c r="F134" s="2047"/>
      <c r="G134" s="3889"/>
      <c r="H134" s="35"/>
      <c r="I134" s="1247"/>
      <c r="J134" s="1247"/>
      <c r="L134" s="1247"/>
      <c r="M134" s="1244">
        <f>ROW()</f>
        <v>134</v>
      </c>
    </row>
    <row r="135" spans="2:13" ht="14.1" customHeight="1">
      <c r="B135" s="2033" t="s">
        <v>5621</v>
      </c>
      <c r="C135" s="2034"/>
      <c r="D135"/>
      <c r="E135"/>
      <c r="F135" s="2045">
        <f ca="1">IF(OR($H$25="Baseline",$H$25="Baseline with $320M/yr cut in subway spending"),"NA",Incidence!T273-Incidence!L273)</f>
        <v>0.21412559231958828</v>
      </c>
      <c r="G135" s="3889"/>
      <c r="H135" s="35"/>
      <c r="I135" s="1247"/>
      <c r="J135" s="1247"/>
      <c r="L135" s="1247"/>
      <c r="M135" s="1244">
        <f>ROW()</f>
        <v>135</v>
      </c>
    </row>
    <row r="136" spans="2:13" ht="14.1" customHeight="1">
      <c r="B136" s="318" t="s">
        <v>3329</v>
      </c>
      <c r="C136" s="1247"/>
      <c r="D136"/>
      <c r="E136"/>
      <c r="F136" s="1139" t="str">
        <f ca="1">IF(OR($H$25="Baseline",$H$25="Baseline with $320M/yr cut in subway spending"),"NA",HLOOKUP(F137,Incidence!$M$273:'Incidence'!$S$277,5,FALSE))</f>
        <v>Nassau</v>
      </c>
      <c r="G136" s="3889"/>
      <c r="M136" s="1244">
        <f>ROW()</f>
        <v>136</v>
      </c>
    </row>
    <row r="137" spans="2:13" ht="14.1" customHeight="1">
      <c r="B137" s="318" t="s">
        <v>3330</v>
      </c>
      <c r="C137" s="1247"/>
      <c r="D137"/>
      <c r="E137"/>
      <c r="F137" s="2043">
        <f ca="1">IF(OR($H$25="Baseline",$H$25="Baseline with $320M/yr cut in subway spending"),"NA",MAX(Incidence!$M$273:$S$273))</f>
        <v>7.6999999999999999E-2</v>
      </c>
      <c r="G137" s="3889"/>
      <c r="M137" s="1244">
        <f>ROW()</f>
        <v>137</v>
      </c>
    </row>
    <row r="138" spans="2:13" ht="14.1" customHeight="1">
      <c r="B138" s="2033" t="s">
        <v>5622</v>
      </c>
      <c r="C138" s="2034"/>
      <c r="D138"/>
      <c r="E138"/>
      <c r="F138" s="2045">
        <f ca="1">IF(OR($H$25="Baseline",$H$25="Baseline with $320M/yr cut in subway spending"),"NA",Incidence!$U$273)</f>
        <v>0.08</v>
      </c>
      <c r="G138" s="3889"/>
      <c r="M138" s="1244">
        <f>ROW()</f>
        <v>138</v>
      </c>
    </row>
    <row r="139" spans="2:13" ht="14.1" customHeight="1">
      <c r="B139" s="2033" t="s">
        <v>5623</v>
      </c>
      <c r="C139" s="2026"/>
      <c r="D139"/>
      <c r="E139"/>
      <c r="F139" s="2045">
        <f ca="1">IF(OR($H$25="Baseline",$H$25="Baseline with $320M/yr cut in subway spending"),"NA",1-F131-F135-F138)</f>
        <v>4.0874407680411687E-2</v>
      </c>
      <c r="G139" s="3890"/>
      <c r="M139" s="1244">
        <f>ROW()</f>
        <v>139</v>
      </c>
    </row>
    <row r="140" spans="2:13" ht="14.1" customHeight="1">
      <c r="D140"/>
      <c r="E140"/>
    </row>
    <row r="141" spans="2:13" ht="14.1" customHeight="1">
      <c r="D141"/>
      <c r="E141"/>
    </row>
    <row r="142" spans="2:13" ht="14.1" customHeight="1">
      <c r="D142"/>
      <c r="E142"/>
    </row>
    <row r="143" spans="2:13" ht="14.1" customHeight="1">
      <c r="D143"/>
      <c r="E143"/>
    </row>
    <row r="144" spans="2:13" ht="14.1" customHeight="1">
      <c r="D144"/>
      <c r="E144"/>
    </row>
    <row r="145" spans="4:5" ht="14.1" customHeight="1">
      <c r="D145"/>
      <c r="E145"/>
    </row>
    <row r="146" spans="4:5" ht="14.1" customHeight="1">
      <c r="D146"/>
      <c r="E146"/>
    </row>
    <row r="147" spans="4:5" ht="14.1" customHeight="1">
      <c r="D147"/>
      <c r="E147"/>
    </row>
    <row r="148" spans="4:5" ht="14.1" customHeight="1">
      <c r="D148"/>
      <c r="E148"/>
    </row>
  </sheetData>
  <customSheetViews>
    <customSheetView guid="{BD5E6263-A0AD-4076-921A-D4EBD62848EF}" showRuler="0">
      <selection activeCell="A24" sqref="A24"/>
      <pageMargins left="0.75" right="0.75" top="1" bottom="1" header="0.5" footer="0.5"/>
      <pageSetup orientation="portrait" r:id="rId1"/>
      <headerFooter alignWithMargins="0"/>
    </customSheetView>
    <customSheetView guid="{1D5AE30A-CA7C-4B32-AEA4-9F37A560AAA8}" showRuler="0">
      <selection activeCell="A24" sqref="A24"/>
      <pageMargins left="0.75" right="0.75" top="1" bottom="1" header="0.5" footer="0.5"/>
      <pageSetup orientation="portrait" r:id="rId2"/>
      <headerFooter alignWithMargins="0"/>
    </customSheetView>
  </customSheetViews>
  <mergeCells count="70">
    <mergeCell ref="B25:B28"/>
    <mergeCell ref="B83:B84"/>
    <mergeCell ref="V81:W88"/>
    <mergeCell ref="K46:L47"/>
    <mergeCell ref="G10:H13"/>
    <mergeCell ref="O71:W76"/>
    <mergeCell ref="O24:W27"/>
    <mergeCell ref="D36:G36"/>
    <mergeCell ref="D29:J29"/>
    <mergeCell ref="O29:W34"/>
    <mergeCell ref="S36:S38"/>
    <mergeCell ref="Q36:Q38"/>
    <mergeCell ref="O66:W69"/>
    <mergeCell ref="D39:H39"/>
    <mergeCell ref="D41:H41"/>
    <mergeCell ref="G15:H15"/>
    <mergeCell ref="C107:C111"/>
    <mergeCell ref="F96:G96"/>
    <mergeCell ref="D86:D92"/>
    <mergeCell ref="C86:C92"/>
    <mergeCell ref="G85:G86"/>
    <mergeCell ref="G126:G139"/>
    <mergeCell ref="D48:H48"/>
    <mergeCell ref="D43:H43"/>
    <mergeCell ref="D44:H44"/>
    <mergeCell ref="D52:H54"/>
    <mergeCell ref="D45:H45"/>
    <mergeCell ref="D46:H46"/>
    <mergeCell ref="D47:H47"/>
    <mergeCell ref="D49:H49"/>
    <mergeCell ref="D51:H51"/>
    <mergeCell ref="D50:H50"/>
    <mergeCell ref="F93:F94"/>
    <mergeCell ref="D116:E116"/>
    <mergeCell ref="F116:G116"/>
    <mergeCell ref="D55:H55"/>
    <mergeCell ref="D83:E85"/>
    <mergeCell ref="I57:J57"/>
    <mergeCell ref="I30:I31"/>
    <mergeCell ref="I24:J28"/>
    <mergeCell ref="G25:G28"/>
    <mergeCell ref="D38:H38"/>
    <mergeCell ref="D42:H42"/>
    <mergeCell ref="H25:H28"/>
    <mergeCell ref="D25:D28"/>
    <mergeCell ref="E25:E28"/>
    <mergeCell ref="F25:F28"/>
    <mergeCell ref="D33:H33"/>
    <mergeCell ref="D37:H37"/>
    <mergeCell ref="O5:W7"/>
    <mergeCell ref="O14:W15"/>
    <mergeCell ref="O17:W20"/>
    <mergeCell ref="O9:W12"/>
    <mergeCell ref="J30:J31"/>
    <mergeCell ref="D124:E125"/>
    <mergeCell ref="B8:H9"/>
    <mergeCell ref="G14:H14"/>
    <mergeCell ref="D11:E12"/>
    <mergeCell ref="D14:E15"/>
    <mergeCell ref="B11:B12"/>
    <mergeCell ref="C30:C31"/>
    <mergeCell ref="D31:G31"/>
    <mergeCell ref="G93:G94"/>
    <mergeCell ref="C25:C28"/>
    <mergeCell ref="C83:C84"/>
    <mergeCell ref="B19:H20"/>
    <mergeCell ref="B17:I17"/>
    <mergeCell ref="C118:C120"/>
    <mergeCell ref="F82:G84"/>
    <mergeCell ref="C102:C103"/>
  </mergeCells>
  <phoneticPr fontId="6" type="noConversion"/>
  <conditionalFormatting sqref="C25:G25">
    <cfRule type="expression" dxfId="16" priority="19">
      <formula>($H$25=C$25)</formula>
    </cfRule>
  </conditionalFormatting>
  <conditionalFormatting sqref="G25">
    <cfRule type="expression" dxfId="15" priority="17" stopIfTrue="1">
      <formula>($H$25=G$24)</formula>
    </cfRule>
  </conditionalFormatting>
  <conditionalFormatting sqref="G25">
    <cfRule type="expression" dxfId="14" priority="16" stopIfTrue="1">
      <formula>($H$25=G$24)</formula>
    </cfRule>
  </conditionalFormatting>
  <conditionalFormatting sqref="C25:G26">
    <cfRule type="expression" dxfId="13" priority="14" stopIfTrue="1">
      <formula>"$H$22=""Sustainable Transit ('ST')"""</formula>
    </cfRule>
  </conditionalFormatting>
  <conditionalFormatting sqref="D25:G26">
    <cfRule type="expression" dxfId="12" priority="13" stopIfTrue="1">
      <formula>"Bloomberg"</formula>
    </cfRule>
  </conditionalFormatting>
  <dataValidations count="1">
    <dataValidation type="list" allowBlank="1" showInputMessage="1" showErrorMessage="1" sqref="H25:H27">
      <formula1>$C$25:$G$25</formula1>
    </dataValidation>
  </dataValidations>
  <pageMargins left="0.75" right="0.75" top="1" bottom="1" header="0.5" footer="0.5"/>
  <pageSetup orientation="portrait" r:id="rId3"/>
  <headerFooter alignWithMargins="0"/>
  <drawing r:id="rId4"/>
</worksheet>
</file>

<file path=xl/worksheets/sheet7.xml><?xml version="1.0" encoding="utf-8"?>
<worksheet xmlns="http://schemas.openxmlformats.org/spreadsheetml/2006/main" xmlns:r="http://schemas.openxmlformats.org/officeDocument/2006/relationships">
  <sheetPr codeName="Sheet5"/>
  <dimension ref="B1:AC160"/>
  <sheetViews>
    <sheetView showRuler="0" zoomScaleNormal="110" workbookViewId="0"/>
  </sheetViews>
  <sheetFormatPr defaultColWidth="9.125" defaultRowHeight="13.95" customHeight="1"/>
  <cols>
    <col min="1" max="1" width="2.75" style="86" customWidth="1"/>
    <col min="2" max="2" width="3.125" style="86" customWidth="1"/>
    <col min="3" max="3" width="24.375" style="86" customWidth="1"/>
    <col min="4" max="4" width="19.125" style="86" customWidth="1"/>
    <col min="5" max="9" width="11.625" style="86" customWidth="1"/>
    <col min="10" max="10" width="11.75" style="86" customWidth="1"/>
    <col min="11" max="11" width="9.125" style="86" customWidth="1"/>
    <col min="12" max="12" width="10.75" style="86" customWidth="1"/>
    <col min="13" max="13" width="53.375" style="86" customWidth="1"/>
    <col min="14" max="14" width="1.875" style="86" customWidth="1"/>
    <col min="15" max="19" width="11.625" style="86" customWidth="1"/>
    <col min="20" max="16384" width="9.125" style="86"/>
  </cols>
  <sheetData>
    <row r="1" spans="2:18" ht="13.95" customHeight="1">
      <c r="N1" s="1019">
        <f>ROW()</f>
        <v>1</v>
      </c>
    </row>
    <row r="2" spans="2:18" ht="13.95" customHeight="1">
      <c r="B2" s="1281" t="s">
        <v>2130</v>
      </c>
      <c r="H2" s="1282">
        <f>'Title Page'!K1</f>
        <v>40914</v>
      </c>
      <c r="N2" s="1019">
        <f>ROW()</f>
        <v>2</v>
      </c>
    </row>
    <row r="3" spans="2:18" ht="13.95" customHeight="1">
      <c r="J3"/>
      <c r="N3" s="1019">
        <f>ROW()</f>
        <v>3</v>
      </c>
    </row>
    <row r="4" spans="2:18" ht="13.95" customHeight="1">
      <c r="C4" s="1281"/>
      <c r="D4" s="1282"/>
      <c r="I4" s="2756" t="s">
        <v>5804</v>
      </c>
      <c r="J4" s="1997"/>
      <c r="K4" s="1997"/>
      <c r="L4" s="1997"/>
      <c r="M4" s="1998"/>
      <c r="N4" s="1019">
        <f>ROW()</f>
        <v>4</v>
      </c>
    </row>
    <row r="5" spans="2:18" ht="13.95" customHeight="1">
      <c r="D5" s="1282"/>
      <c r="I5" s="1991"/>
      <c r="J5" s="1992"/>
      <c r="K5" s="1992"/>
      <c r="L5" s="1992"/>
      <c r="M5" s="1993"/>
      <c r="N5" s="1019">
        <f>ROW()</f>
        <v>5</v>
      </c>
    </row>
    <row r="6" spans="2:18" ht="13.95" customHeight="1" thickBot="1">
      <c r="I6" s="3984" t="str">
        <f>CONCATENATE("The values in Columns G, H and I correspond to NYC congestion pricing plans being discussed in 2011. The 'switch' that selects from among the four plans is located in Cell H",Results!M25, " of the 'Results' worksheet tab.")</f>
        <v>The values in Columns G, H and I correspond to NYC congestion pricing plans being discussed in 2011. The 'switch' that selects from among the four plans is located in Cell H25 of the 'Results' worksheet tab.</v>
      </c>
      <c r="J6" s="3985"/>
      <c r="K6" s="3985"/>
      <c r="L6" s="3985"/>
      <c r="M6" s="3986"/>
      <c r="N6" s="1019">
        <f>ROW()</f>
        <v>6</v>
      </c>
      <c r="R6" s="902"/>
    </row>
    <row r="7" spans="2:18" ht="13.95" customHeight="1">
      <c r="B7" s="4006" t="s">
        <v>6138</v>
      </c>
      <c r="C7" s="4007"/>
      <c r="D7" s="4007"/>
      <c r="E7" s="4007"/>
      <c r="F7" s="4008"/>
      <c r="I7" s="3987"/>
      <c r="J7" s="3985"/>
      <c r="K7" s="3985"/>
      <c r="L7" s="3985"/>
      <c r="M7" s="3986"/>
      <c r="N7" s="1019">
        <f>ROW()</f>
        <v>7</v>
      </c>
    </row>
    <row r="8" spans="2:18" ht="13.95" customHeight="1">
      <c r="B8" s="2758"/>
      <c r="C8" s="902"/>
      <c r="D8" s="902"/>
      <c r="E8" s="902"/>
      <c r="F8" s="2736"/>
      <c r="I8" s="1991"/>
      <c r="J8" s="1992"/>
      <c r="K8" s="1992"/>
      <c r="L8" s="1992"/>
      <c r="M8" s="1993"/>
      <c r="N8" s="1019">
        <f>ROW()</f>
        <v>8</v>
      </c>
    </row>
    <row r="9" spans="2:18" ht="13.95" customHeight="1">
      <c r="B9" s="2778" t="s">
        <v>4666</v>
      </c>
      <c r="C9" s="2757"/>
      <c r="D9" s="2757"/>
      <c r="E9" s="2757"/>
      <c r="F9" s="3533" t="str">
        <f>Results!H25</f>
        <v>Move NY Plan</v>
      </c>
      <c r="I9" s="3984" t="s">
        <v>6139</v>
      </c>
      <c r="J9" s="3985"/>
      <c r="K9" s="3985"/>
      <c r="L9" s="3985"/>
      <c r="M9" s="3986"/>
      <c r="N9" s="1019">
        <f>ROW()</f>
        <v>9</v>
      </c>
    </row>
    <row r="10" spans="2:18" ht="13.95" customHeight="1">
      <c r="B10" s="2758"/>
      <c r="C10" s="902"/>
      <c r="D10" s="902"/>
      <c r="E10" s="902"/>
      <c r="F10" s="2736"/>
      <c r="I10" s="3987"/>
      <c r="J10" s="3985"/>
      <c r="K10" s="3985"/>
      <c r="L10" s="3985"/>
      <c r="M10" s="3986"/>
      <c r="N10" s="1019">
        <f>ROW()</f>
        <v>10</v>
      </c>
    </row>
    <row r="11" spans="2:18" ht="13.95" customHeight="1">
      <c r="B11" s="3532" t="s">
        <v>4660</v>
      </c>
      <c r="C11" s="3531"/>
      <c r="D11" s="2757"/>
      <c r="E11" s="2757"/>
      <c r="F11" s="2837">
        <f ca="1">Results!$G$14</f>
        <v>0.17767912522370133</v>
      </c>
      <c r="I11" s="2753"/>
      <c r="J11" s="2754"/>
      <c r="K11" s="2754"/>
      <c r="L11" s="2754"/>
      <c r="M11" s="2755"/>
      <c r="N11" s="1019">
        <f>ROW()</f>
        <v>11</v>
      </c>
    </row>
    <row r="12" spans="2:18" ht="13.95" customHeight="1">
      <c r="B12" s="2759"/>
      <c r="C12" s="902"/>
      <c r="D12" s="902"/>
      <c r="E12" s="902"/>
      <c r="F12" s="2736"/>
      <c r="I12" s="3999" t="s">
        <v>6111</v>
      </c>
      <c r="J12" s="3681"/>
      <c r="K12" s="3681"/>
      <c r="L12" s="3681"/>
      <c r="M12" s="3682"/>
      <c r="N12" s="1019">
        <f>ROW()</f>
        <v>12</v>
      </c>
    </row>
    <row r="13" spans="2:18" ht="13.95" customHeight="1">
      <c r="B13" s="4000" t="s">
        <v>4662</v>
      </c>
      <c r="C13" s="4001"/>
      <c r="D13" s="4001"/>
      <c r="E13" s="4002"/>
      <c r="F13" s="2760">
        <f ca="1">Results!D13</f>
        <v>1050</v>
      </c>
      <c r="I13" s="3680"/>
      <c r="J13" s="3681"/>
      <c r="K13" s="3681"/>
      <c r="L13" s="3681"/>
      <c r="M13" s="3682"/>
      <c r="N13" s="1019">
        <f>ROW()</f>
        <v>13</v>
      </c>
    </row>
    <row r="14" spans="2:18" ht="13.95" customHeight="1" thickBot="1">
      <c r="B14" s="4003"/>
      <c r="C14" s="4004"/>
      <c r="D14" s="4004"/>
      <c r="E14" s="4005"/>
      <c r="F14" s="2761" t="s">
        <v>4661</v>
      </c>
      <c r="I14" s="3683"/>
      <c r="J14" s="3684"/>
      <c r="K14" s="3684"/>
      <c r="L14" s="3684"/>
      <c r="M14" s="3685"/>
      <c r="N14" s="1019">
        <f>ROW()</f>
        <v>14</v>
      </c>
    </row>
    <row r="15" spans="2:18" ht="13.95" customHeight="1">
      <c r="J15"/>
      <c r="N15" s="1019">
        <f>ROW()</f>
        <v>15</v>
      </c>
    </row>
    <row r="16" spans="2:18" ht="13.95" customHeight="1" thickBot="1">
      <c r="D16" s="1389"/>
      <c r="E16" s="2070"/>
      <c r="F16" s="2059"/>
      <c r="G16" s="2059"/>
      <c r="H16" s="35"/>
      <c r="I16" s="35"/>
      <c r="J16" s="902"/>
      <c r="N16" s="1019">
        <f>ROW()</f>
        <v>16</v>
      </c>
    </row>
    <row r="17" spans="2:29" ht="13.95" customHeight="1" thickBot="1">
      <c r="D17" s="3969" t="s">
        <v>2188</v>
      </c>
      <c r="E17" s="3970"/>
      <c r="F17" s="3970"/>
      <c r="G17" s="3970"/>
      <c r="H17" s="3970"/>
      <c r="I17" s="3971"/>
      <c r="N17" s="1019">
        <f>ROW()</f>
        <v>17</v>
      </c>
      <c r="O17" s="3953" t="s">
        <v>4649</v>
      </c>
      <c r="P17" s="3954"/>
      <c r="Q17" s="3954"/>
      <c r="R17" s="3954"/>
      <c r="S17" s="3955"/>
      <c r="T17" s="2726"/>
    </row>
    <row r="18" spans="2:29" ht="13.95" customHeight="1" thickBot="1">
      <c r="D18" s="3972" t="str">
        <f>CONCATENATE("Calculations operate off plan chosen in 'Results' worksheet, Cell H",Results!M25, ".")</f>
        <v>Calculations operate off plan chosen in 'Results' worksheet, Cell H25.</v>
      </c>
      <c r="E18" s="3973"/>
      <c r="F18" s="3973"/>
      <c r="G18" s="3973"/>
      <c r="H18" s="3973"/>
      <c r="I18" s="3971"/>
      <c r="N18" s="1019">
        <f>ROW()</f>
        <v>18</v>
      </c>
    </row>
    <row r="19" spans="2:29" ht="13.95" customHeight="1">
      <c r="B19" s="3988" t="s">
        <v>1852</v>
      </c>
      <c r="C19" s="3989"/>
      <c r="D19" s="3974" t="s">
        <v>4667</v>
      </c>
      <c r="E19" s="3994" t="s">
        <v>4654</v>
      </c>
      <c r="F19" s="3964" t="s">
        <v>6364</v>
      </c>
      <c r="G19" s="3966" t="s">
        <v>6143</v>
      </c>
      <c r="H19" s="3966" t="s">
        <v>6142</v>
      </c>
      <c r="I19" s="3961" t="s">
        <v>6141</v>
      </c>
      <c r="J19" s="3956" t="s">
        <v>6108</v>
      </c>
      <c r="K19" s="3964" t="s">
        <v>6110</v>
      </c>
      <c r="L19" s="3997" t="s">
        <v>845</v>
      </c>
      <c r="M19" s="3998" t="s">
        <v>4656</v>
      </c>
      <c r="N19" s="1019">
        <f>ROW()</f>
        <v>19</v>
      </c>
      <c r="O19" s="3975" t="s">
        <v>4663</v>
      </c>
      <c r="P19" s="3950" t="s">
        <v>4664</v>
      </c>
      <c r="Q19" s="3950" t="s">
        <v>5924</v>
      </c>
      <c r="R19" s="3950" t="s">
        <v>4659</v>
      </c>
      <c r="S19" s="3950" t="s">
        <v>4665</v>
      </c>
    </row>
    <row r="20" spans="2:29" ht="13.95" customHeight="1">
      <c r="B20" s="3990"/>
      <c r="C20" s="3991"/>
      <c r="D20" s="3952"/>
      <c r="E20" s="3994"/>
      <c r="F20" s="3964"/>
      <c r="G20" s="3967"/>
      <c r="H20" s="3967"/>
      <c r="I20" s="3962"/>
      <c r="J20" s="3957"/>
      <c r="K20" s="3996"/>
      <c r="L20" s="3952"/>
      <c r="M20" s="3738"/>
      <c r="N20" s="1019">
        <f>ROW()</f>
        <v>20</v>
      </c>
      <c r="O20" s="3975"/>
      <c r="P20" s="3951"/>
      <c r="Q20" s="3951"/>
      <c r="R20" s="3951"/>
      <c r="S20" s="3951"/>
    </row>
    <row r="21" spans="2:29" ht="13.95" customHeight="1">
      <c r="B21" s="3990"/>
      <c r="C21" s="3991"/>
      <c r="D21" s="3952"/>
      <c r="E21" s="3994"/>
      <c r="F21" s="3964"/>
      <c r="G21" s="3967"/>
      <c r="H21" s="3967"/>
      <c r="I21" s="3962"/>
      <c r="J21" s="3958"/>
      <c r="K21" s="3996"/>
      <c r="L21" s="3952"/>
      <c r="M21" s="3738"/>
      <c r="N21" s="1019">
        <f>ROW()</f>
        <v>21</v>
      </c>
      <c r="O21" s="3975"/>
      <c r="P21" s="3951"/>
      <c r="Q21" s="3951"/>
      <c r="R21" s="3951"/>
      <c r="S21" s="3951"/>
    </row>
    <row r="22" spans="2:29" ht="13.95" customHeight="1">
      <c r="B22" s="3992"/>
      <c r="C22" s="3993"/>
      <c r="D22" s="3952"/>
      <c r="E22" s="3995"/>
      <c r="F22" s="3965"/>
      <c r="G22" s="3968"/>
      <c r="H22" s="3968"/>
      <c r="I22" s="3963"/>
      <c r="J22" s="3958"/>
      <c r="K22" s="3996"/>
      <c r="L22" s="3952"/>
      <c r="M22" s="3741"/>
      <c r="N22" s="1019">
        <f>ROW()</f>
        <v>22</v>
      </c>
      <c r="O22" s="3976"/>
      <c r="P22" s="3952"/>
      <c r="Q22" s="3952"/>
      <c r="R22" s="3952"/>
      <c r="S22" s="3952"/>
    </row>
    <row r="23" spans="2:29" ht="13.95" customHeight="1">
      <c r="B23" s="982"/>
      <c r="C23" s="902"/>
      <c r="D23" s="2069"/>
      <c r="E23" s="3977" t="s">
        <v>6107</v>
      </c>
      <c r="F23" s="3978"/>
      <c r="G23" s="3978"/>
      <c r="H23" s="3978"/>
      <c r="I23" s="3979"/>
      <c r="J23" s="3959"/>
      <c r="K23" s="902"/>
      <c r="L23" s="902"/>
      <c r="M23" s="902"/>
      <c r="N23" s="1019">
        <f>ROW()</f>
        <v>23</v>
      </c>
      <c r="O23" s="982"/>
      <c r="P23" s="2073"/>
      <c r="Q23" s="902"/>
      <c r="R23" s="902"/>
      <c r="S23" s="2473"/>
    </row>
    <row r="24" spans="2:29" ht="13.95" customHeight="1">
      <c r="B24" s="1285">
        <v>1</v>
      </c>
      <c r="C24" s="2048" t="s">
        <v>4493</v>
      </c>
      <c r="D24" s="1984" t="s">
        <v>3256</v>
      </c>
      <c r="E24" s="3980"/>
      <c r="F24" s="3981"/>
      <c r="G24" s="3981"/>
      <c r="H24" s="3981"/>
      <c r="I24" s="3982"/>
      <c r="J24" s="3960"/>
      <c r="K24" s="1287" t="s">
        <v>335</v>
      </c>
      <c r="L24" s="4018" t="s">
        <v>846</v>
      </c>
      <c r="M24" s="3941" t="s">
        <v>5800</v>
      </c>
      <c r="N24" s="1019">
        <f>ROW()</f>
        <v>24</v>
      </c>
      <c r="O24" s="1291"/>
      <c r="P24" s="2073"/>
      <c r="Q24" s="902"/>
      <c r="R24" s="35"/>
      <c r="S24" s="2473"/>
      <c r="T24" s="4016" t="s">
        <v>6080</v>
      </c>
      <c r="U24" s="4016"/>
      <c r="V24" s="4016"/>
      <c r="W24" s="4016"/>
      <c r="X24" s="4016"/>
      <c r="Y24" s="4016"/>
      <c r="Z24" s="4016"/>
      <c r="AA24" s="4016"/>
      <c r="AB24" s="4016"/>
      <c r="AC24" s="4017"/>
    </row>
    <row r="25" spans="2:29" ht="13.95" customHeight="1">
      <c r="B25" s="982"/>
      <c r="C25" s="1029"/>
      <c r="D25" s="3334" t="s">
        <v>3253</v>
      </c>
      <c r="E25" s="2740">
        <v>0</v>
      </c>
      <c r="F25" s="1290">
        <v>0</v>
      </c>
      <c r="G25" s="1290">
        <v>3</v>
      </c>
      <c r="H25" s="1290">
        <v>3</v>
      </c>
      <c r="I25" s="3335">
        <v>10</v>
      </c>
      <c r="J25" s="3170">
        <f>MAX(0.001,IF(Results!$H$25="Baseline",E25,IF(Results!$H$25="Baseline with $320M/yr cut in subway spending",F25,IF(Results!$H$25="Move NY Plan",G25,IF(Results!$H$25="Move NY Plan, modified",H25,I25)))))</f>
        <v>3</v>
      </c>
      <c r="K25" s="1287"/>
      <c r="L25" s="4018"/>
      <c r="M25" s="3949"/>
      <c r="N25" s="1019">
        <f>ROW()</f>
        <v>25</v>
      </c>
      <c r="O25" s="2762">
        <v>8</v>
      </c>
      <c r="P25" s="902"/>
      <c r="Q25" s="902"/>
      <c r="R25" s="1290">
        <v>3</v>
      </c>
      <c r="S25" s="2763" t="s">
        <v>4653</v>
      </c>
      <c r="T25" s="1994" t="s">
        <v>3252</v>
      </c>
      <c r="U25" s="1734"/>
      <c r="V25" s="1735"/>
      <c r="W25" s="1734"/>
      <c r="X25" s="1734"/>
      <c r="Y25" s="1734"/>
      <c r="Z25" s="1734"/>
      <c r="AA25" s="1734"/>
      <c r="AB25" s="1734"/>
      <c r="AC25" s="1736"/>
    </row>
    <row r="26" spans="2:29" ht="13.95" customHeight="1">
      <c r="B26" s="982"/>
      <c r="C26" s="4009" t="str">
        <f>CONCATENATE("Note: values shown here may be reduced, in practice, by 'downstream' provisions in Items ",$B$64," &amp; ",$B$72, ", or increased by Items ",$B$67," or ",$B$69,".")</f>
        <v>Note: values shown here may be reduced, in practice, by 'downstream' provisions in Items 10 &amp; 13, or increased by Items 11 or 12.</v>
      </c>
      <c r="D26" s="3336" t="s">
        <v>3264</v>
      </c>
      <c r="E26" s="2740">
        <v>0</v>
      </c>
      <c r="F26" s="1290">
        <v>0</v>
      </c>
      <c r="G26" s="1290">
        <v>7</v>
      </c>
      <c r="H26" s="1290">
        <v>7</v>
      </c>
      <c r="I26" s="3335">
        <v>10</v>
      </c>
      <c r="J26" s="1986">
        <f>MAX(0.001,IF(Results!$H$25="Baseline",E26,IF(Results!$H$25="Baseline with $320M/yr cut in subway spending",F26,IF(Results!$H$25="Move NY Plan",G26,IF(Results!$H$25="Move NY Plan, modified",H26,I26)))))</f>
        <v>7</v>
      </c>
      <c r="K26" s="1287"/>
      <c r="L26" s="4018"/>
      <c r="M26" s="3949"/>
      <c r="N26" s="1019">
        <f>ROW()</f>
        <v>26</v>
      </c>
      <c r="O26" s="2762">
        <v>0</v>
      </c>
      <c r="P26" s="902"/>
      <c r="Q26" s="902"/>
      <c r="R26" s="1290">
        <v>6</v>
      </c>
      <c r="S26" s="2473"/>
      <c r="T26" s="1995" t="s">
        <v>5956</v>
      </c>
      <c r="U26" s="1737"/>
      <c r="V26" s="1732"/>
      <c r="W26" s="1732"/>
      <c r="X26" s="1737"/>
      <c r="Y26" s="1737"/>
      <c r="Z26" s="1737"/>
      <c r="AA26" s="1737"/>
      <c r="AB26" s="1737"/>
      <c r="AC26" s="1738"/>
    </row>
    <row r="27" spans="2:29" ht="13.95" customHeight="1">
      <c r="B27" s="982"/>
      <c r="C27" s="3754"/>
      <c r="D27" s="3337" t="s">
        <v>3254</v>
      </c>
      <c r="E27" s="2740">
        <v>0</v>
      </c>
      <c r="F27" s="1290">
        <v>0</v>
      </c>
      <c r="G27" s="1290">
        <v>7</v>
      </c>
      <c r="H27" s="1290">
        <v>7</v>
      </c>
      <c r="I27" s="3335">
        <v>10</v>
      </c>
      <c r="J27" s="1986">
        <f>MAX(0.001,IF(Results!$H$25="Baseline",E27,IF(Results!$H$25="Baseline with $320M/yr cut in subway spending",F27,IF(Results!$H$25="Move NY Plan",G27,IF(Results!$H$25="Move NY Plan, modified",H27,I27)))))</f>
        <v>7</v>
      </c>
      <c r="K27" s="1287"/>
      <c r="L27" s="4018"/>
      <c r="M27" s="902"/>
      <c r="N27" s="1019">
        <f>ROW()</f>
        <v>27</v>
      </c>
      <c r="O27" s="2762">
        <v>8</v>
      </c>
      <c r="P27" s="902"/>
      <c r="Q27" s="902"/>
      <c r="R27" s="1290">
        <v>6</v>
      </c>
      <c r="S27" s="2473"/>
      <c r="T27" s="1733" t="str">
        <f>CONCATENATE("The tricky step is setting the toll levels in Rows ",N25, "-",N29, " (weekdays) and ",N32, "-",N36, " (weekends):")</f>
        <v>The tricky step is setting the toll levels in Rows 25-29 (weekdays) and 32-36 (weekends):</v>
      </c>
      <c r="U27" s="1733"/>
      <c r="V27" s="1733"/>
      <c r="W27" s="1733"/>
      <c r="X27" s="1737"/>
      <c r="Y27" s="1737"/>
      <c r="Z27" s="1737"/>
      <c r="AA27" s="1737"/>
      <c r="AB27" s="1737"/>
      <c r="AC27" s="1738"/>
    </row>
    <row r="28" spans="2:29" ht="13.95" customHeight="1">
      <c r="B28" s="982"/>
      <c r="C28" s="3754"/>
      <c r="D28" s="3338" t="s">
        <v>3255</v>
      </c>
      <c r="E28" s="2740">
        <v>0</v>
      </c>
      <c r="F28" s="1290">
        <v>0</v>
      </c>
      <c r="G28" s="1290">
        <v>9.5</v>
      </c>
      <c r="H28" s="1290">
        <v>9.5</v>
      </c>
      <c r="I28" s="3335">
        <v>10</v>
      </c>
      <c r="J28" s="1986">
        <f>MAX(0.001,IF(Results!$H$25="Baseline",E28,IF(Results!$H$25="Baseline with $320M/yr cut in subway spending",F28,IF(Results!$H$25="Move NY Plan",G28,IF(Results!$H$25="Move NY Plan, modified",H28,I28)))))</f>
        <v>9.5</v>
      </c>
      <c r="K28" s="1287"/>
      <c r="L28" s="4019"/>
      <c r="M28" s="3983" t="s">
        <v>4611</v>
      </c>
      <c r="N28" s="1019">
        <f>ROW()</f>
        <v>28</v>
      </c>
      <c r="O28" s="2762">
        <f>8*4/7</f>
        <v>4.5714285714285712</v>
      </c>
      <c r="P28" s="902"/>
      <c r="Q28" s="902"/>
      <c r="R28" s="1290">
        <v>9</v>
      </c>
      <c r="S28" s="2473"/>
      <c r="T28" s="4021" t="str">
        <f>CONCATENATE("If you want the tolls to apply 'round the clock on weekdays, set all five weekday tolls in Column K to twice the desired one-way East River bridge toll. This is because bridge tolls would be collected outbound as well as inbound,") &amp; CONCATENATE(" whereas the BTA charges tolls only on inbound trips. Ditto for weekends. The BTA automatically applies half of the East River bridge toll rate to all Harlem River bridges (you can change 'half' to any desired fraction or percent, via Cell H",N47, ").")</f>
        <v>If you want the tolls to apply 'round the clock on weekdays, set all five weekday tolls in Column K to twice the desired one-way East River bridge toll. This is because bridge tolls would be collected outbound as well as inbound, whereas the BTA charges tolls only on inbound trips. Ditto for weekends. The BTA automatically applies half of the East River bridge toll rate to all Harlem River bridges (you can change 'half' to any desired fraction or percent, via Cell H47).</v>
      </c>
      <c r="U28" s="3681"/>
      <c r="V28" s="3681"/>
      <c r="W28" s="3681"/>
      <c r="X28" s="3681"/>
      <c r="Y28" s="3681"/>
      <c r="Z28" s="3681"/>
      <c r="AA28" s="3681"/>
      <c r="AB28" s="3681"/>
      <c r="AC28" s="3682"/>
    </row>
    <row r="29" spans="2:29" ht="13.95" customHeight="1" thickBot="1">
      <c r="B29" s="982"/>
      <c r="C29" s="3659"/>
      <c r="D29" s="3339" t="s">
        <v>3268</v>
      </c>
      <c r="E29" s="2740">
        <v>1E-3</v>
      </c>
      <c r="F29" s="1290">
        <v>0</v>
      </c>
      <c r="G29" s="1290">
        <v>9.5</v>
      </c>
      <c r="H29" s="1290">
        <v>9.5</v>
      </c>
      <c r="I29" s="3335">
        <v>10</v>
      </c>
      <c r="J29" s="1986">
        <f>MAX(0.001,IF(Results!$H$25="Baseline",E29,IF(Results!$H$25="Baseline with $320M/yr cut in subway spending",F29,IF(Results!$H$25="Move NY Plan",G29,IF(Results!$H$25="Move NY Plan, modified",H29,I29)))))</f>
        <v>9.5</v>
      </c>
      <c r="K29" s="1287"/>
      <c r="L29" s="1288"/>
      <c r="M29" s="4020"/>
      <c r="N29" s="1019">
        <f>ROW()</f>
        <v>29</v>
      </c>
      <c r="O29" s="2762">
        <v>8</v>
      </c>
      <c r="P29" s="902"/>
      <c r="Q29" s="902"/>
      <c r="R29" s="1290">
        <v>9</v>
      </c>
      <c r="S29" s="2473"/>
      <c r="T29" s="3680"/>
      <c r="U29" s="3681"/>
      <c r="V29" s="3681"/>
      <c r="W29" s="3681"/>
      <c r="X29" s="3681"/>
      <c r="Y29" s="3681"/>
      <c r="Z29" s="3681"/>
      <c r="AA29" s="3681"/>
      <c r="AB29" s="3681"/>
      <c r="AC29" s="3682"/>
    </row>
    <row r="30" spans="2:29" ht="13.95" customHeight="1">
      <c r="B30" s="982"/>
      <c r="C30" s="902"/>
      <c r="D30" s="1285"/>
      <c r="E30" s="4010" t="str">
        <f>CONCATENATE("Note: Formulas for Cells J",N25, "-J",N36, " use 'max' algorithm to ensure toll is non-zero (i.e., at least $0.001) to prevent instability in 'Incidence' tab.")</f>
        <v>Note: Formulas for Cells J25-J36 use 'max' algorithm to ensure toll is non-zero (i.e., at least $0.001) to prevent instability in 'Incidence' tab.</v>
      </c>
      <c r="F30" s="4011"/>
      <c r="G30" s="4011"/>
      <c r="H30" s="4011"/>
      <c r="I30" s="4012"/>
      <c r="J30" s="1985"/>
      <c r="K30" s="1287"/>
      <c r="L30" s="1288"/>
      <c r="M30" s="902"/>
      <c r="N30" s="1019">
        <f>ROW()</f>
        <v>30</v>
      </c>
      <c r="O30" s="1291"/>
      <c r="P30" s="902"/>
      <c r="Q30" s="902"/>
      <c r="R30" s="35"/>
      <c r="S30" s="2473"/>
      <c r="T30" s="3680"/>
      <c r="U30" s="3681"/>
      <c r="V30" s="3681"/>
      <c r="W30" s="3681"/>
      <c r="X30" s="3681"/>
      <c r="Y30" s="3681"/>
      <c r="Z30" s="3681"/>
      <c r="AA30" s="3681"/>
      <c r="AB30" s="3681"/>
      <c r="AC30" s="3682"/>
    </row>
    <row r="31" spans="2:29" ht="13.95" customHeight="1">
      <c r="B31" s="1285">
        <f>B24+1</f>
        <v>2</v>
      </c>
      <c r="C31" s="2048" t="s">
        <v>4494</v>
      </c>
      <c r="D31" s="1984" t="s">
        <v>3257</v>
      </c>
      <c r="E31" s="4013"/>
      <c r="F31" s="4014"/>
      <c r="G31" s="4014"/>
      <c r="H31" s="4014"/>
      <c r="I31" s="4015"/>
      <c r="J31" s="1985"/>
      <c r="K31" s="1287" t="s">
        <v>335</v>
      </c>
      <c r="L31" s="4018" t="s">
        <v>2564</v>
      </c>
      <c r="M31" s="3941" t="s">
        <v>5801</v>
      </c>
      <c r="N31" s="1019">
        <f>ROW()</f>
        <v>31</v>
      </c>
      <c r="O31" s="1291"/>
      <c r="P31" s="902"/>
      <c r="Q31" s="902"/>
      <c r="R31" s="35"/>
      <c r="S31" s="2473"/>
      <c r="T31" s="4021" t="s">
        <v>5931</v>
      </c>
      <c r="U31" s="4022"/>
      <c r="V31" s="4022"/>
      <c r="W31" s="4022"/>
      <c r="X31" s="4022"/>
      <c r="Y31" s="4022"/>
      <c r="Z31" s="4022"/>
      <c r="AA31" s="4022"/>
      <c r="AB31" s="4022"/>
      <c r="AC31" s="4023"/>
    </row>
    <row r="32" spans="2:29" ht="13.95" customHeight="1">
      <c r="B32" s="982"/>
      <c r="C32" s="1029"/>
      <c r="D32" s="3334" t="s">
        <v>3258</v>
      </c>
      <c r="E32" s="2740">
        <v>0</v>
      </c>
      <c r="F32" s="1290">
        <v>0</v>
      </c>
      <c r="G32" s="1290">
        <v>5</v>
      </c>
      <c r="H32" s="1290">
        <v>5</v>
      </c>
      <c r="I32" s="3335">
        <v>10</v>
      </c>
      <c r="J32" s="1986">
        <f>MAX(0.001,IF(Results!$H$25="Baseline",E32,IF(Results!$H$25="Baseline with $320M/yr cut in subway spending",F32,IF(Results!$H$25="Move NY Plan",G32,IF(Results!$H$25="Move NY Plan, modified",H32,I32)))))</f>
        <v>5</v>
      </c>
      <c r="K32" s="1287"/>
      <c r="L32" s="4018"/>
      <c r="M32" s="3949"/>
      <c r="N32" s="1019">
        <f>ROW()</f>
        <v>32</v>
      </c>
      <c r="O32" s="2762">
        <v>0</v>
      </c>
      <c r="P32" s="902"/>
      <c r="Q32" s="902"/>
      <c r="R32" s="1290">
        <v>2</v>
      </c>
      <c r="S32" s="2473"/>
      <c r="T32" s="4024"/>
      <c r="U32" s="4022"/>
      <c r="V32" s="4022"/>
      <c r="W32" s="4022"/>
      <c r="X32" s="4022"/>
      <c r="Y32" s="4022"/>
      <c r="Z32" s="4022"/>
      <c r="AA32" s="4022"/>
      <c r="AB32" s="4022"/>
      <c r="AC32" s="4023"/>
    </row>
    <row r="33" spans="2:29" ht="13.95" customHeight="1">
      <c r="B33" s="982"/>
      <c r="C33" s="4009" t="str">
        <f>CONCATENATE("Note: values shown here may be reduced, in practice, by 'downstream' provisions in Items ",$B$64," &amp; ",$B$72, ", or increased by Items ",$B$67," or ",$B$69,".")</f>
        <v>Note: values shown here may be reduced, in practice, by 'downstream' provisions in Items 10 &amp; 13, or increased by Items 11 or 12.</v>
      </c>
      <c r="D33" s="3336" t="s">
        <v>3259</v>
      </c>
      <c r="E33" s="2740">
        <v>0</v>
      </c>
      <c r="F33" s="1290">
        <v>0</v>
      </c>
      <c r="G33" s="1290">
        <v>5</v>
      </c>
      <c r="H33" s="1290">
        <v>5</v>
      </c>
      <c r="I33" s="3335">
        <v>10</v>
      </c>
      <c r="J33" s="1986">
        <f>MAX(0.001,IF(Results!$H$25="Baseline",E33,IF(Results!$H$25="Baseline with $320M/yr cut in subway spending",F33,IF(Results!$H$25="Move NY Plan",G33,IF(Results!$H$25="Move NY Plan, modified",H33,I33)))))</f>
        <v>5</v>
      </c>
      <c r="K33" s="1287"/>
      <c r="L33" s="4018"/>
      <c r="M33" s="3949"/>
      <c r="N33" s="1019">
        <f>ROW()</f>
        <v>33</v>
      </c>
      <c r="O33" s="2762">
        <v>0</v>
      </c>
      <c r="P33" s="902"/>
      <c r="Q33" s="902"/>
      <c r="R33" s="1290">
        <v>3</v>
      </c>
      <c r="S33" s="2473"/>
      <c r="T33" s="1733" t="str">
        <f>CONCATENATE("Now re-set Row ",N42, " in Col. H to BRIDGES (for tolls on East + Harlem Riv. bridges) or to EAST if only tolling E. River bridges.")</f>
        <v>Now re-set Row 42 in Col. H to BRIDGES (for tolls on East + Harlem Riv. bridges) or to EAST if only tolling E. River bridges.</v>
      </c>
      <c r="U33" s="1737"/>
      <c r="V33" s="1737"/>
      <c r="W33" s="1737"/>
      <c r="X33" s="1737"/>
      <c r="Y33" s="1737"/>
      <c r="Z33" s="1737"/>
      <c r="AA33" s="1737"/>
      <c r="AB33" s="1737"/>
      <c r="AC33" s="1738"/>
    </row>
    <row r="34" spans="2:29" ht="13.95" customHeight="1">
      <c r="B34" s="982"/>
      <c r="C34" s="3754"/>
      <c r="D34" s="2642" t="s">
        <v>3260</v>
      </c>
      <c r="E34" s="2740">
        <v>0</v>
      </c>
      <c r="F34" s="1290">
        <v>0</v>
      </c>
      <c r="G34" s="1290">
        <v>5</v>
      </c>
      <c r="H34" s="1290">
        <v>5</v>
      </c>
      <c r="I34" s="3335">
        <v>10</v>
      </c>
      <c r="J34" s="1986">
        <f>MAX(0.001,IF(Results!$H$25="Baseline",E34,IF(Results!$H$25="Baseline with $320M/yr cut in subway spending",F34,IF(Results!$H$25="Move NY Plan",G34,IF(Results!$H$25="Move NY Plan, modified",H34,I34)))))</f>
        <v>5</v>
      </c>
      <c r="K34" s="1287"/>
      <c r="L34" s="4018"/>
      <c r="M34" s="902"/>
      <c r="N34" s="1019">
        <f>ROW()</f>
        <v>34</v>
      </c>
      <c r="O34" s="2762">
        <v>0</v>
      </c>
      <c r="P34" s="902"/>
      <c r="Q34" s="902"/>
      <c r="R34" s="1290">
        <v>4</v>
      </c>
      <c r="S34" s="2473"/>
      <c r="T34" s="1733" t="str">
        <f>CONCATENATE("Also set Row ",N69, " in Col. H to 2, to indicate that average truck tolls will be double car tolls. (Or, pick your own factor.)")</f>
        <v>Also set Row 69 in Col. H to 2, to indicate that average truck tolls will be double car tolls. (Or, pick your own factor.)</v>
      </c>
      <c r="U34" s="1737"/>
      <c r="V34" s="1737"/>
      <c r="W34" s="1737"/>
      <c r="X34" s="1737"/>
      <c r="Y34" s="1737"/>
      <c r="Z34" s="1737"/>
      <c r="AA34" s="1737"/>
      <c r="AB34" s="1737"/>
      <c r="AC34" s="1738"/>
    </row>
    <row r="35" spans="2:29" ht="13.95" customHeight="1">
      <c r="B35" s="982"/>
      <c r="C35" s="3754"/>
      <c r="D35" s="3338" t="s">
        <v>3261</v>
      </c>
      <c r="E35" s="2740">
        <v>0</v>
      </c>
      <c r="F35" s="1290">
        <v>0</v>
      </c>
      <c r="G35" s="1290">
        <v>5</v>
      </c>
      <c r="H35" s="1290">
        <v>5</v>
      </c>
      <c r="I35" s="3335">
        <v>10</v>
      </c>
      <c r="J35" s="1986">
        <f>MAX(0.001,IF(Results!$H$25="Baseline",E35,IF(Results!$H$25="Baseline with $320M/yr cut in subway spending",F35,IF(Results!$H$25="Move NY Plan",G35,IF(Results!$H$25="Move NY Plan, modified",H35,I35)))))</f>
        <v>5</v>
      </c>
      <c r="K35" s="1287"/>
      <c r="L35" s="4019"/>
      <c r="M35" s="3983" t="s">
        <v>4612</v>
      </c>
      <c r="N35" s="1019">
        <f>ROW()</f>
        <v>35</v>
      </c>
      <c r="O35" s="2762">
        <v>0</v>
      </c>
      <c r="P35" s="902"/>
      <c r="Q35" s="902"/>
      <c r="R35" s="1290">
        <v>4</v>
      </c>
      <c r="S35" s="2473"/>
      <c r="T35" s="1733" t="str">
        <f>CONCATENATE("Finally, go to previous worksheet, 'Results', and enter the number 1 in the choice box in Row ",Results!M25, ".")</f>
        <v>Finally, go to previous worksheet, 'Results', and enter the number 1 in the choice box in Row 25.</v>
      </c>
      <c r="U35" s="1733"/>
      <c r="V35" s="1733"/>
      <c r="W35" s="1733"/>
      <c r="X35" s="1737"/>
      <c r="Y35" s="1737"/>
      <c r="Z35" s="1737"/>
      <c r="AA35" s="1737"/>
      <c r="AB35" s="1737"/>
      <c r="AC35" s="1738"/>
    </row>
    <row r="36" spans="2:29" ht="13.95" customHeight="1">
      <c r="B36" s="982"/>
      <c r="C36" s="3659"/>
      <c r="D36" s="1289"/>
      <c r="E36" s="2740" t="s">
        <v>2417</v>
      </c>
      <c r="F36" s="1290" t="s">
        <v>2417</v>
      </c>
      <c r="G36" s="1290" t="s">
        <v>2417</v>
      </c>
      <c r="H36" s="2946" t="s">
        <v>2417</v>
      </c>
      <c r="I36" s="3346" t="s">
        <v>2417</v>
      </c>
      <c r="J36" s="1986" t="str">
        <f>IF(Results!$H$25="Baseline",E36,IF(Results!$H$25="Baseline with $320M/yr cut in subway spending",F36,IF(Results!$H$25="Move NY Plan",G36,IF(Results!$H$25="Move NY Plan, modified",H36,I36))))</f>
        <v>NA</v>
      </c>
      <c r="K36" s="1287"/>
      <c r="L36" s="4019"/>
      <c r="M36" s="4020"/>
      <c r="N36" s="1019">
        <f>ROW()</f>
        <v>36</v>
      </c>
      <c r="O36" s="2762">
        <v>0</v>
      </c>
      <c r="P36" s="902"/>
      <c r="Q36" s="902"/>
      <c r="R36" s="1290" t="s">
        <v>2417</v>
      </c>
      <c r="S36" s="2473"/>
      <c r="T36" s="1996" t="s">
        <v>2789</v>
      </c>
      <c r="U36" s="1739"/>
      <c r="V36" s="1740"/>
      <c r="W36" s="1740"/>
      <c r="X36" s="1741"/>
      <c r="Y36" s="1741"/>
      <c r="Z36" s="1742"/>
      <c r="AA36" s="1742"/>
      <c r="AB36" s="1742"/>
      <c r="AC36" s="1743"/>
    </row>
    <row r="37" spans="2:29" ht="13.95" customHeight="1">
      <c r="B37" s="982"/>
      <c r="C37" s="3471"/>
      <c r="D37" s="1289"/>
      <c r="E37" s="2740"/>
      <c r="F37" s="1290"/>
      <c r="G37" s="1290"/>
      <c r="H37" s="2946"/>
      <c r="I37" s="3346"/>
      <c r="J37" s="1986"/>
      <c r="K37" s="1287"/>
      <c r="L37" s="3475"/>
      <c r="M37" s="3476"/>
      <c r="N37" s="1019">
        <f>ROW()</f>
        <v>37</v>
      </c>
      <c r="O37" s="2762"/>
      <c r="P37" s="902"/>
      <c r="Q37" s="902"/>
      <c r="R37" s="1290"/>
      <c r="S37" s="2473"/>
      <c r="T37" s="1733"/>
      <c r="U37" s="3486"/>
      <c r="V37" s="3487"/>
      <c r="W37" s="3487"/>
      <c r="X37" s="3488"/>
      <c r="Y37" s="3488"/>
      <c r="Z37" s="1737"/>
      <c r="AA37" s="1737"/>
      <c r="AB37" s="1737"/>
      <c r="AC37" s="1737"/>
    </row>
    <row r="38" spans="2:29" ht="13.95" customHeight="1">
      <c r="B38" s="1285">
        <f>B31+1</f>
        <v>3</v>
      </c>
      <c r="C38" s="2048" t="s">
        <v>6081</v>
      </c>
      <c r="D38" s="1289"/>
      <c r="E38" s="3489">
        <v>1</v>
      </c>
      <c r="F38" s="3490">
        <v>1</v>
      </c>
      <c r="G38" s="3490">
        <v>1</v>
      </c>
      <c r="H38" s="3490">
        <v>1</v>
      </c>
      <c r="I38" s="3491">
        <v>2</v>
      </c>
      <c r="J38" s="3492">
        <f>IF(Results!$H$25="Baseline",E38,IF(Results!$H$25="Baseline with $320M/yr cut in subway spending",F38,IF(Results!$H$25="Move NY Plan",G38,IF(Results!$H$25="Move NY Plan, modified",H38,I38))))</f>
        <v>1</v>
      </c>
      <c r="K38" s="3479" t="s">
        <v>2308</v>
      </c>
      <c r="L38" s="3475"/>
      <c r="M38" s="3941" t="s">
        <v>6104</v>
      </c>
      <c r="N38" s="1019">
        <f>ROW()</f>
        <v>38</v>
      </c>
      <c r="O38" s="2762"/>
      <c r="P38" s="902"/>
      <c r="Q38" s="902"/>
      <c r="R38" s="1290"/>
      <c r="S38" s="2473"/>
      <c r="T38" s="1733"/>
      <c r="U38" s="3486"/>
      <c r="V38" s="3487"/>
      <c r="W38" s="3487"/>
      <c r="X38" s="3488"/>
      <c r="Y38" s="3488"/>
      <c r="Z38" s="1737"/>
      <c r="AA38" s="1737"/>
      <c r="AB38" s="1737"/>
      <c r="AC38" s="1737"/>
    </row>
    <row r="39" spans="2:29" ht="13.95" customHeight="1">
      <c r="B39" s="982"/>
      <c r="C39" s="3926" t="str">
        <f>CONCATENATE("Note: Toll shown in Items ",B24, " &amp; ",B31, " applies to entire (round) trip.")</f>
        <v>Note: Toll shown in Items 1 &amp; 2 applies to entire (round) trip.</v>
      </c>
      <c r="D39" s="1289"/>
      <c r="E39" s="2740"/>
      <c r="F39" s="1290"/>
      <c r="G39" s="1290"/>
      <c r="H39" s="2946"/>
      <c r="I39" s="3346"/>
      <c r="J39" s="1986"/>
      <c r="K39" s="1287"/>
      <c r="L39" s="3475"/>
      <c r="M39" s="3949"/>
      <c r="N39" s="1019">
        <f>ROW()</f>
        <v>39</v>
      </c>
      <c r="O39" s="2762"/>
      <c r="P39" s="902"/>
      <c r="Q39" s="902"/>
      <c r="R39" s="1290"/>
      <c r="S39" s="2473"/>
      <c r="T39" s="1733"/>
      <c r="U39" s="3486"/>
      <c r="V39" s="3487"/>
      <c r="W39" s="3487"/>
      <c r="X39" s="3488"/>
      <c r="Y39" s="3488"/>
      <c r="Z39" s="1737"/>
      <c r="AA39" s="1737"/>
      <c r="AB39" s="1737"/>
      <c r="AC39" s="1737"/>
    </row>
    <row r="40" spans="2:29" ht="13.95" customHeight="1">
      <c r="B40" s="982"/>
      <c r="C40" s="3659"/>
      <c r="D40" s="1289"/>
      <c r="E40" s="2740"/>
      <c r="F40" s="1290"/>
      <c r="G40" s="1290"/>
      <c r="H40" s="2946"/>
      <c r="I40" s="3346"/>
      <c r="J40" s="1986"/>
      <c r="K40" s="1287"/>
      <c r="L40" s="3475"/>
      <c r="M40" s="3949"/>
      <c r="N40" s="1019">
        <f>ROW()</f>
        <v>40</v>
      </c>
      <c r="O40" s="2762"/>
      <c r="P40" s="902"/>
      <c r="Q40" s="902"/>
      <c r="R40" s="1290"/>
      <c r="S40" s="2473"/>
      <c r="T40" s="1733"/>
      <c r="U40" s="3486"/>
      <c r="V40" s="3487"/>
      <c r="W40" s="3487"/>
      <c r="X40" s="3488"/>
      <c r="Y40" s="3488"/>
      <c r="Z40" s="1737"/>
      <c r="AA40" s="1737"/>
      <c r="AB40" s="1737"/>
      <c r="AC40" s="1737"/>
    </row>
    <row r="41" spans="2:29" ht="13.95" customHeight="1">
      <c r="B41" s="982"/>
      <c r="C41" s="1292"/>
      <c r="D41" s="1293"/>
      <c r="E41" s="2740"/>
      <c r="F41" s="1290"/>
      <c r="G41" s="1290"/>
      <c r="H41" s="1290"/>
      <c r="I41" s="3335"/>
      <c r="J41" s="1985"/>
      <c r="K41" s="1287"/>
      <c r="L41" s="1288"/>
      <c r="M41" s="902"/>
      <c r="N41" s="1019">
        <f>ROW()</f>
        <v>41</v>
      </c>
      <c r="O41" s="2762"/>
      <c r="P41" s="902"/>
      <c r="Q41" s="902"/>
      <c r="R41" s="1290"/>
      <c r="S41" s="2473"/>
    </row>
    <row r="42" spans="2:29" ht="13.95" customHeight="1">
      <c r="B42" s="1285">
        <f>B38+1</f>
        <v>4</v>
      </c>
      <c r="C42" s="3983" t="s">
        <v>6002</v>
      </c>
      <c r="D42" s="1289" t="s">
        <v>1339</v>
      </c>
      <c r="E42" s="2741" t="s">
        <v>2041</v>
      </c>
      <c r="F42" s="1287" t="s">
        <v>2041</v>
      </c>
      <c r="G42" s="1287" t="s">
        <v>2041</v>
      </c>
      <c r="H42" s="1287" t="s">
        <v>2041</v>
      </c>
      <c r="I42" s="3340" t="s">
        <v>2041</v>
      </c>
      <c r="J42" s="1986" t="str">
        <f>IF(Results!$H$25="Baseline",E42,IF(Results!$H$25="Baseline with $320M/yr cut in subway spending",F42,IF(Results!$H$25="Move NY Plan",G42,IF(Results!$H$25="Move NY Plan, modified",H42,I42))))</f>
        <v>CORDON</v>
      </c>
      <c r="K42" s="1287" t="s">
        <v>1640</v>
      </c>
      <c r="L42" s="4032" t="str">
        <f>CONCATENATE("Box in Column M, Row ",'Motor Vs'!O268,"")</f>
        <v>Box in Column M, Row 268</v>
      </c>
      <c r="M42" s="3941" t="s">
        <v>4657</v>
      </c>
      <c r="N42" s="1019">
        <f>ROW()</f>
        <v>42</v>
      </c>
      <c r="O42" s="1294" t="s">
        <v>2041</v>
      </c>
      <c r="P42" s="902"/>
      <c r="Q42" s="902"/>
      <c r="R42" s="1287" t="s">
        <v>2041</v>
      </c>
      <c r="S42" s="2473"/>
    </row>
    <row r="43" spans="2:29" ht="13.95" customHeight="1">
      <c r="B43" s="982"/>
      <c r="C43" s="3983"/>
      <c r="D43" s="2728" t="s">
        <v>2041</v>
      </c>
      <c r="E43" s="3935" t="str">
        <f>CONCATENATE("Note: The BTA assumes tolls are charged in-bound only. To model bridge tolls charged in each direction, rather than a one-way-only cordon toll, user should input double the intended each-way toll amount in the arrays in Rows ",N25, "-",N36,".")</f>
        <v>Note: The BTA assumes tolls are charged in-bound only. To model bridge tolls charged in each direction, rather than a one-way-only cordon toll, user should input double the intended each-way toll amount in the arrays in Rows 25-36.</v>
      </c>
      <c r="F43" s="3936"/>
      <c r="G43" s="3936"/>
      <c r="H43" s="3936"/>
      <c r="I43" s="3776"/>
      <c r="J43" s="1985"/>
      <c r="K43" s="902"/>
      <c r="L43" s="4033"/>
      <c r="M43" s="3949"/>
      <c r="N43" s="1019">
        <f>ROW()</f>
        <v>43</v>
      </c>
      <c r="O43" s="982"/>
      <c r="P43" s="902"/>
      <c r="Q43" s="902"/>
      <c r="R43" s="902"/>
      <c r="S43" s="2473"/>
    </row>
    <row r="44" spans="2:29" ht="13.95" customHeight="1">
      <c r="B44" s="982"/>
      <c r="C44" s="2048"/>
      <c r="D44" s="2729" t="s">
        <v>2042</v>
      </c>
      <c r="E44" s="3937"/>
      <c r="F44" s="3938"/>
      <c r="G44" s="3938"/>
      <c r="H44" s="3938"/>
      <c r="I44" s="3922"/>
      <c r="J44" s="1985"/>
      <c r="K44" s="902"/>
      <c r="L44" s="4033"/>
      <c r="M44" s="3949"/>
      <c r="N44" s="1019">
        <f>ROW()</f>
        <v>44</v>
      </c>
      <c r="O44" s="982"/>
      <c r="P44" s="902"/>
      <c r="Q44" s="902"/>
      <c r="R44" s="902"/>
      <c r="S44" s="2473"/>
    </row>
    <row r="45" spans="2:29" ht="13.95" customHeight="1">
      <c r="B45" s="982"/>
      <c r="C45" s="1292"/>
      <c r="D45" s="2730" t="s">
        <v>294</v>
      </c>
      <c r="E45" s="3939"/>
      <c r="F45" s="3940"/>
      <c r="G45" s="3940"/>
      <c r="H45" s="3940"/>
      <c r="I45" s="3777"/>
      <c r="J45" s="1985"/>
      <c r="K45" s="902"/>
      <c r="L45" s="87"/>
      <c r="M45" s="3796"/>
      <c r="N45" s="1019">
        <f>ROW()</f>
        <v>45</v>
      </c>
      <c r="O45" s="982"/>
      <c r="P45" s="902"/>
      <c r="Q45" s="902"/>
      <c r="R45" s="902"/>
      <c r="S45" s="2473"/>
    </row>
    <row r="46" spans="2:29" ht="13.95" customHeight="1">
      <c r="B46" s="982"/>
      <c r="C46" s="3432"/>
      <c r="D46" s="3341"/>
      <c r="E46" s="3443"/>
      <c r="F46" s="1716"/>
      <c r="G46" s="1716"/>
      <c r="H46" s="1716"/>
      <c r="I46" s="3430"/>
      <c r="J46" s="1985"/>
      <c r="K46" s="902"/>
      <c r="L46" s="3431"/>
      <c r="M46" s="3429"/>
      <c r="N46" s="1019">
        <f>ROW()</f>
        <v>46</v>
      </c>
      <c r="O46" s="982"/>
      <c r="P46" s="902"/>
      <c r="Q46" s="902"/>
      <c r="R46" s="902"/>
      <c r="S46" s="2473"/>
    </row>
    <row r="47" spans="2:29" ht="13.95" customHeight="1">
      <c r="B47" s="1285">
        <f>B42+1</f>
        <v>5</v>
      </c>
      <c r="C47" s="3983" t="s">
        <v>6013</v>
      </c>
      <c r="D47" s="1289" t="s">
        <v>1339</v>
      </c>
      <c r="E47" s="2743">
        <v>0</v>
      </c>
      <c r="F47" s="2860">
        <v>0</v>
      </c>
      <c r="G47" s="2860">
        <v>0.5</v>
      </c>
      <c r="H47" s="2860">
        <v>0.5</v>
      </c>
      <c r="I47" s="3343">
        <v>0</v>
      </c>
      <c r="J47" s="2075">
        <f>IF(Results!$H$25="Baseline",E47,IF(Results!$H$25="Baseline with $320M/yr cut in subway spending",F47,IF(Results!$H$25="Move NY Plan",G47,IF(Results!$H$25="Move NY Plan, modified",H47,I47))))</f>
        <v>0.5</v>
      </c>
      <c r="K47" s="3943" t="s">
        <v>5509</v>
      </c>
      <c r="L47" s="1287" t="str">
        <f>CONCATENATE("Row ",'River Crossings'!O20,)</f>
        <v>Row 20</v>
      </c>
      <c r="M47" s="3941" t="s">
        <v>6014</v>
      </c>
      <c r="N47" s="1019">
        <f>ROW()</f>
        <v>47</v>
      </c>
      <c r="O47" s="2765">
        <v>0</v>
      </c>
      <c r="P47" s="902"/>
      <c r="Q47" s="902"/>
      <c r="R47" s="902"/>
      <c r="S47" s="2473"/>
    </row>
    <row r="48" spans="2:29" ht="13.95" customHeight="1">
      <c r="B48" s="982"/>
      <c r="C48" s="3983"/>
      <c r="D48" s="3344" t="s">
        <v>6015</v>
      </c>
      <c r="E48" s="3945" t="str">
        <f>CONCATENATE("Above percents apply only if BRIDGES or EAST selected in Row ",N42,".")</f>
        <v>Above percents apply only if BRIDGES or EAST selected in Row 42.</v>
      </c>
      <c r="F48" s="3946"/>
      <c r="G48" s="3946"/>
      <c r="H48" s="3946"/>
      <c r="I48" s="3947"/>
      <c r="J48" s="3537"/>
      <c r="K48" s="3944"/>
      <c r="L48" s="3431"/>
      <c r="M48" s="3941"/>
      <c r="N48" s="1019">
        <f>ROW()</f>
        <v>48</v>
      </c>
      <c r="O48" s="982"/>
      <c r="P48" s="902"/>
      <c r="Q48" s="902"/>
      <c r="R48" s="902"/>
      <c r="S48" s="2473"/>
    </row>
    <row r="49" spans="2:19" ht="13.95" customHeight="1">
      <c r="B49" s="982"/>
      <c r="C49" s="1292"/>
      <c r="D49" s="1293"/>
      <c r="E49" s="2739"/>
      <c r="F49" s="902"/>
      <c r="G49" s="902"/>
      <c r="H49" s="902"/>
      <c r="I49" s="2734"/>
      <c r="J49" s="1985"/>
      <c r="K49" s="902"/>
      <c r="L49" s="1287"/>
      <c r="N49" s="1019">
        <f>ROW()</f>
        <v>49</v>
      </c>
      <c r="O49" s="982"/>
      <c r="P49" s="902"/>
      <c r="Q49" s="902"/>
      <c r="R49" s="902"/>
      <c r="S49" s="2473"/>
    </row>
    <row r="50" spans="2:19" ht="13.95" customHeight="1">
      <c r="B50" s="1285">
        <f>B47+1</f>
        <v>6</v>
      </c>
      <c r="C50" s="3983" t="s">
        <v>5927</v>
      </c>
      <c r="D50" s="1289" t="s">
        <v>1339</v>
      </c>
      <c r="E50" s="2741" t="s">
        <v>2128</v>
      </c>
      <c r="F50" s="1287" t="s">
        <v>2128</v>
      </c>
      <c r="G50" s="1287" t="s">
        <v>2128</v>
      </c>
      <c r="H50" s="1287" t="s">
        <v>2128</v>
      </c>
      <c r="I50" s="3340" t="s">
        <v>2128</v>
      </c>
      <c r="J50" s="3442" t="str">
        <f>IF(Results!$H$25="Baseline",E50,IF(Results!$H$25="Baseline with $320M/yr cut in subway spending",F50,IF(Results!$H$25="Move NY Plan",G50,IF(Results!$H$25="Move NY Plan, modified",H50,I50))))</f>
        <v>INCREMENT</v>
      </c>
      <c r="K50" s="1287" t="s">
        <v>1640</v>
      </c>
      <c r="L50" s="4032" t="str">
        <f>CONCATENATE("Box in Column L, Row ",'Motor Vs'!O271,"")</f>
        <v>Box in Column L, Row 271</v>
      </c>
      <c r="M50" s="3942" t="s">
        <v>3508</v>
      </c>
      <c r="N50" s="1019">
        <f>ROW()</f>
        <v>50</v>
      </c>
      <c r="O50" s="1293" t="s">
        <v>1338</v>
      </c>
      <c r="P50" s="902"/>
      <c r="Q50" s="902"/>
      <c r="R50" s="1287" t="s">
        <v>2128</v>
      </c>
      <c r="S50" s="2473"/>
    </row>
    <row r="51" spans="2:19" ht="13.95" customHeight="1">
      <c r="B51" s="982"/>
      <c r="C51" s="3983"/>
      <c r="D51" s="3341" t="s">
        <v>2128</v>
      </c>
      <c r="E51" s="2742"/>
      <c r="F51" s="13"/>
      <c r="G51" s="13"/>
      <c r="H51" s="13"/>
      <c r="I51" s="3342"/>
      <c r="J51" s="1985"/>
      <c r="K51" s="902"/>
      <c r="L51" s="4033"/>
      <c r="M51" s="3949"/>
      <c r="N51" s="1019">
        <f>ROW()</f>
        <v>51</v>
      </c>
      <c r="O51" s="2764"/>
      <c r="P51" s="13"/>
      <c r="Q51" s="902"/>
      <c r="R51" s="13"/>
      <c r="S51" s="2473"/>
    </row>
    <row r="52" spans="2:19" ht="13.95" customHeight="1">
      <c r="B52" s="982"/>
      <c r="C52" s="2048"/>
      <c r="D52" s="3341" t="s">
        <v>1338</v>
      </c>
      <c r="E52" s="2742"/>
      <c r="F52" s="13"/>
      <c r="G52" s="13"/>
      <c r="H52" s="13"/>
      <c r="I52" s="3342"/>
      <c r="J52" s="1985"/>
      <c r="K52" s="902"/>
      <c r="L52" s="4033"/>
      <c r="M52" s="3949"/>
      <c r="N52" s="1019">
        <f>ROW()</f>
        <v>52</v>
      </c>
      <c r="O52" s="2764"/>
      <c r="P52" s="13"/>
      <c r="Q52" s="902"/>
      <c r="R52" s="13"/>
      <c r="S52" s="2473"/>
    </row>
    <row r="53" spans="2:19" ht="13.95" customHeight="1">
      <c r="B53" s="982"/>
      <c r="C53" s="902"/>
      <c r="D53" s="1293"/>
      <c r="E53" s="2739"/>
      <c r="F53" s="902"/>
      <c r="G53" s="902"/>
      <c r="H53" s="902"/>
      <c r="I53" s="3343"/>
      <c r="J53" s="1985"/>
      <c r="K53" s="902"/>
      <c r="L53" s="1287"/>
      <c r="N53" s="1019">
        <f>ROW()</f>
        <v>53</v>
      </c>
      <c r="O53" s="982"/>
      <c r="P53" s="902"/>
      <c r="Q53" s="902"/>
      <c r="R53" s="902"/>
      <c r="S53" s="2473"/>
    </row>
    <row r="54" spans="2:19" ht="13.95" customHeight="1">
      <c r="B54" s="1285">
        <f>B50+1</f>
        <v>7</v>
      </c>
      <c r="C54" s="3983" t="s">
        <v>6012</v>
      </c>
      <c r="D54" s="1289" t="s">
        <v>1339</v>
      </c>
      <c r="E54" s="2741" t="s">
        <v>647</v>
      </c>
      <c r="F54" s="2946" t="s">
        <v>647</v>
      </c>
      <c r="G54" s="2946" t="s">
        <v>2129</v>
      </c>
      <c r="H54" s="2946" t="s">
        <v>2129</v>
      </c>
      <c r="I54" s="3346" t="s">
        <v>2129</v>
      </c>
      <c r="J54" s="1986" t="str">
        <f>IF(Results!$H$25="Baseline",E54,IF(Results!$H$25="Baseline with $320M/yr cut in subway spending",F54,IF(Results!$H$25="Move NY Plan",G54,IF(Results!$H$25="Move NY Plan, modified",H54,I54))))</f>
        <v>YES</v>
      </c>
      <c r="K54" s="2175" t="s">
        <v>3374</v>
      </c>
      <c r="L54" s="1287" t="str">
        <f>CONCATENATE("Row ",'Hub-Bound'!F77, "")</f>
        <v>Row 77</v>
      </c>
      <c r="M54" s="3941" t="s">
        <v>5802</v>
      </c>
      <c r="N54" s="1019">
        <f>ROW()</f>
        <v>54</v>
      </c>
      <c r="O54" s="2766" t="s">
        <v>647</v>
      </c>
      <c r="P54" s="902"/>
      <c r="Q54" s="902"/>
      <c r="R54" s="2716" t="s">
        <v>647</v>
      </c>
      <c r="S54" s="2473"/>
    </row>
    <row r="55" spans="2:19" ht="13.95" customHeight="1">
      <c r="B55" s="982"/>
      <c r="C55" s="3983"/>
      <c r="D55" s="3348" t="s">
        <v>3338</v>
      </c>
      <c r="E55" s="2739"/>
      <c r="F55" s="2344"/>
      <c r="G55" s="2344"/>
      <c r="H55" s="2344"/>
      <c r="I55" s="3345"/>
      <c r="J55" s="1985"/>
      <c r="K55" s="902"/>
      <c r="L55" s="1287"/>
      <c r="M55" s="3941"/>
      <c r="N55" s="1019">
        <f>ROW()</f>
        <v>55</v>
      </c>
      <c r="O55" s="982"/>
      <c r="P55" s="902"/>
      <c r="Q55" s="902"/>
      <c r="R55" s="902"/>
      <c r="S55" s="2473"/>
    </row>
    <row r="56" spans="2:19" ht="13.95" customHeight="1">
      <c r="B56" s="982"/>
      <c r="C56" s="902"/>
      <c r="D56" s="1293"/>
      <c r="E56" s="2739"/>
      <c r="F56" s="2344"/>
      <c r="G56" s="2344"/>
      <c r="H56" s="2344"/>
      <c r="I56" s="3345"/>
      <c r="J56" s="1985"/>
      <c r="K56" s="902"/>
      <c r="L56" s="1287"/>
      <c r="N56" s="1019">
        <f>ROW()</f>
        <v>56</v>
      </c>
      <c r="O56" s="982"/>
      <c r="P56" s="902"/>
      <c r="Q56" s="902"/>
      <c r="R56" s="902"/>
      <c r="S56" s="2473"/>
    </row>
    <row r="57" spans="2:19" ht="13.95" customHeight="1">
      <c r="B57" s="1285">
        <f>B54+1</f>
        <v>8</v>
      </c>
      <c r="C57" s="4034" t="s">
        <v>6003</v>
      </c>
      <c r="D57" s="1289" t="s">
        <v>1339</v>
      </c>
      <c r="E57" s="2741" t="s">
        <v>647</v>
      </c>
      <c r="F57" s="2946" t="s">
        <v>647</v>
      </c>
      <c r="G57" s="2731" t="s">
        <v>647</v>
      </c>
      <c r="H57" s="2731" t="s">
        <v>647</v>
      </c>
      <c r="I57" s="3347" t="s">
        <v>647</v>
      </c>
      <c r="J57" s="1986" t="str">
        <f>IF(Results!$H$25="Baseline",E57,IF(Results!$H$25="Baseline with $320M/yr cut in subway spending",F57,IF(Results!$H$25="Move NY Plan",G57,IF(Results!$H$25="Move NY Plan, modified",H57,I57))))</f>
        <v>NO</v>
      </c>
      <c r="K57" s="1287" t="s">
        <v>1640</v>
      </c>
      <c r="L57" s="3943" t="str">
        <f>CONCATENATE("Row ",'Motor Vs'!O282, " Cols. H &amp; L")</f>
        <v>Row 282 Cols. H &amp; L</v>
      </c>
      <c r="M57" s="3941" t="s">
        <v>5803</v>
      </c>
      <c r="N57" s="1019">
        <f>ROW()</f>
        <v>57</v>
      </c>
      <c r="O57" s="1293" t="s">
        <v>647</v>
      </c>
      <c r="P57" s="902"/>
      <c r="Q57" s="902"/>
      <c r="R57" s="1339" t="s">
        <v>647</v>
      </c>
      <c r="S57" s="2473"/>
    </row>
    <row r="58" spans="2:19" ht="13.95" customHeight="1">
      <c r="B58" s="982"/>
      <c r="C58" s="4034"/>
      <c r="D58" s="3348" t="s">
        <v>3338</v>
      </c>
      <c r="E58" s="2739"/>
      <c r="F58" s="2344"/>
      <c r="G58" s="2344"/>
      <c r="H58" s="2344"/>
      <c r="I58" s="3345"/>
      <c r="J58" s="1985"/>
      <c r="K58" s="902"/>
      <c r="L58" s="3944"/>
      <c r="M58" s="3942"/>
      <c r="N58" s="1019">
        <f>ROW()</f>
        <v>58</v>
      </c>
      <c r="O58" s="982"/>
      <c r="P58" s="902"/>
      <c r="Q58" s="902"/>
      <c r="R58" s="902"/>
      <c r="S58" s="2473"/>
    </row>
    <row r="59" spans="2:19" ht="13.95" customHeight="1">
      <c r="B59" s="982"/>
      <c r="C59" s="902"/>
      <c r="D59" s="1291"/>
      <c r="E59" s="2739"/>
      <c r="F59" s="2344"/>
      <c r="G59" s="2344"/>
      <c r="H59" s="2344"/>
      <c r="I59" s="3345"/>
      <c r="J59" s="1985"/>
      <c r="K59" s="902"/>
      <c r="L59" s="1287"/>
      <c r="M59" s="1022"/>
      <c r="N59" s="1019">
        <f>ROW()</f>
        <v>59</v>
      </c>
      <c r="O59" s="982"/>
      <c r="P59" s="902"/>
      <c r="Q59" s="902"/>
      <c r="R59" s="902"/>
      <c r="S59" s="2473"/>
    </row>
    <row r="60" spans="2:19" ht="13.95" customHeight="1">
      <c r="B60" s="1285">
        <f>B57+1</f>
        <v>9</v>
      </c>
      <c r="C60" s="3983" t="s">
        <v>6140</v>
      </c>
      <c r="D60" s="1289" t="s">
        <v>1339</v>
      </c>
      <c r="E60" s="2741" t="s">
        <v>647</v>
      </c>
      <c r="F60" s="2731" t="s">
        <v>647</v>
      </c>
      <c r="G60" s="2731" t="s">
        <v>2129</v>
      </c>
      <c r="H60" s="2731" t="s">
        <v>2129</v>
      </c>
      <c r="I60" s="3347" t="s">
        <v>647</v>
      </c>
      <c r="J60" s="1986" t="str">
        <f>IF(Results!$H$25="Baseline",E60,IF(Results!$H$25="Baseline with $320M/yr cut in subway spending",F60,IF(Results!$H$25="Move NY Plan",G60,IF(Results!$H$25="Move NY Plan, modified",H60,I60))))</f>
        <v>YES</v>
      </c>
      <c r="K60" s="1287" t="s">
        <v>1640</v>
      </c>
      <c r="L60" s="1287" t="str">
        <f>CONCATENATE("Row ",'Motor Vs'!O289,"")</f>
        <v>Row 289</v>
      </c>
      <c r="M60" s="3942" t="s">
        <v>6005</v>
      </c>
      <c r="N60" s="1019">
        <f>ROW()</f>
        <v>60</v>
      </c>
      <c r="O60" s="982"/>
      <c r="P60" s="902"/>
      <c r="Q60" s="902"/>
      <c r="R60" s="902"/>
      <c r="S60" s="2473"/>
    </row>
    <row r="61" spans="2:19" ht="13.95" customHeight="1">
      <c r="B61" s="982"/>
      <c r="C61" s="3983"/>
      <c r="D61" s="3348" t="s">
        <v>3338</v>
      </c>
      <c r="E61" s="2739"/>
      <c r="F61" s="2344"/>
      <c r="G61" s="2344"/>
      <c r="H61" s="2344"/>
      <c r="I61" s="3345"/>
      <c r="J61" s="1985"/>
      <c r="K61" s="902"/>
      <c r="L61" s="1287"/>
      <c r="M61" s="3949"/>
      <c r="N61" s="1019">
        <f>ROW()</f>
        <v>61</v>
      </c>
      <c r="O61" s="982"/>
      <c r="P61" s="902"/>
      <c r="Q61" s="902"/>
      <c r="R61" s="902"/>
      <c r="S61" s="2473"/>
    </row>
    <row r="62" spans="2:19" ht="13.95" customHeight="1">
      <c r="B62" s="982"/>
      <c r="C62" s="3781"/>
      <c r="D62" s="1291"/>
      <c r="E62" s="2739"/>
      <c r="F62" s="2344"/>
      <c r="G62" s="2344"/>
      <c r="H62" s="2344"/>
      <c r="I62" s="3345"/>
      <c r="J62" s="1985"/>
      <c r="K62" s="902"/>
      <c r="L62" s="1287"/>
      <c r="M62" s="3949"/>
      <c r="N62" s="1019">
        <f>ROW()</f>
        <v>62</v>
      </c>
      <c r="O62" s="982"/>
      <c r="P62" s="902"/>
      <c r="Q62" s="902"/>
      <c r="R62" s="902"/>
      <c r="S62" s="2473"/>
    </row>
    <row r="63" spans="2:19" ht="13.95" customHeight="1">
      <c r="B63" s="982"/>
      <c r="C63" s="902"/>
      <c r="D63" s="1291"/>
      <c r="E63" s="2739"/>
      <c r="F63" s="2344"/>
      <c r="G63" s="2344"/>
      <c r="H63" s="2344"/>
      <c r="I63" s="3345"/>
      <c r="J63" s="1985"/>
      <c r="K63" s="902"/>
      <c r="L63" s="1287"/>
      <c r="M63" s="1022"/>
      <c r="N63" s="1019">
        <f>ROW()</f>
        <v>63</v>
      </c>
      <c r="O63" s="982"/>
      <c r="P63" s="902"/>
      <c r="Q63" s="902"/>
      <c r="R63" s="902"/>
      <c r="S63" s="2473"/>
    </row>
    <row r="64" spans="2:19" ht="13.95" customHeight="1">
      <c r="B64" s="3008">
        <f>B60+1</f>
        <v>10</v>
      </c>
      <c r="C64" s="3983" t="s">
        <v>5047</v>
      </c>
      <c r="D64" s="1291"/>
      <c r="E64" s="2743">
        <v>0</v>
      </c>
      <c r="F64" s="2947">
        <v>0</v>
      </c>
      <c r="G64" s="2947">
        <v>2.5000000000000001E-2</v>
      </c>
      <c r="H64" s="2947">
        <v>2.5000000000000001E-2</v>
      </c>
      <c r="I64" s="3349">
        <v>0.01</v>
      </c>
      <c r="J64" s="2108">
        <f>IF(Results!$H$25="Baseline",E64,IF(Results!$H$25="Baseline with $320M/yr cut in subway spending",F64,IF(Results!$H$25="Move NY Plan",G64,IF(Results!$H$25="Move NY Plan, modified",H64,I64))))</f>
        <v>2.5000000000000001E-2</v>
      </c>
      <c r="K64" s="1287" t="s">
        <v>1640</v>
      </c>
      <c r="L64" s="3943" t="str">
        <f>CONCATENATE("Row ",'Motor Vs'!O319, " 
Col. K")</f>
        <v>Row 319 
Col. K</v>
      </c>
      <c r="M64" s="3941" t="s">
        <v>4597</v>
      </c>
      <c r="N64" s="1019">
        <f>ROW()</f>
        <v>64</v>
      </c>
      <c r="O64" s="2767">
        <v>2.5000000000000001E-2</v>
      </c>
      <c r="P64" s="902"/>
      <c r="Q64" s="902"/>
      <c r="R64" s="851">
        <v>0</v>
      </c>
      <c r="S64" s="2473"/>
    </row>
    <row r="65" spans="2:19" ht="13.95" customHeight="1">
      <c r="B65" s="982"/>
      <c r="C65" s="3983"/>
      <c r="D65" s="1291"/>
      <c r="E65" s="2739"/>
      <c r="F65" s="902"/>
      <c r="G65" s="902"/>
      <c r="H65" s="902"/>
      <c r="I65" s="2473"/>
      <c r="J65" s="1985"/>
      <c r="K65" s="902"/>
      <c r="L65" s="3944"/>
      <c r="M65" s="3942"/>
      <c r="N65" s="1019">
        <f>ROW()</f>
        <v>65</v>
      </c>
      <c r="O65" s="982"/>
      <c r="P65" s="902"/>
      <c r="Q65" s="902"/>
      <c r="R65" s="902"/>
      <c r="S65" s="2473"/>
    </row>
    <row r="66" spans="2:19" ht="13.95" customHeight="1">
      <c r="B66" s="982"/>
      <c r="C66" s="3289"/>
      <c r="D66" s="1291"/>
      <c r="E66" s="2739"/>
      <c r="F66" s="902"/>
      <c r="G66" s="902"/>
      <c r="H66" s="902"/>
      <c r="I66" s="2473"/>
      <c r="J66" s="1985"/>
      <c r="K66" s="902"/>
      <c r="L66" s="3290"/>
      <c r="M66" s="1022"/>
      <c r="N66" s="1019">
        <f>ROW()</f>
        <v>66</v>
      </c>
      <c r="O66" s="982"/>
      <c r="P66" s="902"/>
      <c r="Q66" s="902"/>
      <c r="R66" s="902"/>
      <c r="S66" s="2473"/>
    </row>
    <row r="67" spans="2:19" ht="13.95" customHeight="1">
      <c r="B67" s="1285">
        <f>B64+1</f>
        <v>11</v>
      </c>
      <c r="C67" s="2344" t="s">
        <v>5267</v>
      </c>
      <c r="D67" s="1291"/>
      <c r="E67" s="2949">
        <v>0</v>
      </c>
      <c r="F67" s="2945">
        <v>0</v>
      </c>
      <c r="G67" s="2945">
        <v>2.5</v>
      </c>
      <c r="H67" s="2945">
        <v>2.5</v>
      </c>
      <c r="I67" s="3350">
        <v>2.5</v>
      </c>
      <c r="J67" s="2948">
        <f>IF(Results!$H$25="Baseline",E67,IF(Results!$H$25="Baseline with $320M/yr cut in subway spending",F67,IF(Results!$H$25="Move NY Plan",G67,IF(Results!$H$25="Move NY Plan, modified",H67,I67))))</f>
        <v>2.5</v>
      </c>
      <c r="K67" s="1287" t="s">
        <v>1640</v>
      </c>
      <c r="L67" s="1287" t="str">
        <f>CONCATENATE("Row ",'Motor Vs'!O285,"")</f>
        <v>Row 285</v>
      </c>
      <c r="M67" s="3332" t="s">
        <v>6004</v>
      </c>
      <c r="N67" s="1019">
        <f>ROW()</f>
        <v>67</v>
      </c>
      <c r="O67" s="982"/>
      <c r="P67" s="902"/>
      <c r="Q67" s="902"/>
      <c r="R67" s="902"/>
      <c r="S67" s="2473"/>
    </row>
    <row r="68" spans="2:19" ht="13.95" customHeight="1">
      <c r="B68" s="982"/>
      <c r="C68" s="902"/>
      <c r="D68" s="1291"/>
      <c r="E68" s="2739"/>
      <c r="F68" s="902"/>
      <c r="G68" s="902"/>
      <c r="H68" s="902"/>
      <c r="I68" s="2473"/>
      <c r="J68" s="1985"/>
      <c r="K68" s="902"/>
      <c r="L68" s="2554"/>
      <c r="M68" s="1022"/>
      <c r="N68" s="1019">
        <f>ROW()</f>
        <v>68</v>
      </c>
      <c r="O68" s="982"/>
      <c r="P68" s="902"/>
      <c r="Q68" s="902"/>
      <c r="R68" s="902"/>
      <c r="S68" s="2473"/>
    </row>
    <row r="69" spans="2:19" ht="13.95" customHeight="1">
      <c r="B69" s="1285">
        <f>B67+1</f>
        <v>12</v>
      </c>
      <c r="C69" s="3983" t="s">
        <v>5928</v>
      </c>
      <c r="D69" s="3351"/>
      <c r="E69" s="2744">
        <v>2</v>
      </c>
      <c r="F69" s="1296">
        <v>2</v>
      </c>
      <c r="G69" s="1296">
        <f>ROUND(Trucks!$K$105,1)</f>
        <v>1.6</v>
      </c>
      <c r="H69" s="1296">
        <f>ROUND(Trucks!$K$105,1)</f>
        <v>1.6</v>
      </c>
      <c r="I69" s="3352">
        <v>2.16</v>
      </c>
      <c r="J69" s="2074">
        <f>IF(Results!$H$25="Baseline",E69,IF(Results!$H$25="Baseline with $320M/yr cut in subway spending",F69,IF(Results!$H$25="Move NY Plan",G69,IF(Results!$H$25="Move NY Plan, modified",H69,I69))))</f>
        <v>1.6</v>
      </c>
      <c r="K69" s="1287" t="s">
        <v>1640</v>
      </c>
      <c r="L69" s="3943" t="str">
        <f>CONCATENATE("Column AZ, Row ",'Motor Vs'!O264,"")</f>
        <v>Column AZ, Row 264</v>
      </c>
      <c r="M69" s="3941" t="str">
        <f>CONCATENATE("BTA 'graduates' truck tolls based on # of axles. Value is developed in 'Trucks' worksheet, at Row ",Trucks!O104, ". Figure is rounded.")</f>
        <v>BTA 'graduates' truck tolls based on # of axles. Value is developed in 'Trucks' worksheet, at Row 104. Figure is rounded.</v>
      </c>
      <c r="N69" s="1019">
        <f>ROW()</f>
        <v>69</v>
      </c>
      <c r="O69" s="2768">
        <f>20/8</f>
        <v>2.5</v>
      </c>
      <c r="P69" s="902"/>
      <c r="Q69" s="902"/>
      <c r="R69" s="1296">
        <v>2</v>
      </c>
      <c r="S69" s="2473"/>
    </row>
    <row r="70" spans="2:19" ht="13.95" customHeight="1">
      <c r="B70" s="1285"/>
      <c r="C70" s="3983"/>
      <c r="D70" s="1291"/>
      <c r="E70" s="2739"/>
      <c r="F70" s="35"/>
      <c r="G70" s="35"/>
      <c r="H70" s="35"/>
      <c r="I70" s="2255"/>
      <c r="J70" s="1985"/>
      <c r="L70" s="3944"/>
      <c r="M70" s="3942"/>
      <c r="N70" s="1019">
        <f>ROW()</f>
        <v>70</v>
      </c>
      <c r="O70" s="1291"/>
      <c r="P70" s="902"/>
      <c r="Q70" s="902"/>
      <c r="R70" s="35"/>
      <c r="S70" s="2473"/>
    </row>
    <row r="71" spans="2:19" ht="13.95" customHeight="1">
      <c r="B71" s="1285"/>
      <c r="C71" s="45"/>
      <c r="D71" s="1291"/>
      <c r="E71" s="2739"/>
      <c r="F71" s="35"/>
      <c r="G71" s="35"/>
      <c r="H71" s="35"/>
      <c r="I71" s="2255"/>
      <c r="J71" s="1985"/>
      <c r="L71" s="1953"/>
      <c r="M71" s="1022"/>
      <c r="N71" s="1019">
        <f>ROW()</f>
        <v>71</v>
      </c>
      <c r="O71" s="1291"/>
      <c r="P71" s="902"/>
      <c r="Q71" s="902"/>
      <c r="R71" s="35"/>
      <c r="S71" s="2473"/>
    </row>
    <row r="72" spans="2:19" ht="13.95" customHeight="1">
      <c r="B72" s="1285">
        <f>B69+1</f>
        <v>13</v>
      </c>
      <c r="C72" s="3983" t="s">
        <v>5929</v>
      </c>
      <c r="D72" s="1291"/>
      <c r="E72" s="2745">
        <v>0</v>
      </c>
      <c r="F72" s="1297">
        <v>0</v>
      </c>
      <c r="G72" s="1297">
        <v>1</v>
      </c>
      <c r="H72" s="1297">
        <v>1</v>
      </c>
      <c r="I72" s="3353">
        <v>0</v>
      </c>
      <c r="J72" s="2075">
        <f>IF(Results!$H$25="Baseline",E72,IF(Results!$H$25="Baseline with $320M/yr cut in subway spending",F72,IF(Results!$H$25="Move NY Plan",G72,IF(Results!$H$25="Move NY Plan, modified",H72,I72))))</f>
        <v>1</v>
      </c>
      <c r="K72" s="1287" t="s">
        <v>1640</v>
      </c>
      <c r="L72" s="3943" t="str">
        <f>CONCATENATE("Column BG, Row ",'Motor Vs'!O269,"")</f>
        <v>Column BG, Row 269</v>
      </c>
      <c r="M72" s="3941" t="s">
        <v>3203</v>
      </c>
      <c r="N72" s="1019">
        <f>ROW()</f>
        <v>72</v>
      </c>
      <c r="O72" s="2769">
        <v>0</v>
      </c>
      <c r="P72" s="902"/>
      <c r="Q72" s="902"/>
      <c r="R72" s="1297">
        <v>1</v>
      </c>
      <c r="S72" s="2473"/>
    </row>
    <row r="73" spans="2:19" ht="13.95" customHeight="1">
      <c r="B73" s="1285"/>
      <c r="C73" s="3983"/>
      <c r="D73" s="1291"/>
      <c r="E73" s="2739"/>
      <c r="F73" s="35"/>
      <c r="G73" s="35"/>
      <c r="H73" s="35"/>
      <c r="I73" s="2255"/>
      <c r="J73" s="1985"/>
      <c r="L73" s="3944"/>
      <c r="M73" s="3942"/>
      <c r="N73" s="1019">
        <f>ROW()</f>
        <v>73</v>
      </c>
      <c r="O73" s="1291"/>
      <c r="P73" s="902"/>
      <c r="Q73" s="902"/>
      <c r="R73" s="35"/>
      <c r="S73" s="2473"/>
    </row>
    <row r="74" spans="2:19" ht="13.95" customHeight="1">
      <c r="B74" s="1285"/>
      <c r="C74" s="3781"/>
      <c r="D74" s="1291"/>
      <c r="E74" s="2739"/>
      <c r="F74" s="35"/>
      <c r="G74" s="35"/>
      <c r="H74" s="35"/>
      <c r="I74" s="2255"/>
      <c r="J74" s="1985"/>
      <c r="L74" s="3292"/>
      <c r="M74" s="1022"/>
      <c r="N74" s="1019">
        <f>ROW()</f>
        <v>74</v>
      </c>
      <c r="O74" s="1291"/>
      <c r="P74" s="902"/>
      <c r="Q74" s="902"/>
      <c r="R74" s="35"/>
      <c r="S74" s="2473"/>
    </row>
    <row r="75" spans="2:19" ht="13.95" customHeight="1">
      <c r="B75" s="1285"/>
      <c r="C75" s="45"/>
      <c r="D75" s="1291"/>
      <c r="E75" s="2739"/>
      <c r="F75" s="35"/>
      <c r="G75" s="35"/>
      <c r="H75" s="35"/>
      <c r="I75" s="2255"/>
      <c r="J75" s="1985"/>
      <c r="L75" s="1953"/>
      <c r="M75" s="1022"/>
      <c r="N75" s="1019">
        <f>ROW()</f>
        <v>75</v>
      </c>
      <c r="O75" s="1291"/>
      <c r="P75" s="35"/>
      <c r="Q75" s="902"/>
      <c r="R75" s="35"/>
      <c r="S75" s="2473"/>
    </row>
    <row r="76" spans="2:19" ht="13.95" customHeight="1">
      <c r="B76" s="3008">
        <f>B72+1</f>
        <v>14</v>
      </c>
      <c r="C76" s="3983" t="s">
        <v>5930</v>
      </c>
      <c r="D76" s="2772" t="s">
        <v>5941</v>
      </c>
      <c r="E76" s="2745">
        <v>0</v>
      </c>
      <c r="F76" s="1306">
        <v>0</v>
      </c>
      <c r="G76" s="1306">
        <v>-0.15</v>
      </c>
      <c r="H76" s="1306">
        <v>0</v>
      </c>
      <c r="I76" s="3371">
        <f>Revenues!T75</f>
        <v>-0.3904576320036548</v>
      </c>
      <c r="J76" s="2075">
        <f>IF(Results!$H$25="Baseline",E76,IF(Results!$H$25="Baseline with $320M/yr cut in subway spending",F76,IF(Results!$H$25="Move NY Plan",G76,IF(Results!$H$25="Move NY Plan, modified",H76,I76))))</f>
        <v>-0.15</v>
      </c>
      <c r="K76" s="1287" t="s">
        <v>2738</v>
      </c>
      <c r="L76" s="3370" t="s">
        <v>5940</v>
      </c>
      <c r="M76" s="3941" t="str">
        <f>CONCATENATE("Applies to MTA bridges that don't access CBD. Percentage pivots off Cell I",Revenues!Q75, " in 'Revenues' worksheet.")</f>
        <v>Applies to MTA bridges that don't access CBD. Percentage pivots off Cell I75 in 'Revenues' worksheet.</v>
      </c>
      <c r="N76" s="1019">
        <f>ROW()</f>
        <v>76</v>
      </c>
      <c r="O76" s="2769">
        <v>0</v>
      </c>
      <c r="P76" s="35"/>
      <c r="Q76" s="902"/>
      <c r="R76" s="1297">
        <v>0</v>
      </c>
      <c r="S76" s="2473"/>
    </row>
    <row r="77" spans="2:19" ht="13.95" customHeight="1">
      <c r="B77" s="1285"/>
      <c r="C77" s="3983"/>
      <c r="D77" s="982"/>
      <c r="E77" s="2749"/>
      <c r="F77" s="1284"/>
      <c r="G77" s="1284"/>
      <c r="H77" s="1284"/>
      <c r="I77" s="3364"/>
      <c r="J77" s="1985"/>
      <c r="K77" s="1307"/>
      <c r="L77" s="1307"/>
      <c r="M77" s="3942"/>
      <c r="N77" s="1019">
        <f>ROW()</f>
        <v>77</v>
      </c>
      <c r="O77" s="1291"/>
      <c r="P77" s="35"/>
      <c r="Q77" s="902"/>
      <c r="R77" s="35"/>
      <c r="S77" s="2473"/>
    </row>
    <row r="78" spans="2:19" ht="13.95" customHeight="1">
      <c r="B78" s="1285"/>
      <c r="C78" s="1292"/>
      <c r="D78" s="982"/>
      <c r="E78" s="2749"/>
      <c r="F78" s="1284"/>
      <c r="G78" s="1284"/>
      <c r="H78" s="1284"/>
      <c r="I78" s="3364"/>
      <c r="J78" s="1985"/>
      <c r="K78" s="1297"/>
      <c r="L78" s="1297"/>
      <c r="M78" s="902"/>
      <c r="N78" s="1019">
        <f>ROW()</f>
        <v>78</v>
      </c>
      <c r="O78" s="1291"/>
      <c r="P78" s="35"/>
      <c r="Q78" s="902"/>
      <c r="R78" s="35"/>
      <c r="S78" s="2473"/>
    </row>
    <row r="79" spans="2:19" ht="13.95" customHeight="1">
      <c r="B79" s="1285">
        <f>B76+1</f>
        <v>15</v>
      </c>
      <c r="C79" s="2048" t="s">
        <v>3198</v>
      </c>
      <c r="D79" s="1291"/>
      <c r="E79" s="2739"/>
      <c r="F79" s="3366"/>
      <c r="G79" s="3366"/>
      <c r="H79" s="3366"/>
      <c r="I79" s="3367"/>
      <c r="J79" s="2732" t="str">
        <f>IF($E$80=0&amp;$E$81=0&amp;$E$82=0,0,"NA")</f>
        <v>NA</v>
      </c>
      <c r="K79" s="1692" t="s">
        <v>2343</v>
      </c>
      <c r="L79" s="3948" t="str">
        <f>CONCATENATE("Rows ",Taxis!O$411," to ",Taxis!O$413,"")</f>
        <v>Rows 411 to 413</v>
      </c>
      <c r="M79" s="3941" t="s">
        <v>5619</v>
      </c>
      <c r="N79" s="1019">
        <f>ROW()</f>
        <v>79</v>
      </c>
      <c r="O79" s="2733">
        <f>80%*1/Taxis!L102</f>
        <v>8.3246618106139453E-2</v>
      </c>
      <c r="P79" s="902"/>
      <c r="Q79" s="902"/>
      <c r="R79" s="1297">
        <f>1/3</f>
        <v>0.33333333333333331</v>
      </c>
      <c r="S79" s="2473"/>
    </row>
    <row r="80" spans="2:19" ht="13.95" customHeight="1">
      <c r="B80" s="982"/>
      <c r="C80" s="2814" t="s">
        <v>4982</v>
      </c>
      <c r="D80" s="1291"/>
      <c r="E80" s="2949">
        <v>0</v>
      </c>
      <c r="F80" s="2945">
        <v>0</v>
      </c>
      <c r="G80" s="2945">
        <v>0.25</v>
      </c>
      <c r="H80" s="2945">
        <v>0.25</v>
      </c>
      <c r="I80" s="3350">
        <v>1</v>
      </c>
      <c r="J80" s="2948">
        <f>IF(Results!$H$25="Baseline",E80,IF(Results!$H$25="Baseline with $320M/yr cut in subway spending",F80,IF(Results!$H$25="Move NY Plan",G80,IF(Results!$H$25="Move NY Plan, modified",H80,I80))))</f>
        <v>0.25</v>
      </c>
      <c r="L80" s="3948"/>
      <c r="M80" s="3949"/>
      <c r="N80" s="1019">
        <f>ROW()</f>
        <v>80</v>
      </c>
      <c r="O80" s="3932" t="s">
        <v>6179</v>
      </c>
      <c r="P80" s="902"/>
      <c r="Q80" s="902"/>
      <c r="R80" s="1297"/>
      <c r="S80" s="2473"/>
    </row>
    <row r="81" spans="2:19" ht="13.95" customHeight="1">
      <c r="B81" s="982"/>
      <c r="C81" s="2344" t="s">
        <v>5746</v>
      </c>
      <c r="D81" s="1291"/>
      <c r="E81" s="2746">
        <v>0</v>
      </c>
      <c r="F81" s="1297">
        <v>0</v>
      </c>
      <c r="G81" s="1297">
        <v>0.12</v>
      </c>
      <c r="H81" s="1297">
        <v>0.12</v>
      </c>
      <c r="I81" s="3446">
        <v>0</v>
      </c>
      <c r="J81" s="2108">
        <f>IF(Results!$H$25="Baseline",E81,IF(Results!$H$25="Baseline with $320M/yr cut in subway spending",F81,IF(Results!$H$25="Move NY Plan",G81,IF(Results!$H$25="Move NY Plan, modified",H81,I81))))</f>
        <v>0.12</v>
      </c>
      <c r="M81" s="3949"/>
      <c r="N81" s="1019">
        <f>ROW()</f>
        <v>81</v>
      </c>
      <c r="O81" s="3933"/>
      <c r="P81" s="902"/>
      <c r="Q81" s="902"/>
      <c r="R81" s="1297"/>
      <c r="S81" s="2473"/>
    </row>
    <row r="82" spans="2:19" ht="13.95" customHeight="1">
      <c r="B82" s="982"/>
      <c r="C82" s="2344" t="s">
        <v>4983</v>
      </c>
      <c r="D82" s="982"/>
      <c r="E82" s="2746">
        <v>0</v>
      </c>
      <c r="F82" s="1297">
        <v>0</v>
      </c>
      <c r="G82" s="1297">
        <v>0.2</v>
      </c>
      <c r="H82" s="1297">
        <v>0.2</v>
      </c>
      <c r="I82" s="3446">
        <v>0</v>
      </c>
      <c r="J82" s="2108">
        <f>IF(Results!$H$25="Baseline",E82,IF(Results!$H$25="Baseline with $320M/yr cut in subway spending",F82,IF(Results!$H$25="Move NY Plan",G82,IF(Results!$H$25="Move NY Plan, modified",H82,I82))))</f>
        <v>0.2</v>
      </c>
      <c r="M82" s="3949"/>
      <c r="N82" s="1019">
        <f>ROW()</f>
        <v>82</v>
      </c>
      <c r="O82" s="3933"/>
      <c r="P82" s="902"/>
      <c r="Q82" s="902"/>
      <c r="R82" s="1287"/>
      <c r="S82" s="2473"/>
    </row>
    <row r="83" spans="2:19" ht="13.95" customHeight="1">
      <c r="B83" s="982"/>
      <c r="C83" s="902"/>
      <c r="D83" s="982"/>
      <c r="E83" s="2741"/>
      <c r="F83" s="1287"/>
      <c r="G83" s="1287"/>
      <c r="H83" s="1287"/>
      <c r="I83" s="3340"/>
      <c r="J83" s="1985"/>
      <c r="M83" s="2909"/>
      <c r="N83" s="1019">
        <f>ROW()</f>
        <v>83</v>
      </c>
      <c r="O83" s="3934"/>
      <c r="P83" s="902"/>
      <c r="Q83" s="902"/>
      <c r="R83" s="1287"/>
      <c r="S83" s="2473"/>
    </row>
    <row r="84" spans="2:19" ht="13.95" customHeight="1">
      <c r="B84" s="1285">
        <f>B79+1</f>
        <v>16</v>
      </c>
      <c r="C84" s="2048" t="s">
        <v>3199</v>
      </c>
      <c r="D84" s="982"/>
      <c r="E84" s="2741"/>
      <c r="F84" s="3366"/>
      <c r="G84" s="3366"/>
      <c r="H84" s="3366"/>
      <c r="I84" s="3367"/>
      <c r="J84" s="1985"/>
      <c r="K84" s="1692" t="s">
        <v>2343</v>
      </c>
      <c r="L84" s="3948" t="str">
        <f>CONCATENATE("Rows ",Taxis!O$411," to ",Taxis!O$413,"")</f>
        <v>Rows 411 to 413</v>
      </c>
      <c r="M84" s="1292" t="str">
        <f>CONCATENATE("(See notes for Weekday Surcharge, Row ",N79, ".)")</f>
        <v>(See notes for Weekday Surcharge, Row 79.)</v>
      </c>
      <c r="N84" s="1019">
        <f>ROW()</f>
        <v>84</v>
      </c>
      <c r="O84" s="2769">
        <v>0</v>
      </c>
      <c r="P84" s="902"/>
      <c r="Q84" s="902"/>
      <c r="R84" s="1297">
        <f>1/3</f>
        <v>0.33333333333333331</v>
      </c>
      <c r="S84" s="2473"/>
    </row>
    <row r="85" spans="2:19" ht="13.95" customHeight="1">
      <c r="B85" s="982"/>
      <c r="C85" s="2814" t="s">
        <v>4982</v>
      </c>
      <c r="D85" s="982"/>
      <c r="E85" s="2949">
        <v>0</v>
      </c>
      <c r="F85" s="2945">
        <v>0</v>
      </c>
      <c r="G85" s="2945">
        <v>0.25</v>
      </c>
      <c r="H85" s="2945">
        <v>0.25</v>
      </c>
      <c r="I85" s="3350">
        <v>1</v>
      </c>
      <c r="J85" s="2948">
        <f>IF(Results!$H$25="Baseline",E85,IF(Results!$H$25="Baseline with $320M/yr cut in subway spending",F85,IF(Results!$H$25="Move NY Plan",G85,IF(Results!$H$25="Move NY Plan, modified",H85,I85))))</f>
        <v>0.25</v>
      </c>
      <c r="L85" s="3948"/>
      <c r="M85" s="1292"/>
      <c r="N85" s="1019">
        <f>ROW()</f>
        <v>85</v>
      </c>
      <c r="O85" s="1294"/>
      <c r="P85" s="902"/>
      <c r="Q85" s="902"/>
      <c r="R85" s="1287"/>
      <c r="S85" s="2473"/>
    </row>
    <row r="86" spans="2:19" ht="13.95" customHeight="1">
      <c r="B86" s="982"/>
      <c r="C86" s="2344" t="s">
        <v>5746</v>
      </c>
      <c r="D86" s="982"/>
      <c r="E86" s="2746">
        <v>0</v>
      </c>
      <c r="F86" s="1297">
        <v>0</v>
      </c>
      <c r="G86" s="1297">
        <v>0.12</v>
      </c>
      <c r="H86" s="1297">
        <v>0.12</v>
      </c>
      <c r="I86" s="3446">
        <v>0</v>
      </c>
      <c r="J86" s="2108">
        <f>IF(Results!$H$25="Baseline",E86,IF(Results!$H$25="Baseline with $320M/yr cut in subway spending",F86,IF(Results!$H$25="Move NY Plan",G86,IF(Results!$H$25="Move NY Plan, modified",H86,I86))))</f>
        <v>0.12</v>
      </c>
      <c r="L86" s="2910"/>
      <c r="M86" s="2909"/>
      <c r="N86" s="1019">
        <f>ROW()</f>
        <v>86</v>
      </c>
      <c r="O86" s="1294"/>
      <c r="P86" s="902"/>
      <c r="Q86" s="902"/>
      <c r="R86" s="1287"/>
      <c r="S86" s="2473"/>
    </row>
    <row r="87" spans="2:19" ht="13.95" customHeight="1">
      <c r="B87" s="982"/>
      <c r="C87" s="2344" t="s">
        <v>4983</v>
      </c>
      <c r="D87" s="982"/>
      <c r="E87" s="2746">
        <v>0</v>
      </c>
      <c r="F87" s="1297">
        <v>0</v>
      </c>
      <c r="G87" s="1297">
        <v>0.2</v>
      </c>
      <c r="H87" s="1297">
        <v>0.2</v>
      </c>
      <c r="I87" s="3446">
        <v>0</v>
      </c>
      <c r="J87" s="2108">
        <f>IF(Results!$H$25="Baseline",E87,IF(Results!$H$25="Baseline with $320M/yr cut in subway spending",F87,IF(Results!$H$25="Move NY Plan",G87,IF(Results!$H$25="Move NY Plan, modified",H87,I87))))</f>
        <v>0.2</v>
      </c>
      <c r="L87" s="2910"/>
      <c r="M87" s="2909"/>
      <c r="N87" s="1019">
        <f>ROW()</f>
        <v>87</v>
      </c>
      <c r="O87" s="1294"/>
      <c r="P87" s="902"/>
      <c r="Q87" s="902"/>
      <c r="R87" s="1287"/>
      <c r="S87" s="2473"/>
    </row>
    <row r="88" spans="2:19" ht="13.95" customHeight="1">
      <c r="B88" s="982"/>
      <c r="C88" s="902"/>
      <c r="D88" s="982"/>
      <c r="E88" s="2741"/>
      <c r="F88" s="1287"/>
      <c r="G88" s="1287"/>
      <c r="H88" s="1287"/>
      <c r="I88" s="3340"/>
      <c r="J88" s="1985"/>
      <c r="M88" s="1292"/>
      <c r="N88" s="1019">
        <f>ROW()</f>
        <v>88</v>
      </c>
      <c r="O88" s="1294"/>
      <c r="P88" s="902"/>
      <c r="Q88" s="902"/>
      <c r="R88" s="1287"/>
      <c r="S88" s="2473"/>
    </row>
    <row r="89" spans="2:19" ht="13.95" customHeight="1">
      <c r="B89" s="1285">
        <f>B84+1</f>
        <v>17</v>
      </c>
      <c r="C89" s="3983" t="s">
        <v>5805</v>
      </c>
      <c r="D89" s="1298"/>
      <c r="E89" s="2746">
        <v>0</v>
      </c>
      <c r="F89" s="1297">
        <v>0</v>
      </c>
      <c r="G89" s="1297">
        <v>0.1</v>
      </c>
      <c r="H89" s="1297">
        <v>0.1</v>
      </c>
      <c r="I89" s="3353">
        <v>0.1</v>
      </c>
      <c r="J89" s="2075">
        <f>IF(Results!$H$25="Baseline",E89,IF(Results!$H$25="Baseline with $320M/yr cut in subway spending",F89,IF(Results!$H$25="Move NY Plan",G89,IF(Results!$H$25="Move NY Plan, modified",H89,I89))))</f>
        <v>0.1</v>
      </c>
      <c r="K89" s="1692" t="s">
        <v>2343</v>
      </c>
      <c r="L89" s="1692" t="str">
        <f>CONCATENATE("Row ",Taxis!O423,)</f>
        <v>Row 423</v>
      </c>
      <c r="M89" s="3942" t="s">
        <v>3509</v>
      </c>
      <c r="N89" s="1019">
        <f>ROW()</f>
        <v>89</v>
      </c>
      <c r="O89" s="2769">
        <v>0</v>
      </c>
      <c r="P89" s="902"/>
      <c r="Q89" s="902"/>
      <c r="R89" s="1297">
        <v>0.1</v>
      </c>
      <c r="S89" s="2473"/>
    </row>
    <row r="90" spans="2:19" ht="13.95" customHeight="1">
      <c r="B90" s="982"/>
      <c r="C90" s="3983"/>
      <c r="D90" s="1299"/>
      <c r="E90" s="2739"/>
      <c r="F90" s="902"/>
      <c r="G90" s="902"/>
      <c r="H90" s="902"/>
      <c r="I90" s="2473"/>
      <c r="J90" s="1985"/>
      <c r="L90" s="1692"/>
      <c r="M90" s="3949"/>
      <c r="N90" s="1019">
        <f>ROW()</f>
        <v>90</v>
      </c>
      <c r="O90" s="982"/>
      <c r="P90" s="902"/>
      <c r="Q90" s="902"/>
      <c r="R90" s="902"/>
      <c r="S90" s="2473"/>
    </row>
    <row r="91" spans="2:19" ht="13.95" customHeight="1">
      <c r="B91" s="982"/>
      <c r="C91" s="902"/>
      <c r="D91" s="1299"/>
      <c r="E91" s="2739"/>
      <c r="F91" s="902"/>
      <c r="G91" s="902"/>
      <c r="H91" s="902"/>
      <c r="I91" s="2473"/>
      <c r="J91" s="1985"/>
      <c r="M91" s="3949"/>
      <c r="N91" s="1019">
        <f>ROW()</f>
        <v>91</v>
      </c>
      <c r="O91" s="982"/>
      <c r="P91" s="902"/>
      <c r="Q91" s="902"/>
      <c r="R91" s="902"/>
      <c r="S91" s="2473"/>
    </row>
    <row r="92" spans="2:19" ht="13.95" customHeight="1">
      <c r="B92" s="982"/>
      <c r="C92" s="902"/>
      <c r="D92" s="1299"/>
      <c r="E92" s="2739"/>
      <c r="F92" s="902"/>
      <c r="G92" s="902"/>
      <c r="H92" s="902"/>
      <c r="I92" s="2473"/>
      <c r="J92" s="1985"/>
      <c r="N92" s="1019">
        <f>ROW()</f>
        <v>92</v>
      </c>
      <c r="O92" s="982"/>
      <c r="P92" s="902"/>
      <c r="Q92" s="902"/>
      <c r="R92" s="902"/>
      <c r="S92" s="2473"/>
    </row>
    <row r="93" spans="2:19" ht="13.95" customHeight="1">
      <c r="B93" s="1285">
        <f>B89+1</f>
        <v>18</v>
      </c>
      <c r="C93" s="3983" t="s">
        <v>6368</v>
      </c>
      <c r="D93" s="1299"/>
      <c r="E93" s="2747">
        <v>0</v>
      </c>
      <c r="F93" s="1300">
        <v>0</v>
      </c>
      <c r="G93" s="1300">
        <v>0</v>
      </c>
      <c r="H93" s="1300">
        <v>0</v>
      </c>
      <c r="I93" s="3354">
        <v>0</v>
      </c>
      <c r="J93" s="2074">
        <f>IF(Results!$H$25="Baseline",E93,IF(Results!$H$25="Baseline with $320M/yr cut in subway spending",F93,IF(Results!$H$25="Move NY Plan",G93,IF(Results!$H$25="Move NY Plan, modified",H93,I93))))</f>
        <v>0</v>
      </c>
      <c r="K93" s="1287" t="s">
        <v>1640</v>
      </c>
      <c r="L93" s="1692" t="str">
        <f>CONCATENATE("Row ",'Motor Vs'!O399,)</f>
        <v>Row 399</v>
      </c>
      <c r="M93" s="3941" t="s">
        <v>6353</v>
      </c>
      <c r="N93" s="1019">
        <f>ROW()</f>
        <v>93</v>
      </c>
      <c r="O93" s="2770">
        <v>0</v>
      </c>
      <c r="P93" s="902"/>
      <c r="Q93" s="902"/>
      <c r="R93" s="1300">
        <v>1</v>
      </c>
      <c r="S93" s="2473"/>
    </row>
    <row r="94" spans="2:19" ht="13.95" customHeight="1">
      <c r="B94" s="982"/>
      <c r="C94" s="3983"/>
      <c r="D94" s="1299"/>
      <c r="E94" s="3585" t="s">
        <v>6352</v>
      </c>
      <c r="F94" s="3587" t="s">
        <v>6352</v>
      </c>
      <c r="G94" s="3587" t="s">
        <v>6352</v>
      </c>
      <c r="H94" s="3587" t="s">
        <v>6352</v>
      </c>
      <c r="I94" s="3587" t="s">
        <v>6352</v>
      </c>
      <c r="J94" s="2732" t="s">
        <v>6352</v>
      </c>
      <c r="M94" s="3941"/>
      <c r="N94" s="1019">
        <f>ROW()</f>
        <v>94</v>
      </c>
      <c r="O94" s="2772" t="s">
        <v>6352</v>
      </c>
      <c r="P94" s="902"/>
      <c r="Q94" s="902"/>
      <c r="R94" s="3587" t="s">
        <v>6352</v>
      </c>
      <c r="S94" s="2727"/>
    </row>
    <row r="95" spans="2:19" ht="13.95" customHeight="1">
      <c r="B95" s="982"/>
      <c r="C95" s="902"/>
      <c r="D95" s="1299"/>
      <c r="E95" s="3586"/>
      <c r="F95" s="3588"/>
      <c r="G95" s="3588"/>
      <c r="H95" s="3588"/>
      <c r="I95" s="3588"/>
      <c r="J95" s="1985"/>
      <c r="M95" s="3941"/>
      <c r="N95" s="1019">
        <f>ROW()</f>
        <v>95</v>
      </c>
      <c r="O95" s="982"/>
      <c r="P95" s="902"/>
      <c r="Q95" s="902"/>
      <c r="R95" s="3588"/>
      <c r="S95" s="2727"/>
    </row>
    <row r="96" spans="2:19" ht="13.95" customHeight="1">
      <c r="B96" s="982"/>
      <c r="C96" s="1292"/>
      <c r="D96" s="1299"/>
      <c r="E96" s="2739"/>
      <c r="F96" s="902"/>
      <c r="G96" s="902"/>
      <c r="H96" s="902"/>
      <c r="I96" s="2473"/>
      <c r="J96" s="1985"/>
      <c r="M96" s="3941"/>
      <c r="N96" s="1019">
        <f>ROW()</f>
        <v>96</v>
      </c>
      <c r="O96" s="982"/>
      <c r="P96" s="902"/>
      <c r="Q96" s="902"/>
      <c r="R96" s="902"/>
      <c r="S96" s="2473"/>
    </row>
    <row r="97" spans="2:19" ht="13.95" customHeight="1">
      <c r="B97" s="982"/>
      <c r="C97" s="1292"/>
      <c r="D97" s="1299"/>
      <c r="E97" s="2739"/>
      <c r="F97" s="902"/>
      <c r="G97" s="902"/>
      <c r="H97" s="902"/>
      <c r="I97" s="2473"/>
      <c r="J97" s="1985"/>
      <c r="M97" s="3941"/>
      <c r="N97" s="1019">
        <f>ROW()</f>
        <v>97</v>
      </c>
      <c r="O97" s="982"/>
      <c r="P97" s="902"/>
      <c r="Q97" s="902"/>
      <c r="R97" s="902"/>
      <c r="S97" s="2473"/>
    </row>
    <row r="98" spans="2:19" ht="13.95" customHeight="1">
      <c r="B98" s="982"/>
      <c r="C98" s="1292"/>
      <c r="D98" s="982"/>
      <c r="E98" s="2739"/>
      <c r="F98" s="902"/>
      <c r="G98" s="902"/>
      <c r="H98" s="902"/>
      <c r="I98" s="2473"/>
      <c r="J98" s="1985"/>
      <c r="M98" s="1706"/>
      <c r="N98" s="1019">
        <f>ROW()</f>
        <v>98</v>
      </c>
      <c r="O98" s="982"/>
      <c r="P98" s="902"/>
      <c r="Q98" s="902"/>
      <c r="R98" s="902"/>
      <c r="S98" s="2473"/>
    </row>
    <row r="99" spans="2:19" ht="13.95" customHeight="1">
      <c r="B99" s="1285">
        <f>B93+1</f>
        <v>19</v>
      </c>
      <c r="C99" s="3983" t="s">
        <v>4650</v>
      </c>
      <c r="D99" s="1294"/>
      <c r="E99" s="2748">
        <v>0</v>
      </c>
      <c r="F99" s="1707">
        <v>0</v>
      </c>
      <c r="G99" s="1707">
        <v>490</v>
      </c>
      <c r="H99" s="1707">
        <v>565</v>
      </c>
      <c r="I99" s="3355">
        <v>625</v>
      </c>
      <c r="J99" s="3589">
        <f>IF(Results!$H$25="Baseline",E99,IF(Results!$H$25="Baseline with $320M/yr cut in subway spending",F99,IF(Results!$H$25="Move NY Plan",G99,IF(Results!$H$25="Move NY Plan, modified",H99,I99))))</f>
        <v>490</v>
      </c>
      <c r="K99" s="1287" t="s">
        <v>1932</v>
      </c>
      <c r="L99" s="1692" t="str">
        <f>CONCATENATE("Row ",Transit!O203,)</f>
        <v>Row 203</v>
      </c>
      <c r="M99" s="3941" t="s">
        <v>3555</v>
      </c>
      <c r="N99" s="1019">
        <f>ROW()</f>
        <v>99</v>
      </c>
      <c r="O99" s="2771">
        <v>0</v>
      </c>
      <c r="P99" s="902"/>
      <c r="Q99" s="902"/>
      <c r="R99" s="1707">
        <v>0</v>
      </c>
      <c r="S99" s="2473"/>
    </row>
    <row r="100" spans="2:19" ht="13.95" customHeight="1">
      <c r="B100" s="982"/>
      <c r="C100" s="3983"/>
      <c r="D100" s="982"/>
      <c r="E100" s="2749" t="s">
        <v>4651</v>
      </c>
      <c r="F100" s="2731" t="s">
        <v>4651</v>
      </c>
      <c r="G100" s="2731" t="s">
        <v>4651</v>
      </c>
      <c r="H100" s="2731" t="s">
        <v>4651</v>
      </c>
      <c r="I100" s="3347" t="s">
        <v>4651</v>
      </c>
      <c r="J100" s="2732" t="s">
        <v>4651</v>
      </c>
      <c r="M100" s="3942"/>
      <c r="N100" s="1019">
        <f>ROW()</f>
        <v>100</v>
      </c>
      <c r="O100" s="2772" t="s">
        <v>4651</v>
      </c>
      <c r="P100" s="902"/>
      <c r="Q100" s="902"/>
      <c r="R100" s="2731" t="s">
        <v>4651</v>
      </c>
      <c r="S100" s="2473"/>
    </row>
    <row r="101" spans="2:19" ht="13.95" customHeight="1">
      <c r="B101" s="982"/>
      <c r="C101" s="1292"/>
      <c r="D101" s="982"/>
      <c r="E101" s="2739"/>
      <c r="F101" s="902"/>
      <c r="G101" s="902"/>
      <c r="H101" s="902"/>
      <c r="I101" s="2473"/>
      <c r="J101" s="1985"/>
      <c r="M101" s="1292"/>
      <c r="N101" s="1019">
        <f>ROW()</f>
        <v>101</v>
      </c>
      <c r="O101" s="982"/>
      <c r="P101" s="902"/>
      <c r="Q101" s="902"/>
      <c r="R101" s="902"/>
      <c r="S101" s="2473"/>
    </row>
    <row r="102" spans="2:19" ht="13.95" customHeight="1">
      <c r="B102" s="1285">
        <f>B99+1</f>
        <v>20</v>
      </c>
      <c r="C102" s="3983" t="s">
        <v>4652</v>
      </c>
      <c r="D102" s="982"/>
      <c r="E102" s="2748">
        <v>0</v>
      </c>
      <c r="F102" s="1707">
        <v>-320</v>
      </c>
      <c r="G102" s="1707">
        <v>490</v>
      </c>
      <c r="H102" s="1707">
        <v>565</v>
      </c>
      <c r="I102" s="3355">
        <v>625</v>
      </c>
      <c r="J102" s="3589">
        <f>IF(Results!$H$25="Baseline",E102,IF(Results!$H$25="Baseline with $320M/yr cut in subway spending",F102,IF(Results!$H$25="Move NY Plan",G102,IF(Results!$H$25="Move NY Plan, modified",H102,I102))))</f>
        <v>490</v>
      </c>
      <c r="K102" s="1287" t="s">
        <v>1932</v>
      </c>
      <c r="L102" s="1692" t="str">
        <f>CONCATENATE("Row ",Transit!O320,)</f>
        <v>Row 320</v>
      </c>
      <c r="M102" s="3941" t="s">
        <v>3556</v>
      </c>
      <c r="N102" s="1019">
        <f>ROW()</f>
        <v>102</v>
      </c>
      <c r="O102" s="2771">
        <v>0</v>
      </c>
      <c r="P102" s="902"/>
      <c r="Q102" s="902"/>
      <c r="R102" s="1707">
        <v>0</v>
      </c>
      <c r="S102" s="2473"/>
    </row>
    <row r="103" spans="2:19" ht="13.95" customHeight="1">
      <c r="B103" s="1285"/>
      <c r="C103" s="3983"/>
      <c r="D103" s="982"/>
      <c r="E103" s="2749" t="s">
        <v>4651</v>
      </c>
      <c r="F103" s="2731" t="s">
        <v>4651</v>
      </c>
      <c r="G103" s="2731" t="s">
        <v>4651</v>
      </c>
      <c r="H103" s="2731" t="s">
        <v>4651</v>
      </c>
      <c r="I103" s="3347" t="s">
        <v>4651</v>
      </c>
      <c r="J103" s="2732" t="s">
        <v>4651</v>
      </c>
      <c r="K103" s="902"/>
      <c r="L103" s="902"/>
      <c r="M103" s="3942"/>
      <c r="N103" s="1019">
        <f>ROW()</f>
        <v>103</v>
      </c>
      <c r="O103" s="2772" t="s">
        <v>4651</v>
      </c>
      <c r="P103" s="902"/>
      <c r="Q103" s="902"/>
      <c r="R103" s="2731" t="s">
        <v>4651</v>
      </c>
      <c r="S103" s="2473"/>
    </row>
    <row r="104" spans="2:19" ht="13.95" customHeight="1">
      <c r="B104" s="1285"/>
      <c r="C104" s="1292"/>
      <c r="D104" s="982"/>
      <c r="E104" s="2739"/>
      <c r="F104" s="902"/>
      <c r="G104" s="902"/>
      <c r="H104" s="902"/>
      <c r="I104" s="2473"/>
      <c r="J104" s="1985"/>
      <c r="K104" s="902"/>
      <c r="L104" s="902"/>
      <c r="M104" s="1022"/>
      <c r="N104" s="1019">
        <f>ROW()</f>
        <v>104</v>
      </c>
      <c r="O104" s="982"/>
      <c r="P104" s="902"/>
      <c r="Q104" s="902"/>
      <c r="R104" s="902"/>
      <c r="S104" s="2473"/>
    </row>
    <row r="105" spans="2:19" ht="13.95" customHeight="1">
      <c r="B105" s="3008">
        <f>B102+1</f>
        <v>21</v>
      </c>
      <c r="C105" s="3983" t="str">
        <f>CONCATENATE("Subways' % Share of Spending from Item #",B102, )</f>
        <v>Subways' % Share of Spending from Item #20</v>
      </c>
      <c r="D105" s="982"/>
      <c r="E105" s="3237">
        <v>0</v>
      </c>
      <c r="F105" s="3286">
        <v>1</v>
      </c>
      <c r="G105" s="3286">
        <f>2/3</f>
        <v>0.66666666666666663</v>
      </c>
      <c r="H105" s="3286">
        <f>2/3</f>
        <v>0.66666666666666663</v>
      </c>
      <c r="I105" s="3356">
        <f>2/3</f>
        <v>0.66666666666666663</v>
      </c>
      <c r="J105" s="2075">
        <f>IF(Results!$H$25="Baseline",E105,IF(Results!$H$25="Baseline with $320M/yr cut in subway spending",F105,IF(Results!$H$25="Move NY Plan",G105,IF(Results!$H$25="Move NY Plan, modified",H105,I105))))</f>
        <v>0.66666666666666663</v>
      </c>
      <c r="K105" s="1287" t="s">
        <v>1932</v>
      </c>
      <c r="L105" s="1692" t="str">
        <f>CONCATENATE("Row ",Transit!O324,)</f>
        <v>Row 324</v>
      </c>
      <c r="M105" s="3941" t="s">
        <v>5789</v>
      </c>
      <c r="N105" s="1019">
        <f>ROW()</f>
        <v>105</v>
      </c>
      <c r="O105" s="982"/>
      <c r="P105" s="902"/>
      <c r="Q105" s="902"/>
      <c r="R105" s="902"/>
      <c r="S105" s="2473"/>
    </row>
    <row r="106" spans="2:19" ht="13.95" customHeight="1">
      <c r="B106" s="3008"/>
      <c r="C106" s="3983"/>
      <c r="D106" s="982"/>
      <c r="E106" s="2739"/>
      <c r="F106" s="902"/>
      <c r="G106" s="902"/>
      <c r="H106" s="902"/>
      <c r="I106" s="2473"/>
      <c r="J106" s="1985"/>
      <c r="K106" s="902"/>
      <c r="M106" s="3942"/>
      <c r="N106" s="1019">
        <f>ROW()</f>
        <v>106</v>
      </c>
      <c r="O106" s="982"/>
      <c r="P106" s="902"/>
      <c r="Q106" s="902"/>
      <c r="R106" s="902"/>
      <c r="S106" s="2473"/>
    </row>
    <row r="107" spans="2:19" ht="13.95" customHeight="1">
      <c r="B107" s="1285"/>
      <c r="C107" s="3285"/>
      <c r="D107" s="982"/>
      <c r="E107" s="2739"/>
      <c r="F107" s="902"/>
      <c r="G107" s="902"/>
      <c r="H107" s="902"/>
      <c r="I107" s="2473"/>
      <c r="J107" s="1985"/>
      <c r="K107" s="902"/>
      <c r="L107" s="902"/>
      <c r="M107" s="3330"/>
      <c r="N107" s="1019">
        <f>ROW()</f>
        <v>107</v>
      </c>
      <c r="O107" s="982"/>
      <c r="P107" s="902"/>
      <c r="Q107" s="902"/>
      <c r="R107" s="902"/>
      <c r="S107" s="2473"/>
    </row>
    <row r="108" spans="2:19" ht="13.95" customHeight="1">
      <c r="B108" s="3008">
        <f>B105+1</f>
        <v>22</v>
      </c>
      <c r="C108" s="3983" t="s">
        <v>2435</v>
      </c>
      <c r="D108" s="982"/>
      <c r="E108" s="3237">
        <v>0</v>
      </c>
      <c r="F108" s="1297">
        <v>0</v>
      </c>
      <c r="G108" s="1297">
        <v>0</v>
      </c>
      <c r="H108" s="1297">
        <v>0</v>
      </c>
      <c r="I108" s="3353">
        <v>0</v>
      </c>
      <c r="J108" s="2075">
        <f>IF(Results!$H$25="Baseline",E108,IF(Results!$H$25="Baseline with $320M/yr cut in subway spending",F108,IF(Results!$H$25="Move NY Plan",G108,IF(Results!$H$25="Move NY Plan, modified",H108,I108))))</f>
        <v>0</v>
      </c>
      <c r="K108" s="1287" t="s">
        <v>2367</v>
      </c>
      <c r="L108" s="1287" t="str">
        <f>CONCATENATE("Row ",Subways!O206)</f>
        <v>Row 206</v>
      </c>
      <c r="M108" s="3942" t="s">
        <v>2436</v>
      </c>
      <c r="N108" s="1019">
        <f>ROW()</f>
        <v>108</v>
      </c>
      <c r="O108" s="2769">
        <v>0</v>
      </c>
      <c r="P108" s="902"/>
      <c r="Q108" s="902"/>
      <c r="R108" s="1297">
        <v>0</v>
      </c>
      <c r="S108" s="2473"/>
    </row>
    <row r="109" spans="2:19" ht="13.95" customHeight="1">
      <c r="B109" s="1285"/>
      <c r="C109" s="3983"/>
      <c r="D109" s="982"/>
      <c r="E109" s="2750"/>
      <c r="F109" s="1295"/>
      <c r="G109" s="1295"/>
      <c r="H109" s="1295"/>
      <c r="I109" s="3357"/>
      <c r="J109" s="1985"/>
      <c r="K109" s="902"/>
      <c r="L109" s="902"/>
      <c r="M109" s="3949"/>
      <c r="N109" s="1019">
        <f>ROW()</f>
        <v>109</v>
      </c>
      <c r="O109" s="1285"/>
      <c r="P109" s="902"/>
      <c r="Q109" s="902"/>
      <c r="R109" s="1295"/>
      <c r="S109" s="2473"/>
    </row>
    <row r="110" spans="2:19" ht="13.95" customHeight="1">
      <c r="B110" s="1285"/>
      <c r="C110" s="1286"/>
      <c r="D110" s="982"/>
      <c r="E110" s="2750"/>
      <c r="F110" s="1295"/>
      <c r="G110" s="1295"/>
      <c r="H110" s="1295"/>
      <c r="I110" s="3357"/>
      <c r="J110" s="1985"/>
      <c r="K110" s="902"/>
      <c r="L110" s="902"/>
      <c r="M110" s="3949"/>
      <c r="N110" s="1019">
        <f>ROW()</f>
        <v>110</v>
      </c>
      <c r="O110" s="1285"/>
      <c r="P110" s="902"/>
      <c r="Q110" s="902"/>
      <c r="R110" s="1295"/>
      <c r="S110" s="2473"/>
    </row>
    <row r="111" spans="2:19" ht="13.95" customHeight="1">
      <c r="B111" s="1285"/>
      <c r="C111" s="2952"/>
      <c r="D111" s="982"/>
      <c r="E111" s="2750"/>
      <c r="F111" s="1295"/>
      <c r="G111" s="1295"/>
      <c r="H111" s="1295"/>
      <c r="I111" s="3357"/>
      <c r="J111" s="1985"/>
      <c r="K111" s="902"/>
      <c r="L111" s="902"/>
      <c r="M111" s="2951"/>
      <c r="N111" s="1019">
        <f>ROW()</f>
        <v>111</v>
      </c>
      <c r="O111" s="1285"/>
      <c r="P111" s="902"/>
      <c r="Q111" s="902"/>
      <c r="R111" s="1295"/>
      <c r="S111" s="2473"/>
    </row>
    <row r="112" spans="2:19" ht="13.95" customHeight="1">
      <c r="B112" s="1285">
        <f>B108+1</f>
        <v>23</v>
      </c>
      <c r="C112" s="3983" t="s">
        <v>5054</v>
      </c>
      <c r="D112" s="982"/>
      <c r="E112" s="2959">
        <v>0</v>
      </c>
      <c r="F112" s="2960">
        <v>0</v>
      </c>
      <c r="G112" s="2960">
        <v>0</v>
      </c>
      <c r="H112" s="2960">
        <v>0</v>
      </c>
      <c r="I112" s="3358">
        <v>0</v>
      </c>
      <c r="J112" s="2108">
        <f>IF(Results!$H$25="Baseline",E112,IF(Results!$H$25="Baseline with $320M/yr cut in subway spending",F112,IF(Results!$H$25="Move NY Plan",G112,IF(Results!$H$25="Move NY Plan, modified",H112,I112))))</f>
        <v>0</v>
      </c>
      <c r="K112" s="1287" t="s">
        <v>2367</v>
      </c>
      <c r="L112" s="1287" t="str">
        <f>CONCATENATE("Row ",Subways!O180)</f>
        <v>Row 180</v>
      </c>
      <c r="M112" s="3941" t="str">
        <f>CONCATENATE("To reset 30-day unlimited fare to 2010 level (prior to fare hike imposed on 30-Dec-2010), input this amount: ",ROUND((Transit!L64-1)*100,1), "%.")</f>
        <v>To reset 30-day unlimited fare to 2010 level (prior to fare hike imposed on 30-Dec-2010), input this amount: -12.4%.</v>
      </c>
      <c r="N112" s="1019">
        <f>ROW()</f>
        <v>112</v>
      </c>
      <c r="O112" s="2769">
        <v>0</v>
      </c>
      <c r="P112" s="902"/>
      <c r="Q112" s="902"/>
      <c r="R112" s="1295"/>
      <c r="S112" s="2473"/>
    </row>
    <row r="113" spans="2:19" ht="13.95" customHeight="1">
      <c r="B113" s="1285"/>
      <c r="C113" s="3983"/>
      <c r="D113" s="982"/>
      <c r="E113" s="2750"/>
      <c r="F113" s="1295"/>
      <c r="G113" s="1295"/>
      <c r="H113" s="1295"/>
      <c r="I113" s="3357"/>
      <c r="J113" s="1985"/>
      <c r="K113" s="1287" t="s">
        <v>810</v>
      </c>
      <c r="L113" s="1287" t="str">
        <f>CONCATENATE("Row ",Buses!O66)</f>
        <v>Row 66</v>
      </c>
      <c r="M113" s="3942"/>
      <c r="N113" s="1019">
        <f>ROW()</f>
        <v>113</v>
      </c>
      <c r="O113" s="1285"/>
      <c r="P113" s="902"/>
      <c r="Q113" s="902"/>
      <c r="R113" s="1295"/>
      <c r="S113" s="2473"/>
    </row>
    <row r="114" spans="2:19" ht="13.95" customHeight="1">
      <c r="B114" s="1285"/>
      <c r="C114" s="2964"/>
      <c r="D114" s="982"/>
      <c r="E114" s="2750"/>
      <c r="F114" s="1295"/>
      <c r="G114" s="1295"/>
      <c r="H114" s="1295"/>
      <c r="I114" s="3357"/>
      <c r="J114" s="1985"/>
      <c r="K114" s="1287"/>
      <c r="L114" s="1287"/>
      <c r="M114" s="1022"/>
      <c r="N114" s="1019">
        <f>ROW()</f>
        <v>114</v>
      </c>
      <c r="O114" s="1285"/>
      <c r="P114" s="902"/>
      <c r="Q114" s="902"/>
      <c r="R114" s="1295"/>
      <c r="S114" s="2473"/>
    </row>
    <row r="115" spans="2:19" ht="13.95" customHeight="1">
      <c r="B115" s="1285">
        <f>B112+1</f>
        <v>24</v>
      </c>
      <c r="C115" s="3983" t="s">
        <v>5167</v>
      </c>
      <c r="D115" s="982"/>
      <c r="E115" s="2959">
        <f>Transit!$H$42</f>
        <v>7.0000000000000007E-2</v>
      </c>
      <c r="F115" s="2960">
        <v>7.0000000000000007E-2</v>
      </c>
      <c r="G115" s="2960">
        <v>7.0000000000000007E-2</v>
      </c>
      <c r="H115" s="2960">
        <v>7.0000000000000007E-2</v>
      </c>
      <c r="I115" s="3358">
        <v>7.0000000000000007E-2</v>
      </c>
      <c r="J115" s="2108">
        <f>IF(Results!$H$25="Baseline",E115,IF(Results!$H$25="Baseline with $320M/yr cut in subway spending",F115,IF(Results!$H$25="Move NY Plan",G115,IF(Results!$H$25="Move NY Plan, modified",H115,I115))))</f>
        <v>7.0000000000000007E-2</v>
      </c>
      <c r="K115" s="1287" t="s">
        <v>2367</v>
      </c>
      <c r="L115" s="1287" t="str">
        <f>CONCATENATE(,Subways!O155, " &amp; ",Subways!O163,)</f>
        <v>155 &amp; 163</v>
      </c>
      <c r="M115" s="3941" t="str">
        <f>CONCATENATE("To reset bonus % to 2010 level (prior to fare hike effective 30-Dec-2010), input this amount: ",ROUND((Transit!$H$45)*100,1),"%. To retain actual %, input: ",ROUND((Transit!$H$42)*100,1),"%")</f>
        <v>To reset bonus % to 2010 level (prior to fare hike effective 30-Dec-2010), input this amount: 15%. To retain actual %, input: 7%</v>
      </c>
      <c r="N115" s="1019">
        <f>ROW()</f>
        <v>115</v>
      </c>
      <c r="O115" s="2769">
        <v>0</v>
      </c>
      <c r="P115" s="902"/>
      <c r="Q115" s="902"/>
      <c r="R115" s="1295"/>
      <c r="S115" s="2473"/>
    </row>
    <row r="116" spans="2:19" ht="13.95" customHeight="1">
      <c r="B116" s="1285"/>
      <c r="C116" s="3983"/>
      <c r="D116" s="982"/>
      <c r="E116" s="2750"/>
      <c r="F116" s="1295"/>
      <c r="G116" s="1295"/>
      <c r="H116" s="1295"/>
      <c r="I116" s="3357"/>
      <c r="J116" s="1985"/>
      <c r="K116" s="1287" t="s">
        <v>810</v>
      </c>
      <c r="L116" s="1287" t="str">
        <f>CONCATENATE(,Buses!O51," &amp; ",Buses!O56,)</f>
        <v>51 &amp; 56</v>
      </c>
      <c r="M116" s="3942"/>
      <c r="N116" s="1019">
        <f>ROW()</f>
        <v>116</v>
      </c>
      <c r="O116" s="1285"/>
      <c r="P116" s="902"/>
      <c r="Q116" s="902"/>
      <c r="R116" s="1295"/>
      <c r="S116" s="2473"/>
    </row>
    <row r="117" spans="2:19" ht="13.95" customHeight="1">
      <c r="B117" s="1285"/>
      <c r="C117" s="2952"/>
      <c r="D117" s="982"/>
      <c r="E117" s="2750"/>
      <c r="F117" s="1295"/>
      <c r="G117" s="1295"/>
      <c r="H117" s="1295"/>
      <c r="I117" s="3357"/>
      <c r="J117" s="1985"/>
      <c r="K117" s="902"/>
      <c r="L117" s="902"/>
      <c r="M117" s="2951"/>
      <c r="N117" s="1019">
        <f>ROW()</f>
        <v>117</v>
      </c>
      <c r="O117" s="1285"/>
      <c r="P117" s="902"/>
      <c r="Q117" s="902"/>
      <c r="R117" s="1295"/>
      <c r="S117" s="2473"/>
    </row>
    <row r="118" spans="2:19" ht="13.95" customHeight="1">
      <c r="B118" s="1285">
        <f>B115+1</f>
        <v>25</v>
      </c>
      <c r="C118" s="2048" t="s">
        <v>4642</v>
      </c>
      <c r="D118" s="1984" t="s">
        <v>3263</v>
      </c>
      <c r="E118" s="3929" t="s">
        <v>6109</v>
      </c>
      <c r="F118" s="3930"/>
      <c r="G118" s="3930"/>
      <c r="H118" s="3930"/>
      <c r="I118" s="3931"/>
      <c r="J118" s="1985"/>
      <c r="K118" s="1287" t="s">
        <v>2367</v>
      </c>
      <c r="L118" s="3944" t="str">
        <f>CONCATENATE("'Proposed Fares' Box in Rows ",Subways!O72," to ",Subways!O79,", or Override Factor in Row ",Subways!O73, ", Col. Z")</f>
        <v>'Proposed Fares' Box in Rows 72 to 79, or Override Factor in Row 73, Col. Z</v>
      </c>
      <c r="M118" s="3941" t="s">
        <v>4658</v>
      </c>
      <c r="N118" s="1019">
        <f>ROW()</f>
        <v>118</v>
      </c>
      <c r="O118" s="982"/>
      <c r="P118" s="902"/>
      <c r="Q118" s="902"/>
      <c r="R118" s="902"/>
      <c r="S118" s="2473"/>
    </row>
    <row r="119" spans="2:19" ht="13.95" customHeight="1">
      <c r="B119" s="982"/>
      <c r="C119" s="2048"/>
      <c r="D119" s="3334" t="s">
        <v>3253</v>
      </c>
      <c r="E119" s="2751">
        <v>2.25</v>
      </c>
      <c r="F119" s="1301">
        <v>2.25</v>
      </c>
      <c r="G119" s="1301">
        <v>2.25</v>
      </c>
      <c r="H119" s="1301">
        <v>2.25</v>
      </c>
      <c r="I119" s="3359">
        <v>2.25</v>
      </c>
      <c r="J119" s="1986">
        <f>IF(Results!$H$25="Baseline",E119,IF(Results!$H$25="Baseline with $320M/yr cut in subway spending",F119,IF(Results!$H$25="Move NY Plan",G119,IF(Results!$H$25="Move NY Plan, modified",H119,I119))))</f>
        <v>2.25</v>
      </c>
      <c r="K119" s="1287"/>
      <c r="L119" s="4019"/>
      <c r="M119" s="3942"/>
      <c r="N119" s="1019">
        <f>ROW()</f>
        <v>119</v>
      </c>
      <c r="O119" s="2773">
        <v>1.25</v>
      </c>
      <c r="P119" s="902"/>
      <c r="Q119" s="902"/>
      <c r="R119" s="1301">
        <v>0</v>
      </c>
      <c r="S119" s="2473"/>
    </row>
    <row r="120" spans="2:19" ht="13.95" customHeight="1">
      <c r="B120" s="982"/>
      <c r="C120" s="1286"/>
      <c r="D120" s="3336" t="s">
        <v>3264</v>
      </c>
      <c r="E120" s="2751">
        <v>2.25</v>
      </c>
      <c r="F120" s="1301">
        <v>2.25</v>
      </c>
      <c r="G120" s="1301">
        <v>2.25</v>
      </c>
      <c r="H120" s="1301">
        <v>2.25</v>
      </c>
      <c r="I120" s="3359">
        <v>2.25</v>
      </c>
      <c r="J120" s="1986">
        <f>IF(Results!$H$25="Baseline",E120,IF(Results!$H$25="Baseline with $320M/yr cut in subway spending",F120,IF(Results!$H$25="Move NY Plan",G120,IF(Results!$H$25="Move NY Plan, modified",H120,I120))))</f>
        <v>2.25</v>
      </c>
      <c r="K120" s="1287"/>
      <c r="L120" s="4019"/>
      <c r="M120" s="3332"/>
      <c r="N120" s="1019">
        <f>ROW()</f>
        <v>120</v>
      </c>
      <c r="O120" s="2773">
        <v>1.75</v>
      </c>
      <c r="P120" s="902"/>
      <c r="Q120" s="902"/>
      <c r="R120" s="1301">
        <v>0.5</v>
      </c>
      <c r="S120" s="2473"/>
    </row>
    <row r="121" spans="2:19" ht="13.95" customHeight="1">
      <c r="B121" s="982"/>
      <c r="C121" s="902"/>
      <c r="D121" s="3337" t="s">
        <v>6180</v>
      </c>
      <c r="E121" s="2751">
        <v>2.25</v>
      </c>
      <c r="F121" s="1301">
        <v>2.25</v>
      </c>
      <c r="G121" s="1301">
        <v>2.25</v>
      </c>
      <c r="H121" s="1301">
        <v>2.25</v>
      </c>
      <c r="I121" s="3359">
        <v>2.25</v>
      </c>
      <c r="J121" s="1986">
        <f>IF(Results!$H$25="Baseline",E121,IF(Results!$H$25="Baseline with $320M/yr cut in subway spending",F121,IF(Results!$H$25="Move NY Plan",G121,IF(Results!$H$25="Move NY Plan, modified",H121,I121))))</f>
        <v>2.25</v>
      </c>
      <c r="K121" s="1287"/>
      <c r="L121" s="4019"/>
      <c r="M121" s="104" t="s">
        <v>2074</v>
      </c>
      <c r="N121" s="1019">
        <f>ROW()</f>
        <v>121</v>
      </c>
      <c r="O121" s="2773">
        <v>1.75</v>
      </c>
      <c r="P121" s="902"/>
      <c r="Q121" s="902"/>
      <c r="R121" s="1301">
        <v>1</v>
      </c>
      <c r="S121" s="2473"/>
    </row>
    <row r="122" spans="2:19" ht="13.95" customHeight="1">
      <c r="B122" s="982"/>
      <c r="C122" s="902"/>
      <c r="D122" s="3338" t="s">
        <v>3265</v>
      </c>
      <c r="E122" s="2751">
        <v>2.25</v>
      </c>
      <c r="F122" s="1301">
        <v>2.25</v>
      </c>
      <c r="G122" s="1301">
        <v>2.25</v>
      </c>
      <c r="H122" s="1301">
        <v>2.25</v>
      </c>
      <c r="I122" s="3359">
        <v>2.25</v>
      </c>
      <c r="J122" s="1986">
        <f>IF(Results!$H$25="Baseline",E122,IF(Results!$H$25="Baseline with $320M/yr cut in subway spending",F122,IF(Results!$H$25="Move NY Plan",G122,IF(Results!$H$25="Move NY Plan, modified",H122,I122))))</f>
        <v>2.25</v>
      </c>
      <c r="K122" s="1287"/>
      <c r="L122" s="4019"/>
      <c r="N122" s="1019">
        <f>ROW()</f>
        <v>122</v>
      </c>
      <c r="O122" s="2773">
        <v>1.75</v>
      </c>
      <c r="P122" s="902"/>
      <c r="Q122" s="902"/>
      <c r="R122" s="1301">
        <v>1</v>
      </c>
      <c r="S122" s="2473"/>
    </row>
    <row r="123" spans="2:19" ht="13.95" customHeight="1">
      <c r="B123" s="982"/>
      <c r="D123" s="3360" t="s">
        <v>3266</v>
      </c>
      <c r="E123" s="2751">
        <v>2.25</v>
      </c>
      <c r="F123" s="1301">
        <v>2.25</v>
      </c>
      <c r="G123" s="1301">
        <v>2.25</v>
      </c>
      <c r="H123" s="1301">
        <v>2.25</v>
      </c>
      <c r="I123" s="3359">
        <v>2.25</v>
      </c>
      <c r="J123" s="1986">
        <f>IF(Results!$H$25="Baseline",E123,IF(Results!$H$25="Baseline with $320M/yr cut in subway spending",F123,IF(Results!$H$25="Move NY Plan",G123,IF(Results!$H$25="Move NY Plan, modified",H123,I123))))</f>
        <v>2.25</v>
      </c>
      <c r="K123" s="1287"/>
      <c r="L123" s="4019"/>
      <c r="M123" s="3942" t="s">
        <v>4437</v>
      </c>
      <c r="N123" s="1019">
        <f>ROW()</f>
        <v>123</v>
      </c>
      <c r="O123" s="2773">
        <v>1.75</v>
      </c>
      <c r="P123" s="902"/>
      <c r="Q123" s="902"/>
      <c r="R123" s="1301">
        <v>1.5</v>
      </c>
      <c r="S123" s="2473"/>
    </row>
    <row r="124" spans="2:19" ht="13.95" customHeight="1" thickBot="1">
      <c r="B124" s="982"/>
      <c r="D124" s="3361" t="s">
        <v>3267</v>
      </c>
      <c r="E124" s="2751">
        <v>2.25</v>
      </c>
      <c r="F124" s="1301">
        <v>2.25</v>
      </c>
      <c r="G124" s="1301">
        <v>2.25</v>
      </c>
      <c r="H124" s="1301">
        <v>2.25</v>
      </c>
      <c r="I124" s="3359">
        <v>2.25</v>
      </c>
      <c r="J124" s="1986">
        <f>IF(Results!$H$25="Baseline",E124,IF(Results!$H$25="Baseline with $320M/yr cut in subway spending",F124,IF(Results!$H$25="Move NY Plan",G124,IF(Results!$H$25="Move NY Plan, modified",H124,I124))))</f>
        <v>2.25</v>
      </c>
      <c r="K124" s="1287"/>
      <c r="L124" s="4019"/>
      <c r="M124" s="3949"/>
      <c r="N124" s="1019">
        <f>ROW()</f>
        <v>124</v>
      </c>
      <c r="O124" s="2773">
        <v>2.25</v>
      </c>
      <c r="P124" s="902"/>
      <c r="Q124" s="902"/>
      <c r="R124" s="1301">
        <v>2</v>
      </c>
      <c r="S124" s="2473"/>
    </row>
    <row r="125" spans="2:19" ht="13.95" customHeight="1">
      <c r="B125" s="982"/>
      <c r="D125" s="2975" t="s">
        <v>1079</v>
      </c>
      <c r="E125" s="2752">
        <v>1</v>
      </c>
      <c r="F125" s="1303">
        <v>1</v>
      </c>
      <c r="G125" s="1303" t="s">
        <v>488</v>
      </c>
      <c r="H125" s="1303" t="s">
        <v>488</v>
      </c>
      <c r="I125" s="3362" t="s">
        <v>488</v>
      </c>
      <c r="J125" s="2074" t="str">
        <f>IF(Results!$H$25="Baseline",E125,IF(Results!$H$25="Baseline with $320M/yr cut in subway spending",F125,IF(Results!$H$25="Move NY Plan",G125,IF(Results!$H$25="Move NY Plan, modified",H125,I125))))</f>
        <v>NONE</v>
      </c>
      <c r="K125" s="1287"/>
      <c r="L125" s="4019"/>
      <c r="M125" s="3949"/>
      <c r="N125" s="1019">
        <f>ROW()</f>
        <v>125</v>
      </c>
      <c r="O125" s="2774">
        <v>1</v>
      </c>
      <c r="P125" s="902"/>
      <c r="Q125" s="902"/>
      <c r="R125" s="1303" t="s">
        <v>488</v>
      </c>
      <c r="S125" s="2473"/>
    </row>
    <row r="126" spans="2:19" ht="13.95" customHeight="1">
      <c r="B126" s="982"/>
      <c r="D126" s="1302" t="s">
        <v>85</v>
      </c>
      <c r="E126" s="2752"/>
      <c r="F126" s="1303"/>
      <c r="G126" s="1303"/>
      <c r="H126" s="1303"/>
      <c r="I126" s="3362"/>
      <c r="J126" s="1985"/>
      <c r="K126" s="1287"/>
      <c r="L126" s="1288"/>
      <c r="N126" s="1019">
        <f>ROW()</f>
        <v>126</v>
      </c>
      <c r="O126" s="2774"/>
      <c r="P126" s="1303"/>
      <c r="Q126" s="902"/>
      <c r="R126" s="1303"/>
      <c r="S126" s="2473"/>
    </row>
    <row r="127" spans="2:19" ht="13.95" customHeight="1">
      <c r="B127" s="982"/>
      <c r="C127" s="902"/>
      <c r="D127" s="1304" t="s">
        <v>2129</v>
      </c>
      <c r="E127" s="2752" t="s">
        <v>2129</v>
      </c>
      <c r="F127" s="1303" t="s">
        <v>647</v>
      </c>
      <c r="G127" s="1303" t="s">
        <v>647</v>
      </c>
      <c r="H127" s="1303" t="s">
        <v>647</v>
      </c>
      <c r="I127" s="3362" t="s">
        <v>647</v>
      </c>
      <c r="J127" s="2074" t="str">
        <f>IF(Results!$H$25="Baseline",E127,IF(Results!$H$25="Baseline with $320M/yr cut in subway spending",F127,IF(Results!$H$25="Move NY Plan",G127,IF(Results!$H$25="Move NY Plan, modified",H127,I127))))</f>
        <v>NO</v>
      </c>
      <c r="K127" s="1287"/>
      <c r="L127" s="1288"/>
      <c r="M127" s="2492" t="s">
        <v>4438</v>
      </c>
      <c r="N127" s="1019">
        <f>ROW()</f>
        <v>127</v>
      </c>
      <c r="O127" s="2774" t="s">
        <v>2129</v>
      </c>
      <c r="P127" s="902"/>
      <c r="Q127" s="902"/>
      <c r="R127" s="1303" t="s">
        <v>647</v>
      </c>
      <c r="S127" s="2473"/>
    </row>
    <row r="128" spans="2:19" ht="13.95" customHeight="1">
      <c r="B128" s="982"/>
      <c r="C128" s="902"/>
      <c r="D128" s="1305" t="s">
        <v>647</v>
      </c>
      <c r="E128" s="2752"/>
      <c r="F128" s="1303"/>
      <c r="G128" s="1303"/>
      <c r="H128" s="1303"/>
      <c r="I128" s="3362"/>
      <c r="J128" s="1985"/>
      <c r="K128" s="1287"/>
      <c r="L128" s="1288"/>
      <c r="N128" s="1019">
        <f>ROW()</f>
        <v>128</v>
      </c>
      <c r="O128" s="2774"/>
      <c r="P128" s="902"/>
      <c r="Q128" s="902"/>
      <c r="R128" s="1303"/>
      <c r="S128" s="2473"/>
    </row>
    <row r="129" spans="2:19" ht="13.95" customHeight="1">
      <c r="B129" s="1285">
        <f>B118+1</f>
        <v>26</v>
      </c>
      <c r="C129" s="2048" t="s">
        <v>4495</v>
      </c>
      <c r="D129" s="982"/>
      <c r="E129" s="2751">
        <v>2.25</v>
      </c>
      <c r="F129" s="1301">
        <v>2.25</v>
      </c>
      <c r="G129" s="1301">
        <v>2.25</v>
      </c>
      <c r="H129" s="1301">
        <v>2.25</v>
      </c>
      <c r="I129" s="3359">
        <v>2.25</v>
      </c>
      <c r="J129" s="1986">
        <f>IF(Results!$H$25="Baseline",E129,IF(Results!$H$25="Baseline with $320M/yr cut in subway spending",F129,IF(Results!$H$25="Move NY Plan",G129,IF(Results!$H$25="Move NY Plan, modified",H129,I129))))</f>
        <v>2.25</v>
      </c>
      <c r="K129" s="1287" t="s">
        <v>2367</v>
      </c>
      <c r="L129" s="4028"/>
      <c r="M129" s="4030" t="s">
        <v>5275</v>
      </c>
      <c r="N129" s="1019">
        <f>ROW()</f>
        <v>129</v>
      </c>
      <c r="O129" s="2773">
        <v>1</v>
      </c>
      <c r="P129" s="902"/>
      <c r="Q129" s="902"/>
      <c r="R129" s="1301">
        <v>0</v>
      </c>
      <c r="S129" s="2473"/>
    </row>
    <row r="130" spans="2:19" ht="13.95" customHeight="1">
      <c r="B130" s="982"/>
      <c r="C130" s="2048"/>
      <c r="D130" s="982"/>
      <c r="E130" s="2750"/>
      <c r="F130" s="1295"/>
      <c r="G130" s="1295"/>
      <c r="H130" s="1295"/>
      <c r="I130" s="3357"/>
      <c r="J130" s="1985"/>
      <c r="K130" s="1287"/>
      <c r="L130" s="4029"/>
      <c r="M130" s="4031"/>
      <c r="N130" s="1019">
        <f>ROW()</f>
        <v>130</v>
      </c>
      <c r="O130" s="1285"/>
      <c r="P130" s="902"/>
      <c r="Q130" s="902"/>
      <c r="R130" s="1295"/>
      <c r="S130" s="2473"/>
    </row>
    <row r="131" spans="2:19" ht="13.95" customHeight="1">
      <c r="B131" s="982"/>
      <c r="C131" s="2484"/>
      <c r="D131" s="982"/>
      <c r="E131" s="2750"/>
      <c r="F131" s="1295"/>
      <c r="G131" s="1295"/>
      <c r="H131" s="1295"/>
      <c r="I131" s="3357"/>
      <c r="J131" s="1985"/>
      <c r="K131" s="1287"/>
      <c r="L131" s="2485"/>
      <c r="M131" s="4031"/>
      <c r="N131" s="1019">
        <f>ROW()</f>
        <v>131</v>
      </c>
      <c r="O131" s="1285"/>
      <c r="P131" s="902"/>
      <c r="Q131" s="902"/>
      <c r="R131" s="1295"/>
      <c r="S131" s="2473"/>
    </row>
    <row r="132" spans="2:19" ht="13.95" customHeight="1">
      <c r="B132" s="1285">
        <f>B129+1</f>
        <v>27</v>
      </c>
      <c r="C132" s="4026" t="s">
        <v>4441</v>
      </c>
      <c r="D132" s="982"/>
      <c r="E132" s="2751">
        <v>2.25</v>
      </c>
      <c r="F132" s="1301">
        <v>2.25</v>
      </c>
      <c r="G132" s="1301">
        <v>2.25</v>
      </c>
      <c r="H132" s="1301">
        <v>2.25</v>
      </c>
      <c r="I132" s="3359">
        <v>2.25</v>
      </c>
      <c r="J132" s="1986">
        <f>IF(Results!$H$25="Baseline",E132,IF(Results!$H$25="Baseline with $320M/yr cut in subway spending",F132,IF(Results!$H$25="Move NY Plan",G132,IF(Results!$H$25="Move NY Plan, modified",H132,I132))))</f>
        <v>2.25</v>
      </c>
      <c r="K132" s="1287" t="s">
        <v>2367</v>
      </c>
      <c r="L132" s="2485"/>
      <c r="M132" s="4031"/>
      <c r="N132" s="1019">
        <f>ROW()</f>
        <v>132</v>
      </c>
      <c r="O132" s="2773">
        <v>1</v>
      </c>
      <c r="P132" s="902"/>
      <c r="Q132" s="902"/>
      <c r="R132" s="1301">
        <v>0</v>
      </c>
      <c r="S132" s="2473"/>
    </row>
    <row r="133" spans="2:19" ht="13.95" customHeight="1">
      <c r="B133" s="982"/>
      <c r="C133" s="4027"/>
      <c r="D133" s="982"/>
      <c r="E133" s="2750"/>
      <c r="F133" s="1295"/>
      <c r="G133" s="1295"/>
      <c r="H133" s="1295"/>
      <c r="I133" s="3357"/>
      <c r="J133" s="1985"/>
      <c r="K133" s="1287"/>
      <c r="L133" s="2485"/>
      <c r="M133" s="4031"/>
      <c r="N133" s="1019">
        <f>ROW()</f>
        <v>133</v>
      </c>
      <c r="O133" s="1285"/>
      <c r="P133" s="902"/>
      <c r="Q133" s="902"/>
      <c r="R133" s="1295"/>
      <c r="S133" s="2473"/>
    </row>
    <row r="134" spans="2:19" ht="13.95" customHeight="1">
      <c r="B134" s="982"/>
      <c r="C134" s="902"/>
      <c r="D134" s="982"/>
      <c r="E134" s="2750"/>
      <c r="F134" s="1295"/>
      <c r="G134" s="1295"/>
      <c r="H134" s="1295"/>
      <c r="I134" s="3357"/>
      <c r="J134" s="1985"/>
      <c r="K134" s="1287"/>
      <c r="L134" s="1288"/>
      <c r="M134" s="4031"/>
      <c r="N134" s="1019">
        <f>ROW()</f>
        <v>134</v>
      </c>
      <c r="O134" s="1285"/>
      <c r="P134" s="902"/>
      <c r="Q134" s="902"/>
      <c r="R134" s="1295"/>
      <c r="S134" s="2473"/>
    </row>
    <row r="135" spans="2:19" ht="13.95" customHeight="1">
      <c r="B135" s="1285">
        <f>B132+1</f>
        <v>28</v>
      </c>
      <c r="C135" s="2048" t="s">
        <v>5044</v>
      </c>
      <c r="D135" s="982"/>
      <c r="E135" s="2751">
        <v>2.25</v>
      </c>
      <c r="F135" s="1301">
        <v>2.25</v>
      </c>
      <c r="G135" s="1301">
        <v>2.25</v>
      </c>
      <c r="H135" s="1301">
        <v>2.25</v>
      </c>
      <c r="I135" s="3359">
        <v>2.25</v>
      </c>
      <c r="J135" s="1986">
        <f>IF(Results!$H$25="Baseline",E135,IF(Results!$H$25="Baseline with $320M/yr cut in subway spending",F135,IF(Results!$H$25="Move NY Plan",G135,IF(Results!$H$25="Move NY Plan, modified",H135,I135))))</f>
        <v>2.25</v>
      </c>
      <c r="K135" s="2175" t="s">
        <v>4496</v>
      </c>
      <c r="L135" s="1287"/>
      <c r="M135" s="4031"/>
      <c r="N135" s="1019">
        <f>ROW()</f>
        <v>135</v>
      </c>
      <c r="O135" s="2773">
        <v>1</v>
      </c>
      <c r="P135" s="902"/>
      <c r="Q135" s="902"/>
      <c r="R135" s="1301">
        <v>0</v>
      </c>
      <c r="S135" s="2473"/>
    </row>
    <row r="136" spans="2:19" ht="13.95" customHeight="1">
      <c r="B136" s="1285"/>
      <c r="C136" s="2048"/>
      <c r="D136" s="982"/>
      <c r="E136" s="2744"/>
      <c r="F136" s="2839"/>
      <c r="G136" s="1296"/>
      <c r="H136" s="1296"/>
      <c r="I136" s="3352"/>
      <c r="J136" s="1985"/>
      <c r="K136" s="1287"/>
      <c r="L136" s="1287"/>
      <c r="M136" s="4031"/>
      <c r="N136" s="1019">
        <f>ROW()</f>
        <v>136</v>
      </c>
      <c r="O136" s="2768"/>
      <c r="P136" s="902"/>
      <c r="Q136" s="902"/>
      <c r="R136" s="1296"/>
      <c r="S136" s="2473"/>
    </row>
    <row r="137" spans="2:19" ht="13.95" customHeight="1">
      <c r="B137" s="1285">
        <f>B135+1</f>
        <v>29</v>
      </c>
      <c r="C137" s="2048" t="s">
        <v>4643</v>
      </c>
      <c r="D137" s="982"/>
      <c r="E137" s="2751">
        <v>2.25</v>
      </c>
      <c r="F137" s="1301">
        <v>2.25</v>
      </c>
      <c r="G137" s="1301">
        <v>2.25</v>
      </c>
      <c r="H137" s="1301">
        <v>2.25</v>
      </c>
      <c r="I137" s="3359">
        <v>2.25</v>
      </c>
      <c r="J137" s="1986">
        <f>IF(Results!$H$25="Baseline",E137,IF(Results!$H$25="Baseline with $320M/yr cut in subway spending",F137,IF(Results!$H$25="Move NY Plan",G137,IF(Results!$H$25="Move NY Plan, modified",H137,I137))))</f>
        <v>2.25</v>
      </c>
      <c r="K137" s="2175" t="s">
        <v>4496</v>
      </c>
      <c r="L137" s="1287"/>
      <c r="M137" s="4031"/>
      <c r="N137" s="1019">
        <f>ROW()</f>
        <v>137</v>
      </c>
      <c r="O137" s="2773">
        <v>1</v>
      </c>
      <c r="P137" s="902"/>
      <c r="Q137" s="902"/>
      <c r="R137" s="1301">
        <v>0</v>
      </c>
      <c r="S137" s="2473"/>
    </row>
    <row r="138" spans="2:19" ht="13.95" customHeight="1">
      <c r="B138" s="1285"/>
      <c r="C138" s="2488"/>
      <c r="D138" s="982"/>
      <c r="E138" s="2744"/>
      <c r="F138" s="1296"/>
      <c r="G138" s="1296"/>
      <c r="H138" s="1296"/>
      <c r="I138" s="3352"/>
      <c r="J138" s="1985"/>
      <c r="K138" s="1287"/>
      <c r="L138" s="1287"/>
      <c r="M138" s="4031"/>
      <c r="N138" s="1019">
        <f>ROW()</f>
        <v>138</v>
      </c>
      <c r="O138" s="2768"/>
      <c r="P138" s="902"/>
      <c r="Q138" s="902"/>
      <c r="R138" s="1296"/>
      <c r="S138" s="2473"/>
    </row>
    <row r="139" spans="2:19" ht="13.95" customHeight="1">
      <c r="B139" s="1285">
        <f>B137+1</f>
        <v>30</v>
      </c>
      <c r="C139" s="2048" t="s">
        <v>4540</v>
      </c>
      <c r="D139" s="982"/>
      <c r="E139" s="2751">
        <v>2.25</v>
      </c>
      <c r="F139" s="1301">
        <v>2.25</v>
      </c>
      <c r="G139" s="1301">
        <v>2.25</v>
      </c>
      <c r="H139" s="1301">
        <v>2.25</v>
      </c>
      <c r="I139" s="3359">
        <v>2.25</v>
      </c>
      <c r="J139" s="1986">
        <f>IF(Results!$H$25="Baseline",E139,IF(Results!$H$25="Baseline with $320M/yr cut in subway spending",F139,IF(Results!$H$25="Move NY Plan",G139,IF(Results!$H$25="Move NY Plan, modified",H139,I139))))</f>
        <v>2.25</v>
      </c>
      <c r="K139" s="2175" t="s">
        <v>4496</v>
      </c>
      <c r="L139" s="1287"/>
      <c r="M139" s="4031"/>
      <c r="N139" s="1019">
        <f>ROW()</f>
        <v>139</v>
      </c>
      <c r="O139" s="2773">
        <v>1</v>
      </c>
      <c r="P139" s="902"/>
      <c r="Q139" s="902"/>
      <c r="R139" s="1301">
        <v>0</v>
      </c>
      <c r="S139" s="2473"/>
    </row>
    <row r="140" spans="2:19" ht="13.95" customHeight="1">
      <c r="B140" s="1285"/>
      <c r="C140" s="2488"/>
      <c r="D140" s="982"/>
      <c r="E140" s="2744"/>
      <c r="F140" s="1296"/>
      <c r="G140" s="1296"/>
      <c r="H140" s="1296"/>
      <c r="I140" s="3352"/>
      <c r="J140" s="1985"/>
      <c r="K140" s="1287"/>
      <c r="L140" s="1287"/>
      <c r="M140"/>
      <c r="N140" s="1019">
        <f>ROW()</f>
        <v>140</v>
      </c>
      <c r="O140" s="2768"/>
      <c r="P140" s="902"/>
      <c r="Q140" s="902"/>
      <c r="R140" s="1296"/>
      <c r="S140" s="2473"/>
    </row>
    <row r="141" spans="2:19" ht="13.95" customHeight="1">
      <c r="B141" s="1285">
        <f>B139+1</f>
        <v>31</v>
      </c>
      <c r="C141" s="3983" t="s">
        <v>5173</v>
      </c>
      <c r="D141" s="1289" t="s">
        <v>2487</v>
      </c>
      <c r="E141" s="2745">
        <v>0</v>
      </c>
      <c r="F141" s="1306">
        <v>0</v>
      </c>
      <c r="G141" s="1306">
        <v>0</v>
      </c>
      <c r="H141" s="1306">
        <v>0</v>
      </c>
      <c r="I141" s="3363">
        <v>0</v>
      </c>
      <c r="J141" s="2075">
        <f>IF(Results!$H$25="Baseline",E141,IF(Results!$H$25="Baseline with $320M/yr cut in subway spending",F141,IF(Results!$H$25="Move NY Plan",G141,IF(Results!$H$25="Move NY Plan, modified",H141,I141))))</f>
        <v>0</v>
      </c>
      <c r="K141" s="1287" t="s">
        <v>2738</v>
      </c>
      <c r="L141" s="1287"/>
      <c r="M141" s="902"/>
      <c r="N141" s="1019">
        <f>ROW()</f>
        <v>141</v>
      </c>
      <c r="O141" s="1289"/>
      <c r="P141" s="902"/>
      <c r="Q141" s="902"/>
      <c r="R141" s="1284"/>
      <c r="S141" s="2473"/>
    </row>
    <row r="142" spans="2:19" ht="13.95" customHeight="1">
      <c r="B142" s="1285"/>
      <c r="C142" s="3983"/>
      <c r="D142" s="3365"/>
      <c r="E142" s="2739"/>
      <c r="F142" s="902"/>
      <c r="G142" s="902"/>
      <c r="H142" s="902"/>
      <c r="I142" s="2473"/>
      <c r="J142" s="1985"/>
      <c r="K142" s="1297"/>
      <c r="L142" s="1297"/>
      <c r="M142" s="902"/>
      <c r="N142" s="1019">
        <f>ROW()</f>
        <v>142</v>
      </c>
      <c r="O142" s="1289"/>
      <c r="P142" s="902"/>
      <c r="Q142" s="902"/>
      <c r="R142" s="1284"/>
      <c r="S142" s="2473"/>
    </row>
    <row r="143" spans="2:19" ht="13.95" customHeight="1">
      <c r="B143" s="1285"/>
      <c r="C143" s="2964"/>
      <c r="D143" s="982"/>
      <c r="E143" s="2749"/>
      <c r="F143" s="1284"/>
      <c r="G143" s="1284"/>
      <c r="H143" s="1284"/>
      <c r="I143" s="3364"/>
      <c r="J143" s="1985"/>
      <c r="K143" s="1297"/>
      <c r="L143" s="1297"/>
      <c r="M143" s="902"/>
      <c r="N143" s="1019">
        <f>ROW()</f>
        <v>143</v>
      </c>
      <c r="O143" s="1289"/>
      <c r="P143" s="902"/>
      <c r="Q143" s="902"/>
      <c r="R143" s="1284"/>
      <c r="S143" s="2473"/>
    </row>
    <row r="144" spans="2:19" ht="13.95" customHeight="1">
      <c r="B144" s="1285">
        <f>B141+1</f>
        <v>32</v>
      </c>
      <c r="C144" s="3983" t="s">
        <v>5732</v>
      </c>
      <c r="D144" s="2772" t="s">
        <v>4867</v>
      </c>
      <c r="E144" s="2745" t="s">
        <v>647</v>
      </c>
      <c r="F144" s="2860" t="s">
        <v>647</v>
      </c>
      <c r="G144" s="2860" t="s">
        <v>2129</v>
      </c>
      <c r="H144" s="2860" t="s">
        <v>2129</v>
      </c>
      <c r="I144" s="3343" t="s">
        <v>647</v>
      </c>
      <c r="J144" s="2075" t="str">
        <f>IF(Results!$H$25="Baseline",E144,IF(Results!$H$25="Baseline with $320M/yr cut in subway spending",F144,IF(Results!$H$25="Move NY Plan",G144,IF(Results!$H$25="Move NY Plan, modified",H144,I144))))</f>
        <v>YES</v>
      </c>
      <c r="K144" s="1287" t="s">
        <v>2738</v>
      </c>
      <c r="L144" s="1287" t="s">
        <v>593</v>
      </c>
      <c r="M144" s="3942" t="s">
        <v>595</v>
      </c>
      <c r="N144" s="1019">
        <f>ROW()</f>
        <v>144</v>
      </c>
      <c r="O144" s="2775">
        <v>0</v>
      </c>
      <c r="P144" s="902"/>
      <c r="Q144" s="902"/>
      <c r="R144" s="1306">
        <v>1</v>
      </c>
      <c r="S144" s="2473"/>
    </row>
    <row r="145" spans="2:19" ht="13.95" customHeight="1">
      <c r="B145" s="982"/>
      <c r="C145" s="3983"/>
      <c r="D145" s="1304"/>
      <c r="E145" s="2739"/>
      <c r="F145" s="902"/>
      <c r="G145" s="902"/>
      <c r="H145" s="902"/>
      <c r="I145" s="2473"/>
      <c r="J145" s="1985"/>
      <c r="K145" s="1307"/>
      <c r="L145" s="1307"/>
      <c r="M145" s="3949"/>
      <c r="N145" s="1019">
        <f>ROW()</f>
        <v>145</v>
      </c>
      <c r="O145" s="982"/>
      <c r="P145" s="902"/>
      <c r="Q145" s="902"/>
      <c r="R145" s="902"/>
      <c r="S145" s="2473"/>
    </row>
    <row r="146" spans="2:19" ht="13.95" customHeight="1">
      <c r="B146" s="1285"/>
      <c r="C146" s="3262"/>
      <c r="D146" s="1304"/>
      <c r="E146" s="2739"/>
      <c r="F146" s="902"/>
      <c r="G146" s="902"/>
      <c r="H146" s="902"/>
      <c r="I146" s="2473"/>
      <c r="J146" s="1985"/>
      <c r="K146" s="1297"/>
      <c r="L146" s="1297"/>
      <c r="M146" s="3333"/>
      <c r="N146" s="1019">
        <f>ROW()</f>
        <v>146</v>
      </c>
      <c r="O146" s="982"/>
      <c r="P146" s="902"/>
      <c r="Q146" s="902"/>
      <c r="R146" s="902"/>
      <c r="S146" s="2473"/>
    </row>
    <row r="147" spans="2:19" ht="13.95" customHeight="1">
      <c r="B147" s="1285">
        <f>B144+1</f>
        <v>33</v>
      </c>
      <c r="C147" s="3983" t="s">
        <v>3357</v>
      </c>
      <c r="D147" s="1289" t="s">
        <v>2487</v>
      </c>
      <c r="E147" s="2745">
        <v>0</v>
      </c>
      <c r="F147" s="1306">
        <v>0</v>
      </c>
      <c r="G147" s="1306">
        <v>0.1</v>
      </c>
      <c r="H147" s="1306">
        <v>0.1</v>
      </c>
      <c r="I147" s="3363">
        <v>0</v>
      </c>
      <c r="J147" s="2075">
        <f>IF(Results!$H$25="Baseline",E147,IF(Results!$H$25="Baseline with $320M/yr cut in subway spending",F147,IF(Results!$H$25="Move NY Plan",G147,IF(Results!$H$25="Move NY Plan, modified",H147,I147))))</f>
        <v>0.1</v>
      </c>
      <c r="K147" s="1287" t="s">
        <v>2738</v>
      </c>
      <c r="L147" s="1287" t="s">
        <v>594</v>
      </c>
      <c r="M147" s="3941" t="s">
        <v>5923</v>
      </c>
      <c r="N147" s="1019">
        <f>ROW()</f>
        <v>147</v>
      </c>
      <c r="O147" s="2775">
        <v>0</v>
      </c>
      <c r="P147" s="902"/>
      <c r="Q147" s="902"/>
      <c r="R147" s="1306">
        <v>1</v>
      </c>
      <c r="S147" s="2473"/>
    </row>
    <row r="148" spans="2:19" ht="13.95" customHeight="1">
      <c r="B148" s="1285"/>
      <c r="C148" s="3983"/>
      <c r="D148" s="3365"/>
      <c r="E148" s="2739"/>
      <c r="F148" s="902"/>
      <c r="G148" s="902"/>
      <c r="H148" s="902"/>
      <c r="I148" s="2473"/>
      <c r="J148" s="1985"/>
      <c r="K148" s="1297"/>
      <c r="L148" s="1297"/>
      <c r="M148" s="3949"/>
      <c r="N148" s="1019">
        <f>ROW()</f>
        <v>148</v>
      </c>
      <c r="O148" s="982"/>
      <c r="P148" s="902"/>
      <c r="Q148" s="902"/>
      <c r="R148" s="902"/>
      <c r="S148" s="2473"/>
    </row>
    <row r="149" spans="2:19" ht="13.95" customHeight="1">
      <c r="B149" s="1285"/>
      <c r="C149" s="2487"/>
      <c r="D149" s="3365"/>
      <c r="E149" s="2739"/>
      <c r="F149" s="902"/>
      <c r="G149" s="902"/>
      <c r="H149" s="902"/>
      <c r="I149" s="2473"/>
      <c r="J149" s="1985"/>
      <c r="K149" s="1297"/>
      <c r="L149" s="1297"/>
      <c r="M149" s="3949"/>
      <c r="N149" s="1019">
        <f>ROW()</f>
        <v>149</v>
      </c>
      <c r="O149" s="982"/>
      <c r="P149" s="902"/>
      <c r="Q149" s="902"/>
      <c r="R149" s="902"/>
      <c r="S149" s="2473"/>
    </row>
    <row r="150" spans="2:19" ht="13.95" customHeight="1">
      <c r="B150" s="982"/>
      <c r="C150" s="1292"/>
      <c r="D150" s="3365"/>
      <c r="E150" s="2739"/>
      <c r="F150" s="902"/>
      <c r="G150" s="902"/>
      <c r="H150" s="902"/>
      <c r="I150" s="2473"/>
      <c r="J150" s="1985"/>
      <c r="K150" s="1297"/>
      <c r="L150" s="1297"/>
      <c r="M150" s="3330"/>
      <c r="N150" s="1019">
        <f>ROW()</f>
        <v>150</v>
      </c>
      <c r="O150" s="982"/>
      <c r="P150" s="902"/>
      <c r="Q150" s="902"/>
      <c r="R150" s="902"/>
      <c r="S150" s="2473"/>
    </row>
    <row r="151" spans="2:19" s="902" customFormat="1" ht="13.95" customHeight="1">
      <c r="B151" s="1285">
        <f>B147+1</f>
        <v>34</v>
      </c>
      <c r="C151" s="2048" t="s">
        <v>2386</v>
      </c>
      <c r="D151" s="1289" t="s">
        <v>2487</v>
      </c>
      <c r="E151" s="2745">
        <v>0</v>
      </c>
      <c r="F151" s="1306">
        <v>0</v>
      </c>
      <c r="G151" s="1306">
        <v>0</v>
      </c>
      <c r="H151" s="1306">
        <v>0</v>
      </c>
      <c r="I151" s="3363">
        <v>0</v>
      </c>
      <c r="J151" s="2075">
        <f>IF(Results!$H$25="Baseline",E151,IF(Results!$H$25="Baseline with $320M/yr cut in subway spending",F151,IF(Results!$H$25="Move NY Plan",G151,IF(Results!$H$25="Move NY Plan, modified",H151,I151))))</f>
        <v>0</v>
      </c>
      <c r="K151" s="1287" t="s">
        <v>1642</v>
      </c>
      <c r="L151" s="1308"/>
      <c r="M151" s="3949" t="s">
        <v>3269</v>
      </c>
      <c r="N151" s="1019">
        <f>ROW()</f>
        <v>151</v>
      </c>
      <c r="O151" s="2775">
        <v>0</v>
      </c>
      <c r="R151" s="1306">
        <v>0</v>
      </c>
      <c r="S151" s="2473"/>
    </row>
    <row r="152" spans="2:19" s="902" customFormat="1" ht="13.95" customHeight="1">
      <c r="B152" s="982"/>
      <c r="C152" s="2950"/>
      <c r="D152" s="1304"/>
      <c r="E152" s="2739"/>
      <c r="I152" s="2473"/>
      <c r="J152" s="1985"/>
      <c r="K152" s="1307"/>
      <c r="L152" s="1307"/>
      <c r="M152" s="3949"/>
      <c r="N152" s="1019">
        <f>ROW()</f>
        <v>152</v>
      </c>
      <c r="O152" s="982"/>
      <c r="S152" s="2473"/>
    </row>
    <row r="153" spans="2:19" s="902" customFormat="1" ht="13.95" customHeight="1" thickBot="1">
      <c r="B153" s="982"/>
      <c r="C153" s="1309"/>
      <c r="D153" s="1305"/>
      <c r="E153" s="2738"/>
      <c r="F153" s="1283"/>
      <c r="G153" s="1283"/>
      <c r="H153" s="1283"/>
      <c r="I153" s="2735"/>
      <c r="J153" s="1987"/>
      <c r="K153" s="1310"/>
      <c r="L153" s="1310"/>
      <c r="M153" s="4025"/>
      <c r="N153" s="1019">
        <f>ROW()</f>
        <v>153</v>
      </c>
      <c r="O153" s="2776"/>
      <c r="P153" s="1283"/>
      <c r="Q153" s="1283"/>
      <c r="R153" s="1283"/>
      <c r="S153" s="2777"/>
    </row>
    <row r="154" spans="2:19" ht="13.95" customHeight="1">
      <c r="B154" s="980"/>
      <c r="J154" s="902"/>
      <c r="N154" s="1019"/>
      <c r="O154" s="902"/>
      <c r="P154" s="902"/>
    </row>
    <row r="159" spans="2:19" ht="13.95" customHeight="1">
      <c r="O159" s="902"/>
    </row>
    <row r="160" spans="2:19" ht="13.95" customHeight="1">
      <c r="O160" s="902"/>
    </row>
  </sheetData>
  <sheetProtection formatCells="0" formatColumns="0" formatRows="0" insertColumns="0" insertRows="0" insertHyperlinks="0" deleteColumns="0" deleteRows="0" sort="0" autoFilter="0" pivotTables="0"/>
  <customSheetViews>
    <customSheetView guid="{BD5E6263-A0AD-4076-921A-D4EBD62848EF}" showRuler="0">
      <selection activeCell="A26" sqref="A26"/>
      <pageMargins left="0.75" right="0.75" top="1" bottom="1" header="0.5" footer="0.5"/>
      <pageSetup orientation="portrait" horizontalDpi="1200" verticalDpi="1200" r:id="rId1"/>
      <headerFooter alignWithMargins="0"/>
    </customSheetView>
    <customSheetView guid="{1D5AE30A-CA7C-4B32-AEA4-9F37A560AAA8}" showRuler="0">
      <selection activeCell="A26" sqref="A26"/>
      <pageMargins left="0.75" right="0.75" top="1" bottom="1" header="0.5" footer="0.5"/>
      <pageSetup orientation="portrait" horizontalDpi="1200" verticalDpi="1200" r:id="rId2"/>
      <headerFooter alignWithMargins="0"/>
    </customSheetView>
  </customSheetViews>
  <mergeCells count="101">
    <mergeCell ref="C99:C100"/>
    <mergeCell ref="L42:L44"/>
    <mergeCell ref="L50:L52"/>
    <mergeCell ref="M42:M45"/>
    <mergeCell ref="M50:M52"/>
    <mergeCell ref="M69:M70"/>
    <mergeCell ref="L57:L58"/>
    <mergeCell ref="M79:M82"/>
    <mergeCell ref="M57:M58"/>
    <mergeCell ref="L79:L80"/>
    <mergeCell ref="L69:L70"/>
    <mergeCell ref="M72:M73"/>
    <mergeCell ref="L72:L73"/>
    <mergeCell ref="C57:C58"/>
    <mergeCell ref="C69:C70"/>
    <mergeCell ref="C64:C65"/>
    <mergeCell ref="C89:C90"/>
    <mergeCell ref="C93:C94"/>
    <mergeCell ref="M54:M55"/>
    <mergeCell ref="C54:C55"/>
    <mergeCell ref="C42:C43"/>
    <mergeCell ref="C50:C51"/>
    <mergeCell ref="L64:L65"/>
    <mergeCell ref="C60:C62"/>
    <mergeCell ref="M151:M153"/>
    <mergeCell ref="M147:M149"/>
    <mergeCell ref="M144:M145"/>
    <mergeCell ref="C147:C148"/>
    <mergeCell ref="C102:C103"/>
    <mergeCell ref="M112:M113"/>
    <mergeCell ref="M76:M77"/>
    <mergeCell ref="C76:C77"/>
    <mergeCell ref="C108:C109"/>
    <mergeCell ref="M108:M110"/>
    <mergeCell ref="C132:C133"/>
    <mergeCell ref="L129:L130"/>
    <mergeCell ref="M123:M125"/>
    <mergeCell ref="L118:L125"/>
    <mergeCell ref="M102:M103"/>
    <mergeCell ref="C112:C113"/>
    <mergeCell ref="C115:C116"/>
    <mergeCell ref="M115:M116"/>
    <mergeCell ref="C141:C142"/>
    <mergeCell ref="M129:M139"/>
    <mergeCell ref="C144:C145"/>
    <mergeCell ref="C105:C106"/>
    <mergeCell ref="M105:M106"/>
    <mergeCell ref="M99:M100"/>
    <mergeCell ref="T24:AC24"/>
    <mergeCell ref="M31:M33"/>
    <mergeCell ref="L31:L36"/>
    <mergeCell ref="M35:M36"/>
    <mergeCell ref="L24:L28"/>
    <mergeCell ref="M28:M29"/>
    <mergeCell ref="T28:AC30"/>
    <mergeCell ref="T31:AC32"/>
    <mergeCell ref="M24:M26"/>
    <mergeCell ref="C72:C74"/>
    <mergeCell ref="C47:C48"/>
    <mergeCell ref="I6:M7"/>
    <mergeCell ref="B19:C22"/>
    <mergeCell ref="I9:M10"/>
    <mergeCell ref="E19:E22"/>
    <mergeCell ref="K19:K22"/>
    <mergeCell ref="L19:L22"/>
    <mergeCell ref="M19:M22"/>
    <mergeCell ref="I12:M14"/>
    <mergeCell ref="B13:E14"/>
    <mergeCell ref="B7:F7"/>
    <mergeCell ref="C26:C29"/>
    <mergeCell ref="C33:C36"/>
    <mergeCell ref="C39:C40"/>
    <mergeCell ref="M38:M40"/>
    <mergeCell ref="E30:I31"/>
    <mergeCell ref="S19:S22"/>
    <mergeCell ref="O17:S17"/>
    <mergeCell ref="J19:J24"/>
    <mergeCell ref="I19:I22"/>
    <mergeCell ref="F19:F22"/>
    <mergeCell ref="G19:G22"/>
    <mergeCell ref="D17:I17"/>
    <mergeCell ref="D18:I18"/>
    <mergeCell ref="H19:H22"/>
    <mergeCell ref="D19:D22"/>
    <mergeCell ref="R19:R22"/>
    <mergeCell ref="O19:O22"/>
    <mergeCell ref="P19:P22"/>
    <mergeCell ref="Q19:Q22"/>
    <mergeCell ref="E23:I24"/>
    <mergeCell ref="E118:I118"/>
    <mergeCell ref="O80:O83"/>
    <mergeCell ref="E43:I45"/>
    <mergeCell ref="M118:M119"/>
    <mergeCell ref="K47:K48"/>
    <mergeCell ref="M47:M48"/>
    <mergeCell ref="E48:I48"/>
    <mergeCell ref="M64:M65"/>
    <mergeCell ref="L84:L85"/>
    <mergeCell ref="M89:M91"/>
    <mergeCell ref="M93:M97"/>
    <mergeCell ref="M60:M62"/>
  </mergeCells>
  <phoneticPr fontId="6" type="noConversion"/>
  <conditionalFormatting sqref="I102 F102">
    <cfRule type="cellIs" dxfId="11" priority="8" operator="lessThan">
      <formula>0</formula>
    </cfRule>
  </conditionalFormatting>
  <conditionalFormatting sqref="I99">
    <cfRule type="cellIs" dxfId="10" priority="4" operator="lessThan">
      <formula>0</formula>
    </cfRule>
  </conditionalFormatting>
  <conditionalFormatting sqref="I102">
    <cfRule type="cellIs" dxfId="9" priority="3" operator="lessThan">
      <formula>0</formula>
    </cfRule>
  </conditionalFormatting>
  <conditionalFormatting sqref="I102">
    <cfRule type="cellIs" dxfId="8" priority="2" operator="lessThan">
      <formula>0</formula>
    </cfRule>
  </conditionalFormatting>
  <conditionalFormatting sqref="F99">
    <cfRule type="cellIs" dxfId="7" priority="1" operator="lessThan">
      <formula>0</formula>
    </cfRule>
  </conditionalFormatting>
  <dataValidations disablePrompts="1" count="6">
    <dataValidation type="decimal" allowBlank="1" showInputMessage="1" showErrorMessage="1" sqref="O147 O144 O84 O89 O79">
      <formula1>0</formula1>
      <formula2>1</formula2>
    </dataValidation>
    <dataValidation type="decimal" allowBlank="1" showInputMessage="1" showErrorMessage="1" sqref="O115 O112 O108 G108:I108 I76">
      <formula1>-1</formula1>
      <formula2>1</formula2>
    </dataValidation>
    <dataValidation type="decimal" operator="greaterThanOrEqual" allowBlank="1" showInputMessage="1" showErrorMessage="1" sqref="O129 O119:O124 O137 O135 O132 O139 G135:I135 G132:I132 G137:I137 G139:I139 G129:I129 G93:I93 O69 O93">
      <formula1>0</formula1>
    </dataValidation>
    <dataValidation type="list" allowBlank="1" showInputMessage="1" showErrorMessage="1" sqref="O127">
      <formula1>$D$127:$D$128</formula1>
    </dataValidation>
    <dataValidation type="list" allowBlank="1" showInputMessage="1" showErrorMessage="1" sqref="O50">
      <formula1>$D$51:$D$52</formula1>
    </dataValidation>
    <dataValidation operator="greaterThanOrEqual" allowBlank="1" showInputMessage="1" showErrorMessage="1" sqref="O32:O40 O25:O29"/>
  </dataValidations>
  <pageMargins left="0.75" right="0.75" top="1" bottom="1" header="0.5" footer="0.5"/>
  <pageSetup orientation="portrait" horizontalDpi="1200" verticalDpi="1200" r:id="rId3"/>
  <headerFooter alignWithMargins="0"/>
</worksheet>
</file>

<file path=xl/worksheets/sheet8.xml><?xml version="1.0" encoding="utf-8"?>
<worksheet xmlns="http://schemas.openxmlformats.org/spreadsheetml/2006/main" xmlns:r="http://schemas.openxmlformats.org/officeDocument/2006/relationships">
  <sheetPr codeName="Sheet51"/>
  <dimension ref="B2:G37"/>
  <sheetViews>
    <sheetView workbookViewId="0"/>
  </sheetViews>
  <sheetFormatPr defaultColWidth="12.75" defaultRowHeight="15" customHeight="1"/>
  <cols>
    <col min="1" max="1" width="2.75" customWidth="1"/>
    <col min="2" max="2" width="25" customWidth="1"/>
    <col min="3" max="3" width="12.75" customWidth="1"/>
    <col min="4" max="4" width="18.75" customWidth="1"/>
    <col min="5" max="5" width="15.875" customWidth="1"/>
    <col min="6" max="6" width="60.125" customWidth="1"/>
    <col min="7" max="7" width="21.375" customWidth="1"/>
  </cols>
  <sheetData>
    <row r="2" spans="2:7" ht="15" customHeight="1">
      <c r="B2" s="115" t="s">
        <v>4745</v>
      </c>
      <c r="F2" s="2274">
        <f>'Title Page'!K1</f>
        <v>40914</v>
      </c>
    </row>
    <row r="4" spans="2:7" ht="15" customHeight="1">
      <c r="B4" s="3787" t="s">
        <v>4757</v>
      </c>
      <c r="C4" s="3779"/>
      <c r="D4" s="3779"/>
      <c r="E4" s="3779"/>
      <c r="F4" s="3779"/>
    </row>
    <row r="5" spans="2:7" ht="15" customHeight="1">
      <c r="B5" s="3779"/>
      <c r="C5" s="3779"/>
      <c r="D5" s="3779"/>
      <c r="E5" s="3779"/>
      <c r="F5" s="3779"/>
    </row>
    <row r="7" spans="2:7" ht="15" customHeight="1">
      <c r="B7" s="3787" t="s">
        <v>4758</v>
      </c>
      <c r="C7" s="3779"/>
      <c r="D7" s="3779"/>
      <c r="E7" s="3779"/>
      <c r="F7" s="3779"/>
    </row>
    <row r="8" spans="2:7" ht="15" customHeight="1">
      <c r="B8" s="3779"/>
      <c r="C8" s="3779"/>
      <c r="D8" s="3779"/>
      <c r="E8" s="3779"/>
      <c r="F8" s="3779"/>
    </row>
    <row r="11" spans="2:7" ht="15" customHeight="1">
      <c r="C11" s="4035" t="s">
        <v>4747</v>
      </c>
      <c r="E11" s="4035" t="s">
        <v>4753</v>
      </c>
    </row>
    <row r="12" spans="2:7" ht="15" customHeight="1">
      <c r="B12" s="2" t="s">
        <v>4746</v>
      </c>
      <c r="C12" s="3781"/>
      <c r="D12" s="2" t="s">
        <v>4748</v>
      </c>
      <c r="E12" s="3781"/>
      <c r="F12" s="2" t="s">
        <v>4752</v>
      </c>
      <c r="G12" s="2" t="s">
        <v>4749</v>
      </c>
    </row>
    <row r="14" spans="2:7" ht="15" customHeight="1">
      <c r="B14" s="1" t="s">
        <v>4750</v>
      </c>
      <c r="C14" s="2838">
        <f>DATE(2011,3,8)</f>
        <v>40610</v>
      </c>
      <c r="D14" s="1" t="s">
        <v>4751</v>
      </c>
      <c r="E14" s="1" t="s">
        <v>4760</v>
      </c>
      <c r="F14" t="str">
        <f>CONCATENATE("Gain in 'Results' tab, Cell I",Results!M$57, " from switching bus fares to $2.25 from $1.00")</f>
        <v>Gain in 'Results' tab, Cell I57 from switching bus fares to $2.25 from $1.00</v>
      </c>
      <c r="G14" s="1"/>
    </row>
    <row r="16" spans="2:7" ht="15" customHeight="1">
      <c r="B16" s="1" t="s">
        <v>4754</v>
      </c>
      <c r="C16" s="2838">
        <f>DATE(2011,3,8)</f>
        <v>40610</v>
      </c>
      <c r="D16" s="1" t="s">
        <v>4751</v>
      </c>
      <c r="E16" s="1" t="s">
        <v>4761</v>
      </c>
      <c r="F16" s="3779" t="str">
        <f>CONCATENATE("Decrease in 'Results' tab, Cell I",Results!M$57, " when Sunday bus and subway fares are switched to zero from $1.00 and $1.50, respectively")</f>
        <v>Decrease in 'Results' tab, Cell I57 when Sunday bus and subway fares are switched to zero from $1.00 and $1.50, respectively</v>
      </c>
      <c r="G16" s="1"/>
    </row>
    <row r="17" spans="2:7" ht="15" customHeight="1">
      <c r="F17" s="3779"/>
    </row>
    <row r="19" spans="2:7" ht="15" customHeight="1">
      <c r="B19" s="3779" t="s">
        <v>4756</v>
      </c>
      <c r="C19" s="2838">
        <f>DATE(2011,3,8)</f>
        <v>40610</v>
      </c>
      <c r="D19" s="3779" t="s">
        <v>4755</v>
      </c>
      <c r="E19" s="1" t="s">
        <v>4762</v>
      </c>
      <c r="F19" s="3779" t="str">
        <f>CONCATENATE("Difference in 'Results' tab, Cell G",Results!M$13, " between Scenarios 2 (ST) and 3 (ST with lesser taxi surcharge")</f>
        <v>Difference in 'Results' tab, Cell G13 between Scenarios 2 (ST) and 3 (ST with lesser taxi surcharge</v>
      </c>
      <c r="G19" s="3779"/>
    </row>
    <row r="20" spans="2:7" ht="15" customHeight="1">
      <c r="B20" s="3779"/>
      <c r="D20" s="3779"/>
      <c r="F20" s="3779"/>
      <c r="G20" s="3779"/>
    </row>
    <row r="22" spans="2:7" ht="15" customHeight="1">
      <c r="B22" s="1" t="s">
        <v>4759</v>
      </c>
      <c r="C22" s="2838">
        <f>DATE(2011,3,8)</f>
        <v>40610</v>
      </c>
      <c r="D22" s="1" t="s">
        <v>4751</v>
      </c>
      <c r="E22" s="1" t="s">
        <v>4763</v>
      </c>
      <c r="F22" s="3779" t="str">
        <f>CONCATENATE("Increase in 'Results' tab, Cell I",Results!M$57, " when $8 peak toll is raised to $10, and $4 off-peak to $5")</f>
        <v>Increase in 'Results' tab, Cell I57 when $8 peak toll is raised to $10, and $4 off-peak to $5</v>
      </c>
      <c r="G22" s="1"/>
    </row>
    <row r="23" spans="2:7" ht="15" customHeight="1">
      <c r="F23" s="3779"/>
    </row>
    <row r="25" spans="2:7" ht="15" customHeight="1">
      <c r="B25" s="3787" t="s">
        <v>4765</v>
      </c>
      <c r="C25" s="2838">
        <f>DATE(2011,3,8)</f>
        <v>40610</v>
      </c>
      <c r="D25" s="1" t="s">
        <v>4751</v>
      </c>
      <c r="E25" s="1" t="s">
        <v>4764</v>
      </c>
      <c r="F25" s="3787" t="str">
        <f>CONCATENATE("Multiply following cells by 90%: (i) in 'Subways', all 24 data columns in Row ",Subways!O180,"; (ii) in 'Subways', both data columns in Row ",Subways!O485,"; in 'Buses', all three data columns in Row ",Buses!O66,".")</f>
        <v>Multiply following cells by 90%: (i) in 'Subways', all 24 data columns in Row 180; (ii) in 'Subways', both data columns in Row 485; in 'Buses', all three data columns in Row 66.</v>
      </c>
      <c r="G25" s="3787" t="s">
        <v>4766</v>
      </c>
    </row>
    <row r="26" spans="2:7" ht="15" customHeight="1">
      <c r="B26" s="3779"/>
      <c r="F26" s="3787"/>
      <c r="G26" s="3787"/>
    </row>
    <row r="27" spans="2:7" ht="15" customHeight="1">
      <c r="F27" s="3787"/>
      <c r="G27" s="3787"/>
    </row>
    <row r="29" spans="2:7" ht="15" customHeight="1">
      <c r="B29" s="3787" t="s">
        <v>5168</v>
      </c>
      <c r="C29" s="2838">
        <f>DATE(2011,3,24)</f>
        <v>40626</v>
      </c>
      <c r="D29" s="3787" t="s">
        <v>5046</v>
      </c>
      <c r="E29" s="1" t="s">
        <v>5169</v>
      </c>
      <c r="F29" s="3787" t="str">
        <f>CONCATENATE("Observe reduction in 'Results' Cell I",Results!$M$57," when '-12.4%' is inputted for '% Change in Price of Unlimited Fare MetroCard' (Row ",'User Inputs'!N112, ").")</f>
        <v>Observe reduction in 'Results' Cell I57 when '-12.4%' is inputted for '% Change in Price of Unlimited Fare MetroCard' (Row 112).</v>
      </c>
      <c r="G29" s="3787" t="s">
        <v>4766</v>
      </c>
    </row>
    <row r="30" spans="2:7" ht="15" customHeight="1">
      <c r="B30" s="3779"/>
      <c r="D30" s="3779"/>
      <c r="F30" s="3787"/>
      <c r="G30" s="3787"/>
    </row>
    <row r="31" spans="2:7" ht="15" customHeight="1">
      <c r="D31" s="3779"/>
      <c r="F31" s="3787"/>
      <c r="G31" s="3787"/>
    </row>
    <row r="33" spans="2:7" ht="15" customHeight="1">
      <c r="B33" s="3787" t="s">
        <v>5170</v>
      </c>
      <c r="C33" s="2838">
        <f>DATE(2011,3,24)</f>
        <v>40626</v>
      </c>
      <c r="D33" s="3787" t="s">
        <v>5171</v>
      </c>
      <c r="E33" s="1" t="s">
        <v>5172</v>
      </c>
      <c r="F33" s="3787" t="str">
        <f>CONCATENATE("Observe reduction in 'Results' Cell I",Results!$M$57," when '-15%' replaces '7%' in '% Bonus w/ Purchase of MetroCard of $10 or More' (Row ",'User Inputs'!N115, "). Reflects both subways and buses.")</f>
        <v>Observe reduction in 'Results' Cell I57 when '-15%' replaces '7%' in '% Bonus w/ Purchase of MetroCard of $10 or More' (Row 115). Reflects both subways and buses.</v>
      </c>
      <c r="G33" s="3787" t="s">
        <v>4766</v>
      </c>
    </row>
    <row r="34" spans="2:7" ht="15" customHeight="1">
      <c r="B34" s="3779"/>
      <c r="D34" s="3779"/>
      <c r="F34" s="3787"/>
      <c r="G34" s="3787"/>
    </row>
    <row r="35" spans="2:7" ht="15" customHeight="1">
      <c r="D35" s="3779"/>
      <c r="F35" s="3787"/>
      <c r="G35" s="3787"/>
    </row>
    <row r="37" spans="2:7" ht="15" customHeight="1">
      <c r="B37" s="2" t="s">
        <v>5186</v>
      </c>
    </row>
  </sheetData>
  <mergeCells count="21">
    <mergeCell ref="F22:F23"/>
    <mergeCell ref="B25:B26"/>
    <mergeCell ref="F25:F27"/>
    <mergeCell ref="G19:G20"/>
    <mergeCell ref="G25:G27"/>
    <mergeCell ref="B4:F5"/>
    <mergeCell ref="C11:C12"/>
    <mergeCell ref="E11:E12"/>
    <mergeCell ref="F16:F17"/>
    <mergeCell ref="D19:D20"/>
    <mergeCell ref="F19:F20"/>
    <mergeCell ref="B19:B20"/>
    <mergeCell ref="B7:F8"/>
    <mergeCell ref="B29:B30"/>
    <mergeCell ref="F29:F31"/>
    <mergeCell ref="G29:G31"/>
    <mergeCell ref="D29:D31"/>
    <mergeCell ref="B33:B34"/>
    <mergeCell ref="D33:D35"/>
    <mergeCell ref="F33:F35"/>
    <mergeCell ref="G33:G35"/>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6"/>
  <dimension ref="A1:W395"/>
  <sheetViews>
    <sheetView showGridLines="0" showRuler="0" zoomScaleNormal="100" zoomScaleSheetLayoutView="100" workbookViewId="0"/>
  </sheetViews>
  <sheetFormatPr defaultColWidth="10.75" defaultRowHeight="15" customHeight="1"/>
  <cols>
    <col min="1" max="1" width="2.75" customWidth="1"/>
    <col min="4" max="4" width="11.375" customWidth="1"/>
    <col min="6" max="6" width="10.875" bestFit="1" customWidth="1"/>
    <col min="8" max="8" width="10.75" customWidth="1"/>
    <col min="9" max="9" width="12.875" customWidth="1"/>
    <col min="10" max="10" width="11.125" bestFit="1" customWidth="1"/>
    <col min="13" max="13" width="10.75" customWidth="1"/>
    <col min="14" max="14" width="11.25" customWidth="1"/>
    <col min="15" max="15" width="10.75" customWidth="1"/>
    <col min="17" max="17" width="1.75" style="117" customWidth="1"/>
    <col min="18" max="20" width="11.625" customWidth="1"/>
    <col min="22" max="22" width="10.875" bestFit="1" customWidth="1"/>
    <col min="23" max="23" width="11" bestFit="1" customWidth="1"/>
    <col min="24" max="24" width="10.875" bestFit="1" customWidth="1"/>
  </cols>
  <sheetData>
    <row r="1" spans="2:17" ht="15" customHeight="1">
      <c r="Q1" s="117">
        <f>ROW()</f>
        <v>1</v>
      </c>
    </row>
    <row r="2" spans="2:17" ht="15" customHeight="1">
      <c r="B2" s="889" t="s">
        <v>1976</v>
      </c>
      <c r="M2" s="181">
        <f>'Title Page'!K1</f>
        <v>40914</v>
      </c>
      <c r="Q2" s="117">
        <f>ROW()</f>
        <v>2</v>
      </c>
    </row>
    <row r="3" spans="2:17" ht="15" customHeight="1">
      <c r="B3" s="115"/>
      <c r="Q3" s="117">
        <f>ROW()</f>
        <v>3</v>
      </c>
    </row>
    <row r="4" spans="2:17" ht="15" customHeight="1">
      <c r="B4" s="3787" t="s">
        <v>4583</v>
      </c>
      <c r="C4" s="3779"/>
      <c r="D4" s="3779"/>
      <c r="E4" s="3779"/>
      <c r="F4" s="3779"/>
      <c r="G4" s="3779"/>
      <c r="H4" s="3779"/>
      <c r="I4" s="3779"/>
      <c r="J4" s="487"/>
      <c r="K4" s="487"/>
      <c r="L4" s="487"/>
      <c r="M4" s="487"/>
      <c r="Q4" s="117">
        <f>ROW()</f>
        <v>4</v>
      </c>
    </row>
    <row r="5" spans="2:17" ht="15" customHeight="1">
      <c r="B5" s="3779"/>
      <c r="C5" s="3779"/>
      <c r="D5" s="3779"/>
      <c r="E5" s="3779"/>
      <c r="F5" s="3779"/>
      <c r="G5" s="3779"/>
      <c r="H5" s="3779"/>
      <c r="I5" s="3779"/>
      <c r="J5" s="487"/>
      <c r="K5" s="487"/>
      <c r="L5" s="487"/>
      <c r="M5" s="487"/>
      <c r="Q5" s="117">
        <f>ROW()</f>
        <v>5</v>
      </c>
    </row>
    <row r="6" spans="2:17" ht="15" customHeight="1">
      <c r="B6" s="3779"/>
      <c r="C6" s="3779"/>
      <c r="D6" s="3779"/>
      <c r="E6" s="3779"/>
      <c r="F6" s="3779"/>
      <c r="G6" s="3779"/>
      <c r="H6" s="3779"/>
      <c r="I6" s="3779"/>
      <c r="J6" s="2546"/>
      <c r="K6" s="2546"/>
      <c r="L6" s="2546"/>
      <c r="M6" s="2546"/>
      <c r="Q6" s="117">
        <f>ROW()</f>
        <v>6</v>
      </c>
    </row>
    <row r="7" spans="2:17" ht="15" customHeight="1">
      <c r="B7" s="2546"/>
      <c r="C7" s="2546"/>
      <c r="D7" s="2546"/>
      <c r="E7" s="2546"/>
      <c r="F7" s="2546"/>
      <c r="G7" s="2546"/>
      <c r="H7" s="2546"/>
      <c r="I7" s="2546"/>
      <c r="J7" s="2546"/>
      <c r="K7" s="2546"/>
      <c r="L7" s="2546"/>
      <c r="M7" s="2546"/>
      <c r="Q7" s="117">
        <f>ROW()</f>
        <v>7</v>
      </c>
    </row>
    <row r="8" spans="2:17" ht="15" customHeight="1">
      <c r="B8" s="115"/>
      <c r="Q8" s="117">
        <f>ROW()</f>
        <v>8</v>
      </c>
    </row>
    <row r="9" spans="2:17" ht="15" customHeight="1">
      <c r="B9" s="115" t="s">
        <v>3354</v>
      </c>
      <c r="C9" s="19"/>
      <c r="D9" s="19"/>
      <c r="E9" s="19"/>
      <c r="F9" s="19"/>
      <c r="G9" s="19"/>
      <c r="H9" s="19"/>
      <c r="I9" s="19"/>
      <c r="Q9" s="117">
        <f>ROW()</f>
        <v>9</v>
      </c>
    </row>
    <row r="10" spans="2:17" ht="15" customHeight="1">
      <c r="B10" s="115"/>
      <c r="E10" s="4106" t="s">
        <v>4578</v>
      </c>
      <c r="F10" s="4107"/>
      <c r="G10" s="4107"/>
      <c r="H10" s="4107"/>
      <c r="I10" s="4107"/>
      <c r="J10" s="4107"/>
      <c r="K10" s="4107"/>
      <c r="L10" s="4107"/>
      <c r="M10" s="3836"/>
      <c r="Q10" s="117">
        <f>ROW()</f>
        <v>10</v>
      </c>
    </row>
    <row r="11" spans="2:17" ht="15" customHeight="1">
      <c r="B11" s="115"/>
      <c r="E11" s="3741"/>
      <c r="F11" s="3742"/>
      <c r="G11" s="3742"/>
      <c r="H11" s="3742"/>
      <c r="I11" s="3742"/>
      <c r="J11" s="3742"/>
      <c r="K11" s="3742"/>
      <c r="L11" s="3742"/>
      <c r="M11" s="3777"/>
      <c r="Q11" s="117">
        <f>ROW()</f>
        <v>11</v>
      </c>
    </row>
    <row r="12" spans="2:17" ht="15" customHeight="1" thickBot="1">
      <c r="B12" s="115"/>
      <c r="Q12" s="117">
        <f>ROW()</f>
        <v>12</v>
      </c>
    </row>
    <row r="13" spans="2:17" ht="15" customHeight="1" thickBot="1">
      <c r="B13" s="115"/>
      <c r="E13" s="4075" t="s">
        <v>1977</v>
      </c>
      <c r="F13" s="4076"/>
      <c r="G13" s="4076"/>
      <c r="H13" s="4076"/>
      <c r="I13" s="4076"/>
      <c r="J13" s="4076"/>
      <c r="K13" s="4076"/>
      <c r="L13" s="4076"/>
      <c r="M13" s="4077"/>
      <c r="Q13" s="117">
        <f>ROW()</f>
        <v>13</v>
      </c>
    </row>
    <row r="14" spans="2:17" ht="15" customHeight="1">
      <c r="B14" s="115"/>
      <c r="E14" s="2555"/>
      <c r="F14" s="2556"/>
      <c r="G14" s="2556"/>
      <c r="H14" s="2573"/>
      <c r="I14" s="2574"/>
      <c r="J14" s="2575"/>
      <c r="K14" s="2589"/>
      <c r="L14" s="2589"/>
      <c r="M14" s="2590"/>
      <c r="Q14" s="117">
        <f>ROW()</f>
        <v>14</v>
      </c>
    </row>
    <row r="15" spans="2:17" ht="15" customHeight="1">
      <c r="B15" s="115"/>
      <c r="E15" s="4079" t="s">
        <v>2367</v>
      </c>
      <c r="F15" s="4080"/>
      <c r="G15" s="4080"/>
      <c r="H15" s="4081" t="s">
        <v>967</v>
      </c>
      <c r="I15" s="4082"/>
      <c r="J15" s="4083"/>
      <c r="K15" s="4084" t="s">
        <v>2666</v>
      </c>
      <c r="L15" s="4084"/>
      <c r="M15" s="4085"/>
      <c r="Q15" s="117">
        <f>ROW()</f>
        <v>15</v>
      </c>
    </row>
    <row r="16" spans="2:17" ht="15" customHeight="1">
      <c r="B16" s="115"/>
      <c r="E16" s="2555"/>
      <c r="F16" s="2556"/>
      <c r="G16" s="2556"/>
      <c r="H16" s="2573"/>
      <c r="I16" s="2574"/>
      <c r="J16" s="2575"/>
      <c r="K16" s="2589"/>
      <c r="L16" s="2589"/>
      <c r="M16" s="2590"/>
      <c r="Q16" s="117">
        <f>ROW()</f>
        <v>16</v>
      </c>
    </row>
    <row r="17" spans="2:17" ht="15" customHeight="1">
      <c r="B17" s="115"/>
      <c r="E17" s="2557" t="s">
        <v>781</v>
      </c>
      <c r="F17" s="2558" t="s">
        <v>1975</v>
      </c>
      <c r="G17" s="2559" t="s">
        <v>228</v>
      </c>
      <c r="H17" s="2576" t="s">
        <v>781</v>
      </c>
      <c r="I17" s="2577" t="s">
        <v>1975</v>
      </c>
      <c r="J17" s="2578" t="s">
        <v>228</v>
      </c>
      <c r="K17" s="2591" t="s">
        <v>781</v>
      </c>
      <c r="L17" s="2591" t="s">
        <v>1975</v>
      </c>
      <c r="M17" s="2592" t="s">
        <v>228</v>
      </c>
      <c r="N17" s="34"/>
      <c r="Q17" s="117">
        <f>ROW()</f>
        <v>17</v>
      </c>
    </row>
    <row r="18" spans="2:17" ht="15" customHeight="1">
      <c r="B18" s="115"/>
      <c r="E18" s="2560"/>
      <c r="F18" s="2561"/>
      <c r="G18" s="2562"/>
      <c r="H18" s="2579"/>
      <c r="I18" s="2572"/>
      <c r="J18" s="2580"/>
      <c r="K18" s="2593"/>
      <c r="L18" s="2593"/>
      <c r="M18" s="2594"/>
      <c r="Q18" s="117">
        <f>ROW()</f>
        <v>18</v>
      </c>
    </row>
    <row r="19" spans="2:17" ht="15" customHeight="1">
      <c r="B19" s="2" t="s">
        <v>4579</v>
      </c>
      <c r="E19" s="2563">
        <f>Subways!N434/1000</f>
        <v>1978.7985313843158</v>
      </c>
      <c r="F19" s="2564">
        <f>Subways!N465/1000</f>
        <v>456.66845561309924</v>
      </c>
      <c r="G19" s="2565">
        <f>E19+F19</f>
        <v>2435.466986997415</v>
      </c>
      <c r="H19" s="2581">
        <f>Buses!I127</f>
        <v>684.48406013635065</v>
      </c>
      <c r="I19" s="2582">
        <f>Buses!J127</f>
        <v>167.4159398636493</v>
      </c>
      <c r="J19" s="2583">
        <f>H19+I19</f>
        <v>851.9</v>
      </c>
      <c r="K19" s="2595">
        <f>E19+H19</f>
        <v>2663.2825915206663</v>
      </c>
      <c r="L19" s="2595">
        <f>F19+I19</f>
        <v>624.08439547674857</v>
      </c>
      <c r="M19" s="2596">
        <f>G19+J19</f>
        <v>3287.3669869974151</v>
      </c>
      <c r="N19" s="735"/>
      <c r="Q19" s="117">
        <f>ROW()</f>
        <v>19</v>
      </c>
    </row>
    <row r="20" spans="2:17" ht="15" customHeight="1">
      <c r="B20" s="115"/>
      <c r="E20" s="2563"/>
      <c r="F20" s="2564"/>
      <c r="G20" s="2565"/>
      <c r="H20" s="2581"/>
      <c r="I20" s="2582"/>
      <c r="J20" s="2583"/>
      <c r="K20" s="2595"/>
      <c r="L20" s="2595"/>
      <c r="M20" s="2596"/>
      <c r="N20" s="735"/>
      <c r="Q20" s="117">
        <f>ROW()</f>
        <v>20</v>
      </c>
    </row>
    <row r="21" spans="2:17" ht="15" customHeight="1">
      <c r="B21" s="2" t="s">
        <v>4580</v>
      </c>
      <c r="E21" s="2563">
        <f ca="1">Subways!N446/1000</f>
        <v>2126.3908365440952</v>
      </c>
      <c r="F21" s="2564">
        <f>Subways!N519/1000</f>
        <v>478.93822518808827</v>
      </c>
      <c r="G21" s="2565">
        <f ca="1">E21+F21</f>
        <v>2605.3290617321836</v>
      </c>
      <c r="H21" s="2581">
        <f ca="1">Buses!I148</f>
        <v>699.71879058267143</v>
      </c>
      <c r="I21" s="2582">
        <f ca="1">Buses!J148</f>
        <v>171.7151131544752</v>
      </c>
      <c r="J21" s="2583">
        <f ca="1">H21+I21</f>
        <v>871.43390373714669</v>
      </c>
      <c r="K21" s="2595">
        <f ca="1">E21+H21</f>
        <v>2826.1096271267666</v>
      </c>
      <c r="L21" s="2595">
        <f ca="1">F21+I21</f>
        <v>650.65333834256353</v>
      </c>
      <c r="M21" s="2596">
        <f ca="1">G21+J21</f>
        <v>3476.7629654693301</v>
      </c>
      <c r="N21" s="735"/>
      <c r="Q21" s="117">
        <f>ROW()</f>
        <v>21</v>
      </c>
    </row>
    <row r="22" spans="2:17" ht="15" customHeight="1">
      <c r="B22" s="115"/>
      <c r="E22" s="2566"/>
      <c r="F22" s="2567"/>
      <c r="G22" s="2568"/>
      <c r="H22" s="2584"/>
      <c r="I22" s="2585"/>
      <c r="J22" s="2586"/>
      <c r="K22" s="2597"/>
      <c r="L22" s="2597"/>
      <c r="M22" s="2596"/>
      <c r="N22" s="735"/>
      <c r="Q22" s="117">
        <f>ROW()</f>
        <v>22</v>
      </c>
    </row>
    <row r="23" spans="2:17" ht="15" customHeight="1" thickBot="1">
      <c r="B23" s="6" t="s">
        <v>1822</v>
      </c>
      <c r="E23" s="2569">
        <f t="shared" ref="E23:M23" ca="1" si="0">E21-E19</f>
        <v>147.59230515977947</v>
      </c>
      <c r="F23" s="2570">
        <f t="shared" si="0"/>
        <v>22.269769574989027</v>
      </c>
      <c r="G23" s="2571">
        <f t="shared" ca="1" si="0"/>
        <v>169.86207473476861</v>
      </c>
      <c r="H23" s="2587">
        <f t="shared" ca="1" si="0"/>
        <v>15.234730446320782</v>
      </c>
      <c r="I23" s="2588">
        <f t="shared" ca="1" si="0"/>
        <v>4.2991732908259053</v>
      </c>
      <c r="J23" s="2976">
        <f t="shared" ca="1" si="0"/>
        <v>19.533903737146716</v>
      </c>
      <c r="K23" s="2598">
        <f t="shared" ca="1" si="0"/>
        <v>162.82703560610025</v>
      </c>
      <c r="L23" s="2598">
        <f t="shared" ca="1" si="0"/>
        <v>26.568942865814961</v>
      </c>
      <c r="M23" s="2599">
        <f t="shared" ca="1" si="0"/>
        <v>189.39597847191499</v>
      </c>
      <c r="N23" s="735"/>
      <c r="Q23" s="117">
        <f>ROW()</f>
        <v>23</v>
      </c>
    </row>
    <row r="24" spans="2:17" ht="15" customHeight="1">
      <c r="B24" s="6"/>
      <c r="E24" s="2275" t="str">
        <f>CONCATENATE("Subways revenue data are shown and/or derived in Rows ",Subways!O434, " through ",Subways!O519, " of 'Subways' worksheet.")</f>
        <v>Subways revenue data are shown and/or derived in Rows 434 through 519 of 'Subways' worksheet.</v>
      </c>
      <c r="F24" s="2275"/>
      <c r="G24" s="2275"/>
      <c r="H24" s="2275"/>
      <c r="I24" s="2275"/>
      <c r="J24" s="2275"/>
      <c r="K24" s="2680"/>
      <c r="L24" s="2680"/>
      <c r="M24" s="2680"/>
      <c r="N24" s="735"/>
      <c r="Q24" s="117">
        <f>ROW()</f>
        <v>24</v>
      </c>
    </row>
    <row r="25" spans="2:17" ht="15" customHeight="1">
      <c r="B25" s="6"/>
      <c r="E25" s="2275" t="str">
        <f>CONCATENATE("Bus revenues are from Rows ",Buses!O127, " and ",Buses!O148, " of 'Buses' worksheet.")</f>
        <v>Bus revenues are from Rows 127 and 148 of 'Buses' worksheet.</v>
      </c>
      <c r="F25" s="2275"/>
      <c r="G25" s="2275"/>
      <c r="H25" s="2275"/>
      <c r="I25" s="2275"/>
      <c r="J25" s="2275"/>
      <c r="K25" s="2680"/>
      <c r="L25" s="2680"/>
      <c r="M25" s="2680"/>
      <c r="N25" s="735"/>
      <c r="Q25" s="117">
        <f>ROW()</f>
        <v>25</v>
      </c>
    </row>
    <row r="26" spans="2:17" ht="15" customHeight="1" thickBot="1">
      <c r="B26" s="115"/>
      <c r="E26" s="893"/>
      <c r="K26" s="86"/>
      <c r="L26" s="86"/>
      <c r="M26" s="86"/>
      <c r="Q26" s="117">
        <f>ROW()</f>
        <v>26</v>
      </c>
    </row>
    <row r="27" spans="2:17" ht="15" customHeight="1" thickBot="1">
      <c r="B27" s="4136" t="s">
        <v>4581</v>
      </c>
      <c r="C27" s="4137"/>
      <c r="D27" s="4137"/>
      <c r="E27" s="4108" t="str">
        <f>CONCATENATE("From 'Results' tab, Row ",Results!M111, ", which in turn is from 'Subways' tab, Row ",Subways!O534, ".")</f>
        <v>From 'Results' tab, Row 111, which in turn is from 'Subways' tab, Row 534.</v>
      </c>
      <c r="F27" s="4109"/>
      <c r="G27" s="2643">
        <f ca="1">Results!G111</f>
        <v>7.3669088329664234E-2</v>
      </c>
      <c r="H27" s="4114" t="str">
        <f>CONCATENATE("From 'Results' worksheet, Row ",Results!M114, ", which in turn is from 'Buses', Row ",Buses!O109, ".")</f>
        <v>From 'Results' worksheet, Row 114, which in turn is from 'Buses', Row 109.</v>
      </c>
      <c r="I27" s="4115"/>
      <c r="J27" s="3521">
        <f ca="1">Results!G114</f>
        <v>2.2929808354438808E-2</v>
      </c>
      <c r="K27" s="2646"/>
      <c r="L27" s="2647"/>
      <c r="M27" s="2648"/>
      <c r="Q27" s="117">
        <f>ROW()</f>
        <v>27</v>
      </c>
    </row>
    <row r="28" spans="2:17" ht="15" customHeight="1">
      <c r="B28" s="4138"/>
      <c r="C28" s="3781"/>
      <c r="D28" s="3781"/>
      <c r="E28" s="4110"/>
      <c r="F28" s="4111"/>
      <c r="G28" s="2644"/>
      <c r="H28" s="4116"/>
      <c r="I28" s="4117"/>
      <c r="J28" s="3522"/>
      <c r="K28" s="2649"/>
      <c r="L28" s="2593"/>
      <c r="M28" s="2650"/>
      <c r="Q28" s="117">
        <f>ROW()</f>
        <v>28</v>
      </c>
    </row>
    <row r="29" spans="2:17" ht="15" customHeight="1" thickBot="1">
      <c r="B29" s="2072"/>
      <c r="C29" s="166"/>
      <c r="D29" s="166"/>
      <c r="E29" s="4112"/>
      <c r="F29" s="4113"/>
      <c r="G29" s="2645"/>
      <c r="H29" s="4118"/>
      <c r="I29" s="4119"/>
      <c r="J29" s="3523"/>
      <c r="K29" s="2651"/>
      <c r="L29" s="2652"/>
      <c r="M29" s="2653"/>
      <c r="Q29" s="117">
        <f>ROW()</f>
        <v>29</v>
      </c>
    </row>
    <row r="30" spans="2:17" ht="15" customHeight="1" thickBot="1">
      <c r="B30" s="115"/>
      <c r="E30" s="2071"/>
      <c r="F30" s="2071"/>
      <c r="G30" s="2071"/>
      <c r="H30" s="217"/>
      <c r="I30" s="217"/>
      <c r="J30" s="217"/>
      <c r="K30" s="86"/>
      <c r="L30" s="86"/>
      <c r="M30" s="86"/>
      <c r="Q30" s="117">
        <f>ROW()</f>
        <v>30</v>
      </c>
    </row>
    <row r="31" spans="2:17" ht="15" customHeight="1">
      <c r="B31" s="4136" t="s">
        <v>4582</v>
      </c>
      <c r="C31" s="4137"/>
      <c r="D31" s="4137"/>
      <c r="E31" s="4108" t="str">
        <f>CONCATENATE("Derived algebraically from Rows ",Q21, " and ",Q27, ".")</f>
        <v>Derived algebraically from Rows 21 and 27.</v>
      </c>
      <c r="F31" s="4131"/>
      <c r="G31" s="2656">
        <f ca="1">G21*(1-1/(1+G27))</f>
        <v>178.76291574639956</v>
      </c>
      <c r="H31" s="4114" t="str">
        <f>CONCATENATE("Derived algebraically from Rows ",Q21, " and ",Q27, ".")</f>
        <v>Derived algebraically from Rows 21 and 27.</v>
      </c>
      <c r="I31" s="4133"/>
      <c r="J31" s="3524">
        <f ca="1">J21*(1-1/(1+J27))</f>
        <v>19.533903737146495</v>
      </c>
      <c r="K31" s="2646"/>
      <c r="L31" s="2647"/>
      <c r="M31" s="2654">
        <f ca="1">G31+J31</f>
        <v>198.29681948354605</v>
      </c>
      <c r="O31" s="124"/>
      <c r="Q31" s="117">
        <f>ROW()</f>
        <v>31</v>
      </c>
    </row>
    <row r="32" spans="2:17" ht="15" customHeight="1" thickBot="1">
      <c r="B32" s="4138"/>
      <c r="C32" s="4139"/>
      <c r="D32" s="4139"/>
      <c r="E32" s="4110"/>
      <c r="F32" s="4132"/>
      <c r="G32" s="2657" t="s">
        <v>2616</v>
      </c>
      <c r="H32" s="4134"/>
      <c r="I32" s="4135"/>
      <c r="J32" s="3525" t="s">
        <v>2616</v>
      </c>
      <c r="K32" s="2649"/>
      <c r="L32" s="2593"/>
      <c r="M32" s="2655" t="s">
        <v>2616</v>
      </c>
      <c r="Q32" s="117">
        <f>ROW()</f>
        <v>32</v>
      </c>
    </row>
    <row r="33" spans="2:17" ht="15" customHeight="1" thickBot="1">
      <c r="B33" s="2550"/>
      <c r="C33" s="2551"/>
      <c r="D33" s="2551"/>
      <c r="E33" s="2658"/>
      <c r="F33" s="2659"/>
      <c r="G33" s="2660"/>
      <c r="H33" s="3526"/>
      <c r="I33" s="3527"/>
      <c r="J33" s="3528"/>
      <c r="K33" s="2651"/>
      <c r="L33" s="2652"/>
      <c r="M33" s="2653"/>
      <c r="Q33" s="117">
        <f>ROW()</f>
        <v>33</v>
      </c>
    </row>
    <row r="34" spans="2:17" ht="15" customHeight="1">
      <c r="B34" s="2548"/>
      <c r="C34" s="2548"/>
      <c r="D34" s="2548"/>
      <c r="E34" s="893"/>
      <c r="F34" s="113"/>
      <c r="G34" s="113"/>
      <c r="H34" s="113"/>
      <c r="I34" s="113"/>
      <c r="J34" s="113"/>
      <c r="K34" s="113"/>
      <c r="L34" s="113"/>
      <c r="M34" s="113"/>
      <c r="Q34" s="117">
        <f>ROW()</f>
        <v>34</v>
      </c>
    </row>
    <row r="35" spans="2:17" ht="15" customHeight="1">
      <c r="B35" s="115"/>
      <c r="Q35" s="117">
        <f>ROW()</f>
        <v>35</v>
      </c>
    </row>
    <row r="36" spans="2:17" ht="15" customHeight="1" thickBot="1">
      <c r="B36" s="115" t="s">
        <v>3355</v>
      </c>
      <c r="E36" s="891"/>
      <c r="Q36" s="117">
        <f>ROW()</f>
        <v>36</v>
      </c>
    </row>
    <row r="37" spans="2:17" ht="15" customHeight="1" thickBot="1">
      <c r="B37" s="115"/>
      <c r="E37" s="4075" t="s">
        <v>1978</v>
      </c>
      <c r="F37" s="4076"/>
      <c r="G37" s="4076"/>
      <c r="H37" s="4076"/>
      <c r="I37" s="4076"/>
      <c r="J37" s="4076"/>
      <c r="K37" s="4076"/>
      <c r="L37" s="4076"/>
      <c r="M37" s="4077"/>
      <c r="Q37" s="117">
        <f>ROW()</f>
        <v>37</v>
      </c>
    </row>
    <row r="38" spans="2:17" ht="15" customHeight="1">
      <c r="E38" s="4125" t="s">
        <v>4619</v>
      </c>
      <c r="F38" s="4126"/>
      <c r="G38" s="4127"/>
      <c r="H38" s="4086" t="s">
        <v>1979</v>
      </c>
      <c r="I38" s="4087"/>
      <c r="J38" s="4087"/>
      <c r="K38" s="4087"/>
      <c r="L38" s="4087"/>
      <c r="M38" s="4088"/>
      <c r="Q38" s="117">
        <f>ROW()</f>
        <v>38</v>
      </c>
    </row>
    <row r="39" spans="2:17" ht="15" customHeight="1">
      <c r="E39" s="4128"/>
      <c r="F39" s="4129"/>
      <c r="G39" s="4130"/>
      <c r="H39" s="4089"/>
      <c r="I39" s="4090"/>
      <c r="J39" s="4090"/>
      <c r="K39" s="4090"/>
      <c r="L39" s="4090"/>
      <c r="M39" s="4091"/>
      <c r="Q39" s="117">
        <f>ROW()</f>
        <v>39</v>
      </c>
    </row>
    <row r="40" spans="2:17" ht="15" customHeight="1">
      <c r="B40" s="115"/>
      <c r="E40" s="4121" t="s">
        <v>4629</v>
      </c>
      <c r="F40" s="3775"/>
      <c r="G40" s="3776"/>
      <c r="H40" s="4122" t="s">
        <v>4618</v>
      </c>
      <c r="I40" s="4123"/>
      <c r="J40" s="4123"/>
      <c r="K40" s="4123"/>
      <c r="L40" s="4123"/>
      <c r="M40" s="4124"/>
      <c r="Q40" s="117">
        <f>ROW()</f>
        <v>40</v>
      </c>
    </row>
    <row r="41" spans="2:17" ht="15" customHeight="1">
      <c r="B41" s="115"/>
      <c r="E41" s="3741"/>
      <c r="F41" s="3742"/>
      <c r="G41" s="3777"/>
      <c r="H41" s="4090"/>
      <c r="I41" s="4090"/>
      <c r="J41" s="4090"/>
      <c r="K41" s="4090"/>
      <c r="L41" s="4090"/>
      <c r="M41" s="4091"/>
      <c r="Q41" s="117">
        <f>ROW()</f>
        <v>41</v>
      </c>
    </row>
    <row r="42" spans="2:17" ht="15" customHeight="1">
      <c r="B42" s="115"/>
      <c r="E42" s="2683"/>
      <c r="F42" s="2684"/>
      <c r="G42" s="2685"/>
      <c r="H42" s="1808"/>
      <c r="I42" s="1808"/>
      <c r="J42" s="1808"/>
      <c r="K42" s="2600" t="s">
        <v>781</v>
      </c>
      <c r="L42" s="2600" t="s">
        <v>1975</v>
      </c>
      <c r="M42" s="2601" t="s">
        <v>228</v>
      </c>
      <c r="Q42" s="117">
        <f>ROW()</f>
        <v>42</v>
      </c>
    </row>
    <row r="43" spans="2:17" ht="15" customHeight="1">
      <c r="B43" s="115"/>
      <c r="E43" s="2602" t="s">
        <v>781</v>
      </c>
      <c r="F43" s="2603" t="s">
        <v>1975</v>
      </c>
      <c r="G43" s="2604" t="s">
        <v>228</v>
      </c>
      <c r="H43" s="2614" t="s">
        <v>3183</v>
      </c>
      <c r="I43" s="1808"/>
      <c r="J43" s="1808"/>
      <c r="K43" s="2615">
        <f>Taxis!L194*weekday_per_yr/1000000</f>
        <v>117.8</v>
      </c>
      <c r="L43" s="2615">
        <f>Taxis!N194*wkend_per_yr/1000000</f>
        <v>54.188000000000002</v>
      </c>
      <c r="M43" s="2616">
        <f>K43+L43</f>
        <v>171.988</v>
      </c>
      <c r="Q43" s="117">
        <f>ROW()</f>
        <v>43</v>
      </c>
    </row>
    <row r="44" spans="2:17" ht="15" customHeight="1">
      <c r="B44" s="115"/>
      <c r="E44" s="2605"/>
      <c r="F44" s="2606"/>
      <c r="G44" s="2607"/>
      <c r="H44" s="2614"/>
      <c r="I44" s="1808"/>
      <c r="J44" s="1808"/>
      <c r="K44" s="2617"/>
      <c r="L44" s="2617"/>
      <c r="M44" s="2618"/>
      <c r="Q44" s="117">
        <f>ROW()</f>
        <v>44</v>
      </c>
    </row>
    <row r="45" spans="2:17" ht="15" customHeight="1">
      <c r="B45" s="2" t="s">
        <v>4620</v>
      </c>
      <c r="E45" s="2608">
        <f>G45/(wkday_per_yr+wkend_per_yr*Weekends!V148)*wkday_per_yr</f>
        <v>385.35615043438656</v>
      </c>
      <c r="F45" s="2609">
        <f>G45-E45</f>
        <v>150.76659956561343</v>
      </c>
      <c r="G45" s="2610">
        <f>I208</f>
        <v>536.12275</v>
      </c>
      <c r="H45" s="2614" t="s">
        <v>3184</v>
      </c>
      <c r="I45" s="1808"/>
      <c r="J45" s="1808"/>
      <c r="K45" s="2615">
        <f ca="1">K43*Taxis!L208</f>
        <v>126.13492965329648</v>
      </c>
      <c r="L45" s="2615">
        <f ca="1">L43*Taxis!N208</f>
        <v>56.009618858181192</v>
      </c>
      <c r="M45" s="2616">
        <f ca="1">K45+L45</f>
        <v>182.14454851147767</v>
      </c>
      <c r="Q45" s="117">
        <f>ROW()</f>
        <v>45</v>
      </c>
    </row>
    <row r="46" spans="2:17" ht="15" customHeight="1">
      <c r="B46" s="115"/>
      <c r="E46" s="2608"/>
      <c r="F46" s="2609"/>
      <c r="G46" s="2610"/>
      <c r="H46" s="2619"/>
      <c r="I46" s="1808"/>
      <c r="J46" s="1808"/>
      <c r="K46" s="2620"/>
      <c r="L46" s="2620"/>
      <c r="M46" s="2621"/>
      <c r="Q46" s="117">
        <f>ROW()</f>
        <v>46</v>
      </c>
    </row>
    <row r="47" spans="2:17" ht="15" customHeight="1">
      <c r="B47" s="6" t="s">
        <v>1821</v>
      </c>
      <c r="E47" s="2608">
        <f ca="1">'Motor Vs'!N992</f>
        <v>1251.5319520221803</v>
      </c>
      <c r="F47" s="2609">
        <f ca="1">'Motor Vs Weekends'!N992</f>
        <v>360.7573743616685</v>
      </c>
      <c r="G47" s="2610">
        <f ca="1">E47+F47</f>
        <v>1612.2893263838489</v>
      </c>
      <c r="H47" s="2614" t="s">
        <v>3262</v>
      </c>
      <c r="I47" s="1808"/>
      <c r="J47" s="1808"/>
      <c r="K47" s="2620">
        <f ca="1">Taxis!G429</f>
        <v>0.86759415365850789</v>
      </c>
      <c r="L47" s="2620">
        <f ca="1">Taxis!M429</f>
        <v>0.90933008596755582</v>
      </c>
      <c r="M47" s="2621"/>
      <c r="Q47" s="117">
        <f>ROW()</f>
        <v>47</v>
      </c>
    </row>
    <row r="48" spans="2:17" ht="15" customHeight="1">
      <c r="B48" s="115"/>
      <c r="E48" s="2608"/>
      <c r="F48" s="2609"/>
      <c r="G48" s="2610"/>
      <c r="H48" s="2622" t="str">
        <f>CONCATENATE("Note: Cells in Row ",Q47, " employ 'if' statement to return zero if surcharges are zero.")</f>
        <v>Note: Cells in Row 47 employ 'if' statement to return zero if surcharges are zero.</v>
      </c>
      <c r="I48" s="1955"/>
      <c r="J48" s="1955"/>
      <c r="K48" s="1955"/>
      <c r="L48" s="1955"/>
      <c r="M48" s="2621"/>
      <c r="Q48" s="117">
        <f>ROW()</f>
        <v>48</v>
      </c>
    </row>
    <row r="49" spans="2:23" ht="15" customHeight="1" thickBot="1">
      <c r="B49" s="6" t="s">
        <v>1822</v>
      </c>
      <c r="E49" s="2611">
        <f ca="1">E47-E45</f>
        <v>866.17580158779379</v>
      </c>
      <c r="F49" s="2612">
        <f ca="1">F47-F45</f>
        <v>209.99077479605506</v>
      </c>
      <c r="G49" s="2613">
        <f ca="1">G47-G45</f>
        <v>1076.1665763838489</v>
      </c>
      <c r="H49" s="2623" t="s">
        <v>3185</v>
      </c>
      <c r="I49" s="2624"/>
      <c r="J49" s="2624"/>
      <c r="K49" s="2625">
        <f ca="1">K45*K47</f>
        <v>109.43392753932719</v>
      </c>
      <c r="L49" s="2625">
        <f ca="1">L45*L47</f>
        <v>50.931231531319938</v>
      </c>
      <c r="M49" s="2626">
        <f ca="1">K49+L49</f>
        <v>160.36515907064711</v>
      </c>
      <c r="N49" s="124"/>
      <c r="Q49" s="117">
        <f>ROW()</f>
        <v>49</v>
      </c>
    </row>
    <row r="50" spans="2:23" ht="15" customHeight="1">
      <c r="B50" s="6"/>
      <c r="E50" s="736"/>
      <c r="F50" s="736"/>
      <c r="G50" s="738"/>
      <c r="H50" s="341"/>
      <c r="I50" s="113"/>
      <c r="J50" s="113"/>
      <c r="K50" s="113"/>
      <c r="L50" s="887"/>
      <c r="M50" s="657"/>
      <c r="O50" s="892"/>
      <c r="P50" s="892"/>
      <c r="Q50" s="117">
        <f>ROW()</f>
        <v>50</v>
      </c>
    </row>
    <row r="51" spans="2:23" ht="15" customHeight="1">
      <c r="B51" s="6"/>
      <c r="E51" s="4120" t="str">
        <f>CONCATENATE("Current Cordon-pricing Total is derived in Row ",Q208, ". It is allocated between weekdays and weekends based on (i) numbers of such days in year, and (ii) ratio of average weekend to weekday toll crossings in 'Weekends' worksheet, Row ",Weekends!X148, ".")</f>
        <v>Current Cordon-pricing Total is derived in Row 208. It is allocated between weekdays and weekends based on (i) numbers of such days in year, and (ii) ratio of average weekend to weekday toll crossings in 'Weekends' worksheet, Row 148.</v>
      </c>
      <c r="F51" s="3659"/>
      <c r="G51" s="3659"/>
      <c r="H51" s="3659"/>
      <c r="I51" s="3659"/>
      <c r="J51" s="3659"/>
      <c r="K51" s="3659"/>
      <c r="L51" s="3659"/>
      <c r="M51" s="3659"/>
      <c r="O51" s="892"/>
      <c r="P51" s="892"/>
      <c r="Q51" s="117">
        <f>ROW()</f>
        <v>51</v>
      </c>
    </row>
    <row r="52" spans="2:23" ht="15" customHeight="1">
      <c r="B52" s="6"/>
      <c r="E52" s="3659"/>
      <c r="F52" s="3659"/>
      <c r="G52" s="3659"/>
      <c r="H52" s="3659"/>
      <c r="I52" s="3659"/>
      <c r="J52" s="3659"/>
      <c r="K52" s="3659"/>
      <c r="L52" s="3659"/>
      <c r="M52" s="3659"/>
      <c r="O52" s="2270"/>
      <c r="P52" s="2270"/>
      <c r="Q52" s="117">
        <f>ROW()</f>
        <v>52</v>
      </c>
    </row>
    <row r="53" spans="2:23" ht="15" customHeight="1">
      <c r="B53" s="115"/>
      <c r="E53" s="2275" t="str">
        <f>CONCATENATE("New Cordon-pricing figures for Weekdays and Weekends are derived in Motor Vs and Motor Vs Weekends worksheets, Rows ",'Motor Vs'!O992, ".")</f>
        <v>New Cordon-pricing figures for Weekdays and Weekends are derived in Motor Vs and Motor Vs Weekends worksheets, Rows 992.</v>
      </c>
      <c r="Q53" s="117">
        <f>ROW()</f>
        <v>53</v>
      </c>
    </row>
    <row r="54" spans="2:23" ht="15" customHeight="1">
      <c r="B54" s="115"/>
      <c r="E54" s="2275" t="str">
        <f>CONCATENATE("Taxi Surcharge revenues are respective products of Rows ",Q45, " and ",Q47," which in turn are from 'Taxis' worksheet.")</f>
        <v>Taxi Surcharge revenues are respective products of Rows 45 and 47 which in turn are from 'Taxis' worksheet.</v>
      </c>
      <c r="Q54" s="117">
        <f>ROW()</f>
        <v>54</v>
      </c>
    </row>
    <row r="55" spans="2:23" ht="15" customHeight="1">
      <c r="B55" s="115"/>
      <c r="E55" s="894"/>
      <c r="Q55" s="117">
        <f>ROW()</f>
        <v>55</v>
      </c>
    </row>
    <row r="56" spans="2:23" ht="15" customHeight="1">
      <c r="B56" s="115"/>
      <c r="E56" s="894"/>
      <c r="Q56" s="117">
        <f>ROW()</f>
        <v>56</v>
      </c>
    </row>
    <row r="57" spans="2:23" ht="15" customHeight="1">
      <c r="B57" s="115" t="s">
        <v>5550</v>
      </c>
      <c r="Q57" s="117">
        <f>ROW()</f>
        <v>57</v>
      </c>
    </row>
    <row r="58" spans="2:23" ht="15" customHeight="1">
      <c r="B58" s="115"/>
      <c r="Q58" s="117">
        <f>ROW()</f>
        <v>58</v>
      </c>
    </row>
    <row r="59" spans="2:23" ht="15" customHeight="1">
      <c r="B59" s="467" t="s">
        <v>525</v>
      </c>
      <c r="I59" s="48"/>
      <c r="J59" s="48"/>
      <c r="K59" s="48"/>
      <c r="L59" s="6"/>
      <c r="Q59" s="117">
        <f>ROW()</f>
        <v>59</v>
      </c>
    </row>
    <row r="60" spans="2:23" ht="15" customHeight="1">
      <c r="B60" s="308"/>
      <c r="Q60" s="117">
        <f>ROW()</f>
        <v>60</v>
      </c>
    </row>
    <row r="61" spans="2:23" ht="15" customHeight="1">
      <c r="B61" s="4078" t="s">
        <v>526</v>
      </c>
      <c r="C61" s="4078"/>
      <c r="D61" s="4078"/>
      <c r="E61" s="4078"/>
      <c r="F61" s="4078"/>
      <c r="G61" s="4078"/>
      <c r="H61" s="4078"/>
      <c r="I61" s="4078"/>
      <c r="J61" s="4078"/>
      <c r="K61" s="4078"/>
      <c r="L61" s="4078"/>
      <c r="M61" s="4078"/>
      <c r="Q61" s="117">
        <f>ROW()</f>
        <v>61</v>
      </c>
    </row>
    <row r="62" spans="2:23" ht="15" customHeight="1">
      <c r="B62" s="2271"/>
      <c r="C62" s="2271"/>
      <c r="D62" s="2271"/>
      <c r="E62" s="2271"/>
      <c r="F62" s="2271"/>
      <c r="G62" s="2271"/>
      <c r="H62" s="2271"/>
      <c r="K62" s="2271"/>
      <c r="Q62" s="117">
        <f>ROW()</f>
        <v>62</v>
      </c>
    </row>
    <row r="63" spans="2:23" ht="15" customHeight="1">
      <c r="B63" s="6"/>
      <c r="D63" s="3814" t="s">
        <v>6181</v>
      </c>
      <c r="E63" s="3815"/>
      <c r="F63" s="3815"/>
      <c r="G63" s="3815"/>
      <c r="H63" s="3815"/>
      <c r="I63" s="3815"/>
      <c r="J63" s="3815"/>
      <c r="K63" s="3816"/>
      <c r="M63" s="4041" t="s">
        <v>4632</v>
      </c>
      <c r="N63" s="4042"/>
      <c r="O63" s="4042"/>
      <c r="P63" s="4043"/>
      <c r="Q63" s="117">
        <f>ROW()</f>
        <v>63</v>
      </c>
      <c r="R63" s="4140" t="s">
        <v>5951</v>
      </c>
      <c r="S63" s="4141"/>
      <c r="T63" s="4142"/>
      <c r="U63" s="4103" t="s">
        <v>5994</v>
      </c>
      <c r="V63" s="4104"/>
      <c r="W63" s="4105"/>
    </row>
    <row r="64" spans="2:23" ht="15" customHeight="1">
      <c r="B64" s="6"/>
      <c r="D64" s="2712" t="s">
        <v>4626</v>
      </c>
      <c r="F64" s="4073" t="s">
        <v>4622</v>
      </c>
      <c r="G64" s="4074"/>
      <c r="H64" s="4074"/>
      <c r="I64" s="4073" t="s">
        <v>4631</v>
      </c>
      <c r="J64" s="4092"/>
      <c r="M64" s="4093" t="s">
        <v>6112</v>
      </c>
      <c r="N64" s="4094"/>
      <c r="O64" s="4094"/>
      <c r="P64" s="4095"/>
      <c r="Q64" s="117">
        <f>ROW()</f>
        <v>64</v>
      </c>
      <c r="R64" s="4143"/>
      <c r="S64" s="4144"/>
      <c r="T64" s="4145"/>
      <c r="U64" s="3389" t="s">
        <v>4623</v>
      </c>
      <c r="V64" s="75" t="s">
        <v>2738</v>
      </c>
      <c r="W64" s="2278" t="s">
        <v>548</v>
      </c>
    </row>
    <row r="65" spans="2:23" ht="15" customHeight="1">
      <c r="B65" s="308" t="s">
        <v>2786</v>
      </c>
      <c r="D65" s="311" t="s">
        <v>228</v>
      </c>
      <c r="F65" s="311" t="s">
        <v>228</v>
      </c>
      <c r="G65" s="311" t="s">
        <v>2783</v>
      </c>
      <c r="H65" s="2276" t="s">
        <v>2784</v>
      </c>
      <c r="I65" s="2277" t="s">
        <v>228</v>
      </c>
      <c r="J65" s="2277" t="s">
        <v>4630</v>
      </c>
      <c r="K65" s="311" t="s">
        <v>548</v>
      </c>
      <c r="M65" s="2696" t="s">
        <v>4623</v>
      </c>
      <c r="N65" s="2697" t="s">
        <v>6113</v>
      </c>
      <c r="O65" s="2697" t="s">
        <v>548</v>
      </c>
      <c r="P65" s="2698" t="s">
        <v>2784</v>
      </c>
      <c r="Q65" s="117">
        <f>ROW()</f>
        <v>65</v>
      </c>
      <c r="R65" s="3375" t="s">
        <v>1463</v>
      </c>
      <c r="S65" s="3376" t="s">
        <v>5932</v>
      </c>
      <c r="T65" s="3377" t="s">
        <v>1973</v>
      </c>
      <c r="U65" s="3390">
        <v>68831</v>
      </c>
      <c r="V65" s="2687">
        <v>312369</v>
      </c>
      <c r="W65" s="2688">
        <v>4.57</v>
      </c>
    </row>
    <row r="66" spans="2:23" ht="15" customHeight="1">
      <c r="B66" s="281" t="s">
        <v>760</v>
      </c>
      <c r="C66" s="124"/>
      <c r="D66" s="218">
        <v>278906</v>
      </c>
      <c r="F66" s="218">
        <v>295901</v>
      </c>
      <c r="G66" s="2272">
        <v>0</v>
      </c>
      <c r="H66" s="218">
        <f t="shared" ref="H66:H74" si="1">F66*$G66</f>
        <v>0</v>
      </c>
      <c r="I66" s="575">
        <v>68569</v>
      </c>
      <c r="J66" s="575">
        <f t="shared" ref="J66:J74" si="2">(1-G66)*I66</f>
        <v>68569</v>
      </c>
      <c r="K66" s="566">
        <f t="shared" ref="K66:K74" si="3">F66/I66</f>
        <v>4.3153757528912484</v>
      </c>
      <c r="M66" s="2699">
        <v>69048</v>
      </c>
      <c r="N66" s="2700">
        <v>339702</v>
      </c>
      <c r="O66" s="2701">
        <v>4.92</v>
      </c>
      <c r="P66" s="2702">
        <f t="shared" ref="P66:P74" si="4">N66*$G66</f>
        <v>0</v>
      </c>
      <c r="Q66" s="117">
        <f>ROW()</f>
        <v>66</v>
      </c>
      <c r="R66" s="3372">
        <v>13</v>
      </c>
      <c r="S66" s="3373">
        <v>8</v>
      </c>
      <c r="T66" s="3388">
        <f>S66/R66-1</f>
        <v>-0.38461538461538458</v>
      </c>
      <c r="U66" s="3390">
        <v>59320</v>
      </c>
      <c r="V66" s="2689">
        <v>321364</v>
      </c>
      <c r="W66" s="2688">
        <v>5.42</v>
      </c>
    </row>
    <row r="67" spans="2:23" ht="15" customHeight="1">
      <c r="B67" s="281" t="s">
        <v>2002</v>
      </c>
      <c r="C67" s="124"/>
      <c r="D67" s="155">
        <v>287877</v>
      </c>
      <c r="F67" s="155">
        <v>304794</v>
      </c>
      <c r="G67" s="2682">
        <v>0</v>
      </c>
      <c r="H67" s="218">
        <f t="shared" si="1"/>
        <v>0</v>
      </c>
      <c r="I67" s="155">
        <v>59423</v>
      </c>
      <c r="J67" s="575">
        <f t="shared" si="2"/>
        <v>59423</v>
      </c>
      <c r="K67" s="566">
        <f t="shared" si="3"/>
        <v>5.1292260572505599</v>
      </c>
      <c r="M67" s="2699">
        <v>59524</v>
      </c>
      <c r="N67" s="2703">
        <v>346226</v>
      </c>
      <c r="O67" s="2701">
        <v>5.82</v>
      </c>
      <c r="P67" s="2702">
        <f t="shared" si="4"/>
        <v>0</v>
      </c>
      <c r="Q67" s="117">
        <f>ROW()</f>
        <v>67</v>
      </c>
      <c r="R67" s="3372">
        <v>13</v>
      </c>
      <c r="S67" s="3373">
        <v>8</v>
      </c>
      <c r="T67" s="3388">
        <f>S67/R67-1</f>
        <v>-0.38461538461538458</v>
      </c>
      <c r="U67" s="3390">
        <v>42514</v>
      </c>
      <c r="V67" s="2689">
        <v>237133</v>
      </c>
      <c r="W67" s="2688">
        <v>5.58</v>
      </c>
    </row>
    <row r="68" spans="2:23" ht="15" customHeight="1">
      <c r="B68" s="281" t="s">
        <v>2003</v>
      </c>
      <c r="C68" s="124"/>
      <c r="D68" s="155">
        <v>212125</v>
      </c>
      <c r="F68" s="155">
        <v>225224</v>
      </c>
      <c r="G68" s="2272">
        <v>0</v>
      </c>
      <c r="H68" s="218">
        <f t="shared" si="1"/>
        <v>0</v>
      </c>
      <c r="I68" s="155">
        <v>42646</v>
      </c>
      <c r="J68" s="575">
        <f t="shared" si="2"/>
        <v>42646</v>
      </c>
      <c r="K68" s="566">
        <f t="shared" si="3"/>
        <v>5.2812456033391175</v>
      </c>
      <c r="M68" s="2699">
        <v>42878</v>
      </c>
      <c r="N68" s="2703">
        <v>256723</v>
      </c>
      <c r="O68" s="2701">
        <v>5.99</v>
      </c>
      <c r="P68" s="2702">
        <f t="shared" si="4"/>
        <v>0</v>
      </c>
      <c r="Q68" s="117">
        <f>ROW()</f>
        <v>68</v>
      </c>
      <c r="R68" s="3372">
        <v>13</v>
      </c>
      <c r="S68" s="3373">
        <v>8</v>
      </c>
      <c r="T68" s="3388">
        <f t="shared" ref="T68:T75" si="5">S68/R68-1</f>
        <v>-0.38461538461538458</v>
      </c>
      <c r="U68" s="3390">
        <v>38900</v>
      </c>
      <c r="V68" s="2689">
        <v>235245</v>
      </c>
      <c r="W68" s="2688">
        <v>6.05</v>
      </c>
    </row>
    <row r="69" spans="2:23" ht="15" customHeight="1">
      <c r="B69" s="281" t="s">
        <v>2004</v>
      </c>
      <c r="C69" s="124"/>
      <c r="D69" s="155">
        <v>219855</v>
      </c>
      <c r="F69" s="155">
        <v>222825</v>
      </c>
      <c r="G69" s="2272">
        <v>0</v>
      </c>
      <c r="H69" s="218">
        <f t="shared" si="1"/>
        <v>0</v>
      </c>
      <c r="I69" s="155">
        <v>39029</v>
      </c>
      <c r="J69" s="575">
        <f t="shared" si="2"/>
        <v>39029</v>
      </c>
      <c r="K69" s="566">
        <f t="shared" si="3"/>
        <v>5.7092162238335593</v>
      </c>
      <c r="M69" s="2699">
        <v>39268</v>
      </c>
      <c r="N69" s="2703">
        <v>254963</v>
      </c>
      <c r="O69" s="2701">
        <v>6.49</v>
      </c>
      <c r="P69" s="2702">
        <f t="shared" si="4"/>
        <v>0</v>
      </c>
      <c r="Q69" s="117">
        <f>ROW()</f>
        <v>69</v>
      </c>
      <c r="R69" s="3372">
        <v>13</v>
      </c>
      <c r="S69" s="3373">
        <v>8</v>
      </c>
      <c r="T69" s="3388">
        <f t="shared" si="5"/>
        <v>-0.38461538461538458</v>
      </c>
      <c r="U69" s="3391">
        <v>15201</v>
      </c>
      <c r="V69" s="2690">
        <v>73882</v>
      </c>
      <c r="W69" s="2688">
        <v>4.8600000000000003</v>
      </c>
    </row>
    <row r="70" spans="2:23" s="9" customFormat="1" ht="15" customHeight="1">
      <c r="B70" s="280" t="s">
        <v>2005</v>
      </c>
      <c r="C70" s="167"/>
      <c r="D70" s="489">
        <v>73590</v>
      </c>
      <c r="F70" s="489">
        <v>73248</v>
      </c>
      <c r="G70" s="2272">
        <v>1</v>
      </c>
      <c r="H70" s="218">
        <f t="shared" si="1"/>
        <v>73248</v>
      </c>
      <c r="I70" s="869">
        <v>15896</v>
      </c>
      <c r="J70" s="575">
        <f t="shared" si="2"/>
        <v>0</v>
      </c>
      <c r="K70" s="566">
        <f t="shared" si="3"/>
        <v>4.6079516859587315</v>
      </c>
      <c r="M70" s="2704">
        <v>15050</v>
      </c>
      <c r="N70" s="2705">
        <v>78595</v>
      </c>
      <c r="O70" s="2701">
        <v>5.22</v>
      </c>
      <c r="P70" s="2702">
        <f t="shared" si="4"/>
        <v>78595</v>
      </c>
      <c r="Q70" s="117">
        <f>ROW()</f>
        <v>70</v>
      </c>
      <c r="R70" s="4146" t="s">
        <v>6182</v>
      </c>
      <c r="S70" s="3681"/>
      <c r="T70" s="3682"/>
      <c r="U70" s="1622">
        <v>27373</v>
      </c>
      <c r="V70" s="2690">
        <v>140732</v>
      </c>
      <c r="W70" s="2688">
        <v>5.14</v>
      </c>
    </row>
    <row r="71" spans="2:23" s="9" customFormat="1" ht="15" customHeight="1">
      <c r="B71" s="280" t="s">
        <v>2779</v>
      </c>
      <c r="C71" s="167"/>
      <c r="D71" s="489">
        <v>131264</v>
      </c>
      <c r="F71" s="489">
        <v>134927</v>
      </c>
      <c r="G71" s="2272">
        <v>1</v>
      </c>
      <c r="H71" s="218">
        <f t="shared" si="1"/>
        <v>134927</v>
      </c>
      <c r="I71" s="869">
        <v>27692</v>
      </c>
      <c r="J71" s="575">
        <f t="shared" si="2"/>
        <v>0</v>
      </c>
      <c r="K71" s="566">
        <f t="shared" si="3"/>
        <v>4.8724180268669652</v>
      </c>
      <c r="M71" s="2706">
        <v>27271</v>
      </c>
      <c r="N71" s="2705">
        <v>150658</v>
      </c>
      <c r="O71" s="2701">
        <v>5.52</v>
      </c>
      <c r="P71" s="2702">
        <f t="shared" si="4"/>
        <v>150658</v>
      </c>
      <c r="Q71" s="117">
        <f>ROW()</f>
        <v>71</v>
      </c>
      <c r="R71" s="3680"/>
      <c r="S71" s="3681"/>
      <c r="T71" s="3682"/>
      <c r="U71" s="1622">
        <v>23015</v>
      </c>
      <c r="V71" s="2689">
        <v>54021</v>
      </c>
      <c r="W71" s="2688">
        <v>2.35</v>
      </c>
    </row>
    <row r="72" spans="2:23" ht="15" customHeight="1">
      <c r="B72" s="281" t="s">
        <v>2780</v>
      </c>
      <c r="C72" s="124"/>
      <c r="D72" s="155">
        <v>44126</v>
      </c>
      <c r="F72" s="155">
        <v>49581</v>
      </c>
      <c r="G72" s="2272">
        <v>0</v>
      </c>
      <c r="H72" s="218">
        <f t="shared" si="1"/>
        <v>0</v>
      </c>
      <c r="I72" s="869">
        <v>22574</v>
      </c>
      <c r="J72" s="575">
        <f t="shared" si="2"/>
        <v>22574</v>
      </c>
      <c r="K72" s="566">
        <f t="shared" si="3"/>
        <v>2.1963763621865864</v>
      </c>
      <c r="M72" s="2706">
        <v>23496</v>
      </c>
      <c r="N72" s="2703">
        <v>59203</v>
      </c>
      <c r="O72" s="2701">
        <v>2.52</v>
      </c>
      <c r="P72" s="2702">
        <f t="shared" si="4"/>
        <v>0</v>
      </c>
      <c r="Q72" s="117">
        <f>ROW()</f>
        <v>72</v>
      </c>
      <c r="R72" s="3372">
        <v>8</v>
      </c>
      <c r="S72" s="3512">
        <v>4.4000000000000004</v>
      </c>
      <c r="T72" s="3388">
        <f t="shared" ref="T72" si="6">S72/R72-1</f>
        <v>-0.44999999999999996</v>
      </c>
      <c r="U72" s="1622">
        <v>7924</v>
      </c>
      <c r="V72" s="2689">
        <v>13765</v>
      </c>
      <c r="W72" s="2688">
        <v>1.74</v>
      </c>
    </row>
    <row r="73" spans="2:23" ht="15" customHeight="1">
      <c r="B73" s="281" t="s">
        <v>2781</v>
      </c>
      <c r="C73" s="124"/>
      <c r="D73" s="155">
        <v>12019</v>
      </c>
      <c r="F73" s="155">
        <v>12921</v>
      </c>
      <c r="G73" s="2272">
        <v>0</v>
      </c>
      <c r="H73" s="218">
        <f t="shared" si="1"/>
        <v>0</v>
      </c>
      <c r="I73" s="869">
        <v>7872</v>
      </c>
      <c r="J73" s="575">
        <f t="shared" si="2"/>
        <v>7872</v>
      </c>
      <c r="K73" s="566">
        <f t="shared" si="3"/>
        <v>1.6413871951219512</v>
      </c>
      <c r="M73" s="2706">
        <v>8072</v>
      </c>
      <c r="N73" s="2703">
        <v>15104</v>
      </c>
      <c r="O73" s="2701">
        <v>1.87</v>
      </c>
      <c r="P73" s="2702">
        <f t="shared" si="4"/>
        <v>0</v>
      </c>
      <c r="Q73" s="117">
        <f>ROW()</f>
        <v>73</v>
      </c>
      <c r="R73" s="3372">
        <v>6.5</v>
      </c>
      <c r="S73" s="3512">
        <v>3.2</v>
      </c>
      <c r="T73" s="3388">
        <f t="shared" si="5"/>
        <v>-0.50769230769230766</v>
      </c>
      <c r="U73" s="3392">
        <v>7589</v>
      </c>
      <c r="V73" s="2691">
        <v>13362</v>
      </c>
      <c r="W73" s="2692">
        <v>1.76</v>
      </c>
    </row>
    <row r="74" spans="2:23" ht="15" customHeight="1">
      <c r="B74" s="281" t="s">
        <v>2782</v>
      </c>
      <c r="C74" s="124"/>
      <c r="D74" s="327">
        <v>12212</v>
      </c>
      <c r="F74" s="327">
        <v>12694</v>
      </c>
      <c r="G74" s="2272">
        <v>0</v>
      </c>
      <c r="H74" s="218">
        <f t="shared" si="1"/>
        <v>0</v>
      </c>
      <c r="I74" s="327">
        <v>7546</v>
      </c>
      <c r="J74" s="575">
        <f t="shared" si="2"/>
        <v>7546</v>
      </c>
      <c r="K74" s="566">
        <f t="shared" si="3"/>
        <v>1.6822157434402332</v>
      </c>
      <c r="M74" s="2707">
        <v>7658</v>
      </c>
      <c r="N74" s="2708">
        <v>14509</v>
      </c>
      <c r="O74" s="2709">
        <v>1.89</v>
      </c>
      <c r="P74" s="2702">
        <f t="shared" si="4"/>
        <v>0</v>
      </c>
      <c r="Q74" s="117">
        <f>ROW()</f>
        <v>74</v>
      </c>
      <c r="R74" s="3374">
        <v>6.5</v>
      </c>
      <c r="S74" s="3513">
        <v>3.2</v>
      </c>
      <c r="T74" s="3394">
        <f t="shared" si="5"/>
        <v>-0.50769230769230766</v>
      </c>
      <c r="U74" s="3393">
        <v>290168</v>
      </c>
      <c r="V74" s="2687">
        <v>1401874</v>
      </c>
      <c r="W74" s="2693">
        <v>4.83</v>
      </c>
    </row>
    <row r="75" spans="2:23" ht="15" customHeight="1">
      <c r="B75" s="308" t="s">
        <v>2785</v>
      </c>
      <c r="D75" s="218">
        <f>SUM(D66:D74)</f>
        <v>1271974</v>
      </c>
      <c r="F75" s="218">
        <f>SUM(F66:F74)</f>
        <v>1332115</v>
      </c>
      <c r="G75" s="48"/>
      <c r="H75" s="218">
        <f>SUM(H66:H74)</f>
        <v>208175</v>
      </c>
      <c r="I75" s="869">
        <f>SUM(I66:I74)</f>
        <v>291247</v>
      </c>
      <c r="J75" s="869">
        <f>SUM(J66:J74)</f>
        <v>247659</v>
      </c>
      <c r="M75" s="2710">
        <f>SUM(M66:M74)</f>
        <v>292265</v>
      </c>
      <c r="N75" s="2700">
        <f>SUM(N66:N74)</f>
        <v>1515683</v>
      </c>
      <c r="O75" s="2711">
        <f>N75/M75</f>
        <v>5.1859887430927412</v>
      </c>
      <c r="P75" s="2702">
        <f>SUM(P66:P74)</f>
        <v>229253</v>
      </c>
      <c r="Q75" s="117">
        <f>ROW()</f>
        <v>75</v>
      </c>
      <c r="R75" s="3380">
        <f>SUM(N66:N69)+SUM(N72:N74)</f>
        <v>1286430</v>
      </c>
      <c r="S75" s="3381">
        <f>N66*(1+T66)+N67*(1+T67)+N68*(1+T68)+N69*(1+T69)+N72*(1+T72)+N73*(1+T73)+N74*(1+T74)</f>
        <v>784133.58846153843</v>
      </c>
      <c r="T75" s="3395">
        <f t="shared" si="5"/>
        <v>-0.3904576320036548</v>
      </c>
      <c r="U75" s="3756" t="s">
        <v>4624</v>
      </c>
      <c r="V75" s="3681"/>
      <c r="W75" s="3682"/>
    </row>
    <row r="76" spans="2:23" ht="15" customHeight="1">
      <c r="B76" s="3754" t="s">
        <v>6183</v>
      </c>
      <c r="C76" s="3659"/>
      <c r="D76" s="3659"/>
      <c r="E76" s="3659"/>
      <c r="F76" s="3659"/>
      <c r="G76" s="3659"/>
      <c r="H76" s="3659"/>
      <c r="I76" s="3659"/>
      <c r="J76" s="3659"/>
      <c r="K76" s="3659"/>
      <c r="L76" s="3659"/>
      <c r="M76" s="4096" t="s">
        <v>4627</v>
      </c>
      <c r="N76" s="4097"/>
      <c r="O76" s="4097"/>
      <c r="P76" s="4048"/>
      <c r="Q76" s="117">
        <f>ROW()</f>
        <v>76</v>
      </c>
      <c r="R76" s="4102" t="s">
        <v>5950</v>
      </c>
      <c r="S76" s="3681"/>
      <c r="T76" s="3682"/>
      <c r="U76" s="3680"/>
      <c r="V76" s="3681"/>
      <c r="W76" s="3682"/>
    </row>
    <row r="77" spans="2:23" ht="15" customHeight="1">
      <c r="B77" s="3659"/>
      <c r="C77" s="3659"/>
      <c r="D77" s="3659"/>
      <c r="E77" s="3659"/>
      <c r="F77" s="3659"/>
      <c r="G77" s="3659"/>
      <c r="H77" s="3659"/>
      <c r="I77" s="3659"/>
      <c r="J77" s="3659"/>
      <c r="K77" s="3659"/>
      <c r="L77" s="3659"/>
      <c r="M77" s="4049"/>
      <c r="N77" s="4097"/>
      <c r="O77" s="4097"/>
      <c r="P77" s="4048"/>
      <c r="Q77" s="117">
        <f>ROW()</f>
        <v>77</v>
      </c>
      <c r="R77" s="3680"/>
      <c r="S77" s="3681"/>
      <c r="T77" s="3682"/>
      <c r="U77" s="3680"/>
      <c r="V77" s="3681"/>
      <c r="W77" s="3682"/>
    </row>
    <row r="78" spans="2:23" ht="15" customHeight="1">
      <c r="B78" s="3659"/>
      <c r="C78" s="3659"/>
      <c r="D78" s="3659"/>
      <c r="E78" s="3659"/>
      <c r="F78" s="3659"/>
      <c r="G78" s="3659"/>
      <c r="H78" s="3659"/>
      <c r="I78" s="3659"/>
      <c r="J78" s="3659"/>
      <c r="K78" s="3659"/>
      <c r="L78" s="3659"/>
      <c r="M78" s="4049"/>
      <c r="N78" s="4097"/>
      <c r="O78" s="4097"/>
      <c r="P78" s="4048"/>
      <c r="Q78" s="117">
        <f>ROW()</f>
        <v>78</v>
      </c>
      <c r="R78" s="3680"/>
      <c r="S78" s="3681"/>
      <c r="T78" s="3682"/>
      <c r="U78" s="3680"/>
      <c r="V78" s="3681"/>
      <c r="W78" s="3682"/>
    </row>
    <row r="79" spans="2:23" ht="15" customHeight="1">
      <c r="B79" s="3659"/>
      <c r="C79" s="3659"/>
      <c r="D79" s="3659"/>
      <c r="E79" s="3659"/>
      <c r="F79" s="3659"/>
      <c r="G79" s="3659"/>
      <c r="H79" s="3659"/>
      <c r="I79" s="3659"/>
      <c r="J79" s="3659"/>
      <c r="K79" s="3659"/>
      <c r="L79" s="3659"/>
      <c r="M79" s="4049"/>
      <c r="N79" s="4097"/>
      <c r="O79" s="4097"/>
      <c r="P79" s="4048"/>
      <c r="Q79" s="117">
        <f>ROW()</f>
        <v>79</v>
      </c>
      <c r="R79" s="3680"/>
      <c r="S79" s="3681"/>
      <c r="T79" s="3682"/>
      <c r="U79" s="3683"/>
      <c r="V79" s="3684"/>
      <c r="W79" s="3685"/>
    </row>
    <row r="80" spans="2:23" ht="15" customHeight="1">
      <c r="B80" s="3659"/>
      <c r="C80" s="3659"/>
      <c r="D80" s="3659"/>
      <c r="E80" s="3659"/>
      <c r="F80" s="3659"/>
      <c r="G80" s="3659"/>
      <c r="H80" s="3659"/>
      <c r="I80" s="3659"/>
      <c r="J80" s="3659"/>
      <c r="K80" s="3659"/>
      <c r="L80" s="3659"/>
      <c r="M80" s="4049"/>
      <c r="N80" s="4097"/>
      <c r="O80" s="4097"/>
      <c r="P80" s="4048"/>
      <c r="Q80" s="117">
        <f>ROW()</f>
        <v>80</v>
      </c>
      <c r="R80" s="3680"/>
      <c r="S80" s="3681"/>
      <c r="T80" s="3682"/>
    </row>
    <row r="81" spans="2:20" ht="15" customHeight="1">
      <c r="B81" s="3659"/>
      <c r="C81" s="3659"/>
      <c r="D81" s="3659"/>
      <c r="E81" s="3659"/>
      <c r="F81" s="3659"/>
      <c r="G81" s="3659"/>
      <c r="H81" s="3659"/>
      <c r="I81" s="3659"/>
      <c r="J81" s="3659"/>
      <c r="K81" s="3659"/>
      <c r="L81" s="3659"/>
      <c r="M81" s="3800"/>
      <c r="N81" s="3801"/>
      <c r="O81" s="3801"/>
      <c r="P81" s="4098"/>
      <c r="Q81" s="117">
        <f>ROW()</f>
        <v>81</v>
      </c>
      <c r="R81" s="3680"/>
      <c r="S81" s="3681"/>
      <c r="T81" s="3682"/>
    </row>
    <row r="82" spans="2:20" ht="15" customHeight="1">
      <c r="B82" s="2677"/>
      <c r="C82" s="2677"/>
      <c r="D82" s="2677"/>
      <c r="E82" s="2677"/>
      <c r="F82" s="2677"/>
      <c r="G82" s="2677"/>
      <c r="H82" s="2677"/>
      <c r="I82" s="2677"/>
      <c r="J82" s="2677"/>
      <c r="K82" s="2677"/>
      <c r="L82" s="2677"/>
      <c r="Q82" s="117">
        <f>ROW()</f>
        <v>82</v>
      </c>
      <c r="R82" s="4102" t="s">
        <v>5952</v>
      </c>
      <c r="S82" s="3681"/>
      <c r="T82" s="3682"/>
    </row>
    <row r="83" spans="2:20" ht="15" customHeight="1">
      <c r="B83" s="467" t="s">
        <v>5984</v>
      </c>
      <c r="C83" s="217"/>
      <c r="D83" s="217"/>
      <c r="E83" s="217"/>
      <c r="F83" s="217"/>
      <c r="G83" s="217"/>
      <c r="H83" s="217"/>
      <c r="I83" s="217"/>
      <c r="J83" s="217"/>
      <c r="Q83" s="117">
        <f>ROW()</f>
        <v>83</v>
      </c>
      <c r="R83" s="3680"/>
      <c r="S83" s="3681"/>
      <c r="T83" s="3682"/>
    </row>
    <row r="84" spans="2:20" ht="15" customHeight="1">
      <c r="B84" s="217"/>
      <c r="C84" s="217"/>
      <c r="D84" s="217"/>
      <c r="E84" s="217"/>
      <c r="F84" s="217"/>
      <c r="G84" s="217"/>
      <c r="H84" s="217"/>
      <c r="I84" s="217"/>
      <c r="J84" s="217"/>
      <c r="M84" s="155"/>
      <c r="Q84" s="117">
        <f>ROW()</f>
        <v>84</v>
      </c>
      <c r="R84" s="3680"/>
      <c r="S84" s="3681"/>
      <c r="T84" s="3682"/>
    </row>
    <row r="85" spans="2:20" ht="15" customHeight="1">
      <c r="B85" s="4071" t="s">
        <v>3739</v>
      </c>
      <c r="C85" s="4071"/>
      <c r="D85" s="4071"/>
      <c r="E85" s="4071"/>
      <c r="F85" s="4071"/>
      <c r="G85" s="4071"/>
      <c r="H85" s="4071"/>
      <c r="I85" s="4071"/>
      <c r="J85" s="4071"/>
      <c r="Q85" s="117">
        <f>ROW()</f>
        <v>85</v>
      </c>
      <c r="R85" s="3680"/>
      <c r="S85" s="3681"/>
      <c r="T85" s="3682"/>
    </row>
    <row r="86" spans="2:20" ht="15" customHeight="1">
      <c r="B86" s="4071"/>
      <c r="C86" s="4071"/>
      <c r="D86" s="4071"/>
      <c r="E86" s="4071"/>
      <c r="F86" s="4071"/>
      <c r="G86" s="4071"/>
      <c r="H86" s="4071"/>
      <c r="I86" s="4071"/>
      <c r="J86" s="4071"/>
      <c r="Q86" s="117">
        <f>ROW()</f>
        <v>86</v>
      </c>
      <c r="R86" s="4102" t="str">
        <f>CONCATENATE("Revenue figure in Cell S",Q75, " is MTA 2011 projection for its bridges. Figure in Cell T",Q75, "adjusts projection for % change in tolls shown in Column U.")</f>
        <v>Revenue figure in Cell S75 is MTA 2011 projection for its bridges. Figure in Cell T75adjusts projection for % change in tolls shown in Column U.</v>
      </c>
      <c r="S86" s="3681"/>
      <c r="T86" s="3682"/>
    </row>
    <row r="87" spans="2:20" ht="15" customHeight="1">
      <c r="B87" s="217"/>
      <c r="C87" s="217"/>
      <c r="D87" s="217"/>
      <c r="E87" s="217"/>
      <c r="F87" s="217"/>
      <c r="G87" s="217"/>
      <c r="H87" s="217"/>
      <c r="I87" s="217"/>
      <c r="J87" s="217"/>
      <c r="Q87" s="117">
        <f>ROW()</f>
        <v>87</v>
      </c>
      <c r="R87" s="3680"/>
      <c r="S87" s="3681"/>
      <c r="T87" s="3682"/>
    </row>
    <row r="88" spans="2:20" ht="15" customHeight="1">
      <c r="B88" s="312" t="s">
        <v>4625</v>
      </c>
      <c r="C88" s="217"/>
      <c r="D88" s="217"/>
      <c r="E88" s="217"/>
      <c r="F88" s="217"/>
      <c r="G88" s="217"/>
      <c r="H88" s="217"/>
      <c r="I88" s="217"/>
      <c r="J88" s="3" t="str">
        <f>CONCATENATE("Sum of figures in Rows ",Q70, " and ",Q71, ", Column P.")</f>
        <v>Sum of figures in Rows 70 and 71, Column P.</v>
      </c>
      <c r="K88" s="2694">
        <f>N71+N70</f>
        <v>229253</v>
      </c>
      <c r="Q88" s="117">
        <f>ROW()</f>
        <v>88</v>
      </c>
      <c r="R88" s="3680"/>
      <c r="S88" s="3681"/>
      <c r="T88" s="3682"/>
    </row>
    <row r="89" spans="2:20" ht="15" customHeight="1">
      <c r="C89" s="217"/>
      <c r="D89" s="217"/>
      <c r="E89" s="217"/>
      <c r="F89" s="217"/>
      <c r="G89" s="217"/>
      <c r="H89" s="217"/>
      <c r="I89" s="1969" t="s">
        <v>781</v>
      </c>
      <c r="J89" s="1969" t="s">
        <v>1975</v>
      </c>
      <c r="K89" s="1969" t="s">
        <v>3219</v>
      </c>
      <c r="Q89" s="117">
        <f>ROW()</f>
        <v>89</v>
      </c>
      <c r="R89" s="3683"/>
      <c r="S89" s="3684"/>
      <c r="T89" s="3685"/>
    </row>
    <row r="90" spans="2:20" ht="15" customHeight="1">
      <c r="B90" s="280" t="s">
        <v>3220</v>
      </c>
      <c r="C90" s="217"/>
      <c r="D90" s="217"/>
      <c r="E90" s="217"/>
      <c r="F90" s="217"/>
      <c r="G90" s="217"/>
      <c r="H90" s="217"/>
      <c r="I90" s="1967">
        <f ca="1">'Motor Vs'!$N$893</f>
        <v>-0.15915001357109371</v>
      </c>
      <c r="J90" s="1970">
        <f ca="1">'Motor Vs Weekends'!$N$893</f>
        <v>-0.14638064912551221</v>
      </c>
      <c r="K90" s="1970">
        <f ca="1">(I90*'Motor Vs'!$H$27*wkday_per_yr+J90*'Motor Vs Weekends'!$H$27*wkend_per_yr)/('Motor Vs'!$H$27*wkday_per_yr+'Motor Vs Weekends'!$H$27*wkend_per_yr)</f>
        <v>-0.15555968338917209</v>
      </c>
      <c r="Q90" s="117">
        <f>ROW()</f>
        <v>90</v>
      </c>
    </row>
    <row r="91" spans="2:20" ht="15" customHeight="1">
      <c r="B91" s="3785" t="str">
        <f>CONCATENATE("Weekdays and Weekends percentages are from 'Motor Vs' and 'Motor Vs Weekends' worksheets, Row ",'Motor Vs'!$O$902, ". Weighted figure weights those two percentages by respective total entries into CBD from Row ",'Motor Vs'!O$27, " of same worksheets, adj'd for relatve frequency of weekdays and weekends.")</f>
        <v>Weekdays and Weekends percentages are from 'Motor Vs' and 'Motor Vs Weekends' worksheets, Row 902. Weighted figure weights those two percentages by respective total entries into CBD from Row 27 of same worksheets, adj'd for relatve frequency of weekdays and weekends.</v>
      </c>
      <c r="C91" s="3786"/>
      <c r="D91" s="3786"/>
      <c r="E91" s="3786"/>
      <c r="F91" s="3786"/>
      <c r="G91" s="3786"/>
      <c r="H91" s="3786"/>
      <c r="I91" s="3786"/>
      <c r="J91" s="3786"/>
      <c r="K91" s="3786"/>
      <c r="Q91" s="117">
        <f>ROW()</f>
        <v>91</v>
      </c>
    </row>
    <row r="92" spans="2:20" ht="15" customHeight="1">
      <c r="B92" s="3786"/>
      <c r="C92" s="3786"/>
      <c r="D92" s="3786"/>
      <c r="E92" s="3786"/>
      <c r="F92" s="3786"/>
      <c r="G92" s="3786"/>
      <c r="H92" s="3786"/>
      <c r="I92" s="3786"/>
      <c r="J92" s="3786"/>
      <c r="K92" s="3786"/>
      <c r="Q92" s="117">
        <f>ROW()</f>
        <v>92</v>
      </c>
    </row>
    <row r="93" spans="2:20" ht="15" customHeight="1">
      <c r="Q93" s="117">
        <f>ROW()</f>
        <v>93</v>
      </c>
    </row>
    <row r="94" spans="2:20" ht="15" customHeight="1">
      <c r="B94" s="518" t="s">
        <v>3221</v>
      </c>
      <c r="C94" s="1968"/>
      <c r="D94" s="1968"/>
      <c r="E94" s="1968"/>
      <c r="F94" s="1968"/>
      <c r="G94" s="1968"/>
      <c r="H94" s="1968"/>
      <c r="I94" s="1968"/>
      <c r="J94" s="1891">
        <f ca="1">ROUND(K90*K88,-2)</f>
        <v>-35700</v>
      </c>
      <c r="Q94" s="117">
        <f>ROW()</f>
        <v>94</v>
      </c>
    </row>
    <row r="95" spans="2:20" ht="15" customHeight="1">
      <c r="B95" s="215" t="str">
        <f>CONCATENATE("Product of % change in tolled trips in Row ",Q90, " and base revenue in Row ",Q88, ".")</f>
        <v>Product of % change in tolled trips in Row 90 and base revenue in Row 88.</v>
      </c>
      <c r="C95" s="1968"/>
      <c r="D95" s="1968"/>
      <c r="E95" s="1968"/>
      <c r="F95" s="1968"/>
      <c r="G95" s="1968"/>
      <c r="H95" s="1968"/>
      <c r="I95" s="1968"/>
      <c r="J95" s="1968"/>
      <c r="K95" s="1891"/>
      <c r="Q95" s="117">
        <f>ROW()</f>
        <v>95</v>
      </c>
    </row>
    <row r="96" spans="2:20" ht="15" customHeight="1">
      <c r="B96" s="879"/>
      <c r="C96" s="879"/>
      <c r="D96" s="879"/>
      <c r="E96" s="879"/>
      <c r="F96" s="879"/>
      <c r="G96" s="879"/>
      <c r="H96" s="879"/>
      <c r="I96" s="879"/>
      <c r="J96" s="879"/>
      <c r="K96" s="879"/>
      <c r="Q96" s="117">
        <f>ROW()</f>
        <v>96</v>
      </c>
    </row>
    <row r="97" spans="2:17" ht="15" customHeight="1">
      <c r="B97" s="467" t="s">
        <v>5985</v>
      </c>
      <c r="C97" s="593"/>
      <c r="D97" s="593"/>
      <c r="E97" s="593"/>
      <c r="F97" s="593"/>
      <c r="G97" s="593"/>
      <c r="H97" s="593"/>
      <c r="I97" s="593"/>
      <c r="J97" s="593"/>
      <c r="K97" s="282"/>
      <c r="Q97" s="117">
        <f>ROW()</f>
        <v>97</v>
      </c>
    </row>
    <row r="98" spans="2:17" ht="15" customHeight="1">
      <c r="B98" s="323" t="s">
        <v>1980</v>
      </c>
      <c r="C98" s="593"/>
      <c r="D98" s="593"/>
      <c r="E98" s="593"/>
      <c r="F98" s="593"/>
      <c r="G98" s="593"/>
      <c r="H98" s="593"/>
      <c r="I98" s="593"/>
      <c r="K98" s="282"/>
      <c r="Q98" s="117">
        <f>ROW()</f>
        <v>98</v>
      </c>
    </row>
    <row r="99" spans="2:17" ht="15" customHeight="1">
      <c r="B99" s="593"/>
      <c r="C99" s="593"/>
      <c r="D99" s="593"/>
      <c r="E99" s="593"/>
      <c r="F99" s="593"/>
      <c r="G99" s="593"/>
      <c r="H99" s="593"/>
      <c r="I99" s="593"/>
      <c r="J99" s="308" t="s">
        <v>536</v>
      </c>
      <c r="K99" s="282"/>
      <c r="L99" s="6"/>
      <c r="Q99" s="117">
        <f>ROW()</f>
        <v>99</v>
      </c>
    </row>
    <row r="100" spans="2:17" ht="15" customHeight="1">
      <c r="B100" s="312" t="s">
        <v>3740</v>
      </c>
      <c r="C100" s="593"/>
      <c r="D100" s="593"/>
      <c r="E100" s="593"/>
      <c r="F100" s="593"/>
      <c r="G100" s="593"/>
      <c r="H100" s="593"/>
      <c r="I100" s="3193">
        <f>N75-P75</f>
        <v>1286430</v>
      </c>
      <c r="J100" s="282" t="str">
        <f>CONCATENATE("Difference between forecasted 2011 total revenues and 'allocable' revenues in Row ",Q75,".")</f>
        <v>Difference between forecasted 2011 total revenues and 'allocable' revenues in Row 75.</v>
      </c>
      <c r="K100" s="282"/>
      <c r="L100" s="6"/>
      <c r="Q100" s="117">
        <f>ROW()</f>
        <v>100</v>
      </c>
    </row>
    <row r="101" spans="2:17" s="3405" customFormat="1" ht="15" customHeight="1">
      <c r="B101" s="312" t="s">
        <v>5987</v>
      </c>
      <c r="C101" s="3404"/>
      <c r="D101" s="3404"/>
      <c r="E101" s="3404"/>
      <c r="F101" s="3404"/>
      <c r="G101" s="3404"/>
      <c r="H101" s="3404"/>
      <c r="I101" s="3419">
        <f>P133</f>
        <v>12.90511340446815</v>
      </c>
      <c r="J101" s="282" t="str">
        <f>CONCATENATE("Cell P",Q133, ", drawn from geographic data sourced in Rows",Q136, "-",Q140, ".")</f>
        <v>Cell P133, drawn from geographic data sourced in Rows136-140.</v>
      </c>
      <c r="K101" s="282"/>
      <c r="L101" s="6"/>
      <c r="Q101" s="117">
        <f>ROW()</f>
        <v>101</v>
      </c>
    </row>
    <row r="102" spans="2:17" s="3405" customFormat="1" ht="15" customHeight="1">
      <c r="B102" s="312" t="s">
        <v>5989</v>
      </c>
      <c r="C102" s="3404"/>
      <c r="D102" s="3404"/>
      <c r="E102" s="3404"/>
      <c r="F102" s="3404"/>
      <c r="G102" s="3404"/>
      <c r="H102" s="3404"/>
      <c r="I102" s="3420">
        <f>2*I101*'Motor Vs'!W259/100/18</f>
        <v>5.4488256596643296</v>
      </c>
      <c r="J102" s="3754" t="str">
        <f>CONCATENATE("Calculated as 2x distance in Row ",Q101, " x gasoline price in 'Motor Vs' worksheet, Row ",'Motor Vs'!O259, ", divided by assumed avg 18 mpg.")</f>
        <v>Calculated as 2x distance in Row 101 x gasoline price in 'Motor Vs' worksheet, Row 259, divided by assumed avg 18 mpg.</v>
      </c>
      <c r="K102" s="4101"/>
      <c r="L102" s="4101"/>
      <c r="M102" s="4101"/>
      <c r="N102" s="4101"/>
      <c r="O102" s="4101"/>
      <c r="P102" s="4101"/>
      <c r="Q102" s="117">
        <f>ROW()</f>
        <v>102</v>
      </c>
    </row>
    <row r="103" spans="2:17" s="3405" customFormat="1" ht="15" customHeight="1">
      <c r="B103" s="312"/>
      <c r="C103" s="3404"/>
      <c r="D103" s="3404"/>
      <c r="E103" s="3404"/>
      <c r="F103" s="3404"/>
      <c r="G103" s="3404"/>
      <c r="H103" s="3404"/>
      <c r="I103" s="3193"/>
      <c r="J103" s="4101"/>
      <c r="K103" s="4101"/>
      <c r="L103" s="4101"/>
      <c r="M103" s="4101"/>
      <c r="N103" s="4101"/>
      <c r="O103" s="4101"/>
      <c r="P103" s="4101"/>
      <c r="Q103" s="117">
        <f>ROW()</f>
        <v>103</v>
      </c>
    </row>
    <row r="104" spans="2:17" s="3405" customFormat="1" ht="15" customHeight="1">
      <c r="B104" s="312" t="s">
        <v>5990</v>
      </c>
      <c r="C104" s="593"/>
      <c r="D104" s="593"/>
      <c r="E104" s="593"/>
      <c r="F104" s="593"/>
      <c r="G104" s="593"/>
      <c r="H104" s="593"/>
      <c r="I104" s="890">
        <f>2*(SUMPRODUCT(O66:O69,M66:M69)+SUMPRODUCT(O72:O74,M72:M74))/(SUM(M66:M69)+SUM(M72:M74))</f>
        <v>10.295206606279805</v>
      </c>
      <c r="J104" s="282" t="str">
        <f>CONCATENATE("Uses 2x forecasted 2011 trips and tolls in Rows ",Q66, " through ",Q75, ", but excluding Rows ",Q70, " and ",Q71,".")</f>
        <v>Uses 2x forecasted 2011 trips and tolls in Rows 66 through 75, but excluding Rows 70 and 71.</v>
      </c>
      <c r="K104" s="282"/>
      <c r="L104" s="6"/>
      <c r="Q104" s="117">
        <f>ROW()</f>
        <v>104</v>
      </c>
    </row>
    <row r="105" spans="2:17" s="3405" customFormat="1" ht="15" customHeight="1">
      <c r="B105" s="312" t="s">
        <v>5991</v>
      </c>
      <c r="C105" s="3404"/>
      <c r="D105" s="3404"/>
      <c r="E105" s="3404"/>
      <c r="F105" s="3404"/>
      <c r="G105" s="3404"/>
      <c r="H105" s="3404"/>
      <c r="I105" s="3420">
        <v>4</v>
      </c>
      <c r="J105" s="265" t="s">
        <v>5992</v>
      </c>
      <c r="K105" s="282"/>
      <c r="L105" s="6"/>
      <c r="Q105" s="117">
        <f>ROW()</f>
        <v>105</v>
      </c>
    </row>
    <row r="106" spans="2:17" ht="15" customHeight="1">
      <c r="B106" s="518" t="s">
        <v>4628</v>
      </c>
      <c r="C106" s="593"/>
      <c r="D106" s="2493"/>
      <c r="E106" s="593"/>
      <c r="F106" s="593"/>
      <c r="G106" s="593"/>
      <c r="H106" s="593"/>
      <c r="I106" s="750">
        <f>SUM(I102:I105)</f>
        <v>19.744032265944135</v>
      </c>
      <c r="J106" s="282" t="str">
        <f>CONCATENATE("Sum of Rows ",Q102, " through ",Q105,".")</f>
        <v>Sum of Rows 102 through 105.</v>
      </c>
      <c r="K106" s="282"/>
      <c r="L106" s="6"/>
      <c r="Q106" s="117">
        <f>ROW()</f>
        <v>106</v>
      </c>
    </row>
    <row r="107" spans="2:17" ht="15" customHeight="1">
      <c r="B107" s="312" t="s">
        <v>5935</v>
      </c>
      <c r="C107" s="593"/>
      <c r="D107" s="2493"/>
      <c r="E107" s="593"/>
      <c r="F107" s="593"/>
      <c r="G107" s="593"/>
      <c r="H107" s="593"/>
      <c r="I107" s="751">
        <f>'User Inputs'!J76</f>
        <v>-0.15</v>
      </c>
      <c r="J107" s="282" t="str">
        <f>CONCATENATE("Chosen by User, and displayed in 'User Inputs' tab in Cell N",'User Inputs'!N76, ".")</f>
        <v>Chosen by User, and displayed in 'User Inputs' tab in Cell N76.</v>
      </c>
      <c r="K107" s="282"/>
      <c r="L107" s="6"/>
      <c r="Q107" s="117">
        <f>ROW()</f>
        <v>107</v>
      </c>
    </row>
    <row r="108" spans="2:17" ht="15" customHeight="1">
      <c r="B108" s="312" t="s">
        <v>5936</v>
      </c>
      <c r="C108" s="593"/>
      <c r="D108" s="593"/>
      <c r="E108" s="593"/>
      <c r="F108" s="593"/>
      <c r="G108" s="593"/>
      <c r="H108" s="593"/>
      <c r="I108" s="750">
        <f>I104*I107</f>
        <v>-1.5442809909419708</v>
      </c>
      <c r="J108" s="282" t="str">
        <f>CONCATENATE("Product of Rows ",Q104, " and ",Q107,".")</f>
        <v>Product of Rows 104 and 107.</v>
      </c>
      <c r="K108" s="282"/>
      <c r="L108" s="6"/>
      <c r="Q108" s="117">
        <f>ROW()</f>
        <v>108</v>
      </c>
    </row>
    <row r="109" spans="2:17" ht="15" customHeight="1">
      <c r="B109" s="518" t="s">
        <v>5937</v>
      </c>
      <c r="C109" s="2486"/>
      <c r="D109" s="593"/>
      <c r="E109" s="593"/>
      <c r="F109" s="593"/>
      <c r="G109" s="593"/>
      <c r="H109" s="2486"/>
      <c r="I109" s="3378">
        <f>I108/I106</f>
        <v>-7.821507634008748E-2</v>
      </c>
      <c r="J109" s="282" t="str">
        <f>CONCATENATE("Row ",Q108, " divided by Row ",Q106,".")</f>
        <v>Row 108 divided by Row 106.</v>
      </c>
      <c r="K109" s="282"/>
      <c r="L109" s="6"/>
      <c r="M109" s="716"/>
      <c r="Q109" s="117">
        <f>ROW()</f>
        <v>109</v>
      </c>
    </row>
    <row r="110" spans="2:17" ht="15" customHeight="1">
      <c r="B110" s="312" t="s">
        <v>5933</v>
      </c>
      <c r="C110" s="593"/>
      <c r="D110" s="593"/>
      <c r="E110" s="593"/>
      <c r="F110" s="593"/>
      <c r="G110" s="593"/>
      <c r="H110" s="593"/>
      <c r="I110" s="751">
        <f>Elasticities!I51</f>
        <v>-0.66516719250565004</v>
      </c>
      <c r="J110" s="282" t="s">
        <v>537</v>
      </c>
      <c r="K110" s="282"/>
      <c r="L110" s="6"/>
      <c r="Q110" s="117">
        <f>ROW()</f>
        <v>110</v>
      </c>
    </row>
    <row r="111" spans="2:17" ht="15" customHeight="1">
      <c r="B111" s="312" t="s">
        <v>5993</v>
      </c>
      <c r="C111" s="593"/>
      <c r="D111" s="593"/>
      <c r="E111" s="593"/>
      <c r="F111" s="593"/>
      <c r="G111" s="593"/>
      <c r="H111" s="593"/>
      <c r="I111" s="3378">
        <f>(1+I109)^I110</f>
        <v>1.0556676889155063</v>
      </c>
      <c r="J111" s="282" t="str">
        <f>CONCATENATE("Calculated as [one plus the Row ",Q109, " percentage] raised to the elasticity in Row ",Q110, ".")</f>
        <v>Calculated as [one plus the Row 109 percentage] raised to the elasticity in Row 110.</v>
      </c>
      <c r="K111" s="282"/>
      <c r="L111" s="6"/>
      <c r="Q111" s="117">
        <f>ROW()</f>
        <v>111</v>
      </c>
    </row>
    <row r="112" spans="2:17" s="3369" customFormat="1" ht="15" customHeight="1">
      <c r="B112" s="312" t="s">
        <v>5939</v>
      </c>
      <c r="C112" s="3368"/>
      <c r="D112" s="3368"/>
      <c r="E112" s="3368"/>
      <c r="F112" s="3368"/>
      <c r="G112" s="3368"/>
      <c r="H112" s="3368"/>
      <c r="I112" s="3378">
        <f>1+(I111-1)*2/3</f>
        <v>1.0371117926103375</v>
      </c>
      <c r="J112" s="282" t="str">
        <f>CONCATENATE("Calculated by attenuating % increase reflected in Row ",Q111, " by one-third (a Komanoff assumption).")</f>
        <v>Calculated by attenuating % increase reflected in Row 111 by one-third (a Komanoff assumption).</v>
      </c>
      <c r="K112" s="282"/>
      <c r="L112" s="6"/>
      <c r="Q112" s="117">
        <f>ROW()</f>
        <v>112</v>
      </c>
    </row>
    <row r="113" spans="2:17" s="3369" customFormat="1" ht="15" customHeight="1">
      <c r="B113" s="312" t="s">
        <v>6114</v>
      </c>
      <c r="C113" s="3368"/>
      <c r="D113" s="3368"/>
      <c r="E113" s="3368"/>
      <c r="F113" s="3368"/>
      <c r="G113" s="3368"/>
      <c r="H113" s="3368"/>
      <c r="I113" s="3193">
        <f>I100*I112*(1+I107)</f>
        <v>1134045.964862559</v>
      </c>
      <c r="J113" s="282" t="str">
        <f>CONCATENATE("Product of Rows ",Q100, ", ",Q112,", and the sum of 1 and Row ",Q107, ".")</f>
        <v>Product of Rows 100, 112, and the sum of 1 and Row 107.</v>
      </c>
      <c r="K113" s="282"/>
      <c r="L113" s="6"/>
      <c r="Q113" s="117">
        <f>ROW()</f>
        <v>113</v>
      </c>
    </row>
    <row r="114" spans="2:17" ht="15" customHeight="1">
      <c r="B114" s="312" t="s">
        <v>5938</v>
      </c>
      <c r="C114" s="593"/>
      <c r="D114" s="593"/>
      <c r="E114" s="593"/>
      <c r="F114" s="593"/>
      <c r="G114" s="593"/>
      <c r="H114" s="593"/>
      <c r="I114" s="3193">
        <f>I113-I100</f>
        <v>-152384.03513744101</v>
      </c>
      <c r="J114" s="282" t="str">
        <f>CONCATENATE("Row ",Q113, " less Row ",Q100,".")</f>
        <v>Row 113 less Row 100.</v>
      </c>
      <c r="K114" s="282"/>
      <c r="L114" s="6"/>
      <c r="Q114" s="117">
        <f>ROW()</f>
        <v>114</v>
      </c>
    </row>
    <row r="115" spans="2:17" ht="15" customHeight="1">
      <c r="B115" s="308" t="s">
        <v>2444</v>
      </c>
      <c r="C115" s="593"/>
      <c r="D115" s="593"/>
      <c r="E115" s="593"/>
      <c r="F115" s="593"/>
      <c r="G115" s="593"/>
      <c r="H115" s="593"/>
      <c r="I115" s="3379">
        <f>ROUND(I114,-3)</f>
        <v>-152000</v>
      </c>
      <c r="J115" s="593"/>
      <c r="K115" s="282"/>
      <c r="L115" s="6"/>
      <c r="Q115" s="117">
        <f>ROW()</f>
        <v>115</v>
      </c>
    </row>
    <row r="116" spans="2:17" s="3405" customFormat="1" ht="15" customHeight="1">
      <c r="B116" s="308"/>
      <c r="C116" s="3404"/>
      <c r="D116" s="3404"/>
      <c r="E116" s="3404"/>
      <c r="F116" s="3404"/>
      <c r="G116" s="3404"/>
      <c r="H116" s="3404"/>
      <c r="I116" s="3379"/>
      <c r="J116" s="3404"/>
      <c r="K116" s="282"/>
      <c r="L116" s="6"/>
      <c r="Q116" s="117">
        <f>ROW()</f>
        <v>116</v>
      </c>
    </row>
    <row r="117" spans="2:17" s="3405" customFormat="1" ht="15" customHeight="1">
      <c r="B117" s="308"/>
      <c r="C117" s="3404"/>
      <c r="D117" s="3404"/>
      <c r="E117" s="3404"/>
      <c r="F117" s="3404"/>
      <c r="G117" s="3404"/>
      <c r="H117" s="3404"/>
      <c r="I117" s="3379"/>
      <c r="J117" s="3404"/>
      <c r="K117" s="282"/>
      <c r="L117" s="6"/>
      <c r="Q117" s="117">
        <f>ROW()</f>
        <v>117</v>
      </c>
    </row>
    <row r="118" spans="2:17" s="3405" customFormat="1" ht="15" customHeight="1">
      <c r="B118" s="467" t="s">
        <v>5986</v>
      </c>
      <c r="C118" s="3404"/>
      <c r="D118" s="3404"/>
      <c r="E118" s="3404"/>
      <c r="F118" s="3404"/>
      <c r="G118" s="3404"/>
      <c r="H118" s="3404"/>
      <c r="I118" s="3379"/>
      <c r="J118" s="3404"/>
      <c r="K118" s="282"/>
      <c r="L118" s="6"/>
      <c r="Q118" s="117">
        <f>ROW()</f>
        <v>118</v>
      </c>
    </row>
    <row r="119" spans="2:17" ht="15" customHeight="1">
      <c r="B119" s="316" t="str">
        <f>CONCATENATE("Tunnels are shown for completeness, but are not included in weighted average in Cell P",Q133,)</f>
        <v>Tunnels are shown for completeness, but are not included in weighted average in Cell P133</v>
      </c>
      <c r="C119" s="2549"/>
      <c r="D119" s="2549"/>
      <c r="E119" s="2549"/>
      <c r="F119" s="2549"/>
      <c r="G119" s="2549"/>
      <c r="H119" s="2549"/>
      <c r="I119" s="1322"/>
      <c r="J119" s="2549"/>
      <c r="K119" s="282"/>
      <c r="L119" s="6"/>
      <c r="O119" s="3804" t="s">
        <v>5981</v>
      </c>
      <c r="P119" s="3804" t="s">
        <v>5982</v>
      </c>
      <c r="Q119" s="117">
        <f>ROW()</f>
        <v>119</v>
      </c>
    </row>
    <row r="120" spans="2:17" s="3405" customFormat="1" ht="15" customHeight="1">
      <c r="B120" s="308"/>
      <c r="C120" s="3404"/>
      <c r="D120" s="3404"/>
      <c r="F120" s="3404"/>
      <c r="G120" s="3404"/>
      <c r="H120" s="3404"/>
      <c r="I120" s="1322"/>
      <c r="J120" s="3404"/>
      <c r="K120" s="282"/>
      <c r="L120" s="6"/>
      <c r="O120" s="3804"/>
      <c r="P120" s="3804"/>
      <c r="Q120" s="117">
        <f>ROW()</f>
        <v>120</v>
      </c>
    </row>
    <row r="121" spans="2:17" s="3405" customFormat="1" ht="15" customHeight="1">
      <c r="B121" s="308"/>
      <c r="C121" s="3404"/>
      <c r="D121" s="3404"/>
      <c r="E121" s="3804" t="s">
        <v>5975</v>
      </c>
      <c r="F121" s="3403" t="s">
        <v>5980</v>
      </c>
      <c r="G121" s="3804" t="s">
        <v>5976</v>
      </c>
      <c r="H121" s="3403" t="s">
        <v>5980</v>
      </c>
      <c r="I121" s="3804" t="s">
        <v>5977</v>
      </c>
      <c r="J121" s="3403" t="s">
        <v>5980</v>
      </c>
      <c r="K121" s="3804" t="s">
        <v>5978</v>
      </c>
      <c r="L121" s="3403" t="s">
        <v>5980</v>
      </c>
      <c r="M121" s="3804" t="s">
        <v>5979</v>
      </c>
      <c r="O121" s="3804"/>
      <c r="P121" s="3804"/>
      <c r="Q121" s="117">
        <f>ROW()</f>
        <v>121</v>
      </c>
    </row>
    <row r="122" spans="2:17" s="3405" customFormat="1" ht="15" customHeight="1">
      <c r="B122" s="2375" t="s">
        <v>5967</v>
      </c>
      <c r="E122" s="3804"/>
      <c r="F122" s="3267">
        <v>2.5</v>
      </c>
      <c r="G122" s="3804"/>
      <c r="H122" s="3267">
        <v>7.5</v>
      </c>
      <c r="I122" s="3804"/>
      <c r="J122" s="3267">
        <v>12.5</v>
      </c>
      <c r="K122" s="3804"/>
      <c r="L122" s="1892" t="s">
        <v>2417</v>
      </c>
      <c r="M122" s="3804"/>
      <c r="O122" s="3804"/>
      <c r="P122" s="3804"/>
      <c r="Q122" s="117">
        <f>ROW()</f>
        <v>122</v>
      </c>
    </row>
    <row r="123" spans="2:17" s="3405" customFormat="1" ht="15" customHeight="1">
      <c r="B123" s="2370" t="s">
        <v>5968</v>
      </c>
      <c r="E123" s="3281">
        <v>75840991</v>
      </c>
      <c r="F123" s="137">
        <f>E123/$M123</f>
        <v>0.27792843500077818</v>
      </c>
      <c r="G123" s="3281">
        <v>67164651</v>
      </c>
      <c r="H123" s="137">
        <f>G123/$M123</f>
        <v>0.24613294332880556</v>
      </c>
      <c r="I123" s="3281">
        <v>28432903</v>
      </c>
      <c r="J123" s="137">
        <f>I123/$M123</f>
        <v>0.10419579345052245</v>
      </c>
      <c r="K123" s="3281">
        <v>101441022</v>
      </c>
      <c r="L123" s="137">
        <f>K123/$M123</f>
        <v>0.37174282821989379</v>
      </c>
      <c r="M123" s="3281">
        <f t="shared" ref="M123:M132" si="7">E123+G123+I123+K123</f>
        <v>272879567</v>
      </c>
      <c r="N123" s="137">
        <f>M123/$M123</f>
        <v>1</v>
      </c>
      <c r="O123" s="7">
        <v>25</v>
      </c>
      <c r="P123" s="3414">
        <f t="shared" ref="P123:P132" si="8">F123*$F$122+H123*$H$122+J123*$J$122+L123*O123</f>
        <v>13.136836286096862</v>
      </c>
      <c r="Q123" s="117">
        <f>ROW()</f>
        <v>123</v>
      </c>
    </row>
    <row r="124" spans="2:17" s="3405" customFormat="1" ht="15" customHeight="1">
      <c r="B124" s="2370" t="s">
        <v>5969</v>
      </c>
      <c r="E124" s="3281">
        <v>29406089</v>
      </c>
      <c r="F124" s="137">
        <f t="shared" ref="F124:H133" si="9">E124/$M124</f>
        <v>0.18677318316389727</v>
      </c>
      <c r="G124" s="3281">
        <v>40943894</v>
      </c>
      <c r="H124" s="137">
        <f t="shared" si="9"/>
        <v>0.26005571205015376</v>
      </c>
      <c r="I124" s="3281">
        <v>25059687</v>
      </c>
      <c r="J124" s="137">
        <f t="shared" ref="J124" si="10">I124/$M124</f>
        <v>0.15916695042584328</v>
      </c>
      <c r="K124" s="3281">
        <v>62033109</v>
      </c>
      <c r="L124" s="137">
        <f t="shared" ref="L124:N124" si="11">K124/$M124</f>
        <v>0.39400415436010566</v>
      </c>
      <c r="M124" s="3281">
        <f t="shared" si="7"/>
        <v>157442779</v>
      </c>
      <c r="N124" s="137">
        <f t="shared" si="11"/>
        <v>1</v>
      </c>
      <c r="O124" s="7">
        <v>25</v>
      </c>
      <c r="P124" s="3414">
        <f t="shared" si="8"/>
        <v>14.257041537611579</v>
      </c>
      <c r="Q124" s="117">
        <f>ROW()</f>
        <v>124</v>
      </c>
    </row>
    <row r="125" spans="2:17" s="3405" customFormat="1" ht="15" customHeight="1">
      <c r="B125" s="2370" t="s">
        <v>707</v>
      </c>
      <c r="E125" s="3281">
        <v>18609032</v>
      </c>
      <c r="F125" s="137">
        <f t="shared" si="9"/>
        <v>0.13519584340008106</v>
      </c>
      <c r="G125" s="3281">
        <v>34977003</v>
      </c>
      <c r="H125" s="137">
        <f t="shared" si="9"/>
        <v>0.25411023099923546</v>
      </c>
      <c r="I125" s="3281">
        <v>22026420</v>
      </c>
      <c r="J125" s="137">
        <f t="shared" ref="J125" si="12">I125/$M125</f>
        <v>0.16002339234971563</v>
      </c>
      <c r="K125" s="3281">
        <v>62032546</v>
      </c>
      <c r="L125" s="137">
        <f t="shared" ref="L125:N125" si="13">K125/$M125</f>
        <v>0.45067053325096784</v>
      </c>
      <c r="M125" s="3281">
        <f t="shared" si="7"/>
        <v>137645001</v>
      </c>
      <c r="N125" s="137">
        <f t="shared" si="13"/>
        <v>1</v>
      </c>
      <c r="O125" s="7">
        <v>25</v>
      </c>
      <c r="P125" s="3414">
        <f t="shared" si="8"/>
        <v>15.51087207664011</v>
      </c>
      <c r="Q125" s="117">
        <f>ROW()</f>
        <v>125</v>
      </c>
    </row>
    <row r="126" spans="2:17" s="3405" customFormat="1" ht="15" customHeight="1">
      <c r="B126" s="2370" t="s">
        <v>5970</v>
      </c>
      <c r="E126" s="3281">
        <v>26872950</v>
      </c>
      <c r="F126" s="137">
        <f t="shared" si="9"/>
        <v>0.24052081907439526</v>
      </c>
      <c r="G126" s="3281">
        <v>33749273</v>
      </c>
      <c r="H126" s="137">
        <f t="shared" si="9"/>
        <v>0.30206593563882539</v>
      </c>
      <c r="I126" s="3281">
        <v>17242641</v>
      </c>
      <c r="J126" s="137">
        <f t="shared" ref="J126" si="14">I126/$M126</f>
        <v>0.15432671650584509</v>
      </c>
      <c r="K126" s="3281">
        <v>33863302</v>
      </c>
      <c r="L126" s="137">
        <f t="shared" ref="L126:N126" si="15">K126/$M126</f>
        <v>0.30308652878093423</v>
      </c>
      <c r="M126" s="3281">
        <f t="shared" si="7"/>
        <v>111728166</v>
      </c>
      <c r="N126" s="137">
        <f t="shared" si="15"/>
        <v>1</v>
      </c>
      <c r="O126" s="7">
        <v>20</v>
      </c>
      <c r="P126" s="3414">
        <f t="shared" si="8"/>
        <v>10.857611096918927</v>
      </c>
      <c r="Q126" s="117">
        <f>ROW()</f>
        <v>126</v>
      </c>
    </row>
    <row r="127" spans="2:17" s="3405" customFormat="1" ht="15" customHeight="1">
      <c r="B127" s="2370" t="s">
        <v>5971</v>
      </c>
      <c r="E127" s="3281">
        <v>37220377</v>
      </c>
      <c r="F127" s="137">
        <f t="shared" si="9"/>
        <v>0.35376155066811116</v>
      </c>
      <c r="G127" s="3281">
        <v>23205980</v>
      </c>
      <c r="H127" s="137">
        <f t="shared" si="9"/>
        <v>0.22056153460168268</v>
      </c>
      <c r="I127" s="3281">
        <v>15775193</v>
      </c>
      <c r="J127" s="137">
        <f t="shared" ref="J127" si="16">I127/$M127</f>
        <v>0.14993552423632714</v>
      </c>
      <c r="K127" s="3281">
        <v>29011628</v>
      </c>
      <c r="L127" s="137">
        <f t="shared" ref="L127:N127" si="17">K127/$M127</f>
        <v>0.27574139049387902</v>
      </c>
      <c r="M127" s="3281">
        <f t="shared" si="7"/>
        <v>105213178</v>
      </c>
      <c r="N127" s="137">
        <f t="shared" si="17"/>
        <v>1</v>
      </c>
      <c r="O127" s="7">
        <v>20</v>
      </c>
      <c r="P127" s="3414">
        <f t="shared" si="8"/>
        <v>9.9276372490145679</v>
      </c>
      <c r="Q127" s="117">
        <f>ROW()</f>
        <v>127</v>
      </c>
    </row>
    <row r="128" spans="2:17" s="3405" customFormat="1" ht="15" customHeight="1">
      <c r="B128" s="2370" t="s">
        <v>5972</v>
      </c>
      <c r="E128" s="3281">
        <v>7471129</v>
      </c>
      <c r="F128" s="137">
        <f>E128/$M128</f>
        <v>0.19913681505155131</v>
      </c>
      <c r="G128" s="3281">
        <v>11366346</v>
      </c>
      <c r="H128" s="137">
        <f>G128/$M128</f>
        <v>0.30296062900452397</v>
      </c>
      <c r="I128" s="3281">
        <v>6281681</v>
      </c>
      <c r="J128" s="137">
        <f>I128/$M128</f>
        <v>0.1674330542960567</v>
      </c>
      <c r="K128" s="3281">
        <v>12398412</v>
      </c>
      <c r="L128" s="137">
        <f>K128/$M128</f>
        <v>0.33046950164786798</v>
      </c>
      <c r="M128" s="3281">
        <f t="shared" si="7"/>
        <v>37517568</v>
      </c>
      <c r="N128" s="137">
        <f>M128/$M128</f>
        <v>1</v>
      </c>
      <c r="O128" s="7">
        <v>25</v>
      </c>
      <c r="P128" s="3414">
        <f t="shared" si="8"/>
        <v>13.124697475060216</v>
      </c>
      <c r="Q128" s="117">
        <f>ROW()</f>
        <v>128</v>
      </c>
    </row>
    <row r="129" spans="2:17" s="3405" customFormat="1" ht="15" customHeight="1">
      <c r="B129" s="2370" t="s">
        <v>5973</v>
      </c>
      <c r="E129" s="3281">
        <v>6989321</v>
      </c>
      <c r="F129" s="137">
        <f>E129/$M129</f>
        <v>0.65291308798480241</v>
      </c>
      <c r="G129" s="3281">
        <v>2127509</v>
      </c>
      <c r="H129" s="137">
        <f>G129/$M129</f>
        <v>0.19874297816704353</v>
      </c>
      <c r="I129" s="3281">
        <v>930945</v>
      </c>
      <c r="J129" s="137">
        <f>I129/$M129</f>
        <v>8.6964981962341092E-2</v>
      </c>
      <c r="K129" s="3281">
        <v>657051</v>
      </c>
      <c r="L129" s="137">
        <f>K129/$M129</f>
        <v>6.1378951885812993E-2</v>
      </c>
      <c r="M129" s="3281">
        <f t="shared" si="7"/>
        <v>10704826</v>
      </c>
      <c r="N129" s="137">
        <f>M129/$M129</f>
        <v>1</v>
      </c>
      <c r="O129" s="7">
        <v>15</v>
      </c>
      <c r="P129" s="3414">
        <f t="shared" si="8"/>
        <v>5.1306016090312907</v>
      </c>
      <c r="Q129" s="117">
        <f>ROW()</f>
        <v>129</v>
      </c>
    </row>
    <row r="130" spans="2:17" s="3405" customFormat="1" ht="15" customHeight="1">
      <c r="B130" s="2370" t="s">
        <v>5974</v>
      </c>
      <c r="E130" s="3281">
        <v>653223</v>
      </c>
      <c r="F130" s="137">
        <f>E130/$M130</f>
        <v>0.19387055826640948</v>
      </c>
      <c r="G130" s="3281">
        <v>1378550</v>
      </c>
      <c r="H130" s="137">
        <f>G130/$M130</f>
        <v>0.40914091833594163</v>
      </c>
      <c r="I130" s="3281">
        <v>748901</v>
      </c>
      <c r="J130" s="137">
        <f>I130/$M130</f>
        <v>0.22226690572174024</v>
      </c>
      <c r="K130" s="3281">
        <v>588703</v>
      </c>
      <c r="L130" s="137">
        <f>K130/$M130</f>
        <v>0.17472161767590863</v>
      </c>
      <c r="M130" s="3281">
        <f t="shared" si="7"/>
        <v>3369377</v>
      </c>
      <c r="N130" s="137">
        <f>M130/$M130</f>
        <v>1</v>
      </c>
      <c r="O130" s="7">
        <v>7.5</v>
      </c>
      <c r="P130" s="3414">
        <f t="shared" si="8"/>
        <v>7.6419817372766543</v>
      </c>
      <c r="Q130" s="117">
        <f>ROW()</f>
        <v>130</v>
      </c>
    </row>
    <row r="131" spans="2:17" s="3405" customFormat="1" ht="15" customHeight="1">
      <c r="B131" s="2370" t="s">
        <v>1329</v>
      </c>
      <c r="E131" s="3281">
        <v>22860813</v>
      </c>
      <c r="F131" s="137">
        <f t="shared" si="9"/>
        <v>0.23102626575178534</v>
      </c>
      <c r="G131" s="3281">
        <v>17478291</v>
      </c>
      <c r="H131" s="137">
        <f t="shared" si="9"/>
        <v>0.17663170165702496</v>
      </c>
      <c r="I131" s="3281">
        <v>13551164</v>
      </c>
      <c r="J131" s="137">
        <f t="shared" ref="J131" si="18">I131/$M131</f>
        <v>0.13694503408562181</v>
      </c>
      <c r="K131" s="3281">
        <v>45063039</v>
      </c>
      <c r="L131" s="137">
        <f t="shared" ref="L131:N131" si="19">K131/$M131</f>
        <v>0.45539699850556786</v>
      </c>
      <c r="M131" s="3281">
        <f t="shared" si="7"/>
        <v>98953307</v>
      </c>
      <c r="N131" s="137">
        <f t="shared" si="19"/>
        <v>1</v>
      </c>
      <c r="O131" s="7">
        <v>25</v>
      </c>
      <c r="P131" s="3414">
        <f t="shared" si="8"/>
        <v>14.999041315516621</v>
      </c>
      <c r="Q131" s="117">
        <f>ROW()</f>
        <v>131</v>
      </c>
    </row>
    <row r="132" spans="2:17" s="3405" customFormat="1" ht="15" customHeight="1">
      <c r="B132" s="2370" t="s">
        <v>1585</v>
      </c>
      <c r="E132" s="3281">
        <v>13654503</v>
      </c>
      <c r="F132" s="137">
        <f t="shared" si="9"/>
        <v>0.21838709018062957</v>
      </c>
      <c r="G132" s="3281">
        <v>30853559</v>
      </c>
      <c r="H132" s="137">
        <f t="shared" si="9"/>
        <v>0.49346497428184499</v>
      </c>
      <c r="I132" s="3281">
        <v>10097298</v>
      </c>
      <c r="J132" s="137">
        <f t="shared" ref="J132" si="20">I132/$M132</f>
        <v>0.16149394298032602</v>
      </c>
      <c r="K132" s="3281">
        <v>7918954</v>
      </c>
      <c r="L132" s="137">
        <f t="shared" ref="L132:N132" si="21">K132/$M132</f>
        <v>0.12665399255719942</v>
      </c>
      <c r="M132" s="3281">
        <f t="shared" si="7"/>
        <v>62524314</v>
      </c>
      <c r="N132" s="137">
        <f t="shared" si="21"/>
        <v>1</v>
      </c>
      <c r="O132" s="7">
        <v>20</v>
      </c>
      <c r="P132" s="3414">
        <f t="shared" si="8"/>
        <v>8.798709170963475</v>
      </c>
      <c r="Q132" s="117">
        <f>ROW()</f>
        <v>132</v>
      </c>
    </row>
    <row r="133" spans="2:17" s="3405" customFormat="1" ht="15" customHeight="1">
      <c r="B133" s="2375" t="s">
        <v>228</v>
      </c>
      <c r="E133" s="3412">
        <f>SUM(E123:E132)</f>
        <v>239578428</v>
      </c>
      <c r="F133" s="3413">
        <f t="shared" si="9"/>
        <v>0.24006381711290548</v>
      </c>
      <c r="G133" s="3412">
        <f>SUM(G123:G132)</f>
        <v>263245056</v>
      </c>
      <c r="H133" s="3413">
        <f t="shared" si="9"/>
        <v>0.26377839401909992</v>
      </c>
      <c r="I133" s="3412">
        <f>SUM(I123:I132)</f>
        <v>140146833</v>
      </c>
      <c r="J133" s="3413">
        <f t="shared" ref="J133" si="22">I133/$M133</f>
        <v>0.14043077236596987</v>
      </c>
      <c r="K133" s="3412">
        <f>SUM(K123:K132)</f>
        <v>355007766</v>
      </c>
      <c r="L133" s="3413">
        <f t="shared" ref="L133:N133" si="23">K133/$M133</f>
        <v>0.35572701650202471</v>
      </c>
      <c r="M133" s="3412">
        <f t="shared" ref="M133" si="24">E133+G133+I133+K133</f>
        <v>997978083</v>
      </c>
      <c r="N133" s="3413">
        <f t="shared" si="23"/>
        <v>1</v>
      </c>
      <c r="P133" s="3415">
        <f>SUMPRODUCT(M123:M130,P123:P130)/SUM(M123:M130)</f>
        <v>12.90511340446815</v>
      </c>
      <c r="Q133" s="117">
        <f>ROW()</f>
        <v>133</v>
      </c>
    </row>
    <row r="134" spans="2:17" s="3405" customFormat="1" ht="15" customHeight="1">
      <c r="B134" s="308"/>
      <c r="C134" s="3404"/>
      <c r="D134" s="3404"/>
      <c r="E134" s="3404"/>
      <c r="F134" s="3404"/>
      <c r="G134" s="3404"/>
      <c r="H134" s="3404"/>
      <c r="I134" s="1322"/>
      <c r="J134" s="3404"/>
      <c r="K134" s="3416"/>
      <c r="L134" s="3417"/>
      <c r="M134" s="2631"/>
      <c r="N134" s="2631"/>
      <c r="O134" s="2631"/>
      <c r="P134" s="3418" t="s">
        <v>5983</v>
      </c>
      <c r="Q134" s="117">
        <f>ROW()</f>
        <v>134</v>
      </c>
    </row>
    <row r="135" spans="2:17" s="3405" customFormat="1" ht="15" customHeight="1">
      <c r="C135" s="1073"/>
      <c r="D135" s="1073"/>
      <c r="E135" s="1073"/>
      <c r="F135" s="1073"/>
      <c r="G135" s="1073"/>
      <c r="H135" s="1073"/>
      <c r="I135" s="1073"/>
      <c r="J135" s="1073"/>
      <c r="K135" s="1073"/>
      <c r="L135" s="6"/>
      <c r="P135" s="3414"/>
      <c r="Q135" s="117">
        <f>ROW()</f>
        <v>135</v>
      </c>
    </row>
    <row r="136" spans="2:17" s="3405" customFormat="1" ht="15" customHeight="1">
      <c r="B136" s="3785" t="s">
        <v>5988</v>
      </c>
      <c r="C136" s="3786"/>
      <c r="D136" s="3786"/>
      <c r="E136" s="3786"/>
      <c r="F136" s="3786"/>
      <c r="G136" s="3786"/>
      <c r="H136" s="3786"/>
      <c r="I136" s="3786"/>
      <c r="J136" s="3786"/>
      <c r="K136" s="3786"/>
      <c r="L136" s="6"/>
      <c r="Q136" s="117">
        <f>ROW()</f>
        <v>136</v>
      </c>
    </row>
    <row r="137" spans="2:17" s="3405" customFormat="1" ht="15" customHeight="1">
      <c r="B137" s="3786"/>
      <c r="C137" s="3786"/>
      <c r="D137" s="3786"/>
      <c r="E137" s="3786"/>
      <c r="F137" s="3786"/>
      <c r="G137" s="3786"/>
      <c r="H137" s="3786"/>
      <c r="I137" s="3786"/>
      <c r="J137" s="3786"/>
      <c r="K137" s="3786"/>
      <c r="L137" s="6"/>
      <c r="Q137" s="117">
        <f>ROW()</f>
        <v>137</v>
      </c>
    </row>
    <row r="138" spans="2:17" s="3405" customFormat="1" ht="15" customHeight="1">
      <c r="B138" s="3786"/>
      <c r="C138" s="3786"/>
      <c r="D138" s="3786"/>
      <c r="E138" s="3786"/>
      <c r="F138" s="3786"/>
      <c r="G138" s="3786"/>
      <c r="H138" s="3786"/>
      <c r="I138" s="3786"/>
      <c r="J138" s="3786"/>
      <c r="K138" s="3786"/>
      <c r="L138" s="6"/>
      <c r="Q138" s="117">
        <f>ROW()</f>
        <v>138</v>
      </c>
    </row>
    <row r="139" spans="2:17" s="3405" customFormat="1" ht="15" customHeight="1">
      <c r="B139" s="3786"/>
      <c r="C139" s="3786"/>
      <c r="D139" s="3786"/>
      <c r="E139" s="3786"/>
      <c r="F139" s="3786"/>
      <c r="G139" s="3786"/>
      <c r="H139" s="3786"/>
      <c r="I139" s="3786"/>
      <c r="J139" s="3786"/>
      <c r="K139" s="3786"/>
      <c r="L139" s="6"/>
      <c r="Q139" s="117">
        <f>ROW()</f>
        <v>139</v>
      </c>
    </row>
    <row r="140" spans="2:17" s="3405" customFormat="1" ht="15" customHeight="1">
      <c r="B140" s="3786"/>
      <c r="C140" s="3786"/>
      <c r="D140" s="3786"/>
      <c r="E140" s="3786"/>
      <c r="F140" s="3786"/>
      <c r="G140" s="3786"/>
      <c r="H140" s="3786"/>
      <c r="I140" s="3786"/>
      <c r="J140" s="3786"/>
      <c r="K140" s="3786"/>
      <c r="L140" s="6"/>
      <c r="Q140" s="117">
        <f>ROW()</f>
        <v>140</v>
      </c>
    </row>
    <row r="141" spans="2:17" s="3405" customFormat="1" ht="15" customHeight="1">
      <c r="B141" s="308"/>
      <c r="C141" s="3404"/>
      <c r="D141" s="3404"/>
      <c r="E141" s="3404"/>
      <c r="F141" s="3404"/>
      <c r="G141" s="3404"/>
      <c r="H141" s="3404"/>
      <c r="I141" s="1322"/>
      <c r="J141" s="3404"/>
      <c r="K141" s="282"/>
      <c r="L141" s="6"/>
      <c r="Q141" s="117">
        <f>ROW()</f>
        <v>141</v>
      </c>
    </row>
    <row r="142" spans="2:17" ht="15" customHeight="1">
      <c r="B142" s="593"/>
      <c r="C142" s="593"/>
      <c r="D142" s="593"/>
      <c r="E142" s="593"/>
      <c r="F142" s="593"/>
      <c r="G142" s="593"/>
      <c r="H142" s="593"/>
      <c r="I142" s="593"/>
      <c r="J142" s="593"/>
      <c r="K142" s="282"/>
      <c r="L142" s="6"/>
      <c r="Q142" s="117">
        <f>ROW()</f>
        <v>142</v>
      </c>
    </row>
    <row r="143" spans="2:17" ht="15" customHeight="1">
      <c r="B143" s="115" t="s">
        <v>4633</v>
      </c>
      <c r="C143" s="593"/>
      <c r="D143" s="593"/>
      <c r="E143" s="593"/>
      <c r="F143" s="593"/>
      <c r="G143" s="593"/>
      <c r="H143" s="593"/>
      <c r="I143" s="593"/>
      <c r="J143" s="593"/>
      <c r="K143" s="282"/>
      <c r="L143" s="6"/>
      <c r="Q143" s="117">
        <f>ROW()</f>
        <v>143</v>
      </c>
    </row>
    <row r="144" spans="2:17" s="3536" customFormat="1" ht="15" customHeight="1">
      <c r="B144" s="115"/>
      <c r="C144" s="3535"/>
      <c r="D144" s="3535"/>
      <c r="E144" s="3535"/>
      <c r="F144" s="3535"/>
      <c r="G144" s="3535"/>
      <c r="H144" s="3535"/>
      <c r="I144" s="3535"/>
      <c r="J144" s="3535"/>
      <c r="K144" s="282"/>
      <c r="L144" s="6"/>
      <c r="Q144" s="117">
        <f>ROW()</f>
        <v>144</v>
      </c>
    </row>
    <row r="145" spans="2:17" s="3536" customFormat="1" ht="15" customHeight="1">
      <c r="B145" s="312" t="s">
        <v>6166</v>
      </c>
      <c r="C145" s="3535"/>
      <c r="D145" s="3535"/>
      <c r="E145" s="3535"/>
      <c r="F145" s="3535"/>
      <c r="G145" s="3535"/>
      <c r="H145" s="3535"/>
      <c r="I145" s="3535"/>
      <c r="J145" s="3535"/>
      <c r="K145" s="282"/>
      <c r="L145" s="6"/>
      <c r="Q145" s="117">
        <f>ROW()</f>
        <v>145</v>
      </c>
    </row>
    <row r="146" spans="2:17" s="3536" customFormat="1" ht="15" customHeight="1">
      <c r="B146" s="312"/>
      <c r="C146" s="3535"/>
      <c r="D146" s="3535"/>
      <c r="E146" s="3535"/>
      <c r="F146" s="3535"/>
      <c r="G146" s="3535"/>
      <c r="H146" s="3535"/>
      <c r="I146" s="3535"/>
      <c r="J146" s="3535"/>
      <c r="K146" s="282"/>
      <c r="L146" s="6"/>
      <c r="Q146" s="117">
        <f>ROW()</f>
        <v>146</v>
      </c>
    </row>
    <row r="147" spans="2:17" s="3536" customFormat="1" ht="15" customHeight="1">
      <c r="B147" s="3184" t="s">
        <v>6167</v>
      </c>
      <c r="C147" s="3535"/>
      <c r="D147" s="3535"/>
      <c r="E147" s="3535"/>
      <c r="F147" s="3535"/>
      <c r="G147" s="3535"/>
      <c r="H147" s="3535"/>
      <c r="I147" s="3535"/>
      <c r="J147" s="3535"/>
      <c r="K147" s="282"/>
      <c r="L147" s="6"/>
      <c r="Q147" s="117">
        <f>ROW()</f>
        <v>147</v>
      </c>
    </row>
    <row r="148" spans="2:17" s="3577" customFormat="1" ht="15" customHeight="1">
      <c r="B148" s="3184" t="s">
        <v>6157</v>
      </c>
      <c r="C148" s="3576"/>
      <c r="D148" s="3576"/>
      <c r="E148" s="3576"/>
      <c r="F148" s="3576"/>
      <c r="G148" s="3576"/>
      <c r="H148" s="3576"/>
      <c r="I148" s="3576"/>
      <c r="J148" s="3576"/>
      <c r="K148" s="282"/>
      <c r="L148" s="4148" t="s">
        <v>6311</v>
      </c>
      <c r="M148" s="3779"/>
      <c r="N148" s="3779"/>
      <c r="O148" s="3779"/>
      <c r="Q148" s="117">
        <f>ROW()</f>
        <v>148</v>
      </c>
    </row>
    <row r="149" spans="2:17" s="3577" customFormat="1" ht="15" customHeight="1">
      <c r="B149" s="3184"/>
      <c r="C149" s="3576"/>
      <c r="D149" s="3576"/>
      <c r="E149" s="3576"/>
      <c r="F149" s="3576"/>
      <c r="G149" s="3576"/>
      <c r="H149" s="3576"/>
      <c r="I149" s="3576"/>
      <c r="J149" s="3576"/>
      <c r="K149" s="282"/>
      <c r="L149" s="3779"/>
      <c r="M149" s="3779"/>
      <c r="N149" s="3779"/>
      <c r="O149" s="3779"/>
      <c r="Q149" s="117">
        <f>ROW()</f>
        <v>149</v>
      </c>
    </row>
    <row r="150" spans="2:17" s="3536" customFormat="1" ht="15" customHeight="1">
      <c r="C150" s="3535"/>
      <c r="D150" s="3535"/>
      <c r="E150" s="4147" t="s">
        <v>6308</v>
      </c>
      <c r="F150" s="4147"/>
      <c r="G150" s="4147"/>
      <c r="H150" s="4147"/>
      <c r="I150" s="4147"/>
      <c r="J150" s="4147"/>
      <c r="K150" s="282"/>
      <c r="L150" s="3784" t="s">
        <v>6310</v>
      </c>
      <c r="M150" s="4147"/>
      <c r="N150" s="4147"/>
      <c r="O150" s="4147"/>
      <c r="Q150" s="117">
        <f>ROW()</f>
        <v>150</v>
      </c>
    </row>
    <row r="151" spans="2:17" s="3536" customFormat="1" ht="15" customHeight="1">
      <c r="C151" s="3535"/>
      <c r="D151" s="3535"/>
      <c r="E151" s="3535"/>
      <c r="F151" s="3535"/>
      <c r="G151" s="3804" t="s">
        <v>6163</v>
      </c>
      <c r="H151" s="3804" t="s">
        <v>6160</v>
      </c>
      <c r="I151" s="3804" t="s">
        <v>6161</v>
      </c>
      <c r="J151" s="3804" t="s">
        <v>6164</v>
      </c>
      <c r="K151" s="282"/>
      <c r="L151" s="3804" t="s">
        <v>6163</v>
      </c>
      <c r="M151" s="3804" t="s">
        <v>6160</v>
      </c>
      <c r="N151" s="3804" t="s">
        <v>6309</v>
      </c>
      <c r="O151" s="3804" t="s">
        <v>6164</v>
      </c>
      <c r="Q151" s="117">
        <f>ROW()</f>
        <v>151</v>
      </c>
    </row>
    <row r="152" spans="2:17" s="3536" customFormat="1" ht="15" customHeight="1">
      <c r="B152" s="3184" t="s">
        <v>6158</v>
      </c>
      <c r="C152" s="3535"/>
      <c r="D152" s="3535"/>
      <c r="E152" s="1892" t="s">
        <v>6159</v>
      </c>
      <c r="F152" s="1892" t="s">
        <v>6162</v>
      </c>
      <c r="G152" s="3807"/>
      <c r="H152" s="3807"/>
      <c r="I152" s="3807"/>
      <c r="J152" s="3807"/>
      <c r="K152" s="3267"/>
      <c r="L152" s="3807"/>
      <c r="M152" s="3807"/>
      <c r="N152" s="3807"/>
      <c r="O152" s="3807"/>
      <c r="Q152" s="117">
        <f>ROW()</f>
        <v>152</v>
      </c>
    </row>
    <row r="153" spans="2:17" s="3536" customFormat="1" ht="15" customHeight="1">
      <c r="B153" s="316" t="s">
        <v>4942</v>
      </c>
      <c r="C153" s="3535"/>
      <c r="E153" s="1">
        <v>1</v>
      </c>
      <c r="F153" s="1">
        <v>2</v>
      </c>
      <c r="G153" s="745">
        <v>7.5</v>
      </c>
      <c r="H153" s="745">
        <v>9.5</v>
      </c>
      <c r="I153" s="131" t="s">
        <v>2417</v>
      </c>
      <c r="J153" s="745">
        <v>12</v>
      </c>
      <c r="K153" s="282"/>
      <c r="L153" s="745">
        <v>6</v>
      </c>
      <c r="M153" s="745">
        <v>8</v>
      </c>
      <c r="N153" s="131" t="s">
        <v>2417</v>
      </c>
      <c r="O153" s="745">
        <v>8</v>
      </c>
      <c r="Q153" s="117">
        <f>ROW()</f>
        <v>153</v>
      </c>
    </row>
    <row r="154" spans="2:17" s="3536" customFormat="1" ht="15" customHeight="1">
      <c r="B154" s="316" t="s">
        <v>1509</v>
      </c>
      <c r="C154" s="3535"/>
      <c r="D154" s="3535"/>
      <c r="E154" s="1">
        <v>3</v>
      </c>
      <c r="F154" s="1">
        <v>3</v>
      </c>
      <c r="G154" s="745">
        <v>27</v>
      </c>
      <c r="H154" s="745">
        <v>30</v>
      </c>
      <c r="I154" s="745">
        <v>22</v>
      </c>
      <c r="J154" s="745">
        <v>39</v>
      </c>
      <c r="K154" s="282"/>
      <c r="L154" s="6"/>
      <c r="Q154" s="117">
        <f>ROW()</f>
        <v>154</v>
      </c>
    </row>
    <row r="155" spans="2:17" s="3536" customFormat="1" ht="15" customHeight="1">
      <c r="B155" s="1"/>
      <c r="C155" s="3535"/>
      <c r="D155" s="3535"/>
      <c r="E155" s="3535"/>
      <c r="F155" s="3535"/>
      <c r="G155" s="3535"/>
      <c r="H155" s="3535"/>
      <c r="I155" s="3535"/>
      <c r="J155" s="3535"/>
      <c r="K155" s="282"/>
      <c r="L155" s="6"/>
      <c r="Q155" s="117">
        <f>ROW()</f>
        <v>155</v>
      </c>
    </row>
    <row r="156" spans="2:17" s="3536" customFormat="1" ht="15" customHeight="1">
      <c r="B156" s="518" t="s">
        <v>6165</v>
      </c>
      <c r="C156" s="3535"/>
      <c r="D156" s="3535"/>
      <c r="E156" s="3535"/>
      <c r="F156" s="3535"/>
      <c r="G156" s="3535"/>
      <c r="H156" s="3535"/>
      <c r="I156" s="3535"/>
      <c r="J156" s="3535"/>
      <c r="K156" s="282"/>
      <c r="L156" s="6"/>
      <c r="Q156" s="117">
        <f>ROW()</f>
        <v>156</v>
      </c>
    </row>
    <row r="157" spans="2:17" ht="15" customHeight="1">
      <c r="B157" s="312" t="s">
        <v>5658</v>
      </c>
      <c r="C157" s="156"/>
      <c r="D157" s="156"/>
      <c r="E157" s="156"/>
      <c r="F157" s="156"/>
      <c r="G157" s="156"/>
      <c r="H157" s="156"/>
      <c r="I157" s="156"/>
      <c r="J157" s="156"/>
      <c r="K157" s="156"/>
      <c r="L157" s="156"/>
      <c r="Q157" s="117">
        <f>ROW()</f>
        <v>157</v>
      </c>
    </row>
    <row r="158" spans="2:17" s="3240" customFormat="1" ht="15" customHeight="1">
      <c r="B158" s="312"/>
      <c r="C158" s="156"/>
      <c r="D158" s="156"/>
      <c r="E158" s="156"/>
      <c r="F158" s="156"/>
      <c r="G158" s="156"/>
      <c r="H158" s="156"/>
      <c r="I158" s="156"/>
      <c r="J158" s="156"/>
      <c r="K158" s="156"/>
      <c r="L158" s="156"/>
      <c r="Q158" s="117">
        <f>ROW()</f>
        <v>158</v>
      </c>
    </row>
    <row r="159" spans="2:17" ht="15" customHeight="1">
      <c r="B159" s="3534"/>
      <c r="C159" s="175"/>
      <c r="D159" s="175"/>
      <c r="E159" s="175"/>
      <c r="F159" s="3814" t="s">
        <v>4635</v>
      </c>
      <c r="G159" s="3815"/>
      <c r="H159" s="3815"/>
      <c r="I159" s="3815"/>
      <c r="J159" s="3815"/>
      <c r="K159" s="3815"/>
      <c r="L159" s="4041" t="s">
        <v>4634</v>
      </c>
      <c r="M159" s="4042"/>
      <c r="N159" s="4042"/>
      <c r="O159" s="4043"/>
      <c r="Q159" s="117">
        <f>ROW()</f>
        <v>159</v>
      </c>
    </row>
    <row r="160" spans="2:17" ht="15" customHeight="1">
      <c r="B160" s="6"/>
      <c r="F160" s="4099" t="s">
        <v>6095</v>
      </c>
      <c r="G160" s="4100"/>
      <c r="H160" s="4100"/>
      <c r="I160" s="3494"/>
      <c r="J160" s="75">
        <v>2009</v>
      </c>
      <c r="K160" s="75">
        <v>2010</v>
      </c>
      <c r="L160" s="4036">
        <v>2011</v>
      </c>
      <c r="M160" s="4037"/>
      <c r="N160" s="4037"/>
      <c r="O160" s="4038"/>
      <c r="Q160" s="117">
        <f>ROW()</f>
        <v>160</v>
      </c>
    </row>
    <row r="161" spans="2:17" ht="19.95" customHeight="1">
      <c r="B161" s="6"/>
      <c r="F161" s="311" t="s">
        <v>833</v>
      </c>
      <c r="G161" s="3243" t="s">
        <v>5653</v>
      </c>
      <c r="H161" s="3243" t="s">
        <v>5654</v>
      </c>
      <c r="I161" s="3494"/>
      <c r="J161" s="3494"/>
      <c r="K161" s="3494"/>
      <c r="L161" s="2713"/>
      <c r="M161" s="4039" t="s">
        <v>6116</v>
      </c>
      <c r="N161" s="4039" t="s">
        <v>5655</v>
      </c>
      <c r="O161" s="4044" t="s">
        <v>6117</v>
      </c>
      <c r="Q161" s="117">
        <f>ROW()</f>
        <v>161</v>
      </c>
    </row>
    <row r="162" spans="2:17" ht="15" customHeight="1">
      <c r="B162" s="6"/>
      <c r="F162" s="2695"/>
      <c r="G162" s="2695"/>
      <c r="H162" s="2695"/>
      <c r="I162" s="3494"/>
      <c r="J162" s="75" t="s">
        <v>851</v>
      </c>
      <c r="K162" s="75" t="s">
        <v>3218</v>
      </c>
      <c r="L162" s="2696" t="s">
        <v>6115</v>
      </c>
      <c r="M162" s="4040"/>
      <c r="N162" s="4040"/>
      <c r="O162" s="4045"/>
      <c r="Q162" s="117">
        <f>ROW()</f>
        <v>162</v>
      </c>
    </row>
    <row r="163" spans="2:17" ht="15" customHeight="1">
      <c r="B163" s="281" t="s">
        <v>2787</v>
      </c>
      <c r="C163" s="124"/>
      <c r="D163" s="3494"/>
      <c r="E163" s="3494"/>
      <c r="F163" s="218">
        <v>442904</v>
      </c>
      <c r="G163" s="567">
        <v>0.05</v>
      </c>
      <c r="H163" s="218">
        <f t="shared" ref="H163:H168" si="25">F163*$G163</f>
        <v>22145.200000000001</v>
      </c>
      <c r="I163" s="3494"/>
      <c r="J163" s="218">
        <v>444412</v>
      </c>
      <c r="K163" s="218">
        <v>452555</v>
      </c>
      <c r="L163" s="2713">
        <v>459995</v>
      </c>
      <c r="M163" s="2700">
        <f>L163*$G163</f>
        <v>22999.75</v>
      </c>
      <c r="N163" s="3244">
        <v>0.25</v>
      </c>
      <c r="O163" s="2702">
        <f>N163*$L163</f>
        <v>114998.75</v>
      </c>
      <c r="Q163" s="117">
        <f>ROW()</f>
        <v>163</v>
      </c>
    </row>
    <row r="164" spans="2:17" ht="15" customHeight="1">
      <c r="B164" s="281" t="s">
        <v>951</v>
      </c>
      <c r="C164" s="124"/>
      <c r="D164" s="3494"/>
      <c r="E164" s="3494"/>
      <c r="F164" s="218">
        <v>116622</v>
      </c>
      <c r="G164" s="3493">
        <v>1</v>
      </c>
      <c r="H164" s="155">
        <f t="shared" si="25"/>
        <v>116622</v>
      </c>
      <c r="I164" s="3494"/>
      <c r="J164" s="218">
        <v>120297</v>
      </c>
      <c r="K164" s="218">
        <v>125489</v>
      </c>
      <c r="L164" s="2713">
        <v>127211</v>
      </c>
      <c r="M164" s="2703">
        <f>L164*$G164</f>
        <v>127211</v>
      </c>
      <c r="N164" s="3498">
        <v>1</v>
      </c>
      <c r="O164" s="2702">
        <f>N164*$L164</f>
        <v>127211</v>
      </c>
      <c r="Q164" s="117">
        <f>ROW()</f>
        <v>164</v>
      </c>
    </row>
    <row r="165" spans="2:17" ht="15" customHeight="1">
      <c r="B165" s="281" t="s">
        <v>2488</v>
      </c>
      <c r="C165" s="124"/>
      <c r="D165" s="3494"/>
      <c r="E165" s="3494"/>
      <c r="F165" s="218">
        <v>156483</v>
      </c>
      <c r="G165" s="3493">
        <v>1</v>
      </c>
      <c r="H165" s="155">
        <f t="shared" si="25"/>
        <v>156483</v>
      </c>
      <c r="I165" s="3494"/>
      <c r="J165" s="218">
        <v>154593</v>
      </c>
      <c r="K165" s="218">
        <v>154003</v>
      </c>
      <c r="L165" s="2713">
        <v>156659</v>
      </c>
      <c r="M165" s="2703">
        <f>L165*$G165</f>
        <v>156659</v>
      </c>
      <c r="N165" s="3498">
        <v>1</v>
      </c>
      <c r="O165" s="2702">
        <f>N165*$L165</f>
        <v>156659</v>
      </c>
      <c r="Q165" s="117">
        <f>ROW()</f>
        <v>165</v>
      </c>
    </row>
    <row r="166" spans="2:17" ht="15" customHeight="1">
      <c r="B166" s="281" t="s">
        <v>2451</v>
      </c>
      <c r="C166" s="124"/>
      <c r="D166" s="3494"/>
      <c r="E166" s="3494"/>
      <c r="F166" s="155">
        <v>30047</v>
      </c>
      <c r="G166" s="2292"/>
      <c r="H166" s="155">
        <f t="shared" si="25"/>
        <v>0</v>
      </c>
      <c r="I166" s="3499" t="s">
        <v>6096</v>
      </c>
      <c r="J166" s="3500">
        <f>J164+J165</f>
        <v>274890</v>
      </c>
      <c r="K166" s="3501">
        <f>K164+K165</f>
        <v>279492</v>
      </c>
      <c r="L166" s="4046" t="s">
        <v>6097</v>
      </c>
      <c r="M166" s="4047"/>
      <c r="N166" s="4047"/>
      <c r="O166" s="4048"/>
      <c r="Q166" s="117">
        <f>ROW()</f>
        <v>166</v>
      </c>
    </row>
    <row r="167" spans="2:17" ht="15" customHeight="1">
      <c r="B167" s="312" t="s">
        <v>2452</v>
      </c>
      <c r="C167" s="2499"/>
      <c r="D167" s="1"/>
      <c r="E167" s="1"/>
      <c r="F167" s="328">
        <v>111037</v>
      </c>
      <c r="G167" s="2292"/>
      <c r="H167" s="155">
        <f t="shared" si="25"/>
        <v>0</v>
      </c>
      <c r="I167" s="3494"/>
      <c r="J167" s="3494"/>
      <c r="K167" s="3447"/>
      <c r="L167" s="4049"/>
      <c r="M167" s="4047"/>
      <c r="N167" s="4047"/>
      <c r="O167" s="4048"/>
      <c r="Q167" s="117">
        <f>ROW()</f>
        <v>167</v>
      </c>
    </row>
    <row r="168" spans="2:17" ht="15" customHeight="1">
      <c r="B168" s="312" t="s">
        <v>2453</v>
      </c>
      <c r="C168" s="2499"/>
      <c r="D168" s="1"/>
      <c r="E168" s="1"/>
      <c r="F168" s="3497">
        <v>110387</v>
      </c>
      <c r="G168" s="2292"/>
      <c r="H168" s="3497">
        <f t="shared" si="25"/>
        <v>0</v>
      </c>
      <c r="J168" s="1584"/>
      <c r="K168" s="3245"/>
      <c r="L168" s="3246"/>
      <c r="M168" s="3246"/>
      <c r="N168" s="3246"/>
      <c r="O168" s="2650"/>
      <c r="Q168" s="117">
        <f>ROW()</f>
        <v>168</v>
      </c>
    </row>
    <row r="169" spans="2:17" ht="15" customHeight="1">
      <c r="B169" s="518" t="s">
        <v>5661</v>
      </c>
      <c r="C169" s="3494"/>
      <c r="D169" s="3494"/>
      <c r="E169" s="3494"/>
      <c r="F169" s="218">
        <f>SUM(F163:F168)</f>
        <v>967480</v>
      </c>
      <c r="G169" s="3494"/>
      <c r="H169" s="218">
        <f>SUM(H163:H168)</f>
        <v>295250.2</v>
      </c>
      <c r="J169" s="1584"/>
      <c r="K169" s="3245"/>
      <c r="L169" s="2714"/>
      <c r="M169" s="3247">
        <f>SUM(M163:M168)</f>
        <v>306869.75</v>
      </c>
      <c r="N169" s="2652"/>
      <c r="O169" s="3247">
        <f>SUM(O163:O165)</f>
        <v>398868.75</v>
      </c>
      <c r="Q169" s="117">
        <f>ROW()</f>
        <v>169</v>
      </c>
    </row>
    <row r="170" spans="2:17" ht="15" customHeight="1">
      <c r="B170" s="3785" t="s">
        <v>6094</v>
      </c>
      <c r="C170" s="3786"/>
      <c r="D170" s="3786"/>
      <c r="E170" s="3786"/>
      <c r="F170" s="3786"/>
      <c r="G170" s="3786"/>
      <c r="H170" s="3786"/>
      <c r="I170" s="214"/>
      <c r="K170" s="2841"/>
      <c r="L170" s="2841"/>
      <c r="M170" s="4050" t="s">
        <v>5656</v>
      </c>
      <c r="O170" s="4053" t="s">
        <v>5657</v>
      </c>
      <c r="Q170" s="117">
        <f>ROW()</f>
        <v>170</v>
      </c>
    </row>
    <row r="171" spans="2:17" ht="15" customHeight="1">
      <c r="B171" s="3786"/>
      <c r="C171" s="3786"/>
      <c r="D171" s="3786"/>
      <c r="E171" s="3786"/>
      <c r="F171" s="3786"/>
      <c r="G171" s="3786"/>
      <c r="H171" s="3786"/>
      <c r="I171" s="214"/>
      <c r="J171" s="2841"/>
      <c r="K171" s="2841"/>
      <c r="L171" s="2841"/>
      <c r="M171" s="4051"/>
      <c r="O171" s="4054"/>
      <c r="Q171" s="117">
        <f>ROW()</f>
        <v>171</v>
      </c>
    </row>
    <row r="172" spans="2:17" ht="15" customHeight="1">
      <c r="B172" s="217"/>
      <c r="C172" s="217"/>
      <c r="D172" s="217"/>
      <c r="E172" s="217"/>
      <c r="F172" s="217"/>
      <c r="G172" s="217"/>
      <c r="H172" s="217"/>
      <c r="I172" s="217"/>
      <c r="J172" s="217"/>
      <c r="L172" s="6"/>
      <c r="M172" s="4051"/>
      <c r="O172" s="4054"/>
      <c r="Q172" s="117">
        <f>ROW()</f>
        <v>172</v>
      </c>
    </row>
    <row r="173" spans="2:17" ht="15" customHeight="1">
      <c r="B173" s="467" t="s">
        <v>6118</v>
      </c>
      <c r="C173" s="217"/>
      <c r="D173" s="217"/>
      <c r="E173" s="217"/>
      <c r="F173" s="217"/>
      <c r="G173" s="217"/>
      <c r="H173" s="217"/>
      <c r="I173" s="217"/>
      <c r="J173" s="217"/>
      <c r="L173" s="6"/>
      <c r="M173" s="4051"/>
      <c r="O173" s="4054"/>
      <c r="Q173" s="117">
        <f>ROW()</f>
        <v>173</v>
      </c>
    </row>
    <row r="174" spans="2:17" ht="15" customHeight="1">
      <c r="B174" s="217"/>
      <c r="C174" s="217"/>
      <c r="D174" s="217"/>
      <c r="E174" s="217"/>
      <c r="F174" s="217"/>
      <c r="G174" s="217"/>
      <c r="H174" s="217"/>
      <c r="I174" s="217"/>
      <c r="J174" s="217"/>
      <c r="L174" s="6"/>
      <c r="M174" s="4051"/>
      <c r="O174" s="4054"/>
      <c r="Q174" s="117">
        <f>ROW()</f>
        <v>174</v>
      </c>
    </row>
    <row r="175" spans="2:17" ht="15" customHeight="1">
      <c r="B175" s="4071" t="s">
        <v>6119</v>
      </c>
      <c r="C175" s="4071"/>
      <c r="D175" s="4071"/>
      <c r="E175" s="4071"/>
      <c r="F175" s="4071"/>
      <c r="G175" s="4071"/>
      <c r="H175" s="4071"/>
      <c r="I175" s="4071"/>
      <c r="J175" s="4071"/>
      <c r="L175" s="6"/>
      <c r="M175" s="4051"/>
      <c r="O175" s="4054"/>
      <c r="Q175" s="117">
        <f>ROW()</f>
        <v>175</v>
      </c>
    </row>
    <row r="176" spans="2:17" ht="15" customHeight="1">
      <c r="B176" s="4071"/>
      <c r="C176" s="4071"/>
      <c r="D176" s="4071"/>
      <c r="E176" s="4071"/>
      <c r="F176" s="4071"/>
      <c r="G176" s="4071"/>
      <c r="H176" s="4071"/>
      <c r="I176" s="4071"/>
      <c r="J176" s="4071"/>
      <c r="L176" s="6"/>
      <c r="M176" s="4051"/>
      <c r="O176" s="4054"/>
      <c r="Q176" s="117">
        <f>ROW()</f>
        <v>176</v>
      </c>
    </row>
    <row r="177" spans="2:17" ht="15" customHeight="1">
      <c r="B177" s="3659"/>
      <c r="C177" s="3659"/>
      <c r="D177" s="3659"/>
      <c r="E177" s="3659"/>
      <c r="F177" s="3659"/>
      <c r="G177" s="3659"/>
      <c r="H177" s="3659"/>
      <c r="I177" s="3659"/>
      <c r="J177" s="3659"/>
      <c r="L177" s="6"/>
      <c r="M177" s="4052"/>
      <c r="O177" s="4054"/>
      <c r="Q177" s="117">
        <f>ROW()</f>
        <v>177</v>
      </c>
    </row>
    <row r="178" spans="2:17" ht="15" customHeight="1">
      <c r="B178" s="518" t="s">
        <v>5867</v>
      </c>
      <c r="C178" s="217"/>
      <c r="D178" s="217"/>
      <c r="E178" s="217"/>
      <c r="F178" s="217"/>
      <c r="G178" s="217"/>
      <c r="H178" s="217"/>
      <c r="I178" s="217"/>
      <c r="J178" s="1580" t="str">
        <f>CONCATENATE("Budget 2011 figure, Allocable to CBD, from Cell O",Q169, ".")</f>
        <v>Budget 2011 figure, Allocable to CBD, from Cell O169.</v>
      </c>
      <c r="K178" s="2694">
        <f>O169</f>
        <v>398868.75</v>
      </c>
      <c r="L178" s="6"/>
      <c r="Q178" s="117">
        <f>ROW()</f>
        <v>178</v>
      </c>
    </row>
    <row r="179" spans="2:17" s="3507" customFormat="1" ht="15" customHeight="1">
      <c r="B179" s="518"/>
      <c r="C179" s="3505"/>
      <c r="D179" s="3505"/>
      <c r="E179" s="3505"/>
      <c r="F179" s="3505"/>
      <c r="G179" s="3505"/>
      <c r="H179" s="3505"/>
      <c r="I179" s="3505"/>
      <c r="J179" s="1580"/>
      <c r="K179" s="2694"/>
      <c r="L179" s="6"/>
      <c r="Q179" s="117">
        <f>ROW()</f>
        <v>179</v>
      </c>
    </row>
    <row r="180" spans="2:17" s="3507" customFormat="1" ht="15" customHeight="1">
      <c r="B180" s="518"/>
      <c r="C180" s="3505"/>
      <c r="D180" s="3505"/>
      <c r="E180" s="3505"/>
      <c r="F180" s="3505"/>
      <c r="G180" s="3505"/>
      <c r="H180" s="3784" t="s">
        <v>781</v>
      </c>
      <c r="I180" s="3784"/>
      <c r="J180" s="3784"/>
      <c r="K180" s="3784"/>
      <c r="L180" s="3784" t="s">
        <v>1975</v>
      </c>
      <c r="M180" s="3784"/>
      <c r="N180" s="3784"/>
      <c r="O180" s="3784"/>
      <c r="P180"/>
      <c r="Q180" s="117">
        <f>ROW()</f>
        <v>180</v>
      </c>
    </row>
    <row r="181" spans="2:17" s="3507" customFormat="1" ht="15" customHeight="1">
      <c r="B181" s="518"/>
      <c r="C181" s="3505"/>
      <c r="D181" s="3505"/>
      <c r="E181" s="3505"/>
      <c r="F181" s="3505"/>
      <c r="G181" s="3505"/>
      <c r="H181" s="3506" t="s">
        <v>6120</v>
      </c>
      <c r="I181" s="3506" t="s">
        <v>6121</v>
      </c>
      <c r="J181" s="3506" t="s">
        <v>6122</v>
      </c>
      <c r="K181" s="3506" t="s">
        <v>6124</v>
      </c>
      <c r="L181" s="3506" t="s">
        <v>6120</v>
      </c>
      <c r="M181" s="3506" t="s">
        <v>6121</v>
      </c>
      <c r="N181" s="3506" t="s">
        <v>6122</v>
      </c>
      <c r="O181" s="3506" t="s">
        <v>6124</v>
      </c>
      <c r="Q181" s="117">
        <f>ROW()</f>
        <v>181</v>
      </c>
    </row>
    <row r="182" spans="2:17" s="3507" customFormat="1" ht="15" customHeight="1">
      <c r="C182" s="3505"/>
      <c r="D182" s="3505"/>
      <c r="E182" s="3505"/>
      <c r="F182" s="3505"/>
      <c r="G182" s="3505"/>
      <c r="H182" s="3505"/>
      <c r="I182" s="1580"/>
      <c r="J182" s="2694"/>
      <c r="K182" s="6"/>
      <c r="L182" s="3505"/>
      <c r="M182" s="1580"/>
      <c r="N182" s="2694"/>
      <c r="O182" s="6"/>
      <c r="Q182" s="117">
        <f>ROW()</f>
        <v>182</v>
      </c>
    </row>
    <row r="183" spans="2:17" s="3507" customFormat="1" ht="15" customHeight="1">
      <c r="B183" s="312" t="s">
        <v>6125</v>
      </c>
      <c r="C183" s="3505"/>
      <c r="D183" s="3505"/>
      <c r="E183" s="3505"/>
      <c r="F183" s="3505"/>
      <c r="G183" s="3505"/>
      <c r="H183" s="3515">
        <f>AVERAGE('Motor Vs'!$W$274,'Motor Vs'!$AF$274)</f>
        <v>0.21998041512718652</v>
      </c>
      <c r="I183" s="3515">
        <f>AVERAGE('Motor Vs'!$W$274,'Motor Vs'!$AF$274)</f>
        <v>0.21998041512718652</v>
      </c>
      <c r="J183" s="3516" t="s">
        <v>2417</v>
      </c>
      <c r="K183" s="6"/>
      <c r="L183" s="3515">
        <f>AVERAGE('Motor Vs Weekends'!$W$274,'Motor Vs Weekends'!$AF$274)</f>
        <v>0</v>
      </c>
      <c r="M183" s="3515">
        <f>AVERAGE('Motor Vs Weekends'!$W$274,'Motor Vs Weekends'!$AF$274)</f>
        <v>0</v>
      </c>
      <c r="N183" s="3516" t="s">
        <v>2417</v>
      </c>
      <c r="O183" s="6"/>
      <c r="Q183" s="117">
        <f>ROW()</f>
        <v>183</v>
      </c>
    </row>
    <row r="184" spans="2:17" s="3507" customFormat="1" ht="15" customHeight="1">
      <c r="B184" s="3517" t="str">
        <f>CONCATENATE("Arithmetic mean of work and non-work tolls allocable to cordon toll on PA tunnels, from Row ",'Motor Vs'!O274, " of 'Motor Vs and Motor Vs Weekends' worksheet tabs.")</f>
        <v>Arithmetic mean of work and non-work tolls allocable to cordon toll on PA tunnels, from Row 274 of 'Motor Vs and Motor Vs Weekends' worksheet tabs.</v>
      </c>
      <c r="I184" s="1580"/>
      <c r="J184" s="2694"/>
      <c r="K184" s="6"/>
      <c r="M184" s="1580"/>
      <c r="N184" s="2694"/>
      <c r="O184" s="6"/>
      <c r="Q184" s="117">
        <f>ROW()</f>
        <v>184</v>
      </c>
    </row>
    <row r="185" spans="2:17" s="3507" customFormat="1" ht="15" customHeight="1">
      <c r="B185" s="312" t="s">
        <v>6126</v>
      </c>
      <c r="C185" s="3505"/>
      <c r="D185" s="3505"/>
      <c r="E185" s="3505"/>
      <c r="F185" s="3505"/>
      <c r="G185" s="3505"/>
      <c r="H185" s="3515">
        <f>AVERAGE('Motor Vs'!$W$272,'Motor Vs'!$AF$272)</f>
        <v>8.4780080634009352</v>
      </c>
      <c r="I185" s="3515">
        <f>AVERAGE('Motor Vs'!$W$272,'Motor Vs'!$AF$272)</f>
        <v>8.4780080634009352</v>
      </c>
      <c r="J185" s="3516" t="s">
        <v>2417</v>
      </c>
      <c r="K185" s="6"/>
      <c r="L185" s="3515">
        <f>AVERAGE('Motor Vs Weekends'!$W$272,'Motor Vs Weekends'!$AF$272)</f>
        <v>8.6407665121250048</v>
      </c>
      <c r="M185" s="3515">
        <f>AVERAGE('Motor Vs Weekends'!$W$272,'Motor Vs Weekends'!$AF$272)</f>
        <v>8.6407665121250048</v>
      </c>
      <c r="N185" s="3516" t="s">
        <v>2417</v>
      </c>
      <c r="O185" s="6"/>
      <c r="Q185" s="117">
        <f>ROW()</f>
        <v>185</v>
      </c>
    </row>
    <row r="186" spans="2:17" s="3507" customFormat="1" ht="15" customHeight="1">
      <c r="B186" s="3517" t="str">
        <f>CONCATENATE("Arithmetic mean of work and non-work tolls allocable to cordon toll on PA tunnels, from Row ",'Motor Vs'!O272, " of 'Motor Vs and Motor Vs Weekends' worksheet tabs.")</f>
        <v>Arithmetic mean of work and non-work tolls allocable to cordon toll on PA tunnels, from Row 272 of 'Motor Vs and Motor Vs Weekends' worksheet tabs.</v>
      </c>
      <c r="C186" s="3505"/>
      <c r="D186" s="3505"/>
      <c r="E186" s="3505"/>
      <c r="F186" s="3505"/>
      <c r="G186" s="3505"/>
      <c r="H186" s="3505"/>
      <c r="I186" s="1580"/>
      <c r="J186" s="2694"/>
      <c r="K186" s="6"/>
      <c r="L186" s="3505"/>
      <c r="M186" s="1580"/>
      <c r="N186" s="2694"/>
      <c r="O186" s="6"/>
      <c r="Q186" s="117">
        <f>ROW()</f>
        <v>186</v>
      </c>
    </row>
    <row r="187" spans="2:17" s="3507" customFormat="1" ht="15" customHeight="1">
      <c r="B187" s="312" t="s">
        <v>6127</v>
      </c>
      <c r="C187" s="3505"/>
      <c r="D187" s="3505"/>
      <c r="E187" s="3505"/>
      <c r="F187" s="3505"/>
      <c r="G187" s="3505"/>
      <c r="H187" s="3518">
        <f>H183/H185</f>
        <v>2.5947181635368938E-2</v>
      </c>
      <c r="I187" s="3518">
        <f>I183/I185</f>
        <v>2.5947181635368938E-2</v>
      </c>
      <c r="J187" s="3519">
        <f>$N$163</f>
        <v>0.25</v>
      </c>
      <c r="K187" s="6"/>
      <c r="L187" s="3518">
        <f>L183/L185</f>
        <v>0</v>
      </c>
      <c r="M187" s="3518">
        <f>M183/M185</f>
        <v>0</v>
      </c>
      <c r="N187" s="3519">
        <f>$N$163</f>
        <v>0.25</v>
      </c>
      <c r="O187" s="6"/>
      <c r="Q187" s="117">
        <f>ROW()</f>
        <v>187</v>
      </c>
    </row>
    <row r="188" spans="2:17" s="3507" customFormat="1" ht="15" customHeight="1">
      <c r="B188" s="3517" t="str">
        <f>CONCATENATE("Row ",Q183, " divided by Row ",Q185, ", except that GWB figure is from Cell N",Q163, " to reflect est'd share of GWB crossings that now drive into cordon. Note that cordon-crossers pay full toll.")</f>
        <v>Row 183 divided by Row 185, except that GWB figure is from Cell N163 to reflect est'd share of GWB crossings that now drive into cordon. Note that cordon-crossers pay full toll.</v>
      </c>
      <c r="C188" s="3505"/>
      <c r="D188" s="3505"/>
      <c r="E188" s="3505"/>
      <c r="F188" s="3505"/>
      <c r="G188" s="3505"/>
      <c r="H188" s="3505"/>
      <c r="I188" s="3505"/>
      <c r="J188" s="1580"/>
      <c r="K188" s="2694"/>
      <c r="L188" s="6"/>
      <c r="Q188" s="117">
        <f>ROW()</f>
        <v>188</v>
      </c>
    </row>
    <row r="189" spans="2:17" s="3507" customFormat="1" ht="15" customHeight="1">
      <c r="B189" s="312" t="s">
        <v>6123</v>
      </c>
      <c r="C189" s="3505"/>
      <c r="D189" s="3505"/>
      <c r="E189" s="3505"/>
      <c r="F189" s="3505"/>
      <c r="G189" s="3505"/>
      <c r="H189" s="3509">
        <f ca="1">H187*$K$189</f>
        <v>-4.1294943094005998E-3</v>
      </c>
      <c r="I189" s="3509">
        <f ca="1">I187*$K$189</f>
        <v>-4.1294943094005998E-3</v>
      </c>
      <c r="J189" s="3509">
        <f ca="1">J187*$K$189</f>
        <v>-3.9787503392773427E-2</v>
      </c>
      <c r="K189" s="3514">
        <f ca="1">'Motor Vs'!N893</f>
        <v>-0.15915001357109371</v>
      </c>
      <c r="L189" s="3509">
        <f ca="1">L187*$O$189</f>
        <v>0</v>
      </c>
      <c r="M189" s="3509">
        <f ca="1">M187*$O$189</f>
        <v>0</v>
      </c>
      <c r="N189" s="3509">
        <f ca="1">N187*$O$189</f>
        <v>-3.6595162281378053E-2</v>
      </c>
      <c r="O189" s="3514">
        <f ca="1">'Motor Vs Weekends'!N893</f>
        <v>-0.14638064912551221</v>
      </c>
      <c r="Q189" s="117">
        <f>ROW()</f>
        <v>189</v>
      </c>
    </row>
    <row r="190" spans="2:17" s="3507" customFormat="1" ht="15" customHeight="1">
      <c r="B190" s="3517" t="str">
        <f>CONCATENATE("Bold figures in Cells K",Q189, " and O",Q189, " are percent drops in all entries, from Row ",'Motor Vs'!O893, " of 'Motor Vs' and 'Motor Vs Weekends' tabs. Column entries to their left prorate those figures by the ratios in Row ",Q187, ".")</f>
        <v>Bold figures in Cells K189 and O189 are percent drops in all entries, from Row 893 of 'Motor Vs' and 'Motor Vs Weekends' tabs. Column entries to their left prorate those figures by the ratios in Row 187.</v>
      </c>
      <c r="C190" s="3505"/>
      <c r="D190" s="3505"/>
      <c r="E190" s="3505"/>
      <c r="F190" s="3505"/>
      <c r="G190" s="3505"/>
      <c r="H190" s="3505"/>
      <c r="I190" s="3505"/>
      <c r="J190" s="1580"/>
      <c r="K190" s="2694"/>
      <c r="L190" s="6"/>
      <c r="Q190" s="117">
        <f>ROW()</f>
        <v>190</v>
      </c>
    </row>
    <row r="191" spans="2:17" s="3507" customFormat="1" ht="15" customHeight="1">
      <c r="B191" s="312" t="s">
        <v>6129</v>
      </c>
      <c r="C191" s="3505"/>
      <c r="D191" s="3505"/>
      <c r="E191" s="3505"/>
      <c r="F191" s="3505"/>
      <c r="G191" s="3505"/>
      <c r="H191" s="3509">
        <f ca="1">(H189*'Motor Vs'!$H$27*wkday_per_yr+L189*'Motor Vs Weekends'!$H$27*wkend_per_yr)/('Motor Vs'!$H$27*wkday_per_yr+'Motor Vs Weekends'!$H$27*wkend_per_yr)</f>
        <v>-2.9684147491532034E-3</v>
      </c>
      <c r="I191" s="3509">
        <f ca="1">(I189*'Motor Vs'!$H$27*wkday_per_yr+M189*'Motor Vs Weekends'!$H$27*wkend_per_yr)/('Motor Vs'!$H$27*wkday_per_yr+'Motor Vs Weekends'!$H$27*wkend_per_yr)</f>
        <v>-2.9684147491532034E-3</v>
      </c>
      <c r="J191" s="3509">
        <f ca="1">(J189*'Motor Vs'!$H$27*wkday_per_yr+N189*'Motor Vs Weekends'!$H$27*wkend_per_yr)/('Motor Vs'!$H$27*wkday_per_yr+'Motor Vs Weekends'!$H$27*wkend_per_yr)</f>
        <v>-3.8889920847293022E-2</v>
      </c>
      <c r="L191" s="1" t="s">
        <v>6128</v>
      </c>
      <c r="Q191" s="117">
        <f>ROW()</f>
        <v>191</v>
      </c>
    </row>
    <row r="192" spans="2:17" s="3507" customFormat="1" ht="15" customHeight="1">
      <c r="B192" s="3517" t="str">
        <f>CONCATENATE("Figures weights Row ",Q189, " percents by respective days in year and daily crossings.")</f>
        <v>Figures weights Row 189 percents by respective days in year and daily crossings.</v>
      </c>
      <c r="C192" s="3505"/>
      <c r="D192" s="3505"/>
      <c r="E192" s="3505"/>
      <c r="F192" s="3505"/>
      <c r="G192" s="3505"/>
      <c r="K192" s="2694"/>
      <c r="Q192" s="117">
        <f>ROW()</f>
        <v>192</v>
      </c>
    </row>
    <row r="193" spans="2:17" s="3507" customFormat="1" ht="15" customHeight="1">
      <c r="B193" s="518" t="s">
        <v>6130</v>
      </c>
      <c r="C193" s="3505"/>
      <c r="D193" s="3505"/>
      <c r="E193" s="3505"/>
      <c r="F193" s="3505"/>
      <c r="G193" s="3505"/>
      <c r="H193" s="3520">
        <f ca="1">H191*L164</f>
        <v>-377.61500865452814</v>
      </c>
      <c r="I193" s="3520">
        <f ca="1">I191*L165</f>
        <v>-465.0288861875917</v>
      </c>
      <c r="J193" s="3520">
        <f ca="1">J191*L163</f>
        <v>-17889.169140150552</v>
      </c>
      <c r="K193" s="1891">
        <f ca="1">SUM(H193:J193)</f>
        <v>-18731.813034992672</v>
      </c>
      <c r="L193" s="6"/>
      <c r="Q193" s="117">
        <f>ROW()</f>
        <v>193</v>
      </c>
    </row>
    <row r="194" spans="2:17" s="3507" customFormat="1" ht="15" customHeight="1">
      <c r="B194" s="3517" t="str">
        <f>CONCATENATE("Respective %'s in Row ",Q191, " multiplied by projected revenues from Holland, Lincoln and GWB in Column L, Rows ",Q163, " to ",Q165, ".")</f>
        <v>Respective %'s in Row 191 multiplied by projected revenues from Holland, Lincoln and GWB in Column L, Rows 163 to 165.</v>
      </c>
      <c r="C194" s="3505"/>
      <c r="D194" s="3505"/>
      <c r="E194" s="3505"/>
      <c r="F194" s="3505"/>
      <c r="G194" s="3505"/>
      <c r="H194" s="3505"/>
      <c r="I194" s="3505"/>
      <c r="J194" s="1580"/>
      <c r="K194" s="2694"/>
      <c r="L194" s="6"/>
      <c r="Q194" s="117">
        <f>ROW()</f>
        <v>194</v>
      </c>
    </row>
    <row r="195" spans="2:17" s="3507" customFormat="1" ht="15" customHeight="1">
      <c r="B195" s="3517"/>
      <c r="C195" s="3505"/>
      <c r="D195" s="3505"/>
      <c r="E195" s="3505"/>
      <c r="F195" s="3505"/>
      <c r="G195" s="3505"/>
      <c r="H195" s="3505"/>
      <c r="I195" s="3505"/>
      <c r="J195" s="1580"/>
      <c r="K195" s="2694"/>
      <c r="L195" s="6"/>
      <c r="Q195" s="117">
        <f>ROW()</f>
        <v>195</v>
      </c>
    </row>
    <row r="196" spans="2:17" s="3507" customFormat="1" ht="15" customHeight="1">
      <c r="B196" s="518"/>
      <c r="C196" s="3505"/>
      <c r="D196" s="3505"/>
      <c r="E196" s="3505"/>
      <c r="F196" s="3505"/>
      <c r="G196" s="3505"/>
      <c r="H196" s="3505"/>
      <c r="I196" s="3505"/>
      <c r="J196" s="1580"/>
      <c r="K196" s="2694"/>
      <c r="L196" s="6"/>
      <c r="Q196" s="117">
        <f>ROW()</f>
        <v>196</v>
      </c>
    </row>
    <row r="197" spans="2:17" ht="15" customHeight="1">
      <c r="C197" s="217"/>
      <c r="D197" s="217"/>
      <c r="E197" s="217"/>
      <c r="F197" s="217"/>
      <c r="G197" s="217"/>
      <c r="H197" s="217"/>
      <c r="I197" s="1969" t="s">
        <v>781</v>
      </c>
      <c r="J197" s="1969" t="s">
        <v>1975</v>
      </c>
      <c r="K197" s="1969" t="s">
        <v>3219</v>
      </c>
      <c r="L197" s="6"/>
      <c r="Q197" s="117">
        <f>ROW()</f>
        <v>197</v>
      </c>
    </row>
    <row r="198" spans="2:17" ht="15" customHeight="1">
      <c r="B198" s="280" t="s">
        <v>3220</v>
      </c>
      <c r="C198" s="217"/>
      <c r="D198" s="217"/>
      <c r="E198" s="217"/>
      <c r="F198" s="217"/>
      <c r="G198" s="217"/>
      <c r="H198" s="217"/>
      <c r="I198" s="1967">
        <f ca="1">'Motor Vs'!$N$893</f>
        <v>-0.15915001357109371</v>
      </c>
      <c r="J198" s="1970">
        <f ca="1">'Motor Vs Weekends'!$N$893</f>
        <v>-0.14638064912551221</v>
      </c>
      <c r="K198" s="1970">
        <f ca="1">(I198*'Motor Vs'!$H$27*wkday_per_yr+J198*'Motor Vs Weekends'!$H$27*wkend_per_yr)/('Motor Vs'!$H$27*wkday_per_yr+'Motor Vs Weekends'!$H$27*wkend_per_yr)</f>
        <v>-0.15555968338917209</v>
      </c>
      <c r="L198" s="6"/>
      <c r="Q198" s="117">
        <f>ROW()</f>
        <v>198</v>
      </c>
    </row>
    <row r="199" spans="2:17" ht="15" customHeight="1">
      <c r="B199" s="3785" t="str">
        <f>CONCATENATE("Weekdays and Weekends percentages are from 'Motor Vs' and 'Motor Vs Weekends' worksheets, Row ",'Motor Vs'!$O$902, ". Weighted figure weights those two percentages by respective total entries into CBD from Row ",'Motor Vs'!O$27, " of same worksheets, adj'd for relatve frequency of weekdays and weekends.")</f>
        <v>Weekdays and Weekends percentages are from 'Motor Vs' and 'Motor Vs Weekends' worksheets, Row 902. Weighted figure weights those two percentages by respective total entries into CBD from Row 27 of same worksheets, adj'd for relatve frequency of weekdays and weekends.</v>
      </c>
      <c r="C199" s="3786"/>
      <c r="D199" s="3786"/>
      <c r="E199" s="3786"/>
      <c r="F199" s="3786"/>
      <c r="G199" s="3786"/>
      <c r="H199" s="3786"/>
      <c r="I199" s="3786"/>
      <c r="J199" s="3786"/>
      <c r="K199" s="3786"/>
      <c r="L199" s="6"/>
      <c r="Q199" s="117">
        <f>ROW()</f>
        <v>199</v>
      </c>
    </row>
    <row r="200" spans="2:17" ht="15" customHeight="1">
      <c r="B200" s="3786"/>
      <c r="C200" s="3786"/>
      <c r="D200" s="3786"/>
      <c r="E200" s="3786"/>
      <c r="F200" s="3786"/>
      <c r="G200" s="3786"/>
      <c r="H200" s="3786"/>
      <c r="I200" s="3786"/>
      <c r="J200" s="3786"/>
      <c r="K200" s="3786"/>
      <c r="L200" s="6"/>
      <c r="Q200" s="117">
        <f>ROW()</f>
        <v>200</v>
      </c>
    </row>
    <row r="201" spans="2:17" ht="15" customHeight="1">
      <c r="C201" s="1968"/>
      <c r="D201" s="1968"/>
      <c r="E201" s="1968"/>
      <c r="F201" s="1968"/>
      <c r="G201" s="1968"/>
      <c r="H201" s="1968"/>
      <c r="I201" s="1968"/>
      <c r="J201" s="1891">
        <f ca="1">ROUND(K198*K178,-2)</f>
        <v>-62000</v>
      </c>
      <c r="L201" s="6"/>
      <c r="Q201" s="117">
        <f>ROW()</f>
        <v>201</v>
      </c>
    </row>
    <row r="202" spans="2:17" ht="15" customHeight="1">
      <c r="C202" s="217"/>
      <c r="D202" s="217"/>
      <c r="E202" s="217"/>
      <c r="F202" s="217"/>
      <c r="G202" s="217"/>
      <c r="H202" s="217"/>
      <c r="I202" s="217"/>
      <c r="J202" s="217"/>
      <c r="L202" s="6"/>
      <c r="Q202" s="117">
        <f>ROW()</f>
        <v>202</v>
      </c>
    </row>
    <row r="203" spans="2:17" ht="15" customHeight="1">
      <c r="C203" s="2547"/>
      <c r="D203" s="2547"/>
      <c r="E203" s="2547"/>
      <c r="F203" s="2547"/>
      <c r="G203" s="2547"/>
      <c r="H203" s="2547"/>
      <c r="I203" s="2547"/>
      <c r="J203" s="2547"/>
      <c r="L203" s="6"/>
      <c r="Q203" s="117">
        <f>ROW()</f>
        <v>203</v>
      </c>
    </row>
    <row r="204" spans="2:17" ht="15" customHeight="1">
      <c r="B204" s="115" t="s">
        <v>4636</v>
      </c>
      <c r="C204" s="593"/>
      <c r="D204" s="593"/>
      <c r="E204" s="593"/>
      <c r="F204" s="593"/>
      <c r="G204" s="593"/>
      <c r="H204" s="593"/>
      <c r="I204" s="593"/>
      <c r="J204" s="593"/>
      <c r="K204" s="282"/>
      <c r="L204" s="6"/>
      <c r="Q204" s="117">
        <f>ROW()</f>
        <v>204</v>
      </c>
    </row>
    <row r="205" spans="2:17" ht="15" customHeight="1">
      <c r="B205" s="115"/>
      <c r="C205" s="593"/>
      <c r="D205" s="593"/>
      <c r="E205" s="593"/>
      <c r="F205" s="593"/>
      <c r="G205" s="593"/>
      <c r="H205" s="593"/>
      <c r="I205" s="593"/>
      <c r="J205" s="308" t="s">
        <v>536</v>
      </c>
      <c r="K205" s="282"/>
      <c r="L205" s="6"/>
      <c r="Q205" s="117">
        <f>ROW()</f>
        <v>205</v>
      </c>
    </row>
    <row r="206" spans="2:17" s="6" customFormat="1" ht="15" customHeight="1">
      <c r="B206" s="308" t="s">
        <v>2920</v>
      </c>
      <c r="I206" s="3248">
        <f>P75/1000</f>
        <v>229.25299999999999</v>
      </c>
      <c r="J206" s="282" t="str">
        <f>CONCATENATE("Row ",Q75,", Column P (2011 'allocable' data).")</f>
        <v>Row 75, Column P (2011 'allocable' data).</v>
      </c>
      <c r="Q206" s="117">
        <f>ROW()</f>
        <v>206</v>
      </c>
    </row>
    <row r="207" spans="2:17" s="9" customFormat="1" ht="15" customHeight="1">
      <c r="B207" s="308" t="s">
        <v>2706</v>
      </c>
      <c r="I207" s="3248">
        <f>M169/1000</f>
        <v>306.86975000000001</v>
      </c>
      <c r="J207" s="282" t="str">
        <f>CONCATENATE("Row ",Q169,", Column M (2010 'allocable' data).")</f>
        <v>Row 169, Column M (2010 'allocable' data).</v>
      </c>
      <c r="L207" s="282"/>
      <c r="Q207" s="117">
        <f>ROW()</f>
        <v>207</v>
      </c>
    </row>
    <row r="208" spans="2:17" s="9" customFormat="1" ht="15" customHeight="1">
      <c r="B208" s="308" t="s">
        <v>892</v>
      </c>
      <c r="I208" s="3248">
        <f>I206+I207</f>
        <v>536.12275</v>
      </c>
      <c r="J208" s="282" t="s">
        <v>893</v>
      </c>
      <c r="L208" s="282"/>
      <c r="Q208" s="117">
        <f>ROW()</f>
        <v>208</v>
      </c>
    </row>
    <row r="209" spans="1:17" s="9" customFormat="1" ht="15" customHeight="1">
      <c r="B209" s="308"/>
      <c r="I209" s="2552"/>
      <c r="J209" s="282"/>
      <c r="L209" s="282"/>
      <c r="Q209" s="117">
        <f>ROW()</f>
        <v>209</v>
      </c>
    </row>
    <row r="210" spans="1:17" s="9" customFormat="1" ht="15" customHeight="1">
      <c r="B210" s="308"/>
      <c r="I210" s="463"/>
      <c r="J210" s="282"/>
      <c r="L210" s="282"/>
      <c r="Q210" s="117">
        <f>ROW()</f>
        <v>210</v>
      </c>
    </row>
    <row r="211" spans="1:17" s="9" customFormat="1" ht="15" customHeight="1">
      <c r="A211"/>
      <c r="B211" s="115" t="s">
        <v>4869</v>
      </c>
      <c r="C211"/>
      <c r="D211"/>
      <c r="E211"/>
      <c r="F211"/>
      <c r="G211"/>
      <c r="H211"/>
      <c r="I211"/>
      <c r="J211"/>
      <c r="K211"/>
      <c r="L211"/>
      <c r="Q211" s="117">
        <f>ROW()</f>
        <v>211</v>
      </c>
    </row>
    <row r="212" spans="1:17" s="9" customFormat="1" ht="15" customHeight="1">
      <c r="A212" s="24"/>
      <c r="B212"/>
      <c r="C212"/>
      <c r="D212"/>
      <c r="E212"/>
      <c r="F212"/>
      <c r="G212"/>
      <c r="H212"/>
      <c r="I212"/>
      <c r="J212"/>
      <c r="K212"/>
      <c r="L212"/>
      <c r="Q212" s="117">
        <f>ROW()</f>
        <v>212</v>
      </c>
    </row>
    <row r="213" spans="1:17" s="9" customFormat="1" ht="15" customHeight="1">
      <c r="A213" s="281"/>
      <c r="B213" s="4071" t="s">
        <v>5184</v>
      </c>
      <c r="C213" s="4071"/>
      <c r="D213" s="4071"/>
      <c r="E213" s="4071"/>
      <c r="F213" s="4071"/>
      <c r="G213" s="4071"/>
      <c r="H213" s="4071"/>
      <c r="I213" s="4071"/>
      <c r="J213" s="4071"/>
      <c r="K213" s="4071"/>
      <c r="L213" s="4071"/>
      <c r="M213" s="4071"/>
      <c r="Q213" s="117">
        <f>ROW()</f>
        <v>213</v>
      </c>
    </row>
    <row r="214" spans="1:17" s="9" customFormat="1" ht="15" customHeight="1">
      <c r="A214" s="281"/>
      <c r="B214" s="4071"/>
      <c r="C214" s="4071"/>
      <c r="D214" s="4071"/>
      <c r="E214" s="4071"/>
      <c r="F214" s="4071"/>
      <c r="G214" s="4071"/>
      <c r="H214" s="4071"/>
      <c r="I214" s="4071"/>
      <c r="J214" s="4071"/>
      <c r="K214" s="4071"/>
      <c r="L214" s="4071"/>
      <c r="M214" s="4071"/>
      <c r="Q214" s="117">
        <f>ROW()</f>
        <v>214</v>
      </c>
    </row>
    <row r="215" spans="1:17" s="9" customFormat="1" ht="15" customHeight="1">
      <c r="A215" s="281"/>
      <c r="B215" s="3659"/>
      <c r="C215" s="3659"/>
      <c r="D215" s="3659"/>
      <c r="E215" s="3659"/>
      <c r="F215" s="3659"/>
      <c r="G215" s="3659"/>
      <c r="H215" s="3659"/>
      <c r="I215" s="3659"/>
      <c r="J215" s="3659"/>
      <c r="K215" s="3659"/>
      <c r="L215" s="3659"/>
      <c r="M215" s="3659"/>
      <c r="Q215" s="117">
        <f>ROW()</f>
        <v>215</v>
      </c>
    </row>
    <row r="216" spans="1:17" s="9" customFormat="1" ht="15" customHeight="1">
      <c r="A216" s="281"/>
      <c r="B216" s="4071" t="s">
        <v>6184</v>
      </c>
      <c r="C216" s="3659"/>
      <c r="D216" s="3659"/>
      <c r="E216" s="3659"/>
      <c r="F216" s="3659"/>
      <c r="G216" s="3659"/>
      <c r="H216" s="3659"/>
      <c r="I216" s="3659"/>
      <c r="J216" s="3659"/>
      <c r="K216" s="281"/>
      <c r="L216" s="281"/>
      <c r="Q216" s="117">
        <f>ROW()</f>
        <v>216</v>
      </c>
    </row>
    <row r="217" spans="1:17" s="9" customFormat="1" ht="15" customHeight="1">
      <c r="B217" s="3659"/>
      <c r="C217" s="3659"/>
      <c r="D217" s="3659"/>
      <c r="E217" s="3659"/>
      <c r="F217" s="3659"/>
      <c r="G217" s="3659"/>
      <c r="H217" s="3659"/>
      <c r="I217" s="3659"/>
      <c r="J217" s="3659"/>
      <c r="K217" s="281"/>
      <c r="L217" s="281"/>
      <c r="M217" s="281"/>
      <c r="Q217" s="117">
        <f>ROW()</f>
        <v>217</v>
      </c>
    </row>
    <row r="218" spans="1:17" s="9" customFormat="1" ht="15" customHeight="1">
      <c r="A218" s="281"/>
      <c r="B218" s="3659"/>
      <c r="C218" s="3659"/>
      <c r="D218" s="3659"/>
      <c r="E218" s="3659"/>
      <c r="F218" s="3659"/>
      <c r="G218" s="3659"/>
      <c r="H218" s="3659"/>
      <c r="I218" s="3659"/>
      <c r="J218" s="3659"/>
      <c r="K218" s="281"/>
      <c r="L218" s="281"/>
      <c r="M218" s="281"/>
      <c r="Q218" s="117">
        <f>ROW()</f>
        <v>218</v>
      </c>
    </row>
    <row r="219" spans="1:17" s="9" customFormat="1" ht="15" customHeight="1">
      <c r="A219" s="281"/>
      <c r="B219" s="3659"/>
      <c r="C219" s="3659"/>
      <c r="D219" s="3659"/>
      <c r="E219" s="3659"/>
      <c r="F219" s="3659"/>
      <c r="G219" s="3659"/>
      <c r="H219" s="3659"/>
      <c r="I219" s="3659"/>
      <c r="J219" s="3659"/>
      <c r="K219" s="281"/>
      <c r="L219" s="281"/>
      <c r="M219" s="281"/>
      <c r="Q219" s="117">
        <f>ROW()</f>
        <v>219</v>
      </c>
    </row>
    <row r="220" spans="1:17" s="9" customFormat="1" ht="15" customHeight="1">
      <c r="A220" s="281"/>
      <c r="B220" s="3659"/>
      <c r="C220" s="3659"/>
      <c r="D220" s="3659"/>
      <c r="E220" s="3659"/>
      <c r="F220" s="3659"/>
      <c r="G220" s="3659"/>
      <c r="H220" s="3659"/>
      <c r="I220" s="3659"/>
      <c r="J220" s="3659"/>
      <c r="K220" s="281"/>
      <c r="L220" s="281"/>
      <c r="M220" s="281"/>
      <c r="Q220" s="117">
        <f>ROW()</f>
        <v>220</v>
      </c>
    </row>
    <row r="221" spans="1:17" s="9" customFormat="1" ht="15" customHeight="1">
      <c r="A221" s="281"/>
      <c r="B221" s="3659"/>
      <c r="C221" s="3659"/>
      <c r="D221" s="3659"/>
      <c r="E221" s="3659"/>
      <c r="F221" s="3659"/>
      <c r="G221" s="3659"/>
      <c r="H221" s="3659"/>
      <c r="I221" s="3659"/>
      <c r="J221" s="3659"/>
      <c r="K221" s="281"/>
      <c r="L221" s="281"/>
      <c r="M221" s="281"/>
      <c r="Q221" s="117">
        <f>ROW()</f>
        <v>221</v>
      </c>
    </row>
    <row r="222" spans="1:17" s="9" customFormat="1" ht="15" customHeight="1">
      <c r="A222" s="281"/>
      <c r="B222" s="281"/>
      <c r="C222" s="281"/>
      <c r="D222" s="281"/>
      <c r="E222" s="281"/>
      <c r="F222" s="281"/>
      <c r="G222" s="281"/>
      <c r="H222" s="281"/>
      <c r="I222" s="281"/>
      <c r="J222" s="281"/>
      <c r="K222" s="281"/>
      <c r="L222" s="281"/>
      <c r="M222" s="281"/>
      <c r="Q222" s="117">
        <f>ROW()</f>
        <v>222</v>
      </c>
    </row>
    <row r="223" spans="1:17" s="9" customFormat="1" ht="15" customHeight="1">
      <c r="A223" s="281"/>
      <c r="B223" s="518" t="s">
        <v>5660</v>
      </c>
      <c r="C223" s="281"/>
      <c r="D223" s="281"/>
      <c r="E223" s="281"/>
      <c r="F223" s="281"/>
      <c r="G223" s="281"/>
      <c r="H223" s="281"/>
      <c r="I223" s="1233">
        <v>169452</v>
      </c>
      <c r="K223" s="2977"/>
      <c r="L223" s="2977"/>
      <c r="M223" s="2977"/>
      <c r="N223" s="2977"/>
      <c r="O223" s="2977"/>
      <c r="P223" s="2977"/>
      <c r="Q223" s="117">
        <f>ROW()</f>
        <v>223</v>
      </c>
    </row>
    <row r="224" spans="1:17" s="9" customFormat="1" ht="15" customHeight="1">
      <c r="A224" s="281"/>
      <c r="B224" s="3754" t="s">
        <v>5185</v>
      </c>
      <c r="C224" s="3659"/>
      <c r="D224" s="3659"/>
      <c r="E224" s="3659"/>
      <c r="F224" s="3659"/>
      <c r="G224" s="3659"/>
      <c r="H224" s="3659"/>
      <c r="I224" s="3659"/>
      <c r="J224" s="3659"/>
      <c r="K224" s="2977"/>
      <c r="L224" s="2977"/>
      <c r="M224" s="2977"/>
      <c r="N224" s="2977"/>
      <c r="O224" s="2977"/>
      <c r="P224" s="2977"/>
      <c r="Q224" s="117">
        <f>ROW()</f>
        <v>224</v>
      </c>
    </row>
    <row r="225" spans="1:17" s="9" customFormat="1" ht="15" customHeight="1">
      <c r="A225"/>
      <c r="B225" s="3659"/>
      <c r="C225" s="3659"/>
      <c r="D225" s="3659"/>
      <c r="E225" s="3659"/>
      <c r="F225" s="3659"/>
      <c r="G225" s="3659"/>
      <c r="H225" s="3659"/>
      <c r="I225" s="3659"/>
      <c r="J225" s="3659"/>
      <c r="K225" s="2977"/>
      <c r="L225" s="2977"/>
      <c r="M225" s="2977"/>
      <c r="N225" s="2977"/>
      <c r="O225" s="2977"/>
      <c r="P225" s="2977"/>
      <c r="Q225" s="117">
        <f>ROW()</f>
        <v>225</v>
      </c>
    </row>
    <row r="226" spans="1:17" s="9" customFormat="1" ht="15" customHeight="1">
      <c r="A226"/>
      <c r="B226" s="2963"/>
      <c r="C226" s="2963"/>
      <c r="D226" s="2963"/>
      <c r="E226" s="2963"/>
      <c r="F226" s="2963"/>
      <c r="G226" s="2963"/>
      <c r="H226" s="2963"/>
      <c r="I226" s="2963"/>
      <c r="J226" s="2963"/>
      <c r="K226" s="2977"/>
      <c r="L226" s="2977"/>
      <c r="M226" s="2977"/>
      <c r="N226" s="2977"/>
      <c r="O226" s="2977"/>
      <c r="P226" s="2977"/>
      <c r="Q226" s="117">
        <f>ROW()</f>
        <v>226</v>
      </c>
    </row>
    <row r="227" spans="1:17" s="9" customFormat="1" ht="15" customHeight="1">
      <c r="C227" s="6"/>
      <c r="D227" s="6"/>
      <c r="E227" s="6"/>
      <c r="F227" s="6"/>
      <c r="G227" s="6"/>
      <c r="H227" s="6"/>
      <c r="I227" s="6"/>
      <c r="J227" s="6"/>
      <c r="K227" s="6"/>
      <c r="Q227" s="117">
        <f>ROW()</f>
        <v>227</v>
      </c>
    </row>
    <row r="228" spans="1:17" s="9" customFormat="1" ht="15" customHeight="1">
      <c r="B228" s="115" t="s">
        <v>5174</v>
      </c>
      <c r="C228" s="6"/>
      <c r="D228" s="6"/>
      <c r="E228" s="6"/>
      <c r="F228" s="6"/>
      <c r="G228" s="6"/>
      <c r="H228" s="6"/>
      <c r="I228" s="6"/>
      <c r="J228" s="6"/>
      <c r="K228" s="6"/>
      <c r="Q228" s="117">
        <f>ROW()</f>
        <v>228</v>
      </c>
    </row>
    <row r="229" spans="1:17" s="9" customFormat="1" ht="15" customHeight="1">
      <c r="C229" s="6"/>
      <c r="D229" s="6"/>
      <c r="E229" s="6"/>
      <c r="F229" s="6"/>
      <c r="G229" s="6"/>
      <c r="H229" s="6"/>
      <c r="I229" s="6"/>
      <c r="J229" s="6"/>
      <c r="K229" s="6"/>
      <c r="Q229" s="117">
        <f>ROW()</f>
        <v>229</v>
      </c>
    </row>
    <row r="230" spans="1:17" s="9" customFormat="1" ht="15" customHeight="1">
      <c r="B230" s="2370"/>
      <c r="C230" s="2370"/>
      <c r="D230"/>
      <c r="E230"/>
      <c r="F230" s="4060" t="s">
        <v>4768</v>
      </c>
      <c r="G230" s="4060"/>
      <c r="H230" s="4060" t="s">
        <v>4769</v>
      </c>
      <c r="I230" s="4060"/>
      <c r="J230" s="4060" t="s">
        <v>1130</v>
      </c>
      <c r="K230" s="4060"/>
      <c r="L230" s="2370"/>
      <c r="M230" s="2370"/>
      <c r="Q230" s="117">
        <f>ROW()</f>
        <v>230</v>
      </c>
    </row>
    <row r="231" spans="1:17" s="9" customFormat="1" ht="15" customHeight="1">
      <c r="B231" s="2370"/>
      <c r="C231" s="2370"/>
      <c r="D231"/>
      <c r="E231"/>
      <c r="F231" s="2101"/>
      <c r="G231" s="2101"/>
      <c r="H231" s="2101"/>
      <c r="I231" s="2370"/>
      <c r="J231" s="2370"/>
      <c r="K231" s="2370"/>
      <c r="L231" s="2370"/>
      <c r="M231" s="2370"/>
      <c r="Q231" s="117">
        <f>ROW()</f>
        <v>231</v>
      </c>
    </row>
    <row r="232" spans="1:17" s="9" customFormat="1" ht="15" customHeight="1">
      <c r="B232" s="2370" t="s">
        <v>4770</v>
      </c>
      <c r="C232" s="2370"/>
      <c r="D232"/>
      <c r="E232"/>
      <c r="F232" s="4058">
        <v>606736000</v>
      </c>
      <c r="G232" s="4058"/>
      <c r="H232" s="4058">
        <v>562883000</v>
      </c>
      <c r="I232" s="4058"/>
      <c r="J232" s="4058">
        <f>SUM(F232:I232)</f>
        <v>1169619000</v>
      </c>
      <c r="K232" s="4058"/>
      <c r="L232" s="2370"/>
      <c r="M232" s="2370"/>
      <c r="Q232" s="117">
        <f>ROW()</f>
        <v>232</v>
      </c>
    </row>
    <row r="233" spans="1:17" s="9" customFormat="1" ht="15" customHeight="1">
      <c r="B233" s="2841" t="s">
        <v>4772</v>
      </c>
      <c r="C233" s="2370"/>
      <c r="D233"/>
      <c r="E233"/>
      <c r="F233" s="2370"/>
      <c r="G233" s="2370"/>
      <c r="H233" s="2370"/>
      <c r="I233" s="2370"/>
      <c r="J233" s="2842"/>
      <c r="K233" s="2842"/>
      <c r="L233" s="2370"/>
      <c r="M233" s="2370"/>
      <c r="Q233" s="117">
        <f>ROW()</f>
        <v>233</v>
      </c>
    </row>
    <row r="234" spans="1:17" s="9" customFormat="1" ht="15" customHeight="1">
      <c r="C234" s="6"/>
      <c r="D234" s="6"/>
      <c r="E234" s="6"/>
      <c r="F234" s="6"/>
      <c r="G234" s="6"/>
      <c r="H234" s="6"/>
      <c r="I234" s="6"/>
      <c r="J234" s="6"/>
      <c r="K234" s="6"/>
      <c r="Q234" s="117">
        <f>ROW()</f>
        <v>234</v>
      </c>
    </row>
    <row r="235" spans="1:17" s="9" customFormat="1" ht="15" customHeight="1">
      <c r="B235" s="1" t="s">
        <v>5175</v>
      </c>
      <c r="C235" s="6"/>
      <c r="D235" s="6"/>
      <c r="E235" s="6"/>
      <c r="F235" s="48">
        <f>'User Inputs'!$J$141</f>
        <v>0</v>
      </c>
      <c r="G235" s="6"/>
      <c r="H235" s="48">
        <f>'User Inputs'!$J$141</f>
        <v>0</v>
      </c>
      <c r="I235" s="6"/>
      <c r="J235" s="6"/>
      <c r="K235" s="6"/>
      <c r="Q235" s="117">
        <f>ROW()</f>
        <v>235</v>
      </c>
    </row>
    <row r="236" spans="1:17" s="9" customFormat="1" ht="15" customHeight="1">
      <c r="B236" s="2841" t="str">
        <f>CONCATENATE("Is figure inputted in 'User Inputs' worksheet, Row ",'User Inputs'!N141, ".")</f>
        <v>Is figure inputted in 'User Inputs' worksheet, Row 141.</v>
      </c>
      <c r="C236" s="6"/>
      <c r="D236" s="6"/>
      <c r="E236" s="6"/>
      <c r="F236" s="6"/>
      <c r="G236" s="6"/>
      <c r="H236" s="6"/>
      <c r="I236" s="6"/>
      <c r="J236" s="6"/>
      <c r="K236" s="6"/>
      <c r="Q236" s="117">
        <f>ROW()</f>
        <v>236</v>
      </c>
    </row>
    <row r="237" spans="1:17" s="9" customFormat="1" ht="15" customHeight="1">
      <c r="C237" s="6"/>
      <c r="D237" s="6"/>
      <c r="E237" s="6"/>
      <c r="F237" s="6"/>
      <c r="G237" s="6"/>
      <c r="H237" s="6"/>
      <c r="I237" s="6"/>
      <c r="J237" s="6"/>
      <c r="K237" s="6"/>
      <c r="Q237" s="117">
        <f>ROW()</f>
        <v>237</v>
      </c>
    </row>
    <row r="238" spans="1:17" s="2" customFormat="1" ht="15" customHeight="1">
      <c r="B238" s="2" t="s">
        <v>5176</v>
      </c>
      <c r="F238" s="4059">
        <f>F235*F232</f>
        <v>0</v>
      </c>
      <c r="G238" s="4059"/>
      <c r="H238" s="4059">
        <f>H235*H232</f>
        <v>0</v>
      </c>
      <c r="I238" s="4059"/>
      <c r="J238" s="4059">
        <f>ROUND(SUM(F238:I238),-6)</f>
        <v>0</v>
      </c>
      <c r="K238" s="4059"/>
      <c r="Q238" s="1824">
        <f>ROW()</f>
        <v>238</v>
      </c>
    </row>
    <row r="239" spans="1:17" s="9" customFormat="1" ht="15" customHeight="1">
      <c r="B239" s="2841" t="str">
        <f>CONCATENATE("Simple product of Rows ",Q232, " and ",Q235, ". Price-elasticity is ignored, for simplicity (and conservatism, if discount is applied.")</f>
        <v>Simple product of Rows 232 and 235. Price-elasticity is ignored, for simplicity (and conservatism, if discount is applied.</v>
      </c>
      <c r="C239" s="6"/>
      <c r="D239" s="6"/>
      <c r="E239" s="6"/>
      <c r="F239" s="6"/>
      <c r="G239" s="6"/>
      <c r="H239" s="6"/>
      <c r="I239" s="6"/>
      <c r="J239" s="6"/>
      <c r="K239" s="6"/>
      <c r="Q239" s="117">
        <f>ROW()</f>
        <v>239</v>
      </c>
    </row>
    <row r="240" spans="1:17" s="9" customFormat="1" ht="15" customHeight="1">
      <c r="C240" s="6"/>
      <c r="D240" s="6"/>
      <c r="E240" s="6"/>
      <c r="F240" s="6"/>
      <c r="G240" s="6"/>
      <c r="H240" s="6"/>
      <c r="I240" s="6"/>
      <c r="J240" s="6"/>
      <c r="K240" s="6"/>
      <c r="Q240" s="117">
        <f>ROW()</f>
        <v>240</v>
      </c>
    </row>
    <row r="241" spans="1:17" ht="15" customHeight="1">
      <c r="A241" s="2370"/>
      <c r="B241" s="115" t="s">
        <v>5180</v>
      </c>
      <c r="C241" s="2370"/>
      <c r="D241" s="2370"/>
      <c r="E241" s="2370"/>
      <c r="F241" s="2370"/>
      <c r="G241" s="2370"/>
      <c r="H241" s="2840"/>
      <c r="I241" s="2370"/>
      <c r="J241" s="2370"/>
      <c r="K241" s="2370"/>
      <c r="L241" s="2370"/>
      <c r="P241" s="2370"/>
      <c r="Q241" s="2380">
        <f t="shared" ref="Q241:Q276" si="26">ROW(Q241)</f>
        <v>241</v>
      </c>
    </row>
    <row r="242" spans="1:17" ht="15" customHeight="1">
      <c r="A242" s="2370"/>
      <c r="B242" s="2370"/>
      <c r="C242" s="2370"/>
      <c r="D242" s="2370"/>
      <c r="E242" s="2370"/>
      <c r="F242" s="2370"/>
      <c r="G242" s="2370"/>
      <c r="H242" s="2370"/>
      <c r="I242" s="2370"/>
      <c r="J242" s="2370"/>
      <c r="K242" s="2370"/>
      <c r="L242" s="2370"/>
      <c r="P242" s="2370"/>
      <c r="Q242" s="2380">
        <f t="shared" si="26"/>
        <v>242</v>
      </c>
    </row>
    <row r="243" spans="1:17" ht="15" customHeight="1">
      <c r="A243" s="2370"/>
      <c r="B243" s="2370" t="s">
        <v>4870</v>
      </c>
      <c r="C243" s="2370"/>
      <c r="D243" s="2370"/>
      <c r="E243" s="2370"/>
      <c r="F243" s="2370"/>
      <c r="G243" s="2370"/>
      <c r="H243" s="2370"/>
      <c r="I243" s="2370"/>
      <c r="J243" s="2370"/>
      <c r="K243" s="2370"/>
      <c r="L243" s="2370"/>
      <c r="P243" s="2370"/>
      <c r="Q243" s="2380">
        <f t="shared" si="26"/>
        <v>243</v>
      </c>
    </row>
    <row r="244" spans="1:17" ht="15" customHeight="1">
      <c r="A244" s="2370"/>
      <c r="B244" s="2370"/>
      <c r="C244" s="2370"/>
      <c r="D244" s="2370"/>
      <c r="E244" s="2370"/>
      <c r="F244" s="2370"/>
      <c r="G244" s="2370"/>
      <c r="H244" s="2370"/>
      <c r="I244" s="2370"/>
      <c r="J244" s="2370"/>
      <c r="K244" s="2370"/>
      <c r="L244" s="2370"/>
      <c r="M244" s="2370"/>
      <c r="N244" s="2370"/>
      <c r="O244" s="2370"/>
      <c r="P244" s="2370"/>
      <c r="Q244" s="2380">
        <f t="shared" si="26"/>
        <v>244</v>
      </c>
    </row>
    <row r="245" spans="1:17" ht="15" customHeight="1">
      <c r="A245" s="2370"/>
      <c r="B245" s="2373" t="s">
        <v>4767</v>
      </c>
      <c r="C245" s="2370"/>
      <c r="D245" s="2370"/>
      <c r="E245" s="2370"/>
      <c r="F245" s="2370"/>
      <c r="G245" s="2370"/>
      <c r="H245" s="2370"/>
      <c r="I245" s="2370"/>
      <c r="J245" s="2370"/>
      <c r="K245" s="2370"/>
      <c r="L245" s="2370"/>
      <c r="M245" s="2370"/>
      <c r="N245" s="2370"/>
      <c r="O245" s="2370"/>
      <c r="P245" s="2370"/>
      <c r="Q245" s="2380">
        <f t="shared" si="26"/>
        <v>245</v>
      </c>
    </row>
    <row r="246" spans="1:17" ht="15" customHeight="1">
      <c r="A246" s="2370"/>
      <c r="B246" s="2370"/>
      <c r="C246" s="2370"/>
      <c r="F246" s="4060" t="s">
        <v>4768</v>
      </c>
      <c r="G246" s="4060"/>
      <c r="H246" s="4060" t="s">
        <v>4769</v>
      </c>
      <c r="I246" s="4060"/>
      <c r="J246" s="4060" t="s">
        <v>1130</v>
      </c>
      <c r="K246" s="4060"/>
      <c r="L246" s="2370"/>
      <c r="M246" s="2370"/>
      <c r="N246" s="2861" t="s">
        <v>4874</v>
      </c>
      <c r="O246" s="2862"/>
      <c r="P246" s="2863"/>
      <c r="Q246" s="2380">
        <f t="shared" si="26"/>
        <v>246</v>
      </c>
    </row>
    <row r="247" spans="1:17" ht="15" customHeight="1">
      <c r="A247" s="2370"/>
      <c r="B247" s="2370"/>
      <c r="C247" s="2370"/>
      <c r="F247" s="2101"/>
      <c r="G247" s="2101"/>
      <c r="H247" s="2101"/>
      <c r="I247" s="2370"/>
      <c r="J247" s="2370"/>
      <c r="K247" s="2370"/>
      <c r="L247" s="2370"/>
      <c r="M247" s="2370"/>
      <c r="N247" s="2864" t="s">
        <v>4771</v>
      </c>
      <c r="O247" s="2834"/>
      <c r="P247" s="2865">
        <v>2</v>
      </c>
      <c r="Q247" s="2380">
        <f t="shared" si="26"/>
        <v>247</v>
      </c>
    </row>
    <row r="248" spans="1:17" ht="15" customHeight="1">
      <c r="A248" s="2370"/>
      <c r="B248" s="2370" t="s">
        <v>4871</v>
      </c>
      <c r="C248" s="2370"/>
      <c r="F248" s="4058">
        <f>SUM(F307:G307)</f>
        <v>67638359.872678563</v>
      </c>
      <c r="G248" s="4058"/>
      <c r="H248" s="4058">
        <f>SUM(H307:I307)</f>
        <v>14278148.111309525</v>
      </c>
      <c r="I248" s="4058"/>
      <c r="J248" s="4058">
        <f>SUM(F248:I248)</f>
        <v>81916507.983988091</v>
      </c>
      <c r="K248" s="4058"/>
      <c r="L248" s="2370"/>
      <c r="M248" s="2370"/>
      <c r="N248" s="2864" t="s">
        <v>4773</v>
      </c>
      <c r="O248" s="2834"/>
      <c r="P248" s="2865">
        <v>5</v>
      </c>
      <c r="Q248" s="2380">
        <f t="shared" si="26"/>
        <v>248</v>
      </c>
    </row>
    <row r="249" spans="1:17" ht="15" customHeight="1">
      <c r="A249" s="2370"/>
      <c r="B249" s="2841" t="str">
        <f>CONCATENATE("Sum of each agency's two zones of fare revenues in row ",Q307, "; combined information is sum of LIRR &amp; MNRR." )</f>
        <v>Sum of each agency's two zones of fare revenues in row 307; combined information is sum of LIRR &amp; MNRR.</v>
      </c>
      <c r="C249" s="2370"/>
      <c r="F249" s="2843"/>
      <c r="G249" s="2843"/>
      <c r="H249" s="2843"/>
      <c r="I249" s="2843"/>
      <c r="J249" s="2842"/>
      <c r="K249" s="2842"/>
      <c r="L249" s="2370"/>
      <c r="M249" s="2370"/>
      <c r="N249" s="2864" t="s">
        <v>4774</v>
      </c>
      <c r="O249" s="2834"/>
      <c r="P249" s="2865">
        <f>ROUND(P252/12,0)</f>
        <v>21</v>
      </c>
      <c r="Q249" s="2380">
        <f t="shared" si="26"/>
        <v>249</v>
      </c>
    </row>
    <row r="250" spans="1:17" ht="15" customHeight="1">
      <c r="A250" s="2370"/>
      <c r="B250" s="2370" t="s">
        <v>5183</v>
      </c>
      <c r="C250" s="2370"/>
      <c r="F250" s="4058">
        <f>(1-F235)*F248</f>
        <v>67638359.872678563</v>
      </c>
      <c r="G250" s="4058"/>
      <c r="H250" s="4058">
        <f>(1-H235)*H248</f>
        <v>14278148.111309525</v>
      </c>
      <c r="I250" s="4058"/>
      <c r="J250" s="4058">
        <f>SUM(F250:I250)</f>
        <v>81916507.983988091</v>
      </c>
      <c r="K250" s="4058"/>
      <c r="L250" s="2370"/>
      <c r="M250" s="2370"/>
      <c r="N250" s="2864" t="s">
        <v>4775</v>
      </c>
      <c r="O250" s="2834"/>
      <c r="P250" s="2865">
        <f>P247*P248</f>
        <v>10</v>
      </c>
      <c r="Q250" s="2380">
        <f t="shared" si="26"/>
        <v>250</v>
      </c>
    </row>
    <row r="251" spans="1:17" ht="15" customHeight="1">
      <c r="A251" s="2370"/>
      <c r="B251" s="2841" t="str">
        <f>CONCATENATE("Intra-City Revenue in Row ",Q248, " multiplied by complement of assumed fare reduction % in Row ",Q235, ".")</f>
        <v>Intra-City Revenue in Row 248 multiplied by complement of assumed fare reduction % in Row 235.</v>
      </c>
      <c r="C251" s="2370"/>
      <c r="F251" s="2966"/>
      <c r="G251" s="2966"/>
      <c r="H251" s="2966"/>
      <c r="I251" s="2966"/>
      <c r="J251" s="2842"/>
      <c r="K251" s="2842"/>
      <c r="L251" s="2370"/>
      <c r="M251" s="2370"/>
      <c r="N251" s="2864" t="s">
        <v>4777</v>
      </c>
      <c r="O251" s="2834"/>
      <c r="P251" s="2865">
        <f>P247*P249</f>
        <v>42</v>
      </c>
      <c r="Q251" s="2380">
        <f t="shared" si="26"/>
        <v>251</v>
      </c>
    </row>
    <row r="252" spans="1:17" ht="15" customHeight="1">
      <c r="A252" s="2370"/>
      <c r="B252" s="2370" t="s">
        <v>4776</v>
      </c>
      <c r="C252" s="2370"/>
      <c r="F252" s="4056">
        <f>F248/F232</f>
        <v>0.11147906152375756</v>
      </c>
      <c r="G252" s="4056"/>
      <c r="H252" s="4056">
        <f>H248/H232</f>
        <v>2.53661029224715E-2</v>
      </c>
      <c r="I252" s="4056"/>
      <c r="J252" s="4056">
        <f>SUM(F252:I252)</f>
        <v>0.13684516444622905</v>
      </c>
      <c r="K252" s="4056"/>
      <c r="L252" s="2370"/>
      <c r="M252" s="2370"/>
      <c r="N252" s="2864" t="s">
        <v>4778</v>
      </c>
      <c r="O252" s="2834"/>
      <c r="P252" s="2865">
        <f>weekday_per_yr</f>
        <v>250</v>
      </c>
      <c r="Q252" s="2380">
        <f t="shared" si="26"/>
        <v>252</v>
      </c>
    </row>
    <row r="253" spans="1:17" ht="15" customHeight="1">
      <c r="A253" s="2370"/>
      <c r="B253" s="2841" t="str">
        <f>CONCATENATE("Total agency revenue earned within New York City in row ",Q248, " divided by total agency revenue in row ",Q232, "; combined information is sum of LIRR &amp; MNRR.")</f>
        <v>Total agency revenue earned within New York City in row 248 divided by total agency revenue in row 232; combined information is sum of LIRR &amp; MNRR.</v>
      </c>
      <c r="C253" s="2370"/>
      <c r="F253" s="2370"/>
      <c r="G253" s="2370"/>
      <c r="H253" s="2370"/>
      <c r="I253" s="2370"/>
      <c r="J253" s="2842"/>
      <c r="K253" s="2842"/>
      <c r="L253" s="2370"/>
      <c r="M253" s="2370"/>
      <c r="N253" s="2866" t="s">
        <v>4779</v>
      </c>
      <c r="O253" s="2835"/>
      <c r="P253" s="2867">
        <f>wkend_per_yr</f>
        <v>115</v>
      </c>
      <c r="Q253" s="2380">
        <f t="shared" si="26"/>
        <v>253</v>
      </c>
    </row>
    <row r="254" spans="1:17" ht="15" customHeight="1">
      <c r="A254" s="2370"/>
      <c r="B254" s="2370" t="s">
        <v>4872</v>
      </c>
      <c r="C254" s="2370"/>
      <c r="F254" s="4069">
        <f>SUM(F334:G334)</f>
        <v>30863992.5</v>
      </c>
      <c r="G254" s="4070"/>
      <c r="H254" s="4072">
        <f>SUM(H334:I334)</f>
        <v>6823890</v>
      </c>
      <c r="I254" s="4057"/>
      <c r="J254" s="4058">
        <f>SUM(F254:I254)</f>
        <v>37687882.5</v>
      </c>
      <c r="K254" s="4058"/>
      <c r="L254" s="2370"/>
      <c r="M254" s="2370"/>
      <c r="Q254" s="2380">
        <f t="shared" si="26"/>
        <v>254</v>
      </c>
    </row>
    <row r="255" spans="1:17" ht="15" customHeight="1">
      <c r="A255" s="2370"/>
      <c r="B255" s="2841" t="str">
        <f>CONCATENATE("Combined revenue each agency would earn from its two zones (in row ", Q334, ") if intra-city fare is $", F313," (in row ", Q313, "); combined information is sum of LIRR &amp; MNRR.")</f>
        <v>Combined revenue each agency would earn from its two zones (in row 334) if intra-city fare is $2.25 (in row 313); combined information is sum of LIRR &amp; MNRR.</v>
      </c>
      <c r="C255" s="2370"/>
      <c r="F255" s="2370"/>
      <c r="G255" s="2370"/>
      <c r="H255" s="2370"/>
      <c r="I255" s="2370"/>
      <c r="J255" s="2842"/>
      <c r="K255" s="2842"/>
      <c r="L255" s="2377"/>
      <c r="M255" s="2377"/>
      <c r="N255" s="2377"/>
      <c r="O255" s="2370"/>
      <c r="P255" s="2370"/>
      <c r="Q255" s="2380">
        <f t="shared" si="26"/>
        <v>255</v>
      </c>
    </row>
    <row r="256" spans="1:17" ht="15" customHeight="1">
      <c r="A256" s="2370"/>
      <c r="B256" s="2370"/>
      <c r="C256" s="2370"/>
      <c r="F256" s="2370"/>
      <c r="G256" s="2370"/>
      <c r="H256" s="2370"/>
      <c r="I256" s="2370"/>
      <c r="J256" s="2842"/>
      <c r="K256" s="2842"/>
      <c r="L256" s="2377"/>
      <c r="M256" s="2377"/>
      <c r="N256" s="2377"/>
      <c r="O256" s="2370"/>
      <c r="P256" s="2370"/>
      <c r="Q256" s="2380">
        <f t="shared" si="26"/>
        <v>256</v>
      </c>
    </row>
    <row r="257" spans="1:17" ht="15" customHeight="1">
      <c r="A257" s="2370"/>
      <c r="B257" s="2375" t="s">
        <v>4873</v>
      </c>
      <c r="C257" s="2370"/>
      <c r="F257" s="2370"/>
      <c r="G257" s="2370"/>
      <c r="H257" s="2370"/>
      <c r="I257" s="2370"/>
      <c r="J257" s="2842"/>
      <c r="K257" s="2842"/>
      <c r="L257" s="2377"/>
      <c r="M257" s="2377"/>
      <c r="N257" s="2377"/>
      <c r="O257" s="2370"/>
      <c r="P257" s="2370"/>
      <c r="Q257" s="2380">
        <f t="shared" si="26"/>
        <v>257</v>
      </c>
    </row>
    <row r="258" spans="1:17" ht="15" customHeight="1">
      <c r="A258" s="2370"/>
      <c r="B258" s="2370" t="s">
        <v>5181</v>
      </c>
      <c r="C258" s="2370"/>
      <c r="F258" s="4069">
        <f>F248-F$254</f>
        <v>36774367.372678563</v>
      </c>
      <c r="G258" s="4070"/>
      <c r="H258" s="4069">
        <f>H248-H$254</f>
        <v>7454258.1113095246</v>
      </c>
      <c r="I258" s="4070"/>
      <c r="J258" s="4058">
        <f>SUM(F258:I258)</f>
        <v>44228625.483988091</v>
      </c>
      <c r="K258" s="4058"/>
      <c r="L258" s="2377"/>
      <c r="M258" s="2377"/>
      <c r="N258" s="2377"/>
      <c r="O258" s="2370"/>
      <c r="P258" s="2370"/>
      <c r="Q258" s="2380">
        <f t="shared" si="26"/>
        <v>258</v>
      </c>
    </row>
    <row r="259" spans="1:17" ht="15" customHeight="1">
      <c r="A259" s="2370"/>
      <c r="B259" s="2841" t="str">
        <f>CONCATENATE("Difference between current revenues in row ", $Q248, " and revenues from new lower fare from row ", $Q$254, "; combined information is sum of LIRR &amp; MNRR.")</f>
        <v>Difference between current revenues in row 248 and revenues from new lower fare from row 254; combined information is sum of LIRR &amp; MNRR.</v>
      </c>
      <c r="C259" s="2370"/>
      <c r="F259" s="2844"/>
      <c r="G259" s="2845"/>
      <c r="H259" s="2846"/>
      <c r="I259" s="2847"/>
      <c r="J259" s="2370"/>
      <c r="K259" s="2370"/>
      <c r="L259" s="2377"/>
      <c r="M259" s="2377"/>
      <c r="N259" s="2377"/>
      <c r="O259" s="2370"/>
      <c r="P259" s="2370"/>
      <c r="Q259" s="2380">
        <f t="shared" si="26"/>
        <v>259</v>
      </c>
    </row>
    <row r="260" spans="1:17" ht="15" customHeight="1">
      <c r="A260" s="2370"/>
      <c r="B260" s="2370" t="s">
        <v>5182</v>
      </c>
      <c r="C260" s="2370"/>
      <c r="F260" s="4069">
        <f>F250-F$254</f>
        <v>36774367.372678563</v>
      </c>
      <c r="G260" s="4070"/>
      <c r="H260" s="4069">
        <f>H250-H$254</f>
        <v>7454258.1113095246</v>
      </c>
      <c r="I260" s="4070"/>
      <c r="J260" s="4059">
        <f>SUM(F260:I260)</f>
        <v>44228625.483988091</v>
      </c>
      <c r="K260" s="4059"/>
      <c r="L260" s="2377"/>
      <c r="M260" s="2377"/>
      <c r="N260" s="2377"/>
      <c r="O260" s="2370"/>
      <c r="P260" s="2370"/>
      <c r="Q260" s="2380">
        <f t="shared" si="26"/>
        <v>260</v>
      </c>
    </row>
    <row r="261" spans="1:17" ht="15" customHeight="1">
      <c r="A261" s="2370"/>
      <c r="B261" s="2841" t="str">
        <f>CONCATENATE("Difference between current revenues in row ", $Q250, " and revenues from new lower fare from row ", $Q$254, "; combined information is sum of LIRR &amp; MNRR.")</f>
        <v>Difference between current revenues in row 250 and revenues from new lower fare from row 254; combined information is sum of LIRR &amp; MNRR.</v>
      </c>
      <c r="C261" s="2370"/>
      <c r="F261" s="2967"/>
      <c r="G261" s="2968"/>
      <c r="H261" s="2969"/>
      <c r="I261" s="2965"/>
      <c r="J261" s="2370"/>
      <c r="K261" s="2370"/>
      <c r="L261" s="2377"/>
      <c r="M261" s="2377"/>
      <c r="N261" s="2377"/>
      <c r="O261" s="2370"/>
      <c r="P261" s="2370"/>
      <c r="Q261" s="2380">
        <f t="shared" si="26"/>
        <v>261</v>
      </c>
    </row>
    <row r="262" spans="1:17" ht="15" customHeight="1">
      <c r="A262" s="2370"/>
      <c r="B262" s="2841"/>
      <c r="C262" s="2370"/>
      <c r="F262" s="2967"/>
      <c r="G262" s="2968"/>
      <c r="H262" s="2969"/>
      <c r="I262" s="2965"/>
      <c r="J262" s="2370"/>
      <c r="K262" s="2370"/>
      <c r="L262" s="2377"/>
      <c r="M262" s="2377"/>
      <c r="N262" s="2377"/>
      <c r="O262" s="2370"/>
      <c r="P262" s="2370"/>
      <c r="Q262" s="2380">
        <f t="shared" si="26"/>
        <v>262</v>
      </c>
    </row>
    <row r="263" spans="1:17" ht="15" customHeight="1">
      <c r="A263" s="2370"/>
      <c r="B263" s="2373" t="s">
        <v>4780</v>
      </c>
      <c r="C263" s="2370"/>
      <c r="D263" s="2370"/>
      <c r="E263" s="2370"/>
      <c r="F263" s="2370"/>
      <c r="G263" s="2370"/>
      <c r="H263" s="2370"/>
      <c r="I263" s="2370"/>
      <c r="J263" s="2370"/>
      <c r="K263" s="2370"/>
      <c r="L263" s="2370"/>
      <c r="M263" s="2370"/>
      <c r="N263" s="2370"/>
      <c r="O263" s="2370"/>
      <c r="P263" s="2370"/>
      <c r="Q263" s="2380">
        <f t="shared" si="26"/>
        <v>263</v>
      </c>
    </row>
    <row r="264" spans="1:17" ht="15" customHeight="1">
      <c r="A264" s="2370"/>
      <c r="B264" s="4063" t="s">
        <v>4781</v>
      </c>
      <c r="C264" s="4064"/>
      <c r="D264" s="4064"/>
      <c r="E264" s="4064"/>
      <c r="F264" s="4064"/>
      <c r="G264" s="4064"/>
      <c r="H264" s="3659"/>
      <c r="I264" s="3659"/>
      <c r="J264" s="3659"/>
      <c r="K264" s="3659"/>
      <c r="L264" s="3659"/>
      <c r="M264" s="2370"/>
      <c r="N264" s="2370"/>
      <c r="O264" s="2370"/>
      <c r="P264" s="2370"/>
      <c r="Q264" s="2380">
        <f t="shared" si="26"/>
        <v>264</v>
      </c>
    </row>
    <row r="265" spans="1:17" ht="15" customHeight="1">
      <c r="A265" s="2370"/>
      <c r="B265" s="4064"/>
      <c r="C265" s="4064"/>
      <c r="D265" s="4064"/>
      <c r="E265" s="4064"/>
      <c r="F265" s="4064"/>
      <c r="G265" s="4064"/>
      <c r="H265" s="3659"/>
      <c r="I265" s="3659"/>
      <c r="J265" s="3659"/>
      <c r="K265" s="3659"/>
      <c r="L265" s="3659"/>
      <c r="M265" s="2370"/>
      <c r="N265" s="2370"/>
      <c r="O265" s="2370"/>
      <c r="P265" s="2370"/>
      <c r="Q265" s="2380">
        <f t="shared" si="26"/>
        <v>265</v>
      </c>
    </row>
    <row r="266" spans="1:17" ht="15" customHeight="1">
      <c r="A266" s="2370"/>
      <c r="B266" s="2370"/>
      <c r="C266" s="2370"/>
      <c r="F266" s="2388" t="s">
        <v>4782</v>
      </c>
      <c r="G266" s="2388" t="s">
        <v>4783</v>
      </c>
      <c r="H266" s="2388" t="s">
        <v>4782</v>
      </c>
      <c r="I266" s="2388" t="s">
        <v>4783</v>
      </c>
      <c r="M266" s="2370"/>
      <c r="N266" s="2370"/>
      <c r="O266" s="2370"/>
      <c r="P266" s="2370"/>
      <c r="Q266" s="2380">
        <f t="shared" si="26"/>
        <v>266</v>
      </c>
    </row>
    <row r="267" spans="1:17" ht="15" customHeight="1">
      <c r="A267" s="2370"/>
      <c r="B267" s="2370" t="s">
        <v>4784</v>
      </c>
      <c r="C267" s="2370"/>
      <c r="F267" s="2848">
        <v>7.25</v>
      </c>
      <c r="G267" s="2848">
        <v>8.75</v>
      </c>
      <c r="H267" s="2848">
        <v>6.75</v>
      </c>
      <c r="I267" s="2848">
        <v>7.5</v>
      </c>
      <c r="M267" s="2370"/>
      <c r="N267" s="2370"/>
      <c r="O267" s="2370"/>
      <c r="P267" s="2370"/>
      <c r="Q267" s="2380">
        <f t="shared" si="26"/>
        <v>267</v>
      </c>
    </row>
    <row r="268" spans="1:17" ht="15" customHeight="1">
      <c r="A268" s="2370"/>
      <c r="B268" s="2370" t="s">
        <v>4785</v>
      </c>
      <c r="C268" s="2370"/>
      <c r="F268" s="2848">
        <v>5</v>
      </c>
      <c r="G268" s="2848">
        <v>6.25</v>
      </c>
      <c r="H268" s="2848">
        <v>5</v>
      </c>
      <c r="I268" s="2848">
        <v>5.75</v>
      </c>
      <c r="M268" s="2370"/>
      <c r="N268" s="2370"/>
      <c r="O268" s="2370"/>
      <c r="P268" s="2370"/>
      <c r="Q268" s="2380">
        <f t="shared" si="26"/>
        <v>268</v>
      </c>
    </row>
    <row r="269" spans="1:17" ht="15" customHeight="1">
      <c r="A269" s="2370"/>
      <c r="B269" s="2370" t="s">
        <v>4786</v>
      </c>
      <c r="C269" s="2370"/>
      <c r="F269" s="2848">
        <v>4.25</v>
      </c>
      <c r="G269" s="2848">
        <v>5.33</v>
      </c>
      <c r="H269" s="2848">
        <v>4.25</v>
      </c>
      <c r="I269" s="2848">
        <v>4.9000000000000004</v>
      </c>
      <c r="M269" s="2370"/>
      <c r="N269" s="2370"/>
      <c r="O269" s="2370"/>
      <c r="P269" s="2370"/>
      <c r="Q269" s="2380">
        <f t="shared" si="26"/>
        <v>269</v>
      </c>
    </row>
    <row r="270" spans="1:17" ht="15" customHeight="1">
      <c r="A270" s="2370"/>
      <c r="B270" s="2370" t="s">
        <v>4787</v>
      </c>
      <c r="C270" s="2370"/>
      <c r="F270" s="2848">
        <v>52.25</v>
      </c>
      <c r="G270" s="2848">
        <v>61.75</v>
      </c>
      <c r="H270" s="2848">
        <v>49.25</v>
      </c>
      <c r="I270" s="2848">
        <v>55.5</v>
      </c>
      <c r="M270" s="2370"/>
      <c r="N270" s="2370"/>
      <c r="O270" s="2370"/>
      <c r="P270" s="2370"/>
      <c r="Q270" s="2380">
        <f t="shared" si="26"/>
        <v>270</v>
      </c>
    </row>
    <row r="271" spans="1:17" ht="15" customHeight="1">
      <c r="A271" s="2370"/>
      <c r="B271" s="2370" t="s">
        <v>4788</v>
      </c>
      <c r="C271" s="2370"/>
      <c r="F271" s="2848">
        <f>F270/$P250</f>
        <v>5.2249999999999996</v>
      </c>
      <c r="G271" s="2848">
        <f>G270/$P250</f>
        <v>6.1749999999999998</v>
      </c>
      <c r="H271" s="2848">
        <f>H270/$P250</f>
        <v>4.9249999999999998</v>
      </c>
      <c r="I271" s="2848">
        <f>I270/$P250</f>
        <v>5.55</v>
      </c>
      <c r="M271" s="2370"/>
      <c r="N271" s="2370"/>
      <c r="O271" s="2370"/>
      <c r="P271" s="2370"/>
      <c r="Q271" s="2380">
        <f t="shared" si="26"/>
        <v>271</v>
      </c>
    </row>
    <row r="272" spans="1:17" ht="15" customHeight="1">
      <c r="A272" s="2370"/>
      <c r="B272" s="2841" t="str">
        <f>CONCATENATE("Assumes ",P250, " rides per week.")</f>
        <v>Assumes 10 rides per week.</v>
      </c>
      <c r="C272" s="2370"/>
      <c r="F272" s="2848"/>
      <c r="G272" s="2370"/>
      <c r="H272" s="2848"/>
      <c r="I272" s="2370"/>
      <c r="M272" s="2370"/>
      <c r="N272" s="2370"/>
      <c r="O272" s="2370"/>
      <c r="P272" s="2370"/>
      <c r="Q272" s="2380">
        <f t="shared" si="26"/>
        <v>272</v>
      </c>
    </row>
    <row r="273" spans="1:17" ht="15" customHeight="1">
      <c r="A273" s="2370"/>
      <c r="B273" s="2370" t="s">
        <v>4789</v>
      </c>
      <c r="C273" s="2370"/>
      <c r="F273" s="2848">
        <v>163</v>
      </c>
      <c r="G273" s="2370">
        <v>193</v>
      </c>
      <c r="H273" s="2848">
        <v>154</v>
      </c>
      <c r="I273" s="2848">
        <v>178</v>
      </c>
      <c r="M273" s="2370"/>
      <c r="N273" s="2370"/>
      <c r="O273" s="2370"/>
      <c r="P273" s="2370"/>
      <c r="Q273" s="2380">
        <f t="shared" si="26"/>
        <v>273</v>
      </c>
    </row>
    <row r="274" spans="1:17" ht="15" customHeight="1">
      <c r="A274" s="2370"/>
      <c r="B274" s="2370" t="s">
        <v>4790</v>
      </c>
      <c r="C274" s="2370"/>
      <c r="F274" s="2848">
        <f>F273/$P251</f>
        <v>3.8809523809523809</v>
      </c>
      <c r="G274" s="2848">
        <f>G273/$P251</f>
        <v>4.5952380952380949</v>
      </c>
      <c r="H274" s="2848">
        <f>H273/$P251</f>
        <v>3.6666666666666665</v>
      </c>
      <c r="I274" s="2848">
        <f>I273/$P251</f>
        <v>4.2380952380952381</v>
      </c>
      <c r="M274" s="2370"/>
      <c r="N274" s="2370"/>
      <c r="O274" s="2370"/>
      <c r="P274" s="2370"/>
      <c r="Q274" s="2380">
        <f t="shared" si="26"/>
        <v>274</v>
      </c>
    </row>
    <row r="275" spans="1:17" ht="15" customHeight="1">
      <c r="A275" s="2370"/>
      <c r="B275" s="2841" t="str">
        <f>CONCATENATE("Assumes ",P247, " rides per weekday, ",P249, " weekdays per month.")</f>
        <v>Assumes 2 rides per weekday, 21 weekdays per month.</v>
      </c>
      <c r="C275" s="2370"/>
      <c r="D275" s="2848"/>
      <c r="E275" s="2848"/>
      <c r="F275" s="2370"/>
      <c r="G275" s="2370"/>
      <c r="H275" s="2370"/>
      <c r="I275" s="2370"/>
      <c r="M275" s="2370"/>
      <c r="N275" s="2370"/>
      <c r="O275" s="2370"/>
      <c r="P275" s="2370"/>
      <c r="Q275" s="2380">
        <f t="shared" si="26"/>
        <v>275</v>
      </c>
    </row>
    <row r="276" spans="1:17" ht="15" customHeight="1">
      <c r="A276" s="2370"/>
      <c r="B276" s="2849"/>
      <c r="C276" s="2370"/>
      <c r="D276" s="2848"/>
      <c r="E276" s="2848"/>
      <c r="F276" s="2370"/>
      <c r="G276" s="2370"/>
      <c r="H276" s="2370"/>
      <c r="I276" s="2370"/>
      <c r="M276" s="2370"/>
      <c r="N276" s="2370"/>
      <c r="O276" s="2370"/>
      <c r="P276" s="2370"/>
      <c r="Q276" s="2380">
        <f t="shared" si="26"/>
        <v>276</v>
      </c>
    </row>
    <row r="277" spans="1:17" ht="15" customHeight="1">
      <c r="A277" s="2370"/>
      <c r="B277" s="2370" t="s">
        <v>4791</v>
      </c>
      <c r="C277" s="2370"/>
      <c r="F277" s="2848">
        <f>$F$280*F$267+$F$281*F$271+$F$282*F$274</f>
        <v>5.0592261904761902</v>
      </c>
      <c r="G277" s="2848">
        <f>$F$280*G$267+$F$281*G$271+$F$282*G$274</f>
        <v>6.0288690476190476</v>
      </c>
      <c r="H277" s="2848">
        <f>$H$280*H$267+$H$281*H$271+$H$282*H$274</f>
        <v>4.7520833333333332</v>
      </c>
      <c r="I277" s="2848">
        <f>$H$280*I$267+$H$281*I$271+$H$282*I$274</f>
        <v>5.3815476190476197</v>
      </c>
      <c r="M277" s="2370"/>
      <c r="N277" s="2370"/>
      <c r="O277" s="2370"/>
      <c r="P277" s="2370"/>
      <c r="Q277" s="2380">
        <f t="shared" ref="Q277:Q308" si="27">ROW(Q277)</f>
        <v>277</v>
      </c>
    </row>
    <row r="278" spans="1:17" ht="15" customHeight="1">
      <c r="A278" s="2370"/>
      <c r="B278" s="2841" t="str">
        <f>CONCATENATE("Average of fares in rows ",Q267,", "," ",Q271,", and "," ",Q274," weighted by assumed usage in rows ",Q287,", "," ",Q288,", ", Q289,", "," ","and ",Q290,".")</f>
        <v>Average of fares in rows 267,  271, and  274 weighted by assumed usage in rows 287,  288, 289,  and 290.</v>
      </c>
      <c r="C278" s="2370"/>
      <c r="D278" s="2848"/>
      <c r="E278" s="2848"/>
      <c r="F278" s="2848"/>
      <c r="G278" s="2848"/>
      <c r="H278" s="2370"/>
      <c r="I278" s="2370"/>
      <c r="J278" s="2370"/>
      <c r="K278" s="2370"/>
      <c r="L278" s="2370"/>
      <c r="M278" s="2370"/>
      <c r="N278" s="2370"/>
      <c r="O278" s="2370"/>
      <c r="P278" s="2370"/>
      <c r="Q278" s="2380">
        <f t="shared" si="27"/>
        <v>278</v>
      </c>
    </row>
    <row r="279" spans="1:17" ht="15" customHeight="1">
      <c r="A279" s="2370"/>
      <c r="B279" s="2849" t="s">
        <v>4792</v>
      </c>
      <c r="C279" s="2370"/>
      <c r="D279" s="2370"/>
      <c r="E279" s="2370"/>
      <c r="F279" s="2370"/>
      <c r="G279" s="2370"/>
      <c r="H279" s="2370"/>
      <c r="I279" s="2370"/>
      <c r="J279" s="2370"/>
      <c r="K279" s="2370"/>
      <c r="L279" s="2370"/>
      <c r="M279" s="2370"/>
      <c r="N279" s="2370"/>
      <c r="O279" s="2370"/>
      <c r="P279" s="2370"/>
      <c r="Q279" s="2380">
        <f t="shared" si="27"/>
        <v>279</v>
      </c>
    </row>
    <row r="280" spans="1:17" ht="15" customHeight="1">
      <c r="A280" s="2370"/>
      <c r="B280" s="2849"/>
      <c r="C280" s="2370" t="s">
        <v>4793</v>
      </c>
      <c r="F280" s="4056">
        <v>0.25</v>
      </c>
      <c r="G280" s="4057"/>
      <c r="H280" s="4056">
        <v>0.25</v>
      </c>
      <c r="I280" s="4057"/>
      <c r="M280" s="2370"/>
      <c r="P280" s="2370"/>
      <c r="Q280" s="2380">
        <f t="shared" si="27"/>
        <v>280</v>
      </c>
    </row>
    <row r="281" spans="1:17" ht="15" customHeight="1">
      <c r="A281" s="2370"/>
      <c r="B281" s="2849"/>
      <c r="C281" s="2370" t="s">
        <v>4794</v>
      </c>
      <c r="F281" s="4056">
        <v>0.25</v>
      </c>
      <c r="G281" s="4057"/>
      <c r="H281" s="4056">
        <v>0.25</v>
      </c>
      <c r="I281" s="4057"/>
      <c r="M281" s="2370"/>
      <c r="P281" s="2370"/>
      <c r="Q281" s="2380">
        <f t="shared" si="27"/>
        <v>281</v>
      </c>
    </row>
    <row r="282" spans="1:17" ht="15" customHeight="1">
      <c r="A282" s="2370"/>
      <c r="B282" s="2849"/>
      <c r="C282" s="2370" t="s">
        <v>4795</v>
      </c>
      <c r="F282" s="4056">
        <v>0.5</v>
      </c>
      <c r="G282" s="4057"/>
      <c r="H282" s="4056">
        <v>0.5</v>
      </c>
      <c r="I282" s="4057"/>
      <c r="M282" s="2370"/>
      <c r="P282" s="2370"/>
      <c r="Q282" s="2380">
        <f t="shared" si="27"/>
        <v>282</v>
      </c>
    </row>
    <row r="283" spans="1:17" ht="15" customHeight="1">
      <c r="A283" s="2370"/>
      <c r="B283" s="2849"/>
      <c r="C283" s="2370"/>
      <c r="D283" s="2850"/>
      <c r="E283" s="2847"/>
      <c r="F283" s="2850"/>
      <c r="G283" s="2847"/>
      <c r="H283" s="2370"/>
      <c r="I283" s="2370"/>
      <c r="J283" s="2370"/>
      <c r="K283" s="2370"/>
      <c r="L283" s="2370"/>
      <c r="M283" s="2370"/>
      <c r="N283" s="2370"/>
      <c r="O283" s="2370"/>
      <c r="P283" s="2370"/>
      <c r="Q283" s="2380">
        <f t="shared" si="27"/>
        <v>283</v>
      </c>
    </row>
    <row r="284" spans="1:17" ht="15" customHeight="1">
      <c r="A284" s="2370"/>
      <c r="B284" s="2370" t="s">
        <v>4796</v>
      </c>
      <c r="C284" s="2370"/>
      <c r="D284" s="2848">
        <f>$F$287*F$268+$F$288*F269+$F$289*F$271+$F$290*F$274</f>
        <v>4.6033928571428575</v>
      </c>
      <c r="E284" s="2848">
        <f>$F$287*G$268+$F$288*G269+$F$289*G$271+$F$290*G$274</f>
        <v>5.6685357142857136</v>
      </c>
      <c r="F284" s="2848">
        <f>$H$287*H$268+$H$288*H269+$H$289*H$271+$H$290*H$274</f>
        <v>4.5262500000000001</v>
      </c>
      <c r="G284" s="2848">
        <f>$H$287*I$268+$H$288*I269+$H$289*I$271+$H$290*I$274</f>
        <v>5.1957142857142848</v>
      </c>
      <c r="H284" s="2370"/>
      <c r="I284" s="2370"/>
      <c r="J284" s="2370"/>
      <c r="K284" s="2370"/>
      <c r="L284" s="2370"/>
      <c r="M284" s="2370"/>
      <c r="N284" s="2370"/>
      <c r="O284" s="2370"/>
      <c r="P284" s="2370"/>
      <c r="Q284" s="2380">
        <f t="shared" si="27"/>
        <v>284</v>
      </c>
    </row>
    <row r="285" spans="1:17" ht="15" customHeight="1">
      <c r="A285" s="2370"/>
      <c r="B285" s="2841" t="str">
        <f>CONCATENATE("Average of fares in rows ",Q268,", "," ",Q269,", "," ",Q271,", and"," ",Q274," weighted by assumed usage in rows ",Q287,", "," ",Q288,", ", Q289,", "," ","and ",Q290,".")</f>
        <v>Average of fares in rows 268,  269,  271, and 274 weighted by assumed usage in rows 287,  288, 289,  and 290.</v>
      </c>
      <c r="C285" s="2370"/>
      <c r="D285" s="2848"/>
      <c r="E285" s="2848"/>
      <c r="F285" s="2848"/>
      <c r="G285" s="2848"/>
      <c r="H285" s="2370"/>
      <c r="I285" s="2370"/>
      <c r="J285" s="2370"/>
      <c r="K285" s="2370"/>
      <c r="L285" s="2370"/>
      <c r="M285" s="2370"/>
      <c r="N285" s="2370"/>
      <c r="O285" s="2370"/>
      <c r="P285" s="2370"/>
      <c r="Q285" s="2380">
        <f t="shared" si="27"/>
        <v>285</v>
      </c>
    </row>
    <row r="286" spans="1:17" ht="15" customHeight="1">
      <c r="A286" s="2370"/>
      <c r="B286" s="2849" t="s">
        <v>4792</v>
      </c>
      <c r="C286" s="2370"/>
      <c r="D286" s="2370"/>
      <c r="E286" s="2370"/>
      <c r="F286" s="2370"/>
      <c r="G286" s="2370"/>
      <c r="H286" s="2370"/>
      <c r="I286" s="2370"/>
      <c r="J286" s="2370"/>
      <c r="K286" s="2370"/>
      <c r="L286" s="2370"/>
      <c r="M286" s="2370"/>
      <c r="N286" s="2370"/>
      <c r="O286" s="2370"/>
      <c r="P286" s="2370"/>
      <c r="Q286" s="2380">
        <f t="shared" si="27"/>
        <v>286</v>
      </c>
    </row>
    <row r="287" spans="1:17" ht="15" customHeight="1">
      <c r="A287" s="2370"/>
      <c r="B287" s="2849"/>
      <c r="C287" s="2370" t="s">
        <v>4793</v>
      </c>
      <c r="F287" s="4056">
        <v>0.35</v>
      </c>
      <c r="G287" s="4057"/>
      <c r="H287" s="4056">
        <v>0.35</v>
      </c>
      <c r="I287" s="4057"/>
      <c r="M287" s="2370"/>
      <c r="N287" s="2370"/>
      <c r="O287" s="2370"/>
      <c r="P287" s="2370"/>
      <c r="Q287" s="2380">
        <f t="shared" si="27"/>
        <v>287</v>
      </c>
    </row>
    <row r="288" spans="1:17" ht="15" customHeight="1">
      <c r="A288" s="2370"/>
      <c r="B288" s="2849"/>
      <c r="C288" s="2370" t="s">
        <v>4797</v>
      </c>
      <c r="F288" s="4056">
        <v>0.35</v>
      </c>
      <c r="G288" s="4057"/>
      <c r="H288" s="4056">
        <v>0.35</v>
      </c>
      <c r="I288" s="4057"/>
      <c r="M288" s="2370"/>
      <c r="N288" s="2370"/>
      <c r="O288" s="2370"/>
      <c r="P288" s="2370"/>
      <c r="Q288" s="2380">
        <f t="shared" si="27"/>
        <v>288</v>
      </c>
    </row>
    <row r="289" spans="1:17" ht="15" customHeight="1">
      <c r="A289" s="2370"/>
      <c r="B289" s="2849"/>
      <c r="C289" s="2370" t="s">
        <v>4794</v>
      </c>
      <c r="F289" s="4056">
        <v>0.15</v>
      </c>
      <c r="G289" s="4057"/>
      <c r="H289" s="4056">
        <v>0.15</v>
      </c>
      <c r="I289" s="4057"/>
      <c r="M289" s="2370"/>
      <c r="N289" s="2370"/>
      <c r="O289" s="2370"/>
      <c r="P289" s="2370"/>
      <c r="Q289" s="2380">
        <f t="shared" si="27"/>
        <v>289</v>
      </c>
    </row>
    <row r="290" spans="1:17" ht="15" customHeight="1">
      <c r="A290" s="2370"/>
      <c r="B290" s="2849"/>
      <c r="C290" s="2370" t="s">
        <v>4795</v>
      </c>
      <c r="F290" s="4056">
        <v>0.15</v>
      </c>
      <c r="G290" s="4057"/>
      <c r="H290" s="4056">
        <v>0.15</v>
      </c>
      <c r="I290" s="4057"/>
      <c r="M290" s="2370"/>
      <c r="N290" s="2370"/>
      <c r="O290" s="2370"/>
      <c r="P290" s="2370"/>
      <c r="Q290" s="2380">
        <f t="shared" si="27"/>
        <v>290</v>
      </c>
    </row>
    <row r="291" spans="1:17" ht="15" customHeight="1">
      <c r="A291" s="2370"/>
      <c r="B291" s="2849"/>
      <c r="C291" s="2370"/>
      <c r="D291" s="2850"/>
      <c r="E291" s="2847"/>
      <c r="F291" s="2850"/>
      <c r="G291" s="2847"/>
      <c r="H291" s="2370"/>
      <c r="I291" s="2370"/>
      <c r="J291" s="2370"/>
      <c r="K291" s="2370"/>
      <c r="L291" s="2370"/>
      <c r="M291" s="2370"/>
      <c r="N291" s="2370"/>
      <c r="O291" s="2370"/>
      <c r="P291" s="2370"/>
      <c r="Q291" s="2380">
        <f t="shared" si="27"/>
        <v>291</v>
      </c>
    </row>
    <row r="292" spans="1:17" ht="15" customHeight="1">
      <c r="A292" s="2370"/>
      <c r="B292" s="2370"/>
      <c r="C292" s="2370"/>
      <c r="F292" s="4060" t="s">
        <v>4768</v>
      </c>
      <c r="G292" s="4060"/>
      <c r="H292" s="4060" t="s">
        <v>4769</v>
      </c>
      <c r="I292" s="4060"/>
      <c r="J292" s="4060" t="s">
        <v>1130</v>
      </c>
      <c r="K292" s="4060"/>
      <c r="L292" s="2370"/>
      <c r="M292" s="2370"/>
      <c r="N292" s="2370"/>
      <c r="O292" s="2370"/>
      <c r="P292" s="2370"/>
      <c r="Q292" s="2380">
        <f t="shared" si="27"/>
        <v>292</v>
      </c>
    </row>
    <row r="293" spans="1:17" ht="15" customHeight="1">
      <c r="A293" s="2370"/>
      <c r="B293" s="2370"/>
      <c r="C293" s="2370"/>
      <c r="D293" s="2374"/>
      <c r="E293" s="2374"/>
      <c r="F293" s="2374"/>
      <c r="G293" s="2374"/>
      <c r="H293" s="2370"/>
      <c r="I293" s="2374"/>
      <c r="J293" s="2374"/>
      <c r="K293" s="2370"/>
      <c r="L293" s="2370"/>
      <c r="M293" s="2370"/>
      <c r="N293" s="2370"/>
      <c r="O293" s="2370"/>
      <c r="P293" s="2370"/>
      <c r="Q293" s="2380">
        <f t="shared" si="27"/>
        <v>293</v>
      </c>
    </row>
    <row r="294" spans="1:17" ht="15" customHeight="1">
      <c r="A294" s="2370"/>
      <c r="B294" s="2375" t="s">
        <v>781</v>
      </c>
      <c r="C294" s="2370"/>
      <c r="D294" s="2370"/>
      <c r="E294" s="2370"/>
      <c r="F294" s="2370"/>
      <c r="G294" s="2370"/>
      <c r="H294" s="2370"/>
      <c r="I294" s="2370"/>
      <c r="J294" s="2370"/>
      <c r="K294" s="2370"/>
      <c r="L294" s="2370"/>
      <c r="M294" s="2370"/>
      <c r="N294" s="2370"/>
      <c r="O294" s="2370"/>
      <c r="P294" s="2370"/>
      <c r="Q294" s="2380">
        <f t="shared" si="27"/>
        <v>294</v>
      </c>
    </row>
    <row r="295" spans="1:17" ht="15" customHeight="1">
      <c r="A295" s="2370"/>
      <c r="B295" s="2370" t="s">
        <v>4798</v>
      </c>
      <c r="C295" s="2370"/>
      <c r="F295" s="2377">
        <f>Revenues!F365</f>
        <v>1568</v>
      </c>
      <c r="G295" s="2377">
        <f>Revenues!F366</f>
        <v>11431</v>
      </c>
      <c r="H295" s="2370">
        <f>Revenues!G378</f>
        <v>41</v>
      </c>
      <c r="I295" s="2377">
        <f>Revenues!G394</f>
        <v>3254</v>
      </c>
      <c r="J295" s="4065">
        <f>SUM(F295:I295)</f>
        <v>16294</v>
      </c>
      <c r="K295" s="4065"/>
      <c r="L295" s="2370"/>
      <c r="M295" s="2370"/>
      <c r="N295" s="2370"/>
      <c r="O295" s="2370"/>
      <c r="P295" s="2370"/>
      <c r="Q295" s="2380">
        <f t="shared" si="27"/>
        <v>295</v>
      </c>
    </row>
    <row r="296" spans="1:17" ht="15" customHeight="1">
      <c r="A296" s="2370"/>
      <c r="B296" s="2370" t="s">
        <v>4799</v>
      </c>
      <c r="C296" s="2370"/>
      <c r="F296" s="2377">
        <f>SUM(Revenues!G365:H365)</f>
        <v>509</v>
      </c>
      <c r="G296" s="2377">
        <f>SUM(Revenues!G366:H366)</f>
        <v>5982</v>
      </c>
      <c r="H296" s="2370">
        <f>Revenues!H378</f>
        <v>83</v>
      </c>
      <c r="I296" s="2377">
        <f>Revenues!H394</f>
        <v>1350</v>
      </c>
      <c r="J296" s="4065">
        <f>SUM(F296:I296)</f>
        <v>7924</v>
      </c>
      <c r="K296" s="4065"/>
      <c r="L296" s="2370"/>
      <c r="M296" s="2370"/>
      <c r="N296" s="2370"/>
      <c r="O296" s="2370"/>
      <c r="P296" s="2370"/>
      <c r="Q296" s="2380">
        <f t="shared" si="27"/>
        <v>296</v>
      </c>
    </row>
    <row r="297" spans="1:17" ht="15" customHeight="1">
      <c r="A297" s="2370"/>
      <c r="B297" s="2370" t="s">
        <v>4800</v>
      </c>
      <c r="C297" s="2370"/>
      <c r="F297" s="2106">
        <f>2*(F$277*F$295+D$284*F$296)</f>
        <v>20551.98726190476</v>
      </c>
      <c r="G297" s="2106">
        <f>2*(G$277*G$295+E$284*G$296)</f>
        <v>205650.36545238097</v>
      </c>
      <c r="H297" s="2106">
        <f>2*(H$277*H$295+F$284*H$296)</f>
        <v>1141.0283333333334</v>
      </c>
      <c r="I297" s="2106">
        <f>2*(I$277*I$295+G$284*I$296)</f>
        <v>49051.540476190479</v>
      </c>
      <c r="J297" s="4058">
        <f>SUM(F297:I297)</f>
        <v>276394.92152380955</v>
      </c>
      <c r="K297" s="4058"/>
      <c r="L297" s="2370"/>
      <c r="M297" s="2370"/>
      <c r="N297" s="2370"/>
      <c r="O297" s="2370"/>
      <c r="P297" s="2370"/>
      <c r="Q297" s="2380">
        <f t="shared" si="27"/>
        <v>297</v>
      </c>
    </row>
    <row r="298" spans="1:17" ht="15" customHeight="1">
      <c r="A298" s="2370"/>
      <c r="B298" s="2841" t="s">
        <v>4801</v>
      </c>
      <c r="C298" s="2370"/>
      <c r="D298" s="2370"/>
      <c r="E298" s="2370"/>
      <c r="F298" s="2370"/>
      <c r="G298" s="2370"/>
      <c r="H298" s="2851"/>
      <c r="I298" s="2851"/>
      <c r="J298" s="2370"/>
      <c r="K298" s="2377"/>
      <c r="L298" s="2370"/>
      <c r="M298" s="2370"/>
      <c r="N298" s="2370"/>
      <c r="O298" s="2370"/>
      <c r="P298" s="2370"/>
      <c r="Q298" s="2380">
        <f t="shared" si="27"/>
        <v>298</v>
      </c>
    </row>
    <row r="299" spans="1:17" ht="15" customHeight="1">
      <c r="A299" s="2375"/>
      <c r="B299" s="2375" t="s">
        <v>4802</v>
      </c>
      <c r="C299" s="2375"/>
      <c r="F299" s="2852">
        <f>F297*$P$252</f>
        <v>5137996.8154761903</v>
      </c>
      <c r="G299" s="2852">
        <f>G297*$P$252</f>
        <v>51412591.363095239</v>
      </c>
      <c r="H299" s="2852">
        <f>H297*$P$252</f>
        <v>285257.08333333337</v>
      </c>
      <c r="I299" s="2852">
        <f>I297*$P$252</f>
        <v>12262885.119047619</v>
      </c>
      <c r="J299" s="4059">
        <f>SUM(F299:I299)</f>
        <v>69098730.380952388</v>
      </c>
      <c r="K299" s="4059"/>
      <c r="L299" s="2375"/>
      <c r="M299" s="2375"/>
      <c r="N299" s="2375"/>
      <c r="O299" s="2375"/>
      <c r="P299" s="2375"/>
      <c r="Q299" s="2380">
        <f t="shared" si="27"/>
        <v>299</v>
      </c>
    </row>
    <row r="300" spans="1:17" ht="15" customHeight="1">
      <c r="A300" s="2370"/>
      <c r="B300" s="2370"/>
      <c r="C300" s="2370"/>
      <c r="D300" s="2106"/>
      <c r="E300" s="2370"/>
      <c r="F300" s="2370"/>
      <c r="G300" s="2370"/>
      <c r="H300" s="2851"/>
      <c r="I300" s="2851"/>
      <c r="J300" s="2370"/>
      <c r="K300" s="2377"/>
      <c r="L300" s="2370"/>
      <c r="M300" s="2370"/>
      <c r="N300" s="2370"/>
      <c r="O300" s="2370"/>
      <c r="P300" s="2370"/>
      <c r="Q300" s="2380">
        <f t="shared" si="27"/>
        <v>300</v>
      </c>
    </row>
    <row r="301" spans="1:17" ht="15" customHeight="1">
      <c r="A301" s="2370"/>
      <c r="B301" s="2375" t="s">
        <v>1975</v>
      </c>
      <c r="C301" s="2370"/>
      <c r="D301" s="2106"/>
      <c r="E301" s="2370"/>
      <c r="F301" s="2370"/>
      <c r="G301" s="2370"/>
      <c r="H301" s="2851"/>
      <c r="I301" s="2851"/>
      <c r="J301" s="2370"/>
      <c r="K301" s="2377"/>
      <c r="L301" s="2370"/>
      <c r="M301" s="2370"/>
      <c r="N301" s="2370"/>
      <c r="O301" s="2370"/>
      <c r="P301" s="2370"/>
      <c r="Q301" s="2380">
        <f t="shared" si="27"/>
        <v>301</v>
      </c>
    </row>
    <row r="302" spans="1:17" ht="15" customHeight="1">
      <c r="A302" s="2370"/>
      <c r="B302" s="2370" t="s">
        <v>4803</v>
      </c>
      <c r="C302" s="2370"/>
      <c r="F302" s="2853">
        <f>Revenues!I365</f>
        <v>1395</v>
      </c>
      <c r="G302" s="2854">
        <f>Revenues!I366</f>
        <v>15876</v>
      </c>
      <c r="H302" s="2855">
        <f>Revenues!I378</f>
        <v>98</v>
      </c>
      <c r="I302" s="2853">
        <f>Revenues!I394</f>
        <v>2810</v>
      </c>
      <c r="J302" s="4065">
        <f>SUM(F302:I302)</f>
        <v>20179</v>
      </c>
      <c r="K302" s="4065"/>
      <c r="L302" s="2370"/>
      <c r="M302" s="2370"/>
      <c r="N302" s="2370"/>
      <c r="O302" s="2370"/>
      <c r="P302" s="2370"/>
      <c r="Q302" s="2380">
        <f t="shared" si="27"/>
        <v>302</v>
      </c>
    </row>
    <row r="303" spans="1:17" ht="15" customHeight="1">
      <c r="A303" s="2370"/>
      <c r="B303" s="2370" t="s">
        <v>4800</v>
      </c>
      <c r="C303" s="2370"/>
      <c r="F303" s="2106">
        <f>D284*F302</f>
        <v>6421.7330357142864</v>
      </c>
      <c r="G303" s="2106">
        <f>E284*G302</f>
        <v>89993.672999999995</v>
      </c>
      <c r="H303" s="2106">
        <f>H302*F284</f>
        <v>443.57249999999999</v>
      </c>
      <c r="I303" s="2106">
        <f>I302*G284</f>
        <v>14599.95714285714</v>
      </c>
      <c r="J303" s="4058">
        <f>SUM(F303:I303)</f>
        <v>111458.93567857142</v>
      </c>
      <c r="K303" s="4058"/>
      <c r="L303" s="2370"/>
      <c r="M303" s="2370"/>
      <c r="N303" s="2370"/>
      <c r="O303" s="2370"/>
      <c r="P303" s="2370"/>
      <c r="Q303" s="2380">
        <f t="shared" si="27"/>
        <v>303</v>
      </c>
    </row>
    <row r="304" spans="1:17" ht="15" customHeight="1">
      <c r="A304" s="2370"/>
      <c r="B304" s="2841" t="s">
        <v>4801</v>
      </c>
      <c r="C304" s="2370"/>
      <c r="F304" s="2106"/>
      <c r="G304" s="2106"/>
      <c r="H304" s="2106"/>
      <c r="I304" s="2106"/>
      <c r="J304" s="2370"/>
      <c r="K304" s="2370"/>
      <c r="L304" s="2370"/>
      <c r="M304" s="2370"/>
      <c r="N304" s="2370"/>
      <c r="O304" s="2370"/>
      <c r="P304" s="2370"/>
      <c r="Q304" s="2380">
        <f t="shared" si="27"/>
        <v>304</v>
      </c>
    </row>
    <row r="305" spans="1:17" ht="15" customHeight="1">
      <c r="A305" s="2375"/>
      <c r="B305" s="2375" t="s">
        <v>4804</v>
      </c>
      <c r="C305" s="2375"/>
      <c r="F305" s="2852">
        <f>F$303*$P$253</f>
        <v>738499.29910714296</v>
      </c>
      <c r="G305" s="2852">
        <f>G$303*$P$253</f>
        <v>10349272.395</v>
      </c>
      <c r="H305" s="2852">
        <f>H$303*$P$253</f>
        <v>51010.837500000001</v>
      </c>
      <c r="I305" s="2852">
        <f>I$303*$P$253</f>
        <v>1678995.0714285711</v>
      </c>
      <c r="J305" s="4059">
        <f>SUM(F305:I305)</f>
        <v>12817777.603035714</v>
      </c>
      <c r="K305" s="4059"/>
      <c r="L305" s="2375"/>
      <c r="M305" s="2375"/>
      <c r="N305" s="2375"/>
      <c r="O305" s="2375"/>
      <c r="P305" s="2375"/>
      <c r="Q305" s="2380">
        <f t="shared" si="27"/>
        <v>305</v>
      </c>
    </row>
    <row r="306" spans="1:17" ht="15" customHeight="1">
      <c r="A306" s="2370"/>
      <c r="B306" s="2370"/>
      <c r="C306" s="2370"/>
      <c r="F306" s="2106"/>
      <c r="G306" s="2370"/>
      <c r="H306" s="2370"/>
      <c r="I306" s="2370"/>
      <c r="J306" s="2370"/>
      <c r="K306" s="2370"/>
      <c r="L306" s="2370"/>
      <c r="M306" s="2370"/>
      <c r="N306" s="2370"/>
      <c r="O306" s="2370"/>
      <c r="P306" s="2370"/>
      <c r="Q306" s="2380">
        <f t="shared" si="27"/>
        <v>306</v>
      </c>
    </row>
    <row r="307" spans="1:17" ht="15" customHeight="1">
      <c r="A307" s="2375"/>
      <c r="B307" s="2375" t="s">
        <v>4805</v>
      </c>
      <c r="C307" s="2375"/>
      <c r="F307" s="2852">
        <f>F$305+F$299</f>
        <v>5876496.114583333</v>
      </c>
      <c r="G307" s="2852">
        <f>G$305+G$299</f>
        <v>61761863.758095235</v>
      </c>
      <c r="H307" s="2852">
        <f>H$305+H$299</f>
        <v>336267.9208333334</v>
      </c>
      <c r="I307" s="2852">
        <f>I$305+I$299</f>
        <v>13941880.19047619</v>
      </c>
      <c r="J307" s="4059">
        <f>SUM(F307:I307)</f>
        <v>81916507.983988091</v>
      </c>
      <c r="K307" s="4059"/>
      <c r="L307" s="2375"/>
      <c r="M307" s="2375"/>
      <c r="N307" s="2375"/>
      <c r="O307" s="2375"/>
      <c r="P307" s="2375"/>
      <c r="Q307" s="2380">
        <f t="shared" si="27"/>
        <v>307</v>
      </c>
    </row>
    <row r="308" spans="1:17" ht="15" customHeight="1">
      <c r="A308" s="2370"/>
      <c r="B308" s="2370" t="s">
        <v>4806</v>
      </c>
      <c r="C308" s="2370"/>
      <c r="F308" s="2379">
        <f>F$307/$F$232</f>
        <v>9.6854251512739197E-3</v>
      </c>
      <c r="G308" s="2379">
        <f>G$307/$F$232</f>
        <v>0.10179363637248365</v>
      </c>
      <c r="H308" s="2379">
        <f>H$307/$H$232</f>
        <v>5.9740287205926163E-4</v>
      </c>
      <c r="I308" s="2379">
        <f>I$307/$H$232</f>
        <v>2.4768700050412235E-2</v>
      </c>
      <c r="J308" s="4061">
        <f>J$307/$J$232</f>
        <v>7.0036916281274578E-2</v>
      </c>
      <c r="K308" s="4062"/>
      <c r="L308" s="2370"/>
      <c r="M308" s="2370"/>
      <c r="N308" s="2370"/>
      <c r="O308" s="2370"/>
      <c r="P308" s="2370"/>
      <c r="Q308" s="2380">
        <f t="shared" si="27"/>
        <v>308</v>
      </c>
    </row>
    <row r="309" spans="1:17" ht="15" customHeight="1">
      <c r="A309" s="2370"/>
      <c r="B309" s="2370"/>
      <c r="C309" s="2370"/>
      <c r="D309" s="2379"/>
      <c r="E309" s="2379"/>
      <c r="F309" s="2379"/>
      <c r="G309" s="2379"/>
      <c r="H309" s="2370"/>
      <c r="I309" s="2370"/>
      <c r="J309" s="2370"/>
      <c r="K309" s="2377"/>
      <c r="L309" s="2370"/>
      <c r="M309" s="2370"/>
      <c r="N309" s="2370"/>
      <c r="O309" s="2370"/>
      <c r="P309" s="2370"/>
      <c r="Q309" s="2380">
        <f t="shared" ref="Q309:Q330" si="28">ROW(Q309)</f>
        <v>309</v>
      </c>
    </row>
    <row r="310" spans="1:17" ht="15" customHeight="1">
      <c r="A310" s="2370"/>
      <c r="B310" s="2" t="s">
        <v>4807</v>
      </c>
      <c r="C310" s="2370"/>
      <c r="F310" s="4067">
        <f>SUM(F307:G307)</f>
        <v>67638359.872678563</v>
      </c>
      <c r="G310" s="4068"/>
      <c r="H310" s="4067">
        <f>SUM(H307:I307)</f>
        <v>14278148.111309525</v>
      </c>
      <c r="I310" s="4068"/>
      <c r="J310" s="2370"/>
      <c r="K310" s="2377"/>
      <c r="L310" s="2370"/>
      <c r="M310" s="2370"/>
      <c r="N310" s="2370"/>
      <c r="O310" s="2370"/>
      <c r="P310" s="2370"/>
      <c r="Q310" s="2380">
        <f t="shared" si="28"/>
        <v>310</v>
      </c>
    </row>
    <row r="311" spans="1:17" ht="15" customHeight="1">
      <c r="A311" s="2370"/>
      <c r="B311" s="2370" t="s">
        <v>4808</v>
      </c>
      <c r="C311" s="2370"/>
      <c r="F311" s="4061">
        <f>F310/F232</f>
        <v>0.11147906152375756</v>
      </c>
      <c r="G311" s="4066"/>
      <c r="H311" s="4061">
        <f>H310/H232</f>
        <v>2.53661029224715E-2</v>
      </c>
      <c r="I311" s="4066"/>
      <c r="J311" s="2370"/>
      <c r="K311" s="2377"/>
      <c r="L311" s="2370"/>
      <c r="M311" s="2370"/>
      <c r="N311" s="2370"/>
      <c r="O311" s="2370"/>
      <c r="P311" s="2370"/>
      <c r="Q311" s="2380">
        <f t="shared" si="28"/>
        <v>311</v>
      </c>
    </row>
    <row r="312" spans="1:17" ht="15" customHeight="1">
      <c r="A312" s="2370"/>
      <c r="B312" s="2370"/>
      <c r="C312" s="2370"/>
      <c r="D312" s="2376"/>
      <c r="E312" s="2376"/>
      <c r="F312" s="2856"/>
      <c r="G312" s="2376"/>
      <c r="H312" s="2370"/>
      <c r="I312" s="2370"/>
      <c r="J312" s="2370"/>
      <c r="K312" s="2377"/>
      <c r="L312" s="2370"/>
      <c r="M312" s="2370"/>
      <c r="N312" s="2370"/>
      <c r="O312" s="2370"/>
      <c r="P312" s="2370"/>
      <c r="Q312" s="2380">
        <f t="shared" si="28"/>
        <v>312</v>
      </c>
    </row>
    <row r="313" spans="1:17" ht="15" customHeight="1">
      <c r="A313" s="2370"/>
      <c r="B313" s="2375" t="s">
        <v>4809</v>
      </c>
      <c r="D313" s="2376"/>
      <c r="E313" s="2376"/>
      <c r="F313" s="2857">
        <f>Transit!H40</f>
        <v>2.25</v>
      </c>
      <c r="G313" s="2376"/>
      <c r="H313" s="2370"/>
      <c r="I313" s="2370"/>
      <c r="J313" s="2370"/>
      <c r="K313" s="2377"/>
      <c r="L313" s="2370"/>
      <c r="M313" s="2370"/>
      <c r="N313" s="2370"/>
      <c r="O313" s="2370"/>
      <c r="P313" s="2370"/>
      <c r="Q313" s="2380">
        <f t="shared" si="28"/>
        <v>313</v>
      </c>
    </row>
    <row r="314" spans="1:17" ht="15" customHeight="1">
      <c r="A314" s="2370"/>
      <c r="B314" s="2841" t="str">
        <f>CONCATENATE("Standard pay-per-ride single subway/bus fare, from 'Transit' worksheet, Row ",Transit!O40, ".")</f>
        <v>Standard pay-per-ride single subway/bus fare, from 'Transit' worksheet, Row 40.</v>
      </c>
      <c r="C314" s="2370"/>
      <c r="D314" s="2376"/>
      <c r="E314" s="2376"/>
      <c r="F314" s="2856"/>
      <c r="G314" s="2376"/>
      <c r="H314" s="2370"/>
      <c r="I314" s="2370"/>
      <c r="J314" s="2370"/>
      <c r="K314" s="2377"/>
      <c r="L314" s="2370"/>
      <c r="M314" s="2370"/>
      <c r="N314" s="2370"/>
      <c r="O314" s="2370"/>
      <c r="P314" s="2370"/>
      <c r="Q314" s="2380">
        <f t="shared" si="28"/>
        <v>314</v>
      </c>
    </row>
    <row r="315" spans="1:17" ht="15" customHeight="1">
      <c r="A315" s="2370"/>
      <c r="B315" s="2375" t="s">
        <v>4810</v>
      </c>
      <c r="C315" s="2370"/>
      <c r="F315" s="2857">
        <f>$F$313</f>
        <v>2.25</v>
      </c>
      <c r="G315" s="2857">
        <f>$F$313</f>
        <v>2.25</v>
      </c>
      <c r="H315" s="2857">
        <f>$F$313</f>
        <v>2.25</v>
      </c>
      <c r="I315" s="2857">
        <f>$F$313</f>
        <v>2.25</v>
      </c>
      <c r="J315" s="2370"/>
      <c r="K315" s="2377"/>
      <c r="L315" s="2370"/>
      <c r="M315" s="2370"/>
      <c r="N315" s="2370"/>
      <c r="O315" s="2370"/>
      <c r="P315" s="2370"/>
      <c r="Q315" s="2380">
        <f t="shared" si="28"/>
        <v>315</v>
      </c>
    </row>
    <row r="316" spans="1:17" ht="15" customHeight="1">
      <c r="A316" s="2370"/>
      <c r="B316" s="2841" t="str">
        <f>CONCATENATE("Applies fare in Row ",Q313, ", above, to each zone for each railroad.")</f>
        <v>Applies fare in Row 313, above, to each zone for each railroad.</v>
      </c>
      <c r="C316" s="2370"/>
      <c r="D316" s="2857"/>
      <c r="E316" s="2857"/>
      <c r="F316" s="2857"/>
      <c r="G316" s="2857"/>
      <c r="H316" s="2370"/>
      <c r="I316" s="2370"/>
      <c r="J316" s="2370"/>
      <c r="K316" s="2377"/>
      <c r="L316" s="2370"/>
      <c r="M316" s="2370"/>
      <c r="N316" s="2370"/>
      <c r="O316" s="2370"/>
      <c r="P316" s="2370"/>
      <c r="Q316" s="2380">
        <f t="shared" si="28"/>
        <v>316</v>
      </c>
    </row>
    <row r="317" spans="1:17" ht="15" customHeight="1">
      <c r="A317" s="2370"/>
      <c r="B317" s="2370"/>
      <c r="C317" s="2370"/>
      <c r="D317" s="2857"/>
      <c r="E317" s="2857"/>
      <c r="F317" s="2857"/>
      <c r="G317" s="2857"/>
      <c r="H317" s="2370"/>
      <c r="I317" s="2370"/>
      <c r="J317" s="2370"/>
      <c r="K317" s="2377"/>
      <c r="L317" s="2370"/>
      <c r="M317" s="2370"/>
      <c r="N317" s="2370"/>
      <c r="O317" s="2370"/>
      <c r="P317" s="2370"/>
      <c r="Q317" s="2380">
        <f t="shared" si="28"/>
        <v>317</v>
      </c>
    </row>
    <row r="318" spans="1:17" ht="15" customHeight="1">
      <c r="A318" s="2370"/>
      <c r="B318" s="2375" t="s">
        <v>781</v>
      </c>
      <c r="C318" s="2370"/>
      <c r="D318" s="2857"/>
      <c r="E318" s="2857"/>
      <c r="F318" s="2857"/>
      <c r="G318" s="2857"/>
      <c r="H318" s="2370"/>
      <c r="I318" s="2370"/>
      <c r="J318" s="2370"/>
      <c r="K318" s="2377"/>
      <c r="L318" s="2370"/>
      <c r="M318" s="2370"/>
      <c r="N318" s="2370"/>
      <c r="O318" s="2370"/>
      <c r="P318" s="2370"/>
      <c r="Q318" s="2380">
        <f t="shared" si="28"/>
        <v>318</v>
      </c>
    </row>
    <row r="319" spans="1:17" ht="15" customHeight="1">
      <c r="A319" s="2370"/>
      <c r="B319" s="2370" t="s">
        <v>4811</v>
      </c>
      <c r="C319" s="2370"/>
      <c r="F319" s="2858">
        <f>F295+F296</f>
        <v>2077</v>
      </c>
      <c r="G319" s="2858">
        <f>G295+G296</f>
        <v>17413</v>
      </c>
      <c r="H319" s="2858">
        <f>H295+H296</f>
        <v>124</v>
      </c>
      <c r="I319" s="2858">
        <f>I295+I296</f>
        <v>4604</v>
      </c>
      <c r="J319" s="2370"/>
      <c r="K319" s="2377"/>
      <c r="L319" s="2370"/>
      <c r="M319" s="2370"/>
      <c r="N319" s="2370"/>
      <c r="O319" s="2370"/>
      <c r="P319" s="2370"/>
      <c r="Q319" s="2380">
        <f t="shared" si="28"/>
        <v>319</v>
      </c>
    </row>
    <row r="320" spans="1:17" ht="15" customHeight="1">
      <c r="A320" s="2370"/>
      <c r="B320" s="2841" t="str">
        <f>CONCATENATE("Sum of peak and off-peak boardings (one direction of travel) in each zone from rows ", Q295, " and ", Q296, " since new fare applies to all times of day with one price.")</f>
        <v>Sum of peak and off-peak boardings (one direction of travel) in each zone from rows 295 and 296 since new fare applies to all times of day with one price.</v>
      </c>
      <c r="C320" s="2370"/>
      <c r="D320" s="2858"/>
      <c r="E320" s="2858"/>
      <c r="F320" s="2858"/>
      <c r="G320" s="2858"/>
      <c r="H320" s="2370"/>
      <c r="I320" s="2370"/>
      <c r="J320" s="2370"/>
      <c r="K320" s="2377"/>
      <c r="L320" s="2370"/>
      <c r="M320" s="2370"/>
      <c r="N320" s="2370"/>
      <c r="O320" s="2370"/>
      <c r="P320" s="2370"/>
      <c r="Q320" s="2380">
        <f t="shared" si="28"/>
        <v>320</v>
      </c>
    </row>
    <row r="321" spans="1:17" ht="15" customHeight="1">
      <c r="A321" s="2370"/>
      <c r="B321" s="2370" t="s">
        <v>4812</v>
      </c>
      <c r="C321" s="2370"/>
      <c r="F321" s="2859">
        <f>2*F$319*F$315</f>
        <v>9346.5</v>
      </c>
      <c r="G321" s="2859">
        <f>2*(G$319*G$315)</f>
        <v>78358.5</v>
      </c>
      <c r="H321" s="2859">
        <f>2*(H$319*H$315)</f>
        <v>558</v>
      </c>
      <c r="I321" s="2859">
        <f>2*(I$319*I$315)</f>
        <v>20718</v>
      </c>
      <c r="J321" s="2370"/>
      <c r="K321" s="2377"/>
      <c r="L321" s="2370"/>
      <c r="M321" s="2370"/>
      <c r="N321" s="2370"/>
      <c r="O321" s="2370"/>
      <c r="P321" s="2370"/>
      <c r="Q321" s="2380">
        <f t="shared" si="28"/>
        <v>321</v>
      </c>
    </row>
    <row r="322" spans="1:17" ht="15" customHeight="1">
      <c r="A322" s="2370"/>
      <c r="B322" s="4063" t="s">
        <v>4813</v>
      </c>
      <c r="C322" s="4064"/>
      <c r="D322" s="4064"/>
      <c r="E322" s="4064"/>
      <c r="F322" s="4064"/>
      <c r="G322" s="4064"/>
      <c r="H322" s="3659"/>
      <c r="I322" s="3659"/>
      <c r="J322" s="3659"/>
      <c r="K322" s="3659"/>
      <c r="L322" s="3659"/>
      <c r="M322" s="2370"/>
      <c r="N322" s="2370"/>
      <c r="O322" s="2370"/>
      <c r="P322" s="2370"/>
      <c r="Q322" s="2380">
        <f t="shared" si="28"/>
        <v>322</v>
      </c>
    </row>
    <row r="323" spans="1:17" ht="15" customHeight="1">
      <c r="A323" s="2370"/>
      <c r="B323" s="4064"/>
      <c r="C323" s="4064"/>
      <c r="D323" s="4064"/>
      <c r="E323" s="4064"/>
      <c r="F323" s="4064"/>
      <c r="G323" s="4064"/>
      <c r="H323" s="3659"/>
      <c r="I323" s="3659"/>
      <c r="J323" s="3659"/>
      <c r="K323" s="3659"/>
      <c r="L323" s="3659"/>
      <c r="M323" s="2370"/>
      <c r="N323" s="2370"/>
      <c r="O323" s="2370"/>
      <c r="P323" s="2370"/>
      <c r="Q323" s="2380">
        <f t="shared" si="28"/>
        <v>323</v>
      </c>
    </row>
    <row r="324" spans="1:17" ht="15" customHeight="1">
      <c r="A324" s="2370"/>
      <c r="B324" s="2370" t="s">
        <v>4814</v>
      </c>
      <c r="C324" s="2370"/>
      <c r="F324" s="2859">
        <f>F321*$P$252</f>
        <v>2336625</v>
      </c>
      <c r="G324" s="2859">
        <f>G321*$P$252</f>
        <v>19589625</v>
      </c>
      <c r="H324" s="2859">
        <f>H321*$P$252</f>
        <v>139500</v>
      </c>
      <c r="I324" s="2859">
        <f>I321*$P$252</f>
        <v>5179500</v>
      </c>
      <c r="J324" s="2370"/>
      <c r="K324" s="2377"/>
      <c r="L324" s="2370"/>
      <c r="M324" s="2370"/>
      <c r="N324" s="2370"/>
      <c r="O324" s="2370"/>
      <c r="P324" s="2370"/>
      <c r="Q324" s="2380">
        <f t="shared" si="28"/>
        <v>324</v>
      </c>
    </row>
    <row r="325" spans="1:17" ht="15" customHeight="1">
      <c r="A325" s="2370"/>
      <c r="B325" s="2370"/>
      <c r="C325" s="2370"/>
      <c r="D325" s="2859"/>
      <c r="E325" s="2859"/>
      <c r="F325" s="2859"/>
      <c r="G325" s="2859"/>
      <c r="H325" s="2370"/>
      <c r="I325" s="2370"/>
      <c r="J325" s="2370"/>
      <c r="K325" s="2377"/>
      <c r="L325" s="2370"/>
      <c r="M325" s="2370"/>
      <c r="N325" s="2370"/>
      <c r="O325" s="2370"/>
      <c r="P325" s="2370"/>
      <c r="Q325" s="2380">
        <f t="shared" si="28"/>
        <v>325</v>
      </c>
    </row>
    <row r="326" spans="1:17" ht="15" customHeight="1">
      <c r="A326" s="2370"/>
      <c r="B326" s="2375" t="s">
        <v>1975</v>
      </c>
      <c r="C326" s="2370"/>
      <c r="D326" s="2376"/>
      <c r="E326" s="2376"/>
      <c r="F326" s="2856"/>
      <c r="G326" s="2376"/>
      <c r="H326" s="2370"/>
      <c r="I326" s="2370"/>
      <c r="J326" s="2370"/>
      <c r="K326" s="2377"/>
      <c r="L326" s="2370"/>
      <c r="M326" s="2370"/>
      <c r="N326" s="2370"/>
      <c r="O326" s="2370"/>
      <c r="P326" s="2370"/>
      <c r="Q326" s="2380">
        <f t="shared" si="28"/>
        <v>326</v>
      </c>
    </row>
    <row r="327" spans="1:17" ht="15" customHeight="1">
      <c r="A327" s="2370"/>
      <c r="B327" s="2370" t="s">
        <v>4811</v>
      </c>
      <c r="C327" s="2370"/>
      <c r="F327" s="2377">
        <f>F302</f>
        <v>1395</v>
      </c>
      <c r="G327" s="2377">
        <f>G302</f>
        <v>15876</v>
      </c>
      <c r="H327" s="2377">
        <f>H302</f>
        <v>98</v>
      </c>
      <c r="I327" s="2377">
        <f>I302</f>
        <v>2810</v>
      </c>
      <c r="J327" s="2370"/>
      <c r="K327" s="2377"/>
      <c r="L327" s="2370"/>
      <c r="M327" s="2370"/>
      <c r="N327" s="2370"/>
      <c r="O327" s="2370"/>
      <c r="P327" s="2370"/>
      <c r="Q327" s="2380">
        <f t="shared" si="28"/>
        <v>327</v>
      </c>
    </row>
    <row r="328" spans="1:17" ht="15" customHeight="1">
      <c r="A328" s="2370"/>
      <c r="B328" s="2841" t="s">
        <v>4815</v>
      </c>
      <c r="C328" s="2370"/>
      <c r="F328" s="2377"/>
      <c r="G328" s="2377"/>
      <c r="H328" s="2377"/>
      <c r="I328" s="2377"/>
      <c r="J328" s="2370"/>
      <c r="K328" s="2377"/>
      <c r="L328" s="2370"/>
      <c r="M328" s="2370"/>
      <c r="N328" s="2370"/>
      <c r="O328" s="2370"/>
      <c r="P328" s="2370"/>
      <c r="Q328" s="2380">
        <f t="shared" si="28"/>
        <v>328</v>
      </c>
    </row>
    <row r="329" spans="1:17" ht="15" customHeight="1">
      <c r="A329" s="2370"/>
      <c r="B329" s="2370" t="s">
        <v>4812</v>
      </c>
      <c r="C329" s="2370"/>
      <c r="F329" s="2859">
        <f>2*(F$315*F$327)</f>
        <v>6277.5</v>
      </c>
      <c r="G329" s="2859">
        <f>2*(G$315*G$327)</f>
        <v>71442</v>
      </c>
      <c r="H329" s="2859">
        <f>2*(H$315*H$327)</f>
        <v>441</v>
      </c>
      <c r="I329" s="2859">
        <f>2*(I$315*I$327)</f>
        <v>12645</v>
      </c>
      <c r="J329" s="2370"/>
      <c r="K329" s="2377"/>
      <c r="L329" s="2370"/>
      <c r="M329" s="2370"/>
      <c r="N329" s="2370"/>
      <c r="O329" s="2370"/>
      <c r="P329" s="2370"/>
      <c r="Q329" s="2380">
        <f t="shared" si="28"/>
        <v>329</v>
      </c>
    </row>
    <row r="330" spans="1:17" ht="15" customHeight="1">
      <c r="A330" s="2370"/>
      <c r="B330" s="4063" t="s">
        <v>4816</v>
      </c>
      <c r="C330" s="4064"/>
      <c r="D330" s="4064"/>
      <c r="E330" s="4064"/>
      <c r="F330" s="4064"/>
      <c r="G330" s="4064"/>
      <c r="H330" s="3659"/>
      <c r="I330" s="3659"/>
      <c r="J330" s="3659"/>
      <c r="K330" s="3659"/>
      <c r="L330" s="3659"/>
      <c r="M330" s="2370"/>
      <c r="N330" s="2370"/>
      <c r="O330" s="2370"/>
      <c r="P330" s="2370"/>
      <c r="Q330" s="2380">
        <f t="shared" si="28"/>
        <v>330</v>
      </c>
    </row>
    <row r="331" spans="1:17" ht="15" customHeight="1">
      <c r="A331" s="2370"/>
      <c r="B331" s="4064"/>
      <c r="C331" s="4064"/>
      <c r="D331" s="4064"/>
      <c r="E331" s="4064"/>
      <c r="F331" s="4064"/>
      <c r="G331" s="4064"/>
      <c r="H331" s="3659"/>
      <c r="I331" s="3659"/>
      <c r="J331" s="3659"/>
      <c r="K331" s="3659"/>
      <c r="L331" s="3659"/>
      <c r="M331" s="2370"/>
      <c r="N331" s="2370"/>
      <c r="O331" s="2370"/>
      <c r="P331" s="2370"/>
      <c r="Q331" s="117">
        <f>ROW()</f>
        <v>331</v>
      </c>
    </row>
    <row r="332" spans="1:17" ht="15" customHeight="1">
      <c r="A332" s="2370"/>
      <c r="B332" s="2370" t="s">
        <v>4814</v>
      </c>
      <c r="C332" s="2370"/>
      <c r="F332" s="2106">
        <f>F$329*$P$253</f>
        <v>721912.5</v>
      </c>
      <c r="G332" s="2106">
        <f>G$329*$P$253</f>
        <v>8215830</v>
      </c>
      <c r="H332" s="2106">
        <f>H$329*$P$253</f>
        <v>50715</v>
      </c>
      <c r="I332" s="2106">
        <f>I$329*$P$253</f>
        <v>1454175</v>
      </c>
      <c r="J332" s="2370"/>
      <c r="K332" s="2377"/>
      <c r="L332" s="2370"/>
      <c r="M332" s="2370"/>
      <c r="N332" s="2370"/>
      <c r="O332" s="2370"/>
      <c r="P332" s="2370"/>
      <c r="Q332" s="2380">
        <f t="shared" ref="Q332:Q338" si="29">ROW(Q332)</f>
        <v>332</v>
      </c>
    </row>
    <row r="333" spans="1:17" ht="15" customHeight="1">
      <c r="A333" s="2370"/>
      <c r="B333" s="2370"/>
      <c r="C333" s="2370"/>
      <c r="D333" s="2106"/>
      <c r="E333" s="2106"/>
      <c r="F333" s="2106"/>
      <c r="G333" s="2106"/>
      <c r="H333" s="2370"/>
      <c r="I333" s="2370"/>
      <c r="J333" s="2370"/>
      <c r="K333" s="2377"/>
      <c r="L333" s="2370"/>
      <c r="M333" s="2370"/>
      <c r="N333" s="2370"/>
      <c r="O333" s="2370"/>
      <c r="P333" s="2370"/>
      <c r="Q333" s="2380">
        <f t="shared" si="29"/>
        <v>333</v>
      </c>
    </row>
    <row r="334" spans="1:17" ht="15" customHeight="1">
      <c r="A334" s="2370"/>
      <c r="B334" s="2375" t="s">
        <v>4817</v>
      </c>
      <c r="C334" s="2375"/>
      <c r="F334" s="2852">
        <f>F332+F324</f>
        <v>3058537.5</v>
      </c>
      <c r="G334" s="2852">
        <f>G332+G324</f>
        <v>27805455</v>
      </c>
      <c r="H334" s="2852">
        <f>H332+H324</f>
        <v>190215</v>
      </c>
      <c r="I334" s="2852">
        <f>I332+I324</f>
        <v>6633675</v>
      </c>
      <c r="J334" s="2370"/>
      <c r="K334" s="2377"/>
      <c r="L334" s="2370"/>
      <c r="M334" s="2370"/>
      <c r="N334" s="2370"/>
      <c r="O334" s="2370"/>
      <c r="P334" s="2370"/>
      <c r="Q334" s="2380">
        <f t="shared" si="29"/>
        <v>334</v>
      </c>
    </row>
    <row r="335" spans="1:17" ht="15" customHeight="1">
      <c r="A335" s="2370"/>
      <c r="B335" s="2370"/>
      <c r="C335" s="2370"/>
      <c r="D335" s="2106"/>
      <c r="E335" s="2106"/>
      <c r="F335" s="2106"/>
      <c r="G335" s="2106"/>
      <c r="H335" s="2370"/>
      <c r="I335" s="2370"/>
      <c r="J335" s="2370"/>
      <c r="K335" s="2377"/>
      <c r="L335" s="2370"/>
      <c r="M335" s="2370"/>
      <c r="N335" s="2370"/>
      <c r="O335" s="2370"/>
      <c r="P335" s="2370"/>
      <c r="Q335" s="2380">
        <f t="shared" si="29"/>
        <v>335</v>
      </c>
    </row>
    <row r="336" spans="1:17" ht="15" customHeight="1">
      <c r="A336" s="2370"/>
      <c r="B336" s="2370"/>
      <c r="C336" s="2370"/>
      <c r="D336" s="2106"/>
      <c r="E336" s="2106"/>
      <c r="F336" s="2106"/>
      <c r="G336" s="2106"/>
      <c r="H336" s="2370"/>
      <c r="I336" s="2370"/>
      <c r="J336" s="2370"/>
      <c r="K336" s="2377"/>
      <c r="L336" s="2370"/>
      <c r="M336" s="2370"/>
      <c r="N336" s="2370"/>
      <c r="O336" s="2370"/>
      <c r="P336" s="2370"/>
      <c r="Q336" s="2380">
        <f t="shared" si="29"/>
        <v>336</v>
      </c>
    </row>
    <row r="337" spans="1:17" ht="15" customHeight="1">
      <c r="A337" s="2370"/>
      <c r="B337" s="2373" t="s">
        <v>4818</v>
      </c>
      <c r="C337" s="2370"/>
      <c r="D337" s="2370"/>
      <c r="E337" s="2370"/>
      <c r="F337" s="2370"/>
      <c r="G337" s="2370"/>
      <c r="H337" s="2370"/>
      <c r="I337" s="2370"/>
      <c r="J337" s="2370"/>
      <c r="K337" s="2377"/>
      <c r="L337" s="2370"/>
      <c r="M337" s="2370"/>
      <c r="N337" s="2370"/>
      <c r="O337" s="2370"/>
      <c r="P337" s="2370"/>
      <c r="Q337" s="2380">
        <f t="shared" si="29"/>
        <v>337</v>
      </c>
    </row>
    <row r="338" spans="1:17" ht="15" customHeight="1">
      <c r="A338" s="2370"/>
      <c r="B338" s="2841" t="s">
        <v>4819</v>
      </c>
      <c r="C338" s="2370"/>
      <c r="D338" s="2370"/>
      <c r="E338" s="2370"/>
      <c r="F338" s="2370"/>
      <c r="G338" s="2370"/>
      <c r="H338" s="2370"/>
      <c r="I338" s="2370"/>
      <c r="J338" s="2370"/>
      <c r="K338" s="2377"/>
      <c r="L338" s="2370"/>
      <c r="M338" s="2370"/>
      <c r="N338" s="2370"/>
      <c r="O338" s="2370"/>
      <c r="P338" s="2370"/>
      <c r="Q338" s="2380">
        <f t="shared" si="29"/>
        <v>338</v>
      </c>
    </row>
    <row r="339" spans="1:17" ht="15" customHeight="1">
      <c r="A339" s="2370"/>
      <c r="B339" s="2841"/>
      <c r="C339" s="2370"/>
      <c r="D339" s="2370"/>
      <c r="E339" s="2370"/>
      <c r="F339" s="2370"/>
      <c r="G339" s="4055" t="s">
        <v>4866</v>
      </c>
      <c r="H339" s="2370"/>
      <c r="I339" s="2370"/>
      <c r="J339" s="2370"/>
      <c r="K339" s="2377"/>
      <c r="L339" s="2370"/>
      <c r="M339" s="2370"/>
      <c r="N339" s="2370"/>
      <c r="O339" s="2370"/>
      <c r="P339" s="2370"/>
      <c r="Q339" s="117">
        <f>ROW()</f>
        <v>339</v>
      </c>
    </row>
    <row r="340" spans="1:17" ht="15" customHeight="1">
      <c r="A340" s="2370"/>
      <c r="B340" s="2370"/>
      <c r="C340" s="2370"/>
      <c r="F340" s="2388" t="s">
        <v>4820</v>
      </c>
      <c r="G340" s="3807"/>
      <c r="H340" s="2388" t="s">
        <v>4821</v>
      </c>
      <c r="I340" s="2388" t="s">
        <v>1975</v>
      </c>
      <c r="J340" s="2370"/>
      <c r="K340" s="2377"/>
      <c r="L340" s="2370"/>
      <c r="M340" s="2370"/>
      <c r="N340" s="2370"/>
      <c r="O340" s="2370"/>
      <c r="P340" s="2370"/>
      <c r="Q340" s="2380">
        <f t="shared" ref="Q340:Q371" si="30">ROW(Q340)</f>
        <v>340</v>
      </c>
    </row>
    <row r="341" spans="1:17" ht="15" customHeight="1">
      <c r="A341" s="2370"/>
      <c r="B341" s="2375" t="s">
        <v>4782</v>
      </c>
      <c r="C341" s="2370"/>
      <c r="F341" s="2370"/>
      <c r="G341" s="2370"/>
      <c r="H341" s="2370"/>
      <c r="I341" s="2370"/>
      <c r="J341" s="2370"/>
      <c r="K341" s="2377"/>
      <c r="L341" s="2370"/>
      <c r="M341" s="2370"/>
      <c r="N341" s="2370"/>
      <c r="O341" s="2370"/>
      <c r="P341" s="2370"/>
      <c r="Q341" s="2380">
        <f t="shared" si="30"/>
        <v>341</v>
      </c>
    </row>
    <row r="342" spans="1:17" ht="15" customHeight="1">
      <c r="A342" s="2370"/>
      <c r="B342" s="2370" t="s">
        <v>4822</v>
      </c>
      <c r="C342" s="2370"/>
      <c r="F342" s="2102">
        <v>10</v>
      </c>
      <c r="G342" s="2102">
        <v>10</v>
      </c>
      <c r="H342" s="2102">
        <v>3</v>
      </c>
      <c r="I342" s="2102">
        <v>27</v>
      </c>
      <c r="J342" s="2370"/>
      <c r="K342" s="2377"/>
      <c r="L342" s="2370"/>
      <c r="M342" s="2370"/>
      <c r="N342" s="2370"/>
      <c r="O342" s="2370"/>
      <c r="P342" s="2370"/>
      <c r="Q342" s="2380">
        <f t="shared" si="30"/>
        <v>342</v>
      </c>
    </row>
    <row r="343" spans="1:17" ht="15" customHeight="1">
      <c r="A343" s="2370"/>
      <c r="B343" s="2370" t="s">
        <v>4823</v>
      </c>
      <c r="C343" s="2370"/>
      <c r="F343" s="2102">
        <v>469</v>
      </c>
      <c r="G343" s="2102">
        <v>75</v>
      </c>
      <c r="H343" s="2102">
        <v>42</v>
      </c>
      <c r="I343" s="2102">
        <v>407</v>
      </c>
      <c r="J343" s="2370"/>
      <c r="K343" s="2377"/>
      <c r="L343" s="2370"/>
      <c r="M343" s="2370"/>
      <c r="N343" s="2370"/>
      <c r="O343" s="2370"/>
      <c r="P343" s="2370"/>
      <c r="Q343" s="2380">
        <f t="shared" si="30"/>
        <v>343</v>
      </c>
    </row>
    <row r="344" spans="1:17" ht="15" customHeight="1">
      <c r="A344" s="2370"/>
      <c r="B344" s="2370" t="s">
        <v>4824</v>
      </c>
      <c r="C344" s="2370"/>
      <c r="F344" s="2102">
        <v>590</v>
      </c>
      <c r="G344" s="2102">
        <v>154</v>
      </c>
      <c r="H344" s="2102">
        <v>47</v>
      </c>
      <c r="I344" s="2102">
        <v>671</v>
      </c>
      <c r="J344" s="2370"/>
      <c r="K344" s="2377"/>
      <c r="L344" s="2370"/>
      <c r="M344" s="2370"/>
      <c r="N344" s="2370"/>
      <c r="O344" s="2370"/>
      <c r="P344" s="2370"/>
      <c r="Q344" s="2380">
        <f t="shared" si="30"/>
        <v>344</v>
      </c>
    </row>
    <row r="345" spans="1:17" ht="15" customHeight="1">
      <c r="A345" s="2370"/>
      <c r="B345" s="2370" t="s">
        <v>4825</v>
      </c>
      <c r="C345" s="2370"/>
      <c r="F345" s="2392" t="s">
        <v>4826</v>
      </c>
      <c r="G345" s="2102"/>
      <c r="H345" s="2102"/>
      <c r="I345" s="2370"/>
      <c r="J345" s="2370"/>
      <c r="K345" s="2377"/>
      <c r="L345" s="2370"/>
      <c r="M345" s="2370"/>
      <c r="N345" s="2370"/>
      <c r="O345" s="2370"/>
      <c r="P345" s="2370"/>
      <c r="Q345" s="2380">
        <f t="shared" si="30"/>
        <v>345</v>
      </c>
    </row>
    <row r="346" spans="1:17" ht="15" customHeight="1">
      <c r="A346" s="2370"/>
      <c r="B346" s="2370" t="s">
        <v>4827</v>
      </c>
      <c r="C346" s="2370"/>
      <c r="F346" s="2102">
        <v>1</v>
      </c>
      <c r="G346" s="2102">
        <v>3</v>
      </c>
      <c r="H346" s="2102">
        <v>2</v>
      </c>
      <c r="I346" s="2102">
        <v>5</v>
      </c>
      <c r="J346" s="2370"/>
      <c r="K346" s="2377"/>
      <c r="L346" s="2370"/>
      <c r="M346" s="2370"/>
      <c r="N346" s="2370"/>
      <c r="O346" s="2370"/>
      <c r="P346" s="2370"/>
      <c r="Q346" s="2380">
        <f t="shared" si="30"/>
        <v>346</v>
      </c>
    </row>
    <row r="347" spans="1:17" ht="15" customHeight="1">
      <c r="A347" s="2370"/>
      <c r="B347" s="2370" t="s">
        <v>4828</v>
      </c>
      <c r="C347" s="2370"/>
      <c r="F347" s="2102">
        <v>498</v>
      </c>
      <c r="G347" s="2102">
        <v>123</v>
      </c>
      <c r="H347" s="2102">
        <v>50</v>
      </c>
      <c r="I347" s="2102">
        <v>285</v>
      </c>
      <c r="J347" s="2370"/>
      <c r="K347" s="2377"/>
      <c r="L347" s="2370"/>
      <c r="M347" s="2370"/>
      <c r="N347" s="2370"/>
      <c r="O347" s="2370"/>
      <c r="P347" s="2370"/>
      <c r="Q347" s="2380">
        <f t="shared" si="30"/>
        <v>347</v>
      </c>
    </row>
    <row r="348" spans="1:17" ht="15" customHeight="1">
      <c r="A348" s="2370"/>
      <c r="B348" s="2370"/>
      <c r="C348" s="2370"/>
      <c r="F348" s="2102"/>
      <c r="G348" s="2102"/>
      <c r="H348" s="2102"/>
      <c r="I348" s="2370"/>
      <c r="J348" s="2370"/>
      <c r="K348" s="2377"/>
      <c r="L348" s="2370"/>
      <c r="M348" s="2370"/>
      <c r="N348" s="2370"/>
      <c r="O348" s="2370"/>
      <c r="P348" s="2370"/>
      <c r="Q348" s="2380">
        <f t="shared" si="30"/>
        <v>348</v>
      </c>
    </row>
    <row r="349" spans="1:17" ht="15" customHeight="1">
      <c r="A349" s="2370"/>
      <c r="B349" s="2375" t="s">
        <v>4783</v>
      </c>
      <c r="C349" s="2370"/>
      <c r="F349" s="2102"/>
      <c r="G349" s="2102"/>
      <c r="H349" s="2102"/>
      <c r="I349" s="2370"/>
      <c r="J349" s="2370"/>
      <c r="K349" s="2377"/>
      <c r="L349" s="2370"/>
      <c r="M349" s="2370"/>
      <c r="N349" s="2370"/>
      <c r="O349" s="2370"/>
      <c r="P349" s="2370"/>
      <c r="Q349" s="2380">
        <f t="shared" si="30"/>
        <v>349</v>
      </c>
    </row>
    <row r="350" spans="1:17" ht="15" customHeight="1">
      <c r="A350" s="2370"/>
      <c r="B350" s="2370" t="s">
        <v>4829</v>
      </c>
      <c r="C350" s="2370"/>
      <c r="F350" s="2102">
        <v>573</v>
      </c>
      <c r="G350" s="2102">
        <v>101</v>
      </c>
      <c r="H350" s="2102">
        <v>15</v>
      </c>
      <c r="I350" s="2102">
        <v>599</v>
      </c>
      <c r="J350" s="2370"/>
      <c r="K350" s="2377"/>
      <c r="L350" s="2370"/>
      <c r="M350" s="2370"/>
      <c r="N350" s="2370"/>
      <c r="O350" s="2370"/>
      <c r="P350" s="2370"/>
      <c r="Q350" s="2380">
        <f t="shared" si="30"/>
        <v>350</v>
      </c>
    </row>
    <row r="351" spans="1:17" ht="15" customHeight="1">
      <c r="A351" s="2370"/>
      <c r="B351" s="2370" t="s">
        <v>4830</v>
      </c>
      <c r="C351" s="2370"/>
      <c r="F351" s="2102">
        <v>2882</v>
      </c>
      <c r="G351" s="2102">
        <v>820</v>
      </c>
      <c r="H351" s="2102">
        <v>216</v>
      </c>
      <c r="I351" s="2102">
        <v>2208</v>
      </c>
      <c r="J351" s="2370"/>
      <c r="K351" s="2377"/>
      <c r="L351" s="2370"/>
      <c r="M351" s="2370"/>
      <c r="N351" s="2370"/>
      <c r="O351" s="2370"/>
      <c r="P351" s="2370"/>
      <c r="Q351" s="2380">
        <f t="shared" si="30"/>
        <v>351</v>
      </c>
    </row>
    <row r="352" spans="1:17" ht="15" customHeight="1">
      <c r="A352" s="2370"/>
      <c r="B352" s="2370" t="s">
        <v>1860</v>
      </c>
      <c r="C352" s="2370"/>
      <c r="F352" s="2102">
        <v>968</v>
      </c>
      <c r="G352" s="2102">
        <v>243</v>
      </c>
      <c r="H352" s="2102">
        <v>78</v>
      </c>
      <c r="I352" s="2102">
        <v>1108</v>
      </c>
      <c r="J352" s="2370"/>
      <c r="K352" s="2377"/>
      <c r="L352" s="2370"/>
      <c r="M352" s="2370"/>
      <c r="N352" s="2370"/>
      <c r="O352" s="2370"/>
      <c r="P352" s="2370"/>
      <c r="Q352" s="2380">
        <f t="shared" si="30"/>
        <v>352</v>
      </c>
    </row>
    <row r="353" spans="1:17" ht="15" customHeight="1">
      <c r="A353" s="2370"/>
      <c r="B353" s="2370" t="s">
        <v>4831</v>
      </c>
      <c r="C353" s="2370"/>
      <c r="F353" s="2102">
        <v>1021</v>
      </c>
      <c r="G353" s="2102">
        <v>326</v>
      </c>
      <c r="H353" s="2102">
        <v>85</v>
      </c>
      <c r="I353" s="2370">
        <f>551</f>
        <v>551</v>
      </c>
      <c r="J353" s="2370"/>
      <c r="K353" s="2377"/>
      <c r="L353" s="2370"/>
      <c r="M353" s="2370"/>
      <c r="N353" s="2370"/>
      <c r="O353" s="2370"/>
      <c r="P353" s="2370"/>
      <c r="Q353" s="2380">
        <f t="shared" si="30"/>
        <v>353</v>
      </c>
    </row>
    <row r="354" spans="1:17" ht="15" customHeight="1">
      <c r="A354" s="2370"/>
      <c r="B354" s="2370" t="s">
        <v>4832</v>
      </c>
      <c r="C354" s="2370"/>
      <c r="F354" s="2102">
        <v>231</v>
      </c>
      <c r="G354" s="2102">
        <v>199</v>
      </c>
      <c r="H354" s="2102">
        <v>76</v>
      </c>
      <c r="I354" s="2102">
        <v>730</v>
      </c>
      <c r="J354" s="2370"/>
      <c r="K354" s="2377"/>
      <c r="L354" s="2370"/>
      <c r="M354" s="2370"/>
      <c r="N354" s="2370"/>
      <c r="O354" s="2370"/>
      <c r="P354" s="2370"/>
      <c r="Q354" s="2380">
        <f t="shared" si="30"/>
        <v>354</v>
      </c>
    </row>
    <row r="355" spans="1:17" ht="15" customHeight="1">
      <c r="A355" s="2370"/>
      <c r="B355" s="2370" t="s">
        <v>4833</v>
      </c>
      <c r="C355" s="2370"/>
      <c r="F355" s="2102">
        <v>99</v>
      </c>
      <c r="G355" s="2102">
        <v>13</v>
      </c>
      <c r="H355" s="2102">
        <v>2</v>
      </c>
      <c r="I355" s="2102">
        <v>118</v>
      </c>
      <c r="J355" s="2370"/>
      <c r="K355" s="2377"/>
      <c r="L355" s="2370"/>
      <c r="M355" s="2370"/>
      <c r="N355" s="2370"/>
      <c r="O355" s="2370"/>
      <c r="P355" s="2370"/>
      <c r="Q355" s="2380">
        <f t="shared" si="30"/>
        <v>355</v>
      </c>
    </row>
    <row r="356" spans="1:17" ht="15" customHeight="1">
      <c r="A356" s="2370"/>
      <c r="B356" s="2370" t="s">
        <v>4834</v>
      </c>
      <c r="C356" s="2370"/>
      <c r="F356" s="2102">
        <v>1389</v>
      </c>
      <c r="G356" s="2102">
        <v>1729</v>
      </c>
      <c r="H356" s="2102">
        <v>667</v>
      </c>
      <c r="I356" s="2102">
        <v>7154</v>
      </c>
      <c r="J356" s="2370"/>
      <c r="K356" s="2377"/>
      <c r="L356" s="2370"/>
      <c r="M356" s="2370"/>
      <c r="N356" s="2370"/>
      <c r="O356" s="2370"/>
      <c r="P356" s="2370"/>
      <c r="Q356" s="2380">
        <f t="shared" si="30"/>
        <v>356</v>
      </c>
    </row>
    <row r="357" spans="1:17" ht="15" customHeight="1">
      <c r="A357" s="2370"/>
      <c r="B357" s="2370" t="s">
        <v>4835</v>
      </c>
      <c r="C357" s="2370"/>
      <c r="F357" s="2102">
        <v>543</v>
      </c>
      <c r="G357" s="2102">
        <v>137</v>
      </c>
      <c r="H357" s="2102">
        <v>42</v>
      </c>
      <c r="I357" s="2102">
        <v>571</v>
      </c>
      <c r="J357" s="2370"/>
      <c r="K357" s="2377"/>
      <c r="L357" s="2370"/>
      <c r="M357" s="2370"/>
      <c r="N357" s="2370"/>
      <c r="O357" s="2370"/>
      <c r="P357" s="2370"/>
      <c r="Q357" s="2380">
        <f t="shared" si="30"/>
        <v>357</v>
      </c>
    </row>
    <row r="358" spans="1:17" ht="15" customHeight="1">
      <c r="A358" s="2370"/>
      <c r="B358" s="2370" t="s">
        <v>4836</v>
      </c>
      <c r="C358" s="2370"/>
      <c r="F358" s="2102">
        <v>1132</v>
      </c>
      <c r="G358" s="2102">
        <v>492</v>
      </c>
      <c r="H358" s="2102">
        <v>23</v>
      </c>
      <c r="I358" s="2102">
        <v>871</v>
      </c>
      <c r="J358" s="2370"/>
      <c r="K358" s="2377"/>
      <c r="L358" s="2370"/>
      <c r="M358" s="2370"/>
      <c r="N358" s="2370"/>
      <c r="O358" s="2370"/>
      <c r="P358" s="2370"/>
      <c r="Q358" s="2380">
        <f t="shared" si="30"/>
        <v>358</v>
      </c>
    </row>
    <row r="359" spans="1:17" ht="15" customHeight="1">
      <c r="A359" s="2370"/>
      <c r="B359" s="2370" t="s">
        <v>4837</v>
      </c>
      <c r="C359" s="2370"/>
      <c r="F359" s="2102">
        <v>576</v>
      </c>
      <c r="G359" s="2102">
        <v>122</v>
      </c>
      <c r="H359" s="2102">
        <v>42</v>
      </c>
      <c r="I359" s="2102">
        <v>364</v>
      </c>
      <c r="J359" s="2370"/>
      <c r="K359" s="2377"/>
      <c r="L359" s="2370"/>
      <c r="M359" s="2370"/>
      <c r="N359" s="2370"/>
      <c r="O359" s="2370"/>
      <c r="P359" s="2370"/>
      <c r="Q359" s="2380">
        <f t="shared" si="30"/>
        <v>359</v>
      </c>
    </row>
    <row r="360" spans="1:17" ht="15" customHeight="1">
      <c r="A360" s="2370"/>
      <c r="B360" s="2370" t="s">
        <v>4838</v>
      </c>
      <c r="C360" s="2370"/>
      <c r="F360" s="2102">
        <v>289</v>
      </c>
      <c r="G360" s="2102">
        <v>103</v>
      </c>
      <c r="H360" s="2102">
        <v>34</v>
      </c>
      <c r="I360" s="2102">
        <v>362</v>
      </c>
      <c r="J360" s="2370"/>
      <c r="K360" s="2377"/>
      <c r="L360" s="2370"/>
      <c r="M360" s="2370"/>
      <c r="N360" s="2370"/>
      <c r="O360" s="2370"/>
      <c r="P360" s="2370"/>
      <c r="Q360" s="2380">
        <f t="shared" si="30"/>
        <v>360</v>
      </c>
    </row>
    <row r="361" spans="1:17" ht="15" customHeight="1">
      <c r="A361" s="2370"/>
      <c r="B361" s="2370" t="s">
        <v>4839</v>
      </c>
      <c r="C361" s="2370"/>
      <c r="F361" s="2102">
        <v>621</v>
      </c>
      <c r="G361" s="2102">
        <v>173</v>
      </c>
      <c r="H361" s="2102">
        <v>45</v>
      </c>
      <c r="I361" s="2102">
        <v>545</v>
      </c>
      <c r="J361" s="2370"/>
      <c r="K361" s="2377"/>
      <c r="L361" s="2370"/>
      <c r="M361" s="2370"/>
      <c r="N361" s="2370"/>
      <c r="O361" s="2370"/>
      <c r="P361" s="2370"/>
      <c r="Q361" s="2380">
        <f t="shared" si="30"/>
        <v>361</v>
      </c>
    </row>
    <row r="362" spans="1:17" ht="15" customHeight="1">
      <c r="A362" s="2370"/>
      <c r="B362" s="2370" t="s">
        <v>4840</v>
      </c>
      <c r="C362" s="2370"/>
      <c r="F362" s="2102">
        <v>1037</v>
      </c>
      <c r="G362" s="2102">
        <v>153</v>
      </c>
      <c r="H362" s="2102">
        <v>23</v>
      </c>
      <c r="I362" s="2102">
        <v>652</v>
      </c>
      <c r="J362" s="2370"/>
      <c r="K362" s="2377"/>
      <c r="L362" s="2370"/>
      <c r="M362" s="2370"/>
      <c r="N362" s="2370"/>
      <c r="O362" s="2370"/>
      <c r="P362" s="2370"/>
      <c r="Q362" s="2380">
        <f t="shared" si="30"/>
        <v>362</v>
      </c>
    </row>
    <row r="363" spans="1:17" ht="15" customHeight="1">
      <c r="A363" s="2370"/>
      <c r="B363" s="2370" t="s">
        <v>4841</v>
      </c>
      <c r="C363" s="2370"/>
      <c r="F363" s="2102">
        <v>70</v>
      </c>
      <c r="G363" s="2102">
        <v>16</v>
      </c>
      <c r="H363" s="2102">
        <v>7</v>
      </c>
      <c r="I363" s="2102">
        <v>43</v>
      </c>
      <c r="J363" s="2370"/>
      <c r="K363" s="2377"/>
      <c r="L363" s="2370"/>
      <c r="M363" s="2370"/>
      <c r="N363" s="2370"/>
      <c r="O363" s="2370"/>
      <c r="P363" s="2370"/>
      <c r="Q363" s="2380">
        <f t="shared" si="30"/>
        <v>363</v>
      </c>
    </row>
    <row r="364" spans="1:17" ht="15" customHeight="1">
      <c r="A364" s="2370"/>
      <c r="B364" s="2370"/>
      <c r="C364" s="2370"/>
      <c r="F364" s="2102"/>
      <c r="G364" s="2102"/>
      <c r="H364" s="2102"/>
      <c r="I364" s="2370"/>
      <c r="J364" s="2370"/>
      <c r="K364" s="2377"/>
      <c r="L364" s="2370"/>
      <c r="M364" s="2370"/>
      <c r="N364" s="2370"/>
      <c r="O364" s="2370"/>
      <c r="P364" s="2370"/>
      <c r="Q364" s="2380">
        <f t="shared" si="30"/>
        <v>364</v>
      </c>
    </row>
    <row r="365" spans="1:17" ht="15" customHeight="1">
      <c r="A365" s="2370"/>
      <c r="B365" s="2370" t="s">
        <v>4842</v>
      </c>
      <c r="C365" s="2370"/>
      <c r="F365" s="2102">
        <f>SUM(F$342:F$347)</f>
        <v>1568</v>
      </c>
      <c r="G365" s="2102">
        <f>SUM(G$342:G$347)</f>
        <v>365</v>
      </c>
      <c r="H365" s="2102">
        <f>SUM(H$342:H$347)</f>
        <v>144</v>
      </c>
      <c r="I365" s="2102">
        <f>SUM(I$342:I$347)</f>
        <v>1395</v>
      </c>
      <c r="J365" s="2370"/>
      <c r="K365" s="2377"/>
      <c r="L365" s="2370"/>
      <c r="M365" s="2370"/>
      <c r="N365" s="2370"/>
      <c r="O365" s="2370"/>
      <c r="P365" s="2370"/>
      <c r="Q365" s="2380">
        <f t="shared" si="30"/>
        <v>365</v>
      </c>
    </row>
    <row r="366" spans="1:17" ht="15" customHeight="1">
      <c r="A366" s="2370"/>
      <c r="B366" s="2370" t="s">
        <v>4843</v>
      </c>
      <c r="C366" s="2370"/>
      <c r="F366" s="2102">
        <f>SUM(F$350:F$363)</f>
        <v>11431</v>
      </c>
      <c r="G366" s="2102">
        <f>SUM(G$350:G$363)</f>
        <v>4627</v>
      </c>
      <c r="H366" s="2102">
        <f>SUM(H$350:H$363)</f>
        <v>1355</v>
      </c>
      <c r="I366" s="2102">
        <f>SUM(I$350:I$363)</f>
        <v>15876</v>
      </c>
      <c r="J366" s="2370"/>
      <c r="K366" s="2370"/>
      <c r="L366" s="2377"/>
      <c r="M366" s="2377"/>
      <c r="N366" s="2377"/>
      <c r="O366" s="2370"/>
      <c r="P366" s="2370"/>
      <c r="Q366" s="2380">
        <f t="shared" si="30"/>
        <v>366</v>
      </c>
    </row>
    <row r="367" spans="1:17" ht="15" customHeight="1">
      <c r="A367" s="2370"/>
      <c r="B367" s="2370" t="s">
        <v>4844</v>
      </c>
      <c r="C367" s="2370"/>
      <c r="F367" s="2102">
        <f>SUM(F$342:F$347,F$350:F$363)</f>
        <v>12999</v>
      </c>
      <c r="G367" s="2102">
        <f>SUM(G$342:G$347,G$350:G$363)</f>
        <v>4992</v>
      </c>
      <c r="H367" s="2102">
        <f>SUM(H$342:H$347,H$350:H$363)</f>
        <v>1499</v>
      </c>
      <c r="I367" s="2102">
        <f>SUM(I$342:I$347,I$350:I$363)</f>
        <v>17271</v>
      </c>
      <c r="J367" s="2370"/>
      <c r="K367" s="2370"/>
      <c r="L367" s="2377"/>
      <c r="M367" s="2377"/>
      <c r="N367" s="2377"/>
      <c r="O367" s="2370"/>
      <c r="P367" s="2370"/>
      <c r="Q367" s="2380">
        <f t="shared" si="30"/>
        <v>367</v>
      </c>
    </row>
    <row r="368" spans="1:17" ht="15" customHeight="1">
      <c r="A368" s="2375"/>
      <c r="B368" s="2375" t="s">
        <v>4845</v>
      </c>
      <c r="C368" s="2375"/>
      <c r="F368" s="2382">
        <v>109425</v>
      </c>
      <c r="G368" s="2382">
        <v>33889</v>
      </c>
      <c r="H368" s="2382">
        <v>13879</v>
      </c>
      <c r="I368" s="2382">
        <v>89996</v>
      </c>
      <c r="J368" s="2375"/>
      <c r="K368" s="2375"/>
      <c r="L368" s="2385"/>
      <c r="M368" s="2385"/>
      <c r="N368" s="2385"/>
      <c r="O368" s="2375"/>
      <c r="P368" s="2375"/>
      <c r="Q368" s="2380">
        <f t="shared" si="30"/>
        <v>368</v>
      </c>
    </row>
    <row r="369" spans="1:17" ht="15" customHeight="1">
      <c r="A369" s="2370"/>
      <c r="B369" s="2370"/>
      <c r="C369" s="2370"/>
      <c r="D369" s="2106"/>
      <c r="E369" s="2370"/>
      <c r="F369" s="2370"/>
      <c r="G369" s="2370"/>
      <c r="H369" s="2370"/>
      <c r="I369" s="2370"/>
      <c r="J369" s="2370"/>
      <c r="K369" s="2370"/>
      <c r="L369" s="2377"/>
      <c r="M369" s="2377"/>
      <c r="N369" s="2377"/>
      <c r="O369" s="2370"/>
      <c r="P369" s="2370"/>
      <c r="Q369" s="2380">
        <f t="shared" si="30"/>
        <v>369</v>
      </c>
    </row>
    <row r="370" spans="1:17" ht="15" customHeight="1">
      <c r="A370" s="2370"/>
      <c r="B370" s="2373" t="s">
        <v>4846</v>
      </c>
      <c r="C370" s="2370"/>
      <c r="D370" s="2106"/>
      <c r="E370" s="2370"/>
      <c r="F370" s="2370"/>
      <c r="G370" s="2370"/>
      <c r="H370" s="2370"/>
      <c r="I370" s="2370"/>
      <c r="J370" s="2370"/>
      <c r="K370" s="2370"/>
      <c r="L370" s="2377"/>
      <c r="M370" s="2377"/>
      <c r="N370" s="2377"/>
      <c r="O370" s="2370"/>
      <c r="P370" s="2370"/>
      <c r="Q370" s="2380">
        <f t="shared" si="30"/>
        <v>370</v>
      </c>
    </row>
    <row r="371" spans="1:17" ht="15" customHeight="1">
      <c r="A371" s="2370"/>
      <c r="B371" s="2841" t="s">
        <v>4847</v>
      </c>
      <c r="C371" s="2370"/>
      <c r="D371" s="2370"/>
      <c r="E371" s="2370"/>
      <c r="F371" s="2370"/>
      <c r="G371" s="2370"/>
      <c r="H371" s="2370"/>
      <c r="I371" s="2370"/>
      <c r="J371" s="2370"/>
      <c r="K371" s="2370"/>
      <c r="L371" s="2377"/>
      <c r="M371" s="2377"/>
      <c r="N371" s="2377"/>
      <c r="O371" s="2370"/>
      <c r="P371" s="2370"/>
      <c r="Q371" s="2380">
        <f t="shared" si="30"/>
        <v>371</v>
      </c>
    </row>
    <row r="372" spans="1:17" ht="15" customHeight="1">
      <c r="A372" s="2370"/>
      <c r="B372" s="2841"/>
      <c r="C372" s="2370"/>
      <c r="D372" s="2370"/>
      <c r="E372" s="2370"/>
      <c r="F372" s="2370"/>
      <c r="G372" s="2370"/>
      <c r="H372" s="4055" t="s">
        <v>4865</v>
      </c>
      <c r="I372" s="2370"/>
      <c r="J372" s="2370"/>
      <c r="K372" s="2370"/>
      <c r="L372" s="2377"/>
      <c r="M372" s="2377"/>
      <c r="N372" s="2377"/>
      <c r="O372" s="2370"/>
      <c r="P372" s="2370"/>
      <c r="Q372" s="117">
        <f>ROW()</f>
        <v>372</v>
      </c>
    </row>
    <row r="373" spans="1:17" ht="15" customHeight="1">
      <c r="A373" s="2370"/>
      <c r="B373" s="2370"/>
      <c r="C373" s="2370"/>
      <c r="G373" s="2388" t="s">
        <v>4820</v>
      </c>
      <c r="H373" s="3807"/>
      <c r="I373" s="2388" t="s">
        <v>1975</v>
      </c>
      <c r="J373" s="2370"/>
      <c r="K373" s="2370"/>
      <c r="L373" s="2377"/>
      <c r="M373" s="2377"/>
      <c r="N373" s="2377"/>
      <c r="O373" s="2370"/>
      <c r="P373" s="2370"/>
      <c r="Q373" s="2380">
        <f t="shared" ref="Q373:Q394" si="31">ROW(Q373)</f>
        <v>373</v>
      </c>
    </row>
    <row r="374" spans="1:17" ht="15" customHeight="1">
      <c r="A374" s="2370"/>
      <c r="B374" s="2375" t="s">
        <v>4848</v>
      </c>
      <c r="C374" s="2370"/>
      <c r="G374" s="2370"/>
      <c r="H374" s="2370"/>
      <c r="I374" s="2370"/>
      <c r="J374" s="2370"/>
      <c r="K374" s="2370"/>
      <c r="L374" s="2377"/>
      <c r="M374" s="2377"/>
      <c r="N374" s="2377"/>
      <c r="O374" s="2370"/>
      <c r="P374" s="2370"/>
      <c r="Q374" s="2380">
        <f t="shared" si="31"/>
        <v>374</v>
      </c>
    </row>
    <row r="375" spans="1:17" ht="15" customHeight="1">
      <c r="A375" s="2370"/>
      <c r="B375" s="2370" t="s">
        <v>4849</v>
      </c>
      <c r="C375" s="2370"/>
      <c r="G375" s="2370">
        <v>20</v>
      </c>
      <c r="H375" s="2370">
        <v>17</v>
      </c>
      <c r="I375" s="2370">
        <v>13</v>
      </c>
      <c r="J375" s="2370"/>
      <c r="K375" s="2377"/>
      <c r="L375" s="2370"/>
      <c r="M375" s="2370"/>
      <c r="N375" s="2370"/>
      <c r="O375" s="2370"/>
      <c r="P375" s="2370"/>
      <c r="Q375" s="2380">
        <f t="shared" si="31"/>
        <v>375</v>
      </c>
    </row>
    <row r="376" spans="1:17" ht="15" customHeight="1">
      <c r="A376" s="2370"/>
      <c r="B376" s="2370" t="s">
        <v>4850</v>
      </c>
      <c r="C376" s="2370"/>
      <c r="G376" s="2370">
        <v>9</v>
      </c>
      <c r="H376" s="2370">
        <v>45</v>
      </c>
      <c r="I376" s="2370">
        <v>58</v>
      </c>
      <c r="J376" s="2370"/>
      <c r="K376" s="2377"/>
      <c r="L376" s="2370"/>
      <c r="M376" s="2370"/>
      <c r="N376" s="2370"/>
      <c r="O376" s="2370"/>
      <c r="P376" s="2370"/>
      <c r="Q376" s="2380">
        <f t="shared" si="31"/>
        <v>376</v>
      </c>
    </row>
    <row r="377" spans="1:17" ht="15" customHeight="1">
      <c r="A377" s="2370"/>
      <c r="B377" s="2370" t="s">
        <v>4851</v>
      </c>
      <c r="C377" s="2370"/>
      <c r="G377" s="2370">
        <v>12</v>
      </c>
      <c r="H377" s="2370">
        <v>21</v>
      </c>
      <c r="I377" s="2370">
        <v>27</v>
      </c>
      <c r="J377" s="2370"/>
      <c r="K377" s="2377"/>
      <c r="L377" s="2370"/>
      <c r="M377" s="2370"/>
      <c r="N377" s="2370"/>
      <c r="O377" s="2370"/>
      <c r="P377" s="2370"/>
      <c r="Q377" s="2380">
        <f t="shared" si="31"/>
        <v>377</v>
      </c>
    </row>
    <row r="378" spans="1:17" ht="15" customHeight="1">
      <c r="A378" s="2370"/>
      <c r="B378" s="2370" t="s">
        <v>228</v>
      </c>
      <c r="C378" s="2370"/>
      <c r="G378" s="2370">
        <f>SUM(G375:G377)</f>
        <v>41</v>
      </c>
      <c r="H378" s="2370">
        <f>SUM(H375:H377)</f>
        <v>83</v>
      </c>
      <c r="I378" s="2370">
        <f>SUM(I375:I377)</f>
        <v>98</v>
      </c>
      <c r="J378" s="2370"/>
      <c r="K378" s="2377"/>
      <c r="L378" s="2370"/>
      <c r="M378" s="2370"/>
      <c r="N378" s="2370"/>
      <c r="O378" s="2370"/>
      <c r="P378" s="2370"/>
      <c r="Q378" s="2380">
        <f t="shared" si="31"/>
        <v>378</v>
      </c>
    </row>
    <row r="379" spans="1:17" ht="15" customHeight="1">
      <c r="A379" s="2370"/>
      <c r="B379" s="2370"/>
      <c r="C379" s="2370"/>
      <c r="G379" s="2370"/>
      <c r="H379" s="2370"/>
      <c r="I379" s="2370"/>
      <c r="J379" s="2370"/>
      <c r="K379" s="2377"/>
      <c r="L379" s="2370"/>
      <c r="M379" s="2370"/>
      <c r="N379" s="2370"/>
      <c r="O379" s="2370"/>
      <c r="P379" s="2370"/>
      <c r="Q379" s="2380">
        <f t="shared" si="31"/>
        <v>379</v>
      </c>
    </row>
    <row r="380" spans="1:17" ht="15" customHeight="1">
      <c r="A380" s="2370"/>
      <c r="B380" s="2375" t="s">
        <v>4783</v>
      </c>
      <c r="C380" s="2370"/>
      <c r="G380" s="2370"/>
      <c r="H380" s="2370"/>
      <c r="I380" s="2370"/>
      <c r="J380" s="2370"/>
      <c r="K380" s="2377"/>
      <c r="L380" s="2370"/>
      <c r="M380" s="2370"/>
      <c r="N380" s="2370"/>
      <c r="O380" s="2370"/>
      <c r="P380" s="2370"/>
      <c r="Q380" s="2380">
        <f t="shared" si="31"/>
        <v>380</v>
      </c>
    </row>
    <row r="381" spans="1:17" ht="15" customHeight="1">
      <c r="A381" s="2370"/>
      <c r="B381" s="2370" t="s">
        <v>4852</v>
      </c>
      <c r="C381" s="2370"/>
      <c r="G381" s="2377">
        <v>627</v>
      </c>
      <c r="H381" s="2377">
        <v>95</v>
      </c>
      <c r="I381" s="2377">
        <v>225</v>
      </c>
      <c r="J381" s="2370"/>
      <c r="K381" s="2377"/>
      <c r="L381" s="2370"/>
      <c r="M381" s="2370"/>
      <c r="N381" s="2370"/>
      <c r="O381" s="2370"/>
      <c r="P381" s="2370"/>
      <c r="Q381" s="2380">
        <f t="shared" si="31"/>
        <v>381</v>
      </c>
    </row>
    <row r="382" spans="1:17" ht="15" customHeight="1">
      <c r="A382" s="2370"/>
      <c r="B382" s="2370" t="s">
        <v>4853</v>
      </c>
      <c r="C382" s="2370"/>
      <c r="G382" s="2377">
        <v>933</v>
      </c>
      <c r="H382" s="2377">
        <v>131</v>
      </c>
      <c r="I382" s="2377">
        <v>304</v>
      </c>
      <c r="J382" s="2370"/>
      <c r="K382" s="2377"/>
      <c r="L382" s="2370"/>
      <c r="M382" s="2370"/>
      <c r="N382" s="2370"/>
      <c r="O382" s="2370"/>
      <c r="P382" s="2370"/>
      <c r="Q382" s="2380">
        <f t="shared" si="31"/>
        <v>382</v>
      </c>
    </row>
    <row r="383" spans="1:17" ht="15" customHeight="1">
      <c r="A383" s="2370"/>
      <c r="B383" s="2370" t="s">
        <v>4854</v>
      </c>
      <c r="C383" s="2370"/>
      <c r="G383" s="2377">
        <v>124</v>
      </c>
      <c r="H383" s="2377">
        <v>51</v>
      </c>
      <c r="I383" s="2377">
        <v>117</v>
      </c>
      <c r="J383" s="2370"/>
      <c r="K383" s="2377"/>
      <c r="L383" s="2370"/>
      <c r="M383" s="2370"/>
      <c r="N383" s="2370"/>
      <c r="O383" s="2370"/>
      <c r="P383" s="2370"/>
      <c r="Q383" s="2380">
        <f t="shared" si="31"/>
        <v>383</v>
      </c>
    </row>
    <row r="384" spans="1:17" ht="15" customHeight="1">
      <c r="A384" s="2370"/>
      <c r="B384" s="2370" t="s">
        <v>4855</v>
      </c>
      <c r="C384" s="2370"/>
      <c r="G384" s="2377">
        <v>22</v>
      </c>
      <c r="H384" s="2377">
        <v>5</v>
      </c>
      <c r="I384" s="2377">
        <v>15</v>
      </c>
      <c r="J384" s="2370"/>
      <c r="K384" s="2377"/>
      <c r="L384" s="2370"/>
      <c r="M384" s="2370"/>
      <c r="N384" s="2370"/>
      <c r="O384" s="2370"/>
      <c r="P384" s="2370"/>
      <c r="Q384" s="2380">
        <f t="shared" si="31"/>
        <v>384</v>
      </c>
    </row>
    <row r="385" spans="1:17" ht="15" customHeight="1">
      <c r="A385" s="2370"/>
      <c r="B385" s="2370" t="s">
        <v>4856</v>
      </c>
      <c r="C385" s="2370"/>
      <c r="G385" s="2377">
        <v>47</v>
      </c>
      <c r="H385" s="2377">
        <v>25</v>
      </c>
      <c r="I385" s="2377">
        <v>58</v>
      </c>
      <c r="J385" s="2370"/>
      <c r="K385" s="2377"/>
      <c r="L385" s="2370"/>
      <c r="M385" s="2370"/>
      <c r="N385" s="2370"/>
      <c r="O385" s="2370"/>
      <c r="P385" s="2370"/>
      <c r="Q385" s="2380">
        <f t="shared" si="31"/>
        <v>385</v>
      </c>
    </row>
    <row r="386" spans="1:17" ht="15" customHeight="1">
      <c r="A386" s="2370"/>
      <c r="B386" s="2370" t="s">
        <v>4857</v>
      </c>
      <c r="C386" s="2370"/>
      <c r="G386" s="2377">
        <v>312</v>
      </c>
      <c r="H386" s="2377">
        <v>82</v>
      </c>
      <c r="I386" s="2377">
        <v>223</v>
      </c>
      <c r="J386" s="2370"/>
      <c r="K386" s="2377"/>
      <c r="L386" s="2370"/>
      <c r="M386" s="2370"/>
      <c r="N386" s="2370"/>
      <c r="O386" s="2370"/>
      <c r="P386" s="2370"/>
      <c r="Q386" s="2380">
        <f t="shared" si="31"/>
        <v>386</v>
      </c>
    </row>
    <row r="387" spans="1:17" ht="15" customHeight="1">
      <c r="A387" s="2370"/>
      <c r="B387" s="2370" t="s">
        <v>4858</v>
      </c>
      <c r="C387" s="2370"/>
      <c r="G387" s="2377">
        <v>720</v>
      </c>
      <c r="H387" s="2377">
        <v>272</v>
      </c>
      <c r="I387" s="2377">
        <v>730</v>
      </c>
      <c r="J387" s="2370"/>
      <c r="K387" s="2377"/>
      <c r="L387" s="2370"/>
      <c r="M387" s="2370"/>
      <c r="N387" s="2370"/>
      <c r="O387" s="2370"/>
      <c r="P387" s="2370"/>
      <c r="Q387" s="2380">
        <f t="shared" si="31"/>
        <v>387</v>
      </c>
    </row>
    <row r="388" spans="1:17" ht="15" customHeight="1">
      <c r="A388" s="2370"/>
      <c r="B388" s="2370" t="s">
        <v>4859</v>
      </c>
      <c r="C388" s="2370"/>
      <c r="G388" s="2377">
        <v>133</v>
      </c>
      <c r="H388" s="2377">
        <v>46</v>
      </c>
      <c r="I388" s="2377">
        <v>129</v>
      </c>
      <c r="J388" s="2370"/>
      <c r="K388" s="2377"/>
      <c r="L388" s="2370"/>
      <c r="M388" s="2370"/>
      <c r="N388" s="2370"/>
      <c r="O388" s="2370"/>
      <c r="P388" s="2370"/>
      <c r="Q388" s="2380">
        <f t="shared" si="31"/>
        <v>388</v>
      </c>
    </row>
    <row r="389" spans="1:17" ht="15" customHeight="1">
      <c r="A389" s="2370"/>
      <c r="B389" s="2370" t="s">
        <v>4860</v>
      </c>
      <c r="C389" s="2370"/>
      <c r="G389" s="2377">
        <v>145</v>
      </c>
      <c r="H389" s="2377">
        <v>146</v>
      </c>
      <c r="I389" s="2377">
        <v>429</v>
      </c>
      <c r="J389" s="2377"/>
      <c r="K389" s="2370"/>
      <c r="L389" s="2370"/>
      <c r="M389" s="2370"/>
      <c r="N389" s="2370"/>
      <c r="O389" s="2370"/>
      <c r="P389" s="2370"/>
      <c r="Q389" s="2380">
        <f t="shared" si="31"/>
        <v>389</v>
      </c>
    </row>
    <row r="390" spans="1:17" ht="15" customHeight="1">
      <c r="A390" s="2370"/>
      <c r="B390" s="2370" t="s">
        <v>4861</v>
      </c>
      <c r="C390" s="2370"/>
      <c r="G390" s="2377">
        <v>170</v>
      </c>
      <c r="H390" s="2377">
        <v>446</v>
      </c>
      <c r="I390" s="2377">
        <v>531</v>
      </c>
      <c r="J390" s="2377"/>
      <c r="K390" s="2370"/>
      <c r="L390" s="2370"/>
      <c r="M390" s="2370"/>
      <c r="N390" s="2370"/>
      <c r="O390" s="2370"/>
      <c r="P390" s="2370"/>
      <c r="Q390" s="2380">
        <f t="shared" si="31"/>
        <v>390</v>
      </c>
    </row>
    <row r="391" spans="1:17" ht="15" customHeight="1">
      <c r="A391" s="2370"/>
      <c r="B391" s="2370" t="s">
        <v>4862</v>
      </c>
      <c r="C391" s="2370"/>
      <c r="G391" s="2377">
        <v>3</v>
      </c>
      <c r="H391" s="2377">
        <v>43</v>
      </c>
      <c r="I391" s="2377">
        <v>43</v>
      </c>
      <c r="J391" s="2377"/>
      <c r="K391" s="2370"/>
      <c r="L391" s="2370"/>
      <c r="M391" s="2370"/>
      <c r="N391" s="2370"/>
      <c r="O391" s="2370"/>
      <c r="P391" s="2370"/>
      <c r="Q391" s="2380">
        <f t="shared" si="31"/>
        <v>391</v>
      </c>
    </row>
    <row r="392" spans="1:17" ht="15" customHeight="1">
      <c r="A392" s="2370"/>
      <c r="B392" s="2370" t="s">
        <v>4863</v>
      </c>
      <c r="C392" s="2370"/>
      <c r="G392" s="2377">
        <v>9</v>
      </c>
      <c r="H392" s="2377">
        <v>7</v>
      </c>
      <c r="I392" s="2377">
        <v>2</v>
      </c>
      <c r="J392" s="2377"/>
      <c r="K392" s="2370"/>
      <c r="L392" s="2370"/>
      <c r="M392" s="2370"/>
      <c r="N392" s="2370"/>
      <c r="O392" s="2370"/>
      <c r="P392" s="2370"/>
      <c r="Q392" s="2380">
        <f t="shared" si="31"/>
        <v>392</v>
      </c>
    </row>
    <row r="393" spans="1:17" ht="15" customHeight="1">
      <c r="A393" s="2370"/>
      <c r="B393" s="2370" t="s">
        <v>4864</v>
      </c>
      <c r="C393" s="2370"/>
      <c r="G393" s="2377">
        <v>9</v>
      </c>
      <c r="H393" s="2377">
        <v>1</v>
      </c>
      <c r="I393" s="2377">
        <v>4</v>
      </c>
      <c r="J393" s="2377"/>
      <c r="K393" s="2370"/>
      <c r="L393" s="2370"/>
      <c r="M393" s="2370"/>
      <c r="N393" s="2370"/>
      <c r="O393" s="2370"/>
      <c r="P393" s="2370"/>
      <c r="Q393" s="2380">
        <f t="shared" si="31"/>
        <v>393</v>
      </c>
    </row>
    <row r="394" spans="1:17" ht="15" customHeight="1">
      <c r="A394" s="2375"/>
      <c r="B394" s="2375" t="s">
        <v>228</v>
      </c>
      <c r="C394" s="2375"/>
      <c r="G394" s="2385">
        <f>SUM(G381:G393)</f>
        <v>3254</v>
      </c>
      <c r="H394" s="2385">
        <f>SUM(H381:H393)</f>
        <v>1350</v>
      </c>
      <c r="I394" s="2385">
        <f>SUM(I381:I393)</f>
        <v>2810</v>
      </c>
      <c r="J394" s="2385"/>
      <c r="K394" s="2375"/>
      <c r="L394" s="2375"/>
      <c r="M394" s="2375"/>
      <c r="N394" s="2375"/>
      <c r="O394" s="2375"/>
      <c r="P394" s="2375"/>
      <c r="Q394" s="2380">
        <f t="shared" si="31"/>
        <v>394</v>
      </c>
    </row>
    <row r="395" spans="1:17" ht="15" customHeight="1">
      <c r="Q395" s="117">
        <f>ROW()</f>
        <v>395</v>
      </c>
    </row>
  </sheetData>
  <customSheetViews>
    <customSheetView guid="{BD5E6263-A0AD-4076-921A-D4EBD62848EF}" showGridLines="0" showRuler="0">
      <selection activeCell="B1" sqref="B1"/>
      <pageMargins left="0.75" right="0.75" top="1" bottom="1" header="0.5" footer="0.5"/>
      <pageSetup scale="89" orientation="portrait" r:id="rId1"/>
      <headerFooter alignWithMargins="0"/>
    </customSheetView>
    <customSheetView guid="{1D5AE30A-CA7C-4B32-AEA4-9F37A560AAA8}" showGridLines="0" showRuler="0">
      <selection activeCell="B1" sqref="B1"/>
      <pageMargins left="0.75" right="0.75" top="1" bottom="1" header="0.5" footer="0.5"/>
      <pageSetup scale="89" orientation="portrait" r:id="rId2"/>
      <headerFooter alignWithMargins="0"/>
    </customSheetView>
  </customSheetViews>
  <mergeCells count="139">
    <mergeCell ref="N151:N152"/>
    <mergeCell ref="O151:O152"/>
    <mergeCell ref="L150:O150"/>
    <mergeCell ref="L148:O149"/>
    <mergeCell ref="G151:G152"/>
    <mergeCell ref="H151:H152"/>
    <mergeCell ref="I151:I152"/>
    <mergeCell ref="J151:J152"/>
    <mergeCell ref="E121:E122"/>
    <mergeCell ref="G121:G122"/>
    <mergeCell ref="I121:I122"/>
    <mergeCell ref="K121:K122"/>
    <mergeCell ref="M121:M122"/>
    <mergeCell ref="E150:J150"/>
    <mergeCell ref="L151:L152"/>
    <mergeCell ref="M151:M152"/>
    <mergeCell ref="O119:O122"/>
    <mergeCell ref="P119:P122"/>
    <mergeCell ref="R82:T85"/>
    <mergeCell ref="R86:T89"/>
    <mergeCell ref="U63:W63"/>
    <mergeCell ref="U75:W79"/>
    <mergeCell ref="E10:M11"/>
    <mergeCell ref="E27:F29"/>
    <mergeCell ref="H27:I29"/>
    <mergeCell ref="E51:M52"/>
    <mergeCell ref="E40:G41"/>
    <mergeCell ref="H40:M41"/>
    <mergeCell ref="E38:G39"/>
    <mergeCell ref="B76:L81"/>
    <mergeCell ref="E31:F32"/>
    <mergeCell ref="H31:I32"/>
    <mergeCell ref="B27:D28"/>
    <mergeCell ref="B31:D32"/>
    <mergeCell ref="M63:P63"/>
    <mergeCell ref="D63:K63"/>
    <mergeCell ref="R63:T64"/>
    <mergeCell ref="R76:T81"/>
    <mergeCell ref="R70:T71"/>
    <mergeCell ref="B4:I6"/>
    <mergeCell ref="B216:J221"/>
    <mergeCell ref="F64:H64"/>
    <mergeCell ref="E37:M37"/>
    <mergeCell ref="B61:M61"/>
    <mergeCell ref="E15:G15"/>
    <mergeCell ref="H15:J15"/>
    <mergeCell ref="K15:M15"/>
    <mergeCell ref="E13:M13"/>
    <mergeCell ref="H38:M39"/>
    <mergeCell ref="B175:J177"/>
    <mergeCell ref="B91:K92"/>
    <mergeCell ref="I64:J64"/>
    <mergeCell ref="F159:K159"/>
    <mergeCell ref="M64:P64"/>
    <mergeCell ref="M76:P81"/>
    <mergeCell ref="B85:J86"/>
    <mergeCell ref="F160:H160"/>
    <mergeCell ref="B170:H171"/>
    <mergeCell ref="B199:K200"/>
    <mergeCell ref="B213:J215"/>
    <mergeCell ref="M161:M162"/>
    <mergeCell ref="B136:K140"/>
    <mergeCell ref="J102:P103"/>
    <mergeCell ref="K213:M215"/>
    <mergeCell ref="F252:G252"/>
    <mergeCell ref="H248:I248"/>
    <mergeCell ref="H252:I252"/>
    <mergeCell ref="B224:J225"/>
    <mergeCell ref="F250:G250"/>
    <mergeCell ref="H250:I250"/>
    <mergeCell ref="J250:K250"/>
    <mergeCell ref="B264:L265"/>
    <mergeCell ref="H260:I260"/>
    <mergeCell ref="J260:K260"/>
    <mergeCell ref="F238:G238"/>
    <mergeCell ref="H238:I238"/>
    <mergeCell ref="J238:K238"/>
    <mergeCell ref="F230:G230"/>
    <mergeCell ref="H230:I230"/>
    <mergeCell ref="J230:K230"/>
    <mergeCell ref="F232:G232"/>
    <mergeCell ref="H232:I232"/>
    <mergeCell ref="J232:K232"/>
    <mergeCell ref="H254:I254"/>
    <mergeCell ref="F254:G254"/>
    <mergeCell ref="J246:K246"/>
    <mergeCell ref="J248:K248"/>
    <mergeCell ref="F287:G287"/>
    <mergeCell ref="H287:I287"/>
    <mergeCell ref="F288:G288"/>
    <mergeCell ref="H288:I288"/>
    <mergeCell ref="F289:G289"/>
    <mergeCell ref="H289:I289"/>
    <mergeCell ref="F280:G280"/>
    <mergeCell ref="H280:I280"/>
    <mergeCell ref="F281:G281"/>
    <mergeCell ref="H281:I281"/>
    <mergeCell ref="F282:G282"/>
    <mergeCell ref="H282:I282"/>
    <mergeCell ref="J252:K252"/>
    <mergeCell ref="J254:K254"/>
    <mergeCell ref="J258:K258"/>
    <mergeCell ref="F246:G246"/>
    <mergeCell ref="H246:I246"/>
    <mergeCell ref="F248:G248"/>
    <mergeCell ref="F258:G258"/>
    <mergeCell ref="H258:I258"/>
    <mergeCell ref="F260:G260"/>
    <mergeCell ref="G339:G340"/>
    <mergeCell ref="H372:H373"/>
    <mergeCell ref="F290:G290"/>
    <mergeCell ref="J297:K297"/>
    <mergeCell ref="J299:K299"/>
    <mergeCell ref="J292:K292"/>
    <mergeCell ref="J305:K305"/>
    <mergeCell ref="J308:K308"/>
    <mergeCell ref="B322:L323"/>
    <mergeCell ref="B330:L331"/>
    <mergeCell ref="J307:K307"/>
    <mergeCell ref="J296:K296"/>
    <mergeCell ref="J302:K302"/>
    <mergeCell ref="J303:K303"/>
    <mergeCell ref="J295:K295"/>
    <mergeCell ref="F311:G311"/>
    <mergeCell ref="H311:I311"/>
    <mergeCell ref="F310:G310"/>
    <mergeCell ref="H310:I310"/>
    <mergeCell ref="F292:G292"/>
    <mergeCell ref="H292:I292"/>
    <mergeCell ref="H290:I290"/>
    <mergeCell ref="L160:O160"/>
    <mergeCell ref="H180:K180"/>
    <mergeCell ref="L180:O180"/>
    <mergeCell ref="N161:N162"/>
    <mergeCell ref="L159:O159"/>
    <mergeCell ref="O161:O162"/>
    <mergeCell ref="L166:O167"/>
    <mergeCell ref="M170:M177"/>
    <mergeCell ref="O170:O177"/>
  </mergeCells>
  <phoneticPr fontId="6" type="noConversion"/>
  <pageMargins left="0.75" right="0.75" top="1" bottom="1" header="0.5" footer="0.5"/>
  <pageSetup scale="89" orientation="portrait" r:id="rId3"/>
  <headerFooter alignWithMargins="0"/>
</worksheet>
</file>

<file path=xl/worksheets/sheet10.xml><?xml version="1.0" encoding="utf-8"?>
<worksheet xmlns="http://schemas.openxmlformats.org/spreadsheetml/2006/main" xmlns:r="http://schemas.openxmlformats.org/officeDocument/2006/relationships">
  <sheetPr codeName="Sheet7">
    <pageSetUpPr autoPageBreaks="0"/>
  </sheetPr>
  <dimension ref="B1:T698"/>
  <sheetViews>
    <sheetView showRuler="0" zoomScaleNormal="100" workbookViewId="0"/>
  </sheetViews>
  <sheetFormatPr defaultRowHeight="14.1" customHeight="1"/>
  <cols>
    <col min="1" max="1" width="2.75" customWidth="1"/>
    <col min="2" max="7" width="9.625" customWidth="1"/>
    <col min="8" max="8" width="10.75" customWidth="1"/>
    <col min="9" max="11" width="11.625" customWidth="1"/>
    <col min="12" max="14" width="10.875" customWidth="1"/>
    <col min="15" max="15" width="1.875" customWidth="1"/>
    <col min="16" max="26" width="9.625" customWidth="1"/>
  </cols>
  <sheetData>
    <row r="1" spans="2:15" ht="14.1" customHeight="1">
      <c r="O1" s="621">
        <f>ROW()</f>
        <v>1</v>
      </c>
    </row>
    <row r="2" spans="2:15" ht="14.1" customHeight="1">
      <c r="B2" s="115" t="s">
        <v>27</v>
      </c>
      <c r="K2" s="181">
        <f>'Title Page'!K1</f>
        <v>40914</v>
      </c>
      <c r="O2" s="621">
        <f>ROW()</f>
        <v>2</v>
      </c>
    </row>
    <row r="3" spans="2:15" ht="14.1" customHeight="1">
      <c r="O3" s="621">
        <f>ROW()</f>
        <v>3</v>
      </c>
    </row>
    <row r="4" spans="2:15" ht="14.1" customHeight="1">
      <c r="L4" s="4208" t="str">
        <f>CONCATENATE("This figure is copied from cell K",O75,", where it is turn calculated as the sum of these cells: K",O47," (deadweight administrative costs), K",O67," (net enviro/societal benefits), and K",O73," (user fees, aggregated).")</f>
        <v>This figure is copied from cell K75, where it is turn calculated as the sum of these cells: K47 (deadweight administrative costs), K67 (net enviro/societal benefits), and K73 (user fees, aggregated).</v>
      </c>
      <c r="M4" s="4209"/>
      <c r="N4" s="4210"/>
      <c r="O4" s="621">
        <f>ROW()</f>
        <v>4</v>
      </c>
    </row>
    <row r="5" spans="2:15" ht="14.1" customHeight="1">
      <c r="B5" s="156" t="s">
        <v>1204</v>
      </c>
      <c r="C5" s="191"/>
      <c r="D5" s="191"/>
      <c r="E5" s="191"/>
      <c r="F5" s="191"/>
      <c r="G5" s="191"/>
      <c r="H5" s="191"/>
      <c r="I5" s="191"/>
      <c r="J5" s="191"/>
      <c r="K5" s="191"/>
      <c r="L5" s="4211"/>
      <c r="M5" s="4212"/>
      <c r="N5" s="4213"/>
      <c r="O5" s="621">
        <f>ROW()</f>
        <v>5</v>
      </c>
    </row>
    <row r="6" spans="2:15" s="3545" customFormat="1" ht="14.1" customHeight="1">
      <c r="B6" s="156"/>
      <c r="C6" s="191"/>
      <c r="D6" s="191"/>
      <c r="E6" s="191"/>
      <c r="F6" s="191"/>
      <c r="G6" s="191"/>
      <c r="H6" s="191"/>
      <c r="I6" s="191"/>
      <c r="J6" s="191"/>
      <c r="K6" s="191"/>
      <c r="L6" s="4211"/>
      <c r="M6" s="4212"/>
      <c r="N6" s="4213"/>
      <c r="O6" s="621">
        <f>ROW()</f>
        <v>6</v>
      </c>
    </row>
    <row r="7" spans="2:15" s="3545" customFormat="1" ht="14.1" customHeight="1">
      <c r="C7" s="3551" t="s">
        <v>6276</v>
      </c>
      <c r="D7" s="3552"/>
      <c r="E7" s="3552"/>
      <c r="F7" s="3552"/>
      <c r="G7" s="3552"/>
      <c r="H7" s="3552"/>
      <c r="I7" s="3575">
        <f ca="1">ROUND(K75,-1)</f>
        <v>2340</v>
      </c>
      <c r="J7" s="3553" t="s">
        <v>6277</v>
      </c>
      <c r="K7" s="3552"/>
      <c r="L7" s="4211"/>
      <c r="M7" s="4212"/>
      <c r="N7" s="4213"/>
      <c r="O7" s="621">
        <f>ROW()</f>
        <v>7</v>
      </c>
    </row>
    <row r="8" spans="2:15" s="3570" customFormat="1" ht="14.1" customHeight="1">
      <c r="L8" s="4211"/>
      <c r="M8" s="4212"/>
      <c r="N8" s="4213"/>
      <c r="O8" s="621">
        <f>ROW()</f>
        <v>8</v>
      </c>
    </row>
    <row r="9" spans="2:15" ht="14.1" customHeight="1">
      <c r="L9" s="4214"/>
      <c r="M9" s="4215"/>
      <c r="N9" s="4216"/>
      <c r="O9" s="621">
        <f>ROW()</f>
        <v>9</v>
      </c>
    </row>
    <row r="10" spans="2:15" ht="14.1" customHeight="1">
      <c r="O10" s="621">
        <f>ROW()</f>
        <v>10</v>
      </c>
    </row>
    <row r="11" spans="2:15" ht="14.1" customHeight="1">
      <c r="O11" s="621">
        <f>ROW()</f>
        <v>11</v>
      </c>
    </row>
    <row r="12" spans="2:15" ht="14.1" customHeight="1">
      <c r="O12" s="621">
        <f>ROW()</f>
        <v>12</v>
      </c>
    </row>
    <row r="13" spans="2:15" ht="14.1" customHeight="1">
      <c r="O13" s="621">
        <f>ROW()</f>
        <v>13</v>
      </c>
    </row>
    <row r="14" spans="2:15" ht="14.1" customHeight="1">
      <c r="O14" s="621">
        <f>ROW()</f>
        <v>14</v>
      </c>
    </row>
    <row r="15" spans="2:15" ht="14.1" customHeight="1">
      <c r="O15" s="621">
        <f>ROW()</f>
        <v>15</v>
      </c>
    </row>
    <row r="16" spans="2:15" ht="14.1" customHeight="1">
      <c r="O16" s="621">
        <f>ROW()</f>
        <v>16</v>
      </c>
    </row>
    <row r="17" spans="14:15" ht="14.1" customHeight="1">
      <c r="O17" s="621">
        <f>ROW()</f>
        <v>17</v>
      </c>
    </row>
    <row r="18" spans="14:15" ht="14.1" customHeight="1">
      <c r="N18" s="4202" t="s">
        <v>6185</v>
      </c>
      <c r="O18" s="621">
        <f>ROW()</f>
        <v>18</v>
      </c>
    </row>
    <row r="19" spans="14:15" ht="14.1" customHeight="1">
      <c r="N19" s="3830"/>
      <c r="O19" s="621">
        <f>ROW()</f>
        <v>19</v>
      </c>
    </row>
    <row r="20" spans="14:15" ht="14.1" customHeight="1">
      <c r="N20" s="3830"/>
      <c r="O20" s="621">
        <f>ROW()</f>
        <v>20</v>
      </c>
    </row>
    <row r="21" spans="14:15" ht="14.1" customHeight="1">
      <c r="N21" s="3830"/>
      <c r="O21" s="621">
        <f>ROW()</f>
        <v>21</v>
      </c>
    </row>
    <row r="22" spans="14:15" ht="14.1" customHeight="1">
      <c r="N22" s="3830"/>
      <c r="O22" s="621">
        <f>ROW()</f>
        <v>22</v>
      </c>
    </row>
    <row r="23" spans="14:15" ht="14.1" customHeight="1">
      <c r="N23" s="3830"/>
      <c r="O23" s="621">
        <f>ROW()</f>
        <v>23</v>
      </c>
    </row>
    <row r="24" spans="14:15" ht="14.1" customHeight="1">
      <c r="N24" s="3830"/>
      <c r="O24" s="621">
        <f>ROW()</f>
        <v>24</v>
      </c>
    </row>
    <row r="25" spans="14:15" ht="14.1" customHeight="1">
      <c r="N25" s="3830"/>
      <c r="O25" s="621">
        <f>ROW()</f>
        <v>25</v>
      </c>
    </row>
    <row r="26" spans="14:15" ht="14.1" customHeight="1">
      <c r="N26" s="3830"/>
      <c r="O26" s="621">
        <f>ROW()</f>
        <v>26</v>
      </c>
    </row>
    <row r="27" spans="14:15" ht="14.1" customHeight="1">
      <c r="N27" s="3831"/>
      <c r="O27" s="621">
        <f>ROW()</f>
        <v>27</v>
      </c>
    </row>
    <row r="28" spans="14:15" ht="14.1" customHeight="1">
      <c r="O28" s="621">
        <f>ROW()</f>
        <v>28</v>
      </c>
    </row>
    <row r="29" spans="14:15" ht="14.1" customHeight="1">
      <c r="O29" s="621">
        <f>ROW()</f>
        <v>29</v>
      </c>
    </row>
    <row r="30" spans="14:15" ht="14.1" customHeight="1">
      <c r="O30" s="621">
        <f>ROW()</f>
        <v>30</v>
      </c>
    </row>
    <row r="31" spans="14:15" ht="14.1" customHeight="1">
      <c r="O31" s="621">
        <f>ROW()</f>
        <v>31</v>
      </c>
    </row>
    <row r="32" spans="14:15" ht="14.1" customHeight="1">
      <c r="O32" s="621">
        <f>ROW()</f>
        <v>32</v>
      </c>
    </row>
    <row r="33" spans="2:15" ht="14.1" customHeight="1">
      <c r="O33" s="621">
        <f>ROW()</f>
        <v>33</v>
      </c>
    </row>
    <row r="34" spans="2:15" ht="14.1" customHeight="1">
      <c r="O34" s="621">
        <f>ROW()</f>
        <v>34</v>
      </c>
    </row>
    <row r="35" spans="2:15" ht="14.1" customHeight="1">
      <c r="O35" s="621">
        <f>ROW()</f>
        <v>35</v>
      </c>
    </row>
    <row r="36" spans="2:15" ht="14.1" customHeight="1">
      <c r="M36" s="9"/>
      <c r="O36" s="621">
        <f>ROW()</f>
        <v>36</v>
      </c>
    </row>
    <row r="37" spans="2:15" ht="14.1" customHeight="1">
      <c r="O37" s="621">
        <f>ROW()</f>
        <v>37</v>
      </c>
    </row>
    <row r="38" spans="2:15" ht="14.1" customHeight="1">
      <c r="O38" s="621">
        <f>ROW()</f>
        <v>38</v>
      </c>
    </row>
    <row r="39" spans="2:15" ht="14.1" customHeight="1">
      <c r="B39" s="3778" t="s">
        <v>1205</v>
      </c>
      <c r="C39" s="3779"/>
      <c r="D39" s="3779"/>
      <c r="E39" s="3779"/>
      <c r="F39" s="3779"/>
      <c r="G39" s="3779"/>
      <c r="H39" s="3779"/>
      <c r="I39" s="3779"/>
      <c r="J39" s="3779"/>
      <c r="K39" s="3779"/>
      <c r="O39" s="621">
        <f>ROW()</f>
        <v>39</v>
      </c>
    </row>
    <row r="40" spans="2:15" ht="14.1" customHeight="1">
      <c r="B40" s="3779"/>
      <c r="C40" s="3779"/>
      <c r="D40" s="3779"/>
      <c r="E40" s="3779"/>
      <c r="F40" s="3779"/>
      <c r="G40" s="3779"/>
      <c r="H40" s="3779"/>
      <c r="I40" s="3779"/>
      <c r="J40" s="3779"/>
      <c r="K40" s="3779"/>
      <c r="O40" s="621">
        <f>ROW()</f>
        <v>40</v>
      </c>
    </row>
    <row r="41" spans="2:15" ht="14.1" customHeight="1">
      <c r="O41" s="621">
        <f>ROW()</f>
        <v>41</v>
      </c>
    </row>
    <row r="42" spans="2:15" ht="14.1" customHeight="1">
      <c r="B42" s="24" t="s">
        <v>1881</v>
      </c>
      <c r="I42" s="4147" t="s">
        <v>2155</v>
      </c>
      <c r="J42" s="4147"/>
      <c r="K42" s="4147"/>
      <c r="O42" s="621">
        <f>ROW()</f>
        <v>42</v>
      </c>
    </row>
    <row r="43" spans="2:15" ht="14.1" customHeight="1">
      <c r="I43" s="4062" t="s">
        <v>1732</v>
      </c>
      <c r="J43" s="4062"/>
      <c r="K43" s="4062"/>
      <c r="O43" s="621">
        <f>ROW()</f>
        <v>43</v>
      </c>
    </row>
    <row r="44" spans="2:15" ht="14.1" customHeight="1">
      <c r="B44" s="2" t="s">
        <v>6257</v>
      </c>
      <c r="I44" s="1974" t="s">
        <v>1976</v>
      </c>
      <c r="J44" s="1974" t="s">
        <v>3226</v>
      </c>
      <c r="K44" s="1974" t="s">
        <v>3227</v>
      </c>
      <c r="O44" s="621">
        <f>ROW()</f>
        <v>44</v>
      </c>
    </row>
    <row r="45" spans="2:15" ht="14.1" customHeight="1">
      <c r="B45" s="312" t="s">
        <v>6254</v>
      </c>
      <c r="I45" s="3550"/>
      <c r="J45" s="3550">
        <f ca="1">-Results!J36</f>
        <v>-120</v>
      </c>
      <c r="K45" s="3550">
        <f ca="1">I45+J45</f>
        <v>-120</v>
      </c>
      <c r="O45" s="621">
        <f>ROW()</f>
        <v>45</v>
      </c>
    </row>
    <row r="46" spans="2:15" ht="14.1" customHeight="1">
      <c r="B46" s="312" t="s">
        <v>6255</v>
      </c>
      <c r="I46" s="1975">
        <f>Results!I43</f>
        <v>0</v>
      </c>
      <c r="J46" s="1975"/>
      <c r="K46" s="1975">
        <f t="shared" ref="K46" si="0">I46+J46</f>
        <v>0</v>
      </c>
      <c r="O46" s="621">
        <f>ROW()</f>
        <v>46</v>
      </c>
    </row>
    <row r="47" spans="2:15" ht="14.1" customHeight="1">
      <c r="B47" s="2" t="s">
        <v>6258</v>
      </c>
      <c r="I47" s="1708">
        <f>SUM(I45:I46)</f>
        <v>0</v>
      </c>
      <c r="J47" s="1708">
        <f ca="1">SUM(J45:J46)</f>
        <v>-120</v>
      </c>
      <c r="K47" s="1708">
        <f ca="1">I47+J47</f>
        <v>-120</v>
      </c>
      <c r="O47" s="621">
        <f>ROW()</f>
        <v>47</v>
      </c>
    </row>
    <row r="48" spans="2:15" ht="14.1" customHeight="1">
      <c r="O48" s="621">
        <f>ROW()</f>
        <v>48</v>
      </c>
    </row>
    <row r="49" spans="2:15" ht="14.1" customHeight="1">
      <c r="B49" s="6" t="s">
        <v>1674</v>
      </c>
      <c r="I49" s="242" t="s">
        <v>2930</v>
      </c>
      <c r="J49" s="242" t="s">
        <v>2931</v>
      </c>
      <c r="K49" s="242" t="s">
        <v>2932</v>
      </c>
      <c r="O49" s="621">
        <f>ROW()</f>
        <v>49</v>
      </c>
    </row>
    <row r="50" spans="2:15" ht="14.1" customHeight="1">
      <c r="B50" s="312" t="s">
        <v>4309</v>
      </c>
      <c r="I50" s="2440">
        <f ca="1">I51+I52</f>
        <v>727.32541320809787</v>
      </c>
      <c r="J50" s="2440">
        <f>J51+J52</f>
        <v>0</v>
      </c>
      <c r="K50" s="2440">
        <f ca="1">K51+K52</f>
        <v>727.32541320809787</v>
      </c>
      <c r="O50" s="621">
        <f>ROW()</f>
        <v>50</v>
      </c>
    </row>
    <row r="51" spans="2:15" ht="14.1" customHeight="1">
      <c r="B51" s="312" t="s">
        <v>6186</v>
      </c>
      <c r="I51" s="1708">
        <f ca="1">K128</f>
        <v>101.14487551731725</v>
      </c>
      <c r="J51" s="1708">
        <v>0</v>
      </c>
      <c r="K51" s="1708">
        <f t="shared" ref="K51" ca="1" si="1">I51+J51</f>
        <v>101.14487551731725</v>
      </c>
      <c r="O51" s="621">
        <f>ROW()</f>
        <v>51</v>
      </c>
    </row>
    <row r="52" spans="2:15" ht="14.1" customHeight="1">
      <c r="B52" s="312" t="s">
        <v>6187</v>
      </c>
      <c r="I52" s="1708">
        <f ca="1">K146</f>
        <v>626.18053769078062</v>
      </c>
      <c r="J52" s="1708">
        <v>0</v>
      </c>
      <c r="K52" s="1708">
        <f t="shared" ref="K52" ca="1" si="2">I52+J52</f>
        <v>626.18053769078062</v>
      </c>
      <c r="O52" s="621">
        <f>ROW()</f>
        <v>52</v>
      </c>
    </row>
    <row r="53" spans="2:15" ht="14.1" customHeight="1">
      <c r="B53" s="312" t="s">
        <v>4310</v>
      </c>
      <c r="H53" s="145" t="s">
        <v>2747</v>
      </c>
      <c r="I53" s="1708"/>
      <c r="J53" s="1708"/>
      <c r="K53" s="1708"/>
      <c r="O53" s="621">
        <f>ROW()</f>
        <v>53</v>
      </c>
    </row>
    <row r="54" spans="2:15" ht="14.1" customHeight="1">
      <c r="B54" s="312" t="s">
        <v>6188</v>
      </c>
      <c r="G54" s="273">
        <f ca="1">H54/$I$54</f>
        <v>0.51308862385370768</v>
      </c>
      <c r="H54" s="235">
        <f ca="1">K211</f>
        <v>1101.093998701235</v>
      </c>
      <c r="I54" s="1708">
        <f ca="1">SUM(H54:H56)</f>
        <v>2146.0113273046954</v>
      </c>
      <c r="J54" s="1708">
        <v>0</v>
      </c>
      <c r="K54" s="1708">
        <f t="shared" ref="K54" ca="1" si="3">I54+J54</f>
        <v>2146.0113273046954</v>
      </c>
      <c r="O54" s="621">
        <f>ROW()</f>
        <v>54</v>
      </c>
    </row>
    <row r="55" spans="2:15" ht="14.1" customHeight="1">
      <c r="B55" s="312" t="s">
        <v>6256</v>
      </c>
      <c r="G55" s="273">
        <f ca="1">H55/$I$54</f>
        <v>0.48691137614629232</v>
      </c>
      <c r="H55" s="235">
        <f ca="1">K225</f>
        <v>1044.9173286034606</v>
      </c>
      <c r="I55" s="1708"/>
      <c r="J55" s="1708"/>
      <c r="K55" s="1708"/>
      <c r="O55" s="621">
        <f>ROW()</f>
        <v>55</v>
      </c>
    </row>
    <row r="56" spans="2:15" ht="14.1" customHeight="1">
      <c r="B56" s="312" t="s">
        <v>6189</v>
      </c>
      <c r="G56" s="273">
        <f ca="1">H56/$I$54</f>
        <v>0</v>
      </c>
      <c r="H56" s="235">
        <f ca="1">I175</f>
        <v>0</v>
      </c>
      <c r="I56" s="1708"/>
      <c r="J56" s="1708"/>
      <c r="K56" s="1708"/>
      <c r="O56" s="621">
        <f>ROW()</f>
        <v>56</v>
      </c>
    </row>
    <row r="57" spans="2:15" ht="14.1" customHeight="1">
      <c r="B57" s="312" t="s">
        <v>4311</v>
      </c>
      <c r="H57" s="124"/>
      <c r="I57" s="1708">
        <f ca="1">K280+K285+K290</f>
        <v>0</v>
      </c>
      <c r="J57" s="1708">
        <f ca="1">-SUM(K249:K265)</f>
        <v>-134.10022035299164</v>
      </c>
      <c r="K57" s="1708">
        <f t="shared" ref="K57:K64" ca="1" si="4">I57+J57</f>
        <v>-134.10022035299164</v>
      </c>
      <c r="O57" s="621">
        <f>ROW()</f>
        <v>57</v>
      </c>
    </row>
    <row r="58" spans="2:15" ht="14.1" customHeight="1">
      <c r="B58" s="312" t="s">
        <v>4312</v>
      </c>
      <c r="I58" s="1708">
        <f ca="1">-L410</f>
        <v>127.18588671921609</v>
      </c>
      <c r="J58" s="1708"/>
      <c r="K58" s="1708">
        <f t="shared" ca="1" si="4"/>
        <v>127.18588671921609</v>
      </c>
      <c r="O58" s="621">
        <f>ROW()</f>
        <v>58</v>
      </c>
    </row>
    <row r="59" spans="2:15" ht="14.1" customHeight="1">
      <c r="B59" s="312" t="s">
        <v>6366</v>
      </c>
      <c r="I59" s="1708">
        <f ca="1">-I435</f>
        <v>32.397565117627082</v>
      </c>
      <c r="J59" s="1708"/>
      <c r="K59" s="1708">
        <f t="shared" ca="1" si="4"/>
        <v>32.397565117627082</v>
      </c>
      <c r="M59" s="6"/>
      <c r="O59" s="621">
        <f>ROW()</f>
        <v>59</v>
      </c>
    </row>
    <row r="60" spans="2:15" ht="14.1" customHeight="1">
      <c r="B60" s="312" t="s">
        <v>4313</v>
      </c>
      <c r="I60" s="1708">
        <f ca="1">K459</f>
        <v>50.608693931959401</v>
      </c>
      <c r="J60" s="1708"/>
      <c r="K60" s="1708">
        <f t="shared" ca="1" si="4"/>
        <v>50.608693931959401</v>
      </c>
      <c r="O60" s="621">
        <f>ROW()</f>
        <v>60</v>
      </c>
    </row>
    <row r="61" spans="2:15" ht="14.1" customHeight="1">
      <c r="B61" s="312" t="s">
        <v>4314</v>
      </c>
      <c r="I61" s="1708">
        <f ca="1">L536</f>
        <v>23.124082745545124</v>
      </c>
      <c r="J61" s="1708"/>
      <c r="K61" s="1708">
        <f t="shared" ca="1" si="4"/>
        <v>23.124082745545124</v>
      </c>
      <c r="O61" s="621">
        <f>ROW()</f>
        <v>61</v>
      </c>
    </row>
    <row r="62" spans="2:15" ht="14.1" customHeight="1">
      <c r="B62" s="312" t="s">
        <v>4315</v>
      </c>
      <c r="I62" s="1708">
        <f ca="1">K562</f>
        <v>222.33248662475839</v>
      </c>
      <c r="J62" s="1708"/>
      <c r="K62" s="1708">
        <f t="shared" ca="1" si="4"/>
        <v>222.33248662475839</v>
      </c>
      <c r="O62" s="621">
        <f>ROW()</f>
        <v>62</v>
      </c>
    </row>
    <row r="63" spans="2:15" ht="14.1" customHeight="1">
      <c r="B63" s="312" t="s">
        <v>4316</v>
      </c>
      <c r="I63" s="1708">
        <f ca="1">-I622</f>
        <v>80</v>
      </c>
      <c r="J63" s="1708"/>
      <c r="K63" s="1708">
        <f t="shared" ca="1" si="4"/>
        <v>80</v>
      </c>
      <c r="O63" s="621">
        <f>ROW()</f>
        <v>63</v>
      </c>
    </row>
    <row r="64" spans="2:15" ht="14.1" customHeight="1">
      <c r="B64" s="312" t="s">
        <v>6264</v>
      </c>
      <c r="I64" s="1708">
        <f ca="1">I683</f>
        <v>188</v>
      </c>
      <c r="J64" s="1708"/>
      <c r="K64" s="1708">
        <f t="shared" ca="1" si="4"/>
        <v>188</v>
      </c>
      <c r="O64" s="621">
        <f>ROW()</f>
        <v>64</v>
      </c>
    </row>
    <row r="65" spans="2:15" s="3545" customFormat="1" ht="14.1" customHeight="1">
      <c r="B65" s="312" t="s">
        <v>6265</v>
      </c>
      <c r="I65" s="1708">
        <f ca="1">I693</f>
        <v>188</v>
      </c>
      <c r="J65" s="1708"/>
      <c r="K65" s="1708">
        <f t="shared" ref="K65:K66" ca="1" si="5">I65+J65</f>
        <v>188</v>
      </c>
      <c r="O65" s="621">
        <f>ROW()</f>
        <v>65</v>
      </c>
    </row>
    <row r="66" spans="2:15" s="3545" customFormat="1" ht="14.1" customHeight="1">
      <c r="B66" s="312" t="s">
        <v>6278</v>
      </c>
      <c r="I66" s="1975">
        <f ca="1">Results!J39</f>
        <v>20</v>
      </c>
      <c r="J66" s="1975"/>
      <c r="K66" s="1975">
        <f t="shared" ca="1" si="5"/>
        <v>20</v>
      </c>
      <c r="O66" s="621">
        <f>ROW()</f>
        <v>66</v>
      </c>
    </row>
    <row r="67" spans="2:15" ht="14.1" customHeight="1">
      <c r="B67" s="6" t="s">
        <v>2272</v>
      </c>
      <c r="I67" s="1708">
        <f ca="1">SUM(I50:I64)-I51-I52</f>
        <v>3596.9854556518994</v>
      </c>
      <c r="J67" s="1708">
        <f ca="1">SUM(J50:J64)-J51-J52</f>
        <v>-134.10022035299164</v>
      </c>
      <c r="K67" s="1708">
        <f ca="1">SUM(K50:K66)-K51-K52-K59</f>
        <v>3638.4876701812809</v>
      </c>
      <c r="O67" s="621">
        <f>ROW()</f>
        <v>67</v>
      </c>
    </row>
    <row r="68" spans="2:15" s="3545" customFormat="1" ht="14.1" customHeight="1">
      <c r="B68" s="6"/>
      <c r="I68" s="1708"/>
      <c r="J68" s="1708"/>
      <c r="K68" s="1708"/>
      <c r="O68" s="621">
        <f>ROW()</f>
        <v>68</v>
      </c>
    </row>
    <row r="69" spans="2:15" s="3545" customFormat="1" ht="14.1" customHeight="1">
      <c r="B69" s="2" t="s">
        <v>6266</v>
      </c>
      <c r="I69" s="1708"/>
      <c r="J69" s="1708"/>
      <c r="K69" s="1708"/>
      <c r="O69" s="621">
        <f>ROW()</f>
        <v>69</v>
      </c>
    </row>
    <row r="70" spans="2:15" s="3545" customFormat="1" ht="14.1" customHeight="1">
      <c r="B70" s="312" t="s">
        <v>6267</v>
      </c>
      <c r="I70" s="1708">
        <f>-Results!I48</f>
        <v>150</v>
      </c>
      <c r="J70" s="1708">
        <f ca="1">-Results!I35</f>
        <v>-1040</v>
      </c>
      <c r="K70" s="1708">
        <f t="shared" ref="K70:K72" ca="1" si="6">I70+J70</f>
        <v>-890</v>
      </c>
      <c r="O70" s="621">
        <f>ROW()</f>
        <v>70</v>
      </c>
    </row>
    <row r="71" spans="2:15" s="3545" customFormat="1" ht="14.1" customHeight="1">
      <c r="B71" s="312" t="s">
        <v>6268</v>
      </c>
      <c r="I71" s="1708"/>
      <c r="J71" s="1708">
        <f ca="1">-Results!I38</f>
        <v>-160</v>
      </c>
      <c r="K71" s="1708">
        <f t="shared" ca="1" si="6"/>
        <v>-160</v>
      </c>
      <c r="O71" s="621">
        <f>ROW()</f>
        <v>71</v>
      </c>
    </row>
    <row r="72" spans="2:15" s="3545" customFormat="1" ht="14.1" customHeight="1">
      <c r="B72" s="312" t="s">
        <v>6269</v>
      </c>
      <c r="I72" s="1708">
        <f ca="1">Results!J46+Results!J47+Results!J49+Results!J50+Results!J51</f>
        <v>70</v>
      </c>
      <c r="J72" s="1708">
        <f ca="1">-Results!I41-Results!I42</f>
        <v>-200</v>
      </c>
      <c r="K72" s="1708">
        <f t="shared" ca="1" si="6"/>
        <v>-130</v>
      </c>
      <c r="O72" s="621">
        <f>ROW()</f>
        <v>72</v>
      </c>
    </row>
    <row r="73" spans="2:15" s="3545" customFormat="1" ht="14.1" customHeight="1">
      <c r="B73" s="2" t="s">
        <v>6270</v>
      </c>
      <c r="I73" s="1708">
        <f ca="1">SUM(I70:I72)</f>
        <v>220</v>
      </c>
      <c r="J73" s="1708">
        <f ca="1">SUM(J70:J72)</f>
        <v>-1400</v>
      </c>
      <c r="K73" s="1708">
        <f ca="1">SUM(K70:K72)</f>
        <v>-1180</v>
      </c>
      <c r="O73" s="621">
        <f>ROW()</f>
        <v>73</v>
      </c>
    </row>
    <row r="74" spans="2:15" s="3545" customFormat="1" ht="14.1" customHeight="1">
      <c r="B74" s="312"/>
      <c r="I74" s="1708"/>
      <c r="J74" s="1708"/>
      <c r="K74" s="1708"/>
      <c r="O74" s="621">
        <f>ROW()</f>
        <v>74</v>
      </c>
    </row>
    <row r="75" spans="2:15" ht="14.1" customHeight="1">
      <c r="B75" s="6" t="s">
        <v>837</v>
      </c>
      <c r="I75" s="2084">
        <f ca="1">I47+I67+I73</f>
        <v>3816.9854556518994</v>
      </c>
      <c r="J75" s="2084">
        <f ca="1">J47+J67+J73</f>
        <v>-1654.1002203529915</v>
      </c>
      <c r="K75" s="2084">
        <f ca="1">K47+K67+K73</f>
        <v>2338.4876701812809</v>
      </c>
      <c r="O75" s="621">
        <f>ROW()</f>
        <v>75</v>
      </c>
    </row>
    <row r="76" spans="2:15" ht="14.1" customHeight="1">
      <c r="B76" s="6"/>
      <c r="J76" s="1664"/>
      <c r="K76" s="1664"/>
      <c r="O76" s="621">
        <f>ROW()</f>
        <v>76</v>
      </c>
    </row>
    <row r="77" spans="2:15" ht="14.1" customHeight="1">
      <c r="D77" s="4189" t="s">
        <v>903</v>
      </c>
      <c r="E77" s="4190"/>
      <c r="F77" s="4190"/>
      <c r="G77" s="4190"/>
      <c r="H77" s="4190"/>
      <c r="I77" s="4190"/>
      <c r="J77" s="4190"/>
      <c r="K77" s="4190"/>
      <c r="L77" s="3546"/>
      <c r="O77" s="621">
        <f>ROW()</f>
        <v>77</v>
      </c>
    </row>
    <row r="78" spans="2:15" ht="22.2" customHeight="1">
      <c r="D78" s="3547"/>
      <c r="E78" s="3451"/>
      <c r="F78" s="3325" t="s">
        <v>4306</v>
      </c>
      <c r="G78" s="3325" t="s">
        <v>6259</v>
      </c>
      <c r="H78" s="3325" t="s">
        <v>6263</v>
      </c>
      <c r="I78" s="3325" t="s">
        <v>5904</v>
      </c>
      <c r="J78" s="3325" t="s">
        <v>5903</v>
      </c>
      <c r="K78" s="3325" t="s">
        <v>4305</v>
      </c>
      <c r="L78" s="3326" t="s">
        <v>6274</v>
      </c>
      <c r="O78" s="621">
        <f>ROW()</f>
        <v>78</v>
      </c>
    </row>
    <row r="79" spans="2:15" ht="14.1" customHeight="1">
      <c r="D79" s="1344" t="s">
        <v>900</v>
      </c>
      <c r="E79" s="3451"/>
      <c r="F79" s="1876">
        <f ca="1">K57</f>
        <v>-134.10022035299164</v>
      </c>
      <c r="G79" s="1876">
        <f ca="1">K47</f>
        <v>-120</v>
      </c>
      <c r="H79" s="1876"/>
      <c r="I79" s="1876">
        <f ca="1">K58</f>
        <v>127.18588671921609</v>
      </c>
      <c r="J79" s="1876"/>
      <c r="K79" s="1876"/>
      <c r="L79" s="3544"/>
      <c r="O79" s="621">
        <f>ROW()</f>
        <v>79</v>
      </c>
    </row>
    <row r="80" spans="2:15" ht="14.1" customHeight="1">
      <c r="D80" s="3547" t="s">
        <v>901</v>
      </c>
      <c r="E80" s="3451"/>
      <c r="F80" s="1665"/>
      <c r="G80" s="1665"/>
      <c r="H80" s="3451"/>
      <c r="I80" s="1876">
        <f ca="1">K60</f>
        <v>50.608693931959401</v>
      </c>
      <c r="J80" s="3451"/>
      <c r="K80" s="1876"/>
      <c r="L80" s="1666"/>
      <c r="O80" s="621">
        <f>ROW()</f>
        <v>80</v>
      </c>
    </row>
    <row r="81" spans="4:15" ht="14.1" customHeight="1">
      <c r="D81" s="3547" t="s">
        <v>2801</v>
      </c>
      <c r="E81" s="3451"/>
      <c r="F81" s="1665"/>
      <c r="G81" s="1665"/>
      <c r="H81" s="3451"/>
      <c r="I81" s="1876">
        <f ca="1">K61</f>
        <v>23.124082745545124</v>
      </c>
      <c r="J81" s="3451"/>
      <c r="K81" s="1876"/>
      <c r="L81" s="1666"/>
      <c r="O81" s="621">
        <f>ROW()</f>
        <v>81</v>
      </c>
    </row>
    <row r="82" spans="4:15" ht="14.1" customHeight="1">
      <c r="D82" s="3547" t="s">
        <v>904</v>
      </c>
      <c r="E82" s="3451"/>
      <c r="F82" s="1665"/>
      <c r="G82" s="3325"/>
      <c r="H82" s="3451"/>
      <c r="I82" s="1876">
        <f ca="1">K62</f>
        <v>222.33248662475839</v>
      </c>
      <c r="J82" s="3451"/>
      <c r="K82" s="1876"/>
      <c r="L82" s="1666"/>
      <c r="O82" s="621">
        <f>ROW()</f>
        <v>82</v>
      </c>
    </row>
    <row r="83" spans="4:15" ht="14.1" customHeight="1">
      <c r="D83" s="3547" t="s">
        <v>902</v>
      </c>
      <c r="E83" s="3451"/>
      <c r="F83" s="1665"/>
      <c r="G83" s="1665"/>
      <c r="H83" s="3451"/>
      <c r="I83" s="1876">
        <f ca="1">K63</f>
        <v>80</v>
      </c>
      <c r="J83" s="3451"/>
      <c r="K83" s="1876"/>
      <c r="L83" s="1666"/>
      <c r="O83" s="621">
        <f>ROW()</f>
        <v>83</v>
      </c>
    </row>
    <row r="84" spans="4:15" ht="14.1" customHeight="1">
      <c r="D84" s="2439" t="s">
        <v>5830</v>
      </c>
      <c r="E84" s="3451"/>
      <c r="F84" s="1665"/>
      <c r="G84" s="1665"/>
      <c r="H84" s="3451"/>
      <c r="I84" s="1876"/>
      <c r="J84" s="3451"/>
      <c r="K84" s="1665">
        <f ca="1">H54</f>
        <v>1101.093998701235</v>
      </c>
      <c r="L84" s="1666"/>
      <c r="O84" s="621">
        <f>ROW()</f>
        <v>84</v>
      </c>
    </row>
    <row r="85" spans="4:15" ht="14.1" customHeight="1">
      <c r="D85" s="2439" t="s">
        <v>6275</v>
      </c>
      <c r="E85" s="3451"/>
      <c r="F85" s="1665"/>
      <c r="G85" s="1665"/>
      <c r="H85" s="3451"/>
      <c r="I85" s="1876"/>
      <c r="J85" s="3451"/>
      <c r="K85" s="1665">
        <f ca="1">H55</f>
        <v>1044.9173286034606</v>
      </c>
      <c r="L85" s="1666"/>
      <c r="O85" s="621">
        <f>ROW()</f>
        <v>85</v>
      </c>
    </row>
    <row r="86" spans="4:15" ht="14.1" customHeight="1">
      <c r="D86" s="3547" t="s">
        <v>899</v>
      </c>
      <c r="E86" s="3451"/>
      <c r="F86" s="1665"/>
      <c r="G86" s="1665"/>
      <c r="H86" s="3451"/>
      <c r="I86" s="1876"/>
      <c r="J86" s="3451"/>
      <c r="K86" s="1665">
        <f ca="1">H56</f>
        <v>0</v>
      </c>
      <c r="L86" s="1666"/>
      <c r="O86" s="621">
        <f>ROW()</f>
        <v>86</v>
      </c>
    </row>
    <row r="87" spans="4:15" ht="14.1" customHeight="1">
      <c r="D87" s="2439" t="s">
        <v>4307</v>
      </c>
      <c r="E87" s="3451"/>
      <c r="F87" s="1665"/>
      <c r="G87" s="1665"/>
      <c r="H87" s="1876"/>
      <c r="I87" s="1665"/>
      <c r="J87" s="1665">
        <f ca="1">K51</f>
        <v>101.14487551731725</v>
      </c>
      <c r="K87" s="3451"/>
      <c r="L87" s="1666"/>
      <c r="O87" s="621">
        <f>ROW()</f>
        <v>87</v>
      </c>
    </row>
    <row r="88" spans="4:15" ht="14.1" customHeight="1">
      <c r="D88" s="2439" t="s">
        <v>4308</v>
      </c>
      <c r="E88" s="3451"/>
      <c r="F88" s="1665"/>
      <c r="G88" s="1665"/>
      <c r="H88" s="1876"/>
      <c r="I88" s="1665"/>
      <c r="J88" s="1665">
        <f ca="1">K52</f>
        <v>626.18053769078062</v>
      </c>
      <c r="K88" s="3451"/>
      <c r="L88" s="1666"/>
      <c r="O88" s="621">
        <f>ROW()</f>
        <v>88</v>
      </c>
    </row>
    <row r="89" spans="4:15" ht="14.1" customHeight="1">
      <c r="D89" s="2439" t="s">
        <v>6260</v>
      </c>
      <c r="E89" s="1665"/>
      <c r="F89" s="1665"/>
      <c r="G89" s="1665"/>
      <c r="H89" s="1665">
        <f ca="1">I64</f>
        <v>188</v>
      </c>
      <c r="I89" s="3451"/>
      <c r="J89" s="1665"/>
      <c r="K89" s="3451"/>
      <c r="L89" s="1666"/>
      <c r="O89" s="621">
        <f>ROW()</f>
        <v>89</v>
      </c>
    </row>
    <row r="90" spans="4:15" s="3545" customFormat="1" ht="14.1" customHeight="1">
      <c r="D90" s="2439" t="s">
        <v>6261</v>
      </c>
      <c r="E90" s="1665"/>
      <c r="F90" s="1665"/>
      <c r="G90" s="1665"/>
      <c r="H90" s="1665">
        <f ca="1">I65</f>
        <v>188</v>
      </c>
      <c r="I90" s="3451"/>
      <c r="J90" s="1665"/>
      <c r="K90" s="3451"/>
      <c r="L90" s="1666"/>
      <c r="O90" s="621">
        <f>ROW()</f>
        <v>90</v>
      </c>
    </row>
    <row r="91" spans="4:15" s="3545" customFormat="1" ht="14.1" customHeight="1">
      <c r="D91" s="2439" t="s">
        <v>6262</v>
      </c>
      <c r="E91" s="1665"/>
      <c r="F91" s="1665"/>
      <c r="G91" s="1665"/>
      <c r="H91" s="1665">
        <f ca="1">I66</f>
        <v>20</v>
      </c>
      <c r="I91" s="3451"/>
      <c r="J91" s="1665"/>
      <c r="K91" s="3451"/>
      <c r="L91" s="1666"/>
      <c r="O91" s="621">
        <f>ROW()</f>
        <v>91</v>
      </c>
    </row>
    <row r="92" spans="4:15" s="3545" customFormat="1" ht="14.1" customHeight="1">
      <c r="D92" s="2439" t="s">
        <v>6271</v>
      </c>
      <c r="E92" s="1665"/>
      <c r="F92" s="1665"/>
      <c r="G92" s="1665"/>
      <c r="H92" s="1665"/>
      <c r="I92" s="3451"/>
      <c r="J92" s="1665"/>
      <c r="K92" s="3451"/>
      <c r="L92" s="3331">
        <f ca="1">K70</f>
        <v>-890</v>
      </c>
      <c r="O92" s="621">
        <f>ROW()</f>
        <v>92</v>
      </c>
    </row>
    <row r="93" spans="4:15" s="3545" customFormat="1" ht="14.1" customHeight="1">
      <c r="D93" s="2439" t="s">
        <v>6272</v>
      </c>
      <c r="E93" s="1665"/>
      <c r="F93" s="1665"/>
      <c r="G93" s="1665"/>
      <c r="H93" s="1665"/>
      <c r="I93" s="3451"/>
      <c r="J93" s="1665"/>
      <c r="K93" s="3451"/>
      <c r="L93" s="3331">
        <f ca="1">K71</f>
        <v>-160</v>
      </c>
      <c r="O93" s="621">
        <f>ROW()</f>
        <v>93</v>
      </c>
    </row>
    <row r="94" spans="4:15" s="3545" customFormat="1" ht="14.1" customHeight="1">
      <c r="D94" s="2441" t="s">
        <v>6273</v>
      </c>
      <c r="E94" s="1667"/>
      <c r="F94" s="1667"/>
      <c r="G94" s="1667"/>
      <c r="H94" s="1667"/>
      <c r="I94" s="3398"/>
      <c r="J94" s="1667"/>
      <c r="K94" s="3398"/>
      <c r="L94" s="3554">
        <f ca="1">K72</f>
        <v>-130</v>
      </c>
      <c r="O94" s="621">
        <f>ROW()</f>
        <v>94</v>
      </c>
    </row>
    <row r="95" spans="4:15" s="3545" customFormat="1" ht="14.1" customHeight="1">
      <c r="D95" s="139"/>
      <c r="E95" s="3593" t="s">
        <v>6367</v>
      </c>
      <c r="F95" s="1876">
        <f t="shared" ref="F95:L95" ca="1" si="7">SUM(F79:F94)</f>
        <v>-134.10022035299164</v>
      </c>
      <c r="G95" s="1876">
        <f t="shared" ca="1" si="7"/>
        <v>-120</v>
      </c>
      <c r="H95" s="1876">
        <f t="shared" ca="1" si="7"/>
        <v>396</v>
      </c>
      <c r="I95" s="1876">
        <f t="shared" ca="1" si="7"/>
        <v>503.25115002147902</v>
      </c>
      <c r="J95" s="1876">
        <f t="shared" ca="1" si="7"/>
        <v>727.32541320809787</v>
      </c>
      <c r="K95" s="1876">
        <f t="shared" ca="1" si="7"/>
        <v>2146.0113273046954</v>
      </c>
      <c r="L95" s="1876">
        <f t="shared" ca="1" si="7"/>
        <v>-1180</v>
      </c>
      <c r="M95" s="2440">
        <f ca="1">SUM(F95:L95)</f>
        <v>2338.4876701812809</v>
      </c>
      <c r="O95" s="621">
        <f>ROW()</f>
        <v>95</v>
      </c>
    </row>
    <row r="96" spans="4:15" ht="14.1" customHeight="1">
      <c r="O96" s="621">
        <f>ROW()</f>
        <v>96</v>
      </c>
    </row>
    <row r="97" spans="2:15" ht="14.1" customHeight="1">
      <c r="B97" s="24" t="s">
        <v>1466</v>
      </c>
      <c r="O97" s="621">
        <f>ROW()</f>
        <v>97</v>
      </c>
    </row>
    <row r="98" spans="2:15" ht="14.1" customHeight="1">
      <c r="O98" s="621">
        <f>ROW()</f>
        <v>98</v>
      </c>
    </row>
    <row r="99" spans="2:15" ht="14.1" customHeight="1">
      <c r="B99" s="4185" t="s">
        <v>1020</v>
      </c>
      <c r="C99" s="3810"/>
      <c r="D99" s="3810"/>
      <c r="E99" s="3810"/>
      <c r="F99" s="3810"/>
      <c r="G99" s="3810"/>
      <c r="H99" s="3810"/>
      <c r="I99" s="3810"/>
      <c r="J99" s="3810"/>
      <c r="K99" s="3810"/>
      <c r="O99" s="621">
        <f>ROW()</f>
        <v>99</v>
      </c>
    </row>
    <row r="100" spans="2:15" ht="14.1" customHeight="1">
      <c r="B100" s="3810"/>
      <c r="C100" s="3810"/>
      <c r="D100" s="3810"/>
      <c r="E100" s="3810"/>
      <c r="F100" s="3810"/>
      <c r="G100" s="3810"/>
      <c r="H100" s="3810"/>
      <c r="I100" s="3810"/>
      <c r="J100" s="3810"/>
      <c r="K100" s="3810"/>
      <c r="O100" s="621">
        <f>ROW()</f>
        <v>100</v>
      </c>
    </row>
    <row r="101" spans="2:15" ht="14.1" customHeight="1">
      <c r="O101" s="621">
        <f>ROW()</f>
        <v>101</v>
      </c>
    </row>
    <row r="102" spans="2:15" ht="14.1" customHeight="1">
      <c r="B102" s="24" t="s">
        <v>4275</v>
      </c>
      <c r="I102" s="2434" t="s">
        <v>4285</v>
      </c>
      <c r="J102" s="198"/>
      <c r="K102" s="198"/>
      <c r="L102" s="198"/>
      <c r="M102" s="2417"/>
      <c r="O102" s="621">
        <f>ROW()</f>
        <v>102</v>
      </c>
    </row>
    <row r="103" spans="2:15" ht="14.1" customHeight="1">
      <c r="B103" s="24"/>
      <c r="I103" s="2427" t="s">
        <v>4286</v>
      </c>
      <c r="J103" s="113"/>
      <c r="K103" s="113"/>
      <c r="L103" s="113"/>
      <c r="M103" s="2435">
        <v>0.6</v>
      </c>
      <c r="O103" s="621">
        <f>ROW()</f>
        <v>103</v>
      </c>
    </row>
    <row r="104" spans="2:15" ht="14.1" customHeight="1">
      <c r="B104" s="281" t="s">
        <v>4279</v>
      </c>
      <c r="I104" s="2427" t="s">
        <v>4287</v>
      </c>
      <c r="J104" s="113"/>
      <c r="K104" s="113"/>
      <c r="L104" s="113"/>
      <c r="M104" s="2436">
        <f>2/3</f>
        <v>0.66666666666666663</v>
      </c>
      <c r="O104" s="621">
        <f>ROW()</f>
        <v>104</v>
      </c>
    </row>
    <row r="105" spans="2:15" ht="14.1" customHeight="1">
      <c r="B105" s="919" t="s">
        <v>4276</v>
      </c>
      <c r="I105" s="2437" t="s">
        <v>4288</v>
      </c>
      <c r="J105" s="141"/>
      <c r="K105" s="141"/>
      <c r="L105" s="141"/>
      <c r="M105" s="2418"/>
      <c r="O105" s="621">
        <f>ROW()</f>
        <v>105</v>
      </c>
    </row>
    <row r="106" spans="2:15" ht="14.1" customHeight="1">
      <c r="B106" s="919" t="s">
        <v>4277</v>
      </c>
      <c r="O106" s="621">
        <f>ROW()</f>
        <v>106</v>
      </c>
    </row>
    <row r="107" spans="2:15" ht="14.1" customHeight="1">
      <c r="B107" s="919" t="s">
        <v>4278</v>
      </c>
      <c r="O107" s="621">
        <f>ROW()</f>
        <v>107</v>
      </c>
    </row>
    <row r="108" spans="2:15" ht="14.1" customHeight="1">
      <c r="I108" s="8" t="s">
        <v>781</v>
      </c>
      <c r="J108" s="8" t="s">
        <v>1975</v>
      </c>
      <c r="K108" s="8" t="s">
        <v>1130</v>
      </c>
      <c r="O108" s="621">
        <f>ROW()</f>
        <v>108</v>
      </c>
    </row>
    <row r="109" spans="2:15" ht="14.1" customHeight="1">
      <c r="B109" s="2" t="s">
        <v>4280</v>
      </c>
      <c r="O109" s="621">
        <f>ROW()</f>
        <v>109</v>
      </c>
    </row>
    <row r="110" spans="2:15" ht="14.1" customHeight="1">
      <c r="B110" s="312" t="s">
        <v>4270</v>
      </c>
      <c r="I110" s="1122">
        <f ca="1">Buses!I118*1000</f>
        <v>581114.03255926748</v>
      </c>
      <c r="J110" s="1122">
        <f ca="1">Buses!J118*1000</f>
        <v>142608.80685149803</v>
      </c>
      <c r="K110" s="1179">
        <f ca="1">I110+J110</f>
        <v>723722.83941076556</v>
      </c>
      <c r="O110" s="621">
        <f>ROW()</f>
        <v>110</v>
      </c>
    </row>
    <row r="111" spans="2:15" ht="14.1" customHeight="1">
      <c r="B111" s="215" t="str">
        <f>CONCATENATE("Both figures are from Buses worksheet, Row ",Buses!O118, ".")</f>
        <v>Both figures are from Buses worksheet, Row 118.</v>
      </c>
      <c r="O111" s="621">
        <f>ROW()</f>
        <v>111</v>
      </c>
    </row>
    <row r="112" spans="2:15" ht="14.1" customHeight="1">
      <c r="B112" s="312" t="s">
        <v>4292</v>
      </c>
      <c r="I112" s="1696">
        <f ca="1">'Sub v. Bus'!G33-'Sub v. Bus'!K33</f>
        <v>0.86847437824919638</v>
      </c>
      <c r="J112" s="509">
        <f ca="1">I112</f>
        <v>0.86847437824919638</v>
      </c>
      <c r="O112" s="621">
        <f>ROW()</f>
        <v>112</v>
      </c>
    </row>
    <row r="113" spans="2:15" ht="14.1" customHeight="1">
      <c r="B113" s="215" t="str">
        <f>CONCATENATE("Difference between 'before' and 'after' figures for duration of average bus ride, calculated and shown in 'Sub v. Bus' worksheet, Row ",'Sub v. Bus'!I33, ".")</f>
        <v>Difference between 'before' and 'after' figures for duration of average bus ride, calculated and shown in 'Sub v. Bus' worksheet, Row 33.</v>
      </c>
      <c r="O113" s="621">
        <f>ROW()</f>
        <v>113</v>
      </c>
    </row>
    <row r="114" spans="2:15" ht="14.1" customHeight="1">
      <c r="B114" s="312" t="s">
        <v>4296</v>
      </c>
      <c r="I114" s="1122">
        <f ca="1">I110*I112*1000/60</f>
        <v>8411377.4686465506</v>
      </c>
      <c r="J114" s="1122">
        <f ca="1">J110*J112*1000/60</f>
        <v>2064201.5810535748</v>
      </c>
      <c r="K114" s="1179">
        <f ca="1">I114+J114</f>
        <v>10475579.049700126</v>
      </c>
      <c r="O114" s="621">
        <f>ROW()</f>
        <v>114</v>
      </c>
    </row>
    <row r="115" spans="2:15" ht="14.1" customHeight="1">
      <c r="B115" s="215" t="str">
        <f>CONCATENATE("Product of Rows ",O110, " and ",O112, ", times 1,000 and divided by 60.")</f>
        <v>Product of Rows 110 and 112, times 1,000 and divided by 60.</v>
      </c>
      <c r="O115" s="621">
        <f>ROW()</f>
        <v>115</v>
      </c>
    </row>
    <row r="116" spans="2:15" ht="14.1" customHeight="1">
      <c r="B116" s="312" t="s">
        <v>4289</v>
      </c>
      <c r="I116" s="26">
        <f>'Value of Time'!$I$146</f>
        <v>13.818686468282506</v>
      </c>
      <c r="J116" s="26">
        <f>'Value of Time'!$N$146</f>
        <v>10.508005828681585</v>
      </c>
      <c r="O116" s="621">
        <f>ROW()</f>
        <v>116</v>
      </c>
    </row>
    <row r="117" spans="2:15" ht="14.1" customHeight="1">
      <c r="B117" s="312" t="s">
        <v>4290</v>
      </c>
      <c r="I117" s="26">
        <f>'Value of Time'!$I$148</f>
        <v>9.2124576455216705</v>
      </c>
      <c r="J117" s="26">
        <f>'Value of Time'!$N$148</f>
        <v>7.0053372191210563</v>
      </c>
      <c r="O117" s="621">
        <f>ROW()</f>
        <v>117</v>
      </c>
    </row>
    <row r="118" spans="2:15" ht="14.1" customHeight="1">
      <c r="B118" s="215" t="str">
        <f>CONCATENATE("Copied from 2x2 matrix in 'Value of Time' worksheet, Rows ",'Value of Time'!O146, " and ",'Value of Time'!O148, " and Columns I and N.")</f>
        <v>Copied from 2x2 matrix in 'Value of Time' worksheet, Rows 146 and 148 and Columns I and N.</v>
      </c>
      <c r="I118" s="26"/>
      <c r="O118" s="621">
        <f>ROW()</f>
        <v>118</v>
      </c>
    </row>
    <row r="119" spans="2:15" ht="14.1" customHeight="1">
      <c r="B119" s="312" t="s">
        <v>4291</v>
      </c>
      <c r="C119" s="2416"/>
      <c r="D119" s="2416"/>
      <c r="E119" s="2416"/>
      <c r="F119" s="2416"/>
      <c r="G119" s="2416"/>
      <c r="H119" s="2416"/>
      <c r="I119" s="4206">
        <v>0.2</v>
      </c>
      <c r="J119" s="4207"/>
      <c r="K119" s="2416"/>
      <c r="O119" s="621">
        <f>ROW()</f>
        <v>119</v>
      </c>
    </row>
    <row r="120" spans="2:15" ht="14.1" customHeight="1">
      <c r="B120" s="3785" t="str">
        <f>CONCATENATE("Komanoff est., reflecting (i) Manhattan's roughly ",100*ROUND('Bus Routes'!K24,2), " percent share of NYC Transit bus ridership, as shown in 'Bus Routes' worksheet, Row ",'Bus Routes'!O24, "; (ii) fact that CBD has some, not all, Manhattan bus rider-miles; (iii) disproportionately high travel speed gains within CBD.")</f>
        <v>Komanoff est., reflecting (i) Manhattan's roughly 25 percent share of NYC Transit bus ridership, as shown in 'Bus Routes' worksheet, Row 24; (ii) fact that CBD has some, not all, Manhattan bus rider-miles; (iii) disproportionately high travel speed gains within CBD.</v>
      </c>
      <c r="C120" s="3786"/>
      <c r="D120" s="3786"/>
      <c r="E120" s="3786"/>
      <c r="F120" s="3786"/>
      <c r="G120" s="3786"/>
      <c r="H120" s="3786"/>
      <c r="I120" s="3786"/>
      <c r="J120" s="3786"/>
      <c r="K120" s="3786"/>
      <c r="M120" s="4191" t="s">
        <v>4302</v>
      </c>
      <c r="N120" s="4192"/>
      <c r="O120" s="621">
        <f>ROW()</f>
        <v>120</v>
      </c>
    </row>
    <row r="121" spans="2:15" ht="14.1" customHeight="1">
      <c r="B121" s="3786"/>
      <c r="C121" s="3786"/>
      <c r="D121" s="3786"/>
      <c r="E121" s="3786"/>
      <c r="F121" s="3786"/>
      <c r="G121" s="3786"/>
      <c r="H121" s="3786"/>
      <c r="I121" s="3786"/>
      <c r="J121" s="3786"/>
      <c r="K121" s="3786"/>
      <c r="M121" s="4192"/>
      <c r="N121" s="4192"/>
      <c r="O121" s="621">
        <f>ROW()</f>
        <v>121</v>
      </c>
    </row>
    <row r="122" spans="2:15" ht="14.1" customHeight="1">
      <c r="B122" s="312" t="s">
        <v>6302</v>
      </c>
      <c r="C122" s="2416"/>
      <c r="D122" s="2416"/>
      <c r="E122" s="2416"/>
      <c r="F122" s="2416"/>
      <c r="G122" s="2416"/>
      <c r="H122" s="2416"/>
      <c r="I122" s="768">
        <f ca="1">I$114*$I$119*I116/1000000</f>
        <v>23.24683760112049</v>
      </c>
      <c r="J122" s="768">
        <f ca="1">J$114*$I$119*J116/1000000</f>
        <v>4.3381284490569412</v>
      </c>
      <c r="K122" s="2416"/>
      <c r="M122" s="2438">
        <f ca="1">'Bus Boarding'!$J$147/('Bus Boarding'!$J$147-Transit!$I$340)*I122</f>
        <v>13.556044304286287</v>
      </c>
      <c r="N122" s="2438">
        <f ca="1">'Bus Boarding'!$J$147/('Bus Boarding'!$J$147-Transit!$I$340)*J122</f>
        <v>2.5297144696475242</v>
      </c>
      <c r="O122" s="621">
        <f>ROW()</f>
        <v>122</v>
      </c>
    </row>
    <row r="123" spans="2:15" ht="14.1" customHeight="1">
      <c r="B123" s="312" t="s">
        <v>6303</v>
      </c>
      <c r="C123" s="2416"/>
      <c r="D123" s="2416"/>
      <c r="E123" s="2416"/>
      <c r="F123" s="2416"/>
      <c r="G123" s="2416"/>
      <c r="H123" s="2416"/>
      <c r="I123" s="768">
        <f ca="1">I$114*(1-$I$119)*I117/1000000</f>
        <v>61.991566936321306</v>
      </c>
      <c r="J123" s="768">
        <f ca="1">J$114*(1-$I$119)*J117/1000000</f>
        <v>11.56834253081851</v>
      </c>
      <c r="K123" s="2416"/>
      <c r="M123" s="2438">
        <f ca="1">'Bus Boarding'!$J$147/('Bus Boarding'!$J$147-Transit!$I$340)*I123</f>
        <v>36.149451478096765</v>
      </c>
      <c r="N123" s="2438">
        <f ca="1">'Bus Boarding'!$J$147/('Bus Boarding'!$J$147-Transit!$I$340)*J123</f>
        <v>6.7459052523933991</v>
      </c>
      <c r="O123" s="621">
        <f>ROW()</f>
        <v>123</v>
      </c>
    </row>
    <row r="124" spans="2:15" ht="14.1" customHeight="1">
      <c r="B124" s="3785" t="str">
        <f>CONCATENATE("Each figure in matrix above is product of three elements: (i) Hours saved in Row ",O114, "; (ii) percent of time savings within CBD, or its complement, from Row ",O119, "; (iii) average value of saved time in Rows ",O116, " and ",O117, ".")</f>
        <v>Each figure in matrix above is product of three elements: (i) Hours saved in Row 114; (ii) percent of time savings within CBD, or its complement, from Row 119; (iii) average value of saved time in Rows 116 and 117.</v>
      </c>
      <c r="C124" s="3786"/>
      <c r="D124" s="3786"/>
      <c r="E124" s="3786"/>
      <c r="F124" s="3786"/>
      <c r="G124" s="3786"/>
      <c r="H124" s="3786"/>
      <c r="I124" s="3786"/>
      <c r="J124" s="3786"/>
      <c r="K124" s="3786"/>
      <c r="M124" s="4193" t="s">
        <v>4303</v>
      </c>
      <c r="N124" s="4193"/>
      <c r="O124" s="621">
        <f>ROW()</f>
        <v>124</v>
      </c>
    </row>
    <row r="125" spans="2:15" ht="14.1" customHeight="1">
      <c r="B125" s="3786"/>
      <c r="C125" s="3786"/>
      <c r="D125" s="3786"/>
      <c r="E125" s="3786"/>
      <c r="F125" s="3786"/>
      <c r="G125" s="3786"/>
      <c r="H125" s="3786"/>
      <c r="I125" s="3786"/>
      <c r="J125" s="3786"/>
      <c r="K125" s="3786"/>
      <c r="O125" s="621">
        <f>ROW()</f>
        <v>125</v>
      </c>
    </row>
    <row r="126" spans="2:15" ht="14.1" customHeight="1">
      <c r="B126" s="3785" t="str">
        <f>CONCATENATE("Matrix at right prorates matrix to left by ratio of the sources of bus riders' time savings: less traffic, as reflected in 'Bus Boarding' worksheet, Row ",'Bus Boarding'!AG147, " and 'Transit' worksheet, Row ",Transit!O335,".")</f>
        <v>Matrix at right prorates matrix to left by ratio of the sources of bus riders' time savings: less traffic, as reflected in 'Bus Boarding' worksheet, Row 147 and 'Transit' worksheet, Row 335.</v>
      </c>
      <c r="C126" s="3786"/>
      <c r="D126" s="3786"/>
      <c r="E126" s="3786"/>
      <c r="F126" s="3786"/>
      <c r="G126" s="3786"/>
      <c r="H126" s="3786"/>
      <c r="I126" s="3786"/>
      <c r="J126" s="3786"/>
      <c r="K126" s="3786"/>
      <c r="O126" s="621">
        <f>ROW()</f>
        <v>126</v>
      </c>
    </row>
    <row r="127" spans="2:15" ht="14.1" customHeight="1">
      <c r="B127" s="3786"/>
      <c r="C127" s="3786"/>
      <c r="D127" s="3786"/>
      <c r="E127" s="3786"/>
      <c r="F127" s="3786"/>
      <c r="G127" s="3786"/>
      <c r="H127" s="3786"/>
      <c r="I127" s="3786"/>
      <c r="J127" s="3786"/>
      <c r="K127" s="3786"/>
      <c r="O127" s="621">
        <f>ROW()</f>
        <v>127</v>
      </c>
    </row>
    <row r="128" spans="2:15" ht="14.1" customHeight="1">
      <c r="B128" s="518" t="s">
        <v>4272</v>
      </c>
      <c r="C128" s="2416"/>
      <c r="D128" s="2416"/>
      <c r="E128" s="2416"/>
      <c r="F128" s="265" t="str">
        <f>CONCATENATE("Sums of Rows ",O122, " and ",O123, ".")</f>
        <v>Sums of Rows 122 and 123.</v>
      </c>
      <c r="G128" s="2416"/>
      <c r="H128" s="2416"/>
      <c r="I128" s="766">
        <f ca="1">I122+I123</f>
        <v>85.238404537441795</v>
      </c>
      <c r="J128" s="766">
        <f ca="1">J122+J123</f>
        <v>15.906470979875451</v>
      </c>
      <c r="K128" s="766">
        <f ca="1">I128+J128</f>
        <v>101.14487551731725</v>
      </c>
      <c r="L128" s="2432" t="s">
        <v>2616</v>
      </c>
      <c r="O128" s="621">
        <f>ROW()</f>
        <v>128</v>
      </c>
    </row>
    <row r="129" spans="2:15" ht="14.1" customHeight="1">
      <c r="B129" s="2410"/>
      <c r="C129" s="2410"/>
      <c r="D129" s="2410"/>
      <c r="E129" s="2410"/>
      <c r="F129" s="2410"/>
      <c r="G129" s="2410"/>
      <c r="H129" s="2410"/>
      <c r="I129" s="2410"/>
      <c r="J129" s="2410"/>
      <c r="K129" s="2410"/>
      <c r="O129" s="621">
        <f>ROW()</f>
        <v>129</v>
      </c>
    </row>
    <row r="130" spans="2:15" ht="14.1" customHeight="1">
      <c r="B130" s="2" t="s">
        <v>4281</v>
      </c>
      <c r="O130" s="621">
        <f>ROW()</f>
        <v>130</v>
      </c>
    </row>
    <row r="131" spans="2:15" ht="14.1" customHeight="1">
      <c r="B131" s="312" t="s">
        <v>4262</v>
      </c>
      <c r="I131" s="1122">
        <f ca="1">Subways!N530</f>
        <v>1430540.3125394662</v>
      </c>
      <c r="J131" s="1122">
        <f>Subways!N532</f>
        <v>320766.53205245815</v>
      </c>
      <c r="K131" s="1179">
        <f ca="1">I131+J131</f>
        <v>1751306.8445919245</v>
      </c>
      <c r="O131" s="621">
        <f>ROW()</f>
        <v>131</v>
      </c>
    </row>
    <row r="132" spans="2:15" ht="14.1" customHeight="1">
      <c r="B132" s="215" t="str">
        <f>CONCATENATE("Both figures are from Subways worksheet, Rows ",Subways!O530, " and ",Subways!O532, ".")</f>
        <v>Both figures are from Subways worksheet, Rows 530 and 532.</v>
      </c>
      <c r="O132" s="621">
        <f>ROW()</f>
        <v>132</v>
      </c>
    </row>
    <row r="133" spans="2:15" ht="14.1" customHeight="1">
      <c r="B133" s="312" t="s">
        <v>4264</v>
      </c>
      <c r="I133" s="1696">
        <f>'Sub v. Bus'!F31-'Sub v. Bus'!J31</f>
        <v>1.4385665109134713</v>
      </c>
      <c r="J133" s="509">
        <f>I133</f>
        <v>1.4385665109134713</v>
      </c>
      <c r="O133" s="621">
        <f>ROW()</f>
        <v>133</v>
      </c>
    </row>
    <row r="134" spans="2:15" ht="14.1" customHeight="1">
      <c r="B134" s="215" t="str">
        <f>CONCATENATE("Difference between 'before' and 'after' figures for duration of average subway ride, calculated and shown in 'Sub v. Bus' worksheet, Row ",'Sub v. Bus'!I31, ".")</f>
        <v>Difference between 'before' and 'after' figures for duration of average subway ride, calculated and shown in 'Sub v. Bus' worksheet, Row 31.</v>
      </c>
      <c r="O134" s="621">
        <f>ROW()</f>
        <v>134</v>
      </c>
    </row>
    <row r="135" spans="2:15" ht="14.1" customHeight="1">
      <c r="B135" s="312" t="s">
        <v>4268</v>
      </c>
      <c r="I135" s="1122">
        <f ca="1">I131*I133*1000/60</f>
        <v>34298789.768849447</v>
      </c>
      <c r="J135" s="1122">
        <f>J131*J133*1000/60</f>
        <v>7690733.180541981</v>
      </c>
      <c r="K135" s="1179">
        <f ca="1">I135+J135</f>
        <v>41989522.949391425</v>
      </c>
      <c r="O135" s="621">
        <f>ROW()</f>
        <v>135</v>
      </c>
    </row>
    <row r="136" spans="2:15" ht="14.1" customHeight="1">
      <c r="B136" s="215" t="str">
        <f>CONCATENATE("Product of Rows ",O131, " and ",O133, ", times 1,000 and divided by 60.")</f>
        <v>Product of Rows 131 and 133, times 1,000 and divided by 60.</v>
      </c>
      <c r="O136" s="621">
        <f>ROW()</f>
        <v>136</v>
      </c>
    </row>
    <row r="137" spans="2:15" ht="14.1" customHeight="1">
      <c r="B137" s="312" t="s">
        <v>4293</v>
      </c>
      <c r="I137" s="26">
        <f>'Value of Time'!$G$146</f>
        <v>20.344177300527022</v>
      </c>
      <c r="J137" s="26">
        <f>'Value of Time'!$L$146</f>
        <v>15.470119692225669</v>
      </c>
      <c r="O137" s="621">
        <f>ROW()</f>
        <v>137</v>
      </c>
    </row>
    <row r="138" spans="2:15" ht="14.1" customHeight="1">
      <c r="B138" s="312" t="s">
        <v>4294</v>
      </c>
      <c r="I138" s="26">
        <f>'Value of Time'!$G$148</f>
        <v>13.562784867018014</v>
      </c>
      <c r="J138" s="26">
        <f>'Value of Time'!$L$148</f>
        <v>10.313413128150446</v>
      </c>
      <c r="O138" s="621">
        <f>ROW()</f>
        <v>138</v>
      </c>
    </row>
    <row r="139" spans="2:15" ht="14.1" customHeight="1">
      <c r="B139" s="215" t="str">
        <f>CONCATENATE("Copied from 2x2 matrix in 'Value of Time' worksheet, Rows ",'Value of Time'!O146, " and ",'Value of Time'!O148, " and Columns G and L.")</f>
        <v>Copied from 2x2 matrix in 'Value of Time' worksheet, Rows 146 and 148 and Columns G and L.</v>
      </c>
      <c r="I139" s="26"/>
      <c r="O139" s="621">
        <f>ROW()</f>
        <v>139</v>
      </c>
    </row>
    <row r="140" spans="2:15" ht="14.1" customHeight="1">
      <c r="B140" s="312" t="s">
        <v>4295</v>
      </c>
      <c r="C140" s="2416"/>
      <c r="D140" s="2416"/>
      <c r="E140" s="2416"/>
      <c r="F140" s="2416"/>
      <c r="G140" s="2416"/>
      <c r="H140" s="2416"/>
      <c r="I140" s="4206">
        <v>0.3</v>
      </c>
      <c r="J140" s="4207"/>
      <c r="O140" s="621">
        <f>ROW()</f>
        <v>140</v>
      </c>
    </row>
    <row r="141" spans="2:15" ht="14.1" customHeight="1">
      <c r="B141" s="215" t="s">
        <v>768</v>
      </c>
      <c r="O141" s="621">
        <f>ROW()</f>
        <v>141</v>
      </c>
    </row>
    <row r="142" spans="2:15" ht="14.1" customHeight="1">
      <c r="B142" s="312" t="s">
        <v>4297</v>
      </c>
      <c r="C142" s="2416"/>
      <c r="D142" s="2416"/>
      <c r="E142" s="2416"/>
      <c r="F142" s="2416"/>
      <c r="G142" s="2416"/>
      <c r="H142" s="2416"/>
      <c r="I142" s="768">
        <f ca="1">I$135*$I$140*I137/1000000</f>
        <v>209.33419807529259</v>
      </c>
      <c r="J142" s="768">
        <f>J$135*$I$140*J137/1000000</f>
        <v>35.692968847186762</v>
      </c>
      <c r="O142" s="621">
        <f>ROW()</f>
        <v>142</v>
      </c>
    </row>
    <row r="143" spans="2:15" ht="14.1" customHeight="1">
      <c r="B143" s="312" t="s">
        <v>4298</v>
      </c>
      <c r="C143" s="2416"/>
      <c r="D143" s="2416"/>
      <c r="E143" s="2416"/>
      <c r="F143" s="2416"/>
      <c r="G143" s="2416"/>
      <c r="H143" s="2416"/>
      <c r="I143" s="768">
        <f ca="1">I$135*(1-$I$140)*I138/1000000</f>
        <v>325.63097478378847</v>
      </c>
      <c r="J143" s="768">
        <f>J$135*(1-$I$140)*J138/1000000</f>
        <v>55.522395984512727</v>
      </c>
      <c r="O143" s="621">
        <f>ROW()</f>
        <v>143</v>
      </c>
    </row>
    <row r="144" spans="2:15" ht="14.1" customHeight="1">
      <c r="B144" s="3785" t="str">
        <f>CONCATENATE("Each figure in matrix is product of three elements: (i) Hours saved in Row ",O135, "; (ii) percent of time savings within CBD, or its complement, from Row ",O140, "; (iii) average value of saved time in Rows ",O137, " and ",O138, ".")</f>
        <v>Each figure in matrix is product of three elements: (i) Hours saved in Row 135; (ii) percent of time savings within CBD, or its complement, from Row 140; (iii) average value of saved time in Rows 137 and 138.</v>
      </c>
      <c r="C144" s="3786"/>
      <c r="D144" s="3786"/>
      <c r="E144" s="3786"/>
      <c r="F144" s="3786"/>
      <c r="G144" s="3786"/>
      <c r="H144" s="3786"/>
      <c r="I144" s="3786"/>
      <c r="J144" s="3786"/>
      <c r="K144" s="3786"/>
      <c r="O144" s="621">
        <f>ROW()</f>
        <v>144</v>
      </c>
    </row>
    <row r="145" spans="2:15" ht="14.1" customHeight="1">
      <c r="B145" s="3786"/>
      <c r="C145" s="3786"/>
      <c r="D145" s="3786"/>
      <c r="E145" s="3786"/>
      <c r="F145" s="3786"/>
      <c r="G145" s="3786"/>
      <c r="H145" s="3786"/>
      <c r="I145" s="3786"/>
      <c r="J145" s="3786"/>
      <c r="K145" s="3786"/>
      <c r="O145" s="621">
        <f>ROW()</f>
        <v>145</v>
      </c>
    </row>
    <row r="146" spans="2:15" ht="14.1" customHeight="1">
      <c r="B146" s="518" t="s">
        <v>4273</v>
      </c>
      <c r="C146" s="215"/>
      <c r="D146" s="215"/>
      <c r="E146" s="215"/>
      <c r="F146" s="265" t="str">
        <f>CONCATENATE("Sums of Rows ",O142, " and ",O143, ".")</f>
        <v>Sums of Rows 142 and 143.</v>
      </c>
      <c r="G146" s="2416"/>
      <c r="H146" s="2416"/>
      <c r="I146" s="766">
        <f ca="1">I142+I143</f>
        <v>534.96517285908112</v>
      </c>
      <c r="J146" s="766">
        <f>J142+J143</f>
        <v>91.215364831699489</v>
      </c>
      <c r="K146" s="766">
        <f ca="1">I146+J146</f>
        <v>626.18053769078062</v>
      </c>
      <c r="L146" s="2432" t="s">
        <v>2616</v>
      </c>
      <c r="O146" s="621">
        <f>ROW()</f>
        <v>146</v>
      </c>
    </row>
    <row r="147" spans="2:15" ht="14.1" customHeight="1">
      <c r="O147" s="621">
        <f>ROW()</f>
        <v>147</v>
      </c>
    </row>
    <row r="148" spans="2:15" ht="14.1" customHeight="1">
      <c r="B148" s="2" t="s">
        <v>4283</v>
      </c>
      <c r="O148" s="621">
        <f>ROW()</f>
        <v>148</v>
      </c>
    </row>
    <row r="149" spans="2:15" ht="14.1" customHeight="1">
      <c r="B149" s="312" t="s">
        <v>4282</v>
      </c>
      <c r="O149" s="621">
        <f>ROW()</f>
        <v>149</v>
      </c>
    </row>
    <row r="150" spans="2:15" ht="14.1" customHeight="1">
      <c r="O150" s="621">
        <f>ROW()</f>
        <v>150</v>
      </c>
    </row>
    <row r="151" spans="2:15" ht="14.1" customHeight="1">
      <c r="B151" s="280" t="s">
        <v>2089</v>
      </c>
      <c r="I151" s="220">
        <f>Buses!J15</f>
        <v>707.5</v>
      </c>
      <c r="J151" t="s">
        <v>2616</v>
      </c>
      <c r="O151" s="621">
        <f>ROW()</f>
        <v>151</v>
      </c>
    </row>
    <row r="152" spans="2:15" ht="14.1" customHeight="1">
      <c r="B152" s="280" t="s">
        <v>2090</v>
      </c>
      <c r="I152" s="237">
        <f>Transit!I273*(1+'Sub v. Bus'!G30)</f>
        <v>2.4200000000000004</v>
      </c>
      <c r="J152" t="s">
        <v>2127</v>
      </c>
      <c r="O152" s="621">
        <f>ROW()</f>
        <v>152</v>
      </c>
    </row>
    <row r="153" spans="2:15" ht="14.1" customHeight="1">
      <c r="B153" s="3785" t="str">
        <f>CONCATENATE("Calculated by discounting average distance for NYC Transit bus-commute trips from Schaller, shown in 'Transit' worksheet, Row ",Transit!O273, ", reduced by adjustment factor for all transit trips shown in 'Sub v. Bus' worksheet, Row ",'Sub v. Bus'!I30, ".")</f>
        <v>Calculated by discounting average distance for NYC Transit bus-commute trips from Schaller, shown in 'Transit' worksheet, Row 273, reduced by adjustment factor for all transit trips shown in 'Sub v. Bus' worksheet, Row 30.</v>
      </c>
      <c r="C153" s="3786"/>
      <c r="D153" s="3786"/>
      <c r="E153" s="3786"/>
      <c r="F153" s="3786"/>
      <c r="G153" s="3786"/>
      <c r="H153" s="3786"/>
      <c r="I153" s="3786"/>
      <c r="J153" s="3786"/>
      <c r="K153" s="3786"/>
      <c r="O153" s="621">
        <f>ROW()</f>
        <v>153</v>
      </c>
    </row>
    <row r="154" spans="2:15" ht="14.1" customHeight="1">
      <c r="B154" s="3786"/>
      <c r="C154" s="3786"/>
      <c r="D154" s="3786"/>
      <c r="E154" s="3786"/>
      <c r="F154" s="3786"/>
      <c r="G154" s="3786"/>
      <c r="H154" s="3786"/>
      <c r="I154" s="3786"/>
      <c r="J154" s="3786"/>
      <c r="K154" s="3786"/>
      <c r="O154" s="621">
        <f>ROW()</f>
        <v>154</v>
      </c>
    </row>
    <row r="155" spans="2:15" ht="14.1" customHeight="1">
      <c r="B155" s="281" t="s">
        <v>129</v>
      </c>
      <c r="I155" s="237">
        <f>Transit!I275</f>
        <v>7.7366884157428091</v>
      </c>
      <c r="J155" t="s">
        <v>130</v>
      </c>
      <c r="O155" s="621">
        <f>ROW()</f>
        <v>155</v>
      </c>
    </row>
    <row r="156" spans="2:15" ht="14.1" customHeight="1">
      <c r="B156" s="215" t="str">
        <f>CONCATENATE("From NYC Transit data, as calculated in 'Transit' worksheet, Row ",Transit!O275, ".")</f>
        <v>From NYC Transit data, as calculated in 'Transit' worksheet, Row 275.</v>
      </c>
      <c r="O156" s="621">
        <f>ROW()</f>
        <v>156</v>
      </c>
    </row>
    <row r="157" spans="2:15" ht="14.1" customHeight="1">
      <c r="B157" s="281" t="s">
        <v>439</v>
      </c>
      <c r="I157" s="238">
        <f>I152*60/I155</f>
        <v>18.767719752619659</v>
      </c>
      <c r="J157" t="s">
        <v>131</v>
      </c>
      <c r="O157" s="621">
        <f>ROW()</f>
        <v>157</v>
      </c>
    </row>
    <row r="158" spans="2:15" ht="14.1" customHeight="1">
      <c r="B158" s="281" t="s">
        <v>438</v>
      </c>
      <c r="I158" s="232">
        <f>'Bus Boarding'!J148</f>
        <v>0</v>
      </c>
      <c r="O158" s="621">
        <f>ROW()</f>
        <v>158</v>
      </c>
    </row>
    <row r="159" spans="2:15" ht="14.1" customHeight="1">
      <c r="B159" s="215" t="str">
        <f>CONCATENATE("From 'Bus Boarding' worksheet, Row ",'Bus Boarding'!AG148, ". Includes 20% reduction for conservatism.")</f>
        <v>From 'Bus Boarding' worksheet, Row 148. Includes 20% reduction for conservatism.</v>
      </c>
      <c r="O159" s="621">
        <f>ROW()</f>
        <v>159</v>
      </c>
    </row>
    <row r="160" spans="2:15" ht="14.1" customHeight="1">
      <c r="B160" s="281" t="s">
        <v>3363</v>
      </c>
      <c r="I160" s="229">
        <f>I157*(1-I158)</f>
        <v>18.767719752619659</v>
      </c>
      <c r="J160" t="s">
        <v>131</v>
      </c>
      <c r="O160" s="621">
        <f>ROW()</f>
        <v>160</v>
      </c>
    </row>
    <row r="161" spans="2:15" ht="14.1" customHeight="1">
      <c r="B161" s="312" t="s">
        <v>78</v>
      </c>
      <c r="I161" s="229">
        <f>I157-I160</f>
        <v>0</v>
      </c>
      <c r="J161" t="s">
        <v>131</v>
      </c>
      <c r="O161" s="621">
        <f>ROW()</f>
        <v>161</v>
      </c>
    </row>
    <row r="162" spans="2:15" ht="14.1" customHeight="1">
      <c r="B162" s="281" t="s">
        <v>132</v>
      </c>
      <c r="I162" s="210">
        <f>0.4*2.5+0.4*4.5+0.2*7</f>
        <v>4.2</v>
      </c>
      <c r="J162" t="s">
        <v>131</v>
      </c>
      <c r="O162" s="621">
        <f>ROW()</f>
        <v>162</v>
      </c>
    </row>
    <row r="163" spans="2:15" ht="14.1" customHeight="1">
      <c r="B163" s="3785" t="s">
        <v>2498</v>
      </c>
      <c r="C163" s="3786"/>
      <c r="D163" s="3786"/>
      <c r="E163" s="3786"/>
      <c r="F163" s="3786"/>
      <c r="G163" s="3786"/>
      <c r="H163" s="3786"/>
      <c r="I163" s="3786"/>
      <c r="J163" s="3786"/>
      <c r="K163" s="3786"/>
      <c r="O163" s="621">
        <f>ROW()</f>
        <v>163</v>
      </c>
    </row>
    <row r="164" spans="2:15" ht="14.1" customHeight="1">
      <c r="B164" s="3786"/>
      <c r="C164" s="3786"/>
      <c r="D164" s="3786"/>
      <c r="E164" s="3786"/>
      <c r="F164" s="3786"/>
      <c r="G164" s="3786"/>
      <c r="H164" s="3786"/>
      <c r="I164" s="3786"/>
      <c r="J164" s="3786"/>
      <c r="K164" s="3786"/>
      <c r="O164" s="621">
        <f>ROW()</f>
        <v>164</v>
      </c>
    </row>
    <row r="165" spans="2:15" ht="14.1" customHeight="1">
      <c r="B165" s="3786"/>
      <c r="C165" s="3786"/>
      <c r="D165" s="3786"/>
      <c r="E165" s="3786"/>
      <c r="F165" s="3786"/>
      <c r="G165" s="3786"/>
      <c r="H165" s="3786"/>
      <c r="I165" s="3786"/>
      <c r="J165" s="3786"/>
      <c r="K165" s="3786"/>
      <c r="O165" s="621">
        <f>ROW()</f>
        <v>165</v>
      </c>
    </row>
    <row r="166" spans="2:15" ht="14.1" customHeight="1">
      <c r="B166" s="3786"/>
      <c r="C166" s="3786"/>
      <c r="D166" s="3786"/>
      <c r="E166" s="3786"/>
      <c r="F166" s="3786"/>
      <c r="G166" s="3786"/>
      <c r="H166" s="3786"/>
      <c r="I166" s="3786"/>
      <c r="J166" s="3786"/>
      <c r="K166" s="3786"/>
      <c r="O166" s="621">
        <f>ROW()</f>
        <v>166</v>
      </c>
    </row>
    <row r="167" spans="2:15" ht="14.1" customHeight="1">
      <c r="B167" s="312" t="str">
        <f>CONCATENATE("Reduxn in waiting time from eliminating fare collexn (Row ",O162, " x Row ",O158, ")")</f>
        <v>Reduxn in waiting time from eliminating fare collexn (Row 162 x Row 158)</v>
      </c>
      <c r="I167" s="229">
        <f>I162*I158</f>
        <v>0</v>
      </c>
      <c r="J167" t="s">
        <v>131</v>
      </c>
      <c r="O167" s="621">
        <f>ROW()</f>
        <v>167</v>
      </c>
    </row>
    <row r="168" spans="2:15" ht="14.1" customHeight="1">
      <c r="B168" s="312" t="str">
        <f>CONCATENATE("Est'd total savings per trip from eliminating fare collexn (Row ",O161, " + Row ",O167, ")")</f>
        <v>Est'd total savings per trip from eliminating fare collexn (Row 161 + Row 167)</v>
      </c>
      <c r="I168" s="229">
        <f>I161+I167</f>
        <v>0</v>
      </c>
      <c r="J168" t="s">
        <v>131</v>
      </c>
      <c r="O168" s="621">
        <f>ROW()</f>
        <v>168</v>
      </c>
    </row>
    <row r="169" spans="2:15" ht="14.1" customHeight="1">
      <c r="B169" s="308" t="s">
        <v>272</v>
      </c>
      <c r="I169" s="230">
        <f>I151*I168/60</f>
        <v>0</v>
      </c>
      <c r="J169" s="6" t="s">
        <v>2616</v>
      </c>
      <c r="O169" s="621">
        <f>ROW()</f>
        <v>169</v>
      </c>
    </row>
    <row r="170" spans="2:15" ht="14.1" customHeight="1">
      <c r="B170" s="280" t="s">
        <v>1427</v>
      </c>
      <c r="I170" s="227">
        <f ca="1">SUMPRODUCT(I114:J114,I116:J116)/K114*I119+SUMPRODUCT(I114:J114,I117:J117)/K114*(1-I119)</f>
        <v>9.6553016341576487</v>
      </c>
      <c r="O170" s="621">
        <f>ROW()</f>
        <v>170</v>
      </c>
    </row>
    <row r="171" spans="2:15" ht="14.1" customHeight="1">
      <c r="B171" s="3785" t="str">
        <f>CONCATENATE("Wghtd average of in-CBD and out-CBD respective avg per-hour values of saved time, which are calculated from SUMPRODUCT operations on 2x2 array in Columns I &amp; J and Rows ",O116, " &amp; ",O117, ".")</f>
        <v>Wghtd average of in-CBD and out-CBD respective avg per-hour values of saved time, which are calculated from SUMPRODUCT operations on 2x2 array in Columns I &amp; J and Rows 116 &amp; 117.</v>
      </c>
      <c r="C171" s="3785"/>
      <c r="D171" s="3785"/>
      <c r="E171" s="3785"/>
      <c r="F171" s="3785"/>
      <c r="G171" s="3785"/>
      <c r="H171" s="3785"/>
      <c r="I171" s="3785"/>
      <c r="J171" s="3785"/>
      <c r="K171" s="3785"/>
      <c r="O171" s="621">
        <f>ROW()</f>
        <v>171</v>
      </c>
    </row>
    <row r="172" spans="2:15" ht="14.1" customHeight="1">
      <c r="B172" s="3785"/>
      <c r="C172" s="3785"/>
      <c r="D172" s="3785"/>
      <c r="E172" s="3785"/>
      <c r="F172" s="3785"/>
      <c r="G172" s="3785"/>
      <c r="H172" s="3785"/>
      <c r="I172" s="3785"/>
      <c r="J172" s="3785"/>
      <c r="K172" s="3785"/>
      <c r="O172" s="621">
        <f>ROW()</f>
        <v>172</v>
      </c>
    </row>
    <row r="173" spans="2:15" ht="14.1" customHeight="1">
      <c r="B173" s="280" t="s">
        <v>1542</v>
      </c>
      <c r="I173" s="228">
        <f ca="1">ROUND(I169*I170,-1)</f>
        <v>0</v>
      </c>
      <c r="J173" s="6" t="s">
        <v>2616</v>
      </c>
      <c r="K173" s="4203" t="s">
        <v>4284</v>
      </c>
      <c r="L173" s="4204"/>
      <c r="O173" s="621">
        <f>ROW()</f>
        <v>173</v>
      </c>
    </row>
    <row r="174" spans="2:15" ht="14.1" customHeight="1">
      <c r="B174" s="280" t="s">
        <v>1544</v>
      </c>
      <c r="I174" s="2433" t="str">
        <f>IF('User Inputs'!J135=0,"YES","NO")</f>
        <v>NO</v>
      </c>
      <c r="J174" s="768"/>
      <c r="K174" s="4205"/>
      <c r="L174" s="4124"/>
      <c r="O174" s="621">
        <f>ROW()</f>
        <v>174</v>
      </c>
    </row>
    <row r="175" spans="2:15" ht="14.1" customHeight="1">
      <c r="B175" s="280" t="s">
        <v>1543</v>
      </c>
      <c r="I175" s="228">
        <f ca="1">I173*IF(I174="YES",1,0)</f>
        <v>0</v>
      </c>
      <c r="J175" s="6" t="s">
        <v>2616</v>
      </c>
      <c r="K175" s="4089"/>
      <c r="L175" s="4091"/>
      <c r="O175" s="621">
        <f>ROW()</f>
        <v>175</v>
      </c>
    </row>
    <row r="176" spans="2:15" ht="14.1" customHeight="1">
      <c r="O176" s="621">
        <f>ROW()</f>
        <v>176</v>
      </c>
    </row>
    <row r="177" spans="2:18" ht="14.1" customHeight="1">
      <c r="B177" s="24" t="s">
        <v>5821</v>
      </c>
      <c r="O177" s="621">
        <f>ROW()</f>
        <v>177</v>
      </c>
    </row>
    <row r="178" spans="2:18" s="3291" customFormat="1" ht="14.1" customHeight="1">
      <c r="B178" s="312" t="s">
        <v>5822</v>
      </c>
      <c r="O178" s="621">
        <f>ROW()</f>
        <v>178</v>
      </c>
    </row>
    <row r="179" spans="2:18" ht="14.1" customHeight="1">
      <c r="B179" s="281" t="s">
        <v>2617</v>
      </c>
      <c r="C179" s="281"/>
      <c r="D179" s="281"/>
      <c r="E179" s="281"/>
      <c r="F179" s="281"/>
      <c r="G179" s="281"/>
      <c r="H179" s="281"/>
      <c r="I179" s="281"/>
      <c r="J179" s="281"/>
      <c r="K179" s="281"/>
      <c r="O179" s="621">
        <f>ROW()</f>
        <v>179</v>
      </c>
    </row>
    <row r="180" spans="2:18" ht="14.1" customHeight="1">
      <c r="B180" s="4194" t="s">
        <v>1368</v>
      </c>
      <c r="C180" s="3659"/>
      <c r="D180" s="3659"/>
      <c r="E180" s="3659"/>
      <c r="F180" s="3659"/>
      <c r="G180" s="3659"/>
      <c r="H180" s="3659"/>
      <c r="I180" s="3659"/>
      <c r="J180" s="3659"/>
      <c r="K180" s="3659"/>
      <c r="O180" s="621">
        <f>ROW()</f>
        <v>180</v>
      </c>
    </row>
    <row r="181" spans="2:18" ht="14.1" customHeight="1">
      <c r="B181" s="3659"/>
      <c r="C181" s="3659"/>
      <c r="D181" s="3659"/>
      <c r="E181" s="3659"/>
      <c r="F181" s="3659"/>
      <c r="G181" s="3659"/>
      <c r="H181" s="3659"/>
      <c r="I181" s="3659"/>
      <c r="J181" s="3659"/>
      <c r="K181" s="3659"/>
      <c r="O181" s="621">
        <f>ROW()</f>
        <v>181</v>
      </c>
    </row>
    <row r="182" spans="2:18" ht="14.1" customHeight="1">
      <c r="B182" s="3659"/>
      <c r="C182" s="3659"/>
      <c r="D182" s="3659"/>
      <c r="E182" s="3659"/>
      <c r="F182" s="3659"/>
      <c r="G182" s="3659"/>
      <c r="H182" s="3659"/>
      <c r="I182" s="3659"/>
      <c r="J182" s="3659"/>
      <c r="K182" s="3659"/>
      <c r="O182" s="621">
        <f>ROW()</f>
        <v>182</v>
      </c>
    </row>
    <row r="183" spans="2:18" s="3291" customFormat="1" ht="14.1" customHeight="1">
      <c r="B183" s="4188" t="s">
        <v>5823</v>
      </c>
      <c r="C183" s="3659"/>
      <c r="D183" s="3659"/>
      <c r="E183" s="3659"/>
      <c r="F183" s="3659"/>
      <c r="G183" s="3659"/>
      <c r="H183" s="3659"/>
      <c r="I183" s="3659"/>
      <c r="J183" s="3659"/>
      <c r="K183" s="3659"/>
      <c r="O183" s="621">
        <f>ROW()</f>
        <v>183</v>
      </c>
    </row>
    <row r="184" spans="2:18" s="3291" customFormat="1" ht="14.1" customHeight="1">
      <c r="B184" s="3659"/>
      <c r="C184" s="3659"/>
      <c r="D184" s="3659"/>
      <c r="E184" s="3659"/>
      <c r="F184" s="3659"/>
      <c r="G184" s="3659"/>
      <c r="H184" s="3659"/>
      <c r="I184" s="3659"/>
      <c r="J184" s="3659"/>
      <c r="K184" s="3659"/>
      <c r="O184" s="621">
        <f>ROW()</f>
        <v>184</v>
      </c>
    </row>
    <row r="185" spans="2:18" s="3291" customFormat="1" ht="14.1" customHeight="1">
      <c r="B185" s="3659"/>
      <c r="C185" s="3659"/>
      <c r="D185" s="3659"/>
      <c r="E185" s="3659"/>
      <c r="F185" s="3659"/>
      <c r="G185" s="3659"/>
      <c r="H185" s="3659"/>
      <c r="I185" s="3659"/>
      <c r="J185" s="3659"/>
      <c r="K185" s="3659"/>
      <c r="O185" s="621">
        <f>ROW()</f>
        <v>185</v>
      </c>
    </row>
    <row r="186" spans="2:18" ht="14.1" customHeight="1">
      <c r="I186" s="8" t="s">
        <v>781</v>
      </c>
      <c r="J186" s="8" t="s">
        <v>1975</v>
      </c>
      <c r="K186" s="8" t="s">
        <v>1130</v>
      </c>
      <c r="O186" s="621">
        <f>ROW()</f>
        <v>186</v>
      </c>
      <c r="R186" s="3291"/>
    </row>
    <row r="187" spans="2:18" s="3291" customFormat="1" ht="14.1" customHeight="1">
      <c r="B187" s="3294" t="s">
        <v>5824</v>
      </c>
      <c r="I187" s="8"/>
      <c r="J187" s="8"/>
      <c r="K187" s="8"/>
      <c r="O187" s="621">
        <f>ROW()</f>
        <v>187</v>
      </c>
    </row>
    <row r="188" spans="2:18" s="3291" customFormat="1" ht="14.1" customHeight="1">
      <c r="B188" s="312" t="s">
        <v>5815</v>
      </c>
      <c r="I188" s="272">
        <f ca="1">'Motor Vs'!N908</f>
        <v>65765443.26420746</v>
      </c>
      <c r="J188" s="272">
        <f ca="1">'Motor Vs Weekends'!N908</f>
        <v>56343998.065239586</v>
      </c>
      <c r="K188" s="8"/>
      <c r="O188" s="621">
        <f>ROW()</f>
        <v>188</v>
      </c>
      <c r="R188"/>
    </row>
    <row r="189" spans="2:18" s="3291" customFormat="1" ht="14.1" customHeight="1">
      <c r="B189" s="215" t="str">
        <f>CONCATENATE("Motor V's and Motor Vs Weekends tabs, Rows ",'Motor Vs'!O908, ".")</f>
        <v>Motor V's and Motor Vs Weekends tabs, Rows 908.</v>
      </c>
      <c r="I189" s="768"/>
      <c r="J189" s="768"/>
      <c r="K189" s="8"/>
      <c r="O189" s="621">
        <f>ROW()</f>
        <v>189</v>
      </c>
    </row>
    <row r="190" spans="2:18" s="3291" customFormat="1" ht="14.1" customHeight="1">
      <c r="B190" s="312" t="s">
        <v>5816</v>
      </c>
      <c r="I190" s="272">
        <f ca="1">'Motor Vs'!N911</f>
        <v>46770557.289913341</v>
      </c>
      <c r="J190" s="272">
        <f ca="1">'Motor Vs Weekends'!N911</f>
        <v>39554085.47091338</v>
      </c>
      <c r="K190" s="8"/>
      <c r="O190" s="621">
        <f>ROW()</f>
        <v>190</v>
      </c>
    </row>
    <row r="191" spans="2:18" s="3291" customFormat="1" ht="14.1" customHeight="1">
      <c r="B191" s="215" t="str">
        <f>CONCATENATE("Motor V's and Motor Vs Weekends tabs, Rows ",'Motor Vs'!O911, ".")</f>
        <v>Motor V's and Motor Vs Weekends tabs, Rows 911.</v>
      </c>
      <c r="I191" s="768"/>
      <c r="J191" s="768"/>
      <c r="K191" s="8"/>
      <c r="O191" s="621">
        <f>ROW()</f>
        <v>191</v>
      </c>
    </row>
    <row r="192" spans="2:18" s="3291" customFormat="1" ht="14.1" customHeight="1">
      <c r="B192" s="312" t="s">
        <v>5817</v>
      </c>
      <c r="I192" s="1587">
        <f ca="1">I190/I188</f>
        <v>0.71117223527280626</v>
      </c>
      <c r="J192" s="1587">
        <f ca="1">J190/J188</f>
        <v>0.70201062809058201</v>
      </c>
      <c r="K192" s="8"/>
      <c r="O192" s="621">
        <f>ROW()</f>
        <v>192</v>
      </c>
    </row>
    <row r="193" spans="2:20" s="3291" customFormat="1" ht="14.1" customHeight="1">
      <c r="B193" s="215" t="str">
        <f>CONCATENATE("Ratio of Row ",O190, " to ",184, ".")</f>
        <v>Ratio of Row 190 to 184.</v>
      </c>
      <c r="I193" s="768"/>
      <c r="J193" s="768"/>
      <c r="K193" s="8"/>
      <c r="O193" s="621">
        <f>ROW()</f>
        <v>193</v>
      </c>
    </row>
    <row r="194" spans="2:20" s="3291" customFormat="1" ht="14.1" customHeight="1">
      <c r="B194" s="3294" t="s">
        <v>5820</v>
      </c>
      <c r="I194" s="768"/>
      <c r="J194" s="768"/>
      <c r="K194" s="8"/>
      <c r="O194" s="621">
        <f>ROW()</f>
        <v>194</v>
      </c>
    </row>
    <row r="195" spans="2:20" s="3291" customFormat="1" ht="14.1" customHeight="1">
      <c r="I195" s="8" t="s">
        <v>781</v>
      </c>
      <c r="J195" s="8" t="s">
        <v>1975</v>
      </c>
      <c r="K195" s="8" t="s">
        <v>1130</v>
      </c>
      <c r="O195" s="621">
        <f>ROW()</f>
        <v>195</v>
      </c>
    </row>
    <row r="196" spans="2:20" ht="14.1" customHeight="1">
      <c r="B196" s="2" t="s">
        <v>5826</v>
      </c>
      <c r="I196" s="8"/>
      <c r="J196" s="8"/>
      <c r="K196" s="8"/>
      <c r="O196" s="621">
        <f>ROW()</f>
        <v>196</v>
      </c>
      <c r="R196" s="3291"/>
    </row>
    <row r="197" spans="2:20" s="9" customFormat="1" ht="14.1" customHeight="1">
      <c r="B197" s="280" t="s">
        <v>648</v>
      </c>
      <c r="C197" s="280"/>
      <c r="I197" s="272">
        <f ca="1">'Motor Vs'!N963</f>
        <v>42018.345019424203</v>
      </c>
      <c r="J197" s="272">
        <f ca="1">'Motor Vs Weekends'!N963</f>
        <v>21835.171829473737</v>
      </c>
      <c r="M197" s="3798" t="s">
        <v>5906</v>
      </c>
      <c r="N197" s="4217"/>
      <c r="O197" s="621">
        <f>ROW()</f>
        <v>197</v>
      </c>
      <c r="R197"/>
      <c r="T197"/>
    </row>
    <row r="198" spans="2:20" s="6" customFormat="1" ht="14.1" customHeight="1">
      <c r="B198" s="215" t="str">
        <f>CONCATENATE("Both figures calculated in Totals columns block of Row ",'Motor Vs'!O963, " in respective Motor Vs worksheets")</f>
        <v>Both figures calculated in Totals columns block of Row 963 in respective Motor Vs worksheets</v>
      </c>
      <c r="C198" s="308"/>
      <c r="I198" s="268"/>
      <c r="J198" s="268"/>
      <c r="M198" s="4049"/>
      <c r="N198" s="4048"/>
      <c r="O198" s="621">
        <f>ROW()</f>
        <v>198</v>
      </c>
      <c r="P198"/>
      <c r="Q198"/>
      <c r="R198" s="9"/>
      <c r="S198"/>
      <c r="T198" s="9"/>
    </row>
    <row r="199" spans="2:20" s="6" customFormat="1" ht="14.1" customHeight="1">
      <c r="B199" s="312" t="s">
        <v>5825</v>
      </c>
      <c r="C199" s="308"/>
      <c r="I199" s="272">
        <f ca="1">(1-I192)*I214</f>
        <v>52964.254604122245</v>
      </c>
      <c r="J199" s="272">
        <f ca="1">(1-J192)*J214</f>
        <v>24635.006626111746</v>
      </c>
      <c r="M199" s="4049"/>
      <c r="N199" s="4048"/>
      <c r="O199" s="621">
        <f>ROW()</f>
        <v>199</v>
      </c>
      <c r="P199" s="3291"/>
      <c r="Q199" s="3291"/>
      <c r="R199" s="9"/>
      <c r="S199" s="3291"/>
      <c r="T199" s="9"/>
    </row>
    <row r="200" spans="2:20" s="6" customFormat="1" ht="14.1" customHeight="1">
      <c r="B200" s="215" t="str">
        <f>CONCATENATE("Product of (i) complement of percent in Row ",O192, " and (ii) non-CBD hours shown below, in Row ",O214, ".")</f>
        <v>Product of (i) complement of percent in Row 192 and (ii) non-CBD hours shown below, in Row 214.</v>
      </c>
      <c r="C200" s="308"/>
      <c r="I200" s="268"/>
      <c r="J200" s="268"/>
      <c r="M200" s="4049"/>
      <c r="N200" s="4048"/>
      <c r="O200" s="621">
        <f>ROW()</f>
        <v>200</v>
      </c>
      <c r="P200" s="3291"/>
      <c r="Q200" s="3291"/>
      <c r="R200" s="9"/>
      <c r="S200" s="3291"/>
      <c r="T200" s="9"/>
    </row>
    <row r="201" spans="2:20" s="6" customFormat="1" ht="14.1" customHeight="1">
      <c r="B201" s="312" t="s">
        <v>5905</v>
      </c>
      <c r="C201" s="308"/>
      <c r="I201" s="272">
        <f ca="1">I197+I199</f>
        <v>94982.599623546441</v>
      </c>
      <c r="J201" s="272">
        <f ca="1">J197+J199</f>
        <v>46470.178455585483</v>
      </c>
      <c r="K201" s="3295">
        <f ca="1">I201+J201</f>
        <v>141452.77807913191</v>
      </c>
      <c r="M201" s="4049"/>
      <c r="N201" s="4048"/>
      <c r="O201" s="621">
        <f>ROW()</f>
        <v>201</v>
      </c>
      <c r="P201" s="3291"/>
      <c r="Q201" s="3291"/>
      <c r="R201" s="9"/>
      <c r="S201" s="3291"/>
      <c r="T201" s="9"/>
    </row>
    <row r="202" spans="2:20" s="6" customFormat="1" ht="14.1" customHeight="1">
      <c r="B202" s="215" t="str">
        <f>CONCATENATE("Sum of Rows ",$O$197, " and ",$O$199, ".")</f>
        <v>Sum of Rows 197 and 199.</v>
      </c>
      <c r="C202" s="308"/>
      <c r="I202" s="268"/>
      <c r="J202" s="268"/>
      <c r="M202" s="4049"/>
      <c r="N202" s="4048"/>
      <c r="O202" s="621">
        <f>ROW()</f>
        <v>202</v>
      </c>
      <c r="P202" s="3291"/>
      <c r="Q202" s="3291"/>
      <c r="R202" s="9"/>
      <c r="S202" s="3291"/>
      <c r="T202" s="9"/>
    </row>
    <row r="203" spans="2:20" s="6" customFormat="1" ht="14.1" customHeight="1">
      <c r="B203" s="280" t="s">
        <v>588</v>
      </c>
      <c r="C203" s="308"/>
      <c r="F203" s="265" t="s">
        <v>4300</v>
      </c>
      <c r="I203" s="272">
        <f>weekday_per_yr</f>
        <v>250</v>
      </c>
      <c r="J203" s="272">
        <f>wkend_per_yr</f>
        <v>115</v>
      </c>
      <c r="M203" s="4049"/>
      <c r="N203" s="4048"/>
      <c r="O203" s="621">
        <f>ROW()</f>
        <v>203</v>
      </c>
      <c r="P203" s="3317"/>
      <c r="Q203" s="3317"/>
      <c r="R203" s="9"/>
      <c r="S203" s="3317"/>
      <c r="T203" s="9"/>
    </row>
    <row r="204" spans="2:20" s="6" customFormat="1" ht="14.1" customHeight="1">
      <c r="B204" s="312" t="s">
        <v>5907</v>
      </c>
      <c r="C204" s="308"/>
      <c r="G204" s="265" t="str">
        <f>CONCATENATE("Row ",O201, " x Row ",$O$203, ".")</f>
        <v>Row 201 x Row 203.</v>
      </c>
      <c r="I204" s="272">
        <f ca="1">I201*I203</f>
        <v>23745649.905886609</v>
      </c>
      <c r="J204" s="272">
        <f ca="1">J201*J203</f>
        <v>5344070.5223923307</v>
      </c>
      <c r="K204" s="3295">
        <f ca="1">I204+J204</f>
        <v>29089720.428278938</v>
      </c>
      <c r="M204" s="4049"/>
      <c r="N204" s="4048"/>
      <c r="O204" s="621">
        <f>ROW()</f>
        <v>204</v>
      </c>
      <c r="P204" s="3317"/>
      <c r="Q204" s="3317"/>
      <c r="R204" s="9"/>
      <c r="S204" s="3317"/>
      <c r="T204" s="9"/>
    </row>
    <row r="205" spans="2:20" ht="14.1" customHeight="1">
      <c r="B205" s="312" t="s">
        <v>4299</v>
      </c>
      <c r="C205" s="281"/>
      <c r="I205" s="234">
        <f ca="1">'Value of Time'!M91</f>
        <v>41.450576392516979</v>
      </c>
      <c r="J205" s="227">
        <f ca="1">I205*$M$103</f>
        <v>24.870345835510186</v>
      </c>
      <c r="K205" s="1174">
        <f ca="1">(I197*wkday_per_yr*I205+J197*wkend_per_yr*J205)/(I197*wkday_per_yr+J197*wkend_per_yr)</f>
        <v>38.251830129853651</v>
      </c>
      <c r="M205" s="4049"/>
      <c r="N205" s="4048"/>
      <c r="O205" s="621">
        <f>ROW()</f>
        <v>205</v>
      </c>
    </row>
    <row r="206" spans="2:20" ht="14.1" customHeight="1">
      <c r="B206" s="215" t="str">
        <f>CONCATENATE("Weekday figure is derived in 'Value of Time' worksheet, Row ",'Value of Time'!O91, ". Weekend figure applies factor from Row ",O103, ",above.")</f>
        <v>Weekday figure is derived in 'Value of Time' worksheet, Row 91. Weekend figure applies factor from Row 103,above.</v>
      </c>
      <c r="C206" s="281"/>
      <c r="I206" s="234"/>
      <c r="J206" s="227"/>
      <c r="M206" s="3800"/>
      <c r="N206" s="4098"/>
      <c r="O206" s="621">
        <f>ROW()</f>
        <v>206</v>
      </c>
    </row>
    <row r="207" spans="2:20" ht="14.1" customHeight="1">
      <c r="B207" s="518" t="s">
        <v>5827</v>
      </c>
      <c r="I207" s="235">
        <f ca="1">I204*I205/1000000</f>
        <v>984.27087541391643</v>
      </c>
      <c r="J207" s="235">
        <f ca="1">J204*J205/1000000</f>
        <v>132.90888206125285</v>
      </c>
      <c r="K207" s="235">
        <f ca="1">I207+J207</f>
        <v>1117.1797574751693</v>
      </c>
      <c r="L207" s="657" t="s">
        <v>2616</v>
      </c>
      <c r="O207" s="621">
        <f>ROW()</f>
        <v>207</v>
      </c>
    </row>
    <row r="208" spans="2:20" ht="14.1" customHeight="1">
      <c r="B208" s="215" t="str">
        <f>CONCATENATE("Product of Rows ",O204, " and ",O205, ".")</f>
        <v>Product of Rows 204 and 205.</v>
      </c>
      <c r="I208" s="768"/>
      <c r="J208" s="768"/>
      <c r="K208" s="768"/>
      <c r="L208" s="657"/>
      <c r="O208" s="621">
        <f>ROW()</f>
        <v>208</v>
      </c>
    </row>
    <row r="209" spans="2:20" ht="14.1" customHeight="1">
      <c r="B209" s="312" t="s">
        <v>4301</v>
      </c>
      <c r="I209" s="2438">
        <f ca="1">M122</f>
        <v>13.556044304286287</v>
      </c>
      <c r="J209" s="2438">
        <f ca="1">N122</f>
        <v>2.5297144696475242</v>
      </c>
      <c r="K209" s="2438">
        <f ca="1">I209+J209</f>
        <v>16.085758773933811</v>
      </c>
      <c r="L209" s="3327" t="s">
        <v>2616</v>
      </c>
      <c r="O209" s="621">
        <f>ROW()</f>
        <v>209</v>
      </c>
    </row>
    <row r="210" spans="2:20" ht="14.1" customHeight="1">
      <c r="B210" s="215" t="str">
        <f>CONCATENATE("From upper row in matrix at right in Rows ",$O$122, " and ",$O$123, ".")</f>
        <v>From upper row in matrix at right in Rows 122 and 123.</v>
      </c>
      <c r="I210" s="768"/>
      <c r="J210" s="768"/>
      <c r="K210" s="768"/>
      <c r="L210" s="657"/>
      <c r="O210" s="621">
        <f>ROW()</f>
        <v>210</v>
      </c>
    </row>
    <row r="211" spans="2:20" ht="14.1" customHeight="1">
      <c r="B211" s="518" t="s">
        <v>5818</v>
      </c>
      <c r="I211" s="235">
        <f ca="1">I207-I209</f>
        <v>970.71483110963015</v>
      </c>
      <c r="J211" s="235">
        <f ca="1">J207-J209</f>
        <v>130.37916759160532</v>
      </c>
      <c r="K211" s="235">
        <f ca="1">I211+J211</f>
        <v>1101.0939987012355</v>
      </c>
      <c r="L211" s="657" t="s">
        <v>2616</v>
      </c>
      <c r="M211" s="3317"/>
      <c r="N211" s="3317"/>
      <c r="O211" s="621">
        <f>ROW()</f>
        <v>211</v>
      </c>
    </row>
    <row r="212" spans="2:20" ht="14.1" customHeight="1">
      <c r="B212" s="6"/>
      <c r="I212" s="768"/>
      <c r="J212" s="768"/>
      <c r="K212" s="768"/>
      <c r="M212" s="3317"/>
      <c r="N212" s="3317"/>
      <c r="O212" s="621">
        <f>ROW()</f>
        <v>212</v>
      </c>
    </row>
    <row r="213" spans="2:20" ht="14.1" customHeight="1">
      <c r="B213" s="2" t="s">
        <v>5819</v>
      </c>
      <c r="I213" s="8" t="s">
        <v>781</v>
      </c>
      <c r="J213" s="8" t="s">
        <v>1975</v>
      </c>
      <c r="K213" s="8" t="s">
        <v>1130</v>
      </c>
      <c r="M213" s="4195" t="s">
        <v>2152</v>
      </c>
      <c r="N213" s="4196"/>
      <c r="O213" s="621">
        <f>ROW()</f>
        <v>213</v>
      </c>
    </row>
    <row r="214" spans="2:20" s="9" customFormat="1" ht="14.1" customHeight="1">
      <c r="B214" s="312" t="s">
        <v>5908</v>
      </c>
      <c r="C214" s="280"/>
      <c r="I214" s="272">
        <f ca="1">'Motor Vs'!N972</f>
        <v>183376.60388760938</v>
      </c>
      <c r="J214" s="272">
        <f ca="1">'Motor Vs Weekends'!N969</f>
        <v>82670.755900650809</v>
      </c>
      <c r="K214"/>
      <c r="M214" s="4197"/>
      <c r="N214" s="4198"/>
      <c r="O214" s="621">
        <f>ROW()</f>
        <v>214</v>
      </c>
      <c r="R214"/>
      <c r="T214"/>
    </row>
    <row r="215" spans="2:20" ht="14.1" customHeight="1">
      <c r="B215" s="215" t="str">
        <f>CONCATENATE("Both figures calculated in Totals columns block of Row ",'Motor Vs'!O972, " in respective Motor Vs worksheets")</f>
        <v>Both figures calculated in Totals columns block of Row 972 in respective Motor Vs worksheets</v>
      </c>
      <c r="C215" s="308"/>
      <c r="D215" s="6"/>
      <c r="E215" s="6"/>
      <c r="F215" s="6"/>
      <c r="G215" s="6"/>
      <c r="H215" s="6"/>
      <c r="I215" s="268"/>
      <c r="J215" s="6"/>
      <c r="M215" s="4197"/>
      <c r="N215" s="4198"/>
      <c r="O215" s="621">
        <f>ROW()</f>
        <v>215</v>
      </c>
      <c r="R215" s="9"/>
      <c r="T215" s="9"/>
    </row>
    <row r="216" spans="2:20" s="3291" customFormat="1" ht="14.1" customHeight="1">
      <c r="B216" s="312" t="s">
        <v>5909</v>
      </c>
      <c r="C216" s="308"/>
      <c r="D216" s="6"/>
      <c r="E216" s="6"/>
      <c r="F216" s="6"/>
      <c r="G216" s="6"/>
      <c r="H216" s="6"/>
      <c r="I216" s="272">
        <f ca="1">I192*I214</f>
        <v>130412.34928348714</v>
      </c>
      <c r="J216" s="272">
        <f ca="1">J192*J214</f>
        <v>58035.749274539063</v>
      </c>
      <c r="M216" s="4197"/>
      <c r="N216" s="4198"/>
      <c r="O216" s="621">
        <f>ROW()</f>
        <v>216</v>
      </c>
      <c r="R216"/>
      <c r="T216" s="9"/>
    </row>
    <row r="217" spans="2:20" s="3291" customFormat="1" ht="14.1" customHeight="1">
      <c r="B217" s="215" t="str">
        <f>CONCATENATE("Product of (i) percent in Row ",O192, " and (ii) total non-CBD hours shown in Row ",O214, ".")</f>
        <v>Product of (i) percent in Row 192 and (ii) total non-CBD hours shown in Row 214.</v>
      </c>
      <c r="C217"/>
      <c r="D217"/>
      <c r="E217"/>
      <c r="F217"/>
      <c r="G217"/>
      <c r="H217"/>
      <c r="M217" s="4199"/>
      <c r="N217" s="4200"/>
      <c r="O217" s="621">
        <f>ROW()</f>
        <v>217</v>
      </c>
      <c r="T217" s="9"/>
    </row>
    <row r="218" spans="2:20" s="3317" customFormat="1" ht="14.1" customHeight="1">
      <c r="B218" s="312" t="str">
        <f>CONCATENATE("Same as Row ",O216, ", except annually, not daily:")</f>
        <v>Same as Row 216, except annually, not daily:</v>
      </c>
      <c r="G218" s="265" t="str">
        <f>CONCATENATE("Row ",O216, " x Row ",$O$203, ".")</f>
        <v>Row 216 x Row 203.</v>
      </c>
      <c r="I218" s="272">
        <f ca="1">I216*I203</f>
        <v>32603087.320871785</v>
      </c>
      <c r="J218" s="272">
        <f ca="1">J216*J203</f>
        <v>6674111.1665719924</v>
      </c>
      <c r="K218" s="3295">
        <f ca="1">I218+J218</f>
        <v>39277198.487443775</v>
      </c>
      <c r="O218" s="621">
        <f>ROW()</f>
        <v>218</v>
      </c>
      <c r="T218" s="9"/>
    </row>
    <row r="219" spans="2:20" ht="14.1" customHeight="1">
      <c r="B219" s="312" t="s">
        <v>4304</v>
      </c>
      <c r="I219" s="234">
        <f>'Value of Time'!M127</f>
        <v>29.715524962837527</v>
      </c>
      <c r="J219" s="227">
        <f>I219*$M$103</f>
        <v>17.829314977702516</v>
      </c>
      <c r="K219" s="1174">
        <f ca="1">(I214*wkday_per_yr*I219+J214*wkend_per_yr*J219)/(I214*wkday_per_yr+J214*wkend_per_yr)</f>
        <v>27.673949596178392</v>
      </c>
      <c r="M219" s="3317"/>
      <c r="N219" s="3317"/>
      <c r="O219" s="621">
        <f>ROW()</f>
        <v>219</v>
      </c>
      <c r="R219" s="3291"/>
    </row>
    <row r="220" spans="2:20" ht="14.1" customHeight="1">
      <c r="B220" s="215" t="str">
        <f>CONCATENATE("Weekday figure is derived in 'Value of Time' worksheet, Row ",'Value of Time'!O127, ". Weekend figure applies factor from Row ",O103, ",above.")</f>
        <v>Weekday figure is derived in 'Value of Time' worksheet, Row 127. Weekend figure applies factor from Row 103,above.</v>
      </c>
      <c r="I220" s="234"/>
      <c r="J220" s="2431"/>
      <c r="O220" s="621">
        <f>ROW()</f>
        <v>220</v>
      </c>
    </row>
    <row r="221" spans="2:20" ht="14.1" customHeight="1">
      <c r="B221" s="518" t="s">
        <v>5831</v>
      </c>
      <c r="I221" s="235">
        <f ca="1">I218*I219/1000000</f>
        <v>968.81785514893727</v>
      </c>
      <c r="J221" s="235">
        <f ca="1">J218*J219/1000000</f>
        <v>118.99483018501364</v>
      </c>
      <c r="K221" s="235">
        <f ca="1">I221+J221</f>
        <v>1087.8126853339509</v>
      </c>
      <c r="L221" s="657" t="s">
        <v>2616</v>
      </c>
      <c r="O221" s="621">
        <f>ROW()</f>
        <v>221</v>
      </c>
    </row>
    <row r="222" spans="2:20" ht="14.1" customHeight="1">
      <c r="B222" s="215" t="str">
        <f>CONCATENATE("Product of Rows ",O218, " and ",O219, ".")</f>
        <v>Product of Rows 218 and 219.</v>
      </c>
      <c r="I222" s="768"/>
      <c r="J222" s="768"/>
      <c r="K222" s="768"/>
      <c r="L222" s="657"/>
      <c r="O222" s="621">
        <f>ROW()</f>
        <v>222</v>
      </c>
    </row>
    <row r="223" spans="2:20" ht="14.1" customHeight="1">
      <c r="B223" s="312" t="s">
        <v>4301</v>
      </c>
      <c r="I223" s="2438">
        <f ca="1">M123</f>
        <v>36.149451478096765</v>
      </c>
      <c r="J223" s="2438">
        <f ca="1">N123</f>
        <v>6.7459052523933991</v>
      </c>
      <c r="K223" s="2438">
        <f ca="1">I223+J223</f>
        <v>42.895356730490164</v>
      </c>
      <c r="L223" s="3327" t="s">
        <v>2616</v>
      </c>
      <c r="O223" s="621">
        <f>ROW()</f>
        <v>223</v>
      </c>
      <c r="T223" s="6"/>
    </row>
    <row r="224" spans="2:20" ht="14.1" customHeight="1">
      <c r="B224" s="215" t="str">
        <f>CONCATENATE("From lower row in matrix at right in Rows ",$O$122, " and ",$O$123, ".")</f>
        <v>From lower row in matrix at right in Rows 122 and 123.</v>
      </c>
      <c r="I224" s="768"/>
      <c r="J224" s="768"/>
      <c r="K224" s="768"/>
      <c r="L224" s="657"/>
      <c r="O224" s="621">
        <f>ROW()</f>
        <v>224</v>
      </c>
    </row>
    <row r="225" spans="2:20" ht="14.1" customHeight="1">
      <c r="B225" s="518" t="s">
        <v>5832</v>
      </c>
      <c r="I225" s="235">
        <f ca="1">I221-I223</f>
        <v>932.66840367084046</v>
      </c>
      <c r="J225" s="235">
        <f ca="1">J221-J223</f>
        <v>112.24892493262024</v>
      </c>
      <c r="K225" s="235">
        <f ca="1">I225+J225</f>
        <v>1044.9173286034606</v>
      </c>
      <c r="L225" s="657" t="s">
        <v>2616</v>
      </c>
      <c r="O225" s="621">
        <f>ROW()</f>
        <v>225</v>
      </c>
    </row>
    <row r="226" spans="2:20" s="3291" customFormat="1" ht="14.1" customHeight="1">
      <c r="B226" s="518"/>
      <c r="I226" s="768"/>
      <c r="J226" s="768"/>
      <c r="K226" s="768"/>
      <c r="L226" s="657"/>
      <c r="O226" s="621">
        <f>ROW()</f>
        <v>226</v>
      </c>
      <c r="R226"/>
    </row>
    <row r="227" spans="2:20" s="3291" customFormat="1" ht="14.1" customHeight="1">
      <c r="B227" s="2" t="s">
        <v>5828</v>
      </c>
      <c r="I227" s="8" t="s">
        <v>781</v>
      </c>
      <c r="J227" s="8" t="s">
        <v>1975</v>
      </c>
      <c r="K227" s="8" t="s">
        <v>1130</v>
      </c>
      <c r="L227" s="657"/>
      <c r="O227" s="621">
        <f>ROW()</f>
        <v>227</v>
      </c>
    </row>
    <row r="228" spans="2:20" ht="14.1" customHeight="1">
      <c r="B228" s="518" t="s">
        <v>5829</v>
      </c>
      <c r="I228" s="235">
        <f ca="1">I211+I225</f>
        <v>1903.3832347804705</v>
      </c>
      <c r="J228" s="235">
        <f ca="1">J211+J225</f>
        <v>242.62809252422556</v>
      </c>
      <c r="K228" s="235">
        <f ca="1">I228+J228</f>
        <v>2146.0113273046959</v>
      </c>
      <c r="L228" s="657" t="s">
        <v>2616</v>
      </c>
      <c r="O228" s="621">
        <f>ROW()</f>
        <v>228</v>
      </c>
      <c r="R228" s="3291"/>
    </row>
    <row r="229" spans="2:20" s="3291" customFormat="1" ht="14.1" customHeight="1">
      <c r="B229" s="215" t="str">
        <f>CONCATENATE("Sum of Rows ",O211, " and ",$O$225, ".")</f>
        <v>Sum of Rows 211 and 225.</v>
      </c>
      <c r="O229" s="621">
        <f>ROW()</f>
        <v>229</v>
      </c>
      <c r="R229"/>
    </row>
    <row r="230" spans="2:20" s="3291" customFormat="1" ht="14.1" customHeight="1">
      <c r="B230" s="518" t="s">
        <v>5833</v>
      </c>
      <c r="I230" s="375">
        <f ca="1">I211/I228</f>
        <v>0.50999442118212679</v>
      </c>
      <c r="J230" s="375">
        <f ca="1">J211/J228</f>
        <v>0.53736220828833914</v>
      </c>
      <c r="K230" s="375">
        <f ca="1">K211/K228</f>
        <v>0.5130886238537079</v>
      </c>
      <c r="O230" s="621">
        <f>ROW()</f>
        <v>230</v>
      </c>
    </row>
    <row r="231" spans="2:20" s="3291" customFormat="1" ht="14.1" customHeight="1">
      <c r="B231" s="215" t="str">
        <f>CONCATENATE("Ratio of Row ",O211, " to ",O228, ".")</f>
        <v>Ratio of Row 211 to 228.</v>
      </c>
      <c r="I231" s="3293"/>
      <c r="J231" s="3293"/>
      <c r="K231" s="3293"/>
      <c r="O231" s="621">
        <f>ROW()</f>
        <v>231</v>
      </c>
    </row>
    <row r="232" spans="2:20" s="3291" customFormat="1" ht="14.1" customHeight="1">
      <c r="O232" s="621">
        <f>ROW()</f>
        <v>232</v>
      </c>
    </row>
    <row r="233" spans="2:20" ht="14.1" customHeight="1">
      <c r="B233" s="24" t="s">
        <v>4311</v>
      </c>
      <c r="O233" s="621">
        <f>ROW()</f>
        <v>233</v>
      </c>
      <c r="R233" s="3291"/>
    </row>
    <row r="234" spans="2:20" ht="14.1" customHeight="1">
      <c r="B234" s="4186" t="s">
        <v>3365</v>
      </c>
      <c r="C234" s="4187"/>
      <c r="D234" s="4187"/>
      <c r="E234" s="4187"/>
      <c r="F234" s="4187"/>
      <c r="G234" s="4187"/>
      <c r="H234" s="4187"/>
      <c r="I234" s="4187"/>
      <c r="J234" s="4187"/>
      <c r="K234" s="4187"/>
      <c r="O234" s="621">
        <f>ROW()</f>
        <v>234</v>
      </c>
    </row>
    <row r="235" spans="2:20" ht="14.1" customHeight="1">
      <c r="B235" s="4187"/>
      <c r="C235" s="4187"/>
      <c r="D235" s="4187"/>
      <c r="E235" s="4187"/>
      <c r="F235" s="4187"/>
      <c r="G235" s="4187"/>
      <c r="H235" s="4187"/>
      <c r="I235" s="4187"/>
      <c r="J235" s="4187"/>
      <c r="K235" s="4187"/>
      <c r="O235" s="621">
        <f>ROW()</f>
        <v>235</v>
      </c>
    </row>
    <row r="236" spans="2:20" ht="14.1" customHeight="1">
      <c r="B236" s="4187"/>
      <c r="C236" s="4187"/>
      <c r="D236" s="4187"/>
      <c r="E236" s="4187"/>
      <c r="F236" s="4187"/>
      <c r="G236" s="4187"/>
      <c r="H236" s="4187"/>
      <c r="I236" s="4187"/>
      <c r="J236" s="4187"/>
      <c r="K236" s="4187"/>
      <c r="O236" s="621">
        <f>ROW()</f>
        <v>236</v>
      </c>
    </row>
    <row r="237" spans="2:20" ht="14.1" customHeight="1">
      <c r="B237" s="45"/>
      <c r="C237" s="45"/>
      <c r="D237" s="45"/>
      <c r="E237" s="45"/>
      <c r="F237" s="45"/>
      <c r="G237" s="45"/>
      <c r="H237" s="45"/>
      <c r="I237" s="8" t="s">
        <v>781</v>
      </c>
      <c r="J237" s="8" t="s">
        <v>1975</v>
      </c>
      <c r="K237" s="8" t="s">
        <v>1130</v>
      </c>
      <c r="O237" s="621">
        <f>ROW()</f>
        <v>237</v>
      </c>
    </row>
    <row r="238" spans="2:20" ht="14.1" customHeight="1">
      <c r="B238" s="6" t="s">
        <v>1685</v>
      </c>
      <c r="O238" s="621">
        <f>ROW()</f>
        <v>238</v>
      </c>
    </row>
    <row r="239" spans="2:20" s="49" customFormat="1" ht="14.1" customHeight="1">
      <c r="B239" s="270" t="s">
        <v>281</v>
      </c>
      <c r="C239" s="269"/>
      <c r="O239" s="621">
        <f>ROW()</f>
        <v>239</v>
      </c>
      <c r="R239"/>
      <c r="T239"/>
    </row>
    <row r="240" spans="2:20" ht="14.1" customHeight="1">
      <c r="B240" s="214" t="s">
        <v>915</v>
      </c>
      <c r="C240" s="214"/>
      <c r="I240" s="221">
        <f ca="1">'Motor Vs'!K933-'Motor Vs'!K943</f>
        <v>109166.37376501225</v>
      </c>
      <c r="J240" s="221">
        <f ca="1">'Motor Vs Weekends'!K933-'Motor Vs Weekends'!K943</f>
        <v>85272.095406078792</v>
      </c>
      <c r="O240" s="621">
        <f>ROW()</f>
        <v>240</v>
      </c>
      <c r="R240" s="49"/>
      <c r="T240" s="49"/>
    </row>
    <row r="241" spans="2:20" s="7" customFormat="1" ht="14.1" customHeight="1">
      <c r="B241" s="314" t="s">
        <v>104</v>
      </c>
      <c r="C241" s="215"/>
      <c r="I241" s="31"/>
      <c r="O241" s="621">
        <f>ROW()</f>
        <v>241</v>
      </c>
      <c r="R241"/>
      <c r="T241"/>
    </row>
    <row r="242" spans="2:20" ht="14.1" customHeight="1">
      <c r="B242" s="214" t="s">
        <v>1364</v>
      </c>
      <c r="C242" s="214"/>
      <c r="I242" s="221">
        <f ca="1">ROUND(I240*I203,-3)</f>
        <v>27292000</v>
      </c>
      <c r="J242" s="221">
        <f ca="1">ROUND(J240*J203,-3)</f>
        <v>9806000</v>
      </c>
      <c r="O242" s="621">
        <f>ROW()</f>
        <v>242</v>
      </c>
      <c r="R242" s="7"/>
      <c r="T242" s="7"/>
    </row>
    <row r="243" spans="2:20" ht="14.1" customHeight="1">
      <c r="B243" s="214" t="s">
        <v>1426</v>
      </c>
      <c r="C243" s="214"/>
      <c r="I243" s="226">
        <f ca="1">'Motor Vs'!N293-'Motor Vs'!N994</f>
        <v>7.9500210295168259</v>
      </c>
      <c r="J243" s="226">
        <f ca="1">'Motor Vs Weekends'!N293-'Motor Vs Weekends'!N994</f>
        <v>5.2217308295165532</v>
      </c>
      <c r="O243" s="621">
        <f>ROW()</f>
        <v>243</v>
      </c>
    </row>
    <row r="244" spans="2:20" ht="14.1" customHeight="1">
      <c r="B244" s="314" t="s">
        <v>280</v>
      </c>
      <c r="C244" s="214"/>
      <c r="O244" s="621">
        <f>ROW()</f>
        <v>244</v>
      </c>
    </row>
    <row r="245" spans="2:20" ht="14.1" customHeight="1">
      <c r="B245" s="214" t="s">
        <v>90</v>
      </c>
      <c r="C245" s="214"/>
      <c r="I245" s="226">
        <f ca="1">0.5*I243</f>
        <v>3.9750105147584129</v>
      </c>
      <c r="J245" s="226">
        <f ca="1">0.5*J243</f>
        <v>2.6108654147582766</v>
      </c>
      <c r="O245" s="621">
        <f>ROW()</f>
        <v>245</v>
      </c>
    </row>
    <row r="246" spans="2:20" ht="14.1" customHeight="1">
      <c r="B246" s="4167" t="s">
        <v>888</v>
      </c>
      <c r="C246" s="4168"/>
      <c r="D246" s="4168"/>
      <c r="E246" s="4168"/>
      <c r="F246" s="4168"/>
      <c r="G246" s="4168"/>
      <c r="H246" s="4168"/>
      <c r="I246" s="4168"/>
      <c r="J246" s="7"/>
      <c r="O246" s="621">
        <f>ROW()</f>
        <v>246</v>
      </c>
    </row>
    <row r="247" spans="2:20" ht="14.1" customHeight="1">
      <c r="B247" s="4168"/>
      <c r="C247" s="4168"/>
      <c r="D247" s="4168"/>
      <c r="E247" s="4168"/>
      <c r="F247" s="4168"/>
      <c r="G247" s="4168"/>
      <c r="H247" s="4168"/>
      <c r="I247" s="4168"/>
      <c r="J247" s="7"/>
      <c r="O247" s="621">
        <f>ROW()</f>
        <v>247</v>
      </c>
    </row>
    <row r="248" spans="2:20" ht="14.1" customHeight="1">
      <c r="B248" s="4168"/>
      <c r="C248" s="4168"/>
      <c r="D248" s="4168"/>
      <c r="E248" s="4168"/>
      <c r="F248" s="4168"/>
      <c r="G248" s="4168"/>
      <c r="H248" s="4168"/>
      <c r="I248" s="4168"/>
      <c r="J248" s="45"/>
      <c r="O248" s="621">
        <f>ROW()</f>
        <v>248</v>
      </c>
    </row>
    <row r="249" spans="2:20" s="49" customFormat="1" ht="14.1" customHeight="1">
      <c r="B249" s="315" t="s">
        <v>1538</v>
      </c>
      <c r="C249" s="269"/>
      <c r="I249" s="225">
        <f ca="1">I242*I245/1000000</f>
        <v>108.48598696878661</v>
      </c>
      <c r="J249" s="225">
        <f ca="1">J242*J245/1000000</f>
        <v>25.60214625711966</v>
      </c>
      <c r="K249" s="225">
        <f ca="1">I249+J249</f>
        <v>134.08813322590626</v>
      </c>
      <c r="L249" s="49" t="s">
        <v>2616</v>
      </c>
      <c r="O249" s="621">
        <f>ROW()</f>
        <v>249</v>
      </c>
      <c r="R249"/>
      <c r="T249"/>
    </row>
    <row r="250" spans="2:20" ht="14.1" customHeight="1">
      <c r="B250" s="270" t="s">
        <v>282</v>
      </c>
      <c r="C250" s="281"/>
      <c r="I250" s="222"/>
      <c r="J250" s="6"/>
      <c r="O250" s="621">
        <f>ROW()</f>
        <v>250</v>
      </c>
      <c r="R250" s="49"/>
      <c r="T250" s="49"/>
    </row>
    <row r="251" spans="2:20" ht="14.1" customHeight="1">
      <c r="B251" s="214" t="s">
        <v>2409</v>
      </c>
      <c r="C251" s="281"/>
      <c r="I251" s="221">
        <f ca="1">-VMT!J120</f>
        <v>27582.608695652176</v>
      </c>
      <c r="J251" s="221">
        <f ca="1">-VMT!J141</f>
        <v>12092.753623188408</v>
      </c>
      <c r="O251" s="621">
        <f>ROW()</f>
        <v>251</v>
      </c>
    </row>
    <row r="252" spans="2:20" ht="14.1" customHeight="1">
      <c r="B252" s="214" t="s">
        <v>341</v>
      </c>
      <c r="C252" s="280"/>
      <c r="D252" s="9"/>
      <c r="E252" s="9"/>
      <c r="F252" s="9"/>
      <c r="G252" s="9"/>
      <c r="H252" s="9"/>
      <c r="I252" s="220">
        <f ca="1">ROUND(I251*I203,-3)</f>
        <v>6896000</v>
      </c>
      <c r="J252" s="220">
        <f ca="1">ROUND(J251*J203,-3)</f>
        <v>1391000</v>
      </c>
      <c r="O252" s="621">
        <f>ROW()</f>
        <v>252</v>
      </c>
    </row>
    <row r="253" spans="2:20" ht="14.1" customHeight="1">
      <c r="B253" s="316" t="s">
        <v>3624</v>
      </c>
      <c r="C253" s="312"/>
      <c r="D253" s="1"/>
      <c r="E253" s="1"/>
      <c r="F253" s="1"/>
      <c r="G253" s="1"/>
      <c r="H253" s="1"/>
      <c r="I253" s="226">
        <f ca="1">(Buses!I51-Buses!I56)*Transit!$I$34*Buses!I115</f>
        <v>0</v>
      </c>
      <c r="J253" s="226">
        <f ca="1">(Buses!J51-Buses!J56)*Transit!$I$34*Buses!J115</f>
        <v>0</v>
      </c>
      <c r="O253" s="621">
        <f>ROW()</f>
        <v>253</v>
      </c>
    </row>
    <row r="254" spans="2:20" ht="14.1" customHeight="1">
      <c r="B254" s="314" t="s">
        <v>4521</v>
      </c>
      <c r="C254" s="312"/>
      <c r="D254" s="1"/>
      <c r="E254" s="1"/>
      <c r="F254" s="1"/>
      <c r="G254" s="1"/>
      <c r="H254" s="1"/>
      <c r="I254" s="223"/>
      <c r="J254" s="6"/>
      <c r="O254" s="621">
        <f>ROW()</f>
        <v>254</v>
      </c>
    </row>
    <row r="255" spans="2:20" ht="14.1" customHeight="1">
      <c r="B255" s="214" t="s">
        <v>1919</v>
      </c>
      <c r="C255" s="312"/>
      <c r="D255" s="1"/>
      <c r="E255" s="1"/>
      <c r="F255" s="1"/>
      <c r="G255" s="1"/>
      <c r="H255" s="1"/>
      <c r="I255" s="226">
        <f ca="1">I253/2</f>
        <v>0</v>
      </c>
      <c r="J255" s="226">
        <f ca="1">J253/2</f>
        <v>0</v>
      </c>
      <c r="O255" s="621">
        <f>ROW()</f>
        <v>255</v>
      </c>
    </row>
    <row r="256" spans="2:20" ht="14.1" customHeight="1">
      <c r="B256" s="314" t="s">
        <v>2929</v>
      </c>
      <c r="C256" s="312"/>
      <c r="D256" s="1"/>
      <c r="E256" s="1"/>
      <c r="F256" s="1"/>
      <c r="G256" s="1"/>
      <c r="H256" s="1"/>
      <c r="I256" s="224"/>
      <c r="J256" s="6"/>
      <c r="O256" s="621">
        <f>ROW()</f>
        <v>256</v>
      </c>
    </row>
    <row r="257" spans="2:15" ht="14.1" customHeight="1">
      <c r="B257" s="315" t="s">
        <v>1538</v>
      </c>
      <c r="C257" s="312"/>
      <c r="D257" s="1"/>
      <c r="E257" s="1"/>
      <c r="F257" s="1"/>
      <c r="G257" s="1"/>
      <c r="H257" s="1"/>
      <c r="I257" s="225">
        <f ca="1">I252*I255/1000000</f>
        <v>0</v>
      </c>
      <c r="J257" s="225">
        <f ca="1">J252*J255/1000000</f>
        <v>0</v>
      </c>
      <c r="K257" s="225">
        <f ca="1">I257+J257</f>
        <v>0</v>
      </c>
      <c r="L257" s="49" t="s">
        <v>2616</v>
      </c>
      <c r="O257" s="621">
        <f>ROW()</f>
        <v>257</v>
      </c>
    </row>
    <row r="258" spans="2:15" ht="14.1" customHeight="1">
      <c r="B258" s="270" t="s">
        <v>1805</v>
      </c>
      <c r="C258" s="281"/>
      <c r="I258" s="222"/>
      <c r="J258" s="6"/>
      <c r="O258" s="621">
        <f>ROW()</f>
        <v>258</v>
      </c>
    </row>
    <row r="259" spans="2:15" ht="14.1" customHeight="1">
      <c r="B259" s="316" t="s">
        <v>2409</v>
      </c>
      <c r="C259" s="281"/>
      <c r="I259" s="221">
        <f ca="1">-VMT!J187</f>
        <v>29383.906493967923</v>
      </c>
      <c r="J259" s="221">
        <f>-VMT!J223</f>
        <v>6988.7089805041114</v>
      </c>
      <c r="O259" s="621">
        <f>ROW()</f>
        <v>259</v>
      </c>
    </row>
    <row r="260" spans="2:15" ht="14.1" customHeight="1">
      <c r="B260" s="214" t="s">
        <v>341</v>
      </c>
      <c r="C260" s="280"/>
      <c r="D260" s="9"/>
      <c r="E260" s="9"/>
      <c r="F260" s="9"/>
      <c r="G260" s="9"/>
      <c r="H260" s="9"/>
      <c r="I260" s="220">
        <f ca="1">ROUND(I259*I203,-3)</f>
        <v>7346000</v>
      </c>
      <c r="J260" s="220">
        <f>ROUND(J259*J203,-3)</f>
        <v>804000</v>
      </c>
      <c r="O260" s="621">
        <f>ROW()</f>
        <v>260</v>
      </c>
    </row>
    <row r="261" spans="2:15" ht="14.1" customHeight="1">
      <c r="B261" s="316" t="s">
        <v>3624</v>
      </c>
      <c r="C261" s="312"/>
      <c r="D261" s="1"/>
      <c r="E261" s="1"/>
      <c r="F261" s="1"/>
      <c r="G261" s="1"/>
      <c r="H261" s="1"/>
      <c r="I261" s="226">
        <f ca="1">(Subways!R535-Subways!R536)*(VMT!H214/(VMT!H214+VMT!H216))</f>
        <v>3.2908050872270797E-3</v>
      </c>
      <c r="J261" s="226">
        <f>(Subways!R535-Subways!R539)*(VMT!I214/(VMT!I214+VMT!I216))</f>
        <v>2.1843329794283267E-16</v>
      </c>
      <c r="O261" s="621">
        <f>ROW()</f>
        <v>261</v>
      </c>
    </row>
    <row r="262" spans="2:15" ht="14.1" customHeight="1">
      <c r="B262" s="314" t="s">
        <v>3358</v>
      </c>
      <c r="C262" s="312"/>
      <c r="D262" s="1"/>
      <c r="E262" s="1"/>
      <c r="F262" s="1"/>
      <c r="G262" s="1"/>
      <c r="H262" s="1"/>
      <c r="I262" s="223"/>
      <c r="J262" s="6"/>
      <c r="O262" s="621">
        <f>ROW()</f>
        <v>262</v>
      </c>
    </row>
    <row r="263" spans="2:15" ht="14.1" customHeight="1">
      <c r="B263" s="214" t="s">
        <v>1919</v>
      </c>
      <c r="C263" s="312"/>
      <c r="D263" s="1"/>
      <c r="E263" s="1"/>
      <c r="F263" s="1"/>
      <c r="G263" s="1"/>
      <c r="H263" s="1"/>
      <c r="I263" s="226">
        <f ca="1">I261/2</f>
        <v>1.6454025436135398E-3</v>
      </c>
      <c r="J263" s="226">
        <f>J261/2</f>
        <v>1.0921664897141633E-16</v>
      </c>
      <c r="O263" s="621">
        <f>ROW()</f>
        <v>263</v>
      </c>
    </row>
    <row r="264" spans="2:15" ht="14.1" customHeight="1">
      <c r="B264" s="314" t="s">
        <v>2929</v>
      </c>
      <c r="C264" s="312"/>
      <c r="D264" s="1"/>
      <c r="E264" s="1"/>
      <c r="F264" s="1"/>
      <c r="G264" s="1"/>
      <c r="H264" s="1"/>
      <c r="I264" s="224"/>
      <c r="J264" s="6"/>
      <c r="O264" s="621">
        <f>ROW()</f>
        <v>264</v>
      </c>
    </row>
    <row r="265" spans="2:15" ht="14.1" customHeight="1">
      <c r="B265" s="315" t="s">
        <v>1538</v>
      </c>
      <c r="C265" s="312"/>
      <c r="D265" s="1"/>
      <c r="E265" s="1"/>
      <c r="F265" s="1"/>
      <c r="G265" s="1"/>
      <c r="H265" s="1"/>
      <c r="I265" s="2171">
        <f ca="1">I260*I263/1000000</f>
        <v>1.2087127085385063E-2</v>
      </c>
      <c r="J265" s="2171">
        <f>J260*J263/1000000</f>
        <v>8.7810185773018724E-17</v>
      </c>
      <c r="K265" s="225">
        <f ca="1">I265+J265</f>
        <v>1.2087127085385152E-2</v>
      </c>
      <c r="L265" s="49" t="s">
        <v>2616</v>
      </c>
      <c r="O265" s="621">
        <f>ROW()</f>
        <v>265</v>
      </c>
    </row>
    <row r="266" spans="2:15" ht="14.1" customHeight="1">
      <c r="B266" s="270" t="s">
        <v>2408</v>
      </c>
      <c r="C266" s="312"/>
      <c r="D266" s="1"/>
      <c r="E266" s="1"/>
      <c r="F266" s="1"/>
      <c r="G266" s="1"/>
      <c r="H266" s="1"/>
      <c r="I266" s="998"/>
      <c r="J266" s="998"/>
      <c r="K266" s="998"/>
      <c r="L266" s="49"/>
      <c r="O266" s="621">
        <f>ROW()</f>
        <v>266</v>
      </c>
    </row>
    <row r="267" spans="2:15" ht="14.1" customHeight="1">
      <c r="B267" s="214" t="s">
        <v>2409</v>
      </c>
      <c r="C267" s="281"/>
      <c r="I267" s="221">
        <f ca="1">Taxis!J444</f>
        <v>-913.70091565617111</v>
      </c>
      <c r="J267" s="221">
        <f ca="1">Taxis!M444</f>
        <v>-467.16862235265609</v>
      </c>
      <c r="K267" s="998"/>
      <c r="L267" s="49"/>
      <c r="O267" s="621">
        <f>ROW()</f>
        <v>267</v>
      </c>
    </row>
    <row r="268" spans="2:15" ht="14.1" customHeight="1">
      <c r="B268" s="214" t="s">
        <v>341</v>
      </c>
      <c r="C268" s="280"/>
      <c r="D268" s="9"/>
      <c r="E268" s="9"/>
      <c r="F268" s="9"/>
      <c r="G268" s="9"/>
      <c r="H268" s="9"/>
      <c r="I268" s="220">
        <f ca="1">I267*weekday_per_yr</f>
        <v>-228425.22891404279</v>
      </c>
      <c r="J268" s="220">
        <f ca="1">J267*wkend_per_yr</f>
        <v>-53724.391570555446</v>
      </c>
      <c r="K268" s="998"/>
      <c r="L268" s="49"/>
      <c r="O268" s="621">
        <f>ROW()</f>
        <v>268</v>
      </c>
    </row>
    <row r="269" spans="2:15" ht="14.1" customHeight="1">
      <c r="B269" s="316" t="s">
        <v>2410</v>
      </c>
      <c r="C269" s="312"/>
      <c r="D269" s="1"/>
      <c r="E269" s="1"/>
      <c r="F269" s="1"/>
      <c r="G269" s="1"/>
      <c r="H269" s="1"/>
      <c r="I269" s="226">
        <f ca="1">(Taxis!L308-1)*Taxis!L150</f>
        <v>0.96399350406500883</v>
      </c>
      <c r="J269" s="226">
        <f ca="1">(Taxis!N308-1)*Taxis!N150</f>
        <v>1.0103667621861727</v>
      </c>
      <c r="K269" s="998"/>
      <c r="L269" s="49"/>
      <c r="O269" s="621">
        <f>ROW()</f>
        <v>269</v>
      </c>
    </row>
    <row r="270" spans="2:15" ht="14.1" customHeight="1">
      <c r="B270" s="214" t="s">
        <v>2411</v>
      </c>
      <c r="C270" s="312"/>
      <c r="D270" s="1"/>
      <c r="E270" s="1"/>
      <c r="F270" s="1"/>
      <c r="G270" s="1"/>
      <c r="H270" s="1"/>
      <c r="I270" s="226">
        <f ca="1">0.5*I269</f>
        <v>0.48199675203250442</v>
      </c>
      <c r="J270" s="226">
        <f ca="1">0.5*J269</f>
        <v>0.50518338109308636</v>
      </c>
      <c r="K270" s="998"/>
      <c r="L270" s="49"/>
      <c r="O270" s="621">
        <f>ROW()</f>
        <v>270</v>
      </c>
    </row>
    <row r="271" spans="2:15" ht="14.1" customHeight="1">
      <c r="B271" s="315" t="s">
        <v>1292</v>
      </c>
      <c r="C271" s="312"/>
      <c r="D271" s="1"/>
      <c r="E271" s="1"/>
      <c r="F271" s="1"/>
      <c r="G271" s="1"/>
      <c r="H271" s="1"/>
      <c r="I271" s="2171">
        <f ca="1">(I270*I268)/1000000</f>
        <v>-0.11010021841884994</v>
      </c>
      <c r="J271" s="2171">
        <f ca="1">(J270*J268)/1000000</f>
        <v>-2.7140669780782108E-2</v>
      </c>
      <c r="K271" s="225">
        <f ca="1">I271+J271</f>
        <v>-0.13724088819963204</v>
      </c>
      <c r="L271" s="49" t="s">
        <v>2616</v>
      </c>
      <c r="O271" s="621">
        <f>ROW()</f>
        <v>271</v>
      </c>
    </row>
    <row r="272" spans="2:15" ht="14.1" customHeight="1">
      <c r="B272" s="315"/>
      <c r="C272" s="312"/>
      <c r="D272" s="1"/>
      <c r="E272" s="1"/>
      <c r="F272" s="1"/>
      <c r="G272" s="1"/>
      <c r="H272" s="1"/>
      <c r="I272" s="998"/>
      <c r="J272" s="49"/>
      <c r="O272" s="621">
        <f>ROW()</f>
        <v>272</v>
      </c>
    </row>
    <row r="273" spans="2:15" ht="14.1" customHeight="1">
      <c r="B273" s="315"/>
      <c r="C273" s="312"/>
      <c r="D273" s="1"/>
      <c r="E273" s="1"/>
      <c r="F273" s="1"/>
      <c r="G273" s="1"/>
      <c r="H273" s="1"/>
      <c r="I273" s="8" t="s">
        <v>781</v>
      </c>
      <c r="J273" s="8" t="s">
        <v>1975</v>
      </c>
      <c r="K273" s="8" t="s">
        <v>1130</v>
      </c>
      <c r="O273" s="621">
        <f>ROW()</f>
        <v>273</v>
      </c>
    </row>
    <row r="274" spans="2:15" ht="14.1" customHeight="1">
      <c r="B274" s="2" t="s">
        <v>3366</v>
      </c>
      <c r="I274" s="34"/>
      <c r="O274" s="621">
        <f>ROW()</f>
        <v>274</v>
      </c>
    </row>
    <row r="275" spans="2:15" ht="14.1" customHeight="1">
      <c r="B275" s="270" t="s">
        <v>3360</v>
      </c>
      <c r="I275" s="34"/>
      <c r="O275" s="621">
        <f>ROW()</f>
        <v>275</v>
      </c>
    </row>
    <row r="276" spans="2:15" ht="14.1" customHeight="1">
      <c r="B276" s="214" t="s">
        <v>3364</v>
      </c>
      <c r="I276" s="221">
        <f ca="1">IF(Subways!AN173+Subways!AN213=0,0,(ROUND(1000*Subways!N53*(Subways!N530-Subways!N524)*Subways!AN173/(Subways!AN173+Subways!AN213),-3)))</f>
        <v>0</v>
      </c>
      <c r="J276" s="221">
        <f>IF(AVERAGE(Subways!R481,Subways!T481)+AVERAGE(Subways!R497,Subways!T497)=0,0,ROUND(1000*Subways!N53*(Subways!N532-Subways!N526)*(AVERAGE(Subways!R481,Subways!T481)/(AVERAGE(Subways!R481,Subways!T481)+AVERAGE(Subways!R497,Subways!T497))),-3))</f>
        <v>0</v>
      </c>
      <c r="O276" s="621">
        <f>ROW()</f>
        <v>276</v>
      </c>
    </row>
    <row r="277" spans="2:15" ht="14.1" customHeight="1">
      <c r="B277" s="4182" t="s">
        <v>4489</v>
      </c>
      <c r="C277" s="3726"/>
      <c r="D277" s="3726"/>
      <c r="E277" s="3726"/>
      <c r="F277" s="3726"/>
      <c r="G277" s="3726"/>
      <c r="H277" s="3726"/>
      <c r="I277" s="3726"/>
      <c r="J277" s="3726"/>
      <c r="K277" s="3726"/>
      <c r="O277" s="621">
        <f>ROW()</f>
        <v>277</v>
      </c>
    </row>
    <row r="278" spans="2:15" ht="14.1" customHeight="1">
      <c r="B278" s="3726"/>
      <c r="C278" s="3726"/>
      <c r="D278" s="3726"/>
      <c r="E278" s="3726"/>
      <c r="F278" s="3726"/>
      <c r="G278" s="3726"/>
      <c r="H278" s="3726"/>
      <c r="I278" s="3726"/>
      <c r="J278" s="3726"/>
      <c r="K278" s="3726"/>
      <c r="O278" s="621">
        <f>ROW()</f>
        <v>278</v>
      </c>
    </row>
    <row r="279" spans="2:15" ht="14.1" customHeight="1">
      <c r="B279" s="214" t="s">
        <v>1219</v>
      </c>
      <c r="I279" s="226">
        <f ca="1">I261/2</f>
        <v>1.6454025436135398E-3</v>
      </c>
      <c r="J279" s="226">
        <f>J261/2</f>
        <v>1.0921664897141633E-16</v>
      </c>
      <c r="O279" s="621">
        <f>ROW()</f>
        <v>279</v>
      </c>
    </row>
    <row r="280" spans="2:15" ht="14.1" customHeight="1">
      <c r="B280" s="2083" t="s">
        <v>3359</v>
      </c>
      <c r="I280" s="225">
        <f ca="1">I276*I279/1000000</f>
        <v>0</v>
      </c>
      <c r="J280" s="225">
        <f>J276*J279/1000000</f>
        <v>0</v>
      </c>
      <c r="K280" s="225">
        <f ca="1">I280+J280</f>
        <v>0</v>
      </c>
      <c r="L280" s="49" t="s">
        <v>2616</v>
      </c>
      <c r="O280" s="621">
        <f>ROW()</f>
        <v>280</v>
      </c>
    </row>
    <row r="281" spans="2:15" ht="14.1" customHeight="1">
      <c r="B281" s="270" t="s">
        <v>3361</v>
      </c>
      <c r="I281" s="34"/>
      <c r="O281" s="621">
        <f>ROW()</f>
        <v>281</v>
      </c>
    </row>
    <row r="282" spans="2:15" ht="14.1" customHeight="1">
      <c r="B282" s="214" t="s">
        <v>4487</v>
      </c>
      <c r="I282" s="221">
        <f ca="1">ROUND(((1-Subways!$N$53)/Subways!$N$53)*I276,-3)</f>
        <v>0</v>
      </c>
      <c r="J282" s="221">
        <f>ROUND(((1-Subways!$N$53)/Subways!$N$53)*J276,-3)</f>
        <v>0</v>
      </c>
      <c r="O282" s="621">
        <f>ROW()</f>
        <v>282</v>
      </c>
    </row>
    <row r="283" spans="2:15" ht="14.1" customHeight="1">
      <c r="B283" s="314" t="str">
        <f>CONCATENATE("Prorates Row ",O276," figures by ratio of non-CBD-related weekday subway trips to CBD-related, using figure in Subways worksheet, Row ",Subways!O53, ".")</f>
        <v>Prorates Row 276 figures by ratio of non-CBD-related weekday subway trips to CBD-related, using figure in Subways worksheet, Row 53.</v>
      </c>
      <c r="I283" s="221"/>
      <c r="J283" s="221"/>
      <c r="O283" s="621">
        <f>ROW()</f>
        <v>283</v>
      </c>
    </row>
    <row r="284" spans="2:15" ht="14.1" customHeight="1">
      <c r="B284" s="214" t="s">
        <v>1334</v>
      </c>
      <c r="I284" s="226">
        <f ca="1">I261/2</f>
        <v>1.6454025436135398E-3</v>
      </c>
      <c r="J284" s="226">
        <f>J261/2</f>
        <v>1.0921664897141633E-16</v>
      </c>
      <c r="O284" s="621">
        <f>ROW()</f>
        <v>284</v>
      </c>
    </row>
    <row r="285" spans="2:15" ht="14.1" customHeight="1">
      <c r="B285" s="315" t="s">
        <v>6190</v>
      </c>
      <c r="I285" s="225">
        <f ca="1">I282*I284/1000000</f>
        <v>0</v>
      </c>
      <c r="J285" s="225">
        <f>J282*J284/1000000</f>
        <v>0</v>
      </c>
      <c r="K285" s="225">
        <f ca="1">I285+J285</f>
        <v>0</v>
      </c>
      <c r="L285" s="49" t="s">
        <v>2616</v>
      </c>
      <c r="O285" s="621">
        <f>ROW()</f>
        <v>285</v>
      </c>
    </row>
    <row r="286" spans="2:15" ht="14.1" customHeight="1">
      <c r="B286" s="270" t="s">
        <v>3362</v>
      </c>
      <c r="C286" s="315"/>
      <c r="D286" s="315"/>
      <c r="E286" s="315"/>
      <c r="F286" s="315"/>
      <c r="G286" s="315"/>
      <c r="H286" s="315"/>
      <c r="I286" s="315"/>
      <c r="J286" s="49"/>
      <c r="O286" s="621">
        <f>ROW()</f>
        <v>286</v>
      </c>
    </row>
    <row r="287" spans="2:15" ht="14.1" customHeight="1">
      <c r="B287" s="214" t="s">
        <v>4488</v>
      </c>
      <c r="C287" s="315"/>
      <c r="D287" s="315"/>
      <c r="E287" s="315"/>
      <c r="F287" s="315"/>
      <c r="G287" s="315"/>
      <c r="H287" s="315"/>
      <c r="I287" s="315"/>
      <c r="J287" s="49"/>
      <c r="K287" s="221">
        <f>Buses!H111</f>
        <v>0</v>
      </c>
      <c r="L287" s="49" t="s">
        <v>2616</v>
      </c>
      <c r="O287" s="621">
        <f>ROW()</f>
        <v>287</v>
      </c>
    </row>
    <row r="288" spans="2:15" ht="14.1" customHeight="1">
      <c r="B288" s="314" t="s">
        <v>494</v>
      </c>
      <c r="I288" s="998"/>
      <c r="J288" s="49"/>
      <c r="O288" s="621">
        <f>ROW()</f>
        <v>288</v>
      </c>
    </row>
    <row r="289" spans="2:15" ht="14.1" customHeight="1">
      <c r="B289" s="214" t="s">
        <v>1334</v>
      </c>
      <c r="J289" s="49"/>
      <c r="K289" s="226">
        <f ca="1">I253/2</f>
        <v>0</v>
      </c>
      <c r="O289" s="621">
        <f>ROW()</f>
        <v>289</v>
      </c>
    </row>
    <row r="290" spans="2:15" ht="14.1" customHeight="1">
      <c r="B290" s="315" t="s">
        <v>6190</v>
      </c>
      <c r="I290" s="998"/>
      <c r="J290" s="49"/>
      <c r="K290" s="225">
        <f ca="1">K287*K289</f>
        <v>0</v>
      </c>
      <c r="L290" s="49" t="s">
        <v>2616</v>
      </c>
      <c r="O290" s="621">
        <f>ROW()</f>
        <v>290</v>
      </c>
    </row>
    <row r="291" spans="2:15" ht="14.1" customHeight="1">
      <c r="B291" s="315"/>
      <c r="I291" s="998"/>
      <c r="J291" s="49"/>
      <c r="O291" s="621">
        <f>ROW()</f>
        <v>291</v>
      </c>
    </row>
    <row r="292" spans="2:15" ht="14.1" customHeight="1">
      <c r="B292" s="508" t="s">
        <v>4317</v>
      </c>
      <c r="C292" s="281"/>
      <c r="D292" s="281"/>
      <c r="E292" s="281"/>
      <c r="F292" s="281"/>
      <c r="G292" s="281"/>
      <c r="H292" s="281"/>
      <c r="I292" s="281"/>
      <c r="J292" s="281"/>
      <c r="K292" s="281"/>
      <c r="O292" s="621">
        <f>ROW()</f>
        <v>292</v>
      </c>
    </row>
    <row r="293" spans="2:15" ht="14.1" customHeight="1">
      <c r="B293" s="4183" t="s">
        <v>3663</v>
      </c>
      <c r="C293" s="4184"/>
      <c r="D293" s="4184"/>
      <c r="E293" s="4184"/>
      <c r="F293" s="4184"/>
      <c r="G293" s="4184"/>
      <c r="H293" s="4184"/>
      <c r="I293" s="4184"/>
      <c r="J293" s="4184"/>
      <c r="K293" s="4184"/>
      <c r="O293" s="621">
        <f>ROW()</f>
        <v>293</v>
      </c>
    </row>
    <row r="294" spans="2:15" ht="14.1" customHeight="1">
      <c r="B294" s="4184"/>
      <c r="C294" s="4184"/>
      <c r="D294" s="4184"/>
      <c r="E294" s="4184"/>
      <c r="F294" s="4184"/>
      <c r="G294" s="4184"/>
      <c r="H294" s="4184"/>
      <c r="I294" s="4184"/>
      <c r="J294" s="4184"/>
      <c r="K294" s="4184"/>
      <c r="O294" s="621">
        <f>ROW()</f>
        <v>294</v>
      </c>
    </row>
    <row r="295" spans="2:15" ht="14.1" customHeight="1">
      <c r="B295" s="4184"/>
      <c r="C295" s="4184"/>
      <c r="D295" s="4184"/>
      <c r="E295" s="4184"/>
      <c r="F295" s="4184"/>
      <c r="G295" s="4184"/>
      <c r="H295" s="4184"/>
      <c r="I295" s="4184"/>
      <c r="J295" s="4184"/>
      <c r="K295" s="4184"/>
      <c r="O295" s="621">
        <f>ROW()</f>
        <v>295</v>
      </c>
    </row>
    <row r="296" spans="2:15" ht="14.1" customHeight="1">
      <c r="B296" s="2182"/>
      <c r="C296" s="2182"/>
      <c r="D296" s="2182"/>
      <c r="E296" s="2182"/>
      <c r="F296" s="2182"/>
      <c r="G296" s="2182"/>
      <c r="H296" s="2182"/>
      <c r="I296" s="2182"/>
      <c r="J296" s="2182"/>
      <c r="K296" s="2182"/>
      <c r="O296" s="621">
        <f>ROW()</f>
        <v>296</v>
      </c>
    </row>
    <row r="297" spans="2:15" ht="14.1" customHeight="1">
      <c r="B297" s="24" t="s">
        <v>3664</v>
      </c>
      <c r="C297" s="2182"/>
      <c r="D297" s="2182"/>
      <c r="E297" s="2182"/>
      <c r="F297" s="2182"/>
      <c r="G297" s="2182"/>
      <c r="H297" s="2182"/>
      <c r="I297" s="2182"/>
      <c r="J297" s="2182"/>
      <c r="K297" s="2182"/>
      <c r="O297" s="621">
        <f>ROW()</f>
        <v>297</v>
      </c>
    </row>
    <row r="298" spans="2:15" ht="14.1" customHeight="1">
      <c r="B298" s="2"/>
      <c r="C298" s="2182"/>
      <c r="D298" s="2182"/>
      <c r="E298" s="2182"/>
      <c r="F298" s="2182"/>
      <c r="G298" s="2182"/>
      <c r="H298" s="2182"/>
      <c r="I298" s="2182"/>
      <c r="J298" s="2182"/>
      <c r="K298" s="2182"/>
      <c r="O298" s="621">
        <f>ROW()</f>
        <v>298</v>
      </c>
    </row>
    <row r="299" spans="2:15" ht="14.1" customHeight="1">
      <c r="B299" s="2221" t="s">
        <v>3660</v>
      </c>
      <c r="C299" s="2212"/>
      <c r="D299" s="2212"/>
      <c r="E299" s="2212"/>
      <c r="F299" s="2213" t="s">
        <v>3648</v>
      </c>
      <c r="G299" s="2213" t="s">
        <v>3649</v>
      </c>
      <c r="H299" s="2213" t="s">
        <v>3650</v>
      </c>
      <c r="I299" s="2213" t="s">
        <v>3651</v>
      </c>
      <c r="J299" s="2214" t="s">
        <v>3665</v>
      </c>
      <c r="K299" s="2182"/>
      <c r="O299" s="621">
        <f>ROW()</f>
        <v>299</v>
      </c>
    </row>
    <row r="300" spans="2:15" ht="14.1" customHeight="1">
      <c r="B300" s="2215" t="s">
        <v>3652</v>
      </c>
      <c r="C300" s="1010"/>
      <c r="D300" s="1010"/>
      <c r="E300" s="1010"/>
      <c r="F300" s="208">
        <v>310</v>
      </c>
      <c r="G300" s="208">
        <v>300</v>
      </c>
      <c r="H300" s="208">
        <v>276</v>
      </c>
      <c r="I300" s="208">
        <v>259</v>
      </c>
      <c r="J300" s="2229">
        <f>AVERAGE(F300:I300)</f>
        <v>286.25</v>
      </c>
      <c r="K300" s="2182"/>
      <c r="O300" s="621">
        <f>ROW()</f>
        <v>300</v>
      </c>
    </row>
    <row r="301" spans="2:15" ht="14.1" customHeight="1">
      <c r="B301" s="2217" t="s">
        <v>3653</v>
      </c>
      <c r="C301" s="1010"/>
      <c r="D301" s="1010"/>
      <c r="E301" s="1010"/>
      <c r="F301" s="208">
        <v>136</v>
      </c>
      <c r="G301" s="208">
        <v>123</v>
      </c>
      <c r="H301" s="208">
        <v>98</v>
      </c>
      <c r="I301" s="208">
        <v>97</v>
      </c>
      <c r="J301" s="2216">
        <f>AVERAGE(F301:I301)</f>
        <v>113.5</v>
      </c>
      <c r="K301" s="2182"/>
      <c r="O301" s="621">
        <f>ROW()</f>
        <v>301</v>
      </c>
    </row>
    <row r="302" spans="2:15" ht="14.1" customHeight="1">
      <c r="B302" s="2217" t="s">
        <v>3654</v>
      </c>
      <c r="C302" s="1010"/>
      <c r="D302" s="1010"/>
      <c r="E302" s="1010"/>
      <c r="F302" s="208">
        <v>174</v>
      </c>
      <c r="G302" s="208">
        <v>177</v>
      </c>
      <c r="H302" s="208">
        <v>178</v>
      </c>
      <c r="I302" s="208">
        <v>162</v>
      </c>
      <c r="J302" s="2216">
        <f>AVERAGE(F302:I302)</f>
        <v>172.75</v>
      </c>
      <c r="K302" s="2182"/>
      <c r="O302" s="621">
        <f>ROW()</f>
        <v>302</v>
      </c>
    </row>
    <row r="303" spans="2:15" ht="14.1" customHeight="1">
      <c r="B303" s="2218" t="s">
        <v>3655</v>
      </c>
      <c r="C303" s="2219"/>
      <c r="D303" s="2219"/>
      <c r="E303" s="2219"/>
      <c r="F303" s="2219"/>
      <c r="G303" s="2219"/>
      <c r="H303" s="2219"/>
      <c r="I303" s="2219"/>
      <c r="J303" s="2220"/>
      <c r="K303" s="2182"/>
      <c r="O303" s="621">
        <f>ROW()</f>
        <v>303</v>
      </c>
    </row>
    <row r="304" spans="2:15" ht="14.1" customHeight="1">
      <c r="B304" s="2221" t="s">
        <v>3661</v>
      </c>
      <c r="C304" s="2222"/>
      <c r="D304" s="2222"/>
      <c r="E304" s="2222"/>
      <c r="F304" s="2222"/>
      <c r="G304" s="2222"/>
      <c r="H304" s="2222"/>
      <c r="I304" s="2236" t="s">
        <v>3675</v>
      </c>
      <c r="J304" s="2237" t="s">
        <v>3665</v>
      </c>
      <c r="K304" s="2182"/>
      <c r="O304" s="621">
        <f>ROW()</f>
        <v>304</v>
      </c>
    </row>
    <row r="305" spans="2:15" ht="14.1" customHeight="1">
      <c r="B305" s="2217" t="s">
        <v>3653</v>
      </c>
      <c r="C305" s="113"/>
      <c r="D305" s="113"/>
      <c r="E305" s="113"/>
      <c r="F305" s="113"/>
      <c r="G305" s="113"/>
      <c r="H305" s="2224" t="str">
        <f>CONCATENATE("Difference between Rows ",O301, " and ",O306, ".")</f>
        <v>Difference between Rows 301 and 306.</v>
      </c>
      <c r="I305" s="240">
        <f>J305/$J$300</f>
        <v>0.30917030567685588</v>
      </c>
      <c r="J305" s="2229">
        <f>J301-J306</f>
        <v>88.5</v>
      </c>
      <c r="K305" s="2182"/>
      <c r="O305" s="621">
        <f>ROW()</f>
        <v>305</v>
      </c>
    </row>
    <row r="306" spans="2:15" ht="14.1" customHeight="1">
      <c r="B306" s="2223" t="s">
        <v>3656</v>
      </c>
      <c r="C306" s="113"/>
      <c r="D306" s="113"/>
      <c r="E306" s="113"/>
      <c r="F306" s="113"/>
      <c r="G306" s="113"/>
      <c r="H306" s="2224" t="s">
        <v>3659</v>
      </c>
      <c r="I306" s="240">
        <f>J306/$J$300</f>
        <v>8.7336244541484712E-2</v>
      </c>
      <c r="J306" s="2230">
        <v>25</v>
      </c>
      <c r="K306" s="2182"/>
      <c r="O306" s="621">
        <f>ROW()</f>
        <v>306</v>
      </c>
    </row>
    <row r="307" spans="2:15" ht="14.1" customHeight="1">
      <c r="B307" s="2223" t="s">
        <v>3657</v>
      </c>
      <c r="C307" s="113"/>
      <c r="D307" s="113"/>
      <c r="E307" s="113"/>
      <c r="F307" s="113"/>
      <c r="G307" s="113"/>
      <c r="H307" s="2224" t="s">
        <v>3659</v>
      </c>
      <c r="I307" s="240">
        <f>J307/$J$300</f>
        <v>5.589519650655022E-2</v>
      </c>
      <c r="J307" s="2211">
        <v>16</v>
      </c>
      <c r="K307" s="2182"/>
      <c r="O307" s="621">
        <f>ROW()</f>
        <v>307</v>
      </c>
    </row>
    <row r="308" spans="2:15" ht="14.1" customHeight="1">
      <c r="B308" s="2225" t="s">
        <v>3658</v>
      </c>
      <c r="C308" s="141"/>
      <c r="D308" s="141"/>
      <c r="E308" s="141"/>
      <c r="F308" s="141"/>
      <c r="G308" s="141"/>
      <c r="H308" s="2226" t="str">
        <f>CONCATENATE("Difference between Rows ",O302, " and ",O307, ".")</f>
        <v>Difference between Rows 302 and 307.</v>
      </c>
      <c r="I308" s="2235">
        <f>J308/$J$300</f>
        <v>0.54759825327510914</v>
      </c>
      <c r="J308" s="2231">
        <f>J302-J307</f>
        <v>156.75</v>
      </c>
      <c r="K308" s="2182"/>
      <c r="O308" s="621">
        <f>ROW()</f>
        <v>308</v>
      </c>
    </row>
    <row r="309" spans="2:15" ht="14.1" customHeight="1">
      <c r="K309" s="2182"/>
      <c r="O309" s="621">
        <f>ROW()</f>
        <v>309</v>
      </c>
    </row>
    <row r="310" spans="2:15" ht="14.1" customHeight="1">
      <c r="B310" s="24" t="s">
        <v>3677</v>
      </c>
      <c r="K310" s="2182"/>
      <c r="O310" s="621">
        <f>ROW()</f>
        <v>310</v>
      </c>
    </row>
    <row r="311" spans="2:15" ht="14.1" customHeight="1">
      <c r="B311" s="24"/>
      <c r="K311" s="2208"/>
      <c r="O311" s="621">
        <f>ROW()</f>
        <v>311</v>
      </c>
    </row>
    <row r="312" spans="2:15" ht="14.1" customHeight="1">
      <c r="B312" s="3754" t="s">
        <v>3687</v>
      </c>
      <c r="C312" s="3754"/>
      <c r="D312" s="3754"/>
      <c r="E312" s="3754"/>
      <c r="F312" s="3754"/>
      <c r="G312" s="3754"/>
      <c r="H312" s="3754"/>
      <c r="I312" s="3754"/>
      <c r="J312" s="3754"/>
      <c r="K312" s="2208"/>
      <c r="O312" s="621">
        <f>ROW()</f>
        <v>312</v>
      </c>
    </row>
    <row r="313" spans="2:15" ht="14.1" customHeight="1">
      <c r="B313" s="3754"/>
      <c r="C313" s="3754"/>
      <c r="D313" s="3754"/>
      <c r="E313" s="3754"/>
      <c r="F313" s="3754"/>
      <c r="G313" s="3754"/>
      <c r="H313" s="3754"/>
      <c r="I313" s="3754"/>
      <c r="J313" s="3754"/>
      <c r="K313" s="2208"/>
      <c r="O313" s="621">
        <f>ROW()</f>
        <v>313</v>
      </c>
    </row>
    <row r="314" spans="2:15" ht="14.1" customHeight="1">
      <c r="B314" s="3659"/>
      <c r="C314" s="3659"/>
      <c r="D314" s="3659"/>
      <c r="E314" s="3659"/>
      <c r="F314" s="3659"/>
      <c r="G314" s="3659"/>
      <c r="H314" s="3659"/>
      <c r="I314" s="3659"/>
      <c r="J314" s="3659"/>
      <c r="K314" s="2208"/>
      <c r="O314" s="621">
        <f>ROW()</f>
        <v>314</v>
      </c>
    </row>
    <row r="315" spans="2:15" ht="14.1" customHeight="1">
      <c r="B315" s="3659"/>
      <c r="C315" s="3659"/>
      <c r="D315" s="3659"/>
      <c r="E315" s="3659"/>
      <c r="F315" s="3659"/>
      <c r="G315" s="3659"/>
      <c r="H315" s="3659"/>
      <c r="I315" s="3659"/>
      <c r="J315" s="3659"/>
      <c r="K315" s="316"/>
      <c r="O315" s="621">
        <f>ROW()</f>
        <v>315</v>
      </c>
    </row>
    <row r="316" spans="2:15" ht="14.1" customHeight="1">
      <c r="B316" s="2209"/>
      <c r="C316" s="2209"/>
      <c r="D316" s="2209"/>
      <c r="E316" s="2209"/>
      <c r="F316" s="2209"/>
      <c r="G316" s="2209"/>
      <c r="H316" s="2209"/>
      <c r="I316" s="2209"/>
      <c r="J316" s="2209"/>
      <c r="K316" s="2208"/>
      <c r="O316" s="621">
        <f>ROW()</f>
        <v>316</v>
      </c>
    </row>
    <row r="317" spans="2:15" ht="14.1" customHeight="1">
      <c r="B317" s="3754" t="s">
        <v>3666</v>
      </c>
      <c r="C317" s="3754"/>
      <c r="D317" s="3754"/>
      <c r="E317" s="3754"/>
      <c r="F317" s="3754"/>
      <c r="G317" s="3754"/>
      <c r="H317" s="3754"/>
      <c r="I317" s="3754"/>
      <c r="J317" s="3754"/>
      <c r="K317" s="2208"/>
      <c r="O317" s="621">
        <f>ROW()</f>
        <v>317</v>
      </c>
    </row>
    <row r="318" spans="2:15" ht="14.1" customHeight="1">
      <c r="B318" s="3754"/>
      <c r="C318" s="3754"/>
      <c r="D318" s="3754"/>
      <c r="E318" s="3754"/>
      <c r="F318" s="3754"/>
      <c r="G318" s="3754"/>
      <c r="H318" s="3754"/>
      <c r="I318" s="3754"/>
      <c r="J318" s="3754"/>
      <c r="K318" s="2208"/>
      <c r="O318" s="621">
        <f>ROW()</f>
        <v>318</v>
      </c>
    </row>
    <row r="319" spans="2:15" ht="14.1" customHeight="1">
      <c r="B319" s="3659"/>
      <c r="C319" s="3659"/>
      <c r="D319" s="3659"/>
      <c r="E319" s="3659"/>
      <c r="F319" s="3659"/>
      <c r="G319" s="3659"/>
      <c r="H319" s="3659"/>
      <c r="I319" s="3659"/>
      <c r="J319" s="3659"/>
      <c r="K319" s="2208"/>
      <c r="O319" s="621">
        <f>ROW()</f>
        <v>319</v>
      </c>
    </row>
    <row r="320" spans="2:15" ht="14.1" customHeight="1">
      <c r="B320" s="3659"/>
      <c r="C320" s="3659"/>
      <c r="D320" s="3659"/>
      <c r="E320" s="3659"/>
      <c r="F320" s="3659"/>
      <c r="G320" s="3659"/>
      <c r="H320" s="3659"/>
      <c r="I320" s="3659"/>
      <c r="J320" s="3659"/>
      <c r="K320" s="2208"/>
      <c r="O320" s="621">
        <f>ROW()</f>
        <v>320</v>
      </c>
    </row>
    <row r="321" spans="2:20" ht="14.1" customHeight="1">
      <c r="B321" s="2209"/>
      <c r="C321" s="2209"/>
      <c r="D321" s="2209"/>
      <c r="E321" s="2209"/>
      <c r="F321" s="2209"/>
      <c r="G321" s="2209"/>
      <c r="H321" s="2209"/>
      <c r="I321" s="2209"/>
      <c r="J321" s="2209"/>
      <c r="K321" s="2208"/>
      <c r="O321" s="621">
        <f>ROW()</f>
        <v>321</v>
      </c>
    </row>
    <row r="322" spans="2:20" ht="14.1" customHeight="1">
      <c r="B322" s="3754" t="s">
        <v>3667</v>
      </c>
      <c r="C322" s="3754"/>
      <c r="D322" s="3754"/>
      <c r="E322" s="3754"/>
      <c r="F322" s="3754"/>
      <c r="G322" s="3754"/>
      <c r="H322" s="3754"/>
      <c r="I322" s="3754"/>
      <c r="J322" s="3754"/>
      <c r="K322" s="2208"/>
      <c r="O322" s="621">
        <f>ROW()</f>
        <v>322</v>
      </c>
    </row>
    <row r="323" spans="2:20" ht="14.1" customHeight="1">
      <c r="B323" s="3754"/>
      <c r="C323" s="3754"/>
      <c r="D323" s="3754"/>
      <c r="E323" s="3754"/>
      <c r="F323" s="3754"/>
      <c r="G323" s="3754"/>
      <c r="H323" s="3754"/>
      <c r="I323" s="3754"/>
      <c r="J323" s="3754"/>
      <c r="K323" s="2208"/>
      <c r="O323" s="621">
        <f>ROW()</f>
        <v>323</v>
      </c>
    </row>
    <row r="324" spans="2:20" ht="14.1" customHeight="1">
      <c r="B324" s="3659"/>
      <c r="C324" s="3659"/>
      <c r="D324" s="3659"/>
      <c r="E324" s="3659"/>
      <c r="F324" s="3659"/>
      <c r="G324" s="3659"/>
      <c r="H324" s="3659"/>
      <c r="I324" s="3659"/>
      <c r="J324" s="3659"/>
      <c r="K324" s="2208"/>
      <c r="O324" s="621">
        <f>ROW()</f>
        <v>324</v>
      </c>
    </row>
    <row r="325" spans="2:20" ht="14.1" customHeight="1">
      <c r="B325" s="3659"/>
      <c r="C325" s="3659"/>
      <c r="D325" s="3659"/>
      <c r="E325" s="3659"/>
      <c r="F325" s="3659"/>
      <c r="G325" s="3659"/>
      <c r="H325" s="3659"/>
      <c r="I325" s="3659"/>
      <c r="J325" s="3659"/>
      <c r="K325" s="2208"/>
      <c r="O325" s="621">
        <f>ROW()</f>
        <v>325</v>
      </c>
    </row>
    <row r="326" spans="2:20" ht="14.1" customHeight="1">
      <c r="K326" s="2182"/>
      <c r="O326" s="621">
        <f>ROW()</f>
        <v>326</v>
      </c>
    </row>
    <row r="327" spans="2:20" ht="14.1" customHeight="1">
      <c r="B327" s="316" t="s">
        <v>3688</v>
      </c>
      <c r="L327" s="246">
        <v>6784</v>
      </c>
      <c r="O327" s="621">
        <f>ROW()</f>
        <v>327</v>
      </c>
    </row>
    <row r="328" spans="2:20" ht="14.1" customHeight="1">
      <c r="B328" s="314" t="s">
        <v>3668</v>
      </c>
      <c r="L328" s="1166"/>
      <c r="O328" s="621">
        <f>ROW()</f>
        <v>328</v>
      </c>
    </row>
    <row r="329" spans="2:20" ht="14.1" customHeight="1">
      <c r="B329" s="316" t="s">
        <v>3669</v>
      </c>
      <c r="L329" s="244">
        <v>0.26</v>
      </c>
      <c r="O329" s="621">
        <f>ROW()</f>
        <v>329</v>
      </c>
    </row>
    <row r="330" spans="2:20" ht="14.1" customHeight="1">
      <c r="B330" s="4182" t="s">
        <v>3670</v>
      </c>
      <c r="C330" s="3726"/>
      <c r="D330" s="3726"/>
      <c r="E330" s="3726"/>
      <c r="F330" s="3726"/>
      <c r="G330" s="3726"/>
      <c r="H330" s="3726"/>
      <c r="I330" s="3726"/>
      <c r="J330" s="3726"/>
      <c r="L330" s="2179"/>
      <c r="O330" s="621">
        <f>ROW()</f>
        <v>330</v>
      </c>
    </row>
    <row r="331" spans="2:20" ht="14.1" customHeight="1">
      <c r="B331" s="3726"/>
      <c r="C331" s="3726"/>
      <c r="D331" s="3726"/>
      <c r="E331" s="3726"/>
      <c r="F331" s="3726"/>
      <c r="G331" s="3726"/>
      <c r="H331" s="3726"/>
      <c r="I331" s="3726"/>
      <c r="J331" s="3726"/>
      <c r="L331" s="2179"/>
      <c r="O331" s="621">
        <f>ROW()</f>
        <v>331</v>
      </c>
    </row>
    <row r="332" spans="2:20" ht="14.1" customHeight="1">
      <c r="B332" s="3726"/>
      <c r="C332" s="3726"/>
      <c r="D332" s="3726"/>
      <c r="E332" s="3726"/>
      <c r="F332" s="3726"/>
      <c r="G332" s="3726"/>
      <c r="H332" s="3726"/>
      <c r="I332" s="3726"/>
      <c r="J332" s="3726"/>
      <c r="L332" s="2179"/>
      <c r="O332" s="621">
        <f>ROW()</f>
        <v>332</v>
      </c>
    </row>
    <row r="333" spans="2:20" ht="14.1" customHeight="1">
      <c r="B333" s="316" t="s">
        <v>3689</v>
      </c>
      <c r="C333" s="886"/>
      <c r="D333" s="886"/>
      <c r="E333" s="886"/>
      <c r="F333" s="886"/>
      <c r="G333" s="886"/>
      <c r="H333" s="886"/>
      <c r="I333" s="2179"/>
      <c r="J333" s="2179"/>
      <c r="L333" s="246">
        <f>(L327/L329)/5</f>
        <v>5218.4615384615381</v>
      </c>
      <c r="O333" s="621">
        <f>ROW()</f>
        <v>333</v>
      </c>
    </row>
    <row r="334" spans="2:20" ht="14.1" customHeight="1">
      <c r="B334" s="314" t="str">
        <f>CONCATENATE("Prorated from pedestrian figure in Row ",O327, ". Calculated as one-fifth of Row ",O327, " divided by Row ",O329, ".")</f>
        <v>Prorated from pedestrian figure in Row 327. Calculated as one-fifth of Row 327 divided by Row 329.</v>
      </c>
      <c r="L334" s="2179"/>
      <c r="O334" s="621">
        <f>ROW()</f>
        <v>334</v>
      </c>
    </row>
    <row r="335" spans="2:20" ht="14.1" customHeight="1">
      <c r="B335" s="316" t="s">
        <v>3662</v>
      </c>
      <c r="L335" s="244">
        <v>0.1</v>
      </c>
      <c r="O335" s="621">
        <f>ROW()</f>
        <v>335</v>
      </c>
    </row>
    <row r="336" spans="2:20" s="2" customFormat="1" ht="14.1" customHeight="1">
      <c r="B336" s="1815" t="s">
        <v>3671</v>
      </c>
      <c r="L336" s="2227">
        <f>L333*(1-L335)</f>
        <v>4696.6153846153848</v>
      </c>
      <c r="O336" s="2228">
        <f>ROW()</f>
        <v>336</v>
      </c>
      <c r="R336"/>
      <c r="T336"/>
    </row>
    <row r="337" spans="2:20" ht="14.1" customHeight="1">
      <c r="B337" s="314" t="str">
        <f>CONCATENATE("Row ",O333, ", less percent in Row ",O335, ".")</f>
        <v>Row 333, less percent in Row 335.</v>
      </c>
      <c r="K337" s="1166"/>
      <c r="O337" s="621">
        <f>ROW()</f>
        <v>337</v>
      </c>
      <c r="R337" s="2"/>
      <c r="T337" s="2"/>
    </row>
    <row r="338" spans="2:20" ht="14.1" customHeight="1">
      <c r="B338" s="316"/>
      <c r="K338" s="1166"/>
      <c r="O338" s="621">
        <f>ROW()</f>
        <v>338</v>
      </c>
    </row>
    <row r="339" spans="2:20" ht="14.1" customHeight="1">
      <c r="B339" s="24" t="s">
        <v>3678</v>
      </c>
      <c r="K339" s="1166"/>
      <c r="O339" s="621">
        <f>ROW()</f>
        <v>339</v>
      </c>
    </row>
    <row r="340" spans="2:20" ht="14.1" customHeight="1">
      <c r="K340" s="1166"/>
      <c r="O340" s="621">
        <f>ROW()</f>
        <v>340</v>
      </c>
    </row>
    <row r="341" spans="2:20" ht="14.1" customHeight="1">
      <c r="B341" s="3754" t="s">
        <v>3690</v>
      </c>
      <c r="C341" s="3754"/>
      <c r="D341" s="3754"/>
      <c r="E341" s="3754"/>
      <c r="F341" s="3754"/>
      <c r="G341" s="3754"/>
      <c r="H341" s="3754"/>
      <c r="I341" s="3754"/>
      <c r="J341" s="3754"/>
      <c r="K341" s="1166"/>
      <c r="O341" s="621">
        <f>ROW()</f>
        <v>341</v>
      </c>
    </row>
    <row r="342" spans="2:20" ht="14.1" customHeight="1">
      <c r="B342" s="3754"/>
      <c r="C342" s="3754"/>
      <c r="D342" s="3754"/>
      <c r="E342" s="3754"/>
      <c r="F342" s="3754"/>
      <c r="G342" s="3754"/>
      <c r="H342" s="3754"/>
      <c r="I342" s="3754"/>
      <c r="J342" s="3754"/>
      <c r="K342" s="1166"/>
      <c r="O342" s="621">
        <f>ROW()</f>
        <v>342</v>
      </c>
    </row>
    <row r="343" spans="2:20" ht="14.1" customHeight="1">
      <c r="B343" s="3659"/>
      <c r="C343" s="3659"/>
      <c r="D343" s="3659"/>
      <c r="E343" s="3659"/>
      <c r="F343" s="3659"/>
      <c r="G343" s="3659"/>
      <c r="H343" s="3659"/>
      <c r="I343" s="3659"/>
      <c r="J343" s="3659"/>
      <c r="K343" s="1166"/>
      <c r="O343" s="621">
        <f>ROW()</f>
        <v>343</v>
      </c>
    </row>
    <row r="344" spans="2:20" ht="14.1" customHeight="1">
      <c r="B344" s="3659"/>
      <c r="C344" s="3659"/>
      <c r="D344" s="3659"/>
      <c r="E344" s="3659"/>
      <c r="F344" s="3659"/>
      <c r="G344" s="3659"/>
      <c r="H344" s="3659"/>
      <c r="I344" s="3659"/>
      <c r="J344" s="3659"/>
      <c r="K344" s="1166"/>
      <c r="O344" s="621">
        <f>ROW()</f>
        <v>344</v>
      </c>
    </row>
    <row r="345" spans="2:20" ht="14.1" customHeight="1">
      <c r="B345" s="3659"/>
      <c r="C345" s="3659"/>
      <c r="D345" s="3659"/>
      <c r="E345" s="3659"/>
      <c r="F345" s="3659"/>
      <c r="G345" s="3659"/>
      <c r="H345" s="3659"/>
      <c r="I345" s="3659"/>
      <c r="J345" s="3659"/>
      <c r="K345" s="1166"/>
      <c r="O345" s="621">
        <f>ROW()</f>
        <v>345</v>
      </c>
    </row>
    <row r="346" spans="2:20" ht="14.1" customHeight="1">
      <c r="B346" s="3659"/>
      <c r="C346" s="3659"/>
      <c r="D346" s="3659"/>
      <c r="E346" s="3659"/>
      <c r="F346" s="3659"/>
      <c r="G346" s="3659"/>
      <c r="H346" s="3659"/>
      <c r="I346" s="3659"/>
      <c r="J346" s="3659"/>
      <c r="K346" s="1166"/>
      <c r="O346" s="621">
        <f>ROW()</f>
        <v>346</v>
      </c>
    </row>
    <row r="347" spans="2:20" ht="14.1" customHeight="1">
      <c r="B347" s="2206"/>
      <c r="C347" s="2206"/>
      <c r="D347" s="2206"/>
      <c r="E347" s="2206"/>
      <c r="F347" s="2206"/>
      <c r="G347" s="2206"/>
      <c r="H347" s="2206"/>
      <c r="I347" s="2206"/>
      <c r="J347" s="2206"/>
      <c r="K347" s="1166"/>
      <c r="O347" s="621">
        <f>ROW()</f>
        <v>347</v>
      </c>
    </row>
    <row r="348" spans="2:20" ht="14.1" customHeight="1">
      <c r="B348" s="3754" t="s">
        <v>3672</v>
      </c>
      <c r="C348" s="3754"/>
      <c r="D348" s="3754"/>
      <c r="E348" s="3754"/>
      <c r="F348" s="3754"/>
      <c r="G348" s="3754"/>
      <c r="H348" s="3754"/>
      <c r="I348" s="3754"/>
      <c r="J348" s="3754"/>
      <c r="K348" s="1166"/>
      <c r="O348" s="621">
        <f>ROW()</f>
        <v>348</v>
      </c>
    </row>
    <row r="349" spans="2:20" ht="14.1" customHeight="1">
      <c r="B349" s="3754"/>
      <c r="C349" s="3754"/>
      <c r="D349" s="3754"/>
      <c r="E349" s="3754"/>
      <c r="F349" s="3754"/>
      <c r="G349" s="3754"/>
      <c r="H349" s="3754"/>
      <c r="I349" s="3754"/>
      <c r="J349" s="3754"/>
      <c r="K349" s="1166"/>
      <c r="O349" s="621">
        <f>ROW()</f>
        <v>349</v>
      </c>
    </row>
    <row r="350" spans="2:20" ht="14.1" customHeight="1">
      <c r="B350" s="2207"/>
      <c r="C350" s="2207"/>
      <c r="D350" s="2207"/>
      <c r="E350" s="2207"/>
      <c r="F350" s="2207"/>
      <c r="G350" s="2207"/>
      <c r="H350" s="2207"/>
      <c r="I350" s="2207"/>
      <c r="J350" s="2207"/>
      <c r="K350" s="1166"/>
      <c r="O350" s="621">
        <f>ROW()</f>
        <v>350</v>
      </c>
    </row>
    <row r="351" spans="2:20" ht="14.1" customHeight="1">
      <c r="B351" s="2238" t="s">
        <v>3676</v>
      </c>
      <c r="C351" s="2207"/>
      <c r="D351" s="2207"/>
      <c r="E351" s="2207"/>
      <c r="F351" s="2207"/>
      <c r="G351" s="2207"/>
      <c r="H351" s="2207"/>
      <c r="I351" s="2207"/>
      <c r="J351" s="2207"/>
      <c r="K351" s="1166"/>
      <c r="O351" s="621">
        <f>ROW()</f>
        <v>351</v>
      </c>
    </row>
    <row r="352" spans="2:20" ht="14.1" customHeight="1">
      <c r="B352" s="2207"/>
      <c r="C352" s="2207"/>
      <c r="D352" s="2207"/>
      <c r="F352" s="3804" t="s">
        <v>3691</v>
      </c>
      <c r="G352" s="2207"/>
      <c r="H352" s="2207"/>
      <c r="I352" s="2207"/>
      <c r="K352" s="1166"/>
      <c r="O352" s="621">
        <f>ROW()</f>
        <v>352</v>
      </c>
    </row>
    <row r="353" spans="2:15" ht="14.1" customHeight="1">
      <c r="B353" s="314"/>
      <c r="C353" s="314"/>
      <c r="D353" s="314"/>
      <c r="F353" s="3807"/>
      <c r="G353" s="314"/>
      <c r="H353" s="314"/>
      <c r="I353" s="314"/>
      <c r="K353" s="1166"/>
      <c r="O353" s="621">
        <f>ROW()</f>
        <v>353</v>
      </c>
    </row>
    <row r="354" spans="2:15" ht="14.1" customHeight="1">
      <c r="B354" s="314"/>
      <c r="C354" s="314"/>
      <c r="D354" s="314"/>
      <c r="F354" s="3807"/>
      <c r="G354" s="2183" t="s">
        <v>1743</v>
      </c>
      <c r="H354" s="2210" t="s">
        <v>3673</v>
      </c>
      <c r="I354" s="2210" t="s">
        <v>3674</v>
      </c>
      <c r="K354" s="1166"/>
      <c r="O354" s="621">
        <f>ROW()</f>
        <v>354</v>
      </c>
    </row>
    <row r="355" spans="2:15" ht="14.1" customHeight="1">
      <c r="B355" s="507" t="s">
        <v>3653</v>
      </c>
      <c r="F355" s="2233">
        <v>15.055999999999999</v>
      </c>
      <c r="G355" s="21">
        <f>J305</f>
        <v>88.5</v>
      </c>
      <c r="H355" s="1122">
        <f>I305*$L$336</f>
        <v>1452.0540141081626</v>
      </c>
      <c r="I355" s="1122">
        <f>F355*H355</f>
        <v>21862.125236412496</v>
      </c>
      <c r="O355" s="621">
        <f>ROW()</f>
        <v>355</v>
      </c>
    </row>
    <row r="356" spans="2:15" ht="14.1" customHeight="1">
      <c r="B356" s="507" t="s">
        <v>3656</v>
      </c>
      <c r="F356" s="2233">
        <v>6.6189999999999998</v>
      </c>
      <c r="G356" s="21">
        <f>J306</f>
        <v>25</v>
      </c>
      <c r="H356" s="1122">
        <f>I306*$L$336</f>
        <v>410.1847497480685</v>
      </c>
      <c r="I356" s="1122">
        <f>F356*H356</f>
        <v>2715.0128585824655</v>
      </c>
      <c r="O356" s="621">
        <f>ROW()</f>
        <v>356</v>
      </c>
    </row>
    <row r="357" spans="2:15" ht="14.1" customHeight="1">
      <c r="B357" s="507" t="s">
        <v>3657</v>
      </c>
      <c r="F357" s="2233">
        <v>19.710999999999999</v>
      </c>
      <c r="G357" s="21">
        <f>J307</f>
        <v>16</v>
      </c>
      <c r="H357" s="1122">
        <f>I307*$L$336</f>
        <v>262.51823983876386</v>
      </c>
      <c r="I357" s="1122">
        <f>F357*H357</f>
        <v>5174.4970254618738</v>
      </c>
      <c r="O357" s="621">
        <f>ROW()</f>
        <v>357</v>
      </c>
    </row>
    <row r="358" spans="2:15" ht="14.1" customHeight="1">
      <c r="B358" s="507" t="s">
        <v>3658</v>
      </c>
      <c r="F358" s="2233">
        <v>5.15</v>
      </c>
      <c r="G358" s="21">
        <f>J308</f>
        <v>156.75</v>
      </c>
      <c r="H358" s="1122">
        <f>I308*$L$336</f>
        <v>2571.8583809203897</v>
      </c>
      <c r="I358" s="1122">
        <f>F358*H358</f>
        <v>13245.070661740008</v>
      </c>
      <c r="O358" s="621">
        <f>ROW()</f>
        <v>358</v>
      </c>
    </row>
    <row r="359" spans="2:15" ht="14.1" customHeight="1">
      <c r="B359" s="4182" t="str">
        <f>CONCATENATE("Ratios were calculated by Komanoff from Naumann et al., Table 1. Fatals are copied from Rows ",O305," to ",O308,". Severe injuries are prorated from severe total in Row ",O336," and percents in Rows ",O305," to ",O308,". Serious injuries apply ratios in Rows ",O355, " to ",O358, " to severe injuries.")</f>
        <v>Ratios were calculated by Komanoff from Naumann et al., Table 1. Fatals are copied from Rows 305 to 308. Severe injuries are prorated from severe total in Row 336 and percents in Rows 305 to 308. Serious injuries apply ratios in Rows 355 to 358 to severe injuries.</v>
      </c>
      <c r="C359" s="3726"/>
      <c r="D359" s="3726"/>
      <c r="E359" s="3726"/>
      <c r="F359" s="3726"/>
      <c r="G359" s="3726"/>
      <c r="H359" s="3726"/>
      <c r="I359" s="3726"/>
      <c r="J359" s="3726"/>
      <c r="K359" s="3726"/>
      <c r="O359" s="621">
        <f>ROW()</f>
        <v>359</v>
      </c>
    </row>
    <row r="360" spans="2:15" ht="14.1" customHeight="1">
      <c r="B360" s="3726"/>
      <c r="C360" s="3726"/>
      <c r="D360" s="3726"/>
      <c r="E360" s="3726"/>
      <c r="F360" s="3726"/>
      <c r="G360" s="3726"/>
      <c r="H360" s="3726"/>
      <c r="I360" s="3726"/>
      <c r="J360" s="3726"/>
      <c r="K360" s="3726"/>
      <c r="O360" s="621">
        <f>ROW()</f>
        <v>360</v>
      </c>
    </row>
    <row r="361" spans="2:15" ht="14.1" customHeight="1">
      <c r="O361" s="621">
        <f>ROW()</f>
        <v>361</v>
      </c>
    </row>
    <row r="362" spans="2:15" ht="14.1" customHeight="1">
      <c r="B362" s="24" t="s">
        <v>3679</v>
      </c>
      <c r="O362" s="621">
        <f>ROW()</f>
        <v>362</v>
      </c>
    </row>
    <row r="363" spans="2:15" ht="14.1" customHeight="1">
      <c r="O363" s="621">
        <f>ROW()</f>
        <v>363</v>
      </c>
    </row>
    <row r="364" spans="2:15" ht="14.1" customHeight="1">
      <c r="B364" s="2234" t="s">
        <v>3692</v>
      </c>
      <c r="C364" s="2234"/>
      <c r="D364" s="2234"/>
      <c r="E364" s="2234"/>
      <c r="F364" s="2234"/>
      <c r="G364" s="2234"/>
      <c r="H364" s="2234"/>
      <c r="I364" s="2234"/>
      <c r="J364" s="2234"/>
      <c r="K364" s="2208"/>
      <c r="O364" s="621">
        <f>ROW()</f>
        <v>364</v>
      </c>
    </row>
    <row r="365" spans="2:15" ht="14.1" customHeight="1">
      <c r="B365" s="2234"/>
      <c r="C365" s="2234"/>
      <c r="D365" s="2234"/>
      <c r="E365" s="2234"/>
      <c r="F365" s="2234"/>
      <c r="G365" s="2234"/>
      <c r="H365" s="2234"/>
      <c r="I365" s="2234"/>
      <c r="J365" s="2234"/>
      <c r="K365" s="2208"/>
      <c r="O365" s="621">
        <f>ROW()</f>
        <v>365</v>
      </c>
    </row>
    <row r="366" spans="2:15" ht="14.1" customHeight="1">
      <c r="B366" s="2238" t="s">
        <v>3680</v>
      </c>
      <c r="C366" s="2234"/>
      <c r="D366" s="2234"/>
      <c r="E366" s="2234"/>
      <c r="F366" s="2234"/>
      <c r="G366" s="2234"/>
      <c r="H366" s="2234"/>
      <c r="I366" s="2234"/>
      <c r="J366" s="2234"/>
      <c r="K366" s="2208"/>
      <c r="O366" s="621">
        <f>ROW()</f>
        <v>366</v>
      </c>
    </row>
    <row r="367" spans="2:15" ht="14.1" customHeight="1">
      <c r="B367" s="2182"/>
      <c r="C367" s="2182"/>
      <c r="D367" s="2182"/>
      <c r="E367" s="2182"/>
      <c r="F367" s="2182"/>
      <c r="G367" s="2210" t="s">
        <v>1743</v>
      </c>
      <c r="H367" s="2210" t="s">
        <v>3673</v>
      </c>
      <c r="I367" s="2210" t="s">
        <v>3674</v>
      </c>
      <c r="O367" s="621">
        <f>ROW()</f>
        <v>367</v>
      </c>
    </row>
    <row r="368" spans="2:15" ht="14.1" customHeight="1">
      <c r="B368" s="507" t="s">
        <v>3653</v>
      </c>
      <c r="C368" s="2182"/>
      <c r="D368" s="2182"/>
      <c r="E368" s="2182"/>
      <c r="F368" s="2182"/>
      <c r="G368" s="2239">
        <v>1402000</v>
      </c>
      <c r="H368" s="2240">
        <v>112900</v>
      </c>
      <c r="I368" s="2240">
        <v>4220</v>
      </c>
      <c r="O368" s="621">
        <f>ROW()</f>
        <v>368</v>
      </c>
    </row>
    <row r="369" spans="2:15" ht="14.1" customHeight="1">
      <c r="B369" s="507" t="s">
        <v>3656</v>
      </c>
      <c r="C369" s="2182"/>
      <c r="D369" s="2182"/>
      <c r="E369" s="2182"/>
      <c r="F369" s="2182"/>
      <c r="G369" s="2239">
        <v>1674000</v>
      </c>
      <c r="H369" s="2240">
        <v>141100</v>
      </c>
      <c r="I369" s="2240">
        <v>5580</v>
      </c>
      <c r="O369" s="621">
        <f>ROW()</f>
        <v>369</v>
      </c>
    </row>
    <row r="370" spans="2:15" ht="14.1" customHeight="1">
      <c r="B370" s="507" t="s">
        <v>3657</v>
      </c>
      <c r="C370" s="2208"/>
      <c r="D370" s="2208"/>
      <c r="E370" s="2208"/>
      <c r="F370" s="2208"/>
      <c r="G370" s="2239">
        <v>1451000</v>
      </c>
      <c r="H370" s="2240">
        <v>102300</v>
      </c>
      <c r="I370" s="2240">
        <v>4980</v>
      </c>
      <c r="O370" s="621">
        <f>ROW()</f>
        <v>370</v>
      </c>
    </row>
    <row r="371" spans="2:15" ht="14.1" customHeight="1">
      <c r="B371" s="507" t="s">
        <v>3658</v>
      </c>
      <c r="C371" s="2182"/>
      <c r="D371" s="2182"/>
      <c r="E371" s="2182"/>
      <c r="F371" s="2182"/>
      <c r="G371" s="2239">
        <v>1243000</v>
      </c>
      <c r="H371" s="2240">
        <v>121800</v>
      </c>
      <c r="I371" s="2240">
        <v>3780</v>
      </c>
      <c r="J371" s="2182"/>
      <c r="K371" s="2182"/>
      <c r="O371" s="621">
        <f>ROW()</f>
        <v>371</v>
      </c>
    </row>
    <row r="372" spans="2:15" ht="14.1" customHeight="1">
      <c r="B372" s="507" t="s">
        <v>3681</v>
      </c>
      <c r="C372" s="2208"/>
      <c r="D372" s="2208"/>
      <c r="E372" s="2208"/>
      <c r="F372" s="2208"/>
      <c r="G372" s="2239">
        <f>AVERAGE(G368:G371)</f>
        <v>1442500</v>
      </c>
      <c r="H372" s="2239">
        <f>AVERAGE(H368:H371)</f>
        <v>119525</v>
      </c>
      <c r="I372" s="2239">
        <f>AVERAGE(I368:I371)</f>
        <v>4640</v>
      </c>
      <c r="J372" s="2208"/>
      <c r="K372" s="2208"/>
      <c r="O372" s="621">
        <f>ROW()</f>
        <v>372</v>
      </c>
    </row>
    <row r="373" spans="2:15" ht="14.1" customHeight="1">
      <c r="O373" s="621">
        <f>ROW()</f>
        <v>373</v>
      </c>
    </row>
    <row r="374" spans="2:15" ht="14.1" customHeight="1">
      <c r="B374" s="4201" t="s">
        <v>3693</v>
      </c>
      <c r="C374" s="3786"/>
      <c r="D374" s="3786"/>
      <c r="E374" s="3786"/>
      <c r="F374" s="3786"/>
      <c r="G374" s="3786"/>
      <c r="H374" s="3786"/>
      <c r="I374" s="3786"/>
      <c r="O374" s="621">
        <f>ROW()</f>
        <v>374</v>
      </c>
    </row>
    <row r="375" spans="2:15" ht="14.1" customHeight="1">
      <c r="B375" s="3786"/>
      <c r="C375" s="3786"/>
      <c r="D375" s="3786"/>
      <c r="E375" s="3786"/>
      <c r="F375" s="3786"/>
      <c r="G375" s="3786"/>
      <c r="H375" s="3786"/>
      <c r="I375" s="3786"/>
      <c r="L375" s="229">
        <f>2.5*1.58*1000000/G372</f>
        <v>2.7383015597920277</v>
      </c>
      <c r="O375" s="621">
        <f>ROW()</f>
        <v>375</v>
      </c>
    </row>
    <row r="376" spans="2:15" ht="14.1" customHeight="1">
      <c r="B376" s="4182" t="s">
        <v>3694</v>
      </c>
      <c r="C376" s="4219"/>
      <c r="D376" s="4219"/>
      <c r="E376" s="4219"/>
      <c r="F376" s="4219"/>
      <c r="G376" s="4219"/>
      <c r="H376" s="4219"/>
      <c r="I376" s="4219"/>
      <c r="J376" s="4219"/>
      <c r="O376" s="621">
        <f>ROW()</f>
        <v>376</v>
      </c>
    </row>
    <row r="377" spans="2:15" ht="14.1" customHeight="1">
      <c r="B377" s="4219"/>
      <c r="C377" s="4219"/>
      <c r="D377" s="4219"/>
      <c r="E377" s="4219"/>
      <c r="F377" s="4219"/>
      <c r="G377" s="4219"/>
      <c r="H377" s="4219"/>
      <c r="I377" s="4219"/>
      <c r="J377" s="4219"/>
      <c r="O377" s="621">
        <f>ROW()</f>
        <v>377</v>
      </c>
    </row>
    <row r="378" spans="2:15" ht="14.1" customHeight="1">
      <c r="B378" s="3726"/>
      <c r="C378" s="3726"/>
      <c r="D378" s="3726"/>
      <c r="E378" s="3726"/>
      <c r="F378" s="3726"/>
      <c r="G378" s="3726"/>
      <c r="H378" s="3726"/>
      <c r="I378" s="3726"/>
      <c r="J378" s="3726"/>
      <c r="O378" s="621">
        <f>ROW()</f>
        <v>378</v>
      </c>
    </row>
    <row r="379" spans="2:15" ht="14.1" customHeight="1">
      <c r="B379" s="3726"/>
      <c r="C379" s="3726"/>
      <c r="D379" s="3726"/>
      <c r="E379" s="3726"/>
      <c r="F379" s="3726"/>
      <c r="G379" s="3726"/>
      <c r="H379" s="3726"/>
      <c r="I379" s="3726"/>
      <c r="J379" s="3726"/>
      <c r="O379" s="621">
        <f>ROW()</f>
        <v>379</v>
      </c>
    </row>
    <row r="380" spans="2:15" ht="14.1" customHeight="1">
      <c r="B380" s="3726"/>
      <c r="C380" s="3726"/>
      <c r="D380" s="3726"/>
      <c r="E380" s="3726"/>
      <c r="F380" s="3726"/>
      <c r="G380" s="3726"/>
      <c r="H380" s="3726"/>
      <c r="I380" s="3726"/>
      <c r="J380" s="3726"/>
      <c r="O380" s="621">
        <f>ROW()</f>
        <v>380</v>
      </c>
    </row>
    <row r="381" spans="2:15" ht="14.1" customHeight="1">
      <c r="B381" s="3726"/>
      <c r="C381" s="3726"/>
      <c r="D381" s="3726"/>
      <c r="E381" s="3726"/>
      <c r="F381" s="3726"/>
      <c r="G381" s="3726"/>
      <c r="H381" s="3726"/>
      <c r="I381" s="3726"/>
      <c r="J381" s="3726"/>
      <c r="O381" s="621">
        <f>ROW()</f>
        <v>381</v>
      </c>
    </row>
    <row r="382" spans="2:15" ht="14.1" customHeight="1">
      <c r="O382" s="621">
        <f>ROW()</f>
        <v>382</v>
      </c>
    </row>
    <row r="383" spans="2:15" ht="14.1" customHeight="1">
      <c r="B383" s="2238" t="s">
        <v>3682</v>
      </c>
      <c r="C383" s="2234"/>
      <c r="D383" s="2234"/>
      <c r="E383" s="2234"/>
      <c r="F383" s="2234"/>
      <c r="G383" s="2234"/>
      <c r="H383" s="2234"/>
      <c r="I383" s="2234"/>
      <c r="O383" s="621">
        <f>ROW()</f>
        <v>383</v>
      </c>
    </row>
    <row r="384" spans="2:15" ht="14.1" customHeight="1">
      <c r="B384" s="2232" t="str">
        <f>CONCATENATE("Figures apply Row ",O375, " factor to prior table.")</f>
        <v>Figures apply Row 375 factor to prior table.</v>
      </c>
      <c r="C384" s="2208"/>
      <c r="D384" s="2208"/>
      <c r="E384" s="2208"/>
      <c r="F384" s="2208"/>
      <c r="G384" s="2210" t="s">
        <v>1743</v>
      </c>
      <c r="H384" s="2210" t="s">
        <v>3673</v>
      </c>
      <c r="I384" s="2210" t="s">
        <v>3674</v>
      </c>
      <c r="O384" s="621">
        <f>ROW()</f>
        <v>384</v>
      </c>
    </row>
    <row r="385" spans="2:15" ht="14.1" customHeight="1">
      <c r="B385" s="507" t="s">
        <v>3653</v>
      </c>
      <c r="C385" s="2208"/>
      <c r="D385" s="2208"/>
      <c r="E385" s="2208"/>
      <c r="F385" s="2208"/>
      <c r="G385" s="2239">
        <f>ROUND(G368*$L$375,-3)</f>
        <v>3839000</v>
      </c>
      <c r="H385" s="2239">
        <f>ROUND(H368*$L$375,-2)</f>
        <v>309200</v>
      </c>
      <c r="I385" s="2239">
        <f>ROUND(I368*$L$375,-1)</f>
        <v>11560</v>
      </c>
      <c r="O385" s="621">
        <f>ROW()</f>
        <v>385</v>
      </c>
    </row>
    <row r="386" spans="2:15" ht="14.1" customHeight="1">
      <c r="B386" s="507" t="s">
        <v>3656</v>
      </c>
      <c r="C386" s="2208"/>
      <c r="D386" s="2208"/>
      <c r="E386" s="2208"/>
      <c r="F386" s="2208"/>
      <c r="G386" s="2239">
        <f>ROUND(G369*$L$375,-3)</f>
        <v>4584000</v>
      </c>
      <c r="H386" s="2239">
        <f>ROUND(H369*$L$375,-2)</f>
        <v>386400</v>
      </c>
      <c r="I386" s="2239">
        <f>ROUND(I369*$L$375,-1)</f>
        <v>15280</v>
      </c>
      <c r="O386" s="621">
        <f>ROW()</f>
        <v>386</v>
      </c>
    </row>
    <row r="387" spans="2:15" ht="14.1" customHeight="1">
      <c r="B387" s="507" t="s">
        <v>3657</v>
      </c>
      <c r="C387" s="2208"/>
      <c r="D387" s="2208"/>
      <c r="E387" s="2208"/>
      <c r="F387" s="2208"/>
      <c r="G387" s="2239">
        <f>ROUND(G370*$L$375,-3)</f>
        <v>3973000</v>
      </c>
      <c r="H387" s="2239">
        <f>ROUND(H370*$L$375,-2)</f>
        <v>280100</v>
      </c>
      <c r="I387" s="2239">
        <f>ROUND(I370*$L$375,-1)</f>
        <v>13640</v>
      </c>
      <c r="O387" s="621">
        <f>ROW()</f>
        <v>387</v>
      </c>
    </row>
    <row r="388" spans="2:15" ht="14.1" customHeight="1">
      <c r="B388" s="507" t="s">
        <v>3658</v>
      </c>
      <c r="C388" s="2208"/>
      <c r="D388" s="2208"/>
      <c r="E388" s="2208"/>
      <c r="F388" s="2208"/>
      <c r="G388" s="2239">
        <f>ROUND(G371*$L$375,-3)</f>
        <v>3404000</v>
      </c>
      <c r="H388" s="2239">
        <f>ROUND(H371*$L$375,-2)</f>
        <v>333500</v>
      </c>
      <c r="I388" s="2239">
        <f>ROUND(I371*$L$375,-1)</f>
        <v>10350</v>
      </c>
      <c r="O388" s="621">
        <f>ROW()</f>
        <v>388</v>
      </c>
    </row>
    <row r="389" spans="2:15" ht="14.1" customHeight="1">
      <c r="B389" s="507" t="s">
        <v>3681</v>
      </c>
      <c r="C389" s="2208"/>
      <c r="D389" s="2208"/>
      <c r="E389" s="2208"/>
      <c r="F389" s="2208"/>
      <c r="G389" s="2239">
        <f>AVERAGE(G385:G388)</f>
        <v>3950000</v>
      </c>
      <c r="H389" s="2239">
        <f>AVERAGE(H385:H388)</f>
        <v>327300</v>
      </c>
      <c r="I389" s="2239">
        <f>AVERAGE(I385:I388)</f>
        <v>12707.5</v>
      </c>
      <c r="O389" s="621">
        <f>ROW()</f>
        <v>389</v>
      </c>
    </row>
    <row r="390" spans="2:15" ht="14.1" customHeight="1">
      <c r="B390" s="314" t="str">
        <f>CONCATENATE("Figures are products of Row ",O375," factor and entries in table in Rows ",O368, " to ",O371, ".")</f>
        <v>Figures are products of Row 375 factor and entries in table in Rows 368 to 371.</v>
      </c>
      <c r="C390" s="3007"/>
      <c r="D390" s="3007"/>
      <c r="E390" s="3007"/>
      <c r="F390" s="3007"/>
      <c r="G390" s="2239"/>
      <c r="H390" s="2239"/>
      <c r="I390" s="2239"/>
      <c r="O390" s="621">
        <f>ROW()</f>
        <v>390</v>
      </c>
    </row>
    <row r="391" spans="2:15" ht="14.1" customHeight="1">
      <c r="O391" s="621">
        <f>ROW()</f>
        <v>391</v>
      </c>
    </row>
    <row r="392" spans="2:15" ht="14.1" customHeight="1">
      <c r="B392" s="24" t="s">
        <v>3683</v>
      </c>
      <c r="O392" s="621">
        <f>ROW()</f>
        <v>392</v>
      </c>
    </row>
    <row r="393" spans="2:15" ht="14.1" customHeight="1">
      <c r="O393" s="621">
        <f>ROW()</f>
        <v>393</v>
      </c>
    </row>
    <row r="394" spans="2:15" ht="14.1" customHeight="1">
      <c r="B394" s="2238" t="s">
        <v>3682</v>
      </c>
      <c r="C394" s="2234"/>
      <c r="D394" s="2234"/>
      <c r="E394" s="2234"/>
      <c r="F394" s="2234"/>
      <c r="G394" s="2234"/>
      <c r="H394" s="2234"/>
      <c r="I394" s="2234"/>
      <c r="O394" s="621">
        <f>ROW()</f>
        <v>394</v>
      </c>
    </row>
    <row r="395" spans="2:15" ht="14.1" customHeight="1">
      <c r="B395" s="2232" t="s">
        <v>3684</v>
      </c>
      <c r="C395" s="2208"/>
      <c r="D395" s="2208"/>
      <c r="E395" s="2208"/>
      <c r="F395" s="2208"/>
      <c r="G395" s="2210" t="s">
        <v>1743</v>
      </c>
      <c r="H395" s="2210" t="s">
        <v>3673</v>
      </c>
      <c r="I395" s="2210" t="s">
        <v>3674</v>
      </c>
      <c r="J395" s="2210" t="s">
        <v>1130</v>
      </c>
      <c r="O395" s="621">
        <f>ROW()</f>
        <v>395</v>
      </c>
    </row>
    <row r="396" spans="2:15" ht="14.1" customHeight="1">
      <c r="B396" s="507" t="s">
        <v>3653</v>
      </c>
      <c r="C396" s="2208"/>
      <c r="D396" s="2208"/>
      <c r="E396" s="2208"/>
      <c r="F396" s="2208"/>
      <c r="G396" s="2240">
        <f t="shared" ref="G396:I399" si="8">G385*G355/1000000</f>
        <v>339.75150000000002</v>
      </c>
      <c r="H396" s="2240">
        <f t="shared" si="8"/>
        <v>448.9751011622439</v>
      </c>
      <c r="I396" s="2240">
        <f t="shared" si="8"/>
        <v>252.72616773292845</v>
      </c>
      <c r="J396" s="128">
        <f>SUM(G396:I396)</f>
        <v>1041.4527688951723</v>
      </c>
      <c r="O396" s="621">
        <f>ROW()</f>
        <v>396</v>
      </c>
    </row>
    <row r="397" spans="2:15" ht="14.1" customHeight="1">
      <c r="B397" s="507" t="s">
        <v>3656</v>
      </c>
      <c r="C397" s="2208"/>
      <c r="D397" s="2208"/>
      <c r="E397" s="2208"/>
      <c r="F397" s="2208"/>
      <c r="G397" s="2240">
        <f t="shared" si="8"/>
        <v>114.6</v>
      </c>
      <c r="H397" s="2240">
        <f t="shared" si="8"/>
        <v>158.49538730265368</v>
      </c>
      <c r="I397" s="2240">
        <f t="shared" si="8"/>
        <v>41.485396479140071</v>
      </c>
      <c r="J397" s="128">
        <f>SUM(G397:I397)</f>
        <v>314.58078378179374</v>
      </c>
      <c r="O397" s="621">
        <f>ROW()</f>
        <v>397</v>
      </c>
    </row>
    <row r="398" spans="2:15" ht="14.1" customHeight="1">
      <c r="B398" s="507" t="s">
        <v>3657</v>
      </c>
      <c r="C398" s="2208"/>
      <c r="D398" s="2208"/>
      <c r="E398" s="2208"/>
      <c r="F398" s="2208"/>
      <c r="G398" s="2240">
        <f t="shared" si="8"/>
        <v>63.567999999999998</v>
      </c>
      <c r="H398" s="2240">
        <f t="shared" si="8"/>
        <v>73.531358978837758</v>
      </c>
      <c r="I398" s="2240">
        <f t="shared" si="8"/>
        <v>70.580139427299954</v>
      </c>
      <c r="J398" s="128">
        <f>SUM(G398:I398)</f>
        <v>207.67949840613772</v>
      </c>
      <c r="O398" s="621">
        <f>ROW()</f>
        <v>398</v>
      </c>
    </row>
    <row r="399" spans="2:15" ht="14.1" customHeight="1">
      <c r="B399" s="507" t="s">
        <v>3658</v>
      </c>
      <c r="C399" s="2208"/>
      <c r="D399" s="2208"/>
      <c r="E399" s="2208"/>
      <c r="F399" s="2208"/>
      <c r="G399" s="2240">
        <f t="shared" si="8"/>
        <v>533.577</v>
      </c>
      <c r="H399" s="2240">
        <f t="shared" si="8"/>
        <v>857.71477003694997</v>
      </c>
      <c r="I399" s="2240">
        <f t="shared" si="8"/>
        <v>137.08648134900909</v>
      </c>
      <c r="J399" s="128">
        <f>SUM(G399:I399)</f>
        <v>1528.3782513859589</v>
      </c>
      <c r="O399" s="621">
        <f>ROW()</f>
        <v>399</v>
      </c>
    </row>
    <row r="400" spans="2:15" ht="14.1" customHeight="1">
      <c r="B400" s="507" t="s">
        <v>3695</v>
      </c>
      <c r="C400" s="2208"/>
      <c r="D400" s="2208"/>
      <c r="E400" s="2208"/>
      <c r="F400" s="2208"/>
      <c r="G400" s="2240">
        <f>SUM(G396:G399)</f>
        <v>1051.4965</v>
      </c>
      <c r="H400" s="2240">
        <f>SUM(H396:H399)</f>
        <v>1538.7166174806853</v>
      </c>
      <c r="I400" s="2240">
        <f>SUM(I396:I399)</f>
        <v>501.8781849883776</v>
      </c>
      <c r="J400" s="128">
        <f>SUM(G400:I400)</f>
        <v>3092.0913024690631</v>
      </c>
      <c r="L400" s="247">
        <f>J400</f>
        <v>3092.0913024690631</v>
      </c>
      <c r="M400" s="49" t="s">
        <v>2616</v>
      </c>
      <c r="O400" s="621">
        <f>ROW()</f>
        <v>400</v>
      </c>
    </row>
    <row r="401" spans="2:15" ht="14.1" customHeight="1">
      <c r="B401" s="314" t="str">
        <f>CONCATENATE("Figures are products of crashes in Rows ",O355,"-",O358, " and per-crash costs in Rows ",O385, "-",O388, ".")</f>
        <v>Figures are products of crashes in Rows 355-358 and per-crash costs in Rows 385-388.</v>
      </c>
      <c r="C401" s="2208"/>
      <c r="D401" s="2208"/>
      <c r="E401" s="2208"/>
      <c r="F401" s="2208"/>
      <c r="G401" s="2240"/>
      <c r="H401" s="2240"/>
      <c r="I401" s="2240"/>
      <c r="J401" s="128"/>
      <c r="L401" s="1000"/>
      <c r="O401" s="621">
        <f>ROW()</f>
        <v>401</v>
      </c>
    </row>
    <row r="402" spans="2:15" ht="14.1" customHeight="1">
      <c r="B402" s="507"/>
      <c r="C402" s="2208"/>
      <c r="D402" s="2208"/>
      <c r="E402" s="2208"/>
      <c r="F402" s="2208"/>
      <c r="G402" s="2240"/>
      <c r="H402" s="2240"/>
      <c r="I402" s="2240"/>
      <c r="J402" s="128"/>
      <c r="O402" s="621">
        <f>ROW()</f>
        <v>402</v>
      </c>
    </row>
    <row r="403" spans="2:15" ht="14.1" customHeight="1">
      <c r="B403" s="2238" t="s">
        <v>3685</v>
      </c>
      <c r="C403" s="2208"/>
      <c r="D403" s="2208"/>
      <c r="E403" s="2208"/>
      <c r="F403" s="2208"/>
      <c r="G403" s="2240"/>
      <c r="H403" s="2240"/>
      <c r="I403" s="2240"/>
      <c r="J403" s="128"/>
      <c r="L403" s="211">
        <v>0.25</v>
      </c>
      <c r="O403" s="621">
        <f>ROW()</f>
        <v>403</v>
      </c>
    </row>
    <row r="404" spans="2:15" ht="14.1" customHeight="1">
      <c r="B404" s="4182" t="s">
        <v>3696</v>
      </c>
      <c r="C404" s="3726"/>
      <c r="D404" s="3726"/>
      <c r="E404" s="3726"/>
      <c r="F404" s="3726"/>
      <c r="G404" s="3726"/>
      <c r="H404" s="3726"/>
      <c r="I404" s="2240"/>
      <c r="J404" s="128"/>
      <c r="O404" s="621">
        <f>ROW()</f>
        <v>404</v>
      </c>
    </row>
    <row r="405" spans="2:15" ht="14.1" customHeight="1">
      <c r="B405" s="3726"/>
      <c r="C405" s="3726"/>
      <c r="D405" s="3726"/>
      <c r="E405" s="3726"/>
      <c r="F405" s="3726"/>
      <c r="G405" s="3726"/>
      <c r="H405" s="3726"/>
      <c r="I405" s="2240"/>
      <c r="J405" s="128"/>
      <c r="O405" s="621">
        <f>ROW()</f>
        <v>405</v>
      </c>
    </row>
    <row r="406" spans="2:15" ht="14.1" customHeight="1">
      <c r="B406" s="507"/>
      <c r="C406" s="2208"/>
      <c r="D406" s="2208"/>
      <c r="E406" s="2208"/>
      <c r="F406" s="2208"/>
      <c r="G406" s="2240"/>
      <c r="H406" s="2240"/>
      <c r="I406" s="2240"/>
      <c r="J406" s="128"/>
      <c r="O406" s="621">
        <f>ROW()</f>
        <v>406</v>
      </c>
    </row>
    <row r="407" spans="2:15" ht="14.1" customHeight="1">
      <c r="B407" s="316" t="s">
        <v>3686</v>
      </c>
      <c r="L407" s="247">
        <f>L400*(1+L403)</f>
        <v>3865.1141280863289</v>
      </c>
      <c r="M407" s="49" t="s">
        <v>2616</v>
      </c>
      <c r="O407" s="621">
        <f>ROW()</f>
        <v>407</v>
      </c>
    </row>
    <row r="408" spans="2:15" ht="14.1" customHeight="1">
      <c r="B408" s="214" t="s">
        <v>939</v>
      </c>
      <c r="L408" s="241">
        <f ca="1">VMT!L22</f>
        <v>-3.2906114154561225E-2</v>
      </c>
      <c r="M408" s="49"/>
      <c r="O408" s="621">
        <f>ROW()</f>
        <v>408</v>
      </c>
    </row>
    <row r="409" spans="2:15" ht="14.1" customHeight="1">
      <c r="B409" s="314" t="s">
        <v>940</v>
      </c>
      <c r="I409" s="208"/>
      <c r="M409" s="49"/>
      <c r="O409" s="621">
        <f>ROW()</f>
        <v>409</v>
      </c>
    </row>
    <row r="410" spans="2:15" ht="14.1" customHeight="1">
      <c r="B410" s="214" t="s">
        <v>941</v>
      </c>
      <c r="L410" s="250">
        <f ca="1">L408*L407</f>
        <v>-127.18588671921611</v>
      </c>
      <c r="M410" s="49" t="s">
        <v>2616</v>
      </c>
      <c r="O410" s="621">
        <f>ROW()</f>
        <v>410</v>
      </c>
    </row>
    <row r="411" spans="2:15" ht="14.1" customHeight="1">
      <c r="B411" s="314" t="str">
        <f>CONCATENATE("Percentage change in VMT in Row ",O408, " multiplied by current total crash costs in Row ",O407, ".")</f>
        <v>Percentage change in VMT in Row 408 multiplied by current total crash costs in Row 407.</v>
      </c>
      <c r="O411" s="621">
        <f>ROW()</f>
        <v>411</v>
      </c>
    </row>
    <row r="412" spans="2:15" ht="14.1" customHeight="1">
      <c r="B412" s="215"/>
      <c r="O412" s="621">
        <f>ROW()</f>
        <v>412</v>
      </c>
    </row>
    <row r="413" spans="2:15" ht="14.1" customHeight="1">
      <c r="B413" s="508" t="s">
        <v>4318</v>
      </c>
      <c r="C413" s="281"/>
      <c r="D413" s="281"/>
      <c r="E413" s="281"/>
      <c r="F413" s="281"/>
      <c r="G413" s="281"/>
      <c r="H413" s="281"/>
      <c r="I413" s="281"/>
      <c r="O413" s="621">
        <f>ROW()</f>
        <v>413</v>
      </c>
    </row>
    <row r="414" spans="2:15" ht="14.1" customHeight="1">
      <c r="B414" s="4220" t="s">
        <v>2182</v>
      </c>
      <c r="C414" s="4220"/>
      <c r="D414" s="4220"/>
      <c r="E414" s="4220"/>
      <c r="F414" s="4220"/>
      <c r="G414" s="4220"/>
      <c r="H414" s="4220"/>
      <c r="I414" s="4220"/>
      <c r="O414" s="621">
        <f>ROW()</f>
        <v>414</v>
      </c>
    </row>
    <row r="415" spans="2:15" ht="14.1" customHeight="1">
      <c r="B415" s="4220"/>
      <c r="C415" s="4220"/>
      <c r="D415" s="4220"/>
      <c r="E415" s="4220"/>
      <c r="F415" s="4220"/>
      <c r="G415" s="4220"/>
      <c r="H415" s="4220"/>
      <c r="I415" s="4220"/>
      <c r="O415" s="621">
        <f>ROW()</f>
        <v>415</v>
      </c>
    </row>
    <row r="416" spans="2:15" ht="14.1" customHeight="1">
      <c r="B416" s="320" t="s">
        <v>1077</v>
      </c>
      <c r="C416" s="281"/>
      <c r="I416" s="246">
        <v>2000000</v>
      </c>
      <c r="O416" s="621">
        <f>ROW()</f>
        <v>416</v>
      </c>
    </row>
    <row r="417" spans="2:15" ht="14.1" customHeight="1">
      <c r="B417" s="314" t="s">
        <v>1078</v>
      </c>
      <c r="C417" s="275"/>
      <c r="D417" s="86"/>
      <c r="O417" s="621">
        <f>ROW()</f>
        <v>417</v>
      </c>
    </row>
    <row r="418" spans="2:15" ht="14.1" customHeight="1">
      <c r="B418" s="214" t="s">
        <v>390</v>
      </c>
      <c r="C418" s="281"/>
      <c r="I418" s="247">
        <v>1083</v>
      </c>
      <c r="O418" s="621">
        <f>ROW()</f>
        <v>418</v>
      </c>
    </row>
    <row r="419" spans="2:15" ht="14.1" customHeight="1">
      <c r="B419" s="4167" t="s">
        <v>942</v>
      </c>
      <c r="C419" s="4168"/>
      <c r="D419" s="4168"/>
      <c r="E419" s="4168"/>
      <c r="F419" s="4168"/>
      <c r="G419" s="4168"/>
      <c r="H419" s="4168"/>
      <c r="I419" s="4168"/>
      <c r="J419" s="4168"/>
      <c r="O419" s="621">
        <f>ROW()</f>
        <v>419</v>
      </c>
    </row>
    <row r="420" spans="2:15" ht="14.1" customHeight="1">
      <c r="B420" s="4168"/>
      <c r="C420" s="4168"/>
      <c r="D420" s="4168"/>
      <c r="E420" s="4168"/>
      <c r="F420" s="4168"/>
      <c r="G420" s="4168"/>
      <c r="H420" s="4168"/>
      <c r="I420" s="4168"/>
      <c r="J420" s="4168"/>
      <c r="O420" s="621">
        <f>ROW()</f>
        <v>420</v>
      </c>
    </row>
    <row r="421" spans="2:15" ht="14.1" customHeight="1">
      <c r="B421" s="214" t="s">
        <v>943</v>
      </c>
      <c r="I421" s="210" t="s">
        <v>1638</v>
      </c>
      <c r="O421" s="621">
        <f>ROW()</f>
        <v>421</v>
      </c>
    </row>
    <row r="422" spans="2:15" ht="14.1" customHeight="1">
      <c r="B422" s="214" t="s">
        <v>939</v>
      </c>
      <c r="I422" s="241">
        <f ca="1">VMT!L22</f>
        <v>-3.2906114154561225E-2</v>
      </c>
      <c r="O422" s="621">
        <f>ROW()</f>
        <v>422</v>
      </c>
    </row>
    <row r="423" spans="2:15" ht="14.1" customHeight="1">
      <c r="B423" s="214" t="s">
        <v>512</v>
      </c>
      <c r="I423" s="211">
        <f ca="1">SUM(Incidence!G273:K273)</f>
        <v>0.66500000000000004</v>
      </c>
      <c r="O423" s="621">
        <f>ROW()</f>
        <v>423</v>
      </c>
    </row>
    <row r="424" spans="2:15" ht="14.1" customHeight="1">
      <c r="B424" s="314" t="s">
        <v>944</v>
      </c>
      <c r="C424" s="86"/>
      <c r="I424" s="251"/>
      <c r="O424" s="621">
        <f>ROW()</f>
        <v>424</v>
      </c>
    </row>
    <row r="425" spans="2:15" ht="14.1" customHeight="1">
      <c r="B425" s="214" t="s">
        <v>945</v>
      </c>
      <c r="C425" s="86"/>
      <c r="I425" s="211">
        <f ca="1">1.1*I423</f>
        <v>0.73150000000000015</v>
      </c>
      <c r="O425" s="621">
        <f>ROW()</f>
        <v>425</v>
      </c>
    </row>
    <row r="426" spans="2:15" ht="14.1" customHeight="1">
      <c r="B426" s="314" t="s">
        <v>1078</v>
      </c>
      <c r="C426" s="86"/>
      <c r="I426" s="251"/>
      <c r="O426" s="621">
        <f>ROW()</f>
        <v>426</v>
      </c>
    </row>
    <row r="427" spans="2:15" ht="14.1" customHeight="1">
      <c r="B427" s="214" t="s">
        <v>946</v>
      </c>
      <c r="I427" s="241">
        <f ca="1">IF(I425=0,0,I422*I423/I425)</f>
        <v>-2.9914649231419291E-2</v>
      </c>
      <c r="O427" s="621">
        <f>ROW()</f>
        <v>427</v>
      </c>
    </row>
    <row r="428" spans="2:15" ht="14.1" customHeight="1">
      <c r="B428" s="314" t="str">
        <f>CONCATENATE("VMT change in Row ",O422, " times NYC vehicles' share of that change in Row ",O423, ", divided by NYC vehicles' share of all VMT in Row ",O425, ".")</f>
        <v>VMT change in Row 422 times NYC vehicles' share of that change in Row 423, divided by NYC vehicles' share of all VMT in Row 425.</v>
      </c>
      <c r="I428" s="241"/>
      <c r="O428" s="621">
        <f>ROW()</f>
        <v>428</v>
      </c>
    </row>
    <row r="429" spans="2:15" ht="14.1" customHeight="1">
      <c r="B429" s="214" t="s">
        <v>947</v>
      </c>
      <c r="I429" s="211">
        <v>0.5</v>
      </c>
      <c r="O429" s="621">
        <f>ROW()</f>
        <v>429</v>
      </c>
    </row>
    <row r="430" spans="2:15" ht="14.1" customHeight="1">
      <c r="B430" s="314" t="s">
        <v>2658</v>
      </c>
      <c r="I430" s="251"/>
      <c r="O430" s="621">
        <f>ROW()</f>
        <v>430</v>
      </c>
    </row>
    <row r="431" spans="2:15" ht="14.1" customHeight="1">
      <c r="B431" s="214" t="s">
        <v>948</v>
      </c>
      <c r="I431" s="241">
        <f ca="1">I427*I429</f>
        <v>-1.4957324615709646E-2</v>
      </c>
      <c r="O431" s="621">
        <f>ROW()</f>
        <v>431</v>
      </c>
    </row>
    <row r="432" spans="2:15" ht="14.1" customHeight="1">
      <c r="B432" s="314" t="str">
        <f>CONCATENATE("Product of NYC-registered vehicles' VMT change in Row ",O427, " multiplied by insurance-rate factor in Row ",O429, ".")</f>
        <v>Product of NYC-registered vehicles' VMT change in Row 427 multiplied by insurance-rate factor in Row 429.</v>
      </c>
      <c r="I432" s="241"/>
      <c r="O432" s="621">
        <f>ROW()</f>
        <v>432</v>
      </c>
    </row>
    <row r="433" spans="2:15" ht="14.1" customHeight="1">
      <c r="B433" s="214" t="s">
        <v>949</v>
      </c>
      <c r="I433" s="247">
        <f ca="1">I431*I418</f>
        <v>-16.198782558813548</v>
      </c>
      <c r="O433" s="621">
        <f>ROW()</f>
        <v>433</v>
      </c>
    </row>
    <row r="434" spans="2:15" ht="14.1" customHeight="1">
      <c r="B434" s="314" t="str">
        <f>CONCATENATE("Product of insurance reduction percent in Row ",O431, " and annual insurance cost in Row ",O418, ".")</f>
        <v>Product of insurance reduction percent in Row 431 and annual insurance cost in Row 418.</v>
      </c>
      <c r="I434" s="247"/>
      <c r="O434" s="621">
        <f>ROW()</f>
        <v>434</v>
      </c>
    </row>
    <row r="435" spans="2:15" ht="14.1" customHeight="1">
      <c r="B435" s="214" t="s">
        <v>117</v>
      </c>
      <c r="I435" s="247">
        <f ca="1">I433*I416/1000000</f>
        <v>-32.397565117627096</v>
      </c>
      <c r="J435" t="s">
        <v>2616</v>
      </c>
      <c r="O435" s="621">
        <f>ROW()</f>
        <v>435</v>
      </c>
    </row>
    <row r="436" spans="2:15" ht="14.1" customHeight="1">
      <c r="B436" s="314" t="str">
        <f>CONCATENATE("Per-vehicle insurance premium change in Row ",O433, " multiplied by number of registered vehicles in Row ",O416, ".")</f>
        <v>Per-vehicle insurance premium change in Row 433 multiplied by number of registered vehicles in Row 416.</v>
      </c>
      <c r="I436" s="1000"/>
      <c r="O436" s="621">
        <f>ROW()</f>
        <v>436</v>
      </c>
    </row>
    <row r="437" spans="2:15" ht="14.1" customHeight="1">
      <c r="B437" s="316"/>
      <c r="I437" s="1000"/>
      <c r="J437" s="1000"/>
      <c r="K437" s="1000"/>
      <c r="O437" s="621">
        <f>ROW()</f>
        <v>437</v>
      </c>
    </row>
    <row r="438" spans="2:15" ht="14.1" customHeight="1">
      <c r="B438" s="467" t="s">
        <v>4319</v>
      </c>
      <c r="O438" s="621">
        <f>ROW()</f>
        <v>438</v>
      </c>
    </row>
    <row r="439" spans="2:15" ht="14.1" customHeight="1">
      <c r="B439" s="4162" t="s">
        <v>2247</v>
      </c>
      <c r="C439" s="3786"/>
      <c r="D439" s="3786"/>
      <c r="E439" s="3786"/>
      <c r="F439" s="3786"/>
      <c r="G439" s="3786"/>
      <c r="H439" s="3786"/>
      <c r="I439" s="3786"/>
      <c r="J439" s="3786"/>
      <c r="O439" s="621">
        <f>ROW()</f>
        <v>439</v>
      </c>
    </row>
    <row r="440" spans="2:15" ht="14.1" customHeight="1">
      <c r="B440" s="3786"/>
      <c r="C440" s="3786"/>
      <c r="D440" s="3786"/>
      <c r="E440" s="3786"/>
      <c r="F440" s="3786"/>
      <c r="G440" s="3786"/>
      <c r="H440" s="3786"/>
      <c r="I440" s="3786"/>
      <c r="J440" s="3786"/>
      <c r="O440" s="621">
        <f>ROW()</f>
        <v>440</v>
      </c>
    </row>
    <row r="441" spans="2:15" ht="14.1" customHeight="1">
      <c r="B441" s="3786"/>
      <c r="C441" s="3786"/>
      <c r="D441" s="3786"/>
      <c r="E441" s="3786"/>
      <c r="F441" s="3786"/>
      <c r="G441" s="3786"/>
      <c r="H441" s="3786"/>
      <c r="I441" s="3786"/>
      <c r="J441" s="3786"/>
      <c r="O441" s="621">
        <f>ROW()</f>
        <v>441</v>
      </c>
    </row>
    <row r="442" spans="2:15" ht="14.1" customHeight="1">
      <c r="B442" s="3786"/>
      <c r="C442" s="3786"/>
      <c r="D442" s="3786"/>
      <c r="E442" s="3786"/>
      <c r="F442" s="3786"/>
      <c r="G442" s="3786"/>
      <c r="H442" s="3786"/>
      <c r="I442" s="3786"/>
      <c r="J442" s="3786"/>
      <c r="O442" s="621">
        <f>ROW()</f>
        <v>442</v>
      </c>
    </row>
    <row r="443" spans="2:15" ht="14.1" customHeight="1">
      <c r="B443" s="1388"/>
      <c r="C443" s="1388"/>
      <c r="D443" s="1388"/>
      <c r="E443" s="1388"/>
      <c r="F443" s="1388"/>
      <c r="G443" s="1388"/>
      <c r="H443" s="1388"/>
      <c r="I443" s="8" t="s">
        <v>781</v>
      </c>
      <c r="J443" s="8" t="s">
        <v>1975</v>
      </c>
      <c r="K443" s="8" t="s">
        <v>1130</v>
      </c>
      <c r="O443" s="621">
        <f>ROW()</f>
        <v>443</v>
      </c>
    </row>
    <row r="444" spans="2:15" ht="14.1" customHeight="1">
      <c r="B444" s="316" t="s">
        <v>3632</v>
      </c>
      <c r="I444" s="246">
        <f ca="1">Emissions!N321</f>
        <v>-720155.56228183617</v>
      </c>
      <c r="J444" s="246">
        <f ca="1">Emissions!W321</f>
        <v>-183946.80906821982</v>
      </c>
      <c r="K444" s="246">
        <f ca="1">I444+J444</f>
        <v>-904102.37135005603</v>
      </c>
      <c r="O444" s="621">
        <f>ROW()</f>
        <v>444</v>
      </c>
    </row>
    <row r="445" spans="2:15" ht="14.1" customHeight="1">
      <c r="B445" s="314" t="s">
        <v>1884</v>
      </c>
      <c r="J445" s="1166"/>
      <c r="O445" s="621">
        <f>ROW()</f>
        <v>445</v>
      </c>
    </row>
    <row r="446" spans="2:15" ht="14.1" customHeight="1">
      <c r="B446" s="316" t="s">
        <v>3629</v>
      </c>
      <c r="J446" s="1166"/>
      <c r="K446" s="246">
        <f ca="1">Emissions!Z332</f>
        <v>-744211.94825368887</v>
      </c>
      <c r="O446" s="621">
        <f>ROW()</f>
        <v>446</v>
      </c>
    </row>
    <row r="447" spans="2:15" ht="14.1" customHeight="1">
      <c r="B447" s="314" t="str">
        <f>CONCATENATE("From 'Emissions' worksheet, Row ",Emissions!AG332, ".")</f>
        <v>From 'Emissions' worksheet, Row 332.</v>
      </c>
      <c r="J447" s="1166"/>
      <c r="O447" s="621">
        <f>ROW()</f>
        <v>447</v>
      </c>
    </row>
    <row r="448" spans="2:15" ht="14.1" customHeight="1">
      <c r="B448" s="316" t="s">
        <v>3637</v>
      </c>
      <c r="J448" s="1166"/>
      <c r="K448" s="2180">
        <f ca="1">VMT!K22/(VMT!K17+VMT!K18)</f>
        <v>1.1452160336080659</v>
      </c>
      <c r="O448" s="621">
        <f>ROW()</f>
        <v>448</v>
      </c>
    </row>
    <row r="449" spans="2:15" ht="14.1" customHeight="1">
      <c r="B449" s="314" t="str">
        <f>CONCATENATE("From 'VMT' worksheet. Is ratio of all light-vehicle VMT reduction (Row ",VMT!O22, ") to reductions due directly to cordon toll (Row ",VMT!O17, " plus Row ",VMT!O18, ").")</f>
        <v>From 'VMT' worksheet. Is ratio of all light-vehicle VMT reduction (Row 22) to reductions due directly to cordon toll (Row 17 plus Row 18).</v>
      </c>
      <c r="J449" s="1166"/>
      <c r="O449" s="621">
        <f>ROW()</f>
        <v>449</v>
      </c>
    </row>
    <row r="450" spans="2:15" ht="14.1" customHeight="1">
      <c r="B450" s="316" t="s">
        <v>3631</v>
      </c>
      <c r="J450" s="1166"/>
      <c r="K450" s="246">
        <f ca="1">K446*K448</f>
        <v>-852283.45554282074</v>
      </c>
      <c r="O450" s="621">
        <f>ROW()</f>
        <v>450</v>
      </c>
    </row>
    <row r="451" spans="2:15" ht="14.1" customHeight="1">
      <c r="B451" s="4167" t="str">
        <f>CONCATENATE("Product of Rows ",O446," and ",O448,". Note that this adjustment is slightly crude insofar as it implicitly credits CO2 reductions from improving 'other' vehicles' fuel efficiency at same rate as derived via detailed modeling in 'Emissions' tab.")</f>
        <v>Product of Rows 446 and 448. Note that this adjustment is slightly crude insofar as it implicitly credits CO2 reductions from improving 'other' vehicles' fuel efficiency at same rate as derived via detailed modeling in 'Emissions' tab.</v>
      </c>
      <c r="C451" s="4168"/>
      <c r="D451" s="4168"/>
      <c r="E451" s="4168"/>
      <c r="F451" s="4168"/>
      <c r="G451" s="4168"/>
      <c r="H451" s="4168"/>
      <c r="I451" s="4168"/>
      <c r="J451" s="4168"/>
      <c r="K451" s="4168"/>
      <c r="O451" s="621">
        <f>ROW()</f>
        <v>451</v>
      </c>
    </row>
    <row r="452" spans="2:15" ht="14.1" customHeight="1">
      <c r="B452" s="4168"/>
      <c r="C452" s="4168"/>
      <c r="D452" s="4168"/>
      <c r="E452" s="4168"/>
      <c r="F452" s="4168"/>
      <c r="G452" s="4168"/>
      <c r="H452" s="4168"/>
      <c r="I452" s="4168"/>
      <c r="J452" s="4168"/>
      <c r="K452" s="4168"/>
      <c r="O452" s="621">
        <f>ROW()</f>
        <v>452</v>
      </c>
    </row>
    <row r="453" spans="2:15" ht="14.1" customHeight="1">
      <c r="B453" s="316" t="s">
        <v>3638</v>
      </c>
      <c r="J453" s="1166"/>
      <c r="K453" s="246">
        <f ca="1">K450-K446+K444</f>
        <v>-1012173.8786391879</v>
      </c>
      <c r="O453" s="621">
        <f>ROW()</f>
        <v>453</v>
      </c>
    </row>
    <row r="454" spans="2:15" ht="14.1" customHeight="1">
      <c r="B454" s="314" t="str">
        <f>CONCATENATE("Calculated as difference between Rows ",O450, " and ",O446, ", added to combined figure in Row ",O444, ".")</f>
        <v>Calculated as difference between Rows 450 and 446, added to combined figure in Row 444.</v>
      </c>
      <c r="J454" s="1166"/>
      <c r="O454" s="621">
        <f>ROW()</f>
        <v>454</v>
      </c>
    </row>
    <row r="455" spans="2:15" ht="14.1" customHeight="1">
      <c r="B455" s="214" t="s">
        <v>1885</v>
      </c>
      <c r="I455" s="250">
        <v>50</v>
      </c>
      <c r="O455" s="621">
        <f>ROW()</f>
        <v>455</v>
      </c>
    </row>
    <row r="456" spans="2:15" ht="14.1" customHeight="1">
      <c r="B456" s="4167" t="s">
        <v>747</v>
      </c>
      <c r="C456" s="4168"/>
      <c r="D456" s="4168"/>
      <c r="E456" s="4168"/>
      <c r="F456" s="4168"/>
      <c r="G456" s="4168"/>
      <c r="H456" s="4168"/>
      <c r="I456" s="4168"/>
      <c r="O456" s="621">
        <f>ROW()</f>
        <v>456</v>
      </c>
    </row>
    <row r="457" spans="2:15" ht="14.1" customHeight="1">
      <c r="B457" s="4168"/>
      <c r="C457" s="4168"/>
      <c r="D457" s="4168"/>
      <c r="E457" s="4168"/>
      <c r="F457" s="4168"/>
      <c r="G457" s="4168"/>
      <c r="H457" s="4168"/>
      <c r="I457" s="4168"/>
      <c r="O457" s="621">
        <f>ROW()</f>
        <v>457</v>
      </c>
    </row>
    <row r="458" spans="2:15" ht="14.1" customHeight="1" thickBot="1">
      <c r="B458" s="4168"/>
      <c r="C458" s="4168"/>
      <c r="D458" s="4168"/>
      <c r="E458" s="4168"/>
      <c r="F458" s="4168"/>
      <c r="G458" s="4168"/>
      <c r="H458" s="4168"/>
      <c r="I458" s="4168"/>
      <c r="O458" s="621">
        <f>ROW()</f>
        <v>458</v>
      </c>
    </row>
    <row r="459" spans="2:15" ht="14.1" customHeight="1" thickBot="1">
      <c r="B459" s="316" t="s">
        <v>1294</v>
      </c>
      <c r="K459" s="1171">
        <f ca="1">-K453*I455/1000000</f>
        <v>50.608693931959401</v>
      </c>
      <c r="L459" s="49" t="s">
        <v>2616</v>
      </c>
      <c r="O459" s="621">
        <f>ROW()</f>
        <v>459</v>
      </c>
    </row>
    <row r="460" spans="2:15" ht="14.1" customHeight="1">
      <c r="B460" s="314" t="str">
        <f>CONCATENATE("Product of Rows ",O453, " and ",O455, ", with sign reversed.")</f>
        <v>Product of Rows 453 and 455, with sign reversed.</v>
      </c>
      <c r="K460" s="1659"/>
      <c r="L460" s="49"/>
      <c r="O460" s="621">
        <f>ROW()</f>
        <v>460</v>
      </c>
    </row>
    <row r="461" spans="2:15" ht="14.1" customHeight="1">
      <c r="B461" s="316"/>
      <c r="L461" s="49"/>
      <c r="O461" s="621">
        <f>ROW()</f>
        <v>461</v>
      </c>
    </row>
    <row r="462" spans="2:15" ht="14.1" customHeight="1">
      <c r="B462" s="467" t="s">
        <v>4320</v>
      </c>
      <c r="O462" s="621">
        <f>ROW()</f>
        <v>462</v>
      </c>
    </row>
    <row r="463" spans="2:15" ht="14.1" customHeight="1">
      <c r="B463" s="269" t="s">
        <v>121</v>
      </c>
      <c r="O463" s="621">
        <f>ROW()</f>
        <v>463</v>
      </c>
    </row>
    <row r="464" spans="2:15" ht="14.1" customHeight="1" thickBot="1">
      <c r="B464" s="269"/>
      <c r="O464" s="621">
        <f>ROW()</f>
        <v>464</v>
      </c>
    </row>
    <row r="465" spans="2:15" ht="14.1" customHeight="1" thickBot="1">
      <c r="B465" s="308" t="s">
        <v>19</v>
      </c>
      <c r="J465" s="1119"/>
      <c r="K465" s="1119"/>
      <c r="L465" s="1802">
        <f>L494/$L$500</f>
        <v>0.15563428518143471</v>
      </c>
      <c r="O465" s="621">
        <f>ROW()</f>
        <v>465</v>
      </c>
    </row>
    <row r="466" spans="2:15" ht="14.1" customHeight="1">
      <c r="B466" s="309" t="str">
        <f>CONCATENATE("Row ",O494, " divided by Row ",O500, ".")</f>
        <v>Row 494 divided by Row 500.</v>
      </c>
      <c r="J466" s="1119"/>
      <c r="K466" s="1119"/>
      <c r="L466" s="1803"/>
      <c r="O466" s="621">
        <f>ROW()</f>
        <v>466</v>
      </c>
    </row>
    <row r="467" spans="2:15" ht="14.1" customHeight="1">
      <c r="B467" s="4221" t="s">
        <v>0</v>
      </c>
      <c r="C467" s="4221"/>
      <c r="D467" s="4221"/>
      <c r="E467" s="4221"/>
      <c r="F467" s="4221"/>
      <c r="G467" s="4221"/>
      <c r="H467" s="4221"/>
      <c r="I467" s="4221"/>
      <c r="J467" s="902"/>
      <c r="K467" s="902"/>
      <c r="O467" s="621">
        <f>ROW()</f>
        <v>467</v>
      </c>
    </row>
    <row r="468" spans="2:15" ht="14.1" customHeight="1">
      <c r="B468" s="4221"/>
      <c r="C468" s="4221"/>
      <c r="D468" s="4221"/>
      <c r="E468" s="4221"/>
      <c r="F468" s="4221"/>
      <c r="G468" s="4221"/>
      <c r="H468" s="4221"/>
      <c r="I468" s="4221"/>
      <c r="J468" s="902"/>
      <c r="K468" s="902"/>
      <c r="L468" s="1796">
        <v>25</v>
      </c>
      <c r="O468" s="621">
        <f>ROW()</f>
        <v>468</v>
      </c>
    </row>
    <row r="469" spans="2:15" ht="14.1" customHeight="1">
      <c r="B469" s="4149" t="s">
        <v>11</v>
      </c>
      <c r="C469" s="3786"/>
      <c r="D469" s="3786"/>
      <c r="E469" s="3786"/>
      <c r="F469" s="3786"/>
      <c r="G469" s="3786"/>
      <c r="H469" s="3786"/>
      <c r="I469" s="3786"/>
      <c r="J469" s="3786"/>
      <c r="K469" s="3786"/>
      <c r="L469" s="902"/>
      <c r="O469" s="621">
        <f>ROW()</f>
        <v>469</v>
      </c>
    </row>
    <row r="470" spans="2:15" ht="14.1" customHeight="1">
      <c r="B470" s="3786"/>
      <c r="C470" s="3786"/>
      <c r="D470" s="3786"/>
      <c r="E470" s="3786"/>
      <c r="F470" s="3786"/>
      <c r="G470" s="3786"/>
      <c r="H470" s="3786"/>
      <c r="I470" s="3786"/>
      <c r="J470" s="3786"/>
      <c r="K470" s="3786"/>
      <c r="L470" s="902"/>
      <c r="O470" s="621">
        <f>ROW()</f>
        <v>470</v>
      </c>
    </row>
    <row r="471" spans="2:15" ht="14.1" customHeight="1">
      <c r="B471" s="3786"/>
      <c r="C471" s="3786"/>
      <c r="D471" s="3786"/>
      <c r="E471" s="3786"/>
      <c r="F471" s="3786"/>
      <c r="G471" s="3786"/>
      <c r="H471" s="3786"/>
      <c r="I471" s="3786"/>
      <c r="J471" s="3786"/>
      <c r="K471" s="3786"/>
      <c r="L471" s="902"/>
      <c r="O471" s="621">
        <f>ROW()</f>
        <v>471</v>
      </c>
    </row>
    <row r="472" spans="2:15" ht="14.1" customHeight="1">
      <c r="B472" s="3786"/>
      <c r="C472" s="3786"/>
      <c r="D472" s="3786"/>
      <c r="E472" s="3786"/>
      <c r="F472" s="3786"/>
      <c r="G472" s="3786"/>
      <c r="H472" s="3786"/>
      <c r="I472" s="3786"/>
      <c r="J472" s="3786"/>
      <c r="K472" s="3786"/>
      <c r="L472" s="902"/>
      <c r="O472" s="621">
        <f>ROW()</f>
        <v>472</v>
      </c>
    </row>
    <row r="473" spans="2:15" ht="14.1" customHeight="1">
      <c r="B473" s="3786"/>
      <c r="C473" s="3786"/>
      <c r="D473" s="3786"/>
      <c r="E473" s="3786"/>
      <c r="F473" s="3786"/>
      <c r="G473" s="3786"/>
      <c r="H473" s="3786"/>
      <c r="I473" s="3786"/>
      <c r="J473" s="3786"/>
      <c r="K473" s="3786"/>
      <c r="L473" s="902"/>
      <c r="O473" s="621">
        <f>ROW()</f>
        <v>473</v>
      </c>
    </row>
    <row r="474" spans="2:15" ht="14.1" customHeight="1">
      <c r="B474" s="3786"/>
      <c r="C474" s="3786"/>
      <c r="D474" s="3786"/>
      <c r="E474" s="3786"/>
      <c r="F474" s="3786"/>
      <c r="G474" s="3786"/>
      <c r="H474" s="3786"/>
      <c r="I474" s="3786"/>
      <c r="J474" s="3786"/>
      <c r="K474" s="3786"/>
      <c r="L474" s="902"/>
      <c r="O474" s="621">
        <f>ROW()</f>
        <v>474</v>
      </c>
    </row>
    <row r="475" spans="2:15" ht="14.1" customHeight="1">
      <c r="B475" s="3786"/>
      <c r="C475" s="3786"/>
      <c r="D475" s="3786"/>
      <c r="E475" s="3786"/>
      <c r="F475" s="3786"/>
      <c r="G475" s="3786"/>
      <c r="H475" s="3786"/>
      <c r="I475" s="3786"/>
      <c r="J475" s="3786"/>
      <c r="K475" s="3786"/>
      <c r="L475" s="902"/>
      <c r="O475" s="621">
        <f>ROW()</f>
        <v>475</v>
      </c>
    </row>
    <row r="476" spans="2:15" ht="14.1" customHeight="1">
      <c r="B476" s="3786"/>
      <c r="C476" s="3786"/>
      <c r="D476" s="3786"/>
      <c r="E476" s="3786"/>
      <c r="F476" s="3786"/>
      <c r="G476" s="3786"/>
      <c r="H476" s="3786"/>
      <c r="I476" s="3786"/>
      <c r="J476" s="3786"/>
      <c r="K476" s="3786"/>
      <c r="L476" s="902"/>
      <c r="O476" s="621">
        <f>ROW()</f>
        <v>476</v>
      </c>
    </row>
    <row r="477" spans="2:15" ht="14.1" customHeight="1">
      <c r="B477" s="309" t="s">
        <v>12</v>
      </c>
      <c r="C477" s="309"/>
      <c r="D477" s="309"/>
      <c r="E477" s="309"/>
      <c r="F477" s="309"/>
      <c r="G477" s="309"/>
      <c r="H477" s="309"/>
      <c r="I477" s="309"/>
      <c r="J477" s="309"/>
      <c r="K477" s="309"/>
      <c r="L477" s="902"/>
      <c r="O477" s="621">
        <f>ROW()</f>
        <v>477</v>
      </c>
    </row>
    <row r="478" spans="2:15" ht="14.1" customHeight="1">
      <c r="B478" s="4149" t="s">
        <v>1</v>
      </c>
      <c r="C478" s="4149"/>
      <c r="D478" s="4149"/>
      <c r="E478" s="4149"/>
      <c r="F478" s="4149"/>
      <c r="G478" s="4149"/>
      <c r="H478" s="4149"/>
      <c r="I478" s="4149"/>
      <c r="J478" s="4149"/>
      <c r="K478" s="4149"/>
      <c r="L478" s="902"/>
      <c r="O478" s="621">
        <f>ROW()</f>
        <v>478</v>
      </c>
    </row>
    <row r="479" spans="2:15" ht="14.1" customHeight="1">
      <c r="B479" s="4149"/>
      <c r="C479" s="4149"/>
      <c r="D479" s="4149"/>
      <c r="E479" s="4149"/>
      <c r="F479" s="4149"/>
      <c r="G479" s="4149"/>
      <c r="H479" s="4149"/>
      <c r="I479" s="4149"/>
      <c r="J479" s="4149"/>
      <c r="K479" s="4149"/>
      <c r="L479" s="902"/>
      <c r="O479" s="621">
        <f>ROW()</f>
        <v>479</v>
      </c>
    </row>
    <row r="480" spans="2:15" ht="14.1" customHeight="1">
      <c r="B480" s="4149"/>
      <c r="C480" s="4149"/>
      <c r="D480" s="4149"/>
      <c r="E480" s="4149"/>
      <c r="F480" s="4149"/>
      <c r="G480" s="4149"/>
      <c r="H480" s="4149"/>
      <c r="I480" s="4149"/>
      <c r="J480" s="4149"/>
      <c r="K480" s="4149"/>
      <c r="L480" s="902"/>
      <c r="O480" s="621">
        <f>ROW()</f>
        <v>480</v>
      </c>
    </row>
    <row r="481" spans="2:15" ht="14.1" customHeight="1">
      <c r="B481" s="4149"/>
      <c r="C481" s="4149"/>
      <c r="D481" s="4149"/>
      <c r="E481" s="4149"/>
      <c r="F481" s="4149"/>
      <c r="G481" s="4149"/>
      <c r="H481" s="4149"/>
      <c r="I481" s="4149"/>
      <c r="J481" s="4149"/>
      <c r="K481" s="4149"/>
      <c r="L481" s="902"/>
      <c r="O481" s="621">
        <f>ROW()</f>
        <v>481</v>
      </c>
    </row>
    <row r="482" spans="2:15" ht="14.1" customHeight="1">
      <c r="B482" s="4149"/>
      <c r="C482" s="4149"/>
      <c r="D482" s="4149"/>
      <c r="E482" s="4149"/>
      <c r="F482" s="4149"/>
      <c r="G482" s="4149"/>
      <c r="H482" s="4149"/>
      <c r="I482" s="4149"/>
      <c r="J482" s="4149"/>
      <c r="K482" s="4149"/>
      <c r="L482" s="902"/>
      <c r="O482" s="621">
        <f>ROW()</f>
        <v>482</v>
      </c>
    </row>
    <row r="483" spans="2:15" ht="14.1" customHeight="1">
      <c r="B483" s="4149"/>
      <c r="C483" s="4149"/>
      <c r="D483" s="4149"/>
      <c r="E483" s="4149"/>
      <c r="F483" s="4149"/>
      <c r="G483" s="4149"/>
      <c r="H483" s="4149"/>
      <c r="I483" s="4149"/>
      <c r="J483" s="4149"/>
      <c r="K483" s="4149"/>
      <c r="L483" s="902"/>
      <c r="O483" s="621">
        <f>ROW()</f>
        <v>483</v>
      </c>
    </row>
    <row r="484" spans="2:15" ht="14.1" customHeight="1">
      <c r="B484" s="4149"/>
      <c r="C484" s="4149"/>
      <c r="D484" s="4149"/>
      <c r="E484" s="4149"/>
      <c r="F484" s="4149"/>
      <c r="G484" s="4149"/>
      <c r="H484" s="4149"/>
      <c r="I484" s="4149"/>
      <c r="J484" s="4149"/>
      <c r="K484" s="4149"/>
      <c r="L484" s="902"/>
      <c r="O484" s="621">
        <f>ROW()</f>
        <v>484</v>
      </c>
    </row>
    <row r="485" spans="2:15" ht="14.1" customHeight="1">
      <c r="B485" s="4149"/>
      <c r="C485" s="4149"/>
      <c r="D485" s="4149"/>
      <c r="E485" s="4149"/>
      <c r="F485" s="4149"/>
      <c r="G485" s="4149"/>
      <c r="H485" s="4149"/>
      <c r="I485" s="4149"/>
      <c r="J485" s="4149"/>
      <c r="K485" s="4149"/>
      <c r="L485" s="902"/>
      <c r="O485" s="621">
        <f>ROW()</f>
        <v>485</v>
      </c>
    </row>
    <row r="486" spans="2:15" ht="14.1" customHeight="1">
      <c r="B486" s="4149"/>
      <c r="C486" s="4149"/>
      <c r="D486" s="4149"/>
      <c r="E486" s="4149"/>
      <c r="F486" s="4149"/>
      <c r="G486" s="4149"/>
      <c r="H486" s="4149"/>
      <c r="I486" s="4149"/>
      <c r="J486" s="4149"/>
      <c r="K486" s="4149"/>
      <c r="O486" s="621">
        <f>ROW()</f>
        <v>486</v>
      </c>
    </row>
    <row r="487" spans="2:15" ht="14.1" customHeight="1">
      <c r="B487" s="3785" t="s">
        <v>2937</v>
      </c>
      <c r="C487" s="3786"/>
      <c r="D487" s="3786"/>
      <c r="E487" s="3786"/>
      <c r="F487" s="3786"/>
      <c r="G487" s="3786"/>
      <c r="H487" s="3786"/>
      <c r="I487" s="3786"/>
      <c r="J487" s="3786"/>
      <c r="K487" s="3786"/>
      <c r="O487" s="621">
        <f>ROW()</f>
        <v>487</v>
      </c>
    </row>
    <row r="488" spans="2:15" ht="14.1" customHeight="1">
      <c r="B488" s="3786"/>
      <c r="C488" s="3786"/>
      <c r="D488" s="3786"/>
      <c r="E488" s="3786"/>
      <c r="F488" s="3786"/>
      <c r="G488" s="3786"/>
      <c r="H488" s="3786"/>
      <c r="I488" s="3786"/>
      <c r="J488" s="3786"/>
      <c r="K488" s="3786"/>
      <c r="O488" s="621">
        <f>ROW()</f>
        <v>488</v>
      </c>
    </row>
    <row r="489" spans="2:15" ht="14.1" customHeight="1">
      <c r="B489" s="3786"/>
      <c r="C489" s="3786"/>
      <c r="D489" s="3786"/>
      <c r="E489" s="3786"/>
      <c r="F489" s="3786"/>
      <c r="G489" s="3786"/>
      <c r="H489" s="3786"/>
      <c r="I489" s="3786"/>
      <c r="J489" s="3786"/>
      <c r="K489" s="3786"/>
      <c r="O489" s="621">
        <f>ROW()</f>
        <v>489</v>
      </c>
    </row>
    <row r="490" spans="2:15" ht="14.1" customHeight="1">
      <c r="B490" s="3786"/>
      <c r="C490" s="3786"/>
      <c r="D490" s="3786"/>
      <c r="E490" s="3786"/>
      <c r="F490" s="3786"/>
      <c r="G490" s="3786"/>
      <c r="H490" s="3786"/>
      <c r="I490" s="3786"/>
      <c r="J490" s="3786"/>
      <c r="K490" s="3786"/>
      <c r="O490" s="621">
        <f>ROW()</f>
        <v>490</v>
      </c>
    </row>
    <row r="491" spans="2:15" ht="14.1" customHeight="1">
      <c r="B491" s="3786"/>
      <c r="C491" s="3786"/>
      <c r="D491" s="3786"/>
      <c r="E491" s="3786"/>
      <c r="F491" s="3786"/>
      <c r="G491" s="3786"/>
      <c r="H491" s="3786"/>
      <c r="I491" s="3786"/>
      <c r="J491" s="3786"/>
      <c r="K491" s="3786"/>
      <c r="O491" s="621">
        <f>ROW()</f>
        <v>491</v>
      </c>
    </row>
    <row r="492" spans="2:15" ht="14.1" customHeight="1">
      <c r="B492" s="482" t="s">
        <v>2</v>
      </c>
      <c r="K492" s="1793"/>
      <c r="L492" s="117">
        <f>215.3/188.9</f>
        <v>1.1397564849126522</v>
      </c>
      <c r="O492" s="621">
        <f>ROW()</f>
        <v>492</v>
      </c>
    </row>
    <row r="493" spans="2:15" ht="14.1" customHeight="1">
      <c r="B493" s="215" t="s">
        <v>3</v>
      </c>
      <c r="K493" s="1793"/>
      <c r="O493" s="621">
        <f>ROW()</f>
        <v>493</v>
      </c>
    </row>
    <row r="494" spans="2:15" ht="14.1" customHeight="1">
      <c r="B494" s="482" t="s">
        <v>4</v>
      </c>
      <c r="C494" s="1793"/>
      <c r="D494" s="1793"/>
      <c r="E494" s="1793"/>
      <c r="F494" s="1793"/>
      <c r="G494" s="1793"/>
      <c r="H494" s="1793"/>
      <c r="I494" s="1793"/>
      <c r="J494" s="1793"/>
      <c r="K494" s="1793"/>
      <c r="L494" s="716">
        <f>L468*L492</f>
        <v>28.493912122816305</v>
      </c>
      <c r="O494" s="621">
        <f>ROW()</f>
        <v>494</v>
      </c>
    </row>
    <row r="495" spans="2:15" ht="14.1" customHeight="1">
      <c r="B495" s="482" t="s">
        <v>5</v>
      </c>
      <c r="C495" s="1793"/>
      <c r="D495" s="1793"/>
      <c r="E495" s="1793"/>
      <c r="F495" s="1793"/>
      <c r="G495" s="1793"/>
      <c r="H495" s="1793"/>
      <c r="I495" s="1793"/>
      <c r="J495" s="1793"/>
      <c r="K495" s="1793"/>
      <c r="L495" s="1798">
        <f>AVERAGE(9290,8989,8986)*Constants!J17*Constants!J21/1000000</f>
        <v>139.4195775</v>
      </c>
      <c r="O495" s="621">
        <f>ROW()</f>
        <v>495</v>
      </c>
    </row>
    <row r="496" spans="2:15" ht="14.1" customHeight="1">
      <c r="B496" s="215" t="s">
        <v>6</v>
      </c>
      <c r="C496" s="1793"/>
      <c r="D496" s="1793"/>
      <c r="E496" s="1793"/>
      <c r="F496" s="1793"/>
      <c r="G496" s="1793"/>
      <c r="H496" s="1793"/>
      <c r="I496" s="1793"/>
      <c r="J496" s="1793"/>
      <c r="K496" s="1793"/>
      <c r="L496" s="1797"/>
      <c r="O496" s="621">
        <f>ROW()</f>
        <v>496</v>
      </c>
    </row>
    <row r="497" spans="2:15" ht="14.1" customHeight="1">
      <c r="B497" s="482" t="s">
        <v>7</v>
      </c>
      <c r="C497" s="1793"/>
      <c r="D497" s="1793"/>
      <c r="E497" s="1793"/>
      <c r="F497" s="1793"/>
      <c r="G497" s="1793"/>
      <c r="H497" s="1793"/>
      <c r="I497" s="1793"/>
      <c r="J497" s="1793"/>
      <c r="K497" s="1793"/>
      <c r="L497" s="1798">
        <f>K499*L495</f>
        <v>43.66291033099936</v>
      </c>
      <c r="O497" s="621">
        <f>ROW()</f>
        <v>497</v>
      </c>
    </row>
    <row r="498" spans="2:15" ht="14.1" customHeight="1">
      <c r="B498" s="4218" t="s">
        <v>9</v>
      </c>
      <c r="C498" s="4218"/>
      <c r="D498" s="4218"/>
      <c r="E498" s="4218"/>
      <c r="F498" s="4218"/>
      <c r="G498" s="4218"/>
      <c r="H498" s="4218"/>
      <c r="I498" s="4218"/>
      <c r="J498" s="215"/>
      <c r="K498" s="1793"/>
      <c r="O498" s="621">
        <f>ROW()</f>
        <v>498</v>
      </c>
    </row>
    <row r="499" spans="2:15" ht="14.1" customHeight="1">
      <c r="B499" s="4218"/>
      <c r="C499" s="4218"/>
      <c r="D499" s="4218"/>
      <c r="E499" s="4218"/>
      <c r="F499" s="4218"/>
      <c r="G499" s="4218"/>
      <c r="H499" s="4218"/>
      <c r="I499" s="4218"/>
      <c r="J499" s="1799" t="s">
        <v>10</v>
      </c>
      <c r="K499" s="1800">
        <f>2460000/7855000</f>
        <v>0.31317632081476765</v>
      </c>
      <c r="O499" s="621">
        <f>ROW()</f>
        <v>499</v>
      </c>
    </row>
    <row r="500" spans="2:15" ht="14.1" customHeight="1">
      <c r="B500" s="482" t="s">
        <v>8</v>
      </c>
      <c r="C500" s="902"/>
      <c r="D500" s="902"/>
      <c r="E500" s="902"/>
      <c r="F500" s="902"/>
      <c r="G500" s="902"/>
      <c r="H500" s="902"/>
      <c r="I500" s="902"/>
      <c r="J500" s="902"/>
      <c r="K500" s="902"/>
      <c r="L500" s="1798">
        <f>L495+L497</f>
        <v>183.08248783099936</v>
      </c>
      <c r="O500" s="621">
        <f>ROW()</f>
        <v>500</v>
      </c>
    </row>
    <row r="501" spans="2:15" ht="14.1" customHeight="1" thickBot="1">
      <c r="B501" s="482"/>
      <c r="C501" s="902"/>
      <c r="D501" s="902"/>
      <c r="E501" s="902"/>
      <c r="F501" s="902"/>
      <c r="G501" s="902"/>
      <c r="H501" s="902"/>
      <c r="I501" s="902"/>
      <c r="J501" s="902"/>
      <c r="K501" s="902"/>
      <c r="L501" s="1798"/>
      <c r="O501" s="621">
        <f>ROW()</f>
        <v>501</v>
      </c>
    </row>
    <row r="502" spans="2:15" ht="14.1" customHeight="1" thickBot="1">
      <c r="B502" s="308" t="s">
        <v>20</v>
      </c>
      <c r="C502" s="902"/>
      <c r="D502" s="902"/>
      <c r="E502" s="902"/>
      <c r="F502" s="902"/>
      <c r="G502" s="902"/>
      <c r="H502" s="902"/>
      <c r="I502" s="902"/>
      <c r="J502" s="902"/>
      <c r="K502" s="902"/>
      <c r="L502" s="1802">
        <f>L507/$L$500</f>
        <v>5.1804962944093425E-2</v>
      </c>
      <c r="O502" s="621">
        <f>ROW()</f>
        <v>502</v>
      </c>
    </row>
    <row r="503" spans="2:15" ht="14.1" customHeight="1">
      <c r="B503" s="1804" t="s">
        <v>2934</v>
      </c>
      <c r="C503" s="902"/>
      <c r="D503" s="902"/>
      <c r="E503" s="902"/>
      <c r="F503" s="902"/>
      <c r="G503" s="902"/>
      <c r="H503" s="902"/>
      <c r="I503" s="902"/>
      <c r="J503" s="112" t="s">
        <v>2935</v>
      </c>
      <c r="K503" s="1801" t="s">
        <v>13</v>
      </c>
      <c r="L503" s="112" t="s">
        <v>2936</v>
      </c>
      <c r="O503" s="621">
        <f>ROW()</f>
        <v>503</v>
      </c>
    </row>
    <row r="504" spans="2:15" ht="14.1" customHeight="1">
      <c r="B504" s="482" t="s">
        <v>14</v>
      </c>
      <c r="C504" s="902"/>
      <c r="D504" s="902"/>
      <c r="E504" s="902"/>
      <c r="F504" s="902"/>
      <c r="G504" s="902"/>
      <c r="H504" s="902"/>
      <c r="I504" s="902"/>
      <c r="J504" s="1795">
        <v>0.5</v>
      </c>
      <c r="K504" s="1086">
        <f>215.3/136.2</f>
        <v>1.5807635829662263</v>
      </c>
      <c r="L504" s="1795">
        <f>J504*K504</f>
        <v>0.79038179148311316</v>
      </c>
      <c r="O504" s="621">
        <f>ROW()</f>
        <v>504</v>
      </c>
    </row>
    <row r="505" spans="2:15" ht="14.1" customHeight="1">
      <c r="B505" s="482" t="s">
        <v>15</v>
      </c>
      <c r="C505" s="902"/>
      <c r="D505" s="902"/>
      <c r="E505" s="902"/>
      <c r="F505" s="902"/>
      <c r="G505" s="902"/>
      <c r="H505" s="902"/>
      <c r="I505" s="902"/>
      <c r="J505" s="1795">
        <v>0.5</v>
      </c>
      <c r="K505" s="1086">
        <f>215.3/136.2</f>
        <v>1.5807635829662263</v>
      </c>
      <c r="L505" s="1795">
        <f>J505*K505</f>
        <v>0.79038179148311316</v>
      </c>
      <c r="O505" s="621">
        <f>ROW()</f>
        <v>505</v>
      </c>
    </row>
    <row r="506" spans="2:15" ht="14.1" customHeight="1">
      <c r="B506" s="482" t="s">
        <v>16</v>
      </c>
      <c r="C506" s="902"/>
      <c r="D506" s="902"/>
      <c r="E506" s="902"/>
      <c r="F506" s="902"/>
      <c r="G506" s="902"/>
      <c r="H506" s="902"/>
      <c r="I506" s="902"/>
      <c r="J506" s="1795">
        <f>0.5*10</f>
        <v>5</v>
      </c>
      <c r="K506" s="1086">
        <f>215.3/136.2</f>
        <v>1.5807635829662263</v>
      </c>
      <c r="L506" s="1795">
        <f>J506*K506</f>
        <v>7.9038179148311318</v>
      </c>
      <c r="O506" s="621">
        <f>ROW()</f>
        <v>506</v>
      </c>
    </row>
    <row r="507" spans="2:15" ht="14.1" customHeight="1">
      <c r="B507" s="482" t="s">
        <v>2813</v>
      </c>
      <c r="C507" s="902"/>
      <c r="D507" s="902"/>
      <c r="E507" s="902"/>
      <c r="F507" s="902"/>
      <c r="G507" s="902"/>
      <c r="H507" s="902"/>
      <c r="I507" s="902"/>
      <c r="J507" s="1795">
        <f>SUM(J504:J506)</f>
        <v>6</v>
      </c>
      <c r="K507" s="902"/>
      <c r="L507" s="1795">
        <f>SUM(L504:L506)</f>
        <v>9.4845814977973575</v>
      </c>
      <c r="O507" s="621">
        <f>ROW()</f>
        <v>507</v>
      </c>
    </row>
    <row r="508" spans="2:15" ht="14.1" customHeight="1">
      <c r="B508" s="3785" t="s">
        <v>17</v>
      </c>
      <c r="C508" s="3786"/>
      <c r="D508" s="3786"/>
      <c r="E508" s="3786"/>
      <c r="F508" s="3786"/>
      <c r="G508" s="3786"/>
      <c r="H508" s="3786"/>
      <c r="I508" s="3786"/>
      <c r="J508" s="3786"/>
      <c r="K508" s="3786"/>
      <c r="L508" s="1798"/>
      <c r="O508" s="621">
        <f>ROW()</f>
        <v>508</v>
      </c>
    </row>
    <row r="509" spans="2:15" ht="14.1" customHeight="1">
      <c r="B509" s="3786"/>
      <c r="C509" s="3786"/>
      <c r="D509" s="3786"/>
      <c r="E509" s="3786"/>
      <c r="F509" s="3786"/>
      <c r="G509" s="3786"/>
      <c r="H509" s="3786"/>
      <c r="I509" s="3786"/>
      <c r="J509" s="3786"/>
      <c r="K509" s="3786"/>
      <c r="L509" s="902"/>
      <c r="O509" s="621">
        <f>ROW()</f>
        <v>509</v>
      </c>
    </row>
    <row r="510" spans="2:15" ht="14.1" customHeight="1">
      <c r="B510" s="3786"/>
      <c r="C510" s="3786"/>
      <c r="D510" s="3786"/>
      <c r="E510" s="3786"/>
      <c r="F510" s="3786"/>
      <c r="G510" s="3786"/>
      <c r="H510" s="3786"/>
      <c r="I510" s="3786"/>
      <c r="J510" s="3786"/>
      <c r="K510" s="3786"/>
      <c r="L510" s="902"/>
      <c r="O510" s="621">
        <f>ROW()</f>
        <v>510</v>
      </c>
    </row>
    <row r="511" spans="2:15" ht="14.1" customHeight="1">
      <c r="B511" s="3786"/>
      <c r="C511" s="3786"/>
      <c r="D511" s="3786"/>
      <c r="E511" s="3786"/>
      <c r="F511" s="3786"/>
      <c r="G511" s="3786"/>
      <c r="H511" s="3786"/>
      <c r="I511" s="3786"/>
      <c r="J511" s="3786"/>
      <c r="K511" s="3786"/>
      <c r="O511" s="621">
        <f>ROW()</f>
        <v>511</v>
      </c>
    </row>
    <row r="512" spans="2:15" ht="14.1" customHeight="1">
      <c r="B512" s="4149" t="s">
        <v>2933</v>
      </c>
      <c r="C512" s="3785"/>
      <c r="D512" s="3785"/>
      <c r="E512" s="3785"/>
      <c r="F512" s="3785"/>
      <c r="G512" s="3785"/>
      <c r="H512" s="3785"/>
      <c r="I512" s="3785"/>
      <c r="J512" s="3785"/>
      <c r="K512" s="3785"/>
      <c r="O512" s="621">
        <f>ROW()</f>
        <v>512</v>
      </c>
    </row>
    <row r="513" spans="2:15" ht="14.1" customHeight="1">
      <c r="B513" s="3785"/>
      <c r="C513" s="3785"/>
      <c r="D513" s="3785"/>
      <c r="E513" s="3785"/>
      <c r="F513" s="3785"/>
      <c r="G513" s="3785"/>
      <c r="H513" s="3785"/>
      <c r="I513" s="3785"/>
      <c r="J513" s="3785"/>
      <c r="K513" s="3785"/>
      <c r="O513" s="621">
        <f>ROW()</f>
        <v>513</v>
      </c>
    </row>
    <row r="514" spans="2:15" ht="14.1" customHeight="1">
      <c r="B514" s="3785"/>
      <c r="C514" s="3785"/>
      <c r="D514" s="3785"/>
      <c r="E514" s="3785"/>
      <c r="F514" s="3785"/>
      <c r="G514" s="3785"/>
      <c r="H514" s="3785"/>
      <c r="I514" s="3785"/>
      <c r="J514" s="3785"/>
      <c r="K514" s="3785"/>
      <c r="O514" s="621">
        <f>ROW()</f>
        <v>514</v>
      </c>
    </row>
    <row r="515" spans="2:15" ht="14.1" customHeight="1">
      <c r="B515" s="3785"/>
      <c r="C515" s="3785"/>
      <c r="D515" s="3785"/>
      <c r="E515" s="3785"/>
      <c r="F515" s="3785"/>
      <c r="G515" s="3785"/>
      <c r="H515" s="3785"/>
      <c r="I515" s="3785"/>
      <c r="J515" s="3785"/>
      <c r="K515" s="3785"/>
      <c r="O515" s="621">
        <f>ROW()</f>
        <v>515</v>
      </c>
    </row>
    <row r="516" spans="2:15" ht="14.1" customHeight="1">
      <c r="B516" s="3785"/>
      <c r="C516" s="3785"/>
      <c r="D516" s="3785"/>
      <c r="E516" s="3785"/>
      <c r="F516" s="3785"/>
      <c r="G516" s="3785"/>
      <c r="H516" s="3785"/>
      <c r="I516" s="3785"/>
      <c r="J516" s="3785"/>
      <c r="K516" s="3785"/>
      <c r="O516" s="621">
        <f>ROW()</f>
        <v>516</v>
      </c>
    </row>
    <row r="517" spans="2:15" ht="14.1" customHeight="1">
      <c r="B517" s="3785"/>
      <c r="C517" s="3785"/>
      <c r="D517" s="3785"/>
      <c r="E517" s="3785"/>
      <c r="F517" s="3785"/>
      <c r="G517" s="3785"/>
      <c r="H517" s="3785"/>
      <c r="I517" s="3785"/>
      <c r="J517" s="3785"/>
      <c r="K517" s="3785"/>
      <c r="O517" s="621">
        <f>ROW()</f>
        <v>517</v>
      </c>
    </row>
    <row r="518" spans="2:15" ht="14.1" customHeight="1">
      <c r="B518" s="1388"/>
      <c r="C518" s="1388"/>
      <c r="D518" s="1388"/>
      <c r="E518" s="1388"/>
      <c r="F518" s="1388"/>
      <c r="G518" s="1388"/>
      <c r="H518" s="1388"/>
      <c r="I518" s="1388"/>
      <c r="J518" s="1388"/>
      <c r="K518" s="1388"/>
      <c r="L518" s="1794"/>
      <c r="O518" s="621">
        <f>ROW()</f>
        <v>518</v>
      </c>
    </row>
    <row r="519" spans="2:15" ht="14.1" customHeight="1">
      <c r="B519" s="308" t="s">
        <v>21</v>
      </c>
      <c r="J519" s="8" t="s">
        <v>2790</v>
      </c>
      <c r="K519" s="8" t="s">
        <v>2791</v>
      </c>
      <c r="L519" s="8" t="s">
        <v>2796</v>
      </c>
      <c r="O519" s="621">
        <f>ROW()</f>
        <v>519</v>
      </c>
    </row>
    <row r="520" spans="2:15" ht="14.1" customHeight="1">
      <c r="B520" s="312" t="s">
        <v>3633</v>
      </c>
      <c r="J520" s="575">
        <f ca="1">Emissions!Z332</f>
        <v>-744211.94825368887</v>
      </c>
      <c r="K520" s="575">
        <f ca="1">Emissions!AB332</f>
        <v>-159890.42309636486</v>
      </c>
      <c r="L520" s="575">
        <f ca="1">J520+K520</f>
        <v>-904102.3713500537</v>
      </c>
      <c r="O520" s="621">
        <f>ROW()</f>
        <v>520</v>
      </c>
    </row>
    <row r="521" spans="2:15" ht="14.1" customHeight="1">
      <c r="B521" s="309" t="str">
        <f>CONCATENATE("from 'Emissions' worksheet, Row ",Emissions!AG332,".")</f>
        <v>from 'Emissions' worksheet, Row 332.</v>
      </c>
      <c r="O521" s="621">
        <f>ROW()</f>
        <v>521</v>
      </c>
    </row>
    <row r="522" spans="2:15" ht="14.1" customHeight="1">
      <c r="B522" s="316" t="s">
        <v>3630</v>
      </c>
      <c r="J522" s="2180">
        <f ca="1">K448</f>
        <v>1.1452160336080659</v>
      </c>
      <c r="O522" s="621">
        <f>ROW()</f>
        <v>522</v>
      </c>
    </row>
    <row r="523" spans="2:15" ht="14.1" customHeight="1">
      <c r="B523" s="314" t="str">
        <f>CONCATENATE("From Row ",O448, ". Is needed to capture reduced auto use from transit 'attraction'. Note that we apply it only to gasoline, based on its rough 1-1 correspondence to passenger veh's.")</f>
        <v>From Row 448. Is needed to capture reduced auto use from transit 'attraction'. Note that we apply it only to gasoline, based on its rough 1-1 correspondence to passenger veh's.</v>
      </c>
      <c r="J523" s="1166"/>
      <c r="O523" s="621">
        <f>ROW()</f>
        <v>523</v>
      </c>
    </row>
    <row r="524" spans="2:15" ht="14.1" customHeight="1">
      <c r="B524" s="312" t="s">
        <v>3634</v>
      </c>
      <c r="J524" s="1119">
        <f ca="1">J520*1000*J522</f>
        <v>-852283455.54282069</v>
      </c>
      <c r="K524" s="1119">
        <f ca="1">K520*1000</f>
        <v>-159890423.09636486</v>
      </c>
      <c r="L524" s="1119">
        <f ca="1">J524+K524</f>
        <v>-1012173878.6391855</v>
      </c>
      <c r="O524" s="621">
        <f>ROW()</f>
        <v>524</v>
      </c>
    </row>
    <row r="525" spans="2:15" ht="14.1" customHeight="1">
      <c r="B525" s="281" t="s">
        <v>2873</v>
      </c>
      <c r="J525">
        <v>19.63</v>
      </c>
      <c r="K525">
        <v>22.37</v>
      </c>
      <c r="O525" s="621">
        <f>ROW()</f>
        <v>525</v>
      </c>
    </row>
    <row r="526" spans="2:15" ht="14.1" customHeight="1">
      <c r="B526" s="309" t="s">
        <v>2795</v>
      </c>
      <c r="O526" s="621">
        <f>ROW()</f>
        <v>526</v>
      </c>
    </row>
    <row r="527" spans="2:15" ht="14.1" customHeight="1">
      <c r="B527" s="281" t="s">
        <v>2874</v>
      </c>
      <c r="J527" s="575">
        <f>J525*Constants!$J$14</f>
        <v>8904.1679999999997</v>
      </c>
      <c r="K527" s="575">
        <f>K525*Constants!$J$14</f>
        <v>10147.032000000001</v>
      </c>
      <c r="O527" s="621">
        <f>ROW()</f>
        <v>527</v>
      </c>
    </row>
    <row r="528" spans="2:15" ht="14.1" customHeight="1">
      <c r="B528" s="281" t="s">
        <v>2872</v>
      </c>
      <c r="J528" s="117">
        <f>J527/1000</f>
        <v>8.9041680000000003</v>
      </c>
      <c r="K528" s="117">
        <f>K527/1000</f>
        <v>10.147032000000001</v>
      </c>
      <c r="O528" s="621">
        <f>ROW()</f>
        <v>528</v>
      </c>
    </row>
    <row r="529" spans="2:15" ht="14.1" customHeight="1">
      <c r="B529" s="281" t="s">
        <v>122</v>
      </c>
      <c r="J529" s="1166">
        <f ca="1">ROUND(J524/J528, -3)</f>
        <v>-95717000</v>
      </c>
      <c r="K529" s="1166">
        <f ca="1">ROUND(K524/K528, -3)</f>
        <v>-15757000</v>
      </c>
      <c r="L529" s="2181">
        <f ca="1">J529+K529</f>
        <v>-111474000</v>
      </c>
      <c r="O529" s="621">
        <f>ROW()</f>
        <v>529</v>
      </c>
    </row>
    <row r="530" spans="2:15" ht="14.1" customHeight="1">
      <c r="B530" s="309" t="str">
        <f>CONCATENATE("Row ",O524, " divided by Row ",O528, ".")</f>
        <v>Row 524 divided by Row 528.</v>
      </c>
      <c r="J530" s="1119"/>
      <c r="K530" s="1119"/>
      <c r="L530" s="1119"/>
      <c r="O530" s="621">
        <f>ROW()</f>
        <v>530</v>
      </c>
    </row>
    <row r="531" spans="2:15" ht="14.1" customHeight="1">
      <c r="B531" s="309"/>
      <c r="J531" s="1119"/>
      <c r="K531" s="1119"/>
      <c r="L531" s="1119"/>
      <c r="O531" s="621">
        <f>ROW()</f>
        <v>531</v>
      </c>
    </row>
    <row r="532" spans="2:15" ht="14.1" customHeight="1">
      <c r="B532" s="308" t="s">
        <v>18</v>
      </c>
      <c r="J532" s="1119"/>
      <c r="K532" s="1119"/>
      <c r="L532" s="1119"/>
      <c r="O532" s="621">
        <f>ROW()</f>
        <v>532</v>
      </c>
    </row>
    <row r="533" spans="2:15" ht="14.1" customHeight="1">
      <c r="B533" s="281" t="s">
        <v>2799</v>
      </c>
      <c r="O533" s="621">
        <f>ROW()</f>
        <v>533</v>
      </c>
    </row>
    <row r="534" spans="2:15" ht="14.1" customHeight="1">
      <c r="B534" s="214" t="s">
        <v>2797</v>
      </c>
      <c r="L534" s="1790">
        <f ca="1">-$L$465*$L$529/1000000</f>
        <v>17.349176306315254</v>
      </c>
      <c r="O534" s="621">
        <f>ROW()</f>
        <v>534</v>
      </c>
    </row>
    <row r="535" spans="2:15" ht="14.1" customHeight="1">
      <c r="B535" s="214" t="s">
        <v>2798</v>
      </c>
      <c r="L535" s="1790">
        <f ca="1">-$L$502*$L$529/1000000</f>
        <v>5.7749064392298699</v>
      </c>
      <c r="O535" s="621">
        <f>ROW()</f>
        <v>535</v>
      </c>
    </row>
    <row r="536" spans="2:15" ht="14.1" customHeight="1">
      <c r="B536" s="214" t="s">
        <v>2800</v>
      </c>
      <c r="L536" s="1791">
        <f ca="1">SUM(L534:L535)</f>
        <v>23.124082745545124</v>
      </c>
      <c r="O536" s="621">
        <f>ROW()</f>
        <v>536</v>
      </c>
    </row>
    <row r="537" spans="2:15" ht="14.1" customHeight="1">
      <c r="B537" s="316"/>
      <c r="L537" s="49"/>
      <c r="O537" s="621">
        <f>ROW()</f>
        <v>537</v>
      </c>
    </row>
    <row r="538" spans="2:15" ht="14.1" customHeight="1">
      <c r="B538" s="316"/>
      <c r="I538" s="8" t="s">
        <v>2771</v>
      </c>
      <c r="J538" s="8" t="s">
        <v>2772</v>
      </c>
      <c r="K538" s="8" t="s">
        <v>1130</v>
      </c>
      <c r="L538" s="49"/>
      <c r="O538" s="621">
        <f>ROW()</f>
        <v>538</v>
      </c>
    </row>
    <row r="539" spans="2:15" ht="14.1" customHeight="1">
      <c r="B539" s="467" t="s">
        <v>4321</v>
      </c>
      <c r="L539" s="49"/>
      <c r="O539" s="621">
        <f>ROW()</f>
        <v>539</v>
      </c>
    </row>
    <row r="540" spans="2:15" ht="14.1" customHeight="1">
      <c r="B540" s="269" t="s">
        <v>2775</v>
      </c>
      <c r="L540" s="49"/>
      <c r="O540" s="621">
        <f>ROW()</f>
        <v>540</v>
      </c>
    </row>
    <row r="541" spans="2:15" ht="14.1" customHeight="1">
      <c r="B541" s="4162" t="s">
        <v>2521</v>
      </c>
      <c r="C541" s="3786"/>
      <c r="D541" s="3786"/>
      <c r="E541" s="3786"/>
      <c r="F541" s="3786"/>
      <c r="G541" s="3786"/>
      <c r="H541" s="3786"/>
      <c r="I541" s="3786"/>
      <c r="J541" s="3786"/>
      <c r="K541" s="4150" t="s">
        <v>3635</v>
      </c>
      <c r="L541" s="4151"/>
      <c r="M541" s="4151"/>
      <c r="N541" s="4152"/>
      <c r="O541" s="621">
        <f>ROW()</f>
        <v>541</v>
      </c>
    </row>
    <row r="542" spans="2:15" ht="14.1" customHeight="1">
      <c r="B542" s="3786"/>
      <c r="C542" s="3786"/>
      <c r="D542" s="3786"/>
      <c r="E542" s="3786"/>
      <c r="F542" s="3786"/>
      <c r="G542" s="3786"/>
      <c r="H542" s="3786"/>
      <c r="I542" s="3786"/>
      <c r="J542" s="3786"/>
      <c r="K542" s="4153"/>
      <c r="L542" s="3810"/>
      <c r="M542" s="3810"/>
      <c r="N542" s="4154"/>
      <c r="O542" s="621">
        <f>ROW()</f>
        <v>542</v>
      </c>
    </row>
    <row r="543" spans="2:15" ht="14.1" customHeight="1">
      <c r="B543" s="3786"/>
      <c r="C543" s="3786"/>
      <c r="D543" s="3786"/>
      <c r="E543" s="3786"/>
      <c r="F543" s="3786"/>
      <c r="G543" s="3786"/>
      <c r="H543" s="3786"/>
      <c r="I543" s="3786"/>
      <c r="J543" s="3786"/>
      <c r="K543" s="4153"/>
      <c r="L543" s="3810"/>
      <c r="M543" s="3810"/>
      <c r="N543" s="4154"/>
      <c r="O543" s="621">
        <f>ROW()</f>
        <v>543</v>
      </c>
    </row>
    <row r="544" spans="2:15" ht="14.1" customHeight="1">
      <c r="B544" s="3786"/>
      <c r="C544" s="3786"/>
      <c r="D544" s="3786"/>
      <c r="E544" s="3786"/>
      <c r="F544" s="3786"/>
      <c r="G544" s="3786"/>
      <c r="H544" s="3786"/>
      <c r="I544" s="3786"/>
      <c r="J544" s="3786"/>
      <c r="K544" s="4153"/>
      <c r="L544" s="3810"/>
      <c r="M544" s="3810"/>
      <c r="N544" s="4154"/>
      <c r="O544" s="621">
        <f>ROW()</f>
        <v>544</v>
      </c>
    </row>
    <row r="545" spans="2:15" ht="14.1" customHeight="1">
      <c r="B545" s="316" t="s">
        <v>1987</v>
      </c>
      <c r="K545" s="4153"/>
      <c r="L545" s="3810"/>
      <c r="M545" s="3810"/>
      <c r="N545" s="4154"/>
      <c r="O545" s="621">
        <f>ROW()</f>
        <v>545</v>
      </c>
    </row>
    <row r="546" spans="2:15" ht="14.1" customHeight="1">
      <c r="B546" s="308"/>
      <c r="C546" s="1167" t="s">
        <v>1457</v>
      </c>
      <c r="I546" s="246">
        <f ca="1">Emissions!AD366*Constants!$J$15</f>
        <v>-83.654550401749859</v>
      </c>
      <c r="J546" s="246">
        <f ca="1">Emissions!AE366*Constants!$J$15</f>
        <v>-714.72568659757746</v>
      </c>
      <c r="K546" s="4153"/>
      <c r="L546" s="3810"/>
      <c r="M546" s="3810"/>
      <c r="N546" s="4154"/>
      <c r="O546" s="621">
        <f>ROW()</f>
        <v>546</v>
      </c>
    </row>
    <row r="547" spans="2:15" ht="14.1" customHeight="1">
      <c r="B547" s="308"/>
      <c r="C547" s="1167" t="s">
        <v>2717</v>
      </c>
      <c r="I547" s="246">
        <f ca="1">Emissions!AD367*Constants!$J$15</f>
        <v>-824.95492521315589</v>
      </c>
      <c r="J547" s="246">
        <f ca="1">Emissions!AE367*Constants!$J$15</f>
        <v>-7702.2246995418182</v>
      </c>
      <c r="K547" s="4153"/>
      <c r="L547" s="3810"/>
      <c r="M547" s="3810"/>
      <c r="N547" s="4154"/>
      <c r="O547" s="621">
        <f>ROW()</f>
        <v>547</v>
      </c>
    </row>
    <row r="548" spans="2:15" ht="14.1" customHeight="1">
      <c r="B548" s="308"/>
      <c r="C548" s="1167" t="s">
        <v>2719</v>
      </c>
      <c r="I548" s="246">
        <f ca="1">Emissions!AD368*Constants!$J$15</f>
        <v>-111.3894746824927</v>
      </c>
      <c r="J548" s="246">
        <f ca="1">Emissions!AE368*Constants!$J$15</f>
        <v>-1526.3830116306672</v>
      </c>
      <c r="K548" s="4153"/>
      <c r="L548" s="3810"/>
      <c r="M548" s="3810"/>
      <c r="N548" s="4154"/>
      <c r="O548" s="621">
        <f>ROW()</f>
        <v>548</v>
      </c>
    </row>
    <row r="549" spans="2:15" ht="14.1" customHeight="1">
      <c r="B549" s="308"/>
      <c r="C549" s="1167" t="s">
        <v>2718</v>
      </c>
      <c r="I549" s="246">
        <f ca="1">Emissions!AD369*Constants!$J$15</f>
        <v>-12.744630751379468</v>
      </c>
      <c r="J549" s="246">
        <f ca="1">Emissions!AE369*Constants!$J$15</f>
        <v>-122.85491541181479</v>
      </c>
      <c r="K549" s="4153"/>
      <c r="L549" s="3810"/>
      <c r="M549" s="3810"/>
      <c r="N549" s="4154"/>
      <c r="O549" s="621">
        <f>ROW()</f>
        <v>549</v>
      </c>
    </row>
    <row r="550" spans="2:15" ht="14.1" customHeight="1">
      <c r="B550" s="4167" t="str">
        <f>CONCATENATE("Derived in 'Emissions' worksheet, Rows ",Emissions!AG366, " to ",Emissions!AG369, " expressed in tonnes, and including adjustment for transit attraction from cars due to lower fares and enhanced service; those figures are here converted to tons.")</f>
        <v>Derived in 'Emissions' worksheet, Rows 366 to 369 expressed in tonnes, and including adjustment for transit attraction from cars due to lower fares and enhanced service; those figures are here converted to tons.</v>
      </c>
      <c r="C550" s="4168"/>
      <c r="D550" s="4168"/>
      <c r="E550" s="4168"/>
      <c r="F550" s="4168"/>
      <c r="G550" s="4168"/>
      <c r="H550" s="4168"/>
      <c r="I550" s="4168"/>
      <c r="J550" s="4168"/>
      <c r="K550" s="4153"/>
      <c r="L550" s="3810"/>
      <c r="M550" s="3810"/>
      <c r="N550" s="4154"/>
      <c r="O550" s="621">
        <f>ROW()</f>
        <v>550</v>
      </c>
    </row>
    <row r="551" spans="2:15" ht="14.1" customHeight="1">
      <c r="B551" s="4168"/>
      <c r="C551" s="4168"/>
      <c r="D551" s="4168"/>
      <c r="E551" s="4168"/>
      <c r="F551" s="4168"/>
      <c r="G551" s="4168"/>
      <c r="H551" s="4168"/>
      <c r="I551" s="4168"/>
      <c r="J551" s="4168"/>
      <c r="K551" s="4163" t="s">
        <v>2776</v>
      </c>
      <c r="L551" s="3810"/>
      <c r="M551" s="3810"/>
      <c r="N551" s="4154"/>
      <c r="O551" s="621">
        <f>ROW()</f>
        <v>551</v>
      </c>
    </row>
    <row r="552" spans="2:15" ht="14.1" customHeight="1">
      <c r="B552" s="316" t="s">
        <v>3636</v>
      </c>
      <c r="G552" s="8" t="s">
        <v>2771</v>
      </c>
      <c r="H552" s="8" t="s">
        <v>2772</v>
      </c>
      <c r="K552" s="4153"/>
      <c r="L552" s="3810"/>
      <c r="M552" s="3810"/>
      <c r="N552" s="4154"/>
      <c r="O552" s="621">
        <f>ROW()</f>
        <v>552</v>
      </c>
    </row>
    <row r="553" spans="2:15" ht="14.1" customHeight="1">
      <c r="B553" s="308"/>
      <c r="C553" s="1167" t="s">
        <v>2720</v>
      </c>
      <c r="D553" s="4176" t="s">
        <v>6191</v>
      </c>
      <c r="E553" s="1679">
        <v>16000</v>
      </c>
      <c r="F553" s="4173" t="s">
        <v>2773</v>
      </c>
      <c r="G553" s="1685">
        <v>10</v>
      </c>
      <c r="H553" s="1682">
        <v>2</v>
      </c>
      <c r="I553" s="250">
        <f t="shared" ref="I553:J556" si="9">$E553*G553</f>
        <v>160000</v>
      </c>
      <c r="J553" s="250">
        <f t="shared" si="9"/>
        <v>32000</v>
      </c>
      <c r="K553" s="4164"/>
      <c r="L553" s="4165"/>
      <c r="M553" s="4165"/>
      <c r="N553" s="4166"/>
      <c r="O553" s="621">
        <f>ROW()</f>
        <v>553</v>
      </c>
    </row>
    <row r="554" spans="2:15" ht="14.1" customHeight="1">
      <c r="B554" s="308"/>
      <c r="C554" s="1167" t="s">
        <v>2721</v>
      </c>
      <c r="D554" s="4177"/>
      <c r="E554" s="1680">
        <v>0</v>
      </c>
      <c r="F554" s="4174"/>
      <c r="G554" s="1686">
        <v>10</v>
      </c>
      <c r="H554" s="1683">
        <v>2</v>
      </c>
      <c r="I554" s="250">
        <f t="shared" si="9"/>
        <v>0</v>
      </c>
      <c r="J554" s="250">
        <f t="shared" si="9"/>
        <v>0</v>
      </c>
      <c r="O554" s="621">
        <f>ROW()</f>
        <v>554</v>
      </c>
    </row>
    <row r="555" spans="2:15" ht="14.1" customHeight="1">
      <c r="B555" s="308"/>
      <c r="C555" s="1167" t="s">
        <v>1044</v>
      </c>
      <c r="D555" s="4177"/>
      <c r="E555" s="1680">
        <v>16000</v>
      </c>
      <c r="F555" s="4174"/>
      <c r="G555" s="1686">
        <v>10</v>
      </c>
      <c r="H555" s="1683">
        <v>2</v>
      </c>
      <c r="I555" s="250">
        <f t="shared" si="9"/>
        <v>160000</v>
      </c>
      <c r="J555" s="250">
        <f t="shared" si="9"/>
        <v>32000</v>
      </c>
      <c r="O555" s="621">
        <f>ROW()</f>
        <v>555</v>
      </c>
    </row>
    <row r="556" spans="2:15" ht="14.1" customHeight="1">
      <c r="B556" s="308"/>
      <c r="C556" s="1167" t="s">
        <v>1836</v>
      </c>
      <c r="D556" s="4178"/>
      <c r="E556" s="1681">
        <v>320000</v>
      </c>
      <c r="F556" s="4175"/>
      <c r="G556" s="1687">
        <v>10</v>
      </c>
      <c r="H556" s="1684">
        <v>2</v>
      </c>
      <c r="I556" s="250">
        <f t="shared" si="9"/>
        <v>3200000</v>
      </c>
      <c r="J556" s="250">
        <f t="shared" si="9"/>
        <v>640000</v>
      </c>
      <c r="O556" s="621">
        <f>ROW()</f>
        <v>556</v>
      </c>
    </row>
    <row r="557" spans="2:15" ht="14.1" customHeight="1">
      <c r="B557" s="214" t="s">
        <v>2774</v>
      </c>
      <c r="C557" s="1167"/>
      <c r="G557" s="4169" t="s">
        <v>2777</v>
      </c>
      <c r="H557" s="4170"/>
      <c r="L557" s="49"/>
      <c r="O557" s="621">
        <f>ROW()</f>
        <v>557</v>
      </c>
    </row>
    <row r="558" spans="2:15" ht="14.1" customHeight="1">
      <c r="B558" s="308"/>
      <c r="C558" s="1167" t="s">
        <v>2720</v>
      </c>
      <c r="G558" s="4171"/>
      <c r="H558" s="4172"/>
      <c r="I558" s="245">
        <f t="shared" ref="I558:J561" ca="1" si="10">-I546*I553/1000000</f>
        <v>13.384728064279978</v>
      </c>
      <c r="J558" s="245">
        <f t="shared" ca="1" si="10"/>
        <v>22.871221971122477</v>
      </c>
      <c r="K558" s="1168">
        <f ca="1">I558+J558</f>
        <v>36.255950035402456</v>
      </c>
      <c r="L558" s="49" t="s">
        <v>2616</v>
      </c>
      <c r="O558" s="621">
        <f>ROW()</f>
        <v>558</v>
      </c>
    </row>
    <row r="559" spans="2:15" ht="14.1" customHeight="1">
      <c r="B559" s="308"/>
      <c r="C559" s="1167" t="s">
        <v>2721</v>
      </c>
      <c r="G559" s="3738"/>
      <c r="H559" s="3922"/>
      <c r="I559" s="245">
        <f t="shared" ca="1" si="10"/>
        <v>0</v>
      </c>
      <c r="J559" s="245">
        <f t="shared" ca="1" si="10"/>
        <v>0</v>
      </c>
      <c r="K559" s="1168">
        <f ca="1">I559+J559</f>
        <v>0</v>
      </c>
      <c r="L559" s="49" t="s">
        <v>2616</v>
      </c>
      <c r="O559" s="621">
        <f>ROW()</f>
        <v>559</v>
      </c>
    </row>
    <row r="560" spans="2:15" ht="14.1" customHeight="1">
      <c r="B560" s="308"/>
      <c r="C560" s="1167" t="s">
        <v>1044</v>
      </c>
      <c r="G560" s="3741"/>
      <c r="H560" s="3777"/>
      <c r="I560" s="245">
        <f t="shared" ca="1" si="10"/>
        <v>17.822315949198831</v>
      </c>
      <c r="J560" s="245">
        <f t="shared" ca="1" si="10"/>
        <v>48.844256372181349</v>
      </c>
      <c r="K560" s="1168">
        <f ca="1">I560+J560</f>
        <v>66.666572321380187</v>
      </c>
      <c r="L560" s="49" t="s">
        <v>2616</v>
      </c>
      <c r="O560" s="621">
        <f>ROW()</f>
        <v>560</v>
      </c>
    </row>
    <row r="561" spans="2:15" ht="14.1" customHeight="1" thickBot="1">
      <c r="B561" s="308"/>
      <c r="C561" s="1167" t="s">
        <v>1836</v>
      </c>
      <c r="I561" s="245">
        <f t="shared" ca="1" si="10"/>
        <v>40.782818404414293</v>
      </c>
      <c r="J561" s="245">
        <f t="shared" ca="1" si="10"/>
        <v>78.627145863561466</v>
      </c>
      <c r="K561" s="1170">
        <f ca="1">I561+J561</f>
        <v>119.40996426797577</v>
      </c>
      <c r="L561" s="49" t="s">
        <v>2616</v>
      </c>
      <c r="O561" s="621">
        <f>ROW()</f>
        <v>561</v>
      </c>
    </row>
    <row r="562" spans="2:15" ht="14.1" customHeight="1" thickBot="1">
      <c r="B562" s="308"/>
      <c r="C562" s="1167" t="s">
        <v>2813</v>
      </c>
      <c r="I562" s="1168">
        <f ca="1">SUM(I558:I561)</f>
        <v>71.989862417893107</v>
      </c>
      <c r="J562" s="1169">
        <f ca="1">SUM(J558:J561)</f>
        <v>150.34262420686531</v>
      </c>
      <c r="K562" s="1171">
        <f ca="1">I562+J562</f>
        <v>222.33248662475842</v>
      </c>
      <c r="L562" s="49" t="s">
        <v>2616</v>
      </c>
      <c r="O562" s="621">
        <f>ROW()</f>
        <v>562</v>
      </c>
    </row>
    <row r="563" spans="2:15" ht="14.1" customHeight="1">
      <c r="B563" s="308"/>
      <c r="C563" s="1167"/>
      <c r="I563" s="1659"/>
      <c r="J563" s="1659"/>
      <c r="K563" s="1659"/>
      <c r="L563" s="49"/>
      <c r="O563" s="621">
        <f>ROW()</f>
        <v>563</v>
      </c>
    </row>
    <row r="564" spans="2:15" ht="14.1" customHeight="1">
      <c r="B564" s="1660" t="s">
        <v>2522</v>
      </c>
      <c r="C564" s="1661"/>
      <c r="D564" s="198"/>
      <c r="E564" s="198"/>
      <c r="F564" s="198"/>
      <c r="G564" s="198"/>
      <c r="H564" s="198"/>
      <c r="I564" s="1662"/>
      <c r="J564" s="1662"/>
      <c r="K564" s="1663"/>
      <c r="L564" s="49"/>
      <c r="O564" s="621">
        <f>ROW()</f>
        <v>564</v>
      </c>
    </row>
    <row r="565" spans="2:15" ht="14.1" customHeight="1">
      <c r="B565" s="4155" t="str">
        <f ca="1">CONCATENATE("At this writing, the value of reduced health/enviro damages from air pollution under the user-selected plan is $",ROUND(K562,0), " million, as shown in Row ",O562, ". Spread among 8.3-8.4 million NYC residents (http://www.nyc.gov/html/dcp/html/census/popcur.shtml), and allowing for non-residents, " &amp; "this equates to around $",ROUND(K562/8.35,-1), " per person per year, a relatively modest figure. And this is despite raising the per-ton pollution 'valuations' estimated by the California Air Resources Board, a body " &amp; "with a well-earned reputation for aggressiveness in pursuing and reducing air pollution.")</f>
        <v>At this writing, the value of reduced health/enviro damages from air pollution under the user-selected plan is $222 million, as shown in Row 562. Spread among 8.3-8.4 million NYC residents (http://www.nyc.gov/html/dcp/html/census/popcur.shtml), and allowing for non-residents, this equates to around $30 per person per year, a relatively modest figure. And this is despite raising the per-ton pollution 'valuations' estimated by the California Air Resources Board, a body with a well-earned reputation for aggressiveness in pursuing and reducing air pollution.</v>
      </c>
      <c r="C565" s="3681"/>
      <c r="D565" s="3681"/>
      <c r="E565" s="3681"/>
      <c r="F565" s="3681"/>
      <c r="G565" s="3681"/>
      <c r="H565" s="3681"/>
      <c r="I565" s="3681"/>
      <c r="J565" s="3681"/>
      <c r="K565" s="3682"/>
      <c r="L565" s="49"/>
      <c r="O565" s="621">
        <f>ROW()</f>
        <v>565</v>
      </c>
    </row>
    <row r="566" spans="2:15" ht="14.1" customHeight="1">
      <c r="B566" s="3680"/>
      <c r="C566" s="3681"/>
      <c r="D566" s="3681"/>
      <c r="E566" s="3681"/>
      <c r="F566" s="3681"/>
      <c r="G566" s="3681"/>
      <c r="H566" s="3681"/>
      <c r="I566" s="3681"/>
      <c r="J566" s="3681"/>
      <c r="K566" s="3682"/>
      <c r="L566" s="49"/>
      <c r="O566" s="621">
        <f>ROW()</f>
        <v>566</v>
      </c>
    </row>
    <row r="567" spans="2:15" ht="14.1" customHeight="1">
      <c r="B567" s="3680"/>
      <c r="C567" s="3681"/>
      <c r="D567" s="3681"/>
      <c r="E567" s="3681"/>
      <c r="F567" s="3681"/>
      <c r="G567" s="3681"/>
      <c r="H567" s="3681"/>
      <c r="I567" s="3681"/>
      <c r="J567" s="3681"/>
      <c r="K567" s="3682"/>
      <c r="L567" s="49"/>
      <c r="O567" s="621">
        <f>ROW()</f>
        <v>567</v>
      </c>
    </row>
    <row r="568" spans="2:15" ht="14.1" customHeight="1">
      <c r="B568" s="3680"/>
      <c r="C568" s="3681"/>
      <c r="D568" s="3681"/>
      <c r="E568" s="3681"/>
      <c r="F568" s="3681"/>
      <c r="G568" s="3681"/>
      <c r="H568" s="3681"/>
      <c r="I568" s="3681"/>
      <c r="J568" s="3681"/>
      <c r="K568" s="3682"/>
      <c r="L568" s="49"/>
      <c r="O568" s="621">
        <f>ROW()</f>
        <v>568</v>
      </c>
    </row>
    <row r="569" spans="2:15" ht="14.1" customHeight="1">
      <c r="B569" s="3680"/>
      <c r="C569" s="3681"/>
      <c r="D569" s="3681"/>
      <c r="E569" s="3681"/>
      <c r="F569" s="3681"/>
      <c r="G569" s="3681"/>
      <c r="H569" s="3681"/>
      <c r="I569" s="3681"/>
      <c r="J569" s="3681"/>
      <c r="K569" s="3682"/>
      <c r="L569" s="49"/>
      <c r="O569" s="621">
        <f>ROW()</f>
        <v>569</v>
      </c>
    </row>
    <row r="570" spans="2:15" ht="14.1" customHeight="1">
      <c r="B570" s="4155" t="s">
        <v>1362</v>
      </c>
      <c r="C570" s="3681"/>
      <c r="D570" s="3681"/>
      <c r="E570" s="3681"/>
      <c r="F570" s="3681"/>
      <c r="G570" s="3681"/>
      <c r="H570" s="3681"/>
      <c r="I570" s="3681"/>
      <c r="J570" s="3681"/>
      <c r="K570" s="3682"/>
      <c r="L570" s="49"/>
      <c r="O570" s="621">
        <f>ROW()</f>
        <v>570</v>
      </c>
    </row>
    <row r="571" spans="2:15" ht="14.1" customHeight="1">
      <c r="B571" s="3680"/>
      <c r="C571" s="3681"/>
      <c r="D571" s="3681"/>
      <c r="E571" s="3681"/>
      <c r="F571" s="3681"/>
      <c r="G571" s="3681"/>
      <c r="H571" s="3681"/>
      <c r="I571" s="3681"/>
      <c r="J571" s="3681"/>
      <c r="K571" s="3682"/>
      <c r="L571" s="49"/>
      <c r="O571" s="621">
        <f>ROW()</f>
        <v>571</v>
      </c>
    </row>
    <row r="572" spans="2:15" ht="14.1" customHeight="1">
      <c r="B572" s="3680"/>
      <c r="C572" s="3681"/>
      <c r="D572" s="3681"/>
      <c r="E572" s="3681"/>
      <c r="F572" s="3681"/>
      <c r="G572" s="3681"/>
      <c r="H572" s="3681"/>
      <c r="I572" s="3681"/>
      <c r="J572" s="3681"/>
      <c r="K572" s="3682"/>
      <c r="L572" s="49"/>
      <c r="O572" s="621">
        <f>ROW()</f>
        <v>572</v>
      </c>
    </row>
    <row r="573" spans="2:15" ht="14.1" customHeight="1">
      <c r="B573" s="3680"/>
      <c r="C573" s="3681"/>
      <c r="D573" s="3681"/>
      <c r="E573" s="3681"/>
      <c r="F573" s="3681"/>
      <c r="G573" s="3681"/>
      <c r="H573" s="3681"/>
      <c r="I573" s="3681"/>
      <c r="J573" s="3681"/>
      <c r="K573" s="3682"/>
      <c r="L573" s="49"/>
      <c r="O573" s="621">
        <f>ROW()</f>
        <v>573</v>
      </c>
    </row>
    <row r="574" spans="2:15" ht="14.1" customHeight="1">
      <c r="B574" s="3680"/>
      <c r="C574" s="3681"/>
      <c r="D574" s="3681"/>
      <c r="E574" s="3681"/>
      <c r="F574" s="3681"/>
      <c r="G574" s="3681"/>
      <c r="H574" s="3681"/>
      <c r="I574" s="3681"/>
      <c r="J574" s="3681"/>
      <c r="K574" s="3682"/>
      <c r="L574" s="49"/>
      <c r="O574" s="621">
        <f>ROW()</f>
        <v>574</v>
      </c>
    </row>
    <row r="575" spans="2:15" ht="14.1" customHeight="1">
      <c r="B575" s="4155" t="s">
        <v>99</v>
      </c>
      <c r="C575" s="3681"/>
      <c r="D575" s="3681"/>
      <c r="E575" s="3681"/>
      <c r="F575" s="3681"/>
      <c r="G575" s="3681"/>
      <c r="H575" s="3681"/>
      <c r="I575" s="3681"/>
      <c r="J575" s="3681"/>
      <c r="K575" s="3682"/>
      <c r="L575" s="49"/>
      <c r="O575" s="621">
        <f>ROW()</f>
        <v>575</v>
      </c>
    </row>
    <row r="576" spans="2:15" ht="14.1" customHeight="1">
      <c r="B576" s="3680"/>
      <c r="C576" s="3681"/>
      <c r="D576" s="3681"/>
      <c r="E576" s="3681"/>
      <c r="F576" s="3681"/>
      <c r="G576" s="3681"/>
      <c r="H576" s="3681"/>
      <c r="I576" s="3681"/>
      <c r="J576" s="3681"/>
      <c r="K576" s="3682"/>
      <c r="L576" s="49"/>
      <c r="O576" s="621">
        <f>ROW()</f>
        <v>576</v>
      </c>
    </row>
    <row r="577" spans="2:15" ht="14.1" customHeight="1">
      <c r="B577" s="3680"/>
      <c r="C577" s="3681"/>
      <c r="D577" s="3681"/>
      <c r="E577" s="3681"/>
      <c r="F577" s="3681"/>
      <c r="G577" s="3681"/>
      <c r="H577" s="3681"/>
      <c r="I577" s="3681"/>
      <c r="J577" s="3681"/>
      <c r="K577" s="3682"/>
      <c r="L577" s="49"/>
      <c r="O577" s="621">
        <f>ROW()</f>
        <v>577</v>
      </c>
    </row>
    <row r="578" spans="2:15" ht="14.1" customHeight="1">
      <c r="B578" s="3680"/>
      <c r="C578" s="3681"/>
      <c r="D578" s="3681"/>
      <c r="E578" s="3681"/>
      <c r="F578" s="3681"/>
      <c r="G578" s="3681"/>
      <c r="H578" s="3681"/>
      <c r="I578" s="3681"/>
      <c r="J578" s="3681"/>
      <c r="K578" s="3682"/>
      <c r="L578" s="49"/>
      <c r="O578" s="621">
        <f>ROW()</f>
        <v>578</v>
      </c>
    </row>
    <row r="579" spans="2:15" ht="14.1" customHeight="1">
      <c r="B579" s="3680"/>
      <c r="C579" s="3681"/>
      <c r="D579" s="3681"/>
      <c r="E579" s="3681"/>
      <c r="F579" s="3681"/>
      <c r="G579" s="3681"/>
      <c r="H579" s="3681"/>
      <c r="I579" s="3681"/>
      <c r="J579" s="3681"/>
      <c r="K579" s="3682"/>
      <c r="L579" s="49"/>
      <c r="O579" s="621">
        <f>ROW()</f>
        <v>579</v>
      </c>
    </row>
    <row r="580" spans="2:15" ht="14.1" customHeight="1">
      <c r="B580" s="3822" t="s">
        <v>3861</v>
      </c>
      <c r="C580" s="3681"/>
      <c r="D580" s="3681"/>
      <c r="E580" s="3681"/>
      <c r="F580" s="3681"/>
      <c r="G580" s="3681"/>
      <c r="H580" s="3681"/>
      <c r="I580" s="3681"/>
      <c r="J580" s="3681"/>
      <c r="K580" s="3682"/>
      <c r="L580" s="49"/>
      <c r="O580" s="621">
        <f>ROW()</f>
        <v>580</v>
      </c>
    </row>
    <row r="581" spans="2:15" ht="14.1" customHeight="1">
      <c r="B581" s="3680"/>
      <c r="C581" s="3681"/>
      <c r="D581" s="3681"/>
      <c r="E581" s="3681"/>
      <c r="F581" s="3681"/>
      <c r="G581" s="3681"/>
      <c r="H581" s="3681"/>
      <c r="I581" s="3681"/>
      <c r="J581" s="3681"/>
      <c r="K581" s="3682"/>
      <c r="L581" s="49"/>
      <c r="O581" s="621">
        <f>ROW()</f>
        <v>581</v>
      </c>
    </row>
    <row r="582" spans="2:15" ht="14.1" customHeight="1">
      <c r="B582" s="3680"/>
      <c r="C582" s="3681"/>
      <c r="D582" s="3681"/>
      <c r="E582" s="3681"/>
      <c r="F582" s="3681"/>
      <c r="G582" s="3681"/>
      <c r="H582" s="3681"/>
      <c r="I582" s="3681"/>
      <c r="J582" s="3681"/>
      <c r="K582" s="3682"/>
      <c r="L582" s="49"/>
      <c r="O582" s="621">
        <f>ROW()</f>
        <v>582</v>
      </c>
    </row>
    <row r="583" spans="2:15" ht="14.1" customHeight="1">
      <c r="B583" s="3680"/>
      <c r="C583" s="3681"/>
      <c r="D583" s="3681"/>
      <c r="E583" s="3681"/>
      <c r="F583" s="3681"/>
      <c r="G583" s="3681"/>
      <c r="H583" s="3681"/>
      <c r="I583" s="3681"/>
      <c r="J583" s="3681"/>
      <c r="K583" s="3682"/>
      <c r="L583" s="49"/>
      <c r="O583" s="621">
        <f>ROW()</f>
        <v>583</v>
      </c>
    </row>
    <row r="584" spans="2:15" ht="14.1" customHeight="1">
      <c r="B584" s="3680"/>
      <c r="C584" s="3681"/>
      <c r="D584" s="3681"/>
      <c r="E584" s="3681"/>
      <c r="F584" s="3681"/>
      <c r="G584" s="3681"/>
      <c r="H584" s="3681"/>
      <c r="I584" s="3681"/>
      <c r="J584" s="3681"/>
      <c r="K584" s="3682"/>
      <c r="O584" s="621">
        <f>ROW()</f>
        <v>584</v>
      </c>
    </row>
    <row r="585" spans="2:15" ht="14.1" customHeight="1">
      <c r="B585" s="4156" t="s">
        <v>1361</v>
      </c>
      <c r="C585" s="4157"/>
      <c r="D585" s="4157"/>
      <c r="E585" s="4157"/>
      <c r="F585" s="4157"/>
      <c r="G585" s="4157"/>
      <c r="H585" s="4157"/>
      <c r="I585" s="4157"/>
      <c r="J585" s="4157"/>
      <c r="K585" s="4158"/>
      <c r="O585" s="621">
        <f>ROW()</f>
        <v>585</v>
      </c>
    </row>
    <row r="586" spans="2:15" ht="14.1" customHeight="1">
      <c r="B586" s="4159"/>
      <c r="C586" s="4160"/>
      <c r="D586" s="4160"/>
      <c r="E586" s="4160"/>
      <c r="F586" s="4160"/>
      <c r="G586" s="4160"/>
      <c r="H586" s="4160"/>
      <c r="I586" s="4160"/>
      <c r="J586" s="4160"/>
      <c r="K586" s="4161"/>
      <c r="O586" s="621">
        <f>ROW()</f>
        <v>586</v>
      </c>
    </row>
    <row r="587" spans="2:15" ht="14.1" customHeight="1">
      <c r="B587" s="217"/>
      <c r="C587" s="217"/>
      <c r="D587" s="217"/>
      <c r="E587" s="217"/>
      <c r="F587" s="217"/>
      <c r="G587" s="217"/>
      <c r="H587" s="217"/>
      <c r="I587" s="217"/>
      <c r="J587" s="217"/>
      <c r="K587" s="217"/>
      <c r="O587" s="621">
        <f>ROW()</f>
        <v>587</v>
      </c>
    </row>
    <row r="588" spans="2:15" ht="14.1" customHeight="1">
      <c r="B588" s="467" t="s">
        <v>4322</v>
      </c>
      <c r="C588" s="281"/>
      <c r="D588" s="281"/>
      <c r="E588" s="281"/>
      <c r="F588" s="281"/>
      <c r="G588" s="281"/>
      <c r="H588" s="281"/>
      <c r="I588" s="281"/>
      <c r="J588" s="281"/>
      <c r="O588" s="621">
        <f>ROW()</f>
        <v>588</v>
      </c>
    </row>
    <row r="589" spans="2:15" ht="14.1" customHeight="1">
      <c r="B589" s="4162" t="s">
        <v>682</v>
      </c>
      <c r="C589" s="4162"/>
      <c r="D589" s="4162"/>
      <c r="E589" s="4162"/>
      <c r="F589" s="4162"/>
      <c r="G589" s="4162"/>
      <c r="H589" s="4162"/>
      <c r="I589" s="4162"/>
      <c r="J589" s="4162"/>
      <c r="K589" s="4162"/>
      <c r="O589" s="621">
        <f>ROW()</f>
        <v>589</v>
      </c>
    </row>
    <row r="590" spans="2:15" ht="14.1" customHeight="1">
      <c r="B590" s="4162"/>
      <c r="C590" s="4162"/>
      <c r="D590" s="4162"/>
      <c r="E590" s="4162"/>
      <c r="F590" s="4162"/>
      <c r="G590" s="4162"/>
      <c r="H590" s="4162"/>
      <c r="I590" s="4162"/>
      <c r="J590" s="4162"/>
      <c r="K590" s="4162"/>
      <c r="O590" s="621">
        <f>ROW()</f>
        <v>590</v>
      </c>
    </row>
    <row r="591" spans="2:15" ht="14.1" customHeight="1">
      <c r="B591" s="4162"/>
      <c r="C591" s="4162"/>
      <c r="D591" s="4162"/>
      <c r="E591" s="4162"/>
      <c r="F591" s="4162"/>
      <c r="G591" s="4162"/>
      <c r="H591" s="4162"/>
      <c r="I591" s="4162"/>
      <c r="J591" s="4162"/>
      <c r="K591" s="4162"/>
      <c r="O591" s="621">
        <f>ROW()</f>
        <v>591</v>
      </c>
    </row>
    <row r="592" spans="2:15" ht="14.1" customHeight="1">
      <c r="B592" s="4162"/>
      <c r="C592" s="4162"/>
      <c r="D592" s="4162"/>
      <c r="E592" s="4162"/>
      <c r="F592" s="4162"/>
      <c r="G592" s="4162"/>
      <c r="H592" s="4162"/>
      <c r="I592" s="4162"/>
      <c r="J592" s="4162"/>
      <c r="K592" s="4162"/>
      <c r="O592" s="621">
        <f>ROW()</f>
        <v>592</v>
      </c>
    </row>
    <row r="593" spans="2:15" ht="14.1" customHeight="1">
      <c r="B593" s="4162"/>
      <c r="C593" s="4162"/>
      <c r="D593" s="4162"/>
      <c r="E593" s="4162"/>
      <c r="F593" s="4162"/>
      <c r="G593" s="4162"/>
      <c r="H593" s="4162"/>
      <c r="I593" s="4162"/>
      <c r="J593" s="4162"/>
      <c r="K593" s="4162"/>
      <c r="O593" s="621">
        <f>ROW()</f>
        <v>593</v>
      </c>
    </row>
    <row r="594" spans="2:15" ht="14.1" customHeight="1">
      <c r="B594" s="4162"/>
      <c r="C594" s="4162"/>
      <c r="D594" s="4162"/>
      <c r="E594" s="4162"/>
      <c r="F594" s="4162"/>
      <c r="G594" s="4162"/>
      <c r="H594" s="4162"/>
      <c r="I594" s="4162"/>
      <c r="J594" s="4162"/>
      <c r="K594" s="4162"/>
      <c r="O594" s="621">
        <f>ROW()</f>
        <v>594</v>
      </c>
    </row>
    <row r="595" spans="2:15" ht="14.1" customHeight="1">
      <c r="B595" s="281" t="s">
        <v>1742</v>
      </c>
      <c r="I595" s="247">
        <v>40.768000000000001</v>
      </c>
      <c r="J595" s="49" t="s">
        <v>2688</v>
      </c>
      <c r="O595" s="621">
        <f>ROW()</f>
        <v>595</v>
      </c>
    </row>
    <row r="596" spans="2:15" ht="14.1" customHeight="1">
      <c r="B596" s="3785" t="s">
        <v>521</v>
      </c>
      <c r="C596" s="3786"/>
      <c r="D596" s="3786"/>
      <c r="E596" s="3786"/>
      <c r="F596" s="3786"/>
      <c r="G596" s="3786"/>
      <c r="H596" s="3786"/>
      <c r="I596" s="3786"/>
      <c r="J596" s="3786"/>
      <c r="O596" s="621">
        <f>ROW()</f>
        <v>596</v>
      </c>
    </row>
    <row r="597" spans="2:15" ht="14.1" customHeight="1">
      <c r="B597" s="3786"/>
      <c r="C597" s="3786"/>
      <c r="D597" s="3786"/>
      <c r="E597" s="3786"/>
      <c r="F597" s="3786"/>
      <c r="G597" s="3786"/>
      <c r="H597" s="3786"/>
      <c r="I597" s="3786"/>
      <c r="J597" s="3786"/>
      <c r="O597" s="621">
        <f>ROW()</f>
        <v>597</v>
      </c>
    </row>
    <row r="598" spans="2:15" ht="14.1" customHeight="1">
      <c r="B598" s="3786"/>
      <c r="C598" s="3786"/>
      <c r="D598" s="3786"/>
      <c r="E598" s="3786"/>
      <c r="F598" s="3786"/>
      <c r="G598" s="3786"/>
      <c r="H598" s="3786"/>
      <c r="I598" s="3786"/>
      <c r="J598" s="3786"/>
      <c r="O598" s="621">
        <f>ROW()</f>
        <v>598</v>
      </c>
    </row>
    <row r="599" spans="2:15" ht="14.1" customHeight="1">
      <c r="B599" s="3786"/>
      <c r="C599" s="3786"/>
      <c r="D599" s="3786"/>
      <c r="E599" s="3786"/>
      <c r="F599" s="3786"/>
      <c r="G599" s="3786"/>
      <c r="H599" s="3786"/>
      <c r="I599" s="3786"/>
      <c r="J599" s="3786"/>
      <c r="O599" s="621">
        <f>ROW()</f>
        <v>599</v>
      </c>
    </row>
    <row r="600" spans="2:15" ht="14.1" customHeight="1">
      <c r="B600" s="281" t="s">
        <v>1837</v>
      </c>
      <c r="I600" s="210" t="s">
        <v>1638</v>
      </c>
      <c r="O600" s="621">
        <f>ROW()</f>
        <v>600</v>
      </c>
    </row>
    <row r="601" spans="2:15" ht="14.1" customHeight="1">
      <c r="B601" s="214" t="s">
        <v>2748</v>
      </c>
      <c r="I601" s="248">
        <f>215.3/136.2</f>
        <v>1.5807635829662263</v>
      </c>
      <c r="J601" s="248"/>
      <c r="O601" s="621">
        <f>ROW()</f>
        <v>601</v>
      </c>
    </row>
    <row r="602" spans="2:15" ht="14.1" customHeight="1">
      <c r="B602" s="314" t="s">
        <v>1970</v>
      </c>
      <c r="O602" s="621">
        <f>ROW()</f>
        <v>602</v>
      </c>
    </row>
    <row r="603" spans="2:15" ht="14.1" customHeight="1">
      <c r="B603" s="281" t="s">
        <v>1758</v>
      </c>
      <c r="I603" s="247">
        <f>I595*I601</f>
        <v>64.444569750367123</v>
      </c>
      <c r="J603" s="49" t="s">
        <v>2688</v>
      </c>
      <c r="O603" s="621">
        <f>ROW()</f>
        <v>603</v>
      </c>
    </row>
    <row r="604" spans="2:15" ht="14.1" customHeight="1">
      <c r="B604" s="4181" t="s">
        <v>566</v>
      </c>
      <c r="C604" s="3726"/>
      <c r="D604" s="3726"/>
      <c r="E604" s="3726"/>
      <c r="F604" s="3726"/>
      <c r="G604" s="3726"/>
      <c r="H604" s="3726"/>
      <c r="I604" s="3726"/>
      <c r="J604" s="3726"/>
      <c r="O604" s="621">
        <f>ROW()</f>
        <v>604</v>
      </c>
    </row>
    <row r="605" spans="2:15" ht="14.1" customHeight="1">
      <c r="B605" s="3726"/>
      <c r="C605" s="3726"/>
      <c r="D605" s="3726"/>
      <c r="E605" s="3726"/>
      <c r="F605" s="3726"/>
      <c r="G605" s="3726"/>
      <c r="H605" s="3726"/>
      <c r="I605" s="3726"/>
      <c r="J605" s="3726"/>
      <c r="O605" s="621">
        <f>ROW()</f>
        <v>605</v>
      </c>
    </row>
    <row r="606" spans="2:15" ht="14.1" customHeight="1">
      <c r="B606" s="214" t="s">
        <v>1021</v>
      </c>
      <c r="I606" s="246">
        <v>8035586</v>
      </c>
      <c r="O606" s="621">
        <f>ROW()</f>
        <v>606</v>
      </c>
    </row>
    <row r="607" spans="2:15" ht="14.1" customHeight="1">
      <c r="B607" s="214" t="s">
        <v>1022</v>
      </c>
      <c r="I607" s="999">
        <v>299398484</v>
      </c>
      <c r="O607" s="621">
        <f>ROW()</f>
        <v>607</v>
      </c>
    </row>
    <row r="608" spans="2:15" ht="14.1" customHeight="1">
      <c r="B608" s="314" t="s">
        <v>1023</v>
      </c>
      <c r="O608" s="621">
        <f>ROW()</f>
        <v>608</v>
      </c>
    </row>
    <row r="609" spans="2:15" ht="14.1" customHeight="1">
      <c r="B609" s="281" t="s">
        <v>636</v>
      </c>
      <c r="I609" s="211">
        <v>0.75</v>
      </c>
      <c r="O609" s="621">
        <f>ROW()</f>
        <v>609</v>
      </c>
    </row>
    <row r="610" spans="2:15" ht="14.1" customHeight="1">
      <c r="B610" s="215" t="s">
        <v>133</v>
      </c>
      <c r="O610" s="621">
        <f>ROW()</f>
        <v>610</v>
      </c>
    </row>
    <row r="611" spans="2:15" ht="14.1" customHeight="1">
      <c r="B611" s="281" t="s">
        <v>214</v>
      </c>
      <c r="I611" s="256">
        <f>I609*I607</f>
        <v>224548863</v>
      </c>
      <c r="O611" s="621">
        <f>ROW()</f>
        <v>611</v>
      </c>
    </row>
    <row r="612" spans="2:15" ht="14.1" customHeight="1">
      <c r="B612" s="280" t="s">
        <v>215</v>
      </c>
      <c r="I612" s="236">
        <f>I606/I611</f>
        <v>3.5785467326102646E-2</v>
      </c>
      <c r="O612" s="621">
        <f>ROW()</f>
        <v>612</v>
      </c>
    </row>
    <row r="613" spans="2:15" ht="14.1" customHeight="1">
      <c r="B613" s="280" t="s">
        <v>1759</v>
      </c>
      <c r="I613" s="226">
        <f>I612*I603</f>
        <v>2.3061790451465058</v>
      </c>
      <c r="J613" s="49" t="s">
        <v>2688</v>
      </c>
      <c r="O613" s="621">
        <f>ROW()</f>
        <v>613</v>
      </c>
    </row>
    <row r="614" spans="2:15" ht="14.1" customHeight="1">
      <c r="B614" s="280" t="s">
        <v>759</v>
      </c>
      <c r="I614" s="233">
        <v>1</v>
      </c>
      <c r="O614" s="621">
        <f>ROW()</f>
        <v>614</v>
      </c>
    </row>
    <row r="615" spans="2:15" ht="14.1" customHeight="1">
      <c r="B615" s="215" t="s">
        <v>527</v>
      </c>
      <c r="I615" s="123"/>
      <c r="O615" s="621">
        <f>ROW()</f>
        <v>615</v>
      </c>
    </row>
    <row r="616" spans="2:15" ht="14.1" customHeight="1">
      <c r="B616" s="280" t="s">
        <v>1760</v>
      </c>
      <c r="I616" s="226">
        <f>I613*I614</f>
        <v>2.3061790451465058</v>
      </c>
      <c r="J616" s="49" t="s">
        <v>2688</v>
      </c>
      <c r="O616" s="621">
        <f>ROW()</f>
        <v>616</v>
      </c>
    </row>
    <row r="617" spans="2:15" ht="14.1" customHeight="1">
      <c r="B617" s="280" t="s">
        <v>528</v>
      </c>
      <c r="I617" s="211">
        <v>0.75</v>
      </c>
      <c r="J617" s="49"/>
      <c r="O617" s="621">
        <f>ROW()</f>
        <v>617</v>
      </c>
    </row>
    <row r="618" spans="2:15" ht="14.1" customHeight="1">
      <c r="B618" s="215" t="s">
        <v>133</v>
      </c>
      <c r="I618" s="26"/>
      <c r="J618" s="49"/>
      <c r="O618" s="621">
        <f>ROW()</f>
        <v>618</v>
      </c>
    </row>
    <row r="619" spans="2:15" ht="14.1" customHeight="1">
      <c r="B619" s="280" t="s">
        <v>1761</v>
      </c>
      <c r="I619" s="226">
        <f>I616*I617</f>
        <v>1.7296342838598795</v>
      </c>
      <c r="J619" s="49" t="s">
        <v>2688</v>
      </c>
      <c r="O619" s="621">
        <f>ROW()</f>
        <v>619</v>
      </c>
    </row>
    <row r="620" spans="2:15" ht="14.1" customHeight="1">
      <c r="B620" s="281" t="s">
        <v>1402</v>
      </c>
      <c r="I620" s="241">
        <f ca="1">VMT!L22</f>
        <v>-3.2906114154561225E-2</v>
      </c>
      <c r="J620" s="49"/>
      <c r="O620" s="621">
        <f>ROW()</f>
        <v>620</v>
      </c>
    </row>
    <row r="621" spans="2:15" ht="14.1" customHeight="1">
      <c r="B621" s="281" t="s">
        <v>1403</v>
      </c>
      <c r="I621" s="241">
        <f ca="1">I620</f>
        <v>-3.2906114154561225E-2</v>
      </c>
      <c r="J621" s="49"/>
      <c r="O621" s="621">
        <f>ROW()</f>
        <v>621</v>
      </c>
    </row>
    <row r="622" spans="2:15" ht="14.1" customHeight="1">
      <c r="B622" s="281" t="s">
        <v>1404</v>
      </c>
      <c r="I622" s="330">
        <f ca="1">ROUND(I621*I616*1000,-1)</f>
        <v>-80</v>
      </c>
      <c r="J622" s="49" t="s">
        <v>2616</v>
      </c>
      <c r="O622" s="621">
        <f>ROW()</f>
        <v>622</v>
      </c>
    </row>
    <row r="623" spans="2:15" ht="14.1" customHeight="1">
      <c r="O623" s="621">
        <f>ROW()</f>
        <v>623</v>
      </c>
    </row>
    <row r="624" spans="2:15" ht="14.1" customHeight="1">
      <c r="B624" s="467" t="s">
        <v>4323</v>
      </c>
      <c r="O624" s="621">
        <f>ROW()</f>
        <v>624</v>
      </c>
    </row>
    <row r="625" spans="2:15" ht="14.1" customHeight="1">
      <c r="B625" s="4179" t="s">
        <v>5910</v>
      </c>
      <c r="C625" s="4162"/>
      <c r="D625" s="4162"/>
      <c r="E625" s="4162"/>
      <c r="F625" s="4162"/>
      <c r="G625" s="4162"/>
      <c r="H625" s="4162"/>
      <c r="I625" s="4162"/>
      <c r="J625" s="4162"/>
      <c r="K625" s="4162"/>
      <c r="O625" s="621">
        <f>ROW()</f>
        <v>625</v>
      </c>
    </row>
    <row r="626" spans="2:15" ht="14.1" customHeight="1">
      <c r="B626" s="4162"/>
      <c r="C626" s="4162"/>
      <c r="D626" s="4162"/>
      <c r="E626" s="4162"/>
      <c r="F626" s="4162"/>
      <c r="G626" s="4162"/>
      <c r="H626" s="4162"/>
      <c r="I626" s="4162"/>
      <c r="J626" s="4162"/>
      <c r="K626" s="4162"/>
      <c r="O626" s="621">
        <f>ROW()</f>
        <v>626</v>
      </c>
    </row>
    <row r="627" spans="2:15" ht="14.1" customHeight="1">
      <c r="B627" s="4162"/>
      <c r="C627" s="4162"/>
      <c r="D627" s="4162"/>
      <c r="E627" s="4162"/>
      <c r="F627" s="4162"/>
      <c r="G627" s="4162"/>
      <c r="H627" s="4162"/>
      <c r="I627" s="4162"/>
      <c r="J627" s="4162"/>
      <c r="K627" s="4162"/>
      <c r="O627" s="621">
        <f>ROW()</f>
        <v>627</v>
      </c>
    </row>
    <row r="628" spans="2:15" ht="14.1" customHeight="1">
      <c r="B628" s="4162"/>
      <c r="C628" s="4162"/>
      <c r="D628" s="4162"/>
      <c r="E628" s="4162"/>
      <c r="F628" s="4162"/>
      <c r="G628" s="4162"/>
      <c r="H628" s="4162"/>
      <c r="I628" s="4162"/>
      <c r="J628" s="4162"/>
      <c r="K628" s="4162"/>
      <c r="O628" s="621">
        <f>ROW()</f>
        <v>628</v>
      </c>
    </row>
    <row r="629" spans="2:15" ht="14.1" customHeight="1">
      <c r="B629" s="4162"/>
      <c r="C629" s="4162"/>
      <c r="D629" s="4162"/>
      <c r="E629" s="4162"/>
      <c r="F629" s="4162"/>
      <c r="G629" s="4162"/>
      <c r="H629" s="4162"/>
      <c r="I629" s="4162"/>
      <c r="J629" s="4162"/>
      <c r="K629" s="4162"/>
      <c r="O629" s="621">
        <f>ROW()</f>
        <v>629</v>
      </c>
    </row>
    <row r="630" spans="2:15" ht="14.1" customHeight="1">
      <c r="B630" s="4162"/>
      <c r="C630" s="4162"/>
      <c r="D630" s="4162"/>
      <c r="E630" s="4162"/>
      <c r="F630" s="4162"/>
      <c r="G630" s="4162"/>
      <c r="H630" s="4162"/>
      <c r="I630" s="4162"/>
      <c r="J630" s="4162"/>
      <c r="K630" s="4162"/>
      <c r="O630" s="621">
        <f>ROW()</f>
        <v>630</v>
      </c>
    </row>
    <row r="631" spans="2:15" ht="14.1" customHeight="1">
      <c r="B631" s="214" t="s">
        <v>2396</v>
      </c>
      <c r="I631" s="241">
        <v>0.02</v>
      </c>
      <c r="O631" s="621">
        <f>ROW()</f>
        <v>631</v>
      </c>
    </row>
    <row r="632" spans="2:15" ht="14.1" customHeight="1">
      <c r="B632" s="4182" t="s">
        <v>5911</v>
      </c>
      <c r="C632" s="3726"/>
      <c r="D632" s="3726"/>
      <c r="E632" s="3726"/>
      <c r="F632" s="3726"/>
      <c r="G632" s="3726"/>
      <c r="H632" s="3726"/>
      <c r="I632" s="3726"/>
      <c r="O632" s="621">
        <f>ROW()</f>
        <v>632</v>
      </c>
    </row>
    <row r="633" spans="2:15" s="3317" customFormat="1" ht="14.1" customHeight="1">
      <c r="B633" s="3726"/>
      <c r="C633" s="3726"/>
      <c r="D633" s="3726"/>
      <c r="E633" s="3726"/>
      <c r="F633" s="3726"/>
      <c r="G633" s="3726"/>
      <c r="H633" s="3726"/>
      <c r="I633" s="3726"/>
      <c r="O633" s="621">
        <f>ROW()</f>
        <v>633</v>
      </c>
    </row>
    <row r="634" spans="2:15" ht="14.1" customHeight="1">
      <c r="B634" s="316" t="s">
        <v>5912</v>
      </c>
      <c r="I634" s="3328" t="s">
        <v>5913</v>
      </c>
      <c r="J634" s="3328" t="s">
        <v>5914</v>
      </c>
      <c r="O634" s="621">
        <f>ROW()</f>
        <v>634</v>
      </c>
    </row>
    <row r="635" spans="2:15" ht="14.1" customHeight="1">
      <c r="B635" s="214" t="s">
        <v>6192</v>
      </c>
      <c r="I635" s="211">
        <v>0.1</v>
      </c>
      <c r="J635" s="211">
        <v>0.24</v>
      </c>
      <c r="O635" s="621">
        <f>ROW()</f>
        <v>635</v>
      </c>
    </row>
    <row r="636" spans="2:15" ht="14.1" customHeight="1">
      <c r="B636" s="214" t="s">
        <v>6193</v>
      </c>
      <c r="I636" s="211">
        <v>0.18</v>
      </c>
      <c r="J636" s="211">
        <v>0.16</v>
      </c>
      <c r="O636" s="621">
        <f>ROW()</f>
        <v>636</v>
      </c>
    </row>
    <row r="637" spans="2:15" ht="14.1" customHeight="1">
      <c r="B637" s="214" t="s">
        <v>6194</v>
      </c>
      <c r="I637" s="211">
        <v>0.26</v>
      </c>
      <c r="J637" s="211">
        <v>0.25</v>
      </c>
      <c r="O637" s="621">
        <f>ROW()</f>
        <v>637</v>
      </c>
    </row>
    <row r="638" spans="2:15" ht="14.1" customHeight="1">
      <c r="B638" s="3785" t="s">
        <v>5915</v>
      </c>
      <c r="C638" s="3786"/>
      <c r="D638" s="3786"/>
      <c r="E638" s="3786"/>
      <c r="F638" s="3786"/>
      <c r="G638" s="3786"/>
      <c r="H638" s="3786"/>
      <c r="I638" s="3786"/>
      <c r="J638" s="211" t="str">
        <f>CONCATENATE("Mean: ",ROUND(AVERAGE(J635:J637),2)*100,"%")</f>
        <v>Mean: 22%</v>
      </c>
      <c r="O638" s="621">
        <f>ROW()</f>
        <v>638</v>
      </c>
    </row>
    <row r="639" spans="2:15" s="3317" customFormat="1" ht="14.1" customHeight="1">
      <c r="B639" s="3786"/>
      <c r="C639" s="3786"/>
      <c r="D639" s="3786"/>
      <c r="E639" s="3786"/>
      <c r="F639" s="3786"/>
      <c r="G639" s="3786"/>
      <c r="H639" s="3786"/>
      <c r="I639" s="3786"/>
      <c r="O639" s="621">
        <f>ROW()</f>
        <v>639</v>
      </c>
    </row>
    <row r="640" spans="2:15" s="3317" customFormat="1" ht="14.1" customHeight="1">
      <c r="B640" s="3786"/>
      <c r="C640" s="3786"/>
      <c r="D640" s="3786"/>
      <c r="E640" s="3786"/>
      <c r="F640" s="3786"/>
      <c r="G640" s="3786"/>
      <c r="H640" s="3786"/>
      <c r="I640" s="3786"/>
      <c r="O640" s="621">
        <f>ROW()</f>
        <v>640</v>
      </c>
    </row>
    <row r="641" spans="2:15" ht="14.1" customHeight="1">
      <c r="B641" s="281" t="s">
        <v>305</v>
      </c>
      <c r="O641" s="621">
        <f>ROW()</f>
        <v>641</v>
      </c>
    </row>
    <row r="642" spans="2:15" ht="14.1" customHeight="1">
      <c r="B642" s="281" t="s">
        <v>6192</v>
      </c>
      <c r="I642" s="257">
        <f>I635/(1-$J$635)</f>
        <v>0.13157894736842105</v>
      </c>
      <c r="K642" s="4180" t="s">
        <v>1160</v>
      </c>
      <c r="L642" s="3678"/>
      <c r="M642" s="3679"/>
      <c r="O642" s="621">
        <f>ROW()</f>
        <v>642</v>
      </c>
    </row>
    <row r="643" spans="2:15" ht="14.1" customHeight="1">
      <c r="B643" s="281" t="s">
        <v>6193</v>
      </c>
      <c r="I643" s="257">
        <f>I636/(1-$J$635)</f>
        <v>0.23684210526315788</v>
      </c>
      <c r="K643" s="3680"/>
      <c r="L643" s="3681"/>
      <c r="M643" s="3682"/>
      <c r="O643" s="621">
        <f>ROW()</f>
        <v>643</v>
      </c>
    </row>
    <row r="644" spans="2:15" ht="14.1" customHeight="1">
      <c r="B644" s="281" t="s">
        <v>6194</v>
      </c>
      <c r="I644" s="257">
        <f>I637/(1-$J$635)</f>
        <v>0.34210526315789475</v>
      </c>
      <c r="K644" s="3680"/>
      <c r="L644" s="3681"/>
      <c r="M644" s="3682"/>
      <c r="O644" s="621">
        <f>ROW()</f>
        <v>644</v>
      </c>
    </row>
    <row r="645" spans="2:15" ht="14.1" customHeight="1">
      <c r="B645" s="281" t="s">
        <v>306</v>
      </c>
      <c r="I645" s="211">
        <f>AVERAGE(I642:I644)</f>
        <v>0.23684210526315788</v>
      </c>
      <c r="K645" s="3680"/>
      <c r="L645" s="3681"/>
      <c r="M645" s="3682"/>
      <c r="O645" s="621">
        <f>ROW()</f>
        <v>645</v>
      </c>
    </row>
    <row r="646" spans="2:15" ht="14.1" customHeight="1">
      <c r="B646" s="281" t="s">
        <v>2356</v>
      </c>
      <c r="I646" s="211">
        <f>I645-I631</f>
        <v>0.21684210526315789</v>
      </c>
      <c r="K646" s="3680"/>
      <c r="L646" s="3681"/>
      <c r="M646" s="3682"/>
      <c r="O646" s="621">
        <f>ROW()</f>
        <v>646</v>
      </c>
    </row>
    <row r="647" spans="2:15" ht="14.1" customHeight="1">
      <c r="B647" s="281" t="s">
        <v>535</v>
      </c>
      <c r="I647" s="211">
        <v>0.01</v>
      </c>
      <c r="K647" s="3683"/>
      <c r="L647" s="3684"/>
      <c r="M647" s="3685"/>
      <c r="O647" s="621">
        <f>ROW()</f>
        <v>647</v>
      </c>
    </row>
    <row r="648" spans="2:15" ht="14.1" customHeight="1">
      <c r="B648" s="215" t="s">
        <v>534</v>
      </c>
      <c r="O648" s="621">
        <f>ROW()</f>
        <v>648</v>
      </c>
    </row>
    <row r="649" spans="2:15" ht="14.1" customHeight="1">
      <c r="B649" s="281" t="s">
        <v>2358</v>
      </c>
      <c r="I649" s="241">
        <f ca="1">VMT!L22</f>
        <v>-3.2906114154561225E-2</v>
      </c>
      <c r="O649" s="621">
        <f>ROW()</f>
        <v>649</v>
      </c>
    </row>
    <row r="650" spans="2:15" s="3317" customFormat="1" ht="14.1" customHeight="1">
      <c r="B650" s="4181" t="str">
        <f>CONCATENATE("From 'VMT' tab, Row ",VMT!O22, ". Figure encompasses all of NYC and likely understates % change in traffic in or near CBD, where cycling infrastructure is more robust.")</f>
        <v>From 'VMT' tab, Row 22. Figure encompasses all of NYC and likely understates % change in traffic in or near CBD, where cycling infrastructure is more robust.</v>
      </c>
      <c r="C650" s="3726"/>
      <c r="D650" s="3726"/>
      <c r="E650" s="3726"/>
      <c r="F650" s="3726"/>
      <c r="G650" s="3726"/>
      <c r="H650" s="3726"/>
      <c r="I650" s="3726"/>
      <c r="O650" s="621">
        <f>ROW()</f>
        <v>650</v>
      </c>
    </row>
    <row r="651" spans="2:15" s="3317" customFormat="1" ht="14.1" customHeight="1">
      <c r="B651" s="3726"/>
      <c r="C651" s="3726"/>
      <c r="D651" s="3726"/>
      <c r="E651" s="3726"/>
      <c r="F651" s="3726"/>
      <c r="G651" s="3726"/>
      <c r="H651" s="3726"/>
      <c r="I651" s="3726"/>
      <c r="O651" s="621">
        <f>ROW()</f>
        <v>651</v>
      </c>
    </row>
    <row r="652" spans="2:15" ht="14.1" customHeight="1">
      <c r="B652" s="312" t="s">
        <v>2359</v>
      </c>
      <c r="I652" s="236">
        <f ca="1">-I649*I647*100</f>
        <v>3.2906114154561225E-2</v>
      </c>
      <c r="O652" s="621">
        <f>ROW()</f>
        <v>652</v>
      </c>
    </row>
    <row r="653" spans="2:15" s="3317" customFormat="1" ht="14.1" customHeight="1">
      <c r="B653" s="215" t="str">
        <f>CONCATENATE("Product of Rows ",O647," and ",O649, ", with sign reversed.")</f>
        <v>Product of Rows 647 and 649, with sign reversed.</v>
      </c>
      <c r="I653"/>
      <c r="O653" s="621">
        <f>ROW()</f>
        <v>653</v>
      </c>
    </row>
    <row r="654" spans="2:15" ht="14.1" customHeight="1">
      <c r="B654" s="281" t="s">
        <v>718</v>
      </c>
      <c r="I654" s="249">
        <f ca="1">I652*I646</f>
        <v>7.1354310693048546E-3</v>
      </c>
      <c r="O654" s="621">
        <f>ROW()</f>
        <v>654</v>
      </c>
    </row>
    <row r="655" spans="2:15" s="3317" customFormat="1" ht="14.1" customHeight="1">
      <c r="B655" s="215" t="str">
        <f>CONCATENATE("Product of Rows ",O646," and ",O652, ".")</f>
        <v>Product of Rows 646 and 652.</v>
      </c>
      <c r="I655" s="3329"/>
      <c r="O655" s="621">
        <f>ROW()</f>
        <v>655</v>
      </c>
    </row>
    <row r="656" spans="2:15" ht="14.1" customHeight="1">
      <c r="B656" s="3785" t="s">
        <v>5917</v>
      </c>
      <c r="C656" s="3786"/>
      <c r="D656" s="3786"/>
      <c r="E656" s="3786"/>
      <c r="F656" s="3786"/>
      <c r="G656" s="3786"/>
      <c r="H656" s="3786"/>
      <c r="I656" s="3786"/>
      <c r="O656" s="621">
        <f>ROW()</f>
        <v>656</v>
      </c>
    </row>
    <row r="657" spans="2:15" ht="14.1" customHeight="1">
      <c r="B657" s="3786"/>
      <c r="C657" s="3786"/>
      <c r="D657" s="3786"/>
      <c r="E657" s="3786"/>
      <c r="F657" s="3786"/>
      <c r="G657" s="3786"/>
      <c r="H657" s="3786"/>
      <c r="I657" s="3786"/>
      <c r="O657" s="621">
        <f>ROW()</f>
        <v>657</v>
      </c>
    </row>
    <row r="658" spans="2:15" ht="14.1" customHeight="1">
      <c r="B658" s="3786"/>
      <c r="C658" s="3786"/>
      <c r="D658" s="3786"/>
      <c r="E658" s="3786"/>
      <c r="F658" s="3786"/>
      <c r="G658" s="3786"/>
      <c r="H658" s="3786"/>
      <c r="I658" s="3786"/>
      <c r="O658" s="621">
        <f>ROW()</f>
        <v>658</v>
      </c>
    </row>
    <row r="659" spans="2:15" ht="14.1" customHeight="1">
      <c r="B659" s="312" t="s">
        <v>5916</v>
      </c>
      <c r="I659" s="256">
        <v>52881</v>
      </c>
      <c r="O659" s="621">
        <f>ROW()</f>
        <v>659</v>
      </c>
    </row>
    <row r="660" spans="2:15" ht="14.1" customHeight="1">
      <c r="B660" s="281" t="s">
        <v>6195</v>
      </c>
      <c r="I660" s="256">
        <f>5682+7036+15490</f>
        <v>28208</v>
      </c>
      <c r="O660" s="621">
        <f>ROW()</f>
        <v>660</v>
      </c>
    </row>
    <row r="661" spans="2:15" ht="14.1" customHeight="1">
      <c r="B661" s="281" t="s">
        <v>6196</v>
      </c>
      <c r="I661" s="256">
        <f>769+58+63+215</f>
        <v>1105</v>
      </c>
      <c r="O661" s="621">
        <f>ROW()</f>
        <v>661</v>
      </c>
    </row>
    <row r="662" spans="2:15" ht="14.1" customHeight="1">
      <c r="B662" s="281" t="s">
        <v>1714</v>
      </c>
      <c r="I662" s="256">
        <f>I659-I660-I661</f>
        <v>23568</v>
      </c>
      <c r="O662" s="621">
        <f>ROW()</f>
        <v>662</v>
      </c>
    </row>
    <row r="663" spans="2:15" ht="14.1" customHeight="1">
      <c r="B663" s="3659" t="s">
        <v>1405</v>
      </c>
      <c r="C663" s="3659"/>
      <c r="D663" s="3659"/>
      <c r="E663" s="3659"/>
      <c r="F663" s="3659"/>
      <c r="G663" s="3659"/>
      <c r="H663" s="3659"/>
      <c r="I663" s="12"/>
      <c r="O663" s="621">
        <f>ROW()</f>
        <v>663</v>
      </c>
    </row>
    <row r="664" spans="2:15" ht="14.1" customHeight="1">
      <c r="B664" s="3659"/>
      <c r="C664" s="3659"/>
      <c r="D664" s="3659"/>
      <c r="E664" s="3659"/>
      <c r="F664" s="3659"/>
      <c r="G664" s="3659"/>
      <c r="H664" s="3659"/>
      <c r="I664" s="232">
        <v>-0.28000000000000003</v>
      </c>
      <c r="O664" s="621">
        <f>ROW()</f>
        <v>664</v>
      </c>
    </row>
    <row r="665" spans="2:15" ht="14.1" customHeight="1">
      <c r="B665" s="3785" t="s">
        <v>1806</v>
      </c>
      <c r="C665" s="3786"/>
      <c r="D665" s="3786"/>
      <c r="E665" s="3786"/>
      <c r="F665" s="3786"/>
      <c r="G665" s="3786"/>
      <c r="H665" s="3786"/>
      <c r="I665" s="3786"/>
      <c r="J665" s="3786"/>
      <c r="O665" s="621">
        <f>ROW()</f>
        <v>665</v>
      </c>
    </row>
    <row r="666" spans="2:15" ht="14.1" customHeight="1">
      <c r="B666" s="3786"/>
      <c r="C666" s="3786"/>
      <c r="D666" s="3786"/>
      <c r="E666" s="3786"/>
      <c r="F666" s="3786"/>
      <c r="G666" s="3786"/>
      <c r="H666" s="3786"/>
      <c r="I666" s="3786"/>
      <c r="J666" s="3786"/>
      <c r="O666" s="621">
        <f>ROW()</f>
        <v>666</v>
      </c>
    </row>
    <row r="667" spans="2:15" ht="14.1" customHeight="1">
      <c r="B667" s="3786"/>
      <c r="C667" s="3786"/>
      <c r="D667" s="3786"/>
      <c r="E667" s="3786"/>
      <c r="F667" s="3786"/>
      <c r="G667" s="3786"/>
      <c r="H667" s="3786"/>
      <c r="I667" s="3786"/>
      <c r="J667" s="3786"/>
      <c r="O667" s="621">
        <f>ROW()</f>
        <v>667</v>
      </c>
    </row>
    <row r="668" spans="2:15" ht="14.1" customHeight="1">
      <c r="B668" s="3786"/>
      <c r="C668" s="3786"/>
      <c r="D668" s="3786"/>
      <c r="E668" s="3786"/>
      <c r="F668" s="3786"/>
      <c r="G668" s="3786"/>
      <c r="H668" s="3786"/>
      <c r="I668" s="3786"/>
      <c r="J668" s="3786"/>
      <c r="O668" s="621">
        <f>ROW()</f>
        <v>668</v>
      </c>
    </row>
    <row r="669" spans="2:15" ht="14.1" customHeight="1">
      <c r="B669" s="3786"/>
      <c r="C669" s="3786"/>
      <c r="D669" s="3786"/>
      <c r="E669" s="3786"/>
      <c r="F669" s="3786"/>
      <c r="G669" s="3786"/>
      <c r="H669" s="3786"/>
      <c r="I669" s="3786"/>
      <c r="J669" s="3786"/>
      <c r="O669" s="621">
        <f>ROW()</f>
        <v>669</v>
      </c>
    </row>
    <row r="670" spans="2:15" ht="14.1" customHeight="1">
      <c r="B670" s="3786"/>
      <c r="C670" s="3786"/>
      <c r="D670" s="3786"/>
      <c r="E670" s="3786"/>
      <c r="F670" s="3786"/>
      <c r="G670" s="3786"/>
      <c r="H670" s="3786"/>
      <c r="I670" s="3786"/>
      <c r="J670" s="3786"/>
      <c r="O670" s="621">
        <f>ROW()</f>
        <v>670</v>
      </c>
    </row>
    <row r="671" spans="2:15" ht="14.1" customHeight="1">
      <c r="B671" s="3786"/>
      <c r="C671" s="3786"/>
      <c r="D671" s="3786"/>
      <c r="E671" s="3786"/>
      <c r="F671" s="3786"/>
      <c r="G671" s="3786"/>
      <c r="H671" s="3786"/>
      <c r="I671" s="3786"/>
      <c r="J671" s="3786"/>
      <c r="O671" s="621">
        <f>ROW()</f>
        <v>671</v>
      </c>
    </row>
    <row r="672" spans="2:15" ht="14.1" customHeight="1">
      <c r="B672" s="3786"/>
      <c r="C672" s="3786"/>
      <c r="D672" s="3786"/>
      <c r="E672" s="3786"/>
      <c r="F672" s="3786"/>
      <c r="G672" s="3786"/>
      <c r="H672" s="3786"/>
      <c r="I672" s="3786"/>
      <c r="J672" s="3786"/>
      <c r="O672" s="621">
        <f>ROW()</f>
        <v>672</v>
      </c>
    </row>
    <row r="673" spans="2:15" ht="14.1" customHeight="1">
      <c r="B673" s="312" t="s">
        <v>2875</v>
      </c>
      <c r="C673" s="7"/>
      <c r="D673" s="7"/>
      <c r="E673" s="7"/>
      <c r="F673" s="7"/>
      <c r="G673" s="7"/>
      <c r="H673" s="7"/>
      <c r="I673" s="1173">
        <f ca="1">I654</f>
        <v>7.1354310693048546E-3</v>
      </c>
      <c r="O673" s="621">
        <f>ROW()</f>
        <v>673</v>
      </c>
    </row>
    <row r="674" spans="2:15" ht="14.1" customHeight="1">
      <c r="B674" s="312" t="s">
        <v>1406</v>
      </c>
      <c r="C674" s="7"/>
      <c r="D674" s="7"/>
      <c r="E674" s="7"/>
      <c r="F674" s="7"/>
      <c r="G674" s="7"/>
      <c r="H674" s="7"/>
      <c r="I674" s="249">
        <f ca="1">I673*I664</f>
        <v>-1.9979206994053594E-3</v>
      </c>
      <c r="O674" s="621">
        <f>ROW()</f>
        <v>674</v>
      </c>
    </row>
    <row r="675" spans="2:15" s="3317" customFormat="1" ht="14.1" customHeight="1">
      <c r="B675" s="215" t="str">
        <f>CONCATENATE("Product of Rows ",O664," and ",O673, ".")</f>
        <v>Product of Rows 664 and 673.</v>
      </c>
      <c r="C675" s="7"/>
      <c r="D675" s="7"/>
      <c r="E675" s="7"/>
      <c r="F675" s="7"/>
      <c r="G675" s="7"/>
      <c r="H675" s="7"/>
      <c r="I675" s="12"/>
      <c r="O675" s="621">
        <f>ROW()</f>
        <v>675</v>
      </c>
    </row>
    <row r="676" spans="2:15" ht="14.1" customHeight="1">
      <c r="B676" s="312" t="s">
        <v>1407</v>
      </c>
      <c r="C676" s="7"/>
      <c r="D676" s="7"/>
      <c r="E676" s="7"/>
      <c r="F676" s="7"/>
      <c r="G676" s="7"/>
      <c r="H676" s="7"/>
      <c r="I676" s="256">
        <f ca="1">I674*I662</f>
        <v>-47.08699504358551</v>
      </c>
      <c r="O676" s="621">
        <f>ROW()</f>
        <v>676</v>
      </c>
    </row>
    <row r="677" spans="2:15" s="3317" customFormat="1" ht="14.1" customHeight="1">
      <c r="B677" s="215" t="str">
        <f>CONCATENATE("Product of Rows ",O662," and ",O674, ".")</f>
        <v>Product of Rows 662 and 674.</v>
      </c>
      <c r="C677" s="7"/>
      <c r="D677" s="7"/>
      <c r="E677" s="7"/>
      <c r="F677" s="7"/>
      <c r="G677" s="7"/>
      <c r="H677" s="7"/>
      <c r="I677" s="12"/>
      <c r="O677" s="621">
        <f>ROW()</f>
        <v>677</v>
      </c>
    </row>
    <row r="678" spans="2:15" ht="14.1" customHeight="1">
      <c r="B678" s="281" t="s">
        <v>2752</v>
      </c>
      <c r="C678" s="7"/>
      <c r="D678" s="7"/>
      <c r="E678" s="7"/>
      <c r="F678" s="7"/>
      <c r="G678" s="7"/>
      <c r="H678" s="7"/>
      <c r="I678" s="245">
        <v>2.5</v>
      </c>
      <c r="J678" t="s">
        <v>2616</v>
      </c>
      <c r="O678" s="621">
        <f>ROW()</f>
        <v>678</v>
      </c>
    </row>
    <row r="679" spans="2:15" ht="14.1" customHeight="1">
      <c r="B679" s="309" t="str">
        <f>CONCATENATE("Derived in detailed note in Rows ",O376, " through ",O381, ", above.")</f>
        <v>Derived in detailed note in Rows 376 through 381, above.</v>
      </c>
      <c r="C679" s="7"/>
      <c r="D679" s="7"/>
      <c r="E679" s="7"/>
      <c r="F679" s="7"/>
      <c r="G679" s="7"/>
      <c r="H679" s="7"/>
      <c r="I679" s="127"/>
      <c r="O679" s="621">
        <f>ROW()</f>
        <v>679</v>
      </c>
    </row>
    <row r="680" spans="2:15" ht="14.1" customHeight="1">
      <c r="B680" s="313" t="s">
        <v>2748</v>
      </c>
      <c r="I680" s="248">
        <f>215.3/136.2</f>
        <v>1.5807635829662263</v>
      </c>
      <c r="O680" s="621">
        <f>ROW()</f>
        <v>680</v>
      </c>
    </row>
    <row r="681" spans="2:15" ht="14.1" customHeight="1">
      <c r="B681" s="309" t="s">
        <v>1970</v>
      </c>
      <c r="O681" s="621">
        <f>ROW()</f>
        <v>681</v>
      </c>
    </row>
    <row r="682" spans="2:15" ht="14.1" customHeight="1">
      <c r="B682" s="281" t="s">
        <v>2876</v>
      </c>
      <c r="I682" s="245">
        <f>ROUND(I678*I680,0)</f>
        <v>4</v>
      </c>
      <c r="J682" t="s">
        <v>2616</v>
      </c>
      <c r="O682" s="621">
        <f>ROW()</f>
        <v>682</v>
      </c>
    </row>
    <row r="683" spans="2:15" ht="14.1" customHeight="1">
      <c r="B683" s="281" t="s">
        <v>1150</v>
      </c>
      <c r="I683" s="247">
        <f ca="1">-ROUND(I682*I676,0)</f>
        <v>188</v>
      </c>
      <c r="J683" t="s">
        <v>2616</v>
      </c>
      <c r="O683" s="621">
        <f>ROW()</f>
        <v>683</v>
      </c>
    </row>
    <row r="684" spans="2:15" s="3317" customFormat="1" ht="14.1" customHeight="1">
      <c r="B684" s="215" t="str">
        <f>CONCATENATE("Product of Rows ",O676," and ",O682, ".")</f>
        <v>Product of Rows 676 and 682.</v>
      </c>
      <c r="O684" s="621">
        <f>ROW()</f>
        <v>684</v>
      </c>
    </row>
    <row r="685" spans="2:15" ht="14.1" customHeight="1">
      <c r="B685" s="281" t="s">
        <v>1101</v>
      </c>
      <c r="I685" s="229">
        <v>1</v>
      </c>
      <c r="O685" s="621">
        <f>ROW()</f>
        <v>685</v>
      </c>
    </row>
    <row r="686" spans="2:15" ht="14.1" customHeight="1">
      <c r="B686" s="4149" t="s">
        <v>1019</v>
      </c>
      <c r="C686" s="4149"/>
      <c r="D686" s="4149"/>
      <c r="E686" s="4149"/>
      <c r="F686" s="4149"/>
      <c r="G686" s="4149"/>
      <c r="H686" s="4149"/>
      <c r="I686" s="4149"/>
      <c r="J686" s="309"/>
      <c r="O686" s="621">
        <f>ROW()</f>
        <v>686</v>
      </c>
    </row>
    <row r="687" spans="2:15" ht="14.1" customHeight="1">
      <c r="B687" s="4149"/>
      <c r="C687" s="4149"/>
      <c r="D687" s="4149"/>
      <c r="E687" s="4149"/>
      <c r="F687" s="4149"/>
      <c r="G687" s="4149"/>
      <c r="H687" s="4149"/>
      <c r="I687" s="4149"/>
      <c r="J687" s="309"/>
      <c r="O687" s="621">
        <f>ROW()</f>
        <v>687</v>
      </c>
    </row>
    <row r="688" spans="2:15" ht="14.1" customHeight="1">
      <c r="B688" s="4149"/>
      <c r="C688" s="4149"/>
      <c r="D688" s="4149"/>
      <c r="E688" s="4149"/>
      <c r="F688" s="4149"/>
      <c r="G688" s="4149"/>
      <c r="H688" s="4149"/>
      <c r="I688" s="4149"/>
      <c r="J688" s="309"/>
      <c r="O688" s="621">
        <f>ROW()</f>
        <v>688</v>
      </c>
    </row>
    <row r="689" spans="2:15" ht="14.1" customHeight="1">
      <c r="B689" s="4149"/>
      <c r="C689" s="4149"/>
      <c r="D689" s="4149"/>
      <c r="E689" s="4149"/>
      <c r="F689" s="4149"/>
      <c r="G689" s="4149"/>
      <c r="H689" s="4149"/>
      <c r="I689" s="4149"/>
      <c r="J689" s="309"/>
      <c r="O689" s="621">
        <f>ROW()</f>
        <v>689</v>
      </c>
    </row>
    <row r="690" spans="2:15" ht="14.1" customHeight="1">
      <c r="B690" s="4149"/>
      <c r="C690" s="4149"/>
      <c r="D690" s="4149"/>
      <c r="E690" s="4149"/>
      <c r="F690" s="4149"/>
      <c r="G690" s="4149"/>
      <c r="H690" s="4149"/>
      <c r="I690" s="4149"/>
      <c r="J690" s="309"/>
      <c r="O690" s="621">
        <f>ROW()</f>
        <v>690</v>
      </c>
    </row>
    <row r="691" spans="2:15" ht="14.1" customHeight="1">
      <c r="B691" s="4149"/>
      <c r="C691" s="4149"/>
      <c r="D691" s="4149"/>
      <c r="E691" s="4149"/>
      <c r="F691" s="4149"/>
      <c r="G691" s="4149"/>
      <c r="H691" s="4149"/>
      <c r="I691" s="4149"/>
      <c r="J691" s="309"/>
      <c r="O691" s="621">
        <f>ROW()</f>
        <v>691</v>
      </c>
    </row>
    <row r="692" spans="2:15" ht="14.1" customHeight="1">
      <c r="B692" s="4149"/>
      <c r="C692" s="4149"/>
      <c r="D692" s="4149"/>
      <c r="E692" s="4149"/>
      <c r="F692" s="4149"/>
      <c r="G692" s="4149"/>
      <c r="H692" s="4149"/>
      <c r="I692" s="4149"/>
      <c r="J692" s="309"/>
      <c r="O692" s="621">
        <f>ROW()</f>
        <v>692</v>
      </c>
    </row>
    <row r="693" spans="2:15" ht="14.1" customHeight="1">
      <c r="B693" s="312" t="s">
        <v>5918</v>
      </c>
      <c r="I693" s="247">
        <f ca="1">I683*I685</f>
        <v>188</v>
      </c>
      <c r="J693" t="s">
        <v>2616</v>
      </c>
      <c r="O693" s="621">
        <f>ROW()</f>
        <v>693</v>
      </c>
    </row>
    <row r="694" spans="2:15" ht="14.1" customHeight="1">
      <c r="B694" s="215" t="str">
        <f>CONCATENATE("Product of Rows ",O683," and ",O685, ".")</f>
        <v>Product of Rows 683 and 685.</v>
      </c>
      <c r="O694" s="621">
        <f>ROW()</f>
        <v>694</v>
      </c>
    </row>
    <row r="695" spans="2:15" ht="14.1" customHeight="1">
      <c r="B695" s="281" t="s">
        <v>1576</v>
      </c>
      <c r="I695" s="247">
        <f ca="1">I683+I693</f>
        <v>376</v>
      </c>
      <c r="J695" s="3317" t="s">
        <v>2616</v>
      </c>
      <c r="O695" s="621">
        <f>ROW()</f>
        <v>695</v>
      </c>
    </row>
    <row r="696" spans="2:15" ht="14.1" customHeight="1">
      <c r="B696" s="215" t="str">
        <f>CONCATENATE("Sum of Rows ",O683," and ",O693, ".")</f>
        <v>Sum of Rows 683 and 693.</v>
      </c>
      <c r="O696" s="621">
        <f>ROW()</f>
        <v>696</v>
      </c>
    </row>
    <row r="698" spans="2:15" ht="14.1" customHeight="1">
      <c r="B698" s="1792"/>
    </row>
  </sheetData>
  <customSheetViews>
    <customSheetView guid="{BD5E6263-A0AD-4076-921A-D4EBD62848EF}" showRuler="0" topLeftCell="A270">
      <selection activeCell="M295" sqref="M295"/>
      <pageMargins left="0.75" right="0.75" top="1" bottom="1" header="0.5" footer="0.5"/>
      <pageSetup orientation="portrait" r:id="rId1"/>
      <headerFooter alignWithMargins="0"/>
    </customSheetView>
    <customSheetView guid="{1D5AE30A-CA7C-4B32-AEA4-9F37A560AAA8}" showRuler="0" topLeftCell="A270">
      <selection activeCell="M295" sqref="M295"/>
      <pageMargins left="0.75" right="0.75" top="1" bottom="1" header="0.5" footer="0.5"/>
      <pageSetup orientation="portrait" r:id="rId2"/>
      <headerFooter alignWithMargins="0"/>
    </customSheetView>
  </customSheetViews>
  <mergeCells count="74">
    <mergeCell ref="L4:N9"/>
    <mergeCell ref="B604:J605"/>
    <mergeCell ref="M197:N206"/>
    <mergeCell ref="B469:K476"/>
    <mergeCell ref="B487:K491"/>
    <mergeCell ref="B498:I499"/>
    <mergeCell ref="B508:K511"/>
    <mergeCell ref="B478:K486"/>
    <mergeCell ref="B376:J381"/>
    <mergeCell ref="B439:J442"/>
    <mergeCell ref="B414:I415"/>
    <mergeCell ref="B419:J420"/>
    <mergeCell ref="B467:I468"/>
    <mergeCell ref="B456:I458"/>
    <mergeCell ref="B322:J325"/>
    <mergeCell ref="B317:J320"/>
    <mergeCell ref="B312:J315"/>
    <mergeCell ref="B330:J332"/>
    <mergeCell ref="B341:J346"/>
    <mergeCell ref="B348:J349"/>
    <mergeCell ref="F352:F354"/>
    <mergeCell ref="B451:K452"/>
    <mergeCell ref="B404:H405"/>
    <mergeCell ref="B359:K360"/>
    <mergeCell ref="B374:I375"/>
    <mergeCell ref="N18:N27"/>
    <mergeCell ref="B153:K154"/>
    <mergeCell ref="K173:L175"/>
    <mergeCell ref="I119:J119"/>
    <mergeCell ref="B120:K121"/>
    <mergeCell ref="I140:J140"/>
    <mergeCell ref="B124:K125"/>
    <mergeCell ref="B144:K145"/>
    <mergeCell ref="B163:K166"/>
    <mergeCell ref="B39:K40"/>
    <mergeCell ref="I42:K42"/>
    <mergeCell ref="I43:K43"/>
    <mergeCell ref="D77:K77"/>
    <mergeCell ref="M120:N121"/>
    <mergeCell ref="M124:N124"/>
    <mergeCell ref="B180:K182"/>
    <mergeCell ref="B246:I248"/>
    <mergeCell ref="M213:N217"/>
    <mergeCell ref="B293:K295"/>
    <mergeCell ref="B99:K100"/>
    <mergeCell ref="B234:K236"/>
    <mergeCell ref="B171:K172"/>
    <mergeCell ref="B277:K278"/>
    <mergeCell ref="B126:K127"/>
    <mergeCell ref="B183:K185"/>
    <mergeCell ref="B656:I658"/>
    <mergeCell ref="B663:H664"/>
    <mergeCell ref="B665:J672"/>
    <mergeCell ref="B625:K630"/>
    <mergeCell ref="K642:M647"/>
    <mergeCell ref="B638:I640"/>
    <mergeCell ref="B650:I651"/>
    <mergeCell ref="B632:I633"/>
    <mergeCell ref="B686:I692"/>
    <mergeCell ref="B512:K517"/>
    <mergeCell ref="K541:N550"/>
    <mergeCell ref="B596:J599"/>
    <mergeCell ref="B575:K579"/>
    <mergeCell ref="B580:K584"/>
    <mergeCell ref="B570:K574"/>
    <mergeCell ref="B585:K586"/>
    <mergeCell ref="B589:K594"/>
    <mergeCell ref="B565:K569"/>
    <mergeCell ref="K551:N553"/>
    <mergeCell ref="B550:J551"/>
    <mergeCell ref="G557:H560"/>
    <mergeCell ref="F553:F556"/>
    <mergeCell ref="D553:D556"/>
    <mergeCell ref="B541:J544"/>
  </mergeCells>
  <phoneticPr fontId="6" type="noConversion"/>
  <pageMargins left="0.75" right="0.75" top="1" bottom="1" header="0.5" footer="0.5"/>
  <pageSetup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sheetPr codeName="Sheet49"/>
  <dimension ref="B1:Q244"/>
  <sheetViews>
    <sheetView zoomScaleNormal="100" workbookViewId="0"/>
  </sheetViews>
  <sheetFormatPr defaultColWidth="11.625" defaultRowHeight="13.95" customHeight="1"/>
  <cols>
    <col min="1" max="1" width="2.375" customWidth="1"/>
    <col min="2" max="13" width="13.625" customWidth="1"/>
    <col min="14" max="14" width="13.625" style="3300" customWidth="1"/>
    <col min="15" max="15" width="13.625" customWidth="1"/>
    <col min="16" max="16" width="2.125" customWidth="1"/>
  </cols>
  <sheetData>
    <row r="1" spans="2:16" ht="13.95" customHeight="1">
      <c r="P1" s="117">
        <f>ROW()</f>
        <v>1</v>
      </c>
    </row>
    <row r="2" spans="2:16" ht="13.95" customHeight="1">
      <c r="B2" s="115" t="s">
        <v>1766</v>
      </c>
      <c r="J2" s="181">
        <f>'Title Page'!K1</f>
        <v>40914</v>
      </c>
      <c r="P2" s="117">
        <f>ROW()</f>
        <v>2</v>
      </c>
    </row>
    <row r="3" spans="2:16" ht="13.95" customHeight="1">
      <c r="P3" s="117">
        <f>ROW()</f>
        <v>3</v>
      </c>
    </row>
    <row r="4" spans="2:16" ht="13.95" customHeight="1">
      <c r="B4" s="3778" t="s">
        <v>3368</v>
      </c>
      <c r="C4" s="3779"/>
      <c r="D4" s="3779"/>
      <c r="E4" s="3779"/>
      <c r="F4" s="3779"/>
      <c r="G4" s="3779"/>
      <c r="H4" s="3779"/>
      <c r="I4" s="3779"/>
      <c r="J4" s="3779"/>
      <c r="P4" s="117">
        <f>ROW()</f>
        <v>4</v>
      </c>
    </row>
    <row r="5" spans="2:16" ht="13.95" customHeight="1">
      <c r="B5" s="3779"/>
      <c r="C5" s="3779"/>
      <c r="D5" s="3779"/>
      <c r="E5" s="3779"/>
      <c r="F5" s="3779"/>
      <c r="G5" s="3779"/>
      <c r="H5" s="3779"/>
      <c r="I5" s="3779"/>
      <c r="J5" s="3779"/>
      <c r="P5" s="117">
        <f>ROW()</f>
        <v>5</v>
      </c>
    </row>
    <row r="6" spans="2:16" ht="13.95" customHeight="1">
      <c r="B6" s="3779"/>
      <c r="C6" s="3779"/>
      <c r="D6" s="3779"/>
      <c r="E6" s="3779"/>
      <c r="F6" s="3779"/>
      <c r="G6" s="3779"/>
      <c r="H6" s="3779"/>
      <c r="I6" s="3779"/>
      <c r="J6" s="3779"/>
      <c r="P6" s="117">
        <f>ROW()</f>
        <v>6</v>
      </c>
    </row>
    <row r="7" spans="2:16" ht="13.95" customHeight="1">
      <c r="P7" s="117">
        <f>ROW()</f>
        <v>7</v>
      </c>
    </row>
    <row r="8" spans="2:16" ht="13.95" customHeight="1">
      <c r="B8" s="3778" t="s">
        <v>3030</v>
      </c>
      <c r="C8" s="3779"/>
      <c r="D8" s="3779"/>
      <c r="E8" s="3779"/>
      <c r="F8" s="3779"/>
      <c r="G8" s="3779"/>
      <c r="H8" s="3779"/>
      <c r="I8" s="3779"/>
      <c r="J8" s="3779"/>
      <c r="P8" s="117">
        <f>ROW()</f>
        <v>8</v>
      </c>
    </row>
    <row r="9" spans="2:16" ht="13.95" customHeight="1">
      <c r="B9" s="3779"/>
      <c r="C9" s="3779"/>
      <c r="D9" s="3779"/>
      <c r="E9" s="3779"/>
      <c r="F9" s="3779"/>
      <c r="G9" s="3779"/>
      <c r="H9" s="3779"/>
      <c r="I9" s="3779"/>
      <c r="J9" s="3779"/>
      <c r="P9" s="117">
        <f>ROW()</f>
        <v>9</v>
      </c>
    </row>
    <row r="10" spans="2:16" ht="13.95" customHeight="1">
      <c r="P10" s="117">
        <f>ROW()</f>
        <v>10</v>
      </c>
    </row>
    <row r="11" spans="2:16" ht="13.95" customHeight="1">
      <c r="B11" s="3787" t="s">
        <v>5919</v>
      </c>
      <c r="C11" s="3779"/>
      <c r="D11" s="3779"/>
      <c r="E11" s="3779"/>
      <c r="F11" s="3779"/>
      <c r="G11" s="3779"/>
      <c r="H11" s="3779"/>
      <c r="I11" s="3779"/>
      <c r="J11" s="3779"/>
      <c r="P11" s="117">
        <f>ROW()</f>
        <v>11</v>
      </c>
    </row>
    <row r="12" spans="2:16" ht="13.95" customHeight="1">
      <c r="B12" s="3779"/>
      <c r="C12" s="3779"/>
      <c r="D12" s="3779"/>
      <c r="E12" s="3779"/>
      <c r="F12" s="3779"/>
      <c r="G12" s="3779"/>
      <c r="H12" s="3779"/>
      <c r="I12" s="3779"/>
      <c r="J12" s="3779"/>
      <c r="P12" s="117">
        <f>ROW()</f>
        <v>12</v>
      </c>
    </row>
    <row r="13" spans="2:16" ht="13.95" customHeight="1">
      <c r="B13" s="3779"/>
      <c r="C13" s="3779"/>
      <c r="D13" s="3779"/>
      <c r="E13" s="3779"/>
      <c r="F13" s="3779"/>
      <c r="G13" s="3779"/>
      <c r="H13" s="3779"/>
      <c r="I13" s="3779"/>
      <c r="J13" s="3779"/>
      <c r="P13" s="117">
        <f>ROW()</f>
        <v>13</v>
      </c>
    </row>
    <row r="14" spans="2:16" s="3324" customFormat="1" ht="13.95" customHeight="1">
      <c r="B14" s="3323"/>
      <c r="C14" s="3323"/>
      <c r="D14" s="3323"/>
      <c r="E14" s="3323"/>
      <c r="F14" s="3323"/>
      <c r="G14" s="3323"/>
      <c r="H14" s="3323"/>
      <c r="I14" s="3323"/>
      <c r="J14" s="3323"/>
      <c r="P14" s="117">
        <f>ROW()</f>
        <v>14</v>
      </c>
    </row>
    <row r="15" spans="2:16" s="3324" customFormat="1" ht="13.95" customHeight="1">
      <c r="B15" s="3787" t="str">
        <f>CONCATENATE("We begin with two pie-charts -- a 'full breakout and a 'coarse' one of mode splits for trips into the CBD. Scroll down to Row ",P138, " for projections of mode splits under the pricing plan selected in the 'Results' worksheet tab.'")</f>
        <v>We begin with two pie-charts -- a 'full breakout and a 'coarse' one of mode splits for trips into the CBD. Scroll down to Row 138 for projections of mode splits under the pricing plan selected in the 'Results' worksheet tab.'</v>
      </c>
      <c r="C15" s="3779"/>
      <c r="D15" s="3779"/>
      <c r="E15" s="3779"/>
      <c r="F15" s="3779"/>
      <c r="G15" s="3779"/>
      <c r="H15" s="3779"/>
      <c r="I15" s="3779"/>
      <c r="J15" s="3779"/>
      <c r="P15" s="117">
        <f>ROW()</f>
        <v>15</v>
      </c>
    </row>
    <row r="16" spans="2:16" s="3324" customFormat="1" ht="13.95" customHeight="1">
      <c r="B16" s="3779"/>
      <c r="C16" s="3779"/>
      <c r="D16" s="3779"/>
      <c r="E16" s="3779"/>
      <c r="F16" s="3779"/>
      <c r="G16" s="3779"/>
      <c r="H16" s="3779"/>
      <c r="I16" s="3779"/>
      <c r="J16" s="3779"/>
      <c r="P16" s="117">
        <f>ROW()</f>
        <v>16</v>
      </c>
    </row>
    <row r="17" spans="2:16" s="3324" customFormat="1" ht="13.95" customHeight="1">
      <c r="B17" s="3323"/>
      <c r="C17" s="3323"/>
      <c r="D17" s="3323"/>
      <c r="E17" s="3323"/>
      <c r="F17" s="3323"/>
      <c r="G17" s="3323"/>
      <c r="H17" s="3323"/>
      <c r="I17" s="3323"/>
      <c r="J17" s="3323"/>
      <c r="P17" s="117">
        <f>ROW()</f>
        <v>17</v>
      </c>
    </row>
    <row r="18" spans="2:16" s="3324" customFormat="1" ht="13.95" customHeight="1">
      <c r="B18" s="3323"/>
      <c r="P18" s="117">
        <f>ROW()</f>
        <v>18</v>
      </c>
    </row>
    <row r="19" spans="2:16" s="3324" customFormat="1" ht="13.95" customHeight="1">
      <c r="B19" s="3323"/>
      <c r="P19" s="117">
        <f>ROW()</f>
        <v>19</v>
      </c>
    </row>
    <row r="20" spans="2:16" s="3324" customFormat="1" ht="13.95" customHeight="1">
      <c r="B20" s="3323"/>
      <c r="P20" s="117">
        <f>ROW()</f>
        <v>20</v>
      </c>
    </row>
    <row r="21" spans="2:16" s="3324" customFormat="1" ht="13.95" customHeight="1">
      <c r="B21" s="3323"/>
      <c r="P21" s="117">
        <f>ROW()</f>
        <v>21</v>
      </c>
    </row>
    <row r="22" spans="2:16" s="3324" customFormat="1" ht="13.95" customHeight="1">
      <c r="B22" s="3323"/>
      <c r="P22" s="117">
        <f>ROW()</f>
        <v>22</v>
      </c>
    </row>
    <row r="23" spans="2:16" s="3324" customFormat="1" ht="13.95" customHeight="1">
      <c r="B23" s="3323"/>
      <c r="P23" s="117">
        <f>ROW()</f>
        <v>23</v>
      </c>
    </row>
    <row r="24" spans="2:16" s="3324" customFormat="1" ht="13.95" customHeight="1">
      <c r="B24" s="3323"/>
      <c r="P24" s="117">
        <f>ROW()</f>
        <v>24</v>
      </c>
    </row>
    <row r="25" spans="2:16" s="3324" customFormat="1" ht="13.95" customHeight="1">
      <c r="B25" s="3323"/>
      <c r="P25" s="117">
        <f>ROW()</f>
        <v>25</v>
      </c>
    </row>
    <row r="26" spans="2:16" s="3324" customFormat="1" ht="13.95" customHeight="1">
      <c r="B26" s="3323"/>
      <c r="P26" s="117">
        <f>ROW()</f>
        <v>26</v>
      </c>
    </row>
    <row r="27" spans="2:16" s="3324" customFormat="1" ht="13.95" customHeight="1">
      <c r="B27" s="3323"/>
      <c r="P27" s="117">
        <f>ROW()</f>
        <v>27</v>
      </c>
    </row>
    <row r="28" spans="2:16" s="3324" customFormat="1" ht="13.95" customHeight="1">
      <c r="B28" s="3323"/>
      <c r="P28" s="117">
        <f>ROW()</f>
        <v>28</v>
      </c>
    </row>
    <row r="29" spans="2:16" s="3324" customFormat="1" ht="13.95" customHeight="1">
      <c r="B29" s="3323"/>
      <c r="P29" s="117">
        <f>ROW()</f>
        <v>29</v>
      </c>
    </row>
    <row r="30" spans="2:16" s="3324" customFormat="1" ht="13.95" customHeight="1">
      <c r="B30" s="3323"/>
      <c r="P30" s="117">
        <f>ROW()</f>
        <v>30</v>
      </c>
    </row>
    <row r="31" spans="2:16" s="3324" customFormat="1" ht="13.95" customHeight="1">
      <c r="B31" s="3323"/>
      <c r="P31" s="117">
        <f>ROW()</f>
        <v>31</v>
      </c>
    </row>
    <row r="32" spans="2:16" s="3324" customFormat="1" ht="13.95" customHeight="1">
      <c r="B32" s="3323"/>
      <c r="P32" s="117">
        <f>ROW()</f>
        <v>32</v>
      </c>
    </row>
    <row r="33" spans="2:16" s="3324" customFormat="1" ht="13.95" customHeight="1">
      <c r="B33" s="3323"/>
      <c r="P33" s="117">
        <f>ROW()</f>
        <v>33</v>
      </c>
    </row>
    <row r="34" spans="2:16" s="3324" customFormat="1" ht="13.95" customHeight="1">
      <c r="B34" s="3323"/>
      <c r="P34" s="117">
        <f>ROW()</f>
        <v>34</v>
      </c>
    </row>
    <row r="35" spans="2:16" s="3324" customFormat="1" ht="13.95" customHeight="1">
      <c r="B35" s="3323"/>
      <c r="P35" s="117">
        <f>ROW()</f>
        <v>35</v>
      </c>
    </row>
    <row r="36" spans="2:16" s="3324" customFormat="1" ht="13.95" customHeight="1">
      <c r="B36" s="3323"/>
      <c r="P36" s="117">
        <f>ROW()</f>
        <v>36</v>
      </c>
    </row>
    <row r="37" spans="2:16" s="3324" customFormat="1" ht="13.95" customHeight="1">
      <c r="B37" s="3323"/>
      <c r="P37" s="117">
        <f>ROW()</f>
        <v>37</v>
      </c>
    </row>
    <row r="38" spans="2:16" s="3324" customFormat="1" ht="13.95" customHeight="1">
      <c r="B38" s="3323"/>
      <c r="P38" s="117">
        <f>ROW()</f>
        <v>38</v>
      </c>
    </row>
    <row r="39" spans="2:16" s="3324" customFormat="1" ht="13.95" customHeight="1">
      <c r="B39" s="3323"/>
      <c r="P39" s="117">
        <f>ROW()</f>
        <v>39</v>
      </c>
    </row>
    <row r="40" spans="2:16" s="3324" customFormat="1" ht="13.95" customHeight="1">
      <c r="B40" s="3323"/>
      <c r="P40" s="117">
        <f>ROW()</f>
        <v>40</v>
      </c>
    </row>
    <row r="41" spans="2:16" s="3324" customFormat="1" ht="13.95" customHeight="1">
      <c r="B41" s="3323"/>
      <c r="H41" s="3323"/>
      <c r="I41" s="3323"/>
      <c r="J41" s="3323"/>
      <c r="P41" s="117">
        <f>ROW()</f>
        <v>41</v>
      </c>
    </row>
    <row r="42" spans="2:16" s="3324" customFormat="1" ht="13.95" customHeight="1">
      <c r="B42" s="1766" t="s">
        <v>5920</v>
      </c>
      <c r="C42" s="3323"/>
      <c r="D42" s="3323"/>
      <c r="E42" s="3323"/>
      <c r="F42" s="3323"/>
      <c r="G42" s="3323"/>
      <c r="H42" s="3323"/>
      <c r="I42" s="3323"/>
      <c r="J42" s="3323"/>
      <c r="P42" s="117">
        <f>ROW()</f>
        <v>42</v>
      </c>
    </row>
    <row r="43" spans="2:16" ht="13.95" customHeight="1">
      <c r="N43" s="4232" t="s">
        <v>5853</v>
      </c>
      <c r="O43" s="4232" t="s">
        <v>5854</v>
      </c>
      <c r="P43" s="117">
        <f>ROW()</f>
        <v>43</v>
      </c>
    </row>
    <row r="44" spans="2:16" ht="13.95" customHeight="1">
      <c r="G44" s="4232" t="s">
        <v>3031</v>
      </c>
      <c r="H44" s="4232" t="s">
        <v>5852</v>
      </c>
      <c r="I44" s="4232" t="s">
        <v>3032</v>
      </c>
      <c r="J44" s="4232" t="s">
        <v>3033</v>
      </c>
      <c r="N44" s="4232"/>
      <c r="O44" s="4232"/>
      <c r="P44" s="117">
        <f>ROW()</f>
        <v>44</v>
      </c>
    </row>
    <row r="45" spans="2:16" ht="13.95" customHeight="1">
      <c r="G45" s="3807" t="s">
        <v>3031</v>
      </c>
      <c r="H45" s="3807"/>
      <c r="I45" s="3807"/>
      <c r="J45" s="3807"/>
      <c r="N45" s="4232"/>
      <c r="O45" s="4232"/>
      <c r="P45" s="117">
        <f>ROW()</f>
        <v>45</v>
      </c>
    </row>
    <row r="46" spans="2:16" ht="13.95" customHeight="1">
      <c r="G46" s="3807"/>
      <c r="H46" s="3807"/>
      <c r="I46" s="3807"/>
      <c r="J46" s="3807"/>
      <c r="N46" s="4232"/>
      <c r="O46" s="4232"/>
      <c r="P46" s="117">
        <f>ROW()</f>
        <v>46</v>
      </c>
    </row>
    <row r="47" spans="2:16" ht="13.95" customHeight="1">
      <c r="G47" s="146"/>
      <c r="H47" s="199"/>
      <c r="I47" s="146"/>
      <c r="J47" s="146"/>
      <c r="P47" s="117">
        <f>ROW()</f>
        <v>47</v>
      </c>
    </row>
    <row r="48" spans="2:16" s="3316" customFormat="1" ht="13.95" customHeight="1">
      <c r="B48" s="3322" t="s">
        <v>5893</v>
      </c>
      <c r="G48" s="146"/>
      <c r="H48" s="3315"/>
      <c r="I48" s="146"/>
      <c r="J48" s="146"/>
      <c r="P48" s="117">
        <f>ROW()</f>
        <v>48</v>
      </c>
    </row>
    <row r="49" spans="2:17" s="3316" customFormat="1" ht="13.95" customHeight="1">
      <c r="G49" s="146"/>
      <c r="H49" s="3315"/>
      <c r="I49" s="146"/>
      <c r="J49" s="146"/>
      <c r="P49" s="117">
        <f>ROW()</f>
        <v>49</v>
      </c>
    </row>
    <row r="50" spans="2:17" ht="13.95" customHeight="1">
      <c r="B50" s="24" t="s">
        <v>5880</v>
      </c>
      <c r="G50" s="146"/>
      <c r="H50" s="199"/>
      <c r="I50" s="146"/>
      <c r="J50" s="146"/>
      <c r="P50" s="117">
        <f>ROW()</f>
        <v>50</v>
      </c>
    </row>
    <row r="51" spans="2:17" ht="13.95" customHeight="1">
      <c r="P51" s="117">
        <f>ROW()</f>
        <v>51</v>
      </c>
    </row>
    <row r="52" spans="2:17" ht="13.95" customHeight="1">
      <c r="B52" s="6" t="s">
        <v>1768</v>
      </c>
      <c r="P52" s="117">
        <f>ROW()</f>
        <v>52</v>
      </c>
    </row>
    <row r="53" spans="2:17" ht="13.95" customHeight="1">
      <c r="B53" s="281" t="s">
        <v>2065</v>
      </c>
      <c r="D53" s="3819" t="str">
        <f>CONCATENATE("Trips are from 'Motor Vs' worksheet, with Baseline number taken from Row ",'Motor Vs'!O68, " and Modeled Plan number taken from Row ",'Motor Vs'!O848,".")</f>
        <v>Trips are from 'Motor Vs' worksheet, with Baseline number taken from Row 68 and Modeled Plan number taken from Row 848.</v>
      </c>
      <c r="E53" s="3678"/>
      <c r="F53" s="3679"/>
      <c r="G53" s="10">
        <f>'Motor Vs'!I76</f>
        <v>260770.0910821009</v>
      </c>
      <c r="H53" s="10">
        <f ca="1">'Motor Vs'!W848</f>
        <v>209202.4873175883</v>
      </c>
      <c r="I53" s="575">
        <f ca="1">H53-G53</f>
        <v>-51567.603764512605</v>
      </c>
      <c r="J53" s="12">
        <f ca="1">I53/G53</f>
        <v>-0.19775122043531079</v>
      </c>
      <c r="L53" s="3311"/>
      <c r="M53" s="3311"/>
      <c r="N53" s="3307"/>
      <c r="P53" s="117">
        <f>ROW()</f>
        <v>53</v>
      </c>
    </row>
    <row r="54" spans="2:17" ht="13.95" customHeight="1">
      <c r="B54" s="281" t="s">
        <v>2066</v>
      </c>
      <c r="D54" s="3680"/>
      <c r="E54" s="3681"/>
      <c r="F54" s="3682"/>
      <c r="G54" s="10">
        <f>'Motor Vs'!J76</f>
        <v>183409.90891789904</v>
      </c>
      <c r="H54" s="10">
        <f ca="1">'Motor Vs'!AF848</f>
        <v>155931.4255238116</v>
      </c>
      <c r="I54" s="575">
        <f ca="1">H54-G54</f>
        <v>-27478.483394087438</v>
      </c>
      <c r="J54" s="12">
        <f ca="1">I54/G54</f>
        <v>-0.14982005910262902</v>
      </c>
      <c r="L54" s="4233" t="s">
        <v>3038</v>
      </c>
      <c r="M54" s="4234"/>
      <c r="N54" s="3307"/>
      <c r="P54" s="117">
        <f>ROW()</f>
        <v>54</v>
      </c>
    </row>
    <row r="55" spans="2:17" ht="13.95" customHeight="1">
      <c r="B55" s="281" t="s">
        <v>1767</v>
      </c>
      <c r="D55" s="3680"/>
      <c r="E55" s="3681"/>
      <c r="F55" s="3682"/>
      <c r="G55" s="10">
        <f>'Motor Vs'!K76</f>
        <v>127122.22222222225</v>
      </c>
      <c r="H55" s="10">
        <f ca="1">'Motor Vs'!AO848</f>
        <v>87123.925786621359</v>
      </c>
      <c r="I55" s="575">
        <f ca="1">H55-G55</f>
        <v>-39998.296435600889</v>
      </c>
      <c r="J55" s="12">
        <f ca="1">I55/G55</f>
        <v>-0.31464440863596532</v>
      </c>
      <c r="L55" s="4235"/>
      <c r="M55" s="4236"/>
      <c r="N55" s="3307"/>
      <c r="P55" s="117">
        <f>ROW()</f>
        <v>55</v>
      </c>
      <c r="Q55" s="3300"/>
    </row>
    <row r="56" spans="2:17" ht="13.95" customHeight="1">
      <c r="B56" s="281" t="s">
        <v>228</v>
      </c>
      <c r="D56" s="3683"/>
      <c r="E56" s="3684"/>
      <c r="F56" s="3685"/>
      <c r="G56" s="10">
        <f>SUM(G53:G55)</f>
        <v>571302.22222222225</v>
      </c>
      <c r="H56" s="10">
        <f ca="1">SUM(H53:H55)</f>
        <v>452257.83862802124</v>
      </c>
      <c r="I56" s="575">
        <f ca="1">H56-G56</f>
        <v>-119044.383594201</v>
      </c>
      <c r="J56" s="184">
        <f ca="1">I56/G56</f>
        <v>-0.20837374504014397</v>
      </c>
      <c r="L56" s="4237"/>
      <c r="M56" s="4238"/>
      <c r="N56" s="3307"/>
      <c r="P56" s="117">
        <f>ROW()</f>
        <v>56</v>
      </c>
    </row>
    <row r="57" spans="2:17" ht="13.95" customHeight="1">
      <c r="B57" s="3313" t="s">
        <v>5858</v>
      </c>
      <c r="C57" s="50"/>
      <c r="D57" s="3312"/>
      <c r="E57" s="3312"/>
      <c r="F57" s="90"/>
      <c r="G57" s="1855">
        <f>G53+G54</f>
        <v>444179.99999999994</v>
      </c>
      <c r="H57" s="1855">
        <f ca="1">H53+H54</f>
        <v>365133.9128413999</v>
      </c>
      <c r="I57" s="1857">
        <f ca="1">H57-G57</f>
        <v>-79046.087158600043</v>
      </c>
      <c r="J57" s="1856">
        <f ca="1">I57/G57</f>
        <v>-0.17795958205817475</v>
      </c>
      <c r="N57" s="86"/>
      <c r="P57" s="117">
        <f>ROW()</f>
        <v>57</v>
      </c>
    </row>
    <row r="58" spans="2:17" ht="13.95" customHeight="1">
      <c r="B58" s="6" t="s">
        <v>1769</v>
      </c>
      <c r="N58" s="86"/>
      <c r="P58" s="117">
        <f>ROW()</f>
        <v>58</v>
      </c>
    </row>
    <row r="59" spans="2:17" ht="13.95" customHeight="1">
      <c r="B59" s="281" t="s">
        <v>2065</v>
      </c>
      <c r="D59" s="3819" t="str">
        <f>CONCATENATE("'Before' rates are from 'H.I.S.' worksheet, Row ",H.I.S.!Z128, "; through figure is wghtd avg of Work + Non-Work. Total is after-the-fact calculation. 'After' rates are from Row ",P213, ", below.")</f>
        <v>'Before' rates are from 'H.I.S.' worksheet, Row 128; through figure is wghtd avg of Work + Non-Work. Total is after-the-fact calculation. 'After' rates are from Row 213, below.</v>
      </c>
      <c r="E59" s="3678"/>
      <c r="F59" s="3679"/>
      <c r="G59" s="117">
        <f>H.I.S.!G128</f>
        <v>1.1499999999999999</v>
      </c>
      <c r="H59" s="117">
        <f>G213</f>
        <v>1.1775794841957974</v>
      </c>
      <c r="I59" s="117">
        <f>H59-G59</f>
        <v>2.7579484195797477E-2</v>
      </c>
      <c r="J59" s="12">
        <f>I59/G59</f>
        <v>2.3982160170258678E-2</v>
      </c>
      <c r="L59" s="3311"/>
      <c r="M59" s="3311"/>
      <c r="N59" s="3307"/>
      <c r="P59" s="117">
        <f>ROW()</f>
        <v>59</v>
      </c>
    </row>
    <row r="60" spans="2:17" ht="13.95" customHeight="1">
      <c r="B60" s="281" t="s">
        <v>2066</v>
      </c>
      <c r="D60" s="3680"/>
      <c r="E60" s="3681"/>
      <c r="F60" s="3682"/>
      <c r="G60" s="117">
        <f>H.I.S.!H128</f>
        <v>1.5</v>
      </c>
      <c r="H60" s="117">
        <f>H213</f>
        <v>1.670459573113704</v>
      </c>
      <c r="I60" s="117">
        <f>H60-G60</f>
        <v>0.17045957311370397</v>
      </c>
      <c r="J60" s="12">
        <f>I60/G60</f>
        <v>0.11363971540913598</v>
      </c>
      <c r="L60" s="4233" t="s">
        <v>3041</v>
      </c>
      <c r="M60" s="4234"/>
      <c r="N60" s="3307"/>
      <c r="P60" s="117">
        <f>ROW()</f>
        <v>60</v>
      </c>
    </row>
    <row r="61" spans="2:17" ht="13.95" customHeight="1">
      <c r="B61" s="281" t="s">
        <v>1767</v>
      </c>
      <c r="D61" s="3680"/>
      <c r="E61" s="3681"/>
      <c r="F61" s="3682"/>
      <c r="G61" s="117">
        <f>G59*'Motor Vs'!I39+G60*(1-'Motor Vs'!I39)</f>
        <v>1.2945212934424437</v>
      </c>
      <c r="H61" s="117">
        <f>I213</f>
        <v>1.419029562350135</v>
      </c>
      <c r="I61" s="117">
        <f>H61-G61</f>
        <v>0.12450826890769129</v>
      </c>
      <c r="J61" s="12">
        <f>I61/G61</f>
        <v>9.6180935407090787E-2</v>
      </c>
      <c r="L61" s="4235"/>
      <c r="M61" s="4236"/>
      <c r="N61" s="3307"/>
      <c r="P61" s="117">
        <f>ROW()</f>
        <v>61</v>
      </c>
    </row>
    <row r="62" spans="2:17" ht="13.95" customHeight="1">
      <c r="B62" s="281" t="s">
        <v>228</v>
      </c>
      <c r="D62" s="3683"/>
      <c r="E62" s="3684"/>
      <c r="F62" s="3685"/>
      <c r="G62" s="117">
        <f>G68/G56</f>
        <v>1.2945212934424437</v>
      </c>
      <c r="H62" s="117">
        <f ca="1">H68/H56</f>
        <v>1.3940302899231907</v>
      </c>
      <c r="I62" s="117">
        <f ca="1">H62-G62</f>
        <v>9.9508996480746958E-2</v>
      </c>
      <c r="J62" s="184">
        <f ca="1">I62/G62</f>
        <v>7.6869339256775443E-2</v>
      </c>
      <c r="L62" s="4235"/>
      <c r="M62" s="4236"/>
      <c r="N62" s="3307"/>
      <c r="P62" s="117">
        <f>ROW()</f>
        <v>62</v>
      </c>
    </row>
    <row r="63" spans="2:17" ht="13.95" customHeight="1">
      <c r="B63" s="3313" t="s">
        <v>5857</v>
      </c>
      <c r="C63" s="50"/>
      <c r="D63" s="3312"/>
      <c r="E63" s="90"/>
      <c r="F63" s="90"/>
      <c r="G63" s="915">
        <f>G69/G57</f>
        <v>1.2945212934424437</v>
      </c>
      <c r="H63" s="915">
        <f ca="1">H69/H57</f>
        <v>1.3880652598916179</v>
      </c>
      <c r="I63" s="1858">
        <f ca="1">H63-G63</f>
        <v>9.3543966449174176E-2</v>
      </c>
      <c r="J63" s="1856">
        <f ca="1">I63/G63</f>
        <v>7.2261435113530073E-2</v>
      </c>
      <c r="L63" s="4237"/>
      <c r="M63" s="4238"/>
      <c r="N63" s="3308"/>
      <c r="P63" s="117">
        <f>ROW()</f>
        <v>63</v>
      </c>
    </row>
    <row r="64" spans="2:17" ht="13.95" customHeight="1">
      <c r="B64" s="2" t="s">
        <v>3034</v>
      </c>
      <c r="N64" s="86"/>
      <c r="P64" s="117">
        <f>ROW()</f>
        <v>64</v>
      </c>
    </row>
    <row r="65" spans="2:16" ht="13.95" customHeight="1">
      <c r="B65" s="281" t="s">
        <v>2065</v>
      </c>
      <c r="D65" s="3819" t="s">
        <v>3035</v>
      </c>
      <c r="E65" s="3678"/>
      <c r="F65" s="3679"/>
      <c r="G65" s="1122">
        <f t="shared" ref="G65:H67" si="0">G53*G59</f>
        <v>299885.60474441602</v>
      </c>
      <c r="H65" s="1122">
        <f t="shared" ca="1" si="0"/>
        <v>246352.55710792347</v>
      </c>
      <c r="I65" s="607">
        <f ca="1">H65-G65</f>
        <v>-53533.047636492556</v>
      </c>
      <c r="J65" s="12">
        <f ca="1">I65/G65</f>
        <v>-0.1785115617073959</v>
      </c>
      <c r="L65" s="3311"/>
      <c r="M65" s="3311"/>
      <c r="N65" s="3307"/>
      <c r="P65" s="117">
        <f>ROW()</f>
        <v>65</v>
      </c>
    </row>
    <row r="66" spans="2:16" ht="13.95" customHeight="1">
      <c r="B66" s="281" t="s">
        <v>2066</v>
      </c>
      <c r="D66" s="3680"/>
      <c r="E66" s="3681"/>
      <c r="F66" s="3682"/>
      <c r="G66" s="1122">
        <f t="shared" si="0"/>
        <v>275114.86337684857</v>
      </c>
      <c r="H66" s="1122">
        <f t="shared" ca="1" si="0"/>
        <v>260477.14251551765</v>
      </c>
      <c r="I66" s="607">
        <f ca="1">H66-G66</f>
        <v>-14637.720861330919</v>
      </c>
      <c r="J66" s="12">
        <f ca="1">I66/G66</f>
        <v>-5.3205852572495764E-2</v>
      </c>
      <c r="L66" s="4233" t="s">
        <v>3039</v>
      </c>
      <c r="M66" s="4234"/>
      <c r="N66" s="3307"/>
      <c r="P66" s="117">
        <f>ROW()</f>
        <v>66</v>
      </c>
    </row>
    <row r="67" spans="2:16" ht="13.95" customHeight="1">
      <c r="B67" s="281" t="s">
        <v>1767</v>
      </c>
      <c r="D67" s="3680"/>
      <c r="E67" s="3681"/>
      <c r="F67" s="3682"/>
      <c r="G67" s="1122">
        <f t="shared" si="0"/>
        <v>164562.4235363889</v>
      </c>
      <c r="H67" s="1122">
        <f t="shared" ca="1" si="0"/>
        <v>123631.42627921495</v>
      </c>
      <c r="I67" s="575">
        <f ca="1">H67-G67</f>
        <v>-40930.997257173949</v>
      </c>
      <c r="J67" s="12">
        <f ca="1">I67/G67</f>
        <v>-0.24872626677209256</v>
      </c>
      <c r="L67" s="4235"/>
      <c r="M67" s="4236"/>
      <c r="N67" s="3307"/>
      <c r="P67" s="117">
        <f>ROW()</f>
        <v>67</v>
      </c>
    </row>
    <row r="68" spans="2:16" ht="13.95" customHeight="1">
      <c r="B68" s="281" t="s">
        <v>228</v>
      </c>
      <c r="D68" s="3683"/>
      <c r="E68" s="3684"/>
      <c r="F68" s="3685"/>
      <c r="G68" s="1179">
        <f>SUM(G65:G67)</f>
        <v>739562.8916576535</v>
      </c>
      <c r="H68" s="1179">
        <f ca="1">SUM(H65:H67)</f>
        <v>630461.125902656</v>
      </c>
      <c r="I68" s="575">
        <f ca="1">H68-G68</f>
        <v>-109101.7657549975</v>
      </c>
      <c r="J68" s="184">
        <f ca="1">I68/G68</f>
        <v>-0.14752195788306416</v>
      </c>
      <c r="L68" s="4237"/>
      <c r="M68" s="4238"/>
      <c r="N68" s="3307"/>
      <c r="P68" s="117">
        <f>ROW()</f>
        <v>68</v>
      </c>
    </row>
    <row r="69" spans="2:16" ht="13.95" customHeight="1">
      <c r="B69" s="3313" t="s">
        <v>5859</v>
      </c>
      <c r="C69" s="50"/>
      <c r="D69" s="3312"/>
      <c r="E69" s="3312"/>
      <c r="G69" s="1770">
        <f>G65+G66</f>
        <v>575000.4681212646</v>
      </c>
      <c r="H69" s="1770">
        <f ca="1">H65+H66</f>
        <v>506829.69962344109</v>
      </c>
      <c r="I69" s="1859">
        <f ca="1">H69-G69</f>
        <v>-68170.768497823505</v>
      </c>
      <c r="J69" s="1856">
        <f ca="1">I69/G69</f>
        <v>-0.11855776173637245</v>
      </c>
      <c r="N69" s="858">
        <f>G69/G$118</f>
        <v>0.16508770259008457</v>
      </c>
      <c r="O69" s="858">
        <f ca="1">H69/H$118</f>
        <v>0.1415725417942573</v>
      </c>
      <c r="P69" s="117">
        <f>ROW()</f>
        <v>69</v>
      </c>
    </row>
    <row r="70" spans="2:16" ht="13.95" customHeight="1">
      <c r="N70" s="86"/>
      <c r="P70" s="117">
        <f>ROW()</f>
        <v>70</v>
      </c>
    </row>
    <row r="71" spans="2:16" s="3316" customFormat="1" ht="13.95" customHeight="1">
      <c r="B71" s="24" t="s">
        <v>5882</v>
      </c>
      <c r="N71" s="86"/>
      <c r="P71" s="117">
        <f>ROW()</f>
        <v>71</v>
      </c>
    </row>
    <row r="72" spans="2:16" s="3316" customFormat="1" ht="13.95" customHeight="1">
      <c r="N72" s="86"/>
      <c r="P72" s="117">
        <f>ROW()</f>
        <v>72</v>
      </c>
    </row>
    <row r="73" spans="2:16" s="3316" customFormat="1" ht="13.95" customHeight="1">
      <c r="B73" s="4247" t="s">
        <v>5869</v>
      </c>
      <c r="C73" s="3824"/>
      <c r="D73" s="3819" t="str">
        <f>CONCATENATE("All figures are from 'Taxis' tab. Baseline is product of share of fares that cross into cordon, from Row ",Taxis!O286, ", and total fares per day from Row ",Taxis!O194, ".")</f>
        <v>All figures are from 'Taxis' tab. Baseline is product of share of fares that cross into cordon, from Row 286, and total fares per day from Row 194.</v>
      </c>
      <c r="E73" s="3678"/>
      <c r="F73" s="3679"/>
      <c r="G73" s="1122">
        <f>Taxis!L286*Taxis!L194</f>
        <v>35340</v>
      </c>
      <c r="H73" s="1122">
        <f ca="1">Taxis!L286*(Taxis!L194+Taxis!L227)</f>
        <v>37787.413166936203</v>
      </c>
      <c r="I73" s="607">
        <f ca="1">H73-G73</f>
        <v>2447.4131669362032</v>
      </c>
      <c r="J73" s="12">
        <f ca="1">I73/G73</f>
        <v>6.925334371636116E-2</v>
      </c>
      <c r="N73" s="86"/>
      <c r="P73" s="117">
        <f>ROW()</f>
        <v>73</v>
      </c>
    </row>
    <row r="74" spans="2:16" s="3316" customFormat="1" ht="13.95" customHeight="1">
      <c r="B74" s="4071"/>
      <c r="C74" s="3824"/>
      <c r="D74" s="3680"/>
      <c r="E74" s="3681"/>
      <c r="F74" s="3682"/>
      <c r="N74" s="86"/>
      <c r="P74" s="117">
        <f>ROW()</f>
        <v>74</v>
      </c>
    </row>
    <row r="75" spans="2:16" s="3316" customFormat="1" ht="13.95" customHeight="1">
      <c r="B75" s="4071"/>
      <c r="C75" s="3824"/>
      <c r="D75" s="3683"/>
      <c r="E75" s="3684"/>
      <c r="F75" s="3685"/>
      <c r="N75" s="86"/>
      <c r="P75" s="117">
        <f>ROW()</f>
        <v>75</v>
      </c>
    </row>
    <row r="76" spans="2:16" s="3316" customFormat="1" ht="13.95" customHeight="1">
      <c r="B76" s="518" t="s">
        <v>5870</v>
      </c>
      <c r="D76" s="265" t="str">
        <f>CONCATENATE("From 'Taxis' tab, Row ",Taxis!O77, ". Zero change is assumed.")</f>
        <v>From 'Taxis' tab, Row 77. Zero change is assumed.</v>
      </c>
      <c r="G76" s="3316">
        <f>Taxis!L77</f>
        <v>1.4</v>
      </c>
      <c r="H76" s="3316">
        <f>G76</f>
        <v>1.4</v>
      </c>
      <c r="N76" s="86"/>
      <c r="P76" s="117">
        <f>ROW()</f>
        <v>76</v>
      </c>
    </row>
    <row r="77" spans="2:16" s="3316" customFormat="1" ht="13.95" customHeight="1">
      <c r="B77" s="3213" t="s">
        <v>5871</v>
      </c>
      <c r="C77" s="1955"/>
      <c r="D77" s="1955"/>
      <c r="E77" s="1955"/>
      <c r="G77" s="1866">
        <f>G73*G76</f>
        <v>49476</v>
      </c>
      <c r="H77" s="1866">
        <f ca="1">H73*H76</f>
        <v>52902.378433710684</v>
      </c>
      <c r="I77" s="1859">
        <f ca="1">H77-G77</f>
        <v>3426.3784337106845</v>
      </c>
      <c r="J77" s="1856">
        <f ca="1">I77/G77</f>
        <v>6.925334371636116E-2</v>
      </c>
      <c r="N77" s="858">
        <f>G77/G$118</f>
        <v>1.4204995693367787E-2</v>
      </c>
      <c r="O77" s="858">
        <f ca="1">H77/H$118</f>
        <v>1.4777200679807454E-2</v>
      </c>
      <c r="P77" s="117">
        <f>ROW()</f>
        <v>77</v>
      </c>
    </row>
    <row r="78" spans="2:16" s="3316" customFormat="1" ht="13.95" customHeight="1">
      <c r="N78" s="86"/>
      <c r="P78" s="117">
        <f>ROW()</f>
        <v>78</v>
      </c>
    </row>
    <row r="79" spans="2:16" s="3316" customFormat="1" ht="13.95" customHeight="1">
      <c r="B79" s="24" t="s">
        <v>5881</v>
      </c>
      <c r="N79" s="86"/>
      <c r="P79" s="117">
        <f>ROW()</f>
        <v>79</v>
      </c>
    </row>
    <row r="80" spans="2:16" s="3316" customFormat="1" ht="13.95" customHeight="1">
      <c r="B80" s="312" t="s">
        <v>5875</v>
      </c>
      <c r="D80" s="265" t="str">
        <f>CONCATENATE("From 'Motor Vs' tab, Cell ",'Motor Vs'!O62, ". Excludes through-trips.")</f>
        <v>From 'Motor Vs' tab, Cell 62. Excludes through-trips.</v>
      </c>
      <c r="G80" s="10">
        <f>'Motor Vs'!M62</f>
        <v>29699.999999999996</v>
      </c>
      <c r="H80" s="10">
        <f ca="1">G80+I80</f>
        <v>28619.43598648288</v>
      </c>
      <c r="I80" s="1859">
        <f ca="1">J80*G80</f>
        <v>-1080.5640135171172</v>
      </c>
      <c r="J80" s="1856">
        <f ca="1">'Motor Vs'!BG854/'Motor Vs'!BG122-1</f>
        <v>-3.6382626717748057E-2</v>
      </c>
      <c r="N80" s="86"/>
      <c r="P80" s="117">
        <f>ROW()</f>
        <v>80</v>
      </c>
    </row>
    <row r="81" spans="2:16" s="3316" customFormat="1" ht="13.95" customHeight="1">
      <c r="B81" s="312" t="s">
        <v>5876</v>
      </c>
      <c r="G81" s="3316">
        <f>Trucks!J170</f>
        <v>1.5</v>
      </c>
      <c r="H81" s="3316">
        <f>G81</f>
        <v>1.5</v>
      </c>
      <c r="N81" s="86"/>
      <c r="P81" s="117">
        <f>ROW()</f>
        <v>81</v>
      </c>
    </row>
    <row r="82" spans="2:16" s="3316" customFormat="1" ht="13.95" customHeight="1">
      <c r="B82" s="3213" t="s">
        <v>5877</v>
      </c>
      <c r="C82" s="1955"/>
      <c r="D82" s="1955"/>
      <c r="E82" s="1955"/>
      <c r="F82" s="1955"/>
      <c r="G82" s="3319">
        <f>G80*G81</f>
        <v>44549.999999999993</v>
      </c>
      <c r="H82" s="3319">
        <f ca="1">H80*H81</f>
        <v>42929.153979724317</v>
      </c>
      <c r="I82" s="1859">
        <f ca="1">H82-G82</f>
        <v>-1620.846020275676</v>
      </c>
      <c r="J82" s="1856">
        <f ca="1">I82/G82</f>
        <v>-3.6382626717748064E-2</v>
      </c>
      <c r="N82" s="858">
        <f>G82/G$118</f>
        <v>1.2790697674418603E-2</v>
      </c>
      <c r="O82" s="858">
        <f ca="1">H82/H$118</f>
        <v>1.1991383793219084E-2</v>
      </c>
      <c r="P82" s="117">
        <f>ROW()</f>
        <v>82</v>
      </c>
    </row>
    <row r="83" spans="2:16" s="3316" customFormat="1" ht="13.95" customHeight="1">
      <c r="N83" s="86"/>
      <c r="P83" s="117">
        <f>ROW()</f>
        <v>83</v>
      </c>
    </row>
    <row r="84" spans="2:16" s="3316" customFormat="1" ht="13.95" customHeight="1">
      <c r="B84" s="3318" t="s">
        <v>5878</v>
      </c>
      <c r="C84" s="1955"/>
      <c r="D84" s="1955"/>
      <c r="E84" s="1955"/>
      <c r="F84" s="1955"/>
      <c r="G84" s="3319">
        <f>G69+G77+G82</f>
        <v>669026.4681212646</v>
      </c>
      <c r="H84" s="3319">
        <f ca="1">H69+H77+H82</f>
        <v>602661.23203687603</v>
      </c>
      <c r="I84" s="1859">
        <f ca="1">H84-G84</f>
        <v>-66365.236084388569</v>
      </c>
      <c r="J84" s="1856">
        <f ca="1">I84/G84</f>
        <v>-9.9196727254682426E-2</v>
      </c>
      <c r="N84" s="858">
        <f>G84/G$118</f>
        <v>0.19208339595787097</v>
      </c>
      <c r="O84" s="858">
        <f ca="1">H84/H$118</f>
        <v>0.16834112626728381</v>
      </c>
      <c r="P84" s="117">
        <f>ROW()</f>
        <v>84</v>
      </c>
    </row>
    <row r="85" spans="2:16" s="3316" customFormat="1" ht="13.95" customHeight="1">
      <c r="N85" s="86"/>
      <c r="P85" s="117">
        <f>ROW()</f>
        <v>85</v>
      </c>
    </row>
    <row r="86" spans="2:16" s="3300" customFormat="1" ht="13.95" customHeight="1">
      <c r="B86" s="3322" t="s">
        <v>5894</v>
      </c>
      <c r="G86" s="4222" t="str">
        <f>CONCATENATE("Note: All entries in this section (Transit) are reduced by the percent shown in Cell M",P86, ", to reflect estimated through-trips, i.e., trips that enter the CBD in order to reach a final destination outside.")</f>
        <v>Note: All entries in this section (Transit) are reduced by the percent shown in Cell M86, to reflect estimated through-trips, i.e., trips that enter the CBD in order to reach a final destination outside.</v>
      </c>
      <c r="H86" s="4223"/>
      <c r="I86" s="4223"/>
      <c r="J86" s="4223"/>
      <c r="M86" s="4224" t="s">
        <v>5890</v>
      </c>
      <c r="N86" s="86"/>
      <c r="P86" s="117">
        <f>ROW()</f>
        <v>86</v>
      </c>
    </row>
    <row r="87" spans="2:16" s="3300" customFormat="1" ht="13.95" customHeight="1">
      <c r="G87" s="4223"/>
      <c r="H87" s="4223"/>
      <c r="I87" s="4223"/>
      <c r="J87" s="4223"/>
      <c r="M87" s="4225"/>
      <c r="N87" s="86"/>
      <c r="P87" s="117">
        <f>ROW()</f>
        <v>87</v>
      </c>
    </row>
    <row r="88" spans="2:16" s="3316" customFormat="1" ht="13.95" customHeight="1">
      <c r="G88" s="4223"/>
      <c r="H88" s="4223"/>
      <c r="I88" s="4223"/>
      <c r="J88" s="4223"/>
      <c r="M88" s="3321">
        <v>0.02</v>
      </c>
      <c r="N88" s="86"/>
      <c r="P88" s="117">
        <f>ROW()</f>
        <v>88</v>
      </c>
    </row>
    <row r="89" spans="2:16" ht="13.95" customHeight="1">
      <c r="B89" s="2" t="s">
        <v>5895</v>
      </c>
      <c r="N89" s="86"/>
      <c r="P89" s="117">
        <f>ROW()</f>
        <v>89</v>
      </c>
    </row>
    <row r="90" spans="2:16" ht="13.95" customHeight="1">
      <c r="N90" s="86"/>
      <c r="P90" s="117">
        <f>ROW()</f>
        <v>90</v>
      </c>
    </row>
    <row r="91" spans="2:16" ht="13.95" customHeight="1">
      <c r="B91" s="281" t="s">
        <v>2006</v>
      </c>
      <c r="G91" s="10">
        <f>Subways!AN129</f>
        <v>4256833.5059209615</v>
      </c>
      <c r="H91" s="10">
        <f ca="1">Subways!AN412</f>
        <v>4574337.2132745022</v>
      </c>
      <c r="I91" s="575">
        <f ca="1">H91-G91</f>
        <v>317503.7073535407</v>
      </c>
      <c r="J91" s="12">
        <f ca="1">I91/G91</f>
        <v>7.4586827723451002E-2</v>
      </c>
      <c r="N91" s="86"/>
      <c r="P91" s="117">
        <f>ROW()</f>
        <v>91</v>
      </c>
    </row>
    <row r="92" spans="2:16" ht="13.95" customHeight="1">
      <c r="B92" s="3785" t="str">
        <f>CONCATENATE("Before and after are both from 'Subways' worksheet; Before is from Row ",Subways!O129, ". After is from Row ",Subways!O412, " and reflects impacts of subway fare and service changes, congestion charge and taxi surcharge (as applicable).")</f>
        <v>Before and after are both from 'Subways' worksheet; Before is from Row 129. After is from Row 412 and reflects impacts of subway fare and service changes, congestion charge and taxi surcharge (as applicable).</v>
      </c>
      <c r="C92" s="3786"/>
      <c r="D92" s="3786"/>
      <c r="E92" s="3786"/>
      <c r="F92" s="3786"/>
      <c r="G92" s="3786"/>
      <c r="H92" s="3786"/>
      <c r="I92" s="3786"/>
      <c r="J92" s="3786"/>
      <c r="L92" s="3311"/>
      <c r="M92" s="3311"/>
      <c r="N92" s="3307"/>
      <c r="P92" s="117">
        <f>ROW()</f>
        <v>92</v>
      </c>
    </row>
    <row r="93" spans="2:16" ht="13.95" customHeight="1">
      <c r="B93" s="3786"/>
      <c r="C93" s="3786"/>
      <c r="D93" s="3786"/>
      <c r="E93" s="3786"/>
      <c r="F93" s="3786"/>
      <c r="G93" s="3786"/>
      <c r="H93" s="3786"/>
      <c r="I93" s="3786"/>
      <c r="J93" s="3786"/>
      <c r="L93" s="4226" t="s">
        <v>3043</v>
      </c>
      <c r="M93" s="4227"/>
      <c r="N93" s="3307"/>
      <c r="P93" s="117">
        <f>ROW()</f>
        <v>93</v>
      </c>
    </row>
    <row r="94" spans="2:16" ht="13.95" customHeight="1">
      <c r="B94" s="281" t="s">
        <v>453</v>
      </c>
      <c r="G94" s="12">
        <f>Subways!D99/Subways!J99</f>
        <v>0.51812136427884203</v>
      </c>
      <c r="H94" s="22">
        <f>G94</f>
        <v>0.51812136427884203</v>
      </c>
      <c r="L94" s="4228"/>
      <c r="M94" s="4229"/>
      <c r="N94" s="3307"/>
      <c r="P94" s="117">
        <f>ROW()</f>
        <v>94</v>
      </c>
    </row>
    <row r="95" spans="2:16" ht="13.95" customHeight="1">
      <c r="B95" s="215" t="str">
        <f>CONCATENATE("Calculated as ratio of inbound to total in 'Subways' worksheet, Row ",Subways!O99, ".")</f>
        <v>Calculated as ratio of inbound to total in 'Subways' worksheet, Row 99.</v>
      </c>
      <c r="L95" s="4230"/>
      <c r="M95" s="4231"/>
      <c r="N95" s="3307"/>
      <c r="P95" s="117">
        <f>ROW()</f>
        <v>95</v>
      </c>
    </row>
    <row r="96" spans="2:16" ht="13.95" customHeight="1">
      <c r="B96" s="495" t="s">
        <v>454</v>
      </c>
      <c r="C96" s="50"/>
      <c r="D96" s="50"/>
      <c r="G96" s="1770">
        <f>G94*G91*(1-$M$88)</f>
        <v>2161445.2559237415</v>
      </c>
      <c r="H96" s="1770">
        <f ca="1">H94*H91*(1-$M$88)</f>
        <v>2322660.6008609962</v>
      </c>
      <c r="I96" s="1859">
        <f ca="1">H96-G96</f>
        <v>161215.34493725467</v>
      </c>
      <c r="J96" s="1856">
        <f ca="1">I96/G96</f>
        <v>7.4586827723451057E-2</v>
      </c>
      <c r="N96" s="858">
        <f>G96/G$118</f>
        <v>0.62056998447422951</v>
      </c>
      <c r="O96" s="858">
        <f ca="1">H96/H$118</f>
        <v>0.64878787733547383</v>
      </c>
      <c r="P96" s="117">
        <f>ROW()</f>
        <v>96</v>
      </c>
    </row>
    <row r="97" spans="2:16" ht="13.95" customHeight="1">
      <c r="B97" s="215" t="str">
        <f>CONCATENATE("Row ",P94, " times Row ",P91, ".")</f>
        <v>Row 94 times Row 91.</v>
      </c>
      <c r="C97" s="86"/>
      <c r="D97" s="86"/>
      <c r="E97" s="86"/>
      <c r="F97" s="86"/>
      <c r="G97" s="1772"/>
      <c r="H97" s="1772"/>
      <c r="I97" s="811"/>
      <c r="J97" s="972"/>
      <c r="N97" s="86"/>
      <c r="P97" s="117">
        <f>ROW()</f>
        <v>97</v>
      </c>
    </row>
    <row r="98" spans="2:16" ht="13.95" customHeight="1">
      <c r="L98" s="3311"/>
      <c r="M98" s="3311"/>
      <c r="N98" s="3307"/>
      <c r="P98" s="117">
        <f>ROW()</f>
        <v>98</v>
      </c>
    </row>
    <row r="99" spans="2:16" ht="13.95" customHeight="1">
      <c r="B99" s="2" t="s">
        <v>5896</v>
      </c>
      <c r="L99" s="4226" t="s">
        <v>3040</v>
      </c>
      <c r="M99" s="4227"/>
      <c r="N99" s="3307"/>
      <c r="P99" s="117">
        <f>ROW()</f>
        <v>99</v>
      </c>
    </row>
    <row r="100" spans="2:16" ht="13.95" customHeight="1">
      <c r="L100" s="4228"/>
      <c r="M100" s="4229"/>
      <c r="N100" s="3307"/>
      <c r="P100" s="117">
        <f>ROW()</f>
        <v>100</v>
      </c>
    </row>
    <row r="101" spans="2:16" ht="13.95" customHeight="1">
      <c r="B101" s="281" t="s">
        <v>2007</v>
      </c>
      <c r="G101" s="1770">
        <f>Buses!I220*(1-$M$88)</f>
        <v>101979.78</v>
      </c>
      <c r="H101" s="1770">
        <f ca="1">G101+I101*(1-$M$88)</f>
        <v>104271.38927519927</v>
      </c>
      <c r="I101" s="1859">
        <f ca="1">J101*G101</f>
        <v>2338.37681142783</v>
      </c>
      <c r="J101" s="1856">
        <f ca="1">Results!G114</f>
        <v>2.2929808354438808E-2</v>
      </c>
      <c r="L101" s="4230"/>
      <c r="M101" s="4231"/>
      <c r="N101" s="858">
        <f>G101/G$118</f>
        <v>2.9279293712316967E-2</v>
      </c>
      <c r="O101" s="858">
        <f ca="1">H101/H$118</f>
        <v>2.9126086389720467E-2</v>
      </c>
      <c r="P101" s="117">
        <f>ROW()</f>
        <v>101</v>
      </c>
    </row>
    <row r="102" spans="2:16" ht="13.95" customHeight="1">
      <c r="B102" s="3785" t="str">
        <f>CONCATENATE("Before is from 'Buses' worksheet, Row ",Buses!O220, ". Percent Increase is from 'Results' worksheet, Row ",Results!M111, " which in turn is from 'Buses' worksheet. Figures for Plan Being Modeled are calculated from 'Before' and Percent Increase. Buses from NJ are excluded because their fares are unchanged -- even though tolls will cause some increase.")</f>
        <v>Before is from 'Buses' worksheet, Row 220. Percent Increase is from 'Results' worksheet, Row 111 which in turn is from 'Buses' worksheet. Figures for Plan Being Modeled are calculated from 'Before' and Percent Increase. Buses from NJ are excluded because their fares are unchanged -- even though tolls will cause some increase.</v>
      </c>
      <c r="C102" s="3786"/>
      <c r="D102" s="3786"/>
      <c r="E102" s="3786"/>
      <c r="F102" s="3786"/>
      <c r="G102" s="3786"/>
      <c r="H102" s="3786"/>
      <c r="I102" s="3786"/>
      <c r="J102" s="3786"/>
      <c r="P102" s="117">
        <f>ROW()</f>
        <v>102</v>
      </c>
    </row>
    <row r="103" spans="2:16" ht="13.95" customHeight="1">
      <c r="B103" s="3786"/>
      <c r="C103" s="3786"/>
      <c r="D103" s="3786"/>
      <c r="E103" s="3786"/>
      <c r="F103" s="3786"/>
      <c r="G103" s="3786"/>
      <c r="H103" s="3786"/>
      <c r="I103" s="3786"/>
      <c r="J103" s="3786"/>
      <c r="P103" s="117">
        <f>ROW()</f>
        <v>103</v>
      </c>
    </row>
    <row r="104" spans="2:16" ht="13.95" customHeight="1">
      <c r="B104" s="3786"/>
      <c r="C104" s="3786"/>
      <c r="D104" s="3786"/>
      <c r="E104" s="3786"/>
      <c r="F104" s="3786"/>
      <c r="G104" s="3786"/>
      <c r="H104" s="3786"/>
      <c r="I104" s="3786"/>
      <c r="J104" s="3786"/>
      <c r="P104" s="117">
        <f>ROW()</f>
        <v>104</v>
      </c>
    </row>
    <row r="105" spans="2:16" s="3300" customFormat="1" ht="13.95" customHeight="1">
      <c r="B105" s="3299"/>
      <c r="C105" s="3299"/>
      <c r="D105" s="3299"/>
      <c r="E105" s="3299"/>
      <c r="F105" s="3299"/>
      <c r="G105" s="3299"/>
      <c r="H105" s="3299"/>
      <c r="I105" s="3299"/>
      <c r="J105" s="3299"/>
      <c r="P105" s="117">
        <f>ROW()</f>
        <v>105</v>
      </c>
    </row>
    <row r="106" spans="2:16" s="3300" customFormat="1" ht="13.95" customHeight="1">
      <c r="B106" s="2" t="s">
        <v>5897</v>
      </c>
      <c r="C106" s="3299"/>
      <c r="D106" s="3299"/>
      <c r="E106" s="3299"/>
      <c r="F106" s="3299"/>
      <c r="G106" s="1770">
        <f>Buses!$G$220*(1-$M$88)</f>
        <v>183101.24</v>
      </c>
      <c r="H106" s="1770">
        <f>Buses!$G$220*(1-$M$88)</f>
        <v>183101.24</v>
      </c>
      <c r="I106" s="1859">
        <f>H106-G106</f>
        <v>0</v>
      </c>
      <c r="J106" s="1856">
        <f>I106/G106</f>
        <v>0</v>
      </c>
      <c r="L106" s="4233" t="s">
        <v>5861</v>
      </c>
      <c r="M106" s="4248"/>
      <c r="N106" s="858">
        <f>G106/G$118</f>
        <v>5.2569979902382998E-2</v>
      </c>
      <c r="O106" s="858">
        <f ca="1">H106/H$118</f>
        <v>5.1145597765363128E-2</v>
      </c>
      <c r="P106" s="117">
        <f>ROW()</f>
        <v>106</v>
      </c>
    </row>
    <row r="107" spans="2:16" s="3300" customFormat="1" ht="13.95" customHeight="1">
      <c r="B107" s="215" t="str">
        <f>CONCATENATE("This figure is copied from 'Buses' tab, Cell G",Buses!O220, " and is not varied in the BTA.")</f>
        <v>This figure is copied from 'Buses' tab, Cell G220 and is not varied in the BTA.</v>
      </c>
      <c r="C107" s="3299"/>
      <c r="D107" s="3299"/>
      <c r="E107" s="3299"/>
      <c r="F107" s="3299"/>
      <c r="G107" s="3299"/>
      <c r="H107" s="3299"/>
      <c r="I107" s="3299"/>
      <c r="J107" s="3299"/>
      <c r="L107" s="4249"/>
      <c r="M107" s="4250"/>
      <c r="P107" s="117">
        <f>ROW()</f>
        <v>107</v>
      </c>
    </row>
    <row r="108" spans="2:16" s="3300" customFormat="1" ht="13.95" customHeight="1">
      <c r="B108" s="3299"/>
      <c r="C108" s="3299"/>
      <c r="D108" s="3299"/>
      <c r="E108" s="3299"/>
      <c r="F108" s="3299"/>
      <c r="G108" s="3299"/>
      <c r="H108" s="3299"/>
      <c r="I108" s="3299"/>
      <c r="J108" s="3299"/>
      <c r="L108" s="4249"/>
      <c r="M108" s="4250"/>
      <c r="P108" s="117">
        <f>ROW()</f>
        <v>108</v>
      </c>
    </row>
    <row r="109" spans="2:16" s="3300" customFormat="1" ht="13.95" customHeight="1">
      <c r="B109" s="2" t="s">
        <v>5898</v>
      </c>
      <c r="C109" s="3299"/>
      <c r="D109" s="3299"/>
      <c r="E109" s="3299"/>
      <c r="F109" s="3299"/>
      <c r="G109" s="1770">
        <f>'Hub-Bound'!$E$90*(1-$M$88)</f>
        <v>294764.40000000002</v>
      </c>
      <c r="H109" s="1770">
        <f>'Hub-Bound'!$E$90*(1-$M$88)</f>
        <v>294764.40000000002</v>
      </c>
      <c r="I109" s="1859">
        <f>H109-G109</f>
        <v>0</v>
      </c>
      <c r="J109" s="1856">
        <f>I109/G109</f>
        <v>0</v>
      </c>
      <c r="L109" s="4249"/>
      <c r="M109" s="4250"/>
      <c r="N109" s="858">
        <f>G109/G$118</f>
        <v>8.462945736434109E-2</v>
      </c>
      <c r="O109" s="858">
        <f ca="1">H109/H$118</f>
        <v>8.2336424581005596E-2</v>
      </c>
      <c r="P109" s="117">
        <f>ROW()</f>
        <v>109</v>
      </c>
    </row>
    <row r="110" spans="2:16" s="3300" customFormat="1" ht="13.95" customHeight="1">
      <c r="B110" s="215" t="str">
        <f>CONCATENATE("This figure is copied from 'Hub-Bound' tab, Cell E",'Hub-Bound'!F90, " and is not varied in the BTA.")</f>
        <v>This figure is copied from 'Hub-Bound' tab, Cell E90 and is not varied in the BTA.</v>
      </c>
      <c r="C110" s="3299"/>
      <c r="D110" s="3299"/>
      <c r="E110" s="3299"/>
      <c r="F110" s="3299"/>
      <c r="G110" s="3299"/>
      <c r="H110" s="3299"/>
      <c r="I110" s="3299"/>
      <c r="J110" s="3299"/>
      <c r="L110" s="4249"/>
      <c r="M110" s="4250"/>
      <c r="P110" s="117">
        <f>ROW()</f>
        <v>110</v>
      </c>
    </row>
    <row r="111" spans="2:16" s="3300" customFormat="1" ht="13.95" customHeight="1">
      <c r="B111" s="3299"/>
      <c r="C111" s="3299"/>
      <c r="D111" s="3299"/>
      <c r="E111" s="3299"/>
      <c r="F111" s="3299"/>
      <c r="G111" s="3299"/>
      <c r="H111" s="3299"/>
      <c r="I111" s="3299"/>
      <c r="J111" s="3299"/>
      <c r="L111" s="4249"/>
      <c r="M111" s="4250"/>
      <c r="P111" s="117">
        <f>ROW()</f>
        <v>111</v>
      </c>
    </row>
    <row r="112" spans="2:16" s="3300" customFormat="1" ht="13.95" customHeight="1">
      <c r="B112" s="2" t="s">
        <v>5899</v>
      </c>
      <c r="C112" s="3299"/>
      <c r="D112" s="3299"/>
      <c r="E112" s="3299"/>
      <c r="F112" s="3299"/>
      <c r="G112" s="1770">
        <f>('Hub-Bound'!$E$92+'Hub-Bound'!$E94)*(1-$M$88)</f>
        <v>72933.56</v>
      </c>
      <c r="H112" s="1770">
        <f>('Hub-Bound'!$E$92+'Hub-Bound'!$E94)*(1-$M$88)</f>
        <v>72933.56</v>
      </c>
      <c r="I112" s="1859">
        <f>H112-G112</f>
        <v>0</v>
      </c>
      <c r="J112" s="1856">
        <f>I112/G112</f>
        <v>0</v>
      </c>
      <c r="L112" s="4251"/>
      <c r="M112" s="4252"/>
      <c r="N112" s="858">
        <f>G112/G$118</f>
        <v>2.0939867929945448E-2</v>
      </c>
      <c r="O112" s="858">
        <f ca="1">H112/H$118</f>
        <v>2.0372502793296089E-2</v>
      </c>
      <c r="P112" s="117">
        <f>ROW()</f>
        <v>112</v>
      </c>
    </row>
    <row r="113" spans="2:16" s="3300" customFormat="1" ht="13.95" customHeight="1">
      <c r="B113" s="215" t="str">
        <f>CONCATENATE("Sum of two entries in 'Hub-Bound' tab, Cells E",'Hub-Bound'!F92, " and Cell E",'Hub-Bound'!F94, ". It is not varied in the BTA.")</f>
        <v>Sum of two entries in 'Hub-Bound' tab, Cells E92 and Cell E94. It is not varied in the BTA.</v>
      </c>
      <c r="C113" s="3299"/>
      <c r="D113" s="3299"/>
      <c r="E113" s="3299"/>
      <c r="F113" s="3299"/>
      <c r="G113" s="3299"/>
      <c r="H113" s="3299"/>
      <c r="I113" s="3299"/>
      <c r="J113" s="3299"/>
      <c r="P113" s="117">
        <f>ROW()</f>
        <v>113</v>
      </c>
    </row>
    <row r="114" spans="2:16" ht="13.95" customHeight="1">
      <c r="L114" s="4226" t="s">
        <v>3042</v>
      </c>
      <c r="M114" s="4244"/>
      <c r="N114" s="3308"/>
      <c r="P114" s="117">
        <f>ROW()</f>
        <v>114</v>
      </c>
    </row>
    <row r="115" spans="2:16" ht="13.95" customHeight="1">
      <c r="B115" s="24" t="s">
        <v>5860</v>
      </c>
      <c r="G115" s="1769">
        <f>SUM(G96:G112)</f>
        <v>2814224.235923741</v>
      </c>
      <c r="H115" s="1769">
        <f ca="1">SUM(H96:H112)</f>
        <v>2977731.1901361952</v>
      </c>
      <c r="I115" s="1860">
        <f ca="1">I96+I101</f>
        <v>163553.7217486825</v>
      </c>
      <c r="J115" s="1856">
        <f ca="1">I115/G115</f>
        <v>5.8116805214349816E-2</v>
      </c>
      <c r="L115" s="4245"/>
      <c r="M115" s="4246"/>
      <c r="N115" s="858">
        <f>G115/G$118</f>
        <v>0.80798858338321589</v>
      </c>
      <c r="O115" s="858">
        <f ca="1">H115/H$118</f>
        <v>0.83176848886485899</v>
      </c>
      <c r="P115" s="117">
        <f>ROW()</f>
        <v>115</v>
      </c>
    </row>
    <row r="116" spans="2:16" ht="13.95" customHeight="1">
      <c r="B116" s="215" t="str">
        <f>CONCATENATE("Sum of Rows ",P96, " through ",P112, ".")</f>
        <v>Sum of Rows 96 through 112.</v>
      </c>
      <c r="N116" s="86"/>
      <c r="P116" s="117">
        <f>ROW()</f>
        <v>116</v>
      </c>
    </row>
    <row r="117" spans="2:16" s="3300" customFormat="1" ht="13.95" customHeight="1">
      <c r="B117" s="215"/>
      <c r="N117" s="86"/>
      <c r="P117" s="117">
        <f>ROW()</f>
        <v>117</v>
      </c>
    </row>
    <row r="118" spans="2:16" ht="13.95" customHeight="1">
      <c r="B118" s="24" t="s">
        <v>6197</v>
      </c>
      <c r="G118" s="3310">
        <f>ROUND(G115+G84,-3)</f>
        <v>3483000</v>
      </c>
      <c r="H118" s="3310">
        <f ca="1">ROUND(H115+H84,-3)</f>
        <v>3580000</v>
      </c>
      <c r="I118" s="3310">
        <f ca="1">ROUND(I115+I84,-3)</f>
        <v>97000</v>
      </c>
      <c r="J118" s="1856">
        <f ca="1">I118/G118</f>
        <v>2.7849554981337926E-2</v>
      </c>
      <c r="L118" s="4240" t="s">
        <v>5872</v>
      </c>
      <c r="M118" s="4241"/>
      <c r="N118" s="858">
        <f>G118/G$118</f>
        <v>1</v>
      </c>
      <c r="O118" s="858">
        <f ca="1">H118/H$118</f>
        <v>1</v>
      </c>
      <c r="P118" s="117">
        <f>ROW()</f>
        <v>118</v>
      </c>
    </row>
    <row r="119" spans="2:16" ht="13.95" customHeight="1">
      <c r="B119" s="215" t="str">
        <f>CONCATENATE("Row ",P115, " plus Row ",P63, ".")</f>
        <v>Row 115 plus Row 63.</v>
      </c>
      <c r="L119" s="4242"/>
      <c r="M119" s="4243"/>
      <c r="N119" s="3309"/>
      <c r="P119" s="117">
        <f>ROW()</f>
        <v>119</v>
      </c>
    </row>
    <row r="120" spans="2:16" ht="13.95" customHeight="1">
      <c r="P120" s="117">
        <f>ROW()</f>
        <v>120</v>
      </c>
    </row>
    <row r="121" spans="2:16" s="3300" customFormat="1" ht="13.95" customHeight="1">
      <c r="B121" s="24" t="s">
        <v>5879</v>
      </c>
      <c r="N121" s="2146">
        <f>G115/G84</f>
        <v>4.2064467850226341</v>
      </c>
      <c r="O121" s="2146">
        <f ca="1">H115/H84</f>
        <v>4.9409702032301821</v>
      </c>
      <c r="P121" s="117">
        <f>ROW()</f>
        <v>121</v>
      </c>
    </row>
    <row r="122" spans="2:16" s="3300" customFormat="1" ht="13.95" customHeight="1">
      <c r="P122" s="117">
        <f>ROW()</f>
        <v>122</v>
      </c>
    </row>
    <row r="123" spans="2:16" s="3316" customFormat="1" ht="13.95" customHeight="1">
      <c r="P123" s="117">
        <f>ROW()</f>
        <v>123</v>
      </c>
    </row>
    <row r="124" spans="2:16" s="3316" customFormat="1" ht="13.95" customHeight="1">
      <c r="B124" s="3322" t="s">
        <v>5900</v>
      </c>
      <c r="P124" s="117">
        <f>ROW()</f>
        <v>124</v>
      </c>
    </row>
    <row r="125" spans="2:16" s="3316" customFormat="1" ht="13.95" customHeight="1">
      <c r="F125" s="3784" t="s">
        <v>1463</v>
      </c>
      <c r="G125" s="3784"/>
      <c r="J125" s="3784" t="s">
        <v>5887</v>
      </c>
      <c r="K125" s="3784"/>
      <c r="P125" s="117">
        <f>ROW()</f>
        <v>125</v>
      </c>
    </row>
    <row r="126" spans="2:16" s="3316" customFormat="1" ht="13.95" customHeight="1">
      <c r="B126" s="2" t="s">
        <v>5891</v>
      </c>
      <c r="F126" s="131" t="s">
        <v>4258</v>
      </c>
      <c r="G126" s="131" t="s">
        <v>5888</v>
      </c>
      <c r="J126" s="131" t="s">
        <v>4258</v>
      </c>
      <c r="K126" s="131" t="s">
        <v>5888</v>
      </c>
      <c r="P126" s="117">
        <f>ROW()</f>
        <v>126</v>
      </c>
    </row>
    <row r="127" spans="2:16" s="3316" customFormat="1" ht="13.95" customHeight="1">
      <c r="B127" s="1" t="s">
        <v>841</v>
      </c>
      <c r="F127" s="1179">
        <f>G69</f>
        <v>575000.4681212646</v>
      </c>
      <c r="G127" s="12">
        <f t="shared" ref="G127:G135" si="1">F127/F$135</f>
        <v>0.16507582054129263</v>
      </c>
      <c r="J127" s="1179">
        <f ca="1">H69</f>
        <v>506829.69962344109</v>
      </c>
      <c r="K127" s="12">
        <f t="shared" ref="K127:K135" ca="1" si="2">J127/J$135</f>
        <v>0.14155702500225592</v>
      </c>
      <c r="P127" s="117">
        <f>ROW()</f>
        <v>127</v>
      </c>
    </row>
    <row r="128" spans="2:16" s="3316" customFormat="1" ht="13.95" customHeight="1">
      <c r="B128" s="1" t="s">
        <v>2067</v>
      </c>
      <c r="F128" s="1179">
        <f>G77</f>
        <v>49476</v>
      </c>
      <c r="G128" s="12">
        <f t="shared" si="1"/>
        <v>1.4203973300728784E-2</v>
      </c>
      <c r="J128" s="1179">
        <f ca="1">H77</f>
        <v>52902.378433710684</v>
      </c>
      <c r="K128" s="12">
        <f t="shared" ca="1" si="2"/>
        <v>1.4775581052537894E-2</v>
      </c>
      <c r="P128" s="117">
        <f>ROW()</f>
        <v>128</v>
      </c>
    </row>
    <row r="129" spans="2:16" s="3316" customFormat="1" ht="13.95" customHeight="1">
      <c r="B129" s="1" t="s">
        <v>2212</v>
      </c>
      <c r="F129" s="1179">
        <f>G82</f>
        <v>44549.999999999993</v>
      </c>
      <c r="G129" s="12">
        <f t="shared" si="1"/>
        <v>1.2789777074692118E-2</v>
      </c>
      <c r="J129" s="1179">
        <f ca="1">H82</f>
        <v>42929.153979724317</v>
      </c>
      <c r="K129" s="12">
        <f t="shared" ca="1" si="2"/>
        <v>1.1990069500166421E-2</v>
      </c>
      <c r="P129" s="117">
        <f>ROW()</f>
        <v>129</v>
      </c>
    </row>
    <row r="130" spans="2:16" s="3316" customFormat="1" ht="13.95" customHeight="1">
      <c r="B130" s="1" t="s">
        <v>966</v>
      </c>
      <c r="F130" s="1179">
        <f>G96</f>
        <v>2161445.2559237415</v>
      </c>
      <c r="G130" s="12">
        <f t="shared" si="1"/>
        <v>0.6205253194706063</v>
      </c>
      <c r="J130" s="1179">
        <f ca="1">H96</f>
        <v>2322660.6008609962</v>
      </c>
      <c r="K130" s="12">
        <f t="shared" ca="1" si="2"/>
        <v>0.6487167681612086</v>
      </c>
      <c r="P130" s="117">
        <f>ROW()</f>
        <v>130</v>
      </c>
    </row>
    <row r="131" spans="2:16" s="3316" customFormat="1" ht="13.95" customHeight="1">
      <c r="B131" s="1" t="s">
        <v>5885</v>
      </c>
      <c r="F131" s="1179">
        <f>G109</f>
        <v>294764.40000000002</v>
      </c>
      <c r="G131" s="12">
        <f t="shared" si="1"/>
        <v>8.4623366230199282E-2</v>
      </c>
      <c r="J131" s="1179">
        <f>H109</f>
        <v>294764.40000000002</v>
      </c>
      <c r="K131" s="12">
        <f t="shared" ca="1" si="2"/>
        <v>8.2327400252147978E-2</v>
      </c>
      <c r="P131" s="117">
        <f>ROW()</f>
        <v>131</v>
      </c>
    </row>
    <row r="132" spans="2:16" s="3316" customFormat="1" ht="13.95" customHeight="1">
      <c r="B132" s="1" t="s">
        <v>5883</v>
      </c>
      <c r="F132" s="1179">
        <f>G101</f>
        <v>101979.78</v>
      </c>
      <c r="G132" s="12">
        <f t="shared" si="1"/>
        <v>2.9277186359733916E-2</v>
      </c>
      <c r="J132" s="1179">
        <f ca="1">H101</f>
        <v>104271.38927519927</v>
      </c>
      <c r="K132" s="12">
        <f t="shared" ca="1" si="2"/>
        <v>2.9122894079837525E-2</v>
      </c>
      <c r="P132" s="117">
        <f>ROW()</f>
        <v>132</v>
      </c>
    </row>
    <row r="133" spans="2:16" s="3316" customFormat="1" ht="13.95" customHeight="1">
      <c r="B133" s="1" t="s">
        <v>5884</v>
      </c>
      <c r="F133" s="1179">
        <f>G106</f>
        <v>183101.24</v>
      </c>
      <c r="G133" s="12">
        <f t="shared" si="1"/>
        <v>5.2566196222215485E-2</v>
      </c>
      <c r="J133" s="1179">
        <f>H106</f>
        <v>183101.24</v>
      </c>
      <c r="K133" s="12">
        <f t="shared" ca="1" si="2"/>
        <v>5.1139992048376964E-2</v>
      </c>
      <c r="P133" s="117">
        <f>ROW()</f>
        <v>133</v>
      </c>
    </row>
    <row r="134" spans="2:16" s="3316" customFormat="1" ht="13.95" customHeight="1">
      <c r="B134" s="1" t="s">
        <v>5886</v>
      </c>
      <c r="F134" s="1179">
        <f>G112</f>
        <v>72933.56</v>
      </c>
      <c r="G134" s="12">
        <f t="shared" si="1"/>
        <v>2.0938360800531589E-2</v>
      </c>
      <c r="J134" s="1179">
        <f>H112</f>
        <v>72933.56</v>
      </c>
      <c r="K134" s="12">
        <f t="shared" ca="1" si="2"/>
        <v>2.0370269903468834E-2</v>
      </c>
      <c r="P134" s="117">
        <f>ROW()</f>
        <v>134</v>
      </c>
    </row>
    <row r="135" spans="2:16" s="3316" customFormat="1" ht="13.95" customHeight="1">
      <c r="B135" s="1" t="s">
        <v>837</v>
      </c>
      <c r="F135" s="1179">
        <f>SUM(F127:F134)</f>
        <v>3483250.7040450056</v>
      </c>
      <c r="G135" s="12">
        <f t="shared" si="1"/>
        <v>1</v>
      </c>
      <c r="J135" s="1179">
        <f ca="1">SUM(J127:J134)</f>
        <v>3580392.4221730712</v>
      </c>
      <c r="K135" s="12">
        <f t="shared" ca="1" si="2"/>
        <v>1</v>
      </c>
      <c r="P135" s="117">
        <f>ROW()</f>
        <v>135</v>
      </c>
    </row>
    <row r="136" spans="2:16" s="3316" customFormat="1" ht="13.95" customHeight="1">
      <c r="B136" s="1"/>
      <c r="F136" s="1179"/>
      <c r="G136" s="12"/>
      <c r="J136" s="1179"/>
      <c r="K136" s="12"/>
      <c r="P136" s="117">
        <f>ROW()</f>
        <v>136</v>
      </c>
    </row>
    <row r="137" spans="2:16" s="3316" customFormat="1" ht="13.95" customHeight="1">
      <c r="P137" s="117">
        <f>ROW()</f>
        <v>137</v>
      </c>
    </row>
    <row r="138" spans="2:16" s="3316" customFormat="1" ht="13.95" customHeight="1">
      <c r="P138" s="117">
        <f>ROW()</f>
        <v>138</v>
      </c>
    </row>
    <row r="139" spans="2:16" s="3316" customFormat="1" ht="13.95" customHeight="1">
      <c r="P139" s="117">
        <f>ROW()</f>
        <v>139</v>
      </c>
    </row>
    <row r="140" spans="2:16" s="3316" customFormat="1" ht="13.95" customHeight="1">
      <c r="P140" s="117">
        <f>ROW()</f>
        <v>140</v>
      </c>
    </row>
    <row r="141" spans="2:16" s="3316" customFormat="1" ht="13.95" customHeight="1">
      <c r="P141" s="117">
        <f>ROW()</f>
        <v>141</v>
      </c>
    </row>
    <row r="142" spans="2:16" s="3316" customFormat="1" ht="13.95" customHeight="1">
      <c r="P142" s="117">
        <f>ROW()</f>
        <v>142</v>
      </c>
    </row>
    <row r="143" spans="2:16" s="3316" customFormat="1" ht="13.95" customHeight="1">
      <c r="P143" s="117">
        <f>ROW()</f>
        <v>143</v>
      </c>
    </row>
    <row r="144" spans="2:16" s="3316" customFormat="1" ht="13.95" customHeight="1">
      <c r="P144" s="117">
        <f>ROW()</f>
        <v>144</v>
      </c>
    </row>
    <row r="145" spans="16:16" s="3316" customFormat="1" ht="13.95" customHeight="1">
      <c r="P145" s="117">
        <f>ROW()</f>
        <v>145</v>
      </c>
    </row>
    <row r="146" spans="16:16" s="3316" customFormat="1" ht="13.95" customHeight="1">
      <c r="P146" s="117">
        <f>ROW()</f>
        <v>146</v>
      </c>
    </row>
    <row r="147" spans="16:16" s="3316" customFormat="1" ht="13.95" customHeight="1">
      <c r="P147" s="117">
        <f>ROW()</f>
        <v>147</v>
      </c>
    </row>
    <row r="148" spans="16:16" s="3316" customFormat="1" ht="13.95" customHeight="1">
      <c r="P148" s="117">
        <f>ROW()</f>
        <v>148</v>
      </c>
    </row>
    <row r="149" spans="16:16" s="3316" customFormat="1" ht="13.95" customHeight="1">
      <c r="P149" s="117">
        <f>ROW()</f>
        <v>149</v>
      </c>
    </row>
    <row r="150" spans="16:16" s="3316" customFormat="1" ht="13.95" customHeight="1">
      <c r="P150" s="117">
        <f>ROW()</f>
        <v>150</v>
      </c>
    </row>
    <row r="151" spans="16:16" s="3316" customFormat="1" ht="13.95" customHeight="1">
      <c r="P151" s="117">
        <f>ROW()</f>
        <v>151</v>
      </c>
    </row>
    <row r="152" spans="16:16" s="3316" customFormat="1" ht="13.95" customHeight="1">
      <c r="P152" s="117">
        <f>ROW()</f>
        <v>152</v>
      </c>
    </row>
    <row r="153" spans="16:16" s="3316" customFormat="1" ht="13.95" customHeight="1">
      <c r="P153" s="117">
        <f>ROW()</f>
        <v>153</v>
      </c>
    </row>
    <row r="154" spans="16:16" s="3316" customFormat="1" ht="13.95" customHeight="1">
      <c r="P154" s="117">
        <f>ROW()</f>
        <v>154</v>
      </c>
    </row>
    <row r="155" spans="16:16" s="3316" customFormat="1" ht="13.95" customHeight="1">
      <c r="P155" s="117">
        <f>ROW()</f>
        <v>155</v>
      </c>
    </row>
    <row r="156" spans="16:16" s="3316" customFormat="1" ht="13.95" customHeight="1">
      <c r="P156" s="117">
        <f>ROW()</f>
        <v>156</v>
      </c>
    </row>
    <row r="157" spans="16:16" s="3316" customFormat="1" ht="13.95" customHeight="1">
      <c r="P157" s="117">
        <f>ROW()</f>
        <v>157</v>
      </c>
    </row>
    <row r="158" spans="16:16" s="3316" customFormat="1" ht="13.95" customHeight="1">
      <c r="P158" s="117">
        <f>ROW()</f>
        <v>158</v>
      </c>
    </row>
    <row r="159" spans="16:16" s="3316" customFormat="1" ht="13.95" customHeight="1">
      <c r="P159" s="117">
        <f>ROW()</f>
        <v>159</v>
      </c>
    </row>
    <row r="160" spans="16:16" s="3316" customFormat="1" ht="13.95" customHeight="1">
      <c r="P160" s="117">
        <f>ROW()</f>
        <v>160</v>
      </c>
    </row>
    <row r="161" spans="2:16" s="3316" customFormat="1" ht="13.95" customHeight="1">
      <c r="P161" s="117">
        <f>ROW()</f>
        <v>161</v>
      </c>
    </row>
    <row r="162" spans="2:16" s="3316" customFormat="1" ht="13.95" customHeight="1">
      <c r="P162" s="117">
        <f>ROW()</f>
        <v>162</v>
      </c>
    </row>
    <row r="163" spans="2:16" s="3316" customFormat="1" ht="13.95" customHeight="1">
      <c r="P163" s="117">
        <f>ROW()</f>
        <v>163</v>
      </c>
    </row>
    <row r="164" spans="2:16" s="3316" customFormat="1" ht="13.95" customHeight="1">
      <c r="B164" s="3322" t="s">
        <v>5901</v>
      </c>
      <c r="P164" s="117">
        <f>ROW()</f>
        <v>164</v>
      </c>
    </row>
    <row r="165" spans="2:16" s="3316" customFormat="1" ht="13.95" customHeight="1">
      <c r="P165" s="117">
        <f>ROW()</f>
        <v>165</v>
      </c>
    </row>
    <row r="166" spans="2:16" s="3316" customFormat="1" ht="13.95" customHeight="1">
      <c r="B166" s="2" t="s">
        <v>5892</v>
      </c>
      <c r="P166" s="117">
        <f>ROW()</f>
        <v>166</v>
      </c>
    </row>
    <row r="167" spans="2:16" s="3316" customFormat="1" ht="13.95" customHeight="1">
      <c r="B167" s="3320" t="s">
        <v>5889</v>
      </c>
      <c r="F167" s="1179">
        <f>SUM(F127:F129)</f>
        <v>669026.4681212646</v>
      </c>
      <c r="G167" s="12">
        <f>F167/F$169</f>
        <v>0.19206957091671353</v>
      </c>
      <c r="J167" s="1179">
        <f ca="1">SUM(J127:J129)</f>
        <v>602661.23203687603</v>
      </c>
      <c r="K167" s="12">
        <f ca="1">J167/J$169</f>
        <v>0.16832267555496019</v>
      </c>
      <c r="P167" s="117">
        <f>ROW()</f>
        <v>167</v>
      </c>
    </row>
    <row r="168" spans="2:16" s="3316" customFormat="1" ht="13.95" customHeight="1">
      <c r="B168" s="3320" t="s">
        <v>1932</v>
      </c>
      <c r="F168" s="1179">
        <f>SUM(F130:F134)</f>
        <v>2814224.2359237415</v>
      </c>
      <c r="G168" s="12">
        <f>F168/F$169</f>
        <v>0.80793042908328649</v>
      </c>
      <c r="J168" s="1179">
        <f ca="1">SUM(J130:J134)</f>
        <v>2977731.1901361956</v>
      </c>
      <c r="K168" s="12">
        <f ca="1">J168/J$169</f>
        <v>0.83167732444503983</v>
      </c>
      <c r="P168" s="117">
        <f>ROW()</f>
        <v>168</v>
      </c>
    </row>
    <row r="169" spans="2:16" s="3316" customFormat="1" ht="13.95" customHeight="1">
      <c r="B169" s="1" t="s">
        <v>837</v>
      </c>
      <c r="C169"/>
      <c r="D169"/>
      <c r="E169"/>
      <c r="F169" s="1179">
        <f>F167+F168</f>
        <v>3483250.7040450061</v>
      </c>
      <c r="G169" s="22">
        <f>G167+G168</f>
        <v>1</v>
      </c>
      <c r="H169"/>
      <c r="I169"/>
      <c r="J169" s="1179">
        <f ca="1">J167+J168</f>
        <v>3580392.4221730717</v>
      </c>
      <c r="K169" s="22">
        <f ca="1">K167+K168</f>
        <v>1</v>
      </c>
      <c r="P169" s="117">
        <f>ROW()</f>
        <v>169</v>
      </c>
    </row>
    <row r="170" spans="2:16" s="3316" customFormat="1" ht="13.95" customHeight="1">
      <c r="P170" s="117">
        <f>ROW()</f>
        <v>170</v>
      </c>
    </row>
    <row r="171" spans="2:16" s="3316" customFormat="1" ht="13.95" customHeight="1">
      <c r="P171" s="117">
        <f>ROW()</f>
        <v>171</v>
      </c>
    </row>
    <row r="172" spans="2:16" s="3316" customFormat="1" ht="13.95" customHeight="1">
      <c r="P172" s="117">
        <f>ROW()</f>
        <v>172</v>
      </c>
    </row>
    <row r="173" spans="2:16" s="3316" customFormat="1" ht="13.95" customHeight="1">
      <c r="P173" s="117">
        <f>ROW()</f>
        <v>173</v>
      </c>
    </row>
    <row r="174" spans="2:16" s="3316" customFormat="1" ht="13.95" customHeight="1">
      <c r="P174" s="117">
        <f>ROW()</f>
        <v>174</v>
      </c>
    </row>
    <row r="175" spans="2:16" s="3316" customFormat="1" ht="13.95" customHeight="1">
      <c r="P175" s="117">
        <f>ROW()</f>
        <v>175</v>
      </c>
    </row>
    <row r="176" spans="2:16" s="3316" customFormat="1" ht="13.95" customHeight="1">
      <c r="P176" s="117">
        <f>ROW()</f>
        <v>176</v>
      </c>
    </row>
    <row r="177" spans="16:16" s="3316" customFormat="1" ht="13.95" customHeight="1">
      <c r="P177" s="117">
        <f>ROW()</f>
        <v>177</v>
      </c>
    </row>
    <row r="178" spans="16:16" s="3316" customFormat="1" ht="13.95" customHeight="1">
      <c r="P178" s="117">
        <f>ROW()</f>
        <v>178</v>
      </c>
    </row>
    <row r="179" spans="16:16" s="3316" customFormat="1" ht="13.95" customHeight="1">
      <c r="P179" s="117">
        <f>ROW()</f>
        <v>179</v>
      </c>
    </row>
    <row r="180" spans="16:16" s="3316" customFormat="1" ht="13.95" customHeight="1">
      <c r="P180" s="117">
        <f>ROW()</f>
        <v>180</v>
      </c>
    </row>
    <row r="181" spans="16:16" s="3316" customFormat="1" ht="13.95" customHeight="1">
      <c r="P181" s="117">
        <f>ROW()</f>
        <v>181</v>
      </c>
    </row>
    <row r="182" spans="16:16" s="3316" customFormat="1" ht="13.95" customHeight="1">
      <c r="P182" s="117">
        <f>ROW()</f>
        <v>182</v>
      </c>
    </row>
    <row r="183" spans="16:16" s="3316" customFormat="1" ht="13.95" customHeight="1">
      <c r="P183" s="117">
        <f>ROW()</f>
        <v>183</v>
      </c>
    </row>
    <row r="184" spans="16:16" s="3316" customFormat="1" ht="13.95" customHeight="1">
      <c r="P184" s="117">
        <f>ROW()</f>
        <v>184</v>
      </c>
    </row>
    <row r="185" spans="16:16" s="3316" customFormat="1" ht="13.95" customHeight="1">
      <c r="P185" s="117">
        <f>ROW()</f>
        <v>185</v>
      </c>
    </row>
    <row r="186" spans="16:16" s="3316" customFormat="1" ht="13.95" customHeight="1">
      <c r="P186" s="117">
        <f>ROW()</f>
        <v>186</v>
      </c>
    </row>
    <row r="187" spans="16:16" s="3316" customFormat="1" ht="13.95" customHeight="1">
      <c r="P187" s="117">
        <f>ROW()</f>
        <v>187</v>
      </c>
    </row>
    <row r="188" spans="16:16" s="3316" customFormat="1" ht="13.95" customHeight="1">
      <c r="P188" s="117">
        <f>ROW()</f>
        <v>188</v>
      </c>
    </row>
    <row r="189" spans="16:16" s="3316" customFormat="1" ht="13.95" customHeight="1">
      <c r="P189" s="117">
        <f>ROW()</f>
        <v>189</v>
      </c>
    </row>
    <row r="190" spans="16:16" s="3316" customFormat="1" ht="13.95" customHeight="1">
      <c r="P190" s="117">
        <f>ROW()</f>
        <v>190</v>
      </c>
    </row>
    <row r="191" spans="16:16" s="3316" customFormat="1" ht="13.95" customHeight="1">
      <c r="P191" s="117">
        <f>ROW()</f>
        <v>191</v>
      </c>
    </row>
    <row r="192" spans="16:16" s="3316" customFormat="1" ht="13.95" customHeight="1">
      <c r="P192" s="117">
        <f>ROW()</f>
        <v>192</v>
      </c>
    </row>
    <row r="193" spans="2:16" s="3316" customFormat="1" ht="13.95" customHeight="1">
      <c r="P193" s="117">
        <f>ROW()</f>
        <v>193</v>
      </c>
    </row>
    <row r="194" spans="2:16" s="3316" customFormat="1" ht="13.95" customHeight="1">
      <c r="P194" s="117">
        <f>ROW()</f>
        <v>194</v>
      </c>
    </row>
    <row r="195" spans="2:16" s="3316" customFormat="1" ht="13.95" customHeight="1">
      <c r="P195" s="117">
        <f>ROW()</f>
        <v>195</v>
      </c>
    </row>
    <row r="196" spans="2:16" s="3316" customFormat="1" ht="13.95" customHeight="1">
      <c r="P196" s="117">
        <f>ROW()</f>
        <v>196</v>
      </c>
    </row>
    <row r="197" spans="2:16" ht="13.95" customHeight="1">
      <c r="B197" s="115" t="s">
        <v>5921</v>
      </c>
      <c r="P197" s="117">
        <f>ROW()</f>
        <v>197</v>
      </c>
    </row>
    <row r="198" spans="2:16" ht="13.95" customHeight="1">
      <c r="P198" s="117">
        <f>ROW()</f>
        <v>198</v>
      </c>
    </row>
    <row r="199" spans="2:16" ht="13.95" customHeight="1">
      <c r="B199" s="6" t="s">
        <v>6198</v>
      </c>
      <c r="G199" s="7" t="str">
        <f>CONCATENATE("(See citation in Row ",P218, ".)")</f>
        <v>(See citation in Row 218.)</v>
      </c>
      <c r="P199" s="117">
        <f>ROW()</f>
        <v>199</v>
      </c>
    </row>
    <row r="200" spans="2:16" ht="13.95" customHeight="1">
      <c r="P200" s="117">
        <f>ROW()</f>
        <v>200</v>
      </c>
    </row>
    <row r="201" spans="2:16" ht="13.95" customHeight="1">
      <c r="B201" t="s">
        <v>1467</v>
      </c>
      <c r="P201" s="117">
        <f>ROW()</f>
        <v>201</v>
      </c>
    </row>
    <row r="202" spans="2:16" ht="13.95" customHeight="1">
      <c r="G202" s="8" t="s">
        <v>2820</v>
      </c>
      <c r="H202" s="8" t="s">
        <v>308</v>
      </c>
      <c r="I202" s="8" t="s">
        <v>198</v>
      </c>
      <c r="P202" s="117">
        <f>ROW()</f>
        <v>202</v>
      </c>
    </row>
    <row r="203" spans="2:16" ht="13.95" customHeight="1">
      <c r="B203" s="1766" t="s">
        <v>452</v>
      </c>
      <c r="G203" s="1767">
        <f>-0.1/2</f>
        <v>-0.05</v>
      </c>
      <c r="H203" s="1767">
        <f>-0.1</f>
        <v>-0.1</v>
      </c>
      <c r="I203" s="1768">
        <f>AVERAGE(G203:H203)</f>
        <v>-7.5000000000000011E-2</v>
      </c>
      <c r="P203" s="117">
        <f>ROW()</f>
        <v>203</v>
      </c>
    </row>
    <row r="204" spans="2:16" ht="13.95" customHeight="1">
      <c r="B204" s="3754" t="s">
        <v>3036</v>
      </c>
      <c r="C204" s="3659"/>
      <c r="D204" s="3659"/>
      <c r="E204" s="3659"/>
      <c r="F204" s="3659"/>
      <c r="G204" s="3659"/>
      <c r="H204" s="3659"/>
      <c r="I204" s="3659"/>
      <c r="P204" s="117">
        <f>ROW()</f>
        <v>204</v>
      </c>
    </row>
    <row r="205" spans="2:16" ht="13.95" customHeight="1">
      <c r="B205" s="3659"/>
      <c r="C205" s="3659"/>
      <c r="D205" s="3659"/>
      <c r="E205" s="3659"/>
      <c r="F205" s="3659"/>
      <c r="G205" s="3659"/>
      <c r="H205" s="3659"/>
      <c r="I205" s="3659"/>
      <c r="P205" s="117">
        <f>ROW()</f>
        <v>205</v>
      </c>
    </row>
    <row r="206" spans="2:16" ht="13.95" customHeight="1">
      <c r="B206" s="3659"/>
      <c r="C206" s="3659"/>
      <c r="D206" s="3659"/>
      <c r="E206" s="3659"/>
      <c r="F206" s="3659"/>
      <c r="G206" s="3659"/>
      <c r="H206" s="3659"/>
      <c r="I206" s="3659"/>
      <c r="P206" s="117">
        <f>ROW()</f>
        <v>206</v>
      </c>
    </row>
    <row r="207" spans="2:16" ht="13.95" customHeight="1">
      <c r="B207" s="9" t="s">
        <v>520</v>
      </c>
      <c r="G207" s="26">
        <f>'Motor Vs'!W253</f>
        <v>26.129618984382166</v>
      </c>
      <c r="H207" s="26">
        <f>'Motor Vs'!AF253</f>
        <v>24.814810025181863</v>
      </c>
      <c r="I207" s="26">
        <f>'Motor Vs'!AO253</f>
        <v>19.924466161245878</v>
      </c>
      <c r="P207" s="117">
        <f>ROW()</f>
        <v>207</v>
      </c>
    </row>
    <row r="208" spans="2:16" ht="13.95" customHeight="1">
      <c r="B208" s="282" t="str">
        <f>CONCATENATE("From 'Motor Vs' worksheet, Row ",'Motor Vs'!O253, " for respective column blocks.")</f>
        <v>From 'Motor Vs' worksheet, Row 253 for respective column blocks.</v>
      </c>
      <c r="I208" s="26"/>
      <c r="P208" s="117">
        <f>ROW()</f>
        <v>208</v>
      </c>
    </row>
    <row r="209" spans="2:16" ht="13.95" customHeight="1">
      <c r="B209" s="9" t="s">
        <v>519</v>
      </c>
      <c r="G209" s="26">
        <f>'Motor Vs'!W253+'Motor Vs'!W287</f>
        <v>33.568745747536504</v>
      </c>
      <c r="H209" s="26">
        <f>'Motor Vs'!AF253+'Motor Vs'!AF287</f>
        <v>31.917453717521838</v>
      </c>
      <c r="I209" s="26">
        <f>'Motor Vs'!AO253+'Motor Vs'!AO287</f>
        <v>31.952018467144736</v>
      </c>
      <c r="P209" s="117">
        <f>ROW()</f>
        <v>209</v>
      </c>
    </row>
    <row r="210" spans="2:16" ht="13.95" customHeight="1">
      <c r="B210" s="282" t="str">
        <f>CONCATENATE("Same as for Row ",P207, " plus toll increment from Row ",'Motor Vs'!O287, " of 'Motor Vs'.")</f>
        <v>Same as for Row 207 plus toll increment from Row 287 of 'Motor Vs'.</v>
      </c>
      <c r="I210" s="26"/>
      <c r="P210" s="117">
        <f>ROW()</f>
        <v>210</v>
      </c>
    </row>
    <row r="211" spans="2:16" ht="13.95" customHeight="1">
      <c r="B211" s="1" t="s">
        <v>197</v>
      </c>
      <c r="G211" s="117">
        <f>G59</f>
        <v>1.1499999999999999</v>
      </c>
      <c r="H211" s="117">
        <f>G60</f>
        <v>1.5</v>
      </c>
      <c r="I211" s="117">
        <f>G61</f>
        <v>1.2945212934424437</v>
      </c>
      <c r="P211" s="117">
        <f>ROW()</f>
        <v>211</v>
      </c>
    </row>
    <row r="212" spans="2:16" ht="13.95" customHeight="1">
      <c r="B212" s="282" t="str">
        <f>CONCATENATE("From Rows ",P59, " through ",P61,".")</f>
        <v>From Rows 59 through 61.</v>
      </c>
      <c r="I212" s="26"/>
      <c r="P212" s="117">
        <f>ROW()</f>
        <v>212</v>
      </c>
    </row>
    <row r="213" spans="2:16" ht="13.95" customHeight="1">
      <c r="B213" s="1" t="s">
        <v>196</v>
      </c>
      <c r="G213" s="117">
        <f>1+2*(G211-1)/(1+EXP(G203*(G209-G207)))</f>
        <v>1.1775794841957974</v>
      </c>
      <c r="H213" s="117">
        <f>1+2*(H211-1)/(1+EXP(H203*(H209-H207)))</f>
        <v>1.670459573113704</v>
      </c>
      <c r="I213" s="117">
        <f>1+2*(I211-1)/(1+EXP(I203*(I209-I207)))</f>
        <v>1.419029562350135</v>
      </c>
      <c r="P213" s="117">
        <f>ROW()</f>
        <v>213</v>
      </c>
    </row>
    <row r="214" spans="2:16" ht="13.95" customHeight="1">
      <c r="B214" s="282" t="str">
        <f>CONCATENATE("Calculated with formula in Row ",P199, ".")</f>
        <v>Calculated with formula in Row 199.</v>
      </c>
      <c r="P214" s="117">
        <f>ROW()</f>
        <v>214</v>
      </c>
    </row>
    <row r="215" spans="2:16" ht="13.95" customHeight="1">
      <c r="B215" s="9" t="s">
        <v>3037</v>
      </c>
      <c r="G215" s="117">
        <f>G213-G211</f>
        <v>2.7579484195797477E-2</v>
      </c>
      <c r="H215" s="117">
        <f>H213-H211</f>
        <v>0.17045957311370397</v>
      </c>
      <c r="I215" s="117">
        <f>I213-I211</f>
        <v>0.12450826890769129</v>
      </c>
      <c r="P215" s="117">
        <f>ROW()</f>
        <v>215</v>
      </c>
    </row>
    <row r="216" spans="2:16" ht="13.95" customHeight="1">
      <c r="B216" s="282" t="str">
        <f>CONCATENATE("Rows ",P213, " less Row ",P211,".")</f>
        <v>Rows 213 less Row 211.</v>
      </c>
      <c r="P216" s="117">
        <f>ROW()</f>
        <v>216</v>
      </c>
    </row>
    <row r="217" spans="2:16" ht="13.95" customHeight="1">
      <c r="P217" s="117">
        <f>ROW()</f>
        <v>217</v>
      </c>
    </row>
    <row r="218" spans="2:16" ht="13.95" customHeight="1">
      <c r="B218" s="4239" t="s">
        <v>48</v>
      </c>
      <c r="C218" s="3779"/>
      <c r="D218" s="3779"/>
      <c r="E218" s="3779"/>
      <c r="F218" s="3779"/>
      <c r="G218" s="3779"/>
      <c r="H218" s="3779"/>
      <c r="I218" s="3779"/>
      <c r="J218" s="487"/>
      <c r="K218" s="487"/>
      <c r="P218" s="117">
        <f>ROW()</f>
        <v>218</v>
      </c>
    </row>
    <row r="219" spans="2:16" ht="13.95" customHeight="1">
      <c r="B219" s="3779"/>
      <c r="C219" s="3779"/>
      <c r="D219" s="3779"/>
      <c r="E219" s="3779"/>
      <c r="F219" s="3779"/>
      <c r="G219" s="3779"/>
      <c r="H219" s="3779"/>
      <c r="I219" s="3779"/>
      <c r="J219" s="487"/>
      <c r="K219" s="487"/>
      <c r="P219" s="117">
        <f>ROW()</f>
        <v>219</v>
      </c>
    </row>
    <row r="220" spans="2:16" ht="13.95" customHeight="1">
      <c r="B220" s="3779"/>
      <c r="C220" s="3779"/>
      <c r="D220" s="3779"/>
      <c r="E220" s="3779"/>
      <c r="F220" s="3779"/>
      <c r="G220" s="3779"/>
      <c r="H220" s="3779"/>
      <c r="I220" s="3779"/>
      <c r="J220" s="487"/>
      <c r="K220" s="487"/>
      <c r="P220" s="117">
        <f>ROW()</f>
        <v>220</v>
      </c>
    </row>
    <row r="221" spans="2:16" ht="13.95" customHeight="1">
      <c r="B221" s="9"/>
      <c r="P221" s="117">
        <f>ROW()</f>
        <v>221</v>
      </c>
    </row>
    <row r="222" spans="2:16" ht="13.95" customHeight="1">
      <c r="B222" s="3781" t="s">
        <v>2008</v>
      </c>
      <c r="C222" s="3781"/>
      <c r="D222" s="3781"/>
      <c r="E222" s="3781"/>
      <c r="F222" s="3781"/>
      <c r="G222" s="3781"/>
      <c r="H222" s="3781"/>
      <c r="I222" s="3781"/>
      <c r="P222" s="117">
        <f>ROW()</f>
        <v>222</v>
      </c>
    </row>
    <row r="223" spans="2:16" ht="13.95" customHeight="1">
      <c r="B223" s="3781"/>
      <c r="C223" s="3781"/>
      <c r="D223" s="3781"/>
      <c r="E223" s="3781"/>
      <c r="F223" s="3781"/>
      <c r="G223" s="3781"/>
      <c r="H223" s="3781"/>
      <c r="I223" s="3781"/>
      <c r="P223" s="117">
        <f>ROW()</f>
        <v>223</v>
      </c>
    </row>
    <row r="224" spans="2:16" ht="13.95" customHeight="1">
      <c r="B224" s="3781"/>
      <c r="C224" s="3781"/>
      <c r="D224" s="3781"/>
      <c r="E224" s="3781"/>
      <c r="F224" s="3781"/>
      <c r="G224" s="3781"/>
      <c r="H224" s="3781"/>
      <c r="I224" s="3781"/>
      <c r="P224" s="117">
        <f>ROW()</f>
        <v>224</v>
      </c>
    </row>
    <row r="225" spans="16:16" ht="13.95" customHeight="1">
      <c r="P225" s="117"/>
    </row>
    <row r="226" spans="16:16" ht="13.95" customHeight="1">
      <c r="P226" s="117"/>
    </row>
    <row r="227" spans="16:16" ht="13.95" customHeight="1">
      <c r="P227" s="117"/>
    </row>
    <row r="228" spans="16:16" ht="13.95" customHeight="1">
      <c r="P228" s="117"/>
    </row>
    <row r="229" spans="16:16" ht="13.95" customHeight="1">
      <c r="P229" s="117"/>
    </row>
    <row r="230" spans="16:16" ht="13.95" customHeight="1">
      <c r="P230" s="117"/>
    </row>
    <row r="231" spans="16:16" ht="13.95" customHeight="1">
      <c r="P231" s="117"/>
    </row>
    <row r="232" spans="16:16" ht="13.95" customHeight="1">
      <c r="P232" s="117"/>
    </row>
    <row r="233" spans="16:16" ht="13.95" customHeight="1">
      <c r="P233" s="117"/>
    </row>
    <row r="234" spans="16:16" ht="13.95" customHeight="1">
      <c r="P234" s="117"/>
    </row>
    <row r="235" spans="16:16" ht="13.95" customHeight="1">
      <c r="P235" s="117"/>
    </row>
    <row r="236" spans="16:16" ht="13.95" customHeight="1">
      <c r="P236" s="117"/>
    </row>
    <row r="237" spans="16:16" ht="13.95" customHeight="1">
      <c r="P237" s="117"/>
    </row>
    <row r="238" spans="16:16" ht="13.95" customHeight="1">
      <c r="P238" s="117"/>
    </row>
    <row r="239" spans="16:16" ht="13.95" customHeight="1">
      <c r="P239" s="117"/>
    </row>
    <row r="240" spans="16:16" ht="13.95" customHeight="1">
      <c r="P240" s="117"/>
    </row>
    <row r="241" spans="16:16" ht="13.95" customHeight="1">
      <c r="P241" s="117"/>
    </row>
    <row r="242" spans="16:16" ht="13.95" customHeight="1">
      <c r="P242" s="117"/>
    </row>
    <row r="243" spans="16:16" ht="13.95" customHeight="1">
      <c r="P243" s="117"/>
    </row>
    <row r="244" spans="16:16" ht="13.95" customHeight="1">
      <c r="P244" s="117"/>
    </row>
  </sheetData>
  <mergeCells count="32">
    <mergeCell ref="B222:I224"/>
    <mergeCell ref="B102:J104"/>
    <mergeCell ref="B218:I220"/>
    <mergeCell ref="L118:M119"/>
    <mergeCell ref="D53:F56"/>
    <mergeCell ref="D59:F62"/>
    <mergeCell ref="L114:M115"/>
    <mergeCell ref="D65:F68"/>
    <mergeCell ref="B204:I206"/>
    <mergeCell ref="B92:J93"/>
    <mergeCell ref="L54:M56"/>
    <mergeCell ref="L66:M68"/>
    <mergeCell ref="L93:M95"/>
    <mergeCell ref="B73:C75"/>
    <mergeCell ref="D73:F75"/>
    <mergeCell ref="L106:M112"/>
    <mergeCell ref="N43:N46"/>
    <mergeCell ref="O43:O46"/>
    <mergeCell ref="L60:M63"/>
    <mergeCell ref="B4:J6"/>
    <mergeCell ref="B8:J9"/>
    <mergeCell ref="B11:J13"/>
    <mergeCell ref="H44:H46"/>
    <mergeCell ref="I44:I46"/>
    <mergeCell ref="J44:J46"/>
    <mergeCell ref="G44:G46"/>
    <mergeCell ref="B15:J16"/>
    <mergeCell ref="F125:G125"/>
    <mergeCell ref="J125:K125"/>
    <mergeCell ref="G86:J88"/>
    <mergeCell ref="M86:M87"/>
    <mergeCell ref="L99:M101"/>
  </mergeCells>
  <phoneticPr fontId="6" type="noConversion"/>
  <pageMargins left="0.5" right="0.25" top="1" bottom="1" header="0.5" footer="0.5"/>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codeName="Sheet8"/>
  <dimension ref="A1:IT1078"/>
  <sheetViews>
    <sheetView showRuler="0" zoomScaleNormal="100" workbookViewId="0"/>
  </sheetViews>
  <sheetFormatPr defaultRowHeight="13.2" customHeight="1"/>
  <cols>
    <col min="1" max="1" width="2.75" customWidth="1"/>
    <col min="2" max="14" width="11.125" customWidth="1"/>
    <col min="15" max="15" width="1.75" customWidth="1"/>
    <col min="16" max="23" width="12.75" customWidth="1"/>
    <col min="24" max="24" width="1.75" customWidth="1"/>
    <col min="25" max="32" width="12.75" customWidth="1"/>
    <col min="33" max="33" width="1.75" customWidth="1"/>
    <col min="34" max="41" width="12.75" customWidth="1"/>
    <col min="42" max="42" width="1.75" customWidth="1"/>
    <col min="43" max="50" width="12.75" customWidth="1"/>
    <col min="51" max="51" width="1.75" customWidth="1"/>
    <col min="52" max="59" width="12.75" customWidth="1"/>
    <col min="60" max="60" width="1.75" customWidth="1"/>
    <col min="61" max="68" width="12.75" customWidth="1"/>
  </cols>
  <sheetData>
    <row r="1" spans="2:59" ht="13.2" customHeight="1" thickBot="1">
      <c r="O1" s="39">
        <f>ROW()</f>
        <v>1</v>
      </c>
    </row>
    <row r="2" spans="2:59" ht="13.2" customHeight="1" thickBot="1">
      <c r="B2" s="2779" t="s">
        <v>2422</v>
      </c>
      <c r="G2" s="181">
        <f>'Title Page'!K1</f>
        <v>40914</v>
      </c>
      <c r="I2" s="4255" t="s">
        <v>6201</v>
      </c>
      <c r="J2" s="4256"/>
      <c r="K2" s="4256"/>
      <c r="L2" s="4256"/>
      <c r="M2" s="4257"/>
      <c r="O2" s="39">
        <f>ROW()</f>
        <v>2</v>
      </c>
      <c r="AQ2" s="3787" t="str">
        <f>CONCATENATE("Medallion taxi trips require special treatment. For one thing, our analysis of baseline travel conditions indicates that each of the ",Taxis!L192, " medallion taxicabs enters the CBD around ",ROUND(L30/Taxis!L192,0), " times per weekday, on average (producing the estimated ",L30, " cordon-entering trips attributed to medallion taxis shown in Cell L",30, " of this worksheet).")</f>
        <v>Medallion taxi trips require special treatment. For one thing, our analysis of baseline travel conditions indicates that each of the 13237 medallion taxicabs enters the CBD around 5 times per weekday, on average (producing the estimated 65000 cordon-entering trips attributed to medallion taxis shown in Cell L30 of this worksheet).</v>
      </c>
      <c r="AR2" s="3787"/>
      <c r="AS2" s="3787"/>
      <c r="AT2" s="3787"/>
      <c r="AU2" s="3787"/>
      <c r="AV2" s="3787"/>
      <c r="AW2" s="3787"/>
      <c r="AX2" s="3787"/>
    </row>
    <row r="3" spans="2:59" ht="13.2" customHeight="1" thickBot="1">
      <c r="H3" s="6"/>
      <c r="I3" s="4258"/>
      <c r="J3" s="4259"/>
      <c r="K3" s="4259"/>
      <c r="L3" s="4259"/>
      <c r="M3" s="4260"/>
      <c r="O3" s="39">
        <f>ROW()</f>
        <v>3</v>
      </c>
      <c r="P3" s="902"/>
      <c r="Q3" s="895"/>
      <c r="R3" s="896"/>
      <c r="S3" s="896"/>
      <c r="T3" s="896"/>
      <c r="U3" s="896"/>
      <c r="V3" s="897"/>
      <c r="AQ3" s="3787"/>
      <c r="AR3" s="3787"/>
      <c r="AS3" s="3787"/>
      <c r="AT3" s="3787"/>
      <c r="AU3" s="3787"/>
      <c r="AV3" s="3787"/>
      <c r="AW3" s="3787"/>
      <c r="AX3" s="3787"/>
    </row>
    <row r="4" spans="2:59" ht="13.2" customHeight="1">
      <c r="H4" s="6"/>
      <c r="I4" s="6"/>
      <c r="J4" s="6"/>
      <c r="K4" s="6"/>
      <c r="L4" s="6"/>
      <c r="O4" s="39">
        <f>ROW()</f>
        <v>4</v>
      </c>
      <c r="P4" s="902"/>
      <c r="Q4" s="898"/>
      <c r="R4" s="829"/>
      <c r="S4" s="829"/>
      <c r="T4" s="829"/>
      <c r="U4" s="829"/>
      <c r="V4" s="899"/>
      <c r="AQ4" s="3787"/>
      <c r="AR4" s="3787"/>
      <c r="AS4" s="3787"/>
      <c r="AT4" s="3787"/>
      <c r="AU4" s="3787"/>
      <c r="AV4" s="3787"/>
      <c r="AW4" s="3787"/>
      <c r="AX4" s="3787"/>
      <c r="AZ4" s="4411" t="s">
        <v>1145</v>
      </c>
      <c r="BA4" s="4298"/>
      <c r="BB4" s="4298"/>
      <c r="BC4" s="4298"/>
      <c r="BD4" s="4298"/>
      <c r="BE4" s="4298"/>
      <c r="BF4" s="4298"/>
      <c r="BG4" s="4299"/>
    </row>
    <row r="5" spans="2:59" ht="13.2" customHeight="1">
      <c r="O5" s="39">
        <f>ROW()</f>
        <v>5</v>
      </c>
      <c r="P5" s="902"/>
      <c r="Q5" s="898"/>
      <c r="R5" s="829"/>
      <c r="S5" s="829"/>
      <c r="T5" s="829"/>
      <c r="U5" s="829"/>
      <c r="V5" s="899"/>
      <c r="AZ5" s="4300"/>
      <c r="BA5" s="3796"/>
      <c r="BB5" s="3796"/>
      <c r="BC5" s="3796"/>
      <c r="BD5" s="3796"/>
      <c r="BE5" s="3796"/>
      <c r="BF5" s="3796"/>
      <c r="BG5" s="4301"/>
    </row>
    <row r="6" spans="2:59" ht="13.2" customHeight="1">
      <c r="B6" s="4261" t="s">
        <v>6202</v>
      </c>
      <c r="C6" s="4261"/>
      <c r="D6" s="4261"/>
      <c r="E6" s="4261"/>
      <c r="F6" s="4261"/>
      <c r="G6" s="4261"/>
      <c r="H6" s="4261"/>
      <c r="I6" s="4261"/>
      <c r="J6" s="4261"/>
      <c r="K6" s="4261"/>
      <c r="L6" s="4261"/>
      <c r="M6" s="281"/>
      <c r="N6" s="4274" t="s">
        <v>2046</v>
      </c>
      <c r="O6" s="39">
        <f>ROW()</f>
        <v>6</v>
      </c>
      <c r="P6" s="902"/>
      <c r="Q6" s="898"/>
      <c r="R6" s="829"/>
      <c r="S6" s="829"/>
      <c r="T6" s="829"/>
      <c r="U6" s="829"/>
      <c r="V6" s="899"/>
      <c r="AQ6" s="3787" t="str">
        <f>CONCATENATE("Also, medallion taxis cover far more ground within the CBD than other vehicles. Data reported in Rows ",Taxis!O461, "-",Taxis!O464, " of the 'Taxis' worksheet indicate that the average medallion taxi logs more than ", ROUNDDOWN('Motor Vs'!L101/Taxis!L192/(2*'Motor Vs'!I85),-1), " times as many miles driven within the CBD as the average private auto.")</f>
        <v>Also, medallion taxis cover far more ground within the CBD than other vehicles. Data reported in Rows 461-464 of the 'Taxis' worksheet indicate that the average medallion taxi logs more than 40 times as many miles driven within the CBD as the average private auto.</v>
      </c>
      <c r="AR6" s="3787"/>
      <c r="AS6" s="3787"/>
      <c r="AT6" s="3787"/>
      <c r="AU6" s="3787"/>
      <c r="AV6" s="3787"/>
      <c r="AW6" s="3787"/>
      <c r="AX6" s="3787"/>
      <c r="AZ6" s="4300"/>
      <c r="BA6" s="3796"/>
      <c r="BB6" s="3796"/>
      <c r="BC6" s="3796"/>
      <c r="BD6" s="3796"/>
      <c r="BE6" s="3796"/>
      <c r="BF6" s="3796"/>
      <c r="BG6" s="4301"/>
    </row>
    <row r="7" spans="2:59" ht="13.2" customHeight="1">
      <c r="B7" s="4261"/>
      <c r="C7" s="4261"/>
      <c r="D7" s="4261"/>
      <c r="E7" s="4261"/>
      <c r="F7" s="4261"/>
      <c r="G7" s="4261"/>
      <c r="H7" s="4261"/>
      <c r="I7" s="4261"/>
      <c r="J7" s="4261"/>
      <c r="K7" s="4261"/>
      <c r="L7" s="4261"/>
      <c r="M7" s="281"/>
      <c r="N7" s="4274"/>
      <c r="O7" s="39">
        <f>ROW()</f>
        <v>7</v>
      </c>
      <c r="P7" s="902"/>
      <c r="Q7" s="898"/>
      <c r="R7" s="829"/>
      <c r="S7" s="829"/>
      <c r="T7" s="829"/>
      <c r="U7" s="829"/>
      <c r="V7" s="899"/>
      <c r="AQ7" s="3787"/>
      <c r="AR7" s="3787"/>
      <c r="AS7" s="3787"/>
      <c r="AT7" s="3787"/>
      <c r="AU7" s="3787"/>
      <c r="AV7" s="3787"/>
      <c r="AW7" s="3787"/>
      <c r="AX7" s="3787"/>
      <c r="AZ7" s="4300"/>
      <c r="BA7" s="3796"/>
      <c r="BB7" s="3796"/>
      <c r="BC7" s="3796"/>
      <c r="BD7" s="3796"/>
      <c r="BE7" s="3796"/>
      <c r="BF7" s="3796"/>
      <c r="BG7" s="4301"/>
    </row>
    <row r="8" spans="2:59" ht="13.2" customHeight="1">
      <c r="B8" s="4261"/>
      <c r="C8" s="4261"/>
      <c r="D8" s="4261"/>
      <c r="E8" s="4261"/>
      <c r="F8" s="4261"/>
      <c r="G8" s="4261"/>
      <c r="H8" s="4261"/>
      <c r="I8" s="4261"/>
      <c r="J8" s="4261"/>
      <c r="K8" s="4261"/>
      <c r="L8" s="4261"/>
      <c r="M8" s="281"/>
      <c r="N8" s="4274"/>
      <c r="O8" s="39">
        <f>ROW()</f>
        <v>8</v>
      </c>
      <c r="P8" s="902"/>
      <c r="Q8" s="898"/>
      <c r="R8" s="829"/>
      <c r="S8" s="829"/>
      <c r="T8" s="829"/>
      <c r="U8" s="829"/>
      <c r="V8" s="899"/>
      <c r="AQ8" s="3787"/>
      <c r="AR8" s="3787"/>
      <c r="AS8" s="3787"/>
      <c r="AT8" s="3787"/>
      <c r="AU8" s="3787"/>
      <c r="AV8" s="3787"/>
      <c r="AW8" s="3787"/>
      <c r="AX8" s="3787"/>
      <c r="AZ8" s="4302"/>
      <c r="BA8" s="4303"/>
      <c r="BB8" s="4303"/>
      <c r="BC8" s="4303"/>
      <c r="BD8" s="4303"/>
      <c r="BE8" s="4303"/>
      <c r="BF8" s="4303"/>
      <c r="BG8" s="4304"/>
    </row>
    <row r="9" spans="2:59" ht="13.2" customHeight="1">
      <c r="B9" s="4261"/>
      <c r="C9" s="4261"/>
      <c r="D9" s="4261"/>
      <c r="E9" s="4261"/>
      <c r="F9" s="4261"/>
      <c r="G9" s="4261"/>
      <c r="H9" s="4261"/>
      <c r="I9" s="4261"/>
      <c r="J9" s="4261"/>
      <c r="K9" s="4261"/>
      <c r="L9" s="4261"/>
      <c r="M9" s="281"/>
      <c r="N9" s="4274"/>
      <c r="O9" s="39">
        <f>ROW()</f>
        <v>9</v>
      </c>
      <c r="P9" s="902"/>
      <c r="Q9" s="898"/>
      <c r="R9" s="829"/>
      <c r="S9" s="829"/>
      <c r="T9" s="829"/>
      <c r="U9" s="829"/>
      <c r="V9" s="899"/>
    </row>
    <row r="10" spans="2:59" ht="13.2" customHeight="1">
      <c r="B10" s="4261"/>
      <c r="C10" s="4261"/>
      <c r="D10" s="4261"/>
      <c r="E10" s="4261"/>
      <c r="F10" s="4261"/>
      <c r="G10" s="4261"/>
      <c r="H10" s="4261"/>
      <c r="I10" s="4261"/>
      <c r="J10" s="4261"/>
      <c r="K10" s="4261"/>
      <c r="L10" s="4261"/>
      <c r="M10" s="281"/>
      <c r="N10" s="4274"/>
      <c r="O10" s="39">
        <f>ROW()</f>
        <v>10</v>
      </c>
      <c r="P10" s="902"/>
      <c r="Q10" s="898"/>
      <c r="R10" s="829"/>
      <c r="S10" s="829"/>
      <c r="T10" s="829"/>
      <c r="U10" s="829"/>
      <c r="V10" s="899"/>
      <c r="AQ10" s="1" t="str">
        <f>CONCATENATE("These special factors are accommodated via additional and/or special data elements beginning in Row ",O325, ".")</f>
        <v>These special factors are accommodated via additional and/or special data elements beginning in Row 325.</v>
      </c>
    </row>
    <row r="11" spans="2:59" ht="13.2" customHeight="1">
      <c r="B11" s="4261"/>
      <c r="C11" s="4261"/>
      <c r="D11" s="4261"/>
      <c r="E11" s="4261"/>
      <c r="F11" s="4261"/>
      <c r="G11" s="4261"/>
      <c r="H11" s="4261"/>
      <c r="I11" s="4261"/>
      <c r="J11" s="4261"/>
      <c r="K11" s="4261"/>
      <c r="L11" s="4261"/>
      <c r="M11" s="281"/>
      <c r="N11" s="4274"/>
      <c r="O11" s="39">
        <f>ROW()</f>
        <v>11</v>
      </c>
      <c r="P11" s="902"/>
      <c r="Q11" s="898"/>
      <c r="R11" s="829"/>
      <c r="S11" s="829"/>
      <c r="T11" s="829"/>
      <c r="U11" s="829"/>
      <c r="V11" s="899"/>
      <c r="BA11" s="6" t="s">
        <v>1146</v>
      </c>
      <c r="BC11" s="281" t="s">
        <v>708</v>
      </c>
    </row>
    <row r="12" spans="2:59" ht="13.2" customHeight="1">
      <c r="B12" s="4261"/>
      <c r="C12" s="4261"/>
      <c r="D12" s="4261"/>
      <c r="E12" s="4261"/>
      <c r="F12" s="4261"/>
      <c r="G12" s="4261"/>
      <c r="H12" s="4261"/>
      <c r="I12" s="4261"/>
      <c r="J12" s="4261"/>
      <c r="K12" s="4261"/>
      <c r="L12" s="4261"/>
      <c r="M12" s="217"/>
      <c r="N12" s="4274"/>
      <c r="O12" s="39">
        <f>ROW()</f>
        <v>12</v>
      </c>
      <c r="P12" s="902"/>
      <c r="Q12" s="898"/>
      <c r="R12" s="829"/>
      <c r="S12" s="829"/>
      <c r="T12" s="829"/>
      <c r="U12" s="829"/>
      <c r="V12" s="899"/>
      <c r="BC12" s="281" t="s">
        <v>706</v>
      </c>
    </row>
    <row r="13" spans="2:59" ht="13.2" customHeight="1">
      <c r="B13" s="4261"/>
      <c r="C13" s="4261"/>
      <c r="D13" s="4261"/>
      <c r="E13" s="4261"/>
      <c r="F13" s="4261"/>
      <c r="G13" s="4261"/>
      <c r="H13" s="4261"/>
      <c r="I13" s="4261"/>
      <c r="J13" s="4261"/>
      <c r="K13" s="4261"/>
      <c r="L13" s="4261"/>
      <c r="M13" s="217"/>
      <c r="N13" s="3813"/>
      <c r="O13" s="39">
        <f>ROW()</f>
        <v>13</v>
      </c>
      <c r="P13" s="902"/>
      <c r="Q13" s="898"/>
      <c r="R13" s="829"/>
      <c r="S13" s="829"/>
      <c r="T13" s="829"/>
      <c r="U13" s="829"/>
      <c r="V13" s="899"/>
      <c r="BC13" s="281" t="s">
        <v>707</v>
      </c>
    </row>
    <row r="14" spans="2:59" ht="13.2" customHeight="1">
      <c r="B14" s="217"/>
      <c r="C14" s="217"/>
      <c r="D14" s="217"/>
      <c r="E14" s="217"/>
      <c r="F14" s="217"/>
      <c r="G14" s="217"/>
      <c r="H14" s="217"/>
      <c r="I14" s="217"/>
      <c r="J14" s="217"/>
      <c r="K14" s="217"/>
      <c r="L14" s="217"/>
      <c r="M14" s="217"/>
      <c r="N14" s="3813"/>
      <c r="O14" s="39">
        <f>ROW()</f>
        <v>14</v>
      </c>
      <c r="P14" s="902"/>
      <c r="Q14" s="898"/>
      <c r="R14" s="829"/>
      <c r="S14" s="829"/>
      <c r="T14" s="829"/>
      <c r="U14" s="829"/>
      <c r="V14" s="899"/>
      <c r="BC14" s="281" t="s">
        <v>750</v>
      </c>
    </row>
    <row r="15" spans="2:59" ht="13.2" customHeight="1">
      <c r="B15" s="4276" t="s">
        <v>4671</v>
      </c>
      <c r="C15" s="4261"/>
      <c r="D15" s="4261"/>
      <c r="E15" s="4261"/>
      <c r="F15" s="4261"/>
      <c r="G15" s="4261"/>
      <c r="H15" s="4261"/>
      <c r="I15" s="4261"/>
      <c r="J15" s="4261"/>
      <c r="K15" s="4261"/>
      <c r="L15" s="4261"/>
      <c r="M15" s="281"/>
      <c r="N15" s="3813"/>
      <c r="O15" s="39">
        <f>ROW()</f>
        <v>15</v>
      </c>
      <c r="P15" s="902"/>
      <c r="Q15" s="898"/>
      <c r="R15" s="829"/>
      <c r="S15" s="829"/>
      <c r="T15" s="829"/>
      <c r="U15" s="829"/>
      <c r="V15" s="899"/>
      <c r="BC15" s="281" t="s">
        <v>1329</v>
      </c>
    </row>
    <row r="16" spans="2:59" ht="13.2" customHeight="1">
      <c r="B16" s="4261"/>
      <c r="C16" s="4261"/>
      <c r="D16" s="4261"/>
      <c r="E16" s="4261"/>
      <c r="F16" s="4261"/>
      <c r="G16" s="4261"/>
      <c r="H16" s="4261"/>
      <c r="I16" s="4261"/>
      <c r="J16" s="4261"/>
      <c r="K16" s="4261"/>
      <c r="L16" s="4261"/>
      <c r="M16" s="281"/>
      <c r="N16" s="3813"/>
      <c r="O16" s="39">
        <f>ROW()</f>
        <v>16</v>
      </c>
      <c r="P16" s="902"/>
      <c r="Q16" s="898"/>
      <c r="R16" s="829"/>
      <c r="S16" s="829"/>
      <c r="T16" s="829"/>
      <c r="U16" s="829"/>
      <c r="V16" s="899"/>
    </row>
    <row r="17" spans="2:61" ht="13.2" customHeight="1">
      <c r="B17" s="4261"/>
      <c r="C17" s="4261"/>
      <c r="D17" s="4261"/>
      <c r="E17" s="4261"/>
      <c r="F17" s="4261"/>
      <c r="G17" s="4261"/>
      <c r="H17" s="4261"/>
      <c r="I17" s="4261"/>
      <c r="J17" s="4261"/>
      <c r="K17" s="4261"/>
      <c r="L17" s="4261"/>
      <c r="M17" s="281"/>
      <c r="N17" s="3813"/>
      <c r="O17" s="39">
        <f>ROW()</f>
        <v>17</v>
      </c>
      <c r="P17" s="902"/>
      <c r="Q17" s="898"/>
      <c r="R17" s="829"/>
      <c r="S17" s="829"/>
      <c r="T17" s="829"/>
      <c r="U17" s="829"/>
      <c r="V17" s="899"/>
      <c r="AZ17" s="2"/>
      <c r="BA17" t="s">
        <v>1291</v>
      </c>
      <c r="BC17" s="4412" t="s">
        <v>711</v>
      </c>
      <c r="BD17" s="4412"/>
    </row>
    <row r="18" spans="2:61" ht="13.2" customHeight="1">
      <c r="B18" s="4261"/>
      <c r="C18" s="4261"/>
      <c r="D18" s="4261"/>
      <c r="E18" s="4261"/>
      <c r="F18" s="4261"/>
      <c r="G18" s="4261"/>
      <c r="H18" s="4261"/>
      <c r="I18" s="4261"/>
      <c r="J18" s="4261"/>
      <c r="K18" s="4261"/>
      <c r="L18" s="4261"/>
      <c r="M18" s="281"/>
      <c r="N18" s="3813"/>
      <c r="O18" s="39">
        <f>ROW()</f>
        <v>18</v>
      </c>
      <c r="P18" s="902"/>
      <c r="Q18" s="898"/>
      <c r="R18" s="829"/>
      <c r="S18" s="829"/>
      <c r="T18" s="829"/>
      <c r="U18" s="829"/>
      <c r="V18" s="899"/>
      <c r="BA18" s="8" t="s">
        <v>1436</v>
      </c>
      <c r="BB18" s="8" t="s">
        <v>2093</v>
      </c>
      <c r="BC18" s="20" t="s">
        <v>1436</v>
      </c>
      <c r="BD18" s="20" t="s">
        <v>2093</v>
      </c>
    </row>
    <row r="19" spans="2:61" ht="13.2" customHeight="1">
      <c r="B19" s="4261"/>
      <c r="C19" s="4261"/>
      <c r="D19" s="4261"/>
      <c r="E19" s="4261"/>
      <c r="F19" s="4261"/>
      <c r="G19" s="4261"/>
      <c r="H19" s="4261"/>
      <c r="I19" s="4261"/>
      <c r="J19" s="4261"/>
      <c r="K19" s="4261"/>
      <c r="L19" s="4261"/>
      <c r="M19" s="281"/>
      <c r="O19" s="39">
        <f>ROW()</f>
        <v>19</v>
      </c>
      <c r="P19" s="902"/>
      <c r="Q19" s="898"/>
      <c r="R19" s="829"/>
      <c r="S19" s="829"/>
      <c r="T19" s="829"/>
      <c r="U19" s="829"/>
      <c r="V19" s="899"/>
      <c r="AZ19" t="s">
        <v>1284</v>
      </c>
      <c r="BA19" s="25">
        <v>5.5</v>
      </c>
      <c r="BB19" s="25">
        <v>4.57</v>
      </c>
    </row>
    <row r="20" spans="2:61" ht="13.2" customHeight="1">
      <c r="B20" s="4261"/>
      <c r="C20" s="4261"/>
      <c r="D20" s="4261"/>
      <c r="E20" s="4261"/>
      <c r="F20" s="4261"/>
      <c r="G20" s="4261"/>
      <c r="H20" s="4261"/>
      <c r="I20" s="4261"/>
      <c r="J20" s="4261"/>
      <c r="K20" s="4261"/>
      <c r="L20" s="4261"/>
      <c r="M20" s="281"/>
      <c r="O20" s="39">
        <f>ROW()</f>
        <v>20</v>
      </c>
      <c r="P20" s="902"/>
      <c r="Q20" s="898"/>
      <c r="R20" s="829"/>
      <c r="S20" s="829"/>
      <c r="T20" s="829"/>
      <c r="U20" s="829"/>
      <c r="V20" s="899"/>
      <c r="AZ20" t="s">
        <v>1285</v>
      </c>
      <c r="BA20" s="25">
        <v>11</v>
      </c>
      <c r="BB20" s="25">
        <v>8.25</v>
      </c>
      <c r="BC20" s="231">
        <f t="shared" ref="BC20:BD25" si="0">BA20/BA$19</f>
        <v>2</v>
      </c>
      <c r="BD20" s="231">
        <f t="shared" si="0"/>
        <v>1.8052516411378554</v>
      </c>
    </row>
    <row r="21" spans="2:61" ht="13.2" customHeight="1">
      <c r="B21" s="4261"/>
      <c r="C21" s="4261"/>
      <c r="D21" s="4261"/>
      <c r="E21" s="4261"/>
      <c r="F21" s="4261"/>
      <c r="G21" s="4261"/>
      <c r="H21" s="4261"/>
      <c r="I21" s="4261"/>
      <c r="J21" s="4261"/>
      <c r="K21" s="4261"/>
      <c r="L21" s="4261"/>
      <c r="M21" s="217"/>
      <c r="O21" s="39">
        <f>ROW()</f>
        <v>21</v>
      </c>
      <c r="P21" s="902"/>
      <c r="Q21" s="898"/>
      <c r="R21" s="829"/>
      <c r="S21" s="829"/>
      <c r="T21" s="829"/>
      <c r="U21" s="829"/>
      <c r="V21" s="899"/>
      <c r="AZ21" t="s">
        <v>1286</v>
      </c>
      <c r="BA21" s="25">
        <v>18</v>
      </c>
      <c r="BB21" s="25">
        <v>13.5</v>
      </c>
      <c r="BC21" s="231">
        <f t="shared" si="0"/>
        <v>3.2727272727272729</v>
      </c>
      <c r="BD21" s="231">
        <f t="shared" si="0"/>
        <v>2.9540481400437635</v>
      </c>
    </row>
    <row r="22" spans="2:61" ht="13.2" customHeight="1">
      <c r="B22" s="879"/>
      <c r="C22" s="879"/>
      <c r="D22" s="879"/>
      <c r="E22" s="879"/>
      <c r="F22" s="879"/>
      <c r="G22" s="879"/>
      <c r="H22" s="879"/>
      <c r="I22" s="879"/>
      <c r="J22" s="879"/>
      <c r="K22" s="879"/>
      <c r="L22" s="879"/>
      <c r="M22" s="217"/>
      <c r="O22" s="39">
        <f>ROW()</f>
        <v>22</v>
      </c>
      <c r="P22" s="902"/>
      <c r="Q22" s="898"/>
      <c r="R22" s="829"/>
      <c r="S22" s="829"/>
      <c r="T22" s="829"/>
      <c r="U22" s="829"/>
      <c r="V22" s="899"/>
      <c r="AZ22" t="s">
        <v>1287</v>
      </c>
      <c r="BA22" s="25">
        <v>23</v>
      </c>
      <c r="BB22" s="25">
        <v>17.25</v>
      </c>
      <c r="BC22" s="231">
        <f t="shared" si="0"/>
        <v>4.1818181818181817</v>
      </c>
      <c r="BD22" s="231">
        <f t="shared" si="0"/>
        <v>3.7746170678336979</v>
      </c>
    </row>
    <row r="23" spans="2:61" ht="13.2" customHeight="1">
      <c r="B23" s="24" t="s">
        <v>1356</v>
      </c>
      <c r="C23" s="217"/>
      <c r="D23" s="217"/>
      <c r="E23" s="217"/>
      <c r="F23" s="217"/>
      <c r="G23" s="217"/>
      <c r="H23" s="217"/>
      <c r="I23" s="217"/>
      <c r="J23" s="217"/>
      <c r="K23" s="217"/>
      <c r="L23" s="217"/>
      <c r="M23" s="217"/>
      <c r="O23" s="39">
        <f>ROW()</f>
        <v>23</v>
      </c>
      <c r="P23" s="902"/>
      <c r="Q23" s="904"/>
      <c r="R23" s="829"/>
      <c r="S23" s="829"/>
      <c r="T23" s="829"/>
      <c r="U23" s="829"/>
      <c r="V23" s="899"/>
      <c r="Y23" s="43"/>
      <c r="AH23" s="43"/>
      <c r="AQ23" s="43"/>
      <c r="AZ23" t="s">
        <v>712</v>
      </c>
      <c r="BA23" s="25">
        <v>30</v>
      </c>
      <c r="BB23" s="25">
        <v>22.5</v>
      </c>
      <c r="BC23" s="231">
        <f t="shared" si="0"/>
        <v>5.4545454545454541</v>
      </c>
      <c r="BD23" s="231">
        <f t="shared" si="0"/>
        <v>4.9234135667396055</v>
      </c>
      <c r="BI23" s="43"/>
    </row>
    <row r="24" spans="2:61" ht="13.2" customHeight="1">
      <c r="O24" s="39">
        <f>ROW()</f>
        <v>24</v>
      </c>
      <c r="P24" s="902"/>
      <c r="Q24" s="898"/>
      <c r="R24" s="829"/>
      <c r="S24" s="829"/>
      <c r="T24" s="829"/>
      <c r="U24" s="829"/>
      <c r="V24" s="899"/>
      <c r="AZ24" t="s">
        <v>1288</v>
      </c>
      <c r="BA24" s="25">
        <v>35</v>
      </c>
      <c r="BB24" s="25">
        <v>26.25</v>
      </c>
      <c r="BC24" s="231">
        <f t="shared" si="0"/>
        <v>6.3636363636363633</v>
      </c>
      <c r="BD24" s="231">
        <f t="shared" si="0"/>
        <v>5.7439824945295399</v>
      </c>
    </row>
    <row r="25" spans="2:61" ht="13.2" customHeight="1">
      <c r="B25" s="6" t="s">
        <v>1516</v>
      </c>
      <c r="H25" s="8" t="s">
        <v>228</v>
      </c>
      <c r="I25" s="8" t="s">
        <v>367</v>
      </c>
      <c r="J25" s="8" t="s">
        <v>368</v>
      </c>
      <c r="K25" s="8" t="s">
        <v>2473</v>
      </c>
      <c r="L25" s="8" t="s">
        <v>1241</v>
      </c>
      <c r="M25" s="8" t="s">
        <v>2212</v>
      </c>
      <c r="N25" s="8" t="s">
        <v>967</v>
      </c>
      <c r="O25" s="39">
        <f>ROW()</f>
        <v>25</v>
      </c>
      <c r="P25" s="902"/>
      <c r="Q25" s="905"/>
      <c r="R25" s="829"/>
      <c r="S25" s="829"/>
      <c r="T25" s="829"/>
      <c r="U25" s="829"/>
      <c r="V25" s="899"/>
      <c r="Y25" s="608"/>
      <c r="AH25" s="608"/>
      <c r="AQ25" s="608"/>
      <c r="AZ25" t="s">
        <v>1289</v>
      </c>
      <c r="BA25" s="25">
        <v>42</v>
      </c>
      <c r="BB25" s="25">
        <v>31.5</v>
      </c>
      <c r="BC25" s="231">
        <f t="shared" si="0"/>
        <v>7.6363636363636367</v>
      </c>
      <c r="BD25" s="231">
        <f t="shared" si="0"/>
        <v>6.8927789934354484</v>
      </c>
      <c r="BI25" s="608"/>
    </row>
    <row r="26" spans="2:61" ht="13.2" customHeight="1">
      <c r="B26" s="6"/>
      <c r="I26" s="8"/>
      <c r="J26" s="8"/>
      <c r="K26" s="8"/>
      <c r="L26" s="8"/>
      <c r="M26" s="8"/>
      <c r="O26" s="39">
        <f>ROW()</f>
        <v>26</v>
      </c>
      <c r="P26" s="902"/>
      <c r="Q26" s="906"/>
      <c r="R26" s="829"/>
      <c r="S26" s="829"/>
      <c r="T26" s="829"/>
      <c r="U26" s="829"/>
      <c r="V26" s="899"/>
      <c r="Y26" s="627"/>
      <c r="AH26" s="627"/>
      <c r="AQ26" s="627"/>
      <c r="AZ26" t="s">
        <v>1290</v>
      </c>
      <c r="BA26" s="25">
        <v>7</v>
      </c>
      <c r="BB26" s="25">
        <v>5.25</v>
      </c>
      <c r="BI26" s="627"/>
    </row>
    <row r="27" spans="2:61" ht="13.2" customHeight="1">
      <c r="B27" s="280" t="s">
        <v>2419</v>
      </c>
      <c r="H27" s="10">
        <f>ROUND('Hub-Bound'!E60,-3)</f>
        <v>795000</v>
      </c>
      <c r="I27" s="4367">
        <f>H27-M27-N27</f>
        <v>738000</v>
      </c>
      <c r="J27" s="4377"/>
      <c r="K27" s="4377"/>
      <c r="L27" s="4368"/>
      <c r="M27" s="10">
        <v>45000</v>
      </c>
      <c r="N27" s="10">
        <f>ROUND('Hub-Bound'!D60,-3)</f>
        <v>12000</v>
      </c>
      <c r="O27" s="39">
        <f>ROW()</f>
        <v>27</v>
      </c>
      <c r="P27" s="902"/>
      <c r="Q27" s="907"/>
      <c r="R27" s="829"/>
      <c r="S27" s="829"/>
      <c r="T27" s="829"/>
      <c r="U27" s="829"/>
      <c r="V27" s="899"/>
      <c r="Y27" s="628"/>
      <c r="AH27" s="628"/>
      <c r="AQ27" s="628"/>
      <c r="AZ27" s="628"/>
      <c r="BI27" s="628"/>
    </row>
    <row r="28" spans="2:61" ht="13.2" customHeight="1" thickBot="1">
      <c r="B28" s="3785" t="str">
        <f>CONCATENATE("Total and Bus data are from 'Hub-Bound' worksheet (drawn on NYMTC data for 2007), Row ",'Hub-Bound'!F60, ". Truck figure is Komanoff estimate. Total figure (autos + thru + taxicab) is difference between the other figures. Note that some truck and bus trips shown are allocated (below) to through-trips.")</f>
        <v>Total and Bus data are from 'Hub-Bound' worksheet (drawn on NYMTC data for 2007), Row 60. Truck figure is Komanoff estimate. Total figure (autos + thru + taxicab) is difference between the other figures. Note that some truck and bus trips shown are allocated (below) to through-trips.</v>
      </c>
      <c r="C28" s="3786"/>
      <c r="D28" s="3786"/>
      <c r="E28" s="3786"/>
      <c r="F28" s="3786"/>
      <c r="G28" s="3786"/>
      <c r="H28" s="3786"/>
      <c r="I28" s="3786"/>
      <c r="J28" s="3786"/>
      <c r="K28" s="3786"/>
      <c r="L28" s="3786"/>
      <c r="M28" s="214"/>
      <c r="N28" s="214"/>
      <c r="O28" s="39">
        <f>ROW()</f>
        <v>28</v>
      </c>
      <c r="P28" s="903"/>
      <c r="Q28" s="908"/>
      <c r="R28" s="900"/>
      <c r="S28" s="900"/>
      <c r="T28" s="900"/>
      <c r="U28" s="900"/>
      <c r="V28" s="901"/>
      <c r="Y28" s="628"/>
      <c r="AH28" s="628"/>
      <c r="AQ28" s="628"/>
      <c r="AZ28" s="118" t="s">
        <v>709</v>
      </c>
      <c r="BA28" s="1658" t="s">
        <v>1283</v>
      </c>
      <c r="BF28" s="7" t="s">
        <v>710</v>
      </c>
      <c r="BI28" s="628"/>
    </row>
    <row r="29" spans="2:61" ht="13.2" customHeight="1">
      <c r="B29" s="3786"/>
      <c r="C29" s="3786"/>
      <c r="D29" s="3786"/>
      <c r="E29" s="3786"/>
      <c r="F29" s="3786"/>
      <c r="G29" s="3786"/>
      <c r="H29" s="3786"/>
      <c r="I29" s="3786"/>
      <c r="J29" s="3786"/>
      <c r="K29" s="3786"/>
      <c r="L29" s="3786"/>
      <c r="M29" s="214"/>
      <c r="N29" s="214"/>
      <c r="O29" s="39">
        <f>ROW()</f>
        <v>29</v>
      </c>
    </row>
    <row r="30" spans="2:61" ht="13.2" customHeight="1">
      <c r="B30" s="281" t="s">
        <v>2336</v>
      </c>
      <c r="H30" s="10">
        <f>SUM(I30:N30)</f>
        <v>795000</v>
      </c>
      <c r="I30" s="4367">
        <f>I27-L30</f>
        <v>673000</v>
      </c>
      <c r="J30" s="4368"/>
      <c r="L30" s="10">
        <f>ROUND(Taxis!L298,-3)</f>
        <v>65000</v>
      </c>
      <c r="M30" s="10">
        <f>M27</f>
        <v>45000</v>
      </c>
      <c r="N30" s="10">
        <f>N27</f>
        <v>12000</v>
      </c>
      <c r="O30" s="39">
        <f>ROW()</f>
        <v>30</v>
      </c>
      <c r="Q30" s="6" t="s">
        <v>1275</v>
      </c>
      <c r="R30" s="6"/>
      <c r="S30" s="6"/>
      <c r="T30" s="6"/>
      <c r="U30" s="6"/>
      <c r="V30" s="6"/>
    </row>
    <row r="31" spans="2:61" ht="13.2" customHeight="1">
      <c r="B31" s="215" t="str">
        <f>CONCATENATE("Taxicab cordon entries are derived in 'Taxis' worksheet; figure here is 'Taxis' Cell L",Taxis!O298, ", rounded. Combined figure for auto-work, non-work and through-trips is all auto minus taxis.")</f>
        <v>Taxicab cordon entries are derived in 'Taxis' worksheet; figure here is 'Taxis' Cell L298, rounded. Combined figure for auto-work, non-work and through-trips is all auto minus taxis.</v>
      </c>
      <c r="I31" s="342"/>
      <c r="J31" s="342"/>
      <c r="L31" s="629"/>
      <c r="N31" s="10"/>
      <c r="O31" s="39">
        <f>ROW()</f>
        <v>31</v>
      </c>
    </row>
    <row r="32" spans="2:61" ht="13.2" customHeight="1">
      <c r="B32" s="312" t="s">
        <v>5450</v>
      </c>
      <c r="H32" s="631"/>
      <c r="I32" s="4287">
        <v>0.34</v>
      </c>
      <c r="J32" s="4287"/>
      <c r="K32" s="208" t="s">
        <v>2213</v>
      </c>
      <c r="L32" s="446">
        <v>0</v>
      </c>
      <c r="M32" s="446">
        <f>I32</f>
        <v>0.34</v>
      </c>
      <c r="N32" s="446">
        <v>0.1</v>
      </c>
      <c r="O32" s="39">
        <f>ROW()</f>
        <v>32</v>
      </c>
    </row>
    <row r="33" spans="2:68" ht="13.2" customHeight="1">
      <c r="B33" s="3785" t="s">
        <v>5462</v>
      </c>
      <c r="C33" s="3786"/>
      <c r="D33" s="3786"/>
      <c r="E33" s="3786"/>
      <c r="F33" s="3786"/>
      <c r="G33" s="3786"/>
      <c r="H33" s="3786"/>
      <c r="I33" s="4409" t="s">
        <v>5468</v>
      </c>
      <c r="J33" s="4409"/>
      <c r="K33" s="4409"/>
      <c r="L33" s="4409"/>
      <c r="M33" s="4409"/>
      <c r="N33" s="4409"/>
      <c r="O33" s="39">
        <f>ROW()</f>
        <v>33</v>
      </c>
    </row>
    <row r="34" spans="2:68" ht="13.2" customHeight="1">
      <c r="B34" s="3786"/>
      <c r="C34" s="3786"/>
      <c r="D34" s="3786"/>
      <c r="E34" s="3786"/>
      <c r="F34" s="3786"/>
      <c r="G34" s="3786"/>
      <c r="H34" s="3786"/>
      <c r="I34" s="4413" t="s">
        <v>5451</v>
      </c>
      <c r="J34" s="4413"/>
      <c r="K34" s="4413"/>
      <c r="L34" s="4413"/>
      <c r="M34" s="4413"/>
      <c r="N34" s="4413"/>
      <c r="O34" s="39">
        <f>ROW()</f>
        <v>34</v>
      </c>
      <c r="P34" s="4147" t="str">
        <f>P$113</f>
        <v>AUTO TRIPS FOR WORK</v>
      </c>
      <c r="Q34" s="4147"/>
      <c r="R34" s="4147"/>
      <c r="S34" s="4147"/>
      <c r="T34" s="4147"/>
      <c r="U34" s="4147"/>
      <c r="V34" s="4147"/>
      <c r="W34" s="4147"/>
      <c r="Y34" s="4147" t="str">
        <f>Y$113</f>
        <v>AUTO TRIPS FOR NON-WORK</v>
      </c>
      <c r="Z34" s="4147"/>
      <c r="AA34" s="4147"/>
      <c r="AB34" s="4147"/>
      <c r="AC34" s="4147"/>
      <c r="AD34" s="4147"/>
      <c r="AE34" s="4147"/>
      <c r="AF34" s="4147"/>
      <c r="AH34" s="4147" t="str">
        <f>AH$113</f>
        <v>THROUGH-TRIPS (AUTOS ONLY)</v>
      </c>
      <c r="AI34" s="4147"/>
      <c r="AJ34" s="4147"/>
      <c r="AK34" s="4147"/>
      <c r="AL34" s="4147"/>
      <c r="AM34" s="4147"/>
      <c r="AN34" s="4147"/>
      <c r="AO34" s="4147"/>
      <c r="AQ34" s="4147" t="str">
        <f>AQ$113</f>
        <v>TAXICABS (MEDALLION TAXIS ONLY)</v>
      </c>
      <c r="AR34" s="4147"/>
      <c r="AS34" s="4147"/>
      <c r="AT34" s="4147"/>
      <c r="AU34" s="4147"/>
      <c r="AV34" s="4147"/>
      <c r="AW34" s="4147"/>
      <c r="AX34" s="4147"/>
      <c r="AZ34" s="4147" t="str">
        <f>AZ$113</f>
        <v>TRUCKS</v>
      </c>
      <c r="BA34" s="4147"/>
      <c r="BB34" s="4147"/>
      <c r="BC34" s="4147"/>
      <c r="BD34" s="4147"/>
      <c r="BE34" s="4147"/>
      <c r="BF34" s="4147"/>
      <c r="BG34" s="4147"/>
      <c r="BI34" s="4147" t="str">
        <f>BI$113</f>
        <v>BUSES</v>
      </c>
      <c r="BJ34" s="4147"/>
      <c r="BK34" s="4147"/>
      <c r="BL34" s="4147"/>
      <c r="BM34" s="4147"/>
      <c r="BN34" s="4147"/>
      <c r="BO34" s="4147"/>
      <c r="BP34" s="4147"/>
    </row>
    <row r="35" spans="2:68" ht="13.2" customHeight="1">
      <c r="B35" s="312" t="s">
        <v>5453</v>
      </c>
      <c r="H35" s="631"/>
      <c r="I35" s="4287">
        <f>1-I32</f>
        <v>0.65999999999999992</v>
      </c>
      <c r="J35" s="4287"/>
      <c r="K35" s="3019"/>
      <c r="L35" s="446">
        <f>1-L32</f>
        <v>1</v>
      </c>
      <c r="M35" s="446">
        <f>1-M32</f>
        <v>0.65999999999999992</v>
      </c>
      <c r="N35" s="446">
        <f>1-N32</f>
        <v>0.9</v>
      </c>
      <c r="O35" s="39">
        <f>ROW()</f>
        <v>35</v>
      </c>
      <c r="P35" s="3020"/>
      <c r="Q35" s="3020"/>
      <c r="R35" s="3020"/>
      <c r="S35" s="3020"/>
      <c r="T35" s="3020"/>
      <c r="U35" s="3020"/>
      <c r="V35" s="3020"/>
      <c r="W35" s="3020"/>
      <c r="Y35" s="3020"/>
      <c r="Z35" s="3020"/>
      <c r="AA35" s="3020"/>
      <c r="AB35" s="3020"/>
      <c r="AC35" s="3020"/>
      <c r="AD35" s="3020"/>
      <c r="AE35" s="3020"/>
      <c r="AF35" s="3020"/>
      <c r="AH35" s="3020"/>
      <c r="AI35" s="3020"/>
      <c r="AJ35" s="3020"/>
      <c r="AK35" s="3020"/>
      <c r="AL35" s="3020"/>
      <c r="AM35" s="3020"/>
      <c r="AN35" s="3020"/>
      <c r="AO35" s="3020"/>
      <c r="AQ35" s="3020"/>
      <c r="AR35" s="3020"/>
      <c r="AS35" s="3020"/>
      <c r="AT35" s="3020"/>
      <c r="AU35" s="3020"/>
      <c r="AV35" s="3020"/>
      <c r="AW35" s="3020"/>
      <c r="AX35" s="3020"/>
      <c r="AZ35" s="3020"/>
      <c r="BA35" s="3020"/>
      <c r="BB35" s="3020"/>
      <c r="BC35" s="3020"/>
      <c r="BD35" s="3020"/>
      <c r="BE35" s="3020"/>
      <c r="BF35" s="3020"/>
      <c r="BG35" s="3020"/>
      <c r="BI35" s="3020"/>
      <c r="BJ35" s="3020"/>
      <c r="BK35" s="3020"/>
      <c r="BL35" s="3020"/>
      <c r="BM35" s="3020"/>
      <c r="BN35" s="3020"/>
      <c r="BO35" s="3020"/>
      <c r="BP35" s="3020"/>
    </row>
    <row r="36" spans="2:68" ht="13.2" customHeight="1">
      <c r="B36" s="215" t="str">
        <f>CONCATENATE("Complements of percentages in Row ",O32, ".")</f>
        <v>Complements of percentages in Row 32.</v>
      </c>
      <c r="E36" s="215"/>
      <c r="H36" s="631"/>
      <c r="O36" s="39">
        <f>ROW()</f>
        <v>36</v>
      </c>
      <c r="P36" s="3025"/>
      <c r="Q36" s="3025"/>
      <c r="R36" s="3025"/>
      <c r="S36" s="3025"/>
      <c r="T36" s="3025"/>
      <c r="U36" s="3025"/>
      <c r="V36" s="3025"/>
      <c r="W36" s="3025"/>
      <c r="Y36" s="3025"/>
      <c r="Z36" s="3025"/>
      <c r="AA36" s="3025"/>
      <c r="AB36" s="3025"/>
      <c r="AC36" s="3025"/>
      <c r="AD36" s="3025"/>
      <c r="AE36" s="3025"/>
      <c r="AF36" s="3025"/>
      <c r="AH36" s="3025"/>
      <c r="AI36" s="3025"/>
      <c r="AJ36" s="3025"/>
      <c r="AK36" s="3025"/>
      <c r="AL36" s="3025"/>
      <c r="AM36" s="3025"/>
      <c r="AN36" s="3025"/>
      <c r="AO36" s="3025"/>
      <c r="AQ36" s="3025"/>
      <c r="AR36" s="3025"/>
      <c r="AS36" s="3025"/>
      <c r="AT36" s="3025"/>
      <c r="AU36" s="3025"/>
      <c r="AV36" s="3025"/>
      <c r="AW36" s="3025"/>
      <c r="AX36" s="3025"/>
      <c r="AZ36" s="3025"/>
      <c r="BA36" s="3025"/>
      <c r="BB36" s="3025"/>
      <c r="BC36" s="3025"/>
      <c r="BD36" s="3025"/>
      <c r="BE36" s="3025"/>
      <c r="BF36" s="3025"/>
      <c r="BG36" s="3025"/>
      <c r="BI36" s="3025"/>
      <c r="BJ36" s="3025"/>
      <c r="BK36" s="3025"/>
      <c r="BL36" s="3025"/>
      <c r="BM36" s="3025"/>
      <c r="BN36" s="3025"/>
      <c r="BO36" s="3025"/>
      <c r="BP36" s="3025"/>
    </row>
    <row r="37" spans="2:68" ht="13.2" customHeight="1">
      <c r="B37" s="281" t="s">
        <v>5452</v>
      </c>
      <c r="H37" s="10">
        <f>H30</f>
        <v>795000</v>
      </c>
      <c r="I37" s="4382">
        <f>I30*I35</f>
        <v>444179.99999999994</v>
      </c>
      <c r="J37" s="4383"/>
      <c r="K37" s="3106">
        <f>H37-I37-SUM(L37:N37)</f>
        <v>245320.00000000006</v>
      </c>
      <c r="L37" s="3101">
        <f>L30*L35</f>
        <v>65000</v>
      </c>
      <c r="M37" s="3101">
        <f>M30*M35</f>
        <v>29699.999999999996</v>
      </c>
      <c r="N37" s="3101">
        <f>N30*N35</f>
        <v>10800</v>
      </c>
      <c r="O37" s="39">
        <f>ROW()</f>
        <v>37</v>
      </c>
    </row>
    <row r="38" spans="2:68" ht="13.2" customHeight="1">
      <c r="B38" s="215" t="str">
        <f>CONCATENATE("Total is same as Row ",O30, ". Items are product of Row ",O30, " and %'s in Row ",O35, ". Thru trips are remainder.")</f>
        <v>Total is same as Row 30. Items are product of Row 30 and %'s in Row 35. Thru trips are remainder.</v>
      </c>
      <c r="H38" s="10"/>
      <c r="I38" s="4378" t="s">
        <v>5456</v>
      </c>
      <c r="J38" s="4379"/>
      <c r="K38" s="3107" t="s">
        <v>2473</v>
      </c>
      <c r="L38" s="4378" t="s">
        <v>5456</v>
      </c>
      <c r="M38" s="4410"/>
      <c r="N38" s="4379"/>
      <c r="O38" s="39">
        <f>ROW()</f>
        <v>38</v>
      </c>
    </row>
    <row r="39" spans="2:68" ht="13.2" customHeight="1">
      <c r="B39" s="312" t="s">
        <v>5454</v>
      </c>
      <c r="I39" s="3090">
        <f>H.I.S.!G131</f>
        <v>0.58708201873587496</v>
      </c>
      <c r="J39" s="3091"/>
      <c r="K39" s="632"/>
      <c r="L39" s="10"/>
      <c r="O39" s="39">
        <f>ROW()</f>
        <v>39</v>
      </c>
    </row>
    <row r="40" spans="2:68" ht="13.2" customHeight="1">
      <c r="B40" s="215" t="str">
        <f>CONCATENATE("Derived in H.I.S. Worksheet, Row ",H.I.S.!Z139, ".")</f>
        <v>Derived in H.I.S. Worksheet, Row 139.</v>
      </c>
      <c r="H40" s="10"/>
      <c r="I40" s="3091"/>
      <c r="J40" s="3091"/>
      <c r="K40" s="632"/>
      <c r="L40" s="10"/>
      <c r="M40" s="10"/>
      <c r="N40" s="10"/>
      <c r="O40" s="39">
        <f>ROW()</f>
        <v>40</v>
      </c>
    </row>
    <row r="41" spans="2:68" ht="13.2" customHeight="1">
      <c r="B41" s="312" t="s">
        <v>5455</v>
      </c>
      <c r="H41" s="10">
        <f>SUM(I41:N41)</f>
        <v>795000</v>
      </c>
      <c r="I41" s="3101">
        <f>I39*I37</f>
        <v>260770.0910821009</v>
      </c>
      <c r="J41" s="3101">
        <f>(1-I39)*I37</f>
        <v>183409.90891789904</v>
      </c>
      <c r="K41" s="3106">
        <f>K37</f>
        <v>245320.00000000006</v>
      </c>
      <c r="L41" s="3101">
        <f>L37</f>
        <v>65000</v>
      </c>
      <c r="M41" s="3101">
        <f>M37</f>
        <v>29699.999999999996</v>
      </c>
      <c r="N41" s="3101">
        <f>N37</f>
        <v>10800</v>
      </c>
      <c r="O41" s="39">
        <f>ROW()</f>
        <v>41</v>
      </c>
    </row>
    <row r="42" spans="2:68" ht="13.2" customHeight="1">
      <c r="B42" s="215" t="str">
        <f>CONCATENATE("Auto work and non-work multiply Cell I",O39, " or its complement by Cell I",O37, ".")</f>
        <v>Auto work and non-work multiply Cell I39 or its complement by Cell I37.</v>
      </c>
      <c r="H42" s="10"/>
      <c r="I42" s="4378" t="s">
        <v>5456</v>
      </c>
      <c r="J42" s="4379"/>
      <c r="K42" s="3107" t="s">
        <v>2473</v>
      </c>
      <c r="L42" s="4378" t="s">
        <v>5456</v>
      </c>
      <c r="M42" s="4410"/>
      <c r="N42" s="4379"/>
      <c r="O42" s="39">
        <f>ROW()</f>
        <v>42</v>
      </c>
    </row>
    <row r="43" spans="2:68" ht="13.2" customHeight="1">
      <c r="B43" s="312" t="s">
        <v>5457</v>
      </c>
      <c r="H43" s="10"/>
      <c r="I43" s="4375">
        <v>0.8</v>
      </c>
      <c r="J43" s="4376"/>
      <c r="L43" s="446">
        <v>1</v>
      </c>
      <c r="M43" s="446">
        <f>I43</f>
        <v>0.8</v>
      </c>
      <c r="N43" s="446">
        <v>0.9</v>
      </c>
      <c r="O43" s="39">
        <f>ROW()</f>
        <v>43</v>
      </c>
    </row>
    <row r="44" spans="2:68" ht="13.2" customHeight="1">
      <c r="B44" s="215" t="s">
        <v>5463</v>
      </c>
      <c r="H44" s="10"/>
      <c r="I44" s="3091"/>
      <c r="J44" s="3091"/>
      <c r="K44" s="632"/>
      <c r="L44" s="10"/>
      <c r="M44" s="10"/>
      <c r="N44" s="10"/>
      <c r="O44" s="39">
        <f>ROW()</f>
        <v>44</v>
      </c>
    </row>
    <row r="45" spans="2:68" ht="13.2" customHeight="1">
      <c r="B45" s="312" t="s">
        <v>5469</v>
      </c>
      <c r="I45" s="4381">
        <f>I43/(100%-(100%-I43)/2)</f>
        <v>0.88888888888888895</v>
      </c>
      <c r="J45" s="4376"/>
      <c r="L45" s="446">
        <f>L43/(100%-(100%-L43)/2)</f>
        <v>1</v>
      </c>
      <c r="M45" s="446">
        <f>M43/(100%-(100%-M43)/2)</f>
        <v>0.88888888888888895</v>
      </c>
      <c r="N45" s="446">
        <f>N43/(100%-(100%-N43)/2)</f>
        <v>0.94736842105263164</v>
      </c>
      <c r="O45" s="39">
        <f>ROW()</f>
        <v>45</v>
      </c>
    </row>
    <row r="46" spans="2:68" ht="13.2" customHeight="1">
      <c r="B46" s="3785" t="str">
        <f>CONCATENATE("Explanation for figures in Row ",O45, ": If ",I43*100, "% of auto through-trips return through cordon, then ",I43*100/2, "% of all through-trips are the start of a round-trip through cordon that returns through cordon, and another ",I43*100/2, "% are the end of such a trip. Then for each ",I43*100/2, " through-cordon round-trips (w/ ",I43*100, " one-way segments, all through the cordon), there must be ",50-I43*100/2, " through-cordon trips (the difference between 50 and ",I43*100/2, "), that return w/o passing through the cordon. Then, ",I43*100, " out of every ",I43*100+(50-I43*100/2), " one-way segments through cordon were part of a round-trip through cordon.")</f>
        <v>Explanation for figures in Row 45: If 80% of auto through-trips return through cordon, then 40% of all through-trips are the start of a round-trip through cordon that returns through cordon, and another 40% are the end of such a trip. Then for each 40 through-cordon round-trips (w/ 80 one-way segments, all through the cordon), there must be 10 through-cordon trips (the difference between 50 and 40), that return w/o passing through the cordon. Then, 80 out of every 90 one-way segments through cordon were part of a round-trip through cordon.</v>
      </c>
      <c r="C46" s="4380"/>
      <c r="D46" s="4380"/>
      <c r="E46" s="4380"/>
      <c r="F46" s="4380"/>
      <c r="G46" s="4380"/>
      <c r="H46" s="4380"/>
      <c r="I46" s="4380"/>
      <c r="J46" s="4380"/>
      <c r="K46" s="4380"/>
      <c r="L46" s="4380"/>
      <c r="M46" s="4380"/>
      <c r="N46" s="4380"/>
      <c r="O46" s="39">
        <f>ROW()</f>
        <v>46</v>
      </c>
    </row>
    <row r="47" spans="2:68" ht="13.2" customHeight="1">
      <c r="B47" s="4380"/>
      <c r="C47" s="4380"/>
      <c r="D47" s="4380"/>
      <c r="E47" s="4380"/>
      <c r="F47" s="4380"/>
      <c r="G47" s="4380"/>
      <c r="H47" s="4380"/>
      <c r="I47" s="4380"/>
      <c r="J47" s="4380"/>
      <c r="K47" s="4380"/>
      <c r="L47" s="4380"/>
      <c r="M47" s="4380"/>
      <c r="N47" s="4380"/>
      <c r="O47" s="39">
        <f>ROW()</f>
        <v>47</v>
      </c>
    </row>
    <row r="48" spans="2:68" ht="13.2" customHeight="1">
      <c r="B48" s="4380"/>
      <c r="C48" s="4380"/>
      <c r="D48" s="4380"/>
      <c r="E48" s="4380"/>
      <c r="F48" s="4380"/>
      <c r="G48" s="4380"/>
      <c r="H48" s="4380"/>
      <c r="I48" s="4380"/>
      <c r="J48" s="4380"/>
      <c r="K48" s="4380"/>
      <c r="L48" s="4380"/>
      <c r="M48" s="4380"/>
      <c r="N48" s="4380"/>
      <c r="O48" s="39">
        <f>ROW()</f>
        <v>48</v>
      </c>
    </row>
    <row r="49" spans="2:68" ht="13.2" customHeight="1">
      <c r="B49" s="312" t="s">
        <v>5470</v>
      </c>
      <c r="H49" s="10">
        <f>SUM(I49:N49)</f>
        <v>245320.00000000006</v>
      </c>
      <c r="I49" s="4367">
        <f>K37-SUM(L49:N49)</f>
        <v>228820.00000000006</v>
      </c>
      <c r="J49" s="4368"/>
      <c r="L49" s="10">
        <f>L30*L32</f>
        <v>0</v>
      </c>
      <c r="M49" s="10">
        <f>M30*M32</f>
        <v>15300.000000000002</v>
      </c>
      <c r="N49" s="10">
        <f>N30*N32</f>
        <v>1200</v>
      </c>
      <c r="O49" s="39">
        <f>ROW()</f>
        <v>49</v>
      </c>
    </row>
    <row r="50" spans="2:68" ht="13.2" customHeight="1">
      <c r="B50" s="215" t="str">
        <f>CONCATENATE("Taxi, truck, bus figures are products of percents in Row ",O32, " and entries in Row ",O30, ". Combined auto figure is difference between sum of those figures and figure in Cell K",O37, ".")</f>
        <v>Taxi, truck, bus figures are products of percents in Row 32 and entries in Row 30. Combined auto figure is difference between sum of those figures and figure in Cell K37.</v>
      </c>
      <c r="H50" s="10"/>
      <c r="I50" s="3091"/>
      <c r="J50" s="3091"/>
      <c r="K50" s="632"/>
      <c r="L50" s="10"/>
      <c r="M50" s="10"/>
      <c r="N50" s="10"/>
      <c r="O50" s="39">
        <f>ROW()</f>
        <v>50</v>
      </c>
    </row>
    <row r="51" spans="2:68" ht="13.2" customHeight="1">
      <c r="B51" s="312" t="s">
        <v>5471</v>
      </c>
      <c r="I51" s="4367">
        <f>I45*I49</f>
        <v>203395.55555555562</v>
      </c>
      <c r="J51" s="4368"/>
      <c r="L51">
        <f>L45*L49</f>
        <v>0</v>
      </c>
      <c r="M51" s="10">
        <f>M45*M49</f>
        <v>13600.000000000002</v>
      </c>
      <c r="N51" s="10">
        <f>N45*N49</f>
        <v>1136.8421052631579</v>
      </c>
      <c r="O51" s="39">
        <f>ROW()</f>
        <v>51</v>
      </c>
    </row>
    <row r="52" spans="2:68" ht="13.2" customHeight="1">
      <c r="B52" s="215" t="str">
        <f>CONCATENATE("Product of Rows ",O45, " and ",O49, ".")</f>
        <v>Product of Rows 45 and 49.</v>
      </c>
      <c r="H52" s="10"/>
      <c r="I52" s="3122"/>
      <c r="J52" s="3122"/>
      <c r="K52" s="632"/>
      <c r="L52" s="10"/>
      <c r="M52" s="10"/>
      <c r="N52" s="10"/>
      <c r="O52" s="39">
        <f>ROW()</f>
        <v>52</v>
      </c>
    </row>
    <row r="53" spans="2:68" ht="13.2" customHeight="1">
      <c r="B53" s="312" t="s">
        <v>5472</v>
      </c>
      <c r="H53" s="10"/>
      <c r="I53" s="4367">
        <f>I51/2</f>
        <v>101697.77777777781</v>
      </c>
      <c r="J53" s="4368"/>
      <c r="K53" s="632"/>
      <c r="L53" s="10">
        <f>L51/2</f>
        <v>0</v>
      </c>
      <c r="M53" s="10">
        <f>M51/2</f>
        <v>6800.0000000000009</v>
      </c>
      <c r="N53" s="10">
        <f>N51/2</f>
        <v>568.42105263157896</v>
      </c>
      <c r="O53" s="39">
        <f>ROW()</f>
        <v>53</v>
      </c>
    </row>
    <row r="54" spans="2:68" ht="13.2" customHeight="1">
      <c r="B54" s="215" t="str">
        <f>CONCATENATE("One-half of Row ",O51, ".")</f>
        <v>One-half of Row 51.</v>
      </c>
      <c r="H54" s="10"/>
      <c r="I54" s="3122"/>
      <c r="J54" s="3122"/>
      <c r="K54" s="632"/>
      <c r="L54" s="10"/>
      <c r="M54" s="10"/>
      <c r="N54" s="10"/>
      <c r="O54" s="39">
        <f>ROW()</f>
        <v>54</v>
      </c>
    </row>
    <row r="55" spans="2:68" ht="13.2" customHeight="1">
      <c r="B55" s="312" t="s">
        <v>5473</v>
      </c>
      <c r="H55" s="10"/>
      <c r="I55" s="4367">
        <f>I49-I51</f>
        <v>25424.444444444438</v>
      </c>
      <c r="J55" s="4368"/>
      <c r="K55" s="632"/>
      <c r="L55" s="10">
        <f>L49-L51</f>
        <v>0</v>
      </c>
      <c r="M55" s="10">
        <f>M49-M51</f>
        <v>1700</v>
      </c>
      <c r="N55" s="10">
        <f>N49-N51</f>
        <v>63.157894736842081</v>
      </c>
      <c r="O55" s="39">
        <f>ROW()</f>
        <v>55</v>
      </c>
    </row>
    <row r="56" spans="2:68" ht="13.2" customHeight="1">
      <c r="B56" s="215" t="str">
        <f>CONCATENATE("Difference between Rows ",O49, " and ",O51, ". Could also be calculated as product of Row ",O49, " and complements of Row ",O45, ".")</f>
        <v>Difference between Rows 49 and 51. Could also be calculated as product of Row 49 and complements of Row 45.</v>
      </c>
      <c r="H56" s="10"/>
      <c r="I56" s="3122"/>
      <c r="J56" s="3122"/>
      <c r="K56" s="632"/>
      <c r="L56" s="10"/>
      <c r="M56" s="10"/>
      <c r="N56" s="10"/>
      <c r="O56" s="39">
        <f>ROW()</f>
        <v>56</v>
      </c>
    </row>
    <row r="57" spans="2:68" ht="13.2" customHeight="1">
      <c r="B57" s="312" t="s">
        <v>5474</v>
      </c>
      <c r="H57" s="10"/>
      <c r="I57" s="4367">
        <f>I53+I55</f>
        <v>127122.22222222225</v>
      </c>
      <c r="J57" s="4377"/>
      <c r="K57" s="4369" t="str">
        <f>CONCATENATE("Ratio of Cell I",O57, " to I",O37, ".")</f>
        <v>Ratio of Cell I57 to I37.</v>
      </c>
      <c r="L57" s="10">
        <f>L53+L55</f>
        <v>0</v>
      </c>
      <c r="M57" s="10">
        <f>M53+M55</f>
        <v>8500</v>
      </c>
      <c r="N57" s="10">
        <f>N53+N55</f>
        <v>631.57894736842104</v>
      </c>
      <c r="O57" s="39">
        <f>ROW()</f>
        <v>57</v>
      </c>
    </row>
    <row r="58" spans="2:68" ht="13.2" customHeight="1">
      <c r="B58" s="215" t="str">
        <f>CONCATENATE("Sum of Rows ",O53, " and ",O55, ". Could also be calculated as ",O49, " divided by sum of 1 and percentage in Row ",O43, ".")</f>
        <v>Sum of Rows 53 and 55. Could also be calculated as 49 divided by sum of 1 and percentage in Row 43.</v>
      </c>
      <c r="J58" s="3091"/>
      <c r="K58" s="4370"/>
      <c r="L58" s="10"/>
      <c r="M58" s="10"/>
      <c r="N58" s="10"/>
      <c r="O58" s="39">
        <f>ROW()</f>
        <v>58</v>
      </c>
    </row>
    <row r="59" spans="2:68" ht="13.2" customHeight="1">
      <c r="B59" s="312" t="s">
        <v>5465</v>
      </c>
      <c r="H59" s="10"/>
      <c r="I59" s="10">
        <f>I39*$I$57</f>
        <v>74631.170848412745</v>
      </c>
      <c r="J59" s="10">
        <f>(1-I39)*$I$57</f>
        <v>52491.051373809503</v>
      </c>
      <c r="K59" s="4407">
        <f>I57/I37</f>
        <v>0.28619528619528628</v>
      </c>
      <c r="L59" s="4372" t="s">
        <v>5312</v>
      </c>
      <c r="M59" s="4373"/>
      <c r="N59" s="4373"/>
      <c r="O59" s="39">
        <f>ROW()</f>
        <v>59</v>
      </c>
    </row>
    <row r="60" spans="2:68" ht="13.2" customHeight="1" thickBot="1">
      <c r="B60" s="215" t="str">
        <f>CONCATENATE("Assumes same split as shown in Cell I",O39, ". Thus, auto work and non-work multiply Cell I",O39, " or its complement by Cell I",O57, ".")</f>
        <v>Assumes same split as shown in Cell I39. Thus, auto work and non-work multiply Cell I39 or its complement by Cell I57.</v>
      </c>
      <c r="J60" s="23"/>
      <c r="K60" s="4408"/>
      <c r="L60" s="4374"/>
      <c r="M60" s="4374"/>
      <c r="N60" s="4374"/>
      <c r="O60" s="39">
        <f>ROW()</f>
        <v>60</v>
      </c>
      <c r="P60" s="4363" t="str">
        <f>CONCATENATE("Data will appear in this 'column block' after Row ",$O$113,)</f>
        <v>Data will appear in this 'column block' after Row 113</v>
      </c>
      <c r="Q60" s="4363"/>
      <c r="R60" s="4363"/>
      <c r="S60" s="4363"/>
      <c r="T60" s="4363"/>
      <c r="U60" s="4363"/>
      <c r="V60" s="4363"/>
      <c r="W60" s="4363"/>
      <c r="Y60" s="4363" t="str">
        <f>CONCATENATE("Data will appear in this 'column block' after Row ",$O$113,)</f>
        <v>Data will appear in this 'column block' after Row 113</v>
      </c>
      <c r="Z60" s="4363"/>
      <c r="AA60" s="4363"/>
      <c r="AB60" s="4363"/>
      <c r="AC60" s="4363"/>
      <c r="AD60" s="4363"/>
      <c r="AE60" s="4363"/>
      <c r="AF60" s="4363"/>
      <c r="AH60" s="4363" t="str">
        <f>CONCATENATE("Data will appear in this 'column block' after Row ",$O$113,)</f>
        <v>Data will appear in this 'column block' after Row 113</v>
      </c>
      <c r="AI60" s="4363"/>
      <c r="AJ60" s="4363"/>
      <c r="AK60" s="4363"/>
      <c r="AL60" s="4363"/>
      <c r="AM60" s="4363"/>
      <c r="AN60" s="4363"/>
      <c r="AO60" s="4363"/>
      <c r="AQ60" s="4363" t="str">
        <f>CONCATENATE("Data will appear in this 'column block' after Row ",$O$113,)</f>
        <v>Data will appear in this 'column block' after Row 113</v>
      </c>
      <c r="AR60" s="4363"/>
      <c r="AS60" s="4363"/>
      <c r="AT60" s="4363"/>
      <c r="AU60" s="4363"/>
      <c r="AV60" s="4363"/>
      <c r="AW60" s="4363"/>
      <c r="AX60" s="4363"/>
      <c r="AZ60" s="4363" t="str">
        <f>CONCATENATE("Data will appear in this 'column block' after Row ",$O$113,)</f>
        <v>Data will appear in this 'column block' after Row 113</v>
      </c>
      <c r="BA60" s="4363"/>
      <c r="BB60" s="4363"/>
      <c r="BC60" s="4363"/>
      <c r="BD60" s="4363"/>
      <c r="BE60" s="4363"/>
      <c r="BF60" s="4363"/>
      <c r="BG60" s="4363"/>
      <c r="BI60" s="4363" t="str">
        <f>CONCATENATE("Data will appear in this 'column block' after Row ",$O$113,)</f>
        <v>Data will appear in this 'column block' after Row 113</v>
      </c>
      <c r="BJ60" s="4363"/>
      <c r="BK60" s="4363"/>
      <c r="BL60" s="4363"/>
      <c r="BM60" s="4363"/>
      <c r="BN60" s="4363"/>
      <c r="BO60" s="4363"/>
      <c r="BP60" s="4363"/>
    </row>
    <row r="61" spans="2:68" ht="13.2" customHeight="1">
      <c r="B61" s="3108" t="s">
        <v>1833</v>
      </c>
      <c r="C61" s="490"/>
      <c r="D61" s="490"/>
      <c r="E61" s="490"/>
      <c r="F61" s="3117" t="s">
        <v>5464</v>
      </c>
      <c r="G61" s="3116"/>
      <c r="H61" s="3115" t="str">
        <f t="shared" ref="H61:N61" si="1">H25</f>
        <v>Total</v>
      </c>
      <c r="I61" s="3115" t="str">
        <f t="shared" si="1"/>
        <v>Auto Work</v>
      </c>
      <c r="J61" s="3115" t="str">
        <f t="shared" si="1"/>
        <v>Auto Non-Wk</v>
      </c>
      <c r="K61" s="3115" t="s">
        <v>2473</v>
      </c>
      <c r="L61" s="3115" t="str">
        <f t="shared" si="1"/>
        <v>Taxicab</v>
      </c>
      <c r="M61" s="3115" t="str">
        <f t="shared" si="1"/>
        <v>Truck</v>
      </c>
      <c r="N61" s="3118" t="str">
        <f t="shared" si="1"/>
        <v>Bus</v>
      </c>
      <c r="O61" s="39">
        <f>ROW()</f>
        <v>61</v>
      </c>
    </row>
    <row r="62" spans="2:68" ht="13.2" customHeight="1">
      <c r="B62" s="3109" t="s">
        <v>5458</v>
      </c>
      <c r="C62" s="3098"/>
      <c r="D62" s="3098"/>
      <c r="E62" s="3098"/>
      <c r="F62" s="1479" t="str">
        <f>CONCATENATE("From Row ",O41, ".")</f>
        <v>From Row 41.</v>
      </c>
      <c r="G62" s="3098"/>
      <c r="H62" s="632">
        <f>SUM(I62:N62)</f>
        <v>549679.99999999988</v>
      </c>
      <c r="I62" s="632">
        <f>I41</f>
        <v>260770.0910821009</v>
      </c>
      <c r="J62" s="632">
        <f>J41</f>
        <v>183409.90891789904</v>
      </c>
      <c r="K62" s="632"/>
      <c r="L62" s="632">
        <f>L41</f>
        <v>65000</v>
      </c>
      <c r="M62" s="632">
        <f>M41</f>
        <v>29699.999999999996</v>
      </c>
      <c r="N62" s="3110">
        <f>N41</f>
        <v>10800</v>
      </c>
      <c r="O62" s="39">
        <f>ROW()</f>
        <v>62</v>
      </c>
    </row>
    <row r="63" spans="2:68" ht="13.2" customHeight="1">
      <c r="B63" s="3109" t="s">
        <v>5459</v>
      </c>
      <c r="C63" s="3098"/>
      <c r="D63" s="3098"/>
      <c r="E63" s="3098"/>
      <c r="F63" s="1479" t="str">
        <f>CONCATENATE("From Rows ",O59, " and ",O57, ".")</f>
        <v>From Rows 59 and 57.</v>
      </c>
      <c r="G63" s="3098"/>
      <c r="H63" s="632">
        <f>SUM(I63:N63)</f>
        <v>136253.80116959068</v>
      </c>
      <c r="I63" s="632">
        <f>I59</f>
        <v>74631.170848412745</v>
      </c>
      <c r="J63" s="632">
        <f>J59</f>
        <v>52491.051373809503</v>
      </c>
      <c r="K63" s="632"/>
      <c r="L63" s="632">
        <f>L57</f>
        <v>0</v>
      </c>
      <c r="M63" s="632">
        <f>M57</f>
        <v>8500</v>
      </c>
      <c r="N63" s="3110">
        <f>N57</f>
        <v>631.57894736842104</v>
      </c>
      <c r="O63" s="39">
        <f>ROW()</f>
        <v>63</v>
      </c>
    </row>
    <row r="64" spans="2:68" ht="13.2" customHeight="1">
      <c r="B64" s="3109" t="s">
        <v>5461</v>
      </c>
      <c r="C64" s="3098"/>
      <c r="D64" s="3098"/>
      <c r="E64" s="3098"/>
      <c r="F64" s="1479" t="str">
        <f>CONCATENATE("Row ",O63, " x (1+Row ",O43, ").")</f>
        <v>Row 63 x (1+Row 43).</v>
      </c>
      <c r="G64" s="3098"/>
      <c r="H64" s="632">
        <f>SUM(I64:N64)</f>
        <v>245320.00000000006</v>
      </c>
      <c r="I64" s="632">
        <f>I63*(1+I43)</f>
        <v>134336.10752714294</v>
      </c>
      <c r="J64" s="632">
        <f>J63*(1+I43)</f>
        <v>94483.892472857115</v>
      </c>
      <c r="K64" s="632"/>
      <c r="L64" s="632">
        <f>L63*(1+L43)</f>
        <v>0</v>
      </c>
      <c r="M64" s="632">
        <f>M63*(1+M43)</f>
        <v>15300</v>
      </c>
      <c r="N64" s="3110">
        <f>N63*(1+N43)</f>
        <v>1200</v>
      </c>
      <c r="O64" s="39">
        <f>ROW()</f>
        <v>64</v>
      </c>
    </row>
    <row r="65" spans="2:15" ht="13.2" customHeight="1" thickBot="1">
      <c r="B65" s="3111" t="s">
        <v>5460</v>
      </c>
      <c r="C65" s="166"/>
      <c r="D65" s="166"/>
      <c r="E65" s="166"/>
      <c r="F65" s="3112" t="str">
        <f>CONCATENATE("Sum of Rows ",O62, " and ",O64, ".")</f>
        <v>Sum of Rows 62 and 64.</v>
      </c>
      <c r="G65" s="166"/>
      <c r="H65" s="3113">
        <f>SUM(I65:N65)</f>
        <v>795000</v>
      </c>
      <c r="I65" s="3113">
        <f>I62+I64</f>
        <v>395106.19860924385</v>
      </c>
      <c r="J65" s="3113">
        <f>J62+J64</f>
        <v>277893.80139075615</v>
      </c>
      <c r="K65" s="3113"/>
      <c r="L65" s="3113">
        <f>L62+L64</f>
        <v>65000</v>
      </c>
      <c r="M65" s="3113">
        <f>M62+M64</f>
        <v>45000</v>
      </c>
      <c r="N65" s="3114">
        <f>N62+N64</f>
        <v>12000</v>
      </c>
      <c r="O65" s="39">
        <f>ROW()</f>
        <v>65</v>
      </c>
    </row>
    <row r="66" spans="2:15" ht="13.2" customHeight="1">
      <c r="I66" s="3125" t="str">
        <f>I61</f>
        <v>Auto Work</v>
      </c>
      <c r="J66" s="3125" t="str">
        <f>J61</f>
        <v>Auto Non-Wk</v>
      </c>
      <c r="K66" s="3125" t="s">
        <v>5467</v>
      </c>
      <c r="L66" s="3125" t="str">
        <f>L61</f>
        <v>Taxicab</v>
      </c>
      <c r="M66" s="3125" t="str">
        <f>M61</f>
        <v>Truck</v>
      </c>
      <c r="N66" s="3125" t="str">
        <f>N61</f>
        <v>Bus</v>
      </c>
      <c r="O66" s="39">
        <f>ROW()</f>
        <v>66</v>
      </c>
    </row>
    <row r="67" spans="2:15" ht="13.2" customHeight="1">
      <c r="I67" s="3805" t="s">
        <v>5475</v>
      </c>
      <c r="J67" s="3805" t="s">
        <v>5475</v>
      </c>
      <c r="K67" s="3805" t="s">
        <v>5476</v>
      </c>
      <c r="L67" s="3805" t="s">
        <v>5477</v>
      </c>
      <c r="M67" s="3805" t="s">
        <v>5478</v>
      </c>
      <c r="N67" s="3805" t="s">
        <v>5478</v>
      </c>
      <c r="O67" s="39">
        <f>ROW()</f>
        <v>67</v>
      </c>
    </row>
    <row r="68" spans="2:15" s="86" customFormat="1" ht="13.2" customHeight="1">
      <c r="I68" s="3807"/>
      <c r="J68" s="3807"/>
      <c r="K68" s="3807"/>
      <c r="L68" s="3807"/>
      <c r="M68" s="3807"/>
      <c r="N68" s="3807"/>
      <c r="O68" s="39">
        <f>ROW()</f>
        <v>68</v>
      </c>
    </row>
    <row r="69" spans="2:15" s="86" customFormat="1" ht="13.2" customHeight="1">
      <c r="B69" s="275"/>
      <c r="G69" s="816"/>
      <c r="H69" s="817"/>
      <c r="I69" s="3807"/>
      <c r="J69" s="3807"/>
      <c r="K69" s="3807"/>
      <c r="L69" s="3807"/>
      <c r="M69" s="3807"/>
      <c r="N69" s="3807"/>
      <c r="O69" s="39">
        <f>ROW()</f>
        <v>69</v>
      </c>
    </row>
    <row r="70" spans="2:15" s="86" customFormat="1" ht="13.2" customHeight="1">
      <c r="B70" s="275"/>
      <c r="D70" s="4432" t="str">
        <f>CONCATENATE("Auto work, non-work and taxi are copied from Row ",O41,". Auto thru is copied from Cell I",O57,". Truck and bus are sums of Rows ",O41, " and",O57, ".")</f>
        <v>Auto work, non-work and taxi are copied from Row 41. Auto thru is copied from Cell I57. Truck and bus are sums of Rows 41 and57.</v>
      </c>
      <c r="E70" s="4187"/>
      <c r="F70" s="4187"/>
      <c r="G70" s="4187"/>
      <c r="H70" s="4187"/>
      <c r="I70" s="3781"/>
      <c r="J70" s="3781"/>
      <c r="K70" s="3781"/>
      <c r="L70" s="3781"/>
      <c r="M70" s="3781"/>
      <c r="N70" s="3781"/>
      <c r="O70" s="39">
        <f>ROW()</f>
        <v>70</v>
      </c>
    </row>
    <row r="71" spans="2:15" s="86" customFormat="1" ht="13.2" customHeight="1">
      <c r="B71" s="1101" t="s">
        <v>923</v>
      </c>
      <c r="D71" s="4187"/>
      <c r="E71" s="4187"/>
      <c r="F71" s="4187"/>
      <c r="G71" s="4187"/>
      <c r="H71" s="4187"/>
      <c r="I71" s="3128">
        <f>I41</f>
        <v>260770.0910821009</v>
      </c>
      <c r="J71" s="3127">
        <f>J41</f>
        <v>183409.90891789904</v>
      </c>
      <c r="K71" s="817">
        <f>I57</f>
        <v>127122.22222222225</v>
      </c>
      <c r="L71" s="817">
        <f>L41</f>
        <v>65000</v>
      </c>
      <c r="M71" s="817">
        <f>M41+M57</f>
        <v>38200</v>
      </c>
      <c r="N71" s="817">
        <f>N41+N57</f>
        <v>11431.578947368422</v>
      </c>
      <c r="O71" s="39">
        <f>ROW()</f>
        <v>71</v>
      </c>
    </row>
    <row r="72" spans="2:15" s="86" customFormat="1" ht="13.2" customHeight="1">
      <c r="B72" s="4444" t="s">
        <v>5481</v>
      </c>
      <c r="C72" s="4445"/>
      <c r="D72" s="4445"/>
      <c r="E72" s="4446"/>
      <c r="F72" s="4435" t="str">
        <f>CONCATENATE("Schaller's 'Necessity or Choice' says 270,000 workers drive to CBD (p. 54). Equates to fig. in box if occupancy rate for CBD auto-work trips is ",ROUND(270000/I76,2),". We assume ",H.I.S.!G128, ".")</f>
        <v>Schaller's 'Necessity or Choice' says 270,000 workers drive to CBD (p. 54). Equates to fig. in box if occupancy rate for CBD auto-work trips is 1.04. We assume 1.15.</v>
      </c>
      <c r="G72" s="4436"/>
      <c r="H72" s="4436"/>
      <c r="I72" s="4437"/>
      <c r="J72"/>
      <c r="K72" s="3129" t="s">
        <v>5479</v>
      </c>
      <c r="L72" s="817"/>
      <c r="M72" s="3129" t="s">
        <v>5480</v>
      </c>
      <c r="N72" s="3129" t="s">
        <v>5480</v>
      </c>
      <c r="O72" s="39">
        <f>ROW()</f>
        <v>72</v>
      </c>
    </row>
    <row r="73" spans="2:15" s="86" customFormat="1" ht="13.2" customHeight="1">
      <c r="B73" s="4445"/>
      <c r="C73" s="4445"/>
      <c r="D73" s="4445"/>
      <c r="E73" s="4446"/>
      <c r="F73" s="4438"/>
      <c r="G73" s="4439"/>
      <c r="H73" s="4439"/>
      <c r="I73" s="4440"/>
      <c r="J73"/>
      <c r="K73" s="3130">
        <f>I39</f>
        <v>0.58708201873587496</v>
      </c>
      <c r="L73" s="817"/>
      <c r="M73" s="3130">
        <f>M57/M71</f>
        <v>0.22251308900523561</v>
      </c>
      <c r="N73" s="3130">
        <f>N57/N71</f>
        <v>5.5248618784530384E-2</v>
      </c>
      <c r="O73" s="39">
        <f>ROW()</f>
        <v>73</v>
      </c>
    </row>
    <row r="74" spans="2:15" s="86" customFormat="1" ht="13.2" customHeight="1">
      <c r="B74" s="4445"/>
      <c r="C74" s="4445"/>
      <c r="D74" s="4445"/>
      <c r="E74" s="4446"/>
      <c r="F74" s="4441"/>
      <c r="G74" s="4442"/>
      <c r="H74" s="4442"/>
      <c r="I74" s="4443"/>
      <c r="J74" s="817"/>
      <c r="K74" s="3131" t="str">
        <f>CONCATENATE("From Row ",O39, ".")</f>
        <v>From Row 39.</v>
      </c>
      <c r="L74" s="817"/>
      <c r="M74" s="4433" t="str">
        <f>CONCATENATE("Ratio of Rows ",O57, " and ",O71, ".")</f>
        <v>Ratio of Rows 57 and 71.</v>
      </c>
      <c r="N74" s="4434"/>
      <c r="O74" s="39">
        <f>ROW()</f>
        <v>74</v>
      </c>
    </row>
    <row r="75" spans="2:15" s="86" customFormat="1" ht="13.2" customHeight="1">
      <c r="B75" s="275" t="s">
        <v>2380</v>
      </c>
      <c r="G75" s="816">
        <f>'User Inputs'!J151</f>
        <v>0</v>
      </c>
      <c r="H75" s="817">
        <f>SUM(I75:N75)</f>
        <v>0</v>
      </c>
      <c r="I75" s="817">
        <f>I62*$G$75</f>
        <v>0</v>
      </c>
      <c r="J75" s="817">
        <f>J62*$G$75</f>
        <v>0</v>
      </c>
      <c r="K75" s="817">
        <f>K71*$G$75</f>
        <v>0</v>
      </c>
      <c r="L75" s="817">
        <f>L62*$G$75</f>
        <v>0</v>
      </c>
      <c r="M75" s="817">
        <f>M62*$G$75</f>
        <v>0</v>
      </c>
      <c r="N75" s="817">
        <f>N62*$G$75</f>
        <v>0</v>
      </c>
      <c r="O75" s="39">
        <f>ROW()</f>
        <v>75</v>
      </c>
    </row>
    <row r="76" spans="2:15" s="86" customFormat="1" ht="13.2" customHeight="1">
      <c r="B76" s="275" t="s">
        <v>933</v>
      </c>
      <c r="G76" s="816"/>
      <c r="H76" s="3157">
        <f>SUM(I76:N76)</f>
        <v>685933.80116959068</v>
      </c>
      <c r="I76" s="817">
        <f t="shared" ref="I76:N76" si="2">I71-I75</f>
        <v>260770.0910821009</v>
      </c>
      <c r="J76" s="817">
        <f t="shared" si="2"/>
        <v>183409.90891789904</v>
      </c>
      <c r="K76" s="817">
        <f t="shared" si="2"/>
        <v>127122.22222222225</v>
      </c>
      <c r="L76" s="817">
        <f t="shared" si="2"/>
        <v>65000</v>
      </c>
      <c r="M76" s="817">
        <f t="shared" si="2"/>
        <v>38200</v>
      </c>
      <c r="N76" s="817">
        <f t="shared" si="2"/>
        <v>11431.578947368422</v>
      </c>
      <c r="O76" s="39">
        <f>ROW()</f>
        <v>76</v>
      </c>
    </row>
    <row r="77" spans="2:15" s="86" customFormat="1" ht="13.2" customHeight="1">
      <c r="H77" s="4427" t="str">
        <f>CONCATENATE("Must match # in Cell N",O122, ".")</f>
        <v>Must match # in Cell N122.</v>
      </c>
      <c r="L77" s="4430" t="str">
        <f>CONCATENATE("Row ",O53, " div by Row ",O71,".")</f>
        <v>Row 53 div by Row 71.</v>
      </c>
      <c r="M77" s="4429" t="s">
        <v>5497</v>
      </c>
      <c r="N77" s="4429"/>
      <c r="O77" s="39">
        <f>ROW()</f>
        <v>77</v>
      </c>
    </row>
    <row r="78" spans="2:15" ht="13.2" customHeight="1">
      <c r="B78" s="172" t="s">
        <v>1518</v>
      </c>
      <c r="H78" s="4428"/>
      <c r="L78" s="4431"/>
      <c r="M78" s="3158">
        <f>M53/M71</f>
        <v>0.1780104712041885</v>
      </c>
      <c r="N78" s="3158">
        <f>N53/N71</f>
        <v>4.9723756906077346E-2</v>
      </c>
      <c r="O78" s="39">
        <f>ROW()</f>
        <v>78</v>
      </c>
    </row>
    <row r="79" spans="2:15" ht="13.2" customHeight="1">
      <c r="B79" s="312" t="s">
        <v>4716</v>
      </c>
      <c r="I79" s="21">
        <f>Distances!$C$185</f>
        <v>16.900058730389546</v>
      </c>
      <c r="J79" s="21">
        <f>Distances!$C$185</f>
        <v>16.900058730389546</v>
      </c>
      <c r="K79" s="21">
        <f>$I$79*K81</f>
        <v>25.350088095584319</v>
      </c>
      <c r="L79" s="21">
        <v>6</v>
      </c>
      <c r="M79" s="21">
        <f>$I$79*M81*M83</f>
        <v>12.520200577749323</v>
      </c>
      <c r="N79" s="21">
        <f>$I$79*N81*N83</f>
        <v>17.36691118150528</v>
      </c>
      <c r="O79" s="39">
        <f>ROW()</f>
        <v>79</v>
      </c>
    </row>
    <row r="80" spans="2:15" ht="13.2" customHeight="1">
      <c r="B80" s="215" t="str">
        <f>CONCATENATE("Work and Non-work #'s are from 'Distances' tab, Row ",Distances!O$185, ". Taxicab # is from B. Ketcham, personal communication, 10-June-09. Other #'s multiply Work figure by factors in Rows ",O81," and ",O83,".")</f>
        <v>Work and Non-work #'s are from 'Distances' tab, Row 185. Taxicab # is from B. Ketcham, personal communication, 10-June-09. Other #'s multiply Work figure by factors in Rows 81 and 83.</v>
      </c>
      <c r="I80" s="21"/>
      <c r="J80" s="21"/>
      <c r="K80" s="21"/>
      <c r="L80" s="21"/>
      <c r="M80" s="21"/>
      <c r="N80" s="21"/>
      <c r="O80" s="39">
        <f>ROW()</f>
        <v>80</v>
      </c>
    </row>
    <row r="81" spans="2:68" ht="13.2" customHeight="1">
      <c r="B81" s="312" t="s">
        <v>5483</v>
      </c>
      <c r="I81" s="21"/>
      <c r="J81" s="21"/>
      <c r="K81" s="210">
        <v>1.5</v>
      </c>
      <c r="L81" s="21"/>
      <c r="M81" s="248">
        <f>2/3</f>
        <v>0.66666666666666663</v>
      </c>
      <c r="N81" s="248">
        <v>1</v>
      </c>
      <c r="O81" s="39">
        <f>ROW()</f>
        <v>81</v>
      </c>
    </row>
    <row r="82" spans="2:68" s="3126" customFormat="1" ht="13.2" customHeight="1">
      <c r="B82" s="215" t="s">
        <v>5484</v>
      </c>
      <c r="I82" s="21"/>
      <c r="J82" s="21"/>
      <c r="K82" s="208"/>
      <c r="L82" s="21"/>
      <c r="M82" s="755"/>
      <c r="N82" s="208"/>
      <c r="O82" s="39">
        <f>ROW()</f>
        <v>82</v>
      </c>
    </row>
    <row r="83" spans="2:68" s="3126" customFormat="1" ht="13.2" customHeight="1">
      <c r="B83" s="312" t="s">
        <v>5485</v>
      </c>
      <c r="I83" s="21"/>
      <c r="J83" s="21"/>
      <c r="K83" s="208"/>
      <c r="L83" s="21"/>
      <c r="M83" s="248">
        <f>$K$81*M73+1*(1-M73)</f>
        <v>1.1112565445026179</v>
      </c>
      <c r="N83" s="248">
        <f>$K$81*N73+1*(1-N73)</f>
        <v>1.0276243093922652</v>
      </c>
      <c r="O83" s="39">
        <f>ROW()</f>
        <v>83</v>
      </c>
    </row>
    <row r="84" spans="2:68" s="3126" customFormat="1" ht="13.2" customHeight="1">
      <c r="B84" s="215" t="str">
        <f>CONCATENATE("Weighted sum of thru-trip factor in Cell K",O81, " and thru-trip %'s in Row ",O73, ".")</f>
        <v>Weighted sum of thru-trip factor in Cell K81 and thru-trip %'s in Row 73.</v>
      </c>
      <c r="I84" s="21"/>
      <c r="J84" s="21"/>
      <c r="K84" s="208"/>
      <c r="L84" s="21"/>
      <c r="M84" s="755"/>
      <c r="N84" s="208"/>
      <c r="O84" s="39">
        <f>ROW()</f>
        <v>84</v>
      </c>
    </row>
    <row r="85" spans="2:68" ht="13.2" customHeight="1">
      <c r="B85" s="275" t="s">
        <v>208</v>
      </c>
      <c r="C85" s="86"/>
      <c r="D85" s="86"/>
      <c r="E85" s="86"/>
      <c r="F85" s="86"/>
      <c r="G85" s="86"/>
      <c r="H85" s="86"/>
      <c r="I85" s="1019">
        <v>1.25</v>
      </c>
      <c r="J85" s="1019">
        <v>1.25</v>
      </c>
      <c r="K85" s="1019">
        <f>2*I43</f>
        <v>1.6</v>
      </c>
      <c r="L85" s="1019">
        <v>2</v>
      </c>
      <c r="M85" s="1019">
        <v>3</v>
      </c>
      <c r="N85" s="1019">
        <v>2</v>
      </c>
      <c r="O85" s="39">
        <f>ROW()</f>
        <v>85</v>
      </c>
    </row>
    <row r="86" spans="2:68" ht="13.2" customHeight="1">
      <c r="B86" s="494" t="str">
        <f>CONCATENATE("Komanoff ests. Assume drivers choose CBD portal to minimize CBD miles. Auto thru-trip # factors 2.0 miles by % trips returning thru CBD, Cell I",O43, ". Truck figure assumes some routing w/I CBD.")</f>
        <v>Komanoff ests. Assume drivers choose CBD portal to minimize CBD miles. Auto thru-trip # factors 2.0 miles by % trips returning thru CBD, Cell I43. Truck figure assumes some routing w/I CBD.</v>
      </c>
      <c r="C86" s="86"/>
      <c r="D86" s="86"/>
      <c r="E86" s="86"/>
      <c r="F86" s="86"/>
      <c r="G86" s="86"/>
      <c r="H86" s="86"/>
      <c r="I86" s="1019"/>
      <c r="J86" s="1019"/>
      <c r="K86" s="1019"/>
      <c r="L86" s="1019"/>
      <c r="M86" s="1019"/>
      <c r="N86" s="1019"/>
      <c r="O86" s="39">
        <f>ROW()</f>
        <v>86</v>
      </c>
    </row>
    <row r="87" spans="2:68" ht="13.2" customHeight="1">
      <c r="B87" s="275" t="s">
        <v>2438</v>
      </c>
      <c r="C87" s="86"/>
      <c r="D87" s="86"/>
      <c r="E87" s="86"/>
      <c r="F87" s="86"/>
      <c r="G87" s="86"/>
      <c r="H87" s="86"/>
      <c r="I87" s="21">
        <f>I79+I85</f>
        <v>18.150058730389546</v>
      </c>
      <c r="J87" s="21">
        <f>J79+J85</f>
        <v>18.150058730389546</v>
      </c>
      <c r="K87" s="21">
        <f>K79+K85</f>
        <v>26.95008809558432</v>
      </c>
      <c r="L87" s="824">
        <f>L85+L79</f>
        <v>8</v>
      </c>
      <c r="M87" s="824">
        <f>M85+M79</f>
        <v>15.520200577749323</v>
      </c>
      <c r="N87" s="824">
        <f>N85+N79</f>
        <v>19.36691118150528</v>
      </c>
      <c r="O87" s="39">
        <f>ROW()</f>
        <v>87</v>
      </c>
    </row>
    <row r="88" spans="2:68" ht="13.2" customHeight="1">
      <c r="B88" s="215" t="s">
        <v>4715</v>
      </c>
      <c r="O88" s="39">
        <f>ROW()</f>
        <v>88</v>
      </c>
      <c r="P88" s="4364"/>
      <c r="Q88" s="4365"/>
      <c r="R88" s="4365"/>
      <c r="S88" s="4365"/>
      <c r="T88" s="4365"/>
      <c r="U88" s="4365"/>
      <c r="V88" s="4365"/>
      <c r="W88" s="4365"/>
      <c r="Y88" s="4364"/>
      <c r="Z88" s="4365"/>
      <c r="AA88" s="4365"/>
      <c r="AB88" s="4365"/>
      <c r="AC88" s="4365"/>
      <c r="AD88" s="4365"/>
      <c r="AE88" s="4365"/>
      <c r="AF88" s="4365"/>
      <c r="AH88" s="4364"/>
      <c r="AI88" s="4365"/>
      <c r="AJ88" s="4365"/>
      <c r="AK88" s="4365"/>
      <c r="AL88" s="4365"/>
      <c r="AM88" s="4365"/>
      <c r="AN88" s="4365"/>
      <c r="AO88" s="4365"/>
      <c r="AQ88" s="4364"/>
      <c r="AR88" s="4365"/>
      <c r="AS88" s="4365"/>
      <c r="AT88" s="4365"/>
      <c r="AU88" s="4365"/>
      <c r="AV88" s="4365"/>
      <c r="AW88" s="4365"/>
      <c r="AX88" s="4365"/>
      <c r="AZ88" s="4364"/>
      <c r="BA88" s="4365"/>
      <c r="BB88" s="4365"/>
      <c r="BC88" s="4365"/>
      <c r="BD88" s="4365"/>
      <c r="BE88" s="4365"/>
      <c r="BF88" s="4365"/>
      <c r="BG88" s="4365"/>
      <c r="BI88" s="4364"/>
      <c r="BJ88" s="4365"/>
      <c r="BK88" s="4365"/>
      <c r="BL88" s="4365"/>
      <c r="BM88" s="4365"/>
      <c r="BN88" s="4365"/>
      <c r="BO88" s="4365"/>
      <c r="BP88" s="4365"/>
    </row>
    <row r="89" spans="2:68" ht="13.2" customHeight="1">
      <c r="O89" s="39">
        <f>ROW()</f>
        <v>89</v>
      </c>
      <c r="P89" s="4363" t="str">
        <f>CONCATENATE("Data will appear in this 'column block' after Row ",$O$113,)</f>
        <v>Data will appear in this 'column block' after Row 113</v>
      </c>
      <c r="Q89" s="4363"/>
      <c r="R89" s="4363"/>
      <c r="S89" s="4363"/>
      <c r="T89" s="4363"/>
      <c r="U89" s="4363"/>
      <c r="V89" s="4363"/>
      <c r="W89" s="4363"/>
      <c r="Y89" s="4363" t="str">
        <f>CONCATENATE("Data will appear in this 'column block' after Row ",$O$113,)</f>
        <v>Data will appear in this 'column block' after Row 113</v>
      </c>
      <c r="Z89" s="4363"/>
      <c r="AA89" s="4363"/>
      <c r="AB89" s="4363"/>
      <c r="AC89" s="4363"/>
      <c r="AD89" s="4363"/>
      <c r="AE89" s="4363"/>
      <c r="AF89" s="4363"/>
      <c r="AH89" s="4363" t="str">
        <f>CONCATENATE("Data will appear in this 'column block' after Row ",$O$113,)</f>
        <v>Data will appear in this 'column block' after Row 113</v>
      </c>
      <c r="AI89" s="4363"/>
      <c r="AJ89" s="4363"/>
      <c r="AK89" s="4363"/>
      <c r="AL89" s="4363"/>
      <c r="AM89" s="4363"/>
      <c r="AN89" s="4363"/>
      <c r="AO89" s="4363"/>
      <c r="AQ89" s="4363" t="str">
        <f>CONCATENATE("Data will appear in this 'column block' after Row ",$O$113,)</f>
        <v>Data will appear in this 'column block' after Row 113</v>
      </c>
      <c r="AR89" s="4363"/>
      <c r="AS89" s="4363"/>
      <c r="AT89" s="4363"/>
      <c r="AU89" s="4363"/>
      <c r="AV89" s="4363"/>
      <c r="AW89" s="4363"/>
      <c r="AX89" s="4363"/>
      <c r="AZ89" s="4363" t="str">
        <f>CONCATENATE("Data will appear in this 'column block' after Row ",$O$113,)</f>
        <v>Data will appear in this 'column block' after Row 113</v>
      </c>
      <c r="BA89" s="4363"/>
      <c r="BB89" s="4363"/>
      <c r="BC89" s="4363"/>
      <c r="BD89" s="4363"/>
      <c r="BE89" s="4363"/>
      <c r="BF89" s="4363"/>
      <c r="BG89" s="4363"/>
      <c r="BI89" s="4363" t="str">
        <f>CONCATENATE("Data will appear in this 'column block' after Row ",$O$113,)</f>
        <v>Data will appear in this 'column block' after Row 113</v>
      </c>
      <c r="BJ89" s="4363"/>
      <c r="BK89" s="4363"/>
      <c r="BL89" s="4363"/>
      <c r="BM89" s="4363"/>
      <c r="BN89" s="4363"/>
      <c r="BO89" s="4363"/>
      <c r="BP89" s="4363"/>
    </row>
    <row r="90" spans="2:68" ht="13.2" customHeight="1">
      <c r="H90" s="8" t="s">
        <v>228</v>
      </c>
      <c r="I90" s="8" t="s">
        <v>367</v>
      </c>
      <c r="J90" s="8" t="s">
        <v>368</v>
      </c>
      <c r="K90" s="8" t="s">
        <v>2473</v>
      </c>
      <c r="L90" s="8" t="s">
        <v>1241</v>
      </c>
      <c r="M90" s="8" t="s">
        <v>2212</v>
      </c>
      <c r="N90" s="8" t="s">
        <v>967</v>
      </c>
      <c r="O90" s="39">
        <f>ROW()</f>
        <v>90</v>
      </c>
    </row>
    <row r="91" spans="2:68" ht="13.2" customHeight="1">
      <c r="B91" s="172" t="s">
        <v>1879</v>
      </c>
      <c r="H91" s="607">
        <f>SUM(I91:N91)</f>
        <v>2019667.4269005847</v>
      </c>
      <c r="I91" s="575">
        <f>2*I76*I85</f>
        <v>651925.22770525224</v>
      </c>
      <c r="J91" s="575">
        <f>2*J76*J85</f>
        <v>458524.77229474758</v>
      </c>
      <c r="K91" s="575">
        <f>2*K76*K85</f>
        <v>406791.11111111124</v>
      </c>
      <c r="L91" s="575">
        <f>(1+Taxis!L130)*L76*L85</f>
        <v>227500</v>
      </c>
      <c r="M91" s="575">
        <f>2*M76*M85</f>
        <v>229200</v>
      </c>
      <c r="N91" s="575">
        <f>2*N76*N85</f>
        <v>45726.315789473687</v>
      </c>
      <c r="O91" s="39">
        <f>ROW()</f>
        <v>91</v>
      </c>
    </row>
    <row r="92" spans="2:68" ht="13.2" customHeight="1">
      <c r="B92" s="265" t="s">
        <v>1530</v>
      </c>
      <c r="H92" s="607"/>
      <c r="I92" s="575"/>
      <c r="J92" s="575"/>
      <c r="K92" s="575"/>
      <c r="L92" s="575"/>
      <c r="M92" s="575"/>
      <c r="O92" s="39">
        <f>ROW()</f>
        <v>92</v>
      </c>
    </row>
    <row r="93" spans="2:68" ht="13.2" customHeight="1">
      <c r="B93" s="312" t="s">
        <v>1267</v>
      </c>
      <c r="H93" s="53">
        <f>SUM(I93:N93)</f>
        <v>1</v>
      </c>
      <c r="I93" s="39">
        <f t="shared" ref="I93:N93" si="3">I91/$H$91</f>
        <v>0.32278840517109669</v>
      </c>
      <c r="J93" s="39">
        <f t="shared" si="3"/>
        <v>0.2270298397585227</v>
      </c>
      <c r="K93" s="39">
        <f t="shared" si="3"/>
        <v>0.20141489915266875</v>
      </c>
      <c r="L93" s="39">
        <f t="shared" si="3"/>
        <v>0.11264230782249397</v>
      </c>
      <c r="M93" s="39">
        <f t="shared" si="3"/>
        <v>0.11348403056226646</v>
      </c>
      <c r="N93" s="39">
        <f t="shared" si="3"/>
        <v>2.2640517532951477E-2</v>
      </c>
      <c r="O93" s="39">
        <f>ROW()</f>
        <v>93</v>
      </c>
    </row>
    <row r="94" spans="2:68" ht="13.2" customHeight="1">
      <c r="B94" s="265"/>
      <c r="H94" s="607"/>
      <c r="I94" s="39"/>
      <c r="J94" s="39"/>
      <c r="K94" s="39"/>
      <c r="L94" s="39"/>
      <c r="M94" s="39"/>
      <c r="N94" s="39"/>
      <c r="O94" s="39">
        <f>ROW()</f>
        <v>94</v>
      </c>
    </row>
    <row r="95" spans="2:68" ht="13.2" customHeight="1">
      <c r="B95" s="172" t="s">
        <v>1185</v>
      </c>
      <c r="H95" s="607"/>
      <c r="I95" s="575"/>
      <c r="J95" s="575"/>
      <c r="K95" s="575"/>
      <c r="L95" s="575"/>
      <c r="O95" s="39">
        <f>ROW()</f>
        <v>95</v>
      </c>
    </row>
    <row r="96" spans="2:68" ht="13.2" customHeight="1">
      <c r="B96" s="281" t="s">
        <v>518</v>
      </c>
      <c r="H96" s="6"/>
      <c r="I96" s="23">
        <f>1/7</f>
        <v>0.14285714285714285</v>
      </c>
      <c r="J96" s="23">
        <f>I96</f>
        <v>0.14285714285714285</v>
      </c>
      <c r="K96" s="23">
        <v>0</v>
      </c>
      <c r="L96" s="598" t="s">
        <v>2213</v>
      </c>
      <c r="M96" s="23">
        <v>0.2</v>
      </c>
      <c r="N96" s="23">
        <v>0.5</v>
      </c>
      <c r="O96" s="39">
        <f>ROW()</f>
        <v>96</v>
      </c>
    </row>
    <row r="97" spans="2:43" ht="13.2" customHeight="1">
      <c r="B97" s="215" t="s">
        <v>2163</v>
      </c>
      <c r="H97" s="6"/>
      <c r="I97" s="23"/>
      <c r="J97" s="23"/>
      <c r="K97" s="23"/>
      <c r="L97" s="598"/>
      <c r="M97" s="23"/>
      <c r="N97" s="23"/>
      <c r="O97" s="39">
        <f>ROW()</f>
        <v>97</v>
      </c>
    </row>
    <row r="98" spans="2:43" ht="13.2" customHeight="1">
      <c r="B98" s="281" t="s">
        <v>2446</v>
      </c>
      <c r="H98" s="607">
        <f>SUM(I98:N98)</f>
        <v>1414400.4106419894</v>
      </c>
      <c r="I98" s="575">
        <f>I$96*I91</f>
        <v>93132.175386464602</v>
      </c>
      <c r="J98" s="575">
        <f>J$96*J91</f>
        <v>65503.538899249652</v>
      </c>
      <c r="K98" s="575">
        <f>K$96*K91</f>
        <v>0</v>
      </c>
      <c r="L98" s="575">
        <f>Taxis!I368</f>
        <v>1187061.5384615383</v>
      </c>
      <c r="M98" s="575">
        <f>M$96*M91</f>
        <v>45840</v>
      </c>
      <c r="N98" s="575">
        <f>N$96*N91</f>
        <v>22863.157894736843</v>
      </c>
      <c r="O98" s="39">
        <f>ROW()</f>
        <v>98</v>
      </c>
    </row>
    <row r="99" spans="2:43" ht="13.2" customHeight="1">
      <c r="B99" s="215" t="str">
        <f>CONCATENATE("Products of percentages in row ",O96, " and miles in row ",O91, ", except taxi figure is from Taxis worksheet, Row ",Taxis!O368, ".")</f>
        <v>Products of percentages in row 96 and miles in row 91, except taxi figure is from Taxis worksheet, Row 368.</v>
      </c>
      <c r="H99" s="607"/>
      <c r="I99" s="575"/>
      <c r="J99" s="575"/>
      <c r="K99" s="575"/>
      <c r="L99" s="575"/>
      <c r="M99" s="575"/>
      <c r="N99" s="575"/>
      <c r="O99" s="39">
        <f>ROW()</f>
        <v>99</v>
      </c>
    </row>
    <row r="100" spans="2:43" ht="13.2" customHeight="1">
      <c r="B100" s="281"/>
      <c r="H100" s="607"/>
      <c r="I100" s="575"/>
      <c r="J100" s="575"/>
      <c r="L100" s="575"/>
      <c r="M100" s="575"/>
      <c r="O100" s="39">
        <f>ROW()</f>
        <v>100</v>
      </c>
    </row>
    <row r="101" spans="2:43" ht="13.2" customHeight="1">
      <c r="B101" s="6" t="s">
        <v>2271</v>
      </c>
      <c r="E101" s="7" t="str">
        <f>CONCATENATE("(sum of VMT's in rows ",O91," and ",O98,")")</f>
        <v>(sum of VMT's in rows 91 and 98)</v>
      </c>
      <c r="H101" s="607">
        <f>SUM(I101:N101)</f>
        <v>3434067.8375425739</v>
      </c>
      <c r="I101" s="575">
        <f t="shared" ref="I101:N101" si="4">I91+I98</f>
        <v>745057.40309171681</v>
      </c>
      <c r="J101" s="575">
        <f t="shared" si="4"/>
        <v>524028.31119399722</v>
      </c>
      <c r="K101" s="575">
        <f t="shared" si="4"/>
        <v>406791.11111111124</v>
      </c>
      <c r="L101" s="575">
        <f t="shared" si="4"/>
        <v>1414561.5384615383</v>
      </c>
      <c r="M101" s="575">
        <f t="shared" si="4"/>
        <v>275040</v>
      </c>
      <c r="N101" s="575">
        <f t="shared" si="4"/>
        <v>68589.473684210534</v>
      </c>
      <c r="O101" s="39">
        <f>ROW()</f>
        <v>101</v>
      </c>
    </row>
    <row r="102" spans="2:43" ht="13.2" customHeight="1">
      <c r="B102" s="281" t="s">
        <v>2123</v>
      </c>
      <c r="H102" s="53">
        <f>SUM(I102:N102)</f>
        <v>1.0000000000000002</v>
      </c>
      <c r="I102" s="39">
        <f t="shared" ref="I102:N102" si="5">I101/$H$101</f>
        <v>0.21696059552069927</v>
      </c>
      <c r="J102" s="39">
        <f t="shared" si="5"/>
        <v>0.15259695963635739</v>
      </c>
      <c r="K102" s="39">
        <f t="shared" si="5"/>
        <v>0.11845750589546064</v>
      </c>
      <c r="L102" s="576">
        <f t="shared" si="5"/>
        <v>0.41192009167582472</v>
      </c>
      <c r="M102" s="39">
        <f t="shared" si="5"/>
        <v>8.009160360583302E-2</v>
      </c>
      <c r="N102" s="39">
        <f t="shared" si="5"/>
        <v>1.9973243665824991E-2</v>
      </c>
      <c r="O102" s="39">
        <f>ROW()</f>
        <v>102</v>
      </c>
    </row>
    <row r="103" spans="2:43" ht="13.2" customHeight="1">
      <c r="B103" s="3785" t="str">
        <f>CONCATENATE("Note that, from Row ",O102, ", non-taxicab autos account for ", ROUND(SUM(I102:K102), 2)*100, "% of VMT within cordon, vs. ",ROUND(L102,2)*100, "% for medallion taxis and ",ROUND(M102,2)*100, "% for trucks. Schaller ('City in Flux,' p. 6) breaks down midday Midtown VMT: 45% auto, 41% taxi + other for-hire, 8% commercial, 4% trucks, 2% buses.")</f>
        <v>Note that, from Row 102, non-taxicab autos account for 49% of VMT within cordon, vs. 41% for medallion taxis and 8% for trucks. Schaller ('City in Flux,' p. 6) breaks down midday Midtown VMT: 45% auto, 41% taxi + other for-hire, 8% commercial, 4% trucks, 2% buses.</v>
      </c>
      <c r="C103" s="3786"/>
      <c r="D103" s="3786"/>
      <c r="E103" s="3786"/>
      <c r="F103" s="3786"/>
      <c r="G103" s="3786"/>
      <c r="H103" s="3786"/>
      <c r="I103" s="3786"/>
      <c r="J103" s="3786"/>
      <c r="K103" s="3786"/>
      <c r="L103" s="3786"/>
      <c r="M103" s="86"/>
      <c r="N103" s="785"/>
      <c r="O103" s="39">
        <f>ROW()</f>
        <v>103</v>
      </c>
    </row>
    <row r="104" spans="2:43" ht="13.2" customHeight="1">
      <c r="B104" s="3786"/>
      <c r="C104" s="3786"/>
      <c r="D104" s="3786"/>
      <c r="E104" s="3786"/>
      <c r="F104" s="3786"/>
      <c r="G104" s="3786"/>
      <c r="H104" s="3786"/>
      <c r="I104" s="3786"/>
      <c r="J104" s="3786"/>
      <c r="K104" s="3786"/>
      <c r="L104" s="3786"/>
      <c r="M104" s="86"/>
      <c r="N104" s="785"/>
      <c r="O104" s="39">
        <f>ROW()</f>
        <v>104</v>
      </c>
    </row>
    <row r="105" spans="2:43" ht="13.2" customHeight="1">
      <c r="B105" s="2078" t="s">
        <v>5488</v>
      </c>
      <c r="C105" s="86"/>
      <c r="D105" s="86"/>
      <c r="E105" s="86"/>
      <c r="F105" s="86"/>
      <c r="G105" s="86"/>
      <c r="H105" s="811">
        <f>VMT!L67</f>
        <v>3338030</v>
      </c>
      <c r="I105" s="265" t="str">
        <f>CONCATENATE("See 'VMT' tab, Row ",VMT!O67, ", for citation.")</f>
        <v>See 'VMT' tab, Row 67, for citation.</v>
      </c>
      <c r="J105" s="86"/>
      <c r="K105" s="86"/>
      <c r="L105" s="86"/>
      <c r="M105" s="86"/>
      <c r="N105" s="813"/>
      <c r="O105" s="39">
        <f>ROW()</f>
        <v>105</v>
      </c>
    </row>
    <row r="106" spans="2:43" ht="13.2" customHeight="1">
      <c r="B106" s="637"/>
      <c r="H106" s="599" t="s">
        <v>458</v>
      </c>
      <c r="I106" s="600" t="s">
        <v>116</v>
      </c>
      <c r="O106" s="39">
        <f>ROW()</f>
        <v>106</v>
      </c>
    </row>
    <row r="107" spans="2:43" ht="13.2" customHeight="1">
      <c r="B107" s="6" t="s">
        <v>86</v>
      </c>
      <c r="H107" s="601">
        <f>H101-H105</f>
        <v>96037.837542573921</v>
      </c>
      <c r="I107" s="602">
        <f>H107/H105</f>
        <v>2.8770813186991706E-2</v>
      </c>
      <c r="O107" s="39">
        <f>ROW()</f>
        <v>107</v>
      </c>
    </row>
    <row r="108" spans="2:43" ht="13.2" customHeight="1">
      <c r="B108" s="6"/>
      <c r="H108" s="575"/>
      <c r="O108" s="39">
        <f>ROW()</f>
        <v>108</v>
      </c>
    </row>
    <row r="109" spans="2:43" ht="13.2" customHeight="1">
      <c r="B109" s="24" t="s">
        <v>189</v>
      </c>
      <c r="H109" s="575"/>
      <c r="O109" s="39">
        <f>ROW()</f>
        <v>109</v>
      </c>
    </row>
    <row r="110" spans="2:43" ht="13.2" customHeight="1">
      <c r="O110" s="39">
        <f>ROW()</f>
        <v>110</v>
      </c>
    </row>
    <row r="111" spans="2:43" ht="13.2" customHeight="1">
      <c r="B111" t="s">
        <v>2418</v>
      </c>
      <c r="O111" s="39">
        <f>ROW()</f>
        <v>111</v>
      </c>
      <c r="AQ111" s="43"/>
    </row>
    <row r="112" spans="2:43" ht="13.2" customHeight="1">
      <c r="O112" s="39">
        <f>ROW()</f>
        <v>112</v>
      </c>
      <c r="AH112" s="4263"/>
      <c r="AI112" s="4264"/>
      <c r="AJ112" s="4264"/>
      <c r="AK112" s="4264"/>
      <c r="AL112" s="4264"/>
      <c r="AM112" s="4264"/>
      <c r="AN112" s="4264"/>
      <c r="AO112" s="4264"/>
    </row>
    <row r="113" spans="2:68" ht="13.2" customHeight="1">
      <c r="G113" s="4147" t="s">
        <v>459</v>
      </c>
      <c r="H113" s="4147"/>
      <c r="I113" s="4147"/>
      <c r="J113" s="4147"/>
      <c r="K113" s="4147"/>
      <c r="L113" s="4147"/>
      <c r="M113" s="4147"/>
      <c r="N113" s="4147"/>
      <c r="O113" s="39">
        <f>ROW()</f>
        <v>113</v>
      </c>
      <c r="P113" s="4147" t="s">
        <v>2680</v>
      </c>
      <c r="Q113" s="4147"/>
      <c r="R113" s="4147"/>
      <c r="S113" s="4147"/>
      <c r="T113" s="4147"/>
      <c r="U113" s="4147"/>
      <c r="V113" s="4147"/>
      <c r="W113" s="4147"/>
      <c r="Y113" s="4147" t="s">
        <v>2681</v>
      </c>
      <c r="Z113" s="4147"/>
      <c r="AA113" s="4147"/>
      <c r="AB113" s="4147"/>
      <c r="AC113" s="4147"/>
      <c r="AD113" s="4147"/>
      <c r="AE113" s="4147"/>
      <c r="AF113" s="4147"/>
      <c r="AH113" s="4263" t="s">
        <v>5482</v>
      </c>
      <c r="AI113" s="4264"/>
      <c r="AJ113" s="4264"/>
      <c r="AK113" s="4264"/>
      <c r="AL113" s="4264"/>
      <c r="AM113" s="4264"/>
      <c r="AN113" s="4264"/>
      <c r="AO113" s="4264"/>
      <c r="AQ113" s="4147" t="s">
        <v>713</v>
      </c>
      <c r="AR113" s="4147"/>
      <c r="AS113" s="4147"/>
      <c r="AT113" s="4147"/>
      <c r="AU113" s="4147"/>
      <c r="AV113" s="4147"/>
      <c r="AW113" s="4147"/>
      <c r="AX113" s="4147"/>
      <c r="AZ113" s="4147" t="s">
        <v>460</v>
      </c>
      <c r="BA113" s="4147"/>
      <c r="BB113" s="4147"/>
      <c r="BC113" s="4147"/>
      <c r="BD113" s="4147"/>
      <c r="BE113" s="4147"/>
      <c r="BF113" s="4147"/>
      <c r="BG113" s="4147"/>
      <c r="BI113" s="4147" t="s">
        <v>849</v>
      </c>
      <c r="BJ113" s="4147"/>
      <c r="BK113" s="4147"/>
      <c r="BL113" s="4147"/>
      <c r="BM113" s="4147"/>
      <c r="BN113" s="4147"/>
      <c r="BO113" s="4147"/>
      <c r="BP113" s="4147"/>
    </row>
    <row r="114" spans="2:68" ht="13.2" customHeight="1">
      <c r="B114" s="4305" t="s">
        <v>906</v>
      </c>
      <c r="C114" s="3678"/>
      <c r="D114" s="3678"/>
      <c r="E114" s="3679"/>
      <c r="O114" s="39">
        <f>ROW()</f>
        <v>114</v>
      </c>
      <c r="AH114" s="4147" t="s">
        <v>1539</v>
      </c>
      <c r="AI114" s="4147"/>
      <c r="AJ114" s="4147"/>
      <c r="AK114" s="4147"/>
      <c r="AL114" s="4147"/>
      <c r="AM114" s="4147"/>
      <c r="AN114" s="4147"/>
    </row>
    <row r="115" spans="2:68" ht="13.2" customHeight="1">
      <c r="B115" s="3680"/>
      <c r="C115" s="3681"/>
      <c r="D115" s="3681"/>
      <c r="E115" s="3682"/>
      <c r="G115" s="880" t="s">
        <v>1472</v>
      </c>
      <c r="H115" s="880" t="s">
        <v>1087</v>
      </c>
      <c r="I115" s="880" t="s">
        <v>2445</v>
      </c>
      <c r="J115" s="880" t="s">
        <v>1088</v>
      </c>
      <c r="K115" s="880" t="s">
        <v>1089</v>
      </c>
      <c r="L115" s="880" t="s">
        <v>1151</v>
      </c>
      <c r="M115" s="880" t="s">
        <v>1090</v>
      </c>
      <c r="N115" s="880" t="s">
        <v>2684</v>
      </c>
      <c r="O115" s="39">
        <f>ROW()</f>
        <v>115</v>
      </c>
      <c r="P115" s="880" t="s">
        <v>1472</v>
      </c>
      <c r="Q115" s="880" t="s">
        <v>615</v>
      </c>
      <c r="R115" s="880" t="s">
        <v>2445</v>
      </c>
      <c r="S115" s="880" t="s">
        <v>616</v>
      </c>
      <c r="T115" s="880" t="s">
        <v>1152</v>
      </c>
      <c r="U115" s="880" t="s">
        <v>1151</v>
      </c>
      <c r="V115" s="880" t="s">
        <v>617</v>
      </c>
      <c r="W115" s="880" t="s">
        <v>2684</v>
      </c>
      <c r="Y115" s="159" t="s">
        <v>1472</v>
      </c>
      <c r="Z115" s="159" t="s">
        <v>615</v>
      </c>
      <c r="AA115" s="159" t="s">
        <v>2445</v>
      </c>
      <c r="AB115" s="159" t="s">
        <v>616</v>
      </c>
      <c r="AC115" s="159" t="s">
        <v>1152</v>
      </c>
      <c r="AD115" s="159" t="s">
        <v>1151</v>
      </c>
      <c r="AE115" s="159" t="s">
        <v>617</v>
      </c>
      <c r="AF115" s="159" t="s">
        <v>2684</v>
      </c>
      <c r="AH115" s="159" t="s">
        <v>1472</v>
      </c>
      <c r="AI115" s="159" t="s">
        <v>615</v>
      </c>
      <c r="AJ115" s="159" t="s">
        <v>2445</v>
      </c>
      <c r="AK115" s="159" t="s">
        <v>616</v>
      </c>
      <c r="AL115" s="159" t="s">
        <v>1152</v>
      </c>
      <c r="AM115" s="159" t="s">
        <v>1151</v>
      </c>
      <c r="AN115" s="2836" t="s">
        <v>617</v>
      </c>
      <c r="AO115" s="159" t="s">
        <v>2684</v>
      </c>
      <c r="AQ115" s="159" t="s">
        <v>1472</v>
      </c>
      <c r="AR115" s="159" t="s">
        <v>615</v>
      </c>
      <c r="AS115" s="159" t="s">
        <v>2445</v>
      </c>
      <c r="AT115" s="159" t="s">
        <v>616</v>
      </c>
      <c r="AU115" s="159" t="s">
        <v>1152</v>
      </c>
      <c r="AV115" s="159" t="s">
        <v>1151</v>
      </c>
      <c r="AW115" s="159" t="s">
        <v>617</v>
      </c>
      <c r="AX115" s="159" t="s">
        <v>2684</v>
      </c>
      <c r="AZ115" s="159" t="s">
        <v>1472</v>
      </c>
      <c r="BA115" s="159" t="s">
        <v>615</v>
      </c>
      <c r="BB115" s="159" t="s">
        <v>2445</v>
      </c>
      <c r="BC115" s="159" t="s">
        <v>616</v>
      </c>
      <c r="BD115" s="159" t="s">
        <v>1152</v>
      </c>
      <c r="BE115" s="159" t="s">
        <v>1151</v>
      </c>
      <c r="BF115" s="159" t="s">
        <v>617</v>
      </c>
      <c r="BG115" s="159" t="s">
        <v>2684</v>
      </c>
      <c r="BI115" s="159" t="s">
        <v>1472</v>
      </c>
      <c r="BJ115" s="159" t="s">
        <v>615</v>
      </c>
      <c r="BK115" s="159" t="s">
        <v>2445</v>
      </c>
      <c r="BL115" s="159" t="s">
        <v>616</v>
      </c>
      <c r="BM115" s="159" t="s">
        <v>1152</v>
      </c>
      <c r="BN115" s="159" t="s">
        <v>1151</v>
      </c>
      <c r="BO115" s="159" t="s">
        <v>617</v>
      </c>
      <c r="BP115" s="159" t="s">
        <v>2684</v>
      </c>
    </row>
    <row r="116" spans="2:68" s="7" customFormat="1" ht="13.2" customHeight="1">
      <c r="B116" s="3683"/>
      <c r="C116" s="3684"/>
      <c r="D116" s="3684"/>
      <c r="E116" s="3685"/>
      <c r="G116" s="298" t="s">
        <v>1091</v>
      </c>
      <c r="H116" s="298" t="s">
        <v>1092</v>
      </c>
      <c r="I116" s="298" t="s">
        <v>1093</v>
      </c>
      <c r="J116" s="298" t="s">
        <v>1094</v>
      </c>
      <c r="K116" s="298" t="s">
        <v>1095</v>
      </c>
      <c r="L116" s="298" t="s">
        <v>1096</v>
      </c>
      <c r="M116" s="298" t="s">
        <v>1097</v>
      </c>
      <c r="N116" s="298"/>
      <c r="O116" s="39">
        <f>ROW()</f>
        <v>116</v>
      </c>
      <c r="P116" s="298" t="s">
        <v>2678</v>
      </c>
      <c r="Q116" s="298" t="s">
        <v>665</v>
      </c>
      <c r="R116" s="298" t="s">
        <v>666</v>
      </c>
      <c r="S116" s="298" t="s">
        <v>667</v>
      </c>
      <c r="T116" s="298" t="s">
        <v>668</v>
      </c>
      <c r="U116" s="298" t="s">
        <v>434</v>
      </c>
      <c r="V116" s="298" t="s">
        <v>435</v>
      </c>
      <c r="W116" s="298"/>
      <c r="Y116" s="298" t="s">
        <v>2678</v>
      </c>
      <c r="Z116" s="298" t="s">
        <v>665</v>
      </c>
      <c r="AA116" s="298" t="s">
        <v>666</v>
      </c>
      <c r="AB116" s="298" t="s">
        <v>667</v>
      </c>
      <c r="AC116" s="298" t="s">
        <v>668</v>
      </c>
      <c r="AD116" s="298" t="s">
        <v>434</v>
      </c>
      <c r="AE116" s="298" t="s">
        <v>435</v>
      </c>
      <c r="AF116" s="298"/>
      <c r="AH116" s="298" t="s">
        <v>2678</v>
      </c>
      <c r="AI116" s="298" t="s">
        <v>665</v>
      </c>
      <c r="AJ116" s="298" t="s">
        <v>666</v>
      </c>
      <c r="AK116" s="298" t="s">
        <v>667</v>
      </c>
      <c r="AL116" s="298" t="s">
        <v>668</v>
      </c>
      <c r="AM116" s="298" t="s">
        <v>434</v>
      </c>
      <c r="AN116" s="298" t="s">
        <v>435</v>
      </c>
      <c r="AO116" s="298"/>
      <c r="AQ116" s="298" t="s">
        <v>2678</v>
      </c>
      <c r="AR116" s="298" t="s">
        <v>665</v>
      </c>
      <c r="AS116" s="298" t="s">
        <v>666</v>
      </c>
      <c r="AT116" s="298" t="s">
        <v>667</v>
      </c>
      <c r="AU116" s="298" t="s">
        <v>668</v>
      </c>
      <c r="AV116" s="298" t="s">
        <v>434</v>
      </c>
      <c r="AW116" s="298" t="s">
        <v>435</v>
      </c>
      <c r="AX116" s="298"/>
      <c r="AZ116" s="298" t="s">
        <v>2678</v>
      </c>
      <c r="BA116" s="298" t="s">
        <v>665</v>
      </c>
      <c r="BB116" s="298" t="s">
        <v>666</v>
      </c>
      <c r="BC116" s="298" t="s">
        <v>667</v>
      </c>
      <c r="BD116" s="298" t="s">
        <v>668</v>
      </c>
      <c r="BE116" s="298" t="s">
        <v>434</v>
      </c>
      <c r="BF116" s="298" t="s">
        <v>435</v>
      </c>
      <c r="BG116" s="298"/>
      <c r="BI116" s="298" t="s">
        <v>2678</v>
      </c>
      <c r="BJ116" s="298" t="s">
        <v>665</v>
      </c>
      <c r="BK116" s="298" t="s">
        <v>666</v>
      </c>
      <c r="BL116" s="298" t="s">
        <v>667</v>
      </c>
      <c r="BM116" s="298" t="s">
        <v>668</v>
      </c>
      <c r="BN116" s="298" t="s">
        <v>434</v>
      </c>
      <c r="BO116" s="298" t="s">
        <v>435</v>
      </c>
      <c r="BP116" s="298"/>
    </row>
    <row r="117" spans="2:68" ht="13.2" customHeight="1">
      <c r="O117" s="39">
        <f>ROW()</f>
        <v>117</v>
      </c>
    </row>
    <row r="118" spans="2:68" ht="13.2" customHeight="1">
      <c r="B118" s="6" t="s">
        <v>2677</v>
      </c>
      <c r="G118" s="34">
        <v>6</v>
      </c>
      <c r="H118" s="34">
        <v>1</v>
      </c>
      <c r="I118" s="34">
        <v>3</v>
      </c>
      <c r="J118" s="34">
        <v>1</v>
      </c>
      <c r="K118" s="34">
        <v>4</v>
      </c>
      <c r="L118" s="34">
        <v>6</v>
      </c>
      <c r="M118" s="34">
        <v>3</v>
      </c>
      <c r="N118" s="34">
        <f>SUM(G118:M118)</f>
        <v>24</v>
      </c>
      <c r="O118" s="39">
        <f>ROW()</f>
        <v>118</v>
      </c>
      <c r="P118">
        <v>6</v>
      </c>
      <c r="Q118">
        <v>1</v>
      </c>
      <c r="R118">
        <v>3</v>
      </c>
      <c r="S118">
        <v>1</v>
      </c>
      <c r="T118">
        <v>4</v>
      </c>
      <c r="U118">
        <v>6</v>
      </c>
      <c r="V118">
        <v>3</v>
      </c>
      <c r="W118">
        <f>SUM(P118:V118)</f>
        <v>24</v>
      </c>
      <c r="Y118">
        <v>6</v>
      </c>
      <c r="Z118">
        <v>1</v>
      </c>
      <c r="AA118">
        <v>3</v>
      </c>
      <c r="AB118">
        <v>1</v>
      </c>
      <c r="AC118">
        <v>4</v>
      </c>
      <c r="AD118">
        <v>6</v>
      </c>
      <c r="AE118">
        <v>3</v>
      </c>
      <c r="AF118">
        <f>SUM(Y118:AE118)</f>
        <v>24</v>
      </c>
      <c r="AH118">
        <v>6</v>
      </c>
      <c r="AI118">
        <v>1</v>
      </c>
      <c r="AJ118">
        <v>3</v>
      </c>
      <c r="AK118">
        <v>1</v>
      </c>
      <c r="AL118">
        <v>4</v>
      </c>
      <c r="AM118">
        <v>6</v>
      </c>
      <c r="AN118">
        <v>3</v>
      </c>
      <c r="AO118">
        <f>SUM(AH118:AN118)</f>
        <v>24</v>
      </c>
      <c r="AQ118">
        <v>6</v>
      </c>
      <c r="AR118">
        <v>1</v>
      </c>
      <c r="AS118">
        <v>3</v>
      </c>
      <c r="AT118">
        <v>1</v>
      </c>
      <c r="AU118">
        <v>4</v>
      </c>
      <c r="AV118">
        <v>6</v>
      </c>
      <c r="AW118">
        <v>3</v>
      </c>
      <c r="AX118">
        <f>SUM(AQ118:AW118)</f>
        <v>24</v>
      </c>
      <c r="AZ118">
        <v>6</v>
      </c>
      <c r="BA118">
        <v>1</v>
      </c>
      <c r="BB118">
        <v>3</v>
      </c>
      <c r="BC118">
        <v>1</v>
      </c>
      <c r="BD118">
        <v>4</v>
      </c>
      <c r="BE118">
        <v>6</v>
      </c>
      <c r="BF118">
        <v>3</v>
      </c>
      <c r="BG118">
        <f>SUM(AZ118:BF118)</f>
        <v>24</v>
      </c>
      <c r="BI118">
        <v>6</v>
      </c>
      <c r="BJ118">
        <v>1</v>
      </c>
      <c r="BK118">
        <v>3</v>
      </c>
      <c r="BL118">
        <v>1</v>
      </c>
      <c r="BM118">
        <v>4</v>
      </c>
      <c r="BN118">
        <v>6</v>
      </c>
      <c r="BO118">
        <v>3</v>
      </c>
      <c r="BP118">
        <f>SUM(BI118:BO118)</f>
        <v>24</v>
      </c>
    </row>
    <row r="119" spans="2:68" ht="13.2" customHeight="1">
      <c r="B119" s="265" t="s">
        <v>5491</v>
      </c>
      <c r="M119" s="4371" t="s">
        <v>5490</v>
      </c>
      <c r="N119" s="4371"/>
      <c r="O119" s="39">
        <f>ROW()</f>
        <v>119</v>
      </c>
    </row>
    <row r="120" spans="2:68" ht="13.2" customHeight="1">
      <c r="B120" s="282"/>
      <c r="M120" s="4371"/>
      <c r="N120" s="4371"/>
      <c r="O120" s="39">
        <f>ROW()</f>
        <v>120</v>
      </c>
      <c r="P120" s="4147" t="s">
        <v>1599</v>
      </c>
      <c r="Q120" s="4147"/>
      <c r="R120" s="4147"/>
      <c r="S120" s="4147"/>
      <c r="T120" s="4147"/>
      <c r="U120" s="4147"/>
      <c r="V120" s="4147"/>
      <c r="W120" s="4147"/>
      <c r="Y120" s="4147" t="s">
        <v>1600</v>
      </c>
      <c r="Z120" s="4147"/>
      <c r="AA120" s="4147"/>
      <c r="AB120" s="4147"/>
      <c r="AC120" s="4147"/>
      <c r="AD120" s="4147"/>
      <c r="AE120" s="4147"/>
      <c r="AF120" s="4147"/>
      <c r="AH120" s="4147" t="s">
        <v>1408</v>
      </c>
      <c r="AI120" s="4147"/>
      <c r="AJ120" s="4147"/>
      <c r="AK120" s="4147"/>
      <c r="AL120" s="4147"/>
      <c r="AM120" s="4147"/>
      <c r="AN120" s="4147"/>
      <c r="AO120" s="4147"/>
      <c r="AQ120" s="4147" t="s">
        <v>372</v>
      </c>
      <c r="AR120" s="4147"/>
      <c r="AS120" s="4147"/>
      <c r="AT120" s="4147"/>
      <c r="AU120" s="4147"/>
      <c r="AV120" s="4147"/>
      <c r="AW120" s="4147"/>
      <c r="AX120" s="4147"/>
      <c r="AZ120" s="4147" t="s">
        <v>372</v>
      </c>
      <c r="BA120" s="4147"/>
      <c r="BB120" s="4147"/>
      <c r="BC120" s="4147"/>
      <c r="BD120" s="4147"/>
      <c r="BE120" s="4147"/>
      <c r="BF120" s="4147"/>
      <c r="BG120" s="4147"/>
      <c r="BI120" s="4147" t="s">
        <v>372</v>
      </c>
      <c r="BJ120" s="4147"/>
      <c r="BK120" s="4147"/>
      <c r="BL120" s="4147"/>
      <c r="BM120" s="4147"/>
      <c r="BN120" s="4147"/>
      <c r="BO120" s="4147"/>
      <c r="BP120" s="4147"/>
    </row>
    <row r="121" spans="2:68" ht="13.2" customHeight="1">
      <c r="B121" s="172" t="s">
        <v>1268</v>
      </c>
      <c r="M121" s="4371"/>
      <c r="N121" s="4371"/>
      <c r="O121" s="39">
        <f>ROW()</f>
        <v>121</v>
      </c>
    </row>
    <row r="122" spans="2:68" ht="13.2" customHeight="1">
      <c r="B122" s="281" t="s">
        <v>664</v>
      </c>
      <c r="G122" s="1122">
        <f>P122+Y122+AH122+AQ122+AZ122+BI122</f>
        <v>59816.389783210681</v>
      </c>
      <c r="H122" s="1122">
        <f t="shared" ref="H122:M122" si="6">Q122+Z122+AI122+AR122+BA122+BJ122</f>
        <v>24061.208416006182</v>
      </c>
      <c r="I122" s="1122">
        <f>R122+AA122+AJ122+AS122+BB122+BK122</f>
        <v>138773.65063043591</v>
      </c>
      <c r="J122" s="1122">
        <f t="shared" si="6"/>
        <v>41059.235442521305</v>
      </c>
      <c r="K122" s="1122">
        <f t="shared" si="6"/>
        <v>132453.98342495839</v>
      </c>
      <c r="L122" s="1122">
        <f t="shared" si="6"/>
        <v>215013.46225259535</v>
      </c>
      <c r="M122" s="1122">
        <f t="shared" si="6"/>
        <v>74755.871219862805</v>
      </c>
      <c r="N122" s="617">
        <f>SUM(G122:M122)</f>
        <v>685933.80116959068</v>
      </c>
      <c r="O122" s="39">
        <f>ROW()</f>
        <v>122</v>
      </c>
      <c r="P122" s="10">
        <f>$I$76*('Weekday Hours'!T54+SUM('Weekday Hours'!T31:T35))</f>
        <v>9068.1174994694829</v>
      </c>
      <c r="Q122" s="10">
        <f>$I$76*'Weekday Hours'!T36</f>
        <v>13701.42345159903</v>
      </c>
      <c r="R122" s="10">
        <f>$I$76*SUM('Weekday Hours'!T37:T39)</f>
        <v>84305.82877863734</v>
      </c>
      <c r="S122" s="10">
        <f>$I$76*'Weekday Hours'!T40</f>
        <v>20257.946865114682</v>
      </c>
      <c r="T122" s="10">
        <f>$I$76*SUM('Weekday Hours'!T41:T44)</f>
        <v>55279.929341131465</v>
      </c>
      <c r="U122" s="10">
        <f>$I$76*SUM('Weekday Hours'!T45:T50)</f>
        <v>61152.001026197337</v>
      </c>
      <c r="V122" s="10">
        <f>$I$76*SUM('Weekday Hours'!T51:T53)</f>
        <v>17004.844119951587</v>
      </c>
      <c r="W122" s="10">
        <f>SUM(P122:V122)</f>
        <v>260770.09108210093</v>
      </c>
      <c r="Y122" s="10">
        <f>$J$76*('Weekday Hours'!U54+SUM('Weekday Hours'!U31:U35))</f>
        <v>18566.423617388937</v>
      </c>
      <c r="Z122" s="10">
        <f>$J$76*'Weekday Hours'!U36</f>
        <v>1864.4728120161126</v>
      </c>
      <c r="AA122" s="10">
        <f>$J$76*SUM('Weekday Hours'!U37:U39)</f>
        <v>15779.78576675158</v>
      </c>
      <c r="AB122" s="10">
        <f>$J$76*'Weekday Hours'!U40</f>
        <v>9359.5731989194483</v>
      </c>
      <c r="AC122" s="10">
        <f>$J$76*SUM('Weekday Hours'!U41:U44)</f>
        <v>35355.069843840189</v>
      </c>
      <c r="AD122" s="10">
        <f>$J$76*SUM('Weekday Hours'!U45:U50)</f>
        <v>78029.14507383731</v>
      </c>
      <c r="AE122" s="10">
        <f>$J$76*SUM('Weekday Hours'!U51:U53)</f>
        <v>24455.438605145464</v>
      </c>
      <c r="AF122" s="10">
        <f>SUM(Y122:AE122)</f>
        <v>183409.90891789904</v>
      </c>
      <c r="AH122" s="10">
        <f>$K$76*('Weekday Hours'!V54+SUM('Weekday Hours'!V31:V35))</f>
        <v>22194.818457807927</v>
      </c>
      <c r="AI122" s="10">
        <f>$K$76*'Weekday Hours'!V36</f>
        <v>4471.3522387946341</v>
      </c>
      <c r="AJ122" s="10">
        <f>$K$76*SUM('Weekday Hours'!V37:V39)</f>
        <v>15475.807670001774</v>
      </c>
      <c r="AK122" s="10">
        <f>$K$76*'Weekday Hours'!V40</f>
        <v>4576.8615967768628</v>
      </c>
      <c r="AL122" s="10">
        <f>$K$76*SUM('Weekday Hours'!V41:V44)</f>
        <v>19680.187644978312</v>
      </c>
      <c r="AM122" s="10">
        <f>$K$76*SUM('Weekday Hours'!V45:V50)</f>
        <v>39912.953228717008</v>
      </c>
      <c r="AN122" s="10">
        <f>$K$76*SUM('Weekday Hours'!V51:V53)</f>
        <v>20810.241385145731</v>
      </c>
      <c r="AO122" s="10">
        <f>SUM(AH122:AN122)</f>
        <v>127122.22222222225</v>
      </c>
      <c r="AQ122" s="10">
        <f>$L$76*('Weekday Hours'!D54+SUM('Weekday Hours'!D31:D35))</f>
        <v>5662.9854488302353</v>
      </c>
      <c r="AR122" s="10">
        <f>$L$76*'Weekday Hours'!D36</f>
        <v>2281.7219895737198</v>
      </c>
      <c r="AS122" s="10">
        <f>$L$76*SUM('Weekday Hours'!D37:D39)</f>
        <v>13162.122172902134</v>
      </c>
      <c r="AT122" s="10">
        <f>$L$76*'Weekday Hours'!D40</f>
        <v>3892.6053353591542</v>
      </c>
      <c r="AU122" s="10">
        <f>$L$76*SUM('Weekday Hours'!D41:D44)</f>
        <v>12553.4498598877</v>
      </c>
      <c r="AV122" s="10">
        <f>$L$76*SUM('Weekday Hours'!D45:D50)</f>
        <v>20367.499178579874</v>
      </c>
      <c r="AW122" s="10">
        <f>$L$76*SUM('Weekday Hours'!D51:D53)</f>
        <v>7079.6160148671806</v>
      </c>
      <c r="AX122" s="10">
        <f>SUM(AQ122:AW122)</f>
        <v>65000</v>
      </c>
      <c r="AZ122" s="10">
        <f>$M$76*('Weekday Hours'!D54+SUM('Weekday Hours'!D31:D35))</f>
        <v>3328.0929868509998</v>
      </c>
      <c r="BA122" s="10">
        <f>$M$76*'Weekday Hours'!D36</f>
        <v>1340.950461564863</v>
      </c>
      <c r="BB122" s="10">
        <f>$M$76*SUM('Weekday Hours'!D37:D39)</f>
        <v>7735.2779539209469</v>
      </c>
      <c r="BC122" s="10">
        <f>$M$76*'Weekday Hours'!D40</f>
        <v>2287.6542124726107</v>
      </c>
      <c r="BD122" s="10">
        <f>$M$76*SUM('Weekday Hours'!D41:D44)</f>
        <v>7377.5659176570798</v>
      </c>
      <c r="BE122" s="10">
        <f>$M$76*SUM('Weekday Hours'!D45:D50)</f>
        <v>11969.822594180787</v>
      </c>
      <c r="BF122" s="10">
        <f>$M$76*SUM('Weekday Hours'!D51:D53)</f>
        <v>4160.6358733527122</v>
      </c>
      <c r="BG122" s="10">
        <f>SUM(AZ122:BF122)</f>
        <v>38200</v>
      </c>
      <c r="BI122" s="10">
        <f>$N$76*('Weekday Hours'!D54+SUM('Weekday Hours'!D31:D35))</f>
        <v>995.95177286309888</v>
      </c>
      <c r="BJ122" s="10">
        <f>$N$76*'Weekday Hours'!D36</f>
        <v>401.28746245782344</v>
      </c>
      <c r="BK122" s="10">
        <f>$N$76*SUM('Weekday Hours'!D37:D39)</f>
        <v>2314.8282882221406</v>
      </c>
      <c r="BL122" s="10">
        <f>$N$76*'Weekday Hours'!D40</f>
        <v>684.59423387854929</v>
      </c>
      <c r="BM122" s="10">
        <f>$N$76*SUM('Weekday Hours'!D41:D44)</f>
        <v>2207.7808174636507</v>
      </c>
      <c r="BN122" s="10">
        <f>$N$76*SUM('Weekday Hours'!D45:D50)</f>
        <v>3582.0411510830354</v>
      </c>
      <c r="BO122" s="10">
        <f>$N$76*SUM('Weekday Hours'!D51:D53)</f>
        <v>1245.0952214001229</v>
      </c>
      <c r="BP122" s="10">
        <f>SUM(BI122:BO122)</f>
        <v>11431.57894736842</v>
      </c>
    </row>
    <row r="123" spans="2:68" ht="13.2" customHeight="1">
      <c r="B123" s="309" t="s">
        <v>1557</v>
      </c>
      <c r="O123" s="39">
        <f>ROW()</f>
        <v>123</v>
      </c>
      <c r="P123" s="282" t="s">
        <v>100</v>
      </c>
      <c r="Y123" s="282" t="s">
        <v>101</v>
      </c>
      <c r="AH123" s="282" t="s">
        <v>1601</v>
      </c>
      <c r="AQ123" s="282" t="str">
        <f>CONCATENATE("Row ",O122, " period entries by medallion cabs are product of hourly entries in Row ",O125, " and number of hours in period in Row ",O118, ".")</f>
        <v>Row 122 period entries by medallion cabs are product of hourly entries in Row 125 and number of hours in period in Row 118.</v>
      </c>
      <c r="AR123" s="282"/>
      <c r="AS123" s="282"/>
      <c r="AT123" s="282"/>
      <c r="AU123" s="282"/>
      <c r="AV123" s="282"/>
      <c r="AW123" s="282"/>
      <c r="AX123" s="282"/>
      <c r="AZ123" s="282" t="s">
        <v>1762</v>
      </c>
      <c r="BI123" s="282" t="s">
        <v>1763</v>
      </c>
    </row>
    <row r="124" spans="2:68" ht="13.2" customHeight="1">
      <c r="B124" s="281" t="s">
        <v>977</v>
      </c>
      <c r="G124" s="576">
        <f t="shared" ref="G124:M124" si="7">G122/$N$122</f>
        <v>8.720431866926126E-2</v>
      </c>
      <c r="H124" s="39">
        <f t="shared" si="7"/>
        <v>3.5078032858242653E-2</v>
      </c>
      <c r="I124" s="39">
        <f t="shared" si="7"/>
        <v>0.20231347455660001</v>
      </c>
      <c r="J124" s="39">
        <f t="shared" si="7"/>
        <v>5.9858889257988025E-2</v>
      </c>
      <c r="K124" s="39">
        <f t="shared" si="7"/>
        <v>0.19310024261686792</v>
      </c>
      <c r="L124" s="39">
        <f t="shared" si="7"/>
        <v>0.31346095189648671</v>
      </c>
      <c r="M124" s="39">
        <f t="shared" si="7"/>
        <v>0.10898409014455335</v>
      </c>
      <c r="N124" s="39">
        <f>SUM(G124:M124)</f>
        <v>0.99999999999999989</v>
      </c>
      <c r="O124" s="39">
        <f>ROW()</f>
        <v>124</v>
      </c>
      <c r="P124" s="39">
        <f t="shared" ref="P124:V124" si="8">P122/$W122</f>
        <v>3.4774377160509844E-2</v>
      </c>
      <c r="Q124" s="39">
        <f t="shared" si="8"/>
        <v>5.2542158476622497E-2</v>
      </c>
      <c r="R124" s="39">
        <f t="shared" si="8"/>
        <v>0.32329562193577815</v>
      </c>
      <c r="S124" s="39">
        <f t="shared" si="8"/>
        <v>7.7685085667039411E-2</v>
      </c>
      <c r="T124" s="39">
        <f t="shared" si="8"/>
        <v>0.21198723025228808</v>
      </c>
      <c r="U124" s="39">
        <f t="shared" si="8"/>
        <v>0.23450542496050369</v>
      </c>
      <c r="V124" s="39">
        <f t="shared" si="8"/>
        <v>6.5210101547258259E-2</v>
      </c>
      <c r="W124" s="39">
        <f>SUM(P124:V124)</f>
        <v>0.99999999999999989</v>
      </c>
      <c r="Y124" s="39">
        <f>Y122/$AF122</f>
        <v>0.10122911966386693</v>
      </c>
      <c r="Z124" s="39">
        <f t="shared" ref="Z124:AE124" si="9">Z122/$AF122</f>
        <v>1.0165605680828938E-2</v>
      </c>
      <c r="AA124" s="39">
        <f t="shared" si="9"/>
        <v>8.6035622937990705E-2</v>
      </c>
      <c r="AB124" s="39">
        <f t="shared" si="9"/>
        <v>5.1030902605753617E-2</v>
      </c>
      <c r="AC124" s="39">
        <f t="shared" si="9"/>
        <v>0.19276532032773872</v>
      </c>
      <c r="AD124" s="39">
        <f t="shared" si="9"/>
        <v>0.42543582042105477</v>
      </c>
      <c r="AE124" s="39">
        <f t="shared" si="9"/>
        <v>0.13333760836276631</v>
      </c>
      <c r="AF124" s="39">
        <f>SUM(Y124:AE124)</f>
        <v>1</v>
      </c>
      <c r="AH124" s="39">
        <f t="shared" ref="AH124:AN124" si="10">AH122/$AO122</f>
        <v>0.1745943240278571</v>
      </c>
      <c r="AI124" s="39">
        <f t="shared" si="10"/>
        <v>3.5173647538809284E-2</v>
      </c>
      <c r="AJ124" s="39">
        <f t="shared" si="10"/>
        <v>0.1217395935932313</v>
      </c>
      <c r="AK124" s="39">
        <f t="shared" si="10"/>
        <v>3.6003631125768515E-2</v>
      </c>
      <c r="AL124" s="39">
        <f t="shared" si="10"/>
        <v>0.15481311843790296</v>
      </c>
      <c r="AM124" s="39">
        <f t="shared" si="10"/>
        <v>0.31397306097233896</v>
      </c>
      <c r="AN124" s="39">
        <f t="shared" si="10"/>
        <v>0.16370262430409191</v>
      </c>
      <c r="AO124" s="39">
        <f>SUM(AH124:AN124)</f>
        <v>1.0000000000000002</v>
      </c>
      <c r="AQ124" s="282"/>
      <c r="AR124" s="282"/>
      <c r="AS124" s="282"/>
      <c r="AT124" s="282"/>
      <c r="AU124" s="282"/>
      <c r="AV124" s="282"/>
      <c r="AW124" s="282"/>
      <c r="AX124" s="282"/>
      <c r="AZ124" s="39">
        <f>AZ122/$BG122</f>
        <v>8.7122853058926697E-2</v>
      </c>
      <c r="BA124" s="39">
        <f t="shared" ref="BA124:BF124" si="11">BA122/$BG122</f>
        <v>3.5103415224211072E-2</v>
      </c>
      <c r="BB124" s="39">
        <f t="shared" si="11"/>
        <v>0.20249418727541746</v>
      </c>
      <c r="BC124" s="39">
        <f t="shared" si="11"/>
        <v>5.9886235928602372E-2</v>
      </c>
      <c r="BD124" s="39">
        <f t="shared" si="11"/>
        <v>0.19312999784442617</v>
      </c>
      <c r="BE124" s="39">
        <f t="shared" si="11"/>
        <v>0.31334614120892113</v>
      </c>
      <c r="BF124" s="39">
        <f t="shared" si="11"/>
        <v>0.10891716945949509</v>
      </c>
      <c r="BG124" s="39">
        <f>SUM(AZ124:BF124)</f>
        <v>1</v>
      </c>
      <c r="BI124" s="39">
        <f>BI122/$BP122</f>
        <v>8.7122853058926711E-2</v>
      </c>
      <c r="BJ124" s="39">
        <f t="shared" ref="BJ124:BO124" si="12">BJ122/$BP122</f>
        <v>3.5103415224211079E-2</v>
      </c>
      <c r="BK124" s="39">
        <f t="shared" si="12"/>
        <v>0.20249418727541749</v>
      </c>
      <c r="BL124" s="39">
        <f t="shared" si="12"/>
        <v>5.9886235928602385E-2</v>
      </c>
      <c r="BM124" s="39">
        <f t="shared" si="12"/>
        <v>0.19312999784442619</v>
      </c>
      <c r="BN124" s="39">
        <f t="shared" si="12"/>
        <v>0.31334614120892118</v>
      </c>
      <c r="BO124" s="39">
        <f t="shared" si="12"/>
        <v>0.1089171694594951</v>
      </c>
      <c r="BP124" s="39">
        <f>SUM(BI124:BO124)</f>
        <v>1</v>
      </c>
    </row>
    <row r="125" spans="2:68" ht="13.2" customHeight="1">
      <c r="B125" s="281" t="s">
        <v>978</v>
      </c>
      <c r="G125" s="1122">
        <f t="shared" ref="G125:M125" si="13">P125+Y125+AH125+AQ125+AZ125+BI125</f>
        <v>9969.3982972017802</v>
      </c>
      <c r="H125" s="1122">
        <f t="shared" si="13"/>
        <v>24061.208416006182</v>
      </c>
      <c r="I125" s="1122">
        <f t="shared" si="13"/>
        <v>46257.883543478631</v>
      </c>
      <c r="J125" s="1122">
        <f t="shared" si="13"/>
        <v>41059.235442521305</v>
      </c>
      <c r="K125" s="1122">
        <f t="shared" si="13"/>
        <v>33113.495856239599</v>
      </c>
      <c r="L125" s="1122">
        <f t="shared" si="13"/>
        <v>35835.577042099219</v>
      </c>
      <c r="M125" s="1122">
        <f t="shared" si="13"/>
        <v>24918.623739954266</v>
      </c>
      <c r="N125" s="138"/>
      <c r="O125" s="39">
        <f>ROW()</f>
        <v>125</v>
      </c>
      <c r="P125" s="10">
        <f t="shared" ref="P125:V125" si="14">P122/P118</f>
        <v>1511.3529165782472</v>
      </c>
      <c r="Q125" s="10">
        <f t="shared" si="14"/>
        <v>13701.42345159903</v>
      </c>
      <c r="R125" s="10">
        <f t="shared" si="14"/>
        <v>28101.942926212447</v>
      </c>
      <c r="S125" s="10">
        <f t="shared" si="14"/>
        <v>20257.946865114682</v>
      </c>
      <c r="T125" s="10">
        <f t="shared" si="14"/>
        <v>13819.982335282866</v>
      </c>
      <c r="U125" s="10">
        <f t="shared" si="14"/>
        <v>10192.000171032889</v>
      </c>
      <c r="V125" s="10">
        <f t="shared" si="14"/>
        <v>5668.2813733171961</v>
      </c>
      <c r="Y125" s="10">
        <f t="shared" ref="Y125:AE125" si="15">Y122/Y118</f>
        <v>3094.4039362314893</v>
      </c>
      <c r="Z125" s="10">
        <f t="shared" si="15"/>
        <v>1864.4728120161126</v>
      </c>
      <c r="AA125" s="10">
        <f t="shared" si="15"/>
        <v>5259.9285889171933</v>
      </c>
      <c r="AB125" s="10">
        <f t="shared" si="15"/>
        <v>9359.5731989194483</v>
      </c>
      <c r="AC125" s="10">
        <f t="shared" si="15"/>
        <v>8838.7674609600472</v>
      </c>
      <c r="AD125" s="10">
        <f t="shared" si="15"/>
        <v>13004.857512306218</v>
      </c>
      <c r="AE125" s="10">
        <f t="shared" si="15"/>
        <v>8151.8128683818213</v>
      </c>
      <c r="AH125" s="10">
        <f t="shared" ref="AH125:AN125" si="16">AH122/AH118</f>
        <v>3699.1364096346547</v>
      </c>
      <c r="AI125" s="10">
        <f t="shared" si="16"/>
        <v>4471.3522387946341</v>
      </c>
      <c r="AJ125" s="10">
        <f t="shared" si="16"/>
        <v>5158.6025566672579</v>
      </c>
      <c r="AK125" s="10">
        <f t="shared" si="16"/>
        <v>4576.8615967768628</v>
      </c>
      <c r="AL125" s="10">
        <f t="shared" si="16"/>
        <v>4920.046911244578</v>
      </c>
      <c r="AM125" s="10">
        <f t="shared" si="16"/>
        <v>6652.1588714528343</v>
      </c>
      <c r="AN125" s="10">
        <f t="shared" si="16"/>
        <v>6936.7471283819104</v>
      </c>
      <c r="AQ125" s="10">
        <f t="shared" ref="AQ125:AW125" si="17">AQ122/AQ118</f>
        <v>943.83090813837259</v>
      </c>
      <c r="AR125" s="10">
        <f t="shared" si="17"/>
        <v>2281.7219895737198</v>
      </c>
      <c r="AS125" s="10">
        <f t="shared" si="17"/>
        <v>4387.3740576340451</v>
      </c>
      <c r="AT125" s="10">
        <f t="shared" si="17"/>
        <v>3892.6053353591542</v>
      </c>
      <c r="AU125" s="10">
        <f t="shared" si="17"/>
        <v>3138.362464971925</v>
      </c>
      <c r="AV125" s="10">
        <f t="shared" si="17"/>
        <v>3394.5831964299791</v>
      </c>
      <c r="AW125" s="10">
        <f t="shared" si="17"/>
        <v>2359.8720049557269</v>
      </c>
      <c r="AZ125" s="10">
        <f t="shared" ref="AZ125:BF125" si="18">AZ122/AZ118</f>
        <v>554.68216447516659</v>
      </c>
      <c r="BA125" s="10">
        <f t="shared" si="18"/>
        <v>1340.950461564863</v>
      </c>
      <c r="BB125" s="10">
        <f t="shared" si="18"/>
        <v>2578.4259846403156</v>
      </c>
      <c r="BC125" s="10">
        <f t="shared" si="18"/>
        <v>2287.6542124726107</v>
      </c>
      <c r="BD125" s="10">
        <f t="shared" si="18"/>
        <v>1844.39147941427</v>
      </c>
      <c r="BE125" s="10">
        <f t="shared" si="18"/>
        <v>1994.9704323634644</v>
      </c>
      <c r="BF125" s="10">
        <f t="shared" si="18"/>
        <v>1386.878624450904</v>
      </c>
      <c r="BI125" s="10">
        <f t="shared" ref="BI125:BO125" si="19">BI122/BI118</f>
        <v>165.9919621438498</v>
      </c>
      <c r="BJ125" s="10">
        <f t="shared" si="19"/>
        <v>401.28746245782344</v>
      </c>
      <c r="BK125" s="10">
        <f t="shared" si="19"/>
        <v>771.60942940738016</v>
      </c>
      <c r="BL125" s="10">
        <f t="shared" si="19"/>
        <v>684.59423387854929</v>
      </c>
      <c r="BM125" s="10">
        <f t="shared" si="19"/>
        <v>551.94520436591267</v>
      </c>
      <c r="BN125" s="10">
        <f t="shared" si="19"/>
        <v>597.00685851383923</v>
      </c>
      <c r="BO125" s="10">
        <f t="shared" si="19"/>
        <v>415.03174046670762</v>
      </c>
    </row>
    <row r="126" spans="2:68" ht="13.2" customHeight="1">
      <c r="B126" s="309" t="str">
        <f>CONCATENATE("Row ",O122, " figures divided by Row ",O118, " figures.")</f>
        <v>Row 122 figures divided by Row 118 figures.</v>
      </c>
      <c r="N126" s="138"/>
      <c r="O126" s="39">
        <f>ROW()</f>
        <v>126</v>
      </c>
      <c r="P126" s="10"/>
      <c r="Q126" s="10"/>
      <c r="R126" s="10"/>
      <c r="S126" s="10"/>
      <c r="T126" s="10"/>
      <c r="U126" s="10"/>
      <c r="V126" s="10"/>
      <c r="Y126" s="10"/>
      <c r="Z126" s="10"/>
      <c r="AA126" s="10"/>
      <c r="AB126" s="10"/>
      <c r="AC126" s="10"/>
      <c r="AD126" s="10"/>
      <c r="AE126" s="10"/>
      <c r="AH126" s="10"/>
      <c r="AI126" s="10"/>
      <c r="AJ126" s="10"/>
      <c r="AK126" s="10"/>
      <c r="AL126" s="10"/>
      <c r="AM126" s="10"/>
      <c r="AN126" s="10"/>
      <c r="AZ126" s="10"/>
      <c r="BA126" s="10"/>
      <c r="BB126" s="10"/>
      <c r="BC126" s="10"/>
      <c r="BD126" s="10"/>
      <c r="BE126" s="10"/>
      <c r="BF126" s="10"/>
      <c r="BI126" s="10"/>
      <c r="BJ126" s="10"/>
      <c r="BK126" s="10"/>
      <c r="BL126" s="10"/>
      <c r="BM126" s="10"/>
      <c r="BN126" s="10"/>
      <c r="BO126" s="10"/>
    </row>
    <row r="127" spans="2:68" ht="13.2" customHeight="1">
      <c r="B127" s="281" t="s">
        <v>28</v>
      </c>
      <c r="G127" s="576">
        <f t="shared" ref="G127:M127" si="20">G125/MAX($G125:$M125)</f>
        <v>0.21551782168830444</v>
      </c>
      <c r="H127" s="576">
        <f t="shared" si="20"/>
        <v>0.520153681337163</v>
      </c>
      <c r="I127" s="576">
        <f t="shared" si="20"/>
        <v>1</v>
      </c>
      <c r="J127" s="576">
        <f t="shared" si="20"/>
        <v>0.88761595423899975</v>
      </c>
      <c r="K127" s="576">
        <f t="shared" si="20"/>
        <v>0.71584545853931292</v>
      </c>
      <c r="L127" s="576">
        <f t="shared" si="20"/>
        <v>0.77469123740641321</v>
      </c>
      <c r="M127" s="576">
        <f t="shared" si="20"/>
        <v>0.53868923156704296</v>
      </c>
      <c r="O127" s="39">
        <f>ROW()</f>
        <v>127</v>
      </c>
      <c r="P127" s="10"/>
      <c r="Q127" s="10"/>
      <c r="R127" s="10"/>
      <c r="S127" s="10"/>
      <c r="T127" s="10"/>
      <c r="U127" s="10"/>
      <c r="V127" s="10"/>
      <c r="Y127" s="10"/>
      <c r="Z127" s="10"/>
      <c r="AA127" s="10"/>
      <c r="AB127" s="10"/>
      <c r="AC127" s="10"/>
      <c r="AD127" s="10"/>
      <c r="AE127" s="10"/>
      <c r="AH127" s="10"/>
      <c r="AI127" s="10"/>
      <c r="AJ127" s="10"/>
      <c r="AK127" s="10"/>
      <c r="AL127" s="10"/>
      <c r="AM127" s="10"/>
      <c r="AN127" s="10"/>
      <c r="AZ127" s="10"/>
      <c r="BA127" s="10"/>
      <c r="BB127" s="10"/>
      <c r="BC127" s="10"/>
      <c r="BD127" s="10"/>
      <c r="BE127" s="10"/>
      <c r="BF127" s="10"/>
      <c r="BI127" s="10"/>
      <c r="BJ127" s="10"/>
      <c r="BK127" s="10"/>
      <c r="BL127" s="10"/>
      <c r="BM127" s="10"/>
      <c r="BN127" s="10"/>
      <c r="BO127" s="10"/>
    </row>
    <row r="128" spans="2:68" ht="13.2" customHeight="1">
      <c r="B128" s="309" t="s">
        <v>2345</v>
      </c>
      <c r="G128" s="576"/>
      <c r="H128" s="39"/>
      <c r="I128" s="39"/>
      <c r="J128" s="39"/>
      <c r="K128" s="39"/>
      <c r="L128" s="39"/>
      <c r="M128" s="39"/>
      <c r="O128" s="39">
        <f>ROW()</f>
        <v>128</v>
      </c>
      <c r="P128" s="10"/>
      <c r="Q128" s="10"/>
      <c r="R128" s="10"/>
      <c r="S128" s="10"/>
      <c r="T128" s="10"/>
      <c r="U128" s="10"/>
      <c r="V128" s="10"/>
      <c r="Y128" s="10"/>
      <c r="Z128" s="10"/>
      <c r="AA128" s="10"/>
      <c r="AB128" s="10"/>
      <c r="AC128" s="10"/>
      <c r="AD128" s="10"/>
      <c r="AE128" s="10"/>
      <c r="AH128" s="10"/>
      <c r="AI128" s="10"/>
      <c r="AJ128" s="10"/>
      <c r="AK128" s="10"/>
      <c r="AL128" s="10"/>
      <c r="AM128" s="10"/>
      <c r="AN128" s="10"/>
      <c r="AZ128" s="10"/>
      <c r="BA128" s="10"/>
      <c r="BB128" s="10"/>
      <c r="BC128" s="10"/>
      <c r="BD128" s="10"/>
      <c r="BE128" s="10"/>
      <c r="BF128" s="10"/>
      <c r="BI128" s="10"/>
      <c r="BJ128" s="10"/>
      <c r="BK128" s="10"/>
      <c r="BL128" s="10"/>
      <c r="BM128" s="10"/>
      <c r="BN128" s="10"/>
      <c r="BO128" s="10"/>
    </row>
    <row r="129" spans="2:68" ht="13.2" customHeight="1">
      <c r="B129" s="281" t="s">
        <v>979</v>
      </c>
      <c r="G129" s="1122">
        <f t="shared" ref="G129:M129" si="21">P129+Y129+AH129+AQ129+AZ129+BI129</f>
        <v>93357.039332505374</v>
      </c>
      <c r="H129" s="1122">
        <f t="shared" si="21"/>
        <v>36000.404200348014</v>
      </c>
      <c r="I129" s="1122">
        <f t="shared" si="21"/>
        <v>204028.04523775037</v>
      </c>
      <c r="J129" s="1122">
        <f t="shared" si="21"/>
        <v>60362.240410778883</v>
      </c>
      <c r="K129" s="1122">
        <f t="shared" si="21"/>
        <v>196437.20832085377</v>
      </c>
      <c r="L129" s="1122">
        <f t="shared" si="21"/>
        <v>321645.70623285871</v>
      </c>
      <c r="M129" s="1122">
        <f t="shared" si="21"/>
        <v>114253.06971519721</v>
      </c>
      <c r="N129" s="1122">
        <f>SUM(G129:M129)</f>
        <v>1026083.7134502924</v>
      </c>
      <c r="O129" s="39">
        <f>ROW()</f>
        <v>129</v>
      </c>
      <c r="P129" s="10">
        <f t="shared" ref="P129:V129" si="22">P122*$I$85</f>
        <v>11335.146874336853</v>
      </c>
      <c r="Q129" s="10">
        <f t="shared" si="22"/>
        <v>17126.779314498788</v>
      </c>
      <c r="R129" s="10">
        <f t="shared" si="22"/>
        <v>105382.28597329668</v>
      </c>
      <c r="S129" s="10">
        <f t="shared" si="22"/>
        <v>25322.43358139335</v>
      </c>
      <c r="T129" s="10">
        <f t="shared" si="22"/>
        <v>69099.911676414325</v>
      </c>
      <c r="U129" s="10">
        <f t="shared" si="22"/>
        <v>76440.001282746671</v>
      </c>
      <c r="V129" s="10">
        <f t="shared" si="22"/>
        <v>21256.055149939486</v>
      </c>
      <c r="W129" s="10">
        <f>SUM(P129:V129)</f>
        <v>325962.61385262618</v>
      </c>
      <c r="Y129" s="10">
        <f t="shared" ref="Y129:AE129" si="23">Y122*$J$85</f>
        <v>23208.029521736171</v>
      </c>
      <c r="Z129" s="10">
        <f t="shared" si="23"/>
        <v>2330.5910150201407</v>
      </c>
      <c r="AA129" s="10">
        <f t="shared" si="23"/>
        <v>19724.732208439476</v>
      </c>
      <c r="AB129" s="10">
        <f t="shared" si="23"/>
        <v>11699.46649864931</v>
      </c>
      <c r="AC129" s="10">
        <f t="shared" si="23"/>
        <v>44193.83730480024</v>
      </c>
      <c r="AD129" s="10">
        <f t="shared" si="23"/>
        <v>97536.431342296637</v>
      </c>
      <c r="AE129" s="10">
        <f t="shared" si="23"/>
        <v>30569.29825643183</v>
      </c>
      <c r="AF129" s="10">
        <f>SUM(Y129:AE129)</f>
        <v>229262.38614737382</v>
      </c>
      <c r="AH129" s="10">
        <f t="shared" ref="AH129:AN129" si="24">AH122*$K$85</f>
        <v>35511.709532492685</v>
      </c>
      <c r="AI129" s="10">
        <f t="shared" si="24"/>
        <v>7154.1635820714146</v>
      </c>
      <c r="AJ129" s="10">
        <f t="shared" si="24"/>
        <v>24761.29227200284</v>
      </c>
      <c r="AK129" s="10">
        <f t="shared" si="24"/>
        <v>7322.9785548429809</v>
      </c>
      <c r="AL129" s="10">
        <f t="shared" si="24"/>
        <v>31488.300231965302</v>
      </c>
      <c r="AM129" s="10">
        <f t="shared" si="24"/>
        <v>63860.725165947217</v>
      </c>
      <c r="AN129" s="10">
        <f t="shared" si="24"/>
        <v>33296.386216233172</v>
      </c>
      <c r="AO129" s="10">
        <f>SUM(AH129:AN129)</f>
        <v>203395.55555555559</v>
      </c>
      <c r="AQ129" s="10">
        <f t="shared" ref="AQ129:AW129" si="25">AQ122*$L$85</f>
        <v>11325.970897660471</v>
      </c>
      <c r="AR129" s="10">
        <f t="shared" si="25"/>
        <v>4563.4439791474397</v>
      </c>
      <c r="AS129" s="10">
        <f t="shared" si="25"/>
        <v>26324.244345804269</v>
      </c>
      <c r="AT129" s="10">
        <f t="shared" si="25"/>
        <v>7785.2106707183084</v>
      </c>
      <c r="AU129" s="10">
        <f t="shared" si="25"/>
        <v>25106.8997197754</v>
      </c>
      <c r="AV129" s="10">
        <f t="shared" si="25"/>
        <v>40734.998357159748</v>
      </c>
      <c r="AW129" s="10">
        <f t="shared" si="25"/>
        <v>14159.232029734361</v>
      </c>
      <c r="AX129" s="10">
        <f>SUM(AQ129:AW129)</f>
        <v>130000</v>
      </c>
      <c r="AZ129" s="10">
        <f t="shared" ref="AZ129:BF129" si="26">AZ122*$M$85</f>
        <v>9984.2789605529997</v>
      </c>
      <c r="BA129" s="10">
        <f t="shared" si="26"/>
        <v>4022.8513846945889</v>
      </c>
      <c r="BB129" s="10">
        <f t="shared" si="26"/>
        <v>23205.83386176284</v>
      </c>
      <c r="BC129" s="10">
        <f t="shared" si="26"/>
        <v>6862.9626374178315</v>
      </c>
      <c r="BD129" s="10">
        <f t="shared" si="26"/>
        <v>22132.697752971239</v>
      </c>
      <c r="BE129" s="10">
        <f t="shared" si="26"/>
        <v>35909.467782542357</v>
      </c>
      <c r="BF129" s="10">
        <f t="shared" si="26"/>
        <v>12481.907620058137</v>
      </c>
      <c r="BG129" s="10">
        <f>SUM(AZ129:BF129)</f>
        <v>114599.99999999999</v>
      </c>
      <c r="BI129" s="10">
        <f t="shared" ref="BI129:BO129" si="27">BI122*$N$85</f>
        <v>1991.9035457261978</v>
      </c>
      <c r="BJ129" s="10">
        <f t="shared" si="27"/>
        <v>802.57492491564687</v>
      </c>
      <c r="BK129" s="10">
        <f t="shared" si="27"/>
        <v>4629.6565764442812</v>
      </c>
      <c r="BL129" s="10">
        <f t="shared" si="27"/>
        <v>1369.1884677570986</v>
      </c>
      <c r="BM129" s="10">
        <f t="shared" si="27"/>
        <v>4415.5616349273014</v>
      </c>
      <c r="BN129" s="10">
        <f t="shared" si="27"/>
        <v>7164.0823021660708</v>
      </c>
      <c r="BO129" s="10">
        <f t="shared" si="27"/>
        <v>2490.1904428002458</v>
      </c>
      <c r="BP129" s="10">
        <f>SUM(BI129:BO129)</f>
        <v>22863.15789473684</v>
      </c>
    </row>
    <row r="130" spans="2:68" ht="13.2" customHeight="1">
      <c r="B130" s="309" t="str">
        <f>CONCATENATE("Daily cordon entries in Row ",O122," times Cordon VMT per entry in Row ",O85,".")</f>
        <v>Daily cordon entries in Row 122 times Cordon VMT per entry in Row 85.</v>
      </c>
      <c r="N130" s="138"/>
      <c r="O130" s="39">
        <f>ROW()</f>
        <v>130</v>
      </c>
      <c r="P130" s="10"/>
      <c r="Q130" s="10"/>
      <c r="R130" s="10"/>
      <c r="S130" s="10"/>
      <c r="T130" s="10"/>
      <c r="U130" s="10"/>
      <c r="V130" s="10"/>
      <c r="W130" s="10"/>
      <c r="Y130" s="10"/>
      <c r="Z130" s="10"/>
      <c r="AA130" s="10"/>
      <c r="AB130" s="10"/>
      <c r="AC130" s="10"/>
      <c r="AD130" s="10"/>
      <c r="AE130" s="10"/>
      <c r="AF130" s="10"/>
      <c r="AH130" s="10"/>
      <c r="AI130" s="10"/>
      <c r="AJ130" s="10"/>
      <c r="AK130" s="10"/>
      <c r="AL130" s="10"/>
      <c r="AM130" s="10"/>
      <c r="AN130" s="10"/>
      <c r="AO130" s="10"/>
      <c r="AQ130" s="265"/>
      <c r="AR130" s="10"/>
      <c r="AS130" s="10"/>
      <c r="AT130" s="10"/>
      <c r="AU130" s="10"/>
      <c r="AV130" s="10"/>
      <c r="AW130" s="10"/>
      <c r="AX130" s="10"/>
      <c r="AZ130" s="10"/>
      <c r="BA130" s="10"/>
      <c r="BB130" s="10"/>
      <c r="BC130" s="10"/>
      <c r="BD130" s="10"/>
      <c r="BE130" s="10"/>
      <c r="BF130" s="10"/>
      <c r="BG130" s="10"/>
      <c r="BI130" s="10"/>
      <c r="BJ130" s="10"/>
      <c r="BK130" s="10"/>
      <c r="BL130" s="10"/>
      <c r="BM130" s="10"/>
      <c r="BN130" s="10"/>
      <c r="BO130" s="10"/>
      <c r="BP130" s="10"/>
    </row>
    <row r="131" spans="2:68" ht="13.2" customHeight="1">
      <c r="B131" s="281"/>
      <c r="N131" s="138"/>
      <c r="O131" s="39">
        <f>ROW()</f>
        <v>131</v>
      </c>
      <c r="P131" s="10"/>
      <c r="Q131" s="10"/>
      <c r="R131" s="10"/>
      <c r="S131" s="10"/>
      <c r="T131" s="10"/>
      <c r="U131" s="10"/>
      <c r="V131" s="10"/>
      <c r="W131" s="10"/>
      <c r="Y131" s="10"/>
      <c r="Z131" s="10"/>
      <c r="AA131" s="10"/>
      <c r="AB131" s="10"/>
      <c r="AC131" s="10"/>
      <c r="AD131" s="10"/>
      <c r="AE131" s="10"/>
      <c r="AF131" s="10"/>
      <c r="AH131" s="10"/>
      <c r="AI131" s="10"/>
      <c r="AJ131" s="10"/>
      <c r="AK131" s="10"/>
      <c r="AL131" s="10"/>
      <c r="AM131" s="10"/>
      <c r="AN131" s="10"/>
      <c r="AO131" s="10"/>
      <c r="AQ131" s="282"/>
      <c r="AR131" s="10"/>
      <c r="AS131" s="10"/>
      <c r="AT131" s="10"/>
      <c r="AU131" s="10"/>
      <c r="AV131" s="10"/>
      <c r="AW131" s="10"/>
      <c r="AX131" s="10"/>
      <c r="AZ131" s="10"/>
      <c r="BA131" s="10"/>
      <c r="BB131" s="10"/>
      <c r="BC131" s="10"/>
      <c r="BD131" s="10"/>
      <c r="BE131" s="10"/>
      <c r="BF131" s="10"/>
      <c r="BG131" s="10"/>
      <c r="BI131" s="10"/>
      <c r="BJ131" s="10"/>
      <c r="BK131" s="10"/>
      <c r="BL131" s="10"/>
      <c r="BM131" s="10"/>
      <c r="BN131" s="10"/>
      <c r="BO131" s="10"/>
      <c r="BP131" s="10"/>
    </row>
    <row r="132" spans="2:68" ht="13.2" customHeight="1">
      <c r="B132" s="172" t="s">
        <v>1269</v>
      </c>
      <c r="N132" s="138"/>
      <c r="O132" s="39">
        <f>ROW()</f>
        <v>132</v>
      </c>
      <c r="P132" s="10"/>
      <c r="Q132" s="10"/>
      <c r="R132" s="10"/>
      <c r="S132" s="10"/>
      <c r="T132" s="10"/>
      <c r="U132" s="10"/>
      <c r="V132" s="10"/>
      <c r="W132" s="10"/>
      <c r="Y132" s="10"/>
      <c r="Z132" s="10"/>
      <c r="AA132" s="10"/>
      <c r="AB132" s="10"/>
      <c r="AC132" s="10"/>
      <c r="AD132" s="10"/>
      <c r="AE132" s="10"/>
      <c r="AF132" s="10"/>
      <c r="AH132" s="10"/>
      <c r="AI132" s="10"/>
      <c r="AJ132" s="10"/>
      <c r="AK132" s="10"/>
      <c r="AL132" s="10"/>
      <c r="AM132" s="10"/>
      <c r="AN132" s="10"/>
      <c r="AO132" s="10"/>
      <c r="AQ132" s="10"/>
      <c r="AR132" s="10"/>
      <c r="AS132" s="10"/>
      <c r="AT132" s="10"/>
      <c r="AU132" s="10"/>
      <c r="AV132" s="10"/>
      <c r="AW132" s="10"/>
      <c r="AX132" s="10"/>
      <c r="AZ132" s="10"/>
      <c r="BA132" s="10"/>
      <c r="BB132" s="10"/>
      <c r="BC132" s="10"/>
      <c r="BD132" s="10"/>
      <c r="BE132" s="10"/>
      <c r="BF132" s="10"/>
      <c r="BG132" s="10"/>
      <c r="BI132" s="10"/>
      <c r="BJ132" s="10"/>
      <c r="BK132" s="10"/>
      <c r="BL132" s="10"/>
      <c r="BM132" s="10"/>
      <c r="BN132" s="10"/>
      <c r="BO132" s="10"/>
      <c r="BP132" s="10"/>
    </row>
    <row r="133" spans="2:68" ht="13.2" customHeight="1">
      <c r="B133" s="281" t="s">
        <v>2515</v>
      </c>
      <c r="G133" s="1122">
        <f t="shared" ref="G133:M133" si="28">P133+Y133+AH133+AQ133+AZ133+BI133</f>
        <v>82460.027021359856</v>
      </c>
      <c r="H133" s="1122">
        <f t="shared" si="28"/>
        <v>16193.501241091566</v>
      </c>
      <c r="I133" s="1122">
        <f t="shared" si="28"/>
        <v>93335.790186645507</v>
      </c>
      <c r="J133" s="1122">
        <f t="shared" si="28"/>
        <v>29467.907539596752</v>
      </c>
      <c r="K133" s="1122">
        <f t="shared" si="28"/>
        <v>118567.38148782861</v>
      </c>
      <c r="L133" s="1122">
        <f t="shared" si="28"/>
        <v>248917.59892696427</v>
      </c>
      <c r="M133" s="1122">
        <f t="shared" si="28"/>
        <v>96991.594766104055</v>
      </c>
      <c r="N133" s="186">
        <f>SUM(G133:M133)</f>
        <v>685933.80116959056</v>
      </c>
      <c r="O133" s="39">
        <f>ROW()</f>
        <v>133</v>
      </c>
      <c r="P133" s="10">
        <f>$I$76*('Weekday Hours'!L54+SUM('Weekday Hours'!L31:L35))</f>
        <v>32252.023465275648</v>
      </c>
      <c r="Q133" s="10">
        <f>$I$76*'Weekday Hours'!L36</f>
        <v>5842.452022581333</v>
      </c>
      <c r="R133" s="10">
        <f>$I$76*SUM('Weekday Hours'!L37:L39)</f>
        <v>33670.086361782465</v>
      </c>
      <c r="S133" s="10">
        <f>$I$76*'Weekday Hours'!L40</f>
        <v>10740.716438192047</v>
      </c>
      <c r="T133" s="10">
        <f>$I$76*SUM('Weekday Hours'!L41:L44)</f>
        <v>44522.077159460743</v>
      </c>
      <c r="U133" s="10">
        <f>$I$76*SUM('Weekday Hours'!L45:L50)</f>
        <v>95982.905449741578</v>
      </c>
      <c r="V133" s="10">
        <f>$I$76*SUM('Weekday Hours'!L51:L53)</f>
        <v>37759.830185067105</v>
      </c>
      <c r="W133" s="10">
        <f>SUM(P133:V133)</f>
        <v>260770.09108210093</v>
      </c>
      <c r="Y133" s="10">
        <f>$J$76*('Weekday Hours'!L54+SUM('Weekday Hours'!L31:L35))</f>
        <v>22684.122483669962</v>
      </c>
      <c r="Z133" s="10">
        <f>$J$76*'Weekday Hours'!L36</f>
        <v>4109.2273614364231</v>
      </c>
      <c r="AA133" s="10">
        <f>$J$76*SUM('Weekday Hours'!L37:L39)</f>
        <v>23681.502150981123</v>
      </c>
      <c r="AB133" s="10">
        <f>$J$76*'Weekday Hours'!L40</f>
        <v>7554.3702710199377</v>
      </c>
      <c r="AC133" s="10">
        <f>$J$76*SUM('Weekday Hours'!L41:L44)</f>
        <v>31314.136075833365</v>
      </c>
      <c r="AD133" s="10">
        <f>$J$76*SUM('Weekday Hours'!L45:L50)</f>
        <v>67508.569994209582</v>
      </c>
      <c r="AE133" s="10">
        <f>$J$76*SUM('Weekday Hours'!L51:L53)</f>
        <v>26557.980580748648</v>
      </c>
      <c r="AF133" s="10">
        <f>SUM(Y133:AE133)</f>
        <v>183409.90891789904</v>
      </c>
      <c r="AH133" s="10">
        <f>$K$76*('Weekday Hours'!L54+SUM('Weekday Hours'!L31:L35))</f>
        <v>15722.466012324507</v>
      </c>
      <c r="AI133" s="10">
        <f>$K$76*'Weekday Hours'!L36</f>
        <v>2848.123729432692</v>
      </c>
      <c r="AJ133" s="10">
        <f>$K$76*SUM('Weekday Hours'!L37:L39)</f>
        <v>16413.75428816467</v>
      </c>
      <c r="AK133" s="10">
        <f>$K$76*'Weekday Hours'!L40</f>
        <v>5235.9675767105027</v>
      </c>
      <c r="AL133" s="10">
        <f>$K$76*SUM('Weekday Hours'!L41:L44)</f>
        <v>21703.966750841755</v>
      </c>
      <c r="AM133" s="10">
        <f>$K$76*SUM('Weekday Hours'!L45:L50)</f>
        <v>46790.48960517122</v>
      </c>
      <c r="AN133" s="10">
        <f>$K$76*SUM('Weekday Hours'!L51:L53)</f>
        <v>18407.454259576905</v>
      </c>
      <c r="AO133" s="10">
        <f>SUM(AH133:AN133)</f>
        <v>127122.22222222223</v>
      </c>
      <c r="AQ133" s="10">
        <f t="shared" ref="AQ133:AW133" si="29">AQ122</f>
        <v>5662.9854488302353</v>
      </c>
      <c r="AR133" s="10">
        <f t="shared" si="29"/>
        <v>2281.7219895737198</v>
      </c>
      <c r="AS133" s="10">
        <f t="shared" si="29"/>
        <v>13162.122172902134</v>
      </c>
      <c r="AT133" s="10">
        <f t="shared" si="29"/>
        <v>3892.6053353591542</v>
      </c>
      <c r="AU133" s="10">
        <f t="shared" si="29"/>
        <v>12553.4498598877</v>
      </c>
      <c r="AV133" s="10">
        <f t="shared" si="29"/>
        <v>20367.499178579874</v>
      </c>
      <c r="AW133" s="10">
        <f t="shared" si="29"/>
        <v>7079.6160148671806</v>
      </c>
      <c r="AX133" s="10">
        <f>SUM(AQ133:AW133)</f>
        <v>65000</v>
      </c>
      <c r="AZ133" s="10">
        <f>$M$76*('Weekday Hours'!L54+SUM('Weekday Hours'!L31:L35))</f>
        <v>4724.5728651666495</v>
      </c>
      <c r="BA133" s="10">
        <f>$M$76*'Weekday Hours'!L36</f>
        <v>855.85607742239256</v>
      </c>
      <c r="BB133" s="10">
        <f>$M$76*SUM('Weekday Hours'!L37:L39)</f>
        <v>4932.3037534053074</v>
      </c>
      <c r="BC133" s="10">
        <f>$M$76*'Weekday Hours'!L40</f>
        <v>1573.3988749873877</v>
      </c>
      <c r="BD133" s="10">
        <f>$M$76*SUM('Weekday Hours'!L41:L44)</f>
        <v>6522.0031194295907</v>
      </c>
      <c r="BE133" s="10">
        <f>$M$76*SUM('Weekday Hours'!L45:L50)</f>
        <v>14060.458287088422</v>
      </c>
      <c r="BF133" s="10">
        <f>$M$76*SUM('Weekday Hours'!L51:L53)</f>
        <v>5531.4070225002524</v>
      </c>
      <c r="BG133" s="10">
        <f>SUM(AZ133:BF133)</f>
        <v>38200</v>
      </c>
      <c r="BI133" s="10">
        <f>$N$76*('Weekday Hours'!L54+SUM('Weekday Hours'!L31:L35))</f>
        <v>1413.856746092858</v>
      </c>
      <c r="BJ133" s="10">
        <f>$N$76*'Weekday Hours'!L36</f>
        <v>256.12006064500366</v>
      </c>
      <c r="BK133" s="10">
        <f>$N$76*SUM('Weekday Hours'!L37:L39)</f>
        <v>1476.0214594097999</v>
      </c>
      <c r="BL133" s="10">
        <f>$N$76*'Weekday Hours'!L40</f>
        <v>470.84904332772203</v>
      </c>
      <c r="BM133" s="10">
        <f>$N$76*SUM('Weekday Hours'!L41:L44)</f>
        <v>1951.7485223754577</v>
      </c>
      <c r="BN133" s="10">
        <f>$N$76*SUM('Weekday Hours'!L45:L50)</f>
        <v>4207.6764121736087</v>
      </c>
      <c r="BO133" s="10">
        <f>$N$76*SUM('Weekday Hours'!L51:L53)</f>
        <v>1655.306703343972</v>
      </c>
      <c r="BP133" s="10">
        <f>SUM(BI133:BO133)</f>
        <v>11431.578947368424</v>
      </c>
    </row>
    <row r="134" spans="2:68" ht="13.2" customHeight="1">
      <c r="B134" s="309" t="s">
        <v>1557</v>
      </c>
      <c r="N134" s="138"/>
      <c r="O134" s="39">
        <f>ROW()</f>
        <v>134</v>
      </c>
      <c r="P134" s="282" t="s">
        <v>1062</v>
      </c>
      <c r="Q134" s="10"/>
      <c r="R134" s="10"/>
      <c r="S134" s="10"/>
      <c r="T134" s="10"/>
      <c r="U134" s="10"/>
      <c r="V134" s="10"/>
      <c r="W134" s="10"/>
      <c r="Y134" s="282" t="s">
        <v>779</v>
      </c>
      <c r="Z134" s="10"/>
      <c r="AA134" s="10"/>
      <c r="AB134" s="10"/>
      <c r="AC134" s="10"/>
      <c r="AD134" s="10"/>
      <c r="AE134" s="10"/>
      <c r="AF134" s="10"/>
      <c r="AH134" s="282"/>
      <c r="AI134" s="10"/>
      <c r="AJ134" s="10"/>
      <c r="AK134" s="10"/>
      <c r="AL134" s="10"/>
      <c r="AM134" s="10"/>
      <c r="AN134" s="10"/>
      <c r="AO134" s="10"/>
      <c r="AQ134" s="282" t="s">
        <v>2299</v>
      </c>
      <c r="AR134" s="10"/>
      <c r="AS134" s="10"/>
      <c r="AT134" s="10"/>
      <c r="AU134" s="10"/>
      <c r="AV134" s="10"/>
      <c r="AW134" s="10"/>
      <c r="AX134" s="10"/>
      <c r="AZ134" s="282" t="s">
        <v>763</v>
      </c>
      <c r="BA134" s="10"/>
      <c r="BB134" s="10"/>
      <c r="BC134" s="10"/>
      <c r="BD134" s="10"/>
      <c r="BE134" s="10"/>
      <c r="BF134" s="10"/>
      <c r="BG134" s="10"/>
      <c r="BI134" s="282" t="s">
        <v>763</v>
      </c>
      <c r="BJ134" s="10"/>
      <c r="BK134" s="10"/>
      <c r="BL134" s="10"/>
      <c r="BM134" s="10"/>
      <c r="BN134" s="10"/>
      <c r="BO134" s="10"/>
      <c r="BP134" s="10"/>
    </row>
    <row r="135" spans="2:68" ht="13.2" customHeight="1">
      <c r="B135" s="281" t="s">
        <v>980</v>
      </c>
      <c r="G135" s="39">
        <f t="shared" ref="G135:M135" si="30">G133/$N$133</f>
        <v>0.12021572180982579</v>
      </c>
      <c r="H135" s="39">
        <f t="shared" si="30"/>
        <v>2.360796510316289E-2</v>
      </c>
      <c r="I135" s="39">
        <f t="shared" si="30"/>
        <v>0.13607113401832363</v>
      </c>
      <c r="J135" s="39">
        <f t="shared" si="30"/>
        <v>4.2960279095957676E-2</v>
      </c>
      <c r="K135" s="39">
        <f t="shared" si="30"/>
        <v>0.17285542903070023</v>
      </c>
      <c r="L135" s="39">
        <f t="shared" si="30"/>
        <v>0.36288866141679144</v>
      </c>
      <c r="M135" s="39">
        <f t="shared" si="30"/>
        <v>0.14140080952523845</v>
      </c>
      <c r="N135" s="39">
        <f>SUM(G135:M135)</f>
        <v>1</v>
      </c>
      <c r="O135" s="39">
        <f>ROW()</f>
        <v>135</v>
      </c>
      <c r="P135" s="39">
        <f t="shared" ref="P135:V135" si="31">P133/$W133</f>
        <v>0.12367991793629972</v>
      </c>
      <c r="Q135" s="39">
        <f t="shared" si="31"/>
        <v>2.2404609356607135E-2</v>
      </c>
      <c r="R135" s="39">
        <f t="shared" si="31"/>
        <v>0.12911789930380385</v>
      </c>
      <c r="S135" s="39">
        <f t="shared" si="31"/>
        <v>4.118845222480072E-2</v>
      </c>
      <c r="T135" s="39">
        <f t="shared" si="31"/>
        <v>0.17073306595365417</v>
      </c>
      <c r="U135" s="39">
        <f t="shared" si="31"/>
        <v>0.36807482426933036</v>
      </c>
      <c r="V135" s="39">
        <f t="shared" si="31"/>
        <v>0.14480123095550398</v>
      </c>
      <c r="W135" s="39">
        <f>SUM(P135:V135)</f>
        <v>1</v>
      </c>
      <c r="Y135" s="39">
        <f>Y133/$AF133</f>
        <v>0.12367991793629973</v>
      </c>
      <c r="Z135" s="39">
        <f t="shared" ref="Z135:AE135" si="32">Z133/$AF133</f>
        <v>2.2404609356607135E-2</v>
      </c>
      <c r="AA135" s="39">
        <f t="shared" si="32"/>
        <v>0.12911789930380385</v>
      </c>
      <c r="AB135" s="39">
        <f t="shared" si="32"/>
        <v>4.1188452224800727E-2</v>
      </c>
      <c r="AC135" s="39">
        <f t="shared" si="32"/>
        <v>0.1707330659536542</v>
      </c>
      <c r="AD135" s="39">
        <f t="shared" si="32"/>
        <v>0.36807482426933041</v>
      </c>
      <c r="AE135" s="39">
        <f t="shared" si="32"/>
        <v>0.14480123095550398</v>
      </c>
      <c r="AF135" s="39">
        <f>SUM(Y135:AE135)</f>
        <v>1</v>
      </c>
      <c r="AH135" s="39">
        <f t="shared" ref="AH135:AN135" si="33">AH133/$AO133</f>
        <v>0.12367991793629975</v>
      </c>
      <c r="AI135" s="39">
        <f t="shared" si="33"/>
        <v>2.2404609356607139E-2</v>
      </c>
      <c r="AJ135" s="39">
        <f t="shared" si="33"/>
        <v>0.12911789930380388</v>
      </c>
      <c r="AK135" s="39">
        <f t="shared" si="33"/>
        <v>4.1188452224800734E-2</v>
      </c>
      <c r="AL135" s="39">
        <f t="shared" si="33"/>
        <v>0.1707330659536542</v>
      </c>
      <c r="AM135" s="39">
        <f t="shared" si="33"/>
        <v>0.36807482426933041</v>
      </c>
      <c r="AN135" s="39">
        <f t="shared" si="33"/>
        <v>0.14480123095550401</v>
      </c>
      <c r="AO135" s="39">
        <f>SUM(AH135:AN135)</f>
        <v>1.0000000000000002</v>
      </c>
      <c r="AQ135" s="10"/>
      <c r="AR135" s="10"/>
      <c r="AS135" s="10"/>
      <c r="AT135" s="10"/>
      <c r="AU135" s="10"/>
      <c r="AV135" s="10"/>
      <c r="AW135" s="10"/>
      <c r="AX135" s="10"/>
      <c r="AZ135" s="39">
        <f>AZ133/$BG133</f>
        <v>0.12367991793629973</v>
      </c>
      <c r="BA135" s="39">
        <f t="shared" ref="BA135:BF135" si="34">BA133/$BG133</f>
        <v>2.2404609356607135E-2</v>
      </c>
      <c r="BB135" s="39">
        <f t="shared" si="34"/>
        <v>0.12911789930380385</v>
      </c>
      <c r="BC135" s="39">
        <f t="shared" si="34"/>
        <v>4.1188452224800727E-2</v>
      </c>
      <c r="BD135" s="39">
        <f t="shared" si="34"/>
        <v>0.1707330659536542</v>
      </c>
      <c r="BE135" s="39">
        <f t="shared" si="34"/>
        <v>0.36807482426933041</v>
      </c>
      <c r="BF135" s="39">
        <f t="shared" si="34"/>
        <v>0.14480123095550398</v>
      </c>
      <c r="BG135" s="39">
        <f>SUM(AZ135:BF135)</f>
        <v>1</v>
      </c>
      <c r="BI135" s="39">
        <f>BI133/$BP133</f>
        <v>0.1236799179362997</v>
      </c>
      <c r="BJ135" s="39">
        <f t="shared" ref="BJ135:BO135" si="35">BJ133/$BP133</f>
        <v>2.2404609356607128E-2</v>
      </c>
      <c r="BK135" s="39">
        <f t="shared" si="35"/>
        <v>0.12911789930380382</v>
      </c>
      <c r="BL135" s="39">
        <f t="shared" si="35"/>
        <v>4.118845222480072E-2</v>
      </c>
      <c r="BM135" s="39">
        <f t="shared" si="35"/>
        <v>0.17073306595365417</v>
      </c>
      <c r="BN135" s="39">
        <f t="shared" si="35"/>
        <v>0.3680748242693303</v>
      </c>
      <c r="BO135" s="39">
        <f t="shared" si="35"/>
        <v>0.14480123095550396</v>
      </c>
      <c r="BP135" s="39">
        <f>SUM(BI135:BO135)</f>
        <v>0.99999999999999978</v>
      </c>
    </row>
    <row r="136" spans="2:68" ht="13.2" customHeight="1">
      <c r="B136" s="281" t="s">
        <v>1560</v>
      </c>
      <c r="G136" s="1122">
        <f t="shared" ref="G136:M136" si="36">P136+Y136+AH136+AQ136+AZ136+BI136</f>
        <v>13743.337836893312</v>
      </c>
      <c r="H136" s="1122">
        <f t="shared" si="36"/>
        <v>16193.501241091566</v>
      </c>
      <c r="I136" s="1122">
        <f t="shared" si="36"/>
        <v>31111.930062215171</v>
      </c>
      <c r="J136" s="1122">
        <f t="shared" si="36"/>
        <v>29467.907539596752</v>
      </c>
      <c r="K136" s="1122">
        <f t="shared" si="36"/>
        <v>29641.845371957152</v>
      </c>
      <c r="L136" s="1122">
        <f t="shared" si="36"/>
        <v>41486.266487827379</v>
      </c>
      <c r="M136" s="1122">
        <f t="shared" si="36"/>
        <v>32330.531588701357</v>
      </c>
      <c r="N136" s="138"/>
      <c r="O136" s="39">
        <f>ROW()</f>
        <v>136</v>
      </c>
      <c r="P136" s="10">
        <f t="shared" ref="P136:V136" si="37">P133/G$118</f>
        <v>5375.3372442126083</v>
      </c>
      <c r="Q136" s="10">
        <f t="shared" si="37"/>
        <v>5842.452022581333</v>
      </c>
      <c r="R136" s="10">
        <f t="shared" si="37"/>
        <v>11223.362120594154</v>
      </c>
      <c r="S136" s="10">
        <f t="shared" si="37"/>
        <v>10740.716438192047</v>
      </c>
      <c r="T136" s="10">
        <f t="shared" si="37"/>
        <v>11130.519289865186</v>
      </c>
      <c r="U136" s="10">
        <f t="shared" si="37"/>
        <v>15997.150908290263</v>
      </c>
      <c r="V136" s="10">
        <f t="shared" si="37"/>
        <v>12586.610061689034</v>
      </c>
      <c r="W136" s="10"/>
      <c r="Y136" s="10">
        <f t="shared" ref="Y136:AE136" si="38">Y133/P$118</f>
        <v>3780.6870806116603</v>
      </c>
      <c r="Z136" s="10">
        <f t="shared" si="38"/>
        <v>4109.2273614364231</v>
      </c>
      <c r="AA136" s="10">
        <f t="shared" si="38"/>
        <v>7893.834050327041</v>
      </c>
      <c r="AB136" s="10">
        <f t="shared" si="38"/>
        <v>7554.3702710199377</v>
      </c>
      <c r="AC136" s="10">
        <f t="shared" si="38"/>
        <v>7828.5340189583412</v>
      </c>
      <c r="AD136" s="10">
        <f t="shared" si="38"/>
        <v>11251.428332368263</v>
      </c>
      <c r="AE136" s="10">
        <f t="shared" si="38"/>
        <v>8852.6601935828821</v>
      </c>
      <c r="AF136" s="10"/>
      <c r="AH136" s="10">
        <f t="shared" ref="AH136:AN136" si="39">AH133/Y$118</f>
        <v>2620.4110020540843</v>
      </c>
      <c r="AI136" s="10">
        <f t="shared" si="39"/>
        <v>2848.123729432692</v>
      </c>
      <c r="AJ136" s="10">
        <f t="shared" si="39"/>
        <v>5471.2514293882232</v>
      </c>
      <c r="AK136" s="10">
        <f t="shared" si="39"/>
        <v>5235.9675767105027</v>
      </c>
      <c r="AL136" s="10">
        <f t="shared" si="39"/>
        <v>5425.9916877104388</v>
      </c>
      <c r="AM136" s="10">
        <f t="shared" si="39"/>
        <v>7798.4149341952034</v>
      </c>
      <c r="AN136" s="10">
        <f t="shared" si="39"/>
        <v>6135.8180865256354</v>
      </c>
      <c r="AO136" s="10"/>
      <c r="AQ136" s="10">
        <f t="shared" ref="AQ136:AW136" si="40">AQ133/Y$118</f>
        <v>943.83090813837259</v>
      </c>
      <c r="AR136" s="10">
        <f t="shared" si="40"/>
        <v>2281.7219895737198</v>
      </c>
      <c r="AS136" s="10">
        <f t="shared" si="40"/>
        <v>4387.3740576340451</v>
      </c>
      <c r="AT136" s="10">
        <f t="shared" si="40"/>
        <v>3892.6053353591542</v>
      </c>
      <c r="AU136" s="10">
        <f t="shared" si="40"/>
        <v>3138.362464971925</v>
      </c>
      <c r="AV136" s="10">
        <f t="shared" si="40"/>
        <v>3394.5831964299791</v>
      </c>
      <c r="AW136" s="10">
        <f t="shared" si="40"/>
        <v>2359.8720049557269</v>
      </c>
      <c r="AX136" s="10"/>
      <c r="AZ136" s="10">
        <f t="shared" ref="AZ136:BF136" si="41">AZ133/AQ$118</f>
        <v>787.42881086110822</v>
      </c>
      <c r="BA136" s="10">
        <f t="shared" si="41"/>
        <v>855.85607742239256</v>
      </c>
      <c r="BB136" s="10">
        <f t="shared" si="41"/>
        <v>1644.1012511351025</v>
      </c>
      <c r="BC136" s="10">
        <f t="shared" si="41"/>
        <v>1573.3988749873877</v>
      </c>
      <c r="BD136" s="10">
        <f t="shared" si="41"/>
        <v>1630.5007798573977</v>
      </c>
      <c r="BE136" s="10">
        <f t="shared" si="41"/>
        <v>2343.4097145147371</v>
      </c>
      <c r="BF136" s="10">
        <f t="shared" si="41"/>
        <v>1843.8023408334175</v>
      </c>
      <c r="BG136" s="10"/>
      <c r="BI136" s="10">
        <f t="shared" ref="BI136:BO136" si="42">BI133/AZ$118</f>
        <v>235.64279101547632</v>
      </c>
      <c r="BJ136" s="10">
        <f t="shared" si="42"/>
        <v>256.12006064500366</v>
      </c>
      <c r="BK136" s="10">
        <f t="shared" si="42"/>
        <v>492.00715313659998</v>
      </c>
      <c r="BL136" s="10">
        <f t="shared" si="42"/>
        <v>470.84904332772203</v>
      </c>
      <c r="BM136" s="10">
        <f t="shared" si="42"/>
        <v>487.93713059386442</v>
      </c>
      <c r="BN136" s="10">
        <f t="shared" si="42"/>
        <v>701.27940202893478</v>
      </c>
      <c r="BO136" s="10">
        <f t="shared" si="42"/>
        <v>551.7689011146573</v>
      </c>
      <c r="BP136" s="10"/>
    </row>
    <row r="137" spans="2:68" ht="13.2" customHeight="1">
      <c r="B137" s="281" t="s">
        <v>190</v>
      </c>
      <c r="G137" s="1122">
        <f t="shared" ref="G137:M137" si="43">P137+Y137+AH137+AQ137+AZ137+BI137</f>
        <v>119322.03831683226</v>
      </c>
      <c r="H137" s="1122">
        <f t="shared" si="43"/>
        <v>23498.988535032269</v>
      </c>
      <c r="I137" s="1122">
        <f t="shared" si="43"/>
        <v>135443.62994040671</v>
      </c>
      <c r="J137" s="1122">
        <f t="shared" si="43"/>
        <v>42747.209223908125</v>
      </c>
      <c r="K137" s="1122">
        <f t="shared" si="43"/>
        <v>171821.2945383357</v>
      </c>
      <c r="L137" s="1122">
        <f t="shared" si="43"/>
        <v>360377.10412669519</v>
      </c>
      <c r="M137" s="1122">
        <f t="shared" si="43"/>
        <v>140373.44876908223</v>
      </c>
      <c r="N137" s="138">
        <f>SUM(G137:M137)</f>
        <v>993583.71345029247</v>
      </c>
      <c r="O137" s="39">
        <f>ROW()</f>
        <v>137</v>
      </c>
      <c r="P137" s="10">
        <f t="shared" ref="P137:V137" si="44">P133*$I$85</f>
        <v>40315.02933159456</v>
      </c>
      <c r="Q137" s="10">
        <f t="shared" si="44"/>
        <v>7303.0650282266661</v>
      </c>
      <c r="R137" s="10">
        <f t="shared" si="44"/>
        <v>42087.607952228078</v>
      </c>
      <c r="S137" s="10">
        <f t="shared" si="44"/>
        <v>13425.895547740058</v>
      </c>
      <c r="T137" s="10">
        <f t="shared" si="44"/>
        <v>55652.596449325931</v>
      </c>
      <c r="U137" s="10">
        <f t="shared" si="44"/>
        <v>119978.63181217697</v>
      </c>
      <c r="V137" s="10">
        <f t="shared" si="44"/>
        <v>47199.787731333883</v>
      </c>
      <c r="W137" s="10">
        <f>SUM(P137:V137)</f>
        <v>325962.61385262612</v>
      </c>
      <c r="Y137" s="10">
        <f t="shared" ref="Y137:AE137" si="45">Y133*$J$85</f>
        <v>28355.153104587451</v>
      </c>
      <c r="Z137" s="10">
        <f t="shared" si="45"/>
        <v>5136.534201795529</v>
      </c>
      <c r="AA137" s="10">
        <f t="shared" si="45"/>
        <v>29601.877688726403</v>
      </c>
      <c r="AB137" s="10">
        <f t="shared" si="45"/>
        <v>9442.9628387749217</v>
      </c>
      <c r="AC137" s="10">
        <f t="shared" si="45"/>
        <v>39142.670094791705</v>
      </c>
      <c r="AD137" s="10">
        <f t="shared" si="45"/>
        <v>84385.712492761973</v>
      </c>
      <c r="AE137" s="10">
        <f t="shared" si="45"/>
        <v>33197.475725935808</v>
      </c>
      <c r="AF137" s="10">
        <f>SUM(Y137:AE137)</f>
        <v>229262.38614737379</v>
      </c>
      <c r="AH137" s="10">
        <f t="shared" ref="AH137:AN137" si="46">AH133*$K$85</f>
        <v>25155.945619719212</v>
      </c>
      <c r="AI137" s="10">
        <f t="shared" si="46"/>
        <v>4556.9979670923076</v>
      </c>
      <c r="AJ137" s="10">
        <f t="shared" si="46"/>
        <v>26262.006861063473</v>
      </c>
      <c r="AK137" s="10">
        <f t="shared" si="46"/>
        <v>8377.5481227368055</v>
      </c>
      <c r="AL137" s="10">
        <f t="shared" si="46"/>
        <v>34726.346801346808</v>
      </c>
      <c r="AM137" s="10">
        <f t="shared" si="46"/>
        <v>74864.783368273958</v>
      </c>
      <c r="AN137" s="10">
        <f t="shared" si="46"/>
        <v>29451.926815323051</v>
      </c>
      <c r="AO137" s="10">
        <f>SUM(AH137:AN137)</f>
        <v>203395.55555555562</v>
      </c>
      <c r="AQ137" s="10">
        <f>AQ133*$L$85*Taxis!$L$130</f>
        <v>8494.4781732453521</v>
      </c>
      <c r="AR137" s="10">
        <f>AR133*$L$85*Taxis!$L$130</f>
        <v>3422.5829843605798</v>
      </c>
      <c r="AS137" s="10">
        <f>AS133*$L$85*Taxis!$L$130</f>
        <v>19743.183259353202</v>
      </c>
      <c r="AT137" s="10">
        <f>AT133*$L$85*Taxis!$L$130</f>
        <v>5838.9080030387313</v>
      </c>
      <c r="AU137" s="10">
        <f>AU133*$L$85*Taxis!$L$130</f>
        <v>18830.174789831552</v>
      </c>
      <c r="AV137" s="10">
        <f>AV133*$L$85*Taxis!$L$130</f>
        <v>30551.248767869809</v>
      </c>
      <c r="AW137" s="10">
        <f>AW133*$L$85*Taxis!$L$130</f>
        <v>10619.424022300771</v>
      </c>
      <c r="AX137" s="10">
        <f>SUM(AQ137:AW137)</f>
        <v>97499.999999999985</v>
      </c>
      <c r="AZ137" s="10">
        <f t="shared" ref="AZ137:BF137" si="47">AZ133*$M$85</f>
        <v>14173.718595499948</v>
      </c>
      <c r="BA137" s="10">
        <f t="shared" si="47"/>
        <v>2567.5682322671778</v>
      </c>
      <c r="BB137" s="10">
        <f t="shared" si="47"/>
        <v>14796.911260215922</v>
      </c>
      <c r="BC137" s="10">
        <f t="shared" si="47"/>
        <v>4720.1966249621628</v>
      </c>
      <c r="BD137" s="10">
        <f t="shared" si="47"/>
        <v>19566.009358288771</v>
      </c>
      <c r="BE137" s="10">
        <f t="shared" si="47"/>
        <v>42181.374861265271</v>
      </c>
      <c r="BF137" s="10">
        <f t="shared" si="47"/>
        <v>16594.221067500759</v>
      </c>
      <c r="BG137" s="10">
        <f>SUM(AZ137:BF137)</f>
        <v>114600.00000000003</v>
      </c>
      <c r="BI137" s="10">
        <f t="shared" ref="BI137:BO137" si="48">BI133*$N$85</f>
        <v>2827.7134921857159</v>
      </c>
      <c r="BJ137" s="10">
        <f t="shared" si="48"/>
        <v>512.24012129000732</v>
      </c>
      <c r="BK137" s="10">
        <f t="shared" si="48"/>
        <v>2952.0429188195999</v>
      </c>
      <c r="BL137" s="10">
        <f t="shared" si="48"/>
        <v>941.69808665544406</v>
      </c>
      <c r="BM137" s="10">
        <f t="shared" si="48"/>
        <v>3903.4970447509154</v>
      </c>
      <c r="BN137" s="10">
        <f t="shared" si="48"/>
        <v>8415.3528243472174</v>
      </c>
      <c r="BO137" s="10">
        <f t="shared" si="48"/>
        <v>3310.613406687944</v>
      </c>
      <c r="BP137" s="10">
        <f>SUM(BI137:BO137)</f>
        <v>22863.157894736847</v>
      </c>
    </row>
    <row r="138" spans="2:68" ht="13.2" customHeight="1">
      <c r="B138" s="309" t="str">
        <f>CONCATENATE("Daily cordon return trips in Row ",O133," times Cordon VMT per entry [which is same as per return] in Row ",O85,".")</f>
        <v>Daily cordon return trips in Row 133 times Cordon VMT per entry [which is same as per return] in Row 85.</v>
      </c>
      <c r="O138" s="39">
        <f>ROW()</f>
        <v>138</v>
      </c>
      <c r="P138" s="10"/>
      <c r="Q138" s="10"/>
      <c r="R138" s="10"/>
      <c r="S138" s="10"/>
      <c r="T138" s="10"/>
      <c r="U138" s="10"/>
      <c r="V138" s="10"/>
      <c r="Y138" s="10"/>
      <c r="Z138" s="10"/>
      <c r="AA138" s="10"/>
      <c r="AB138" s="10"/>
      <c r="AC138" s="10"/>
      <c r="AD138" s="10"/>
      <c r="AE138" s="10"/>
      <c r="AH138" s="10"/>
      <c r="AI138" s="10"/>
      <c r="AJ138" s="10"/>
      <c r="AK138" s="10"/>
      <c r="AL138" s="10"/>
      <c r="AM138" s="10"/>
      <c r="AN138" s="10"/>
      <c r="AQ138"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138" s="44"/>
      <c r="AS138" s="44"/>
      <c r="AT138" s="44"/>
      <c r="AU138" s="44"/>
      <c r="AV138" s="44"/>
      <c r="AW138" s="44"/>
      <c r="AZ138" s="10"/>
      <c r="BA138" s="10"/>
      <c r="BB138" s="10"/>
      <c r="BC138" s="10"/>
      <c r="BD138" s="10"/>
      <c r="BE138" s="10"/>
      <c r="BF138" s="10"/>
      <c r="BI138" s="10"/>
      <c r="BJ138" s="10"/>
      <c r="BK138" s="10"/>
      <c r="BL138" s="10"/>
      <c r="BM138" s="10"/>
      <c r="BN138" s="10"/>
      <c r="BO138" s="10"/>
    </row>
    <row r="139" spans="2:68" ht="13.2" customHeight="1">
      <c r="B139" s="281"/>
      <c r="O139" s="39">
        <f>ROW()</f>
        <v>139</v>
      </c>
      <c r="P139" s="10"/>
      <c r="Q139" s="10"/>
      <c r="R139" s="10"/>
      <c r="S139" s="10"/>
      <c r="T139" s="10"/>
      <c r="U139" s="10"/>
      <c r="V139" s="10"/>
      <c r="Y139" s="10"/>
      <c r="Z139" s="10"/>
      <c r="AA139" s="10"/>
      <c r="AB139" s="10"/>
      <c r="AC139" s="10"/>
      <c r="AD139" s="10"/>
      <c r="AE139" s="10"/>
      <c r="AH139" s="10"/>
      <c r="AI139" s="10"/>
      <c r="AJ139" s="10"/>
      <c r="AK139" s="10"/>
      <c r="AL139" s="10"/>
      <c r="AM139" s="10"/>
      <c r="AN139" s="10"/>
      <c r="AQ139" s="282"/>
      <c r="AR139" s="44"/>
      <c r="AS139" s="44"/>
      <c r="AT139" s="44"/>
      <c r="AU139" s="44"/>
      <c r="AV139" s="44"/>
      <c r="AW139" s="44"/>
      <c r="AZ139" s="10"/>
      <c r="BA139" s="10"/>
      <c r="BB139" s="10"/>
      <c r="BC139" s="10"/>
      <c r="BD139" s="10"/>
      <c r="BE139" s="10"/>
      <c r="BF139" s="10"/>
      <c r="BI139" s="10"/>
      <c r="BJ139" s="10"/>
      <c r="BK139" s="10"/>
      <c r="BL139" s="10"/>
      <c r="BM139" s="10"/>
      <c r="BN139" s="10"/>
      <c r="BO139" s="10"/>
    </row>
    <row r="140" spans="2:68" ht="13.2" customHeight="1">
      <c r="B140" s="172" t="s">
        <v>95</v>
      </c>
      <c r="O140" s="39">
        <f>ROW()</f>
        <v>140</v>
      </c>
      <c r="P140" s="10"/>
      <c r="Q140" s="10"/>
      <c r="R140" s="10"/>
      <c r="S140" s="10"/>
      <c r="T140" s="10"/>
      <c r="U140" s="10"/>
      <c r="V140" s="10"/>
      <c r="Y140" s="10"/>
      <c r="Z140" s="10"/>
      <c r="AA140" s="10"/>
      <c r="AB140" s="10"/>
      <c r="AC140" s="10"/>
      <c r="AD140" s="10"/>
      <c r="AE140" s="10"/>
      <c r="AH140" s="10"/>
      <c r="AI140" s="10"/>
      <c r="AJ140" s="10"/>
      <c r="AK140" s="10"/>
      <c r="AL140" s="10"/>
      <c r="AM140" s="10"/>
      <c r="AN140" s="10"/>
      <c r="AQ140" s="44"/>
      <c r="AR140" s="44"/>
      <c r="AS140" s="44"/>
      <c r="AT140" s="44"/>
      <c r="AU140" s="44"/>
      <c r="AV140" s="44"/>
      <c r="AW140" s="44"/>
      <c r="AZ140" s="10"/>
      <c r="BA140" s="10"/>
      <c r="BB140" s="10"/>
      <c r="BC140" s="10"/>
      <c r="BD140" s="10"/>
      <c r="BE140" s="10"/>
      <c r="BF140" s="10"/>
      <c r="BI140" s="10"/>
      <c r="BJ140" s="10"/>
      <c r="BK140" s="10"/>
      <c r="BL140" s="10"/>
      <c r="BM140" s="10"/>
      <c r="BN140" s="10"/>
      <c r="BO140" s="10"/>
    </row>
    <row r="141" spans="2:68" ht="13.2" customHeight="1">
      <c r="B141" s="281" t="s">
        <v>1202</v>
      </c>
      <c r="G141" s="22">
        <f>AVERAGE('Weekday Hours'!D54+SUM('Weekday Hours'!D31:D35),('Weekday Hours'!L54+SUM('Weekday Hours'!L31:L35)))</f>
        <v>0.10540138549761321</v>
      </c>
      <c r="H141" s="22">
        <f>AVERAGE('Weekday Hours'!D36,'Weekday Hours'!L36)</f>
        <v>2.8754012290409102E-2</v>
      </c>
      <c r="I141" s="22">
        <f>AVERAGE(SUM('Weekday Hours'!D37:D39),SUM('Weekday Hours'!L37:L39))</f>
        <v>0.16580604328961066</v>
      </c>
      <c r="J141" s="22">
        <f>AVERAGE('Weekday Hours'!D40,'Weekday Hours'!L40)</f>
        <v>5.0537344076701546E-2</v>
      </c>
      <c r="K141" s="22">
        <f>AVERAGE(SUM('Weekday Hours'!D41:D44),SUM('Weekday Hours'!L41:L44))</f>
        <v>0.18193153189904018</v>
      </c>
      <c r="L141" s="22">
        <f>AVERAGE(SUM('Weekday Hours'!D45:D50),SUM('Weekday Hours'!L45:L50))</f>
        <v>0.34071048273912574</v>
      </c>
      <c r="M141" s="22">
        <f>AVERAGE(SUM('Weekday Hours'!D51:D53),SUM('Weekday Hours'!L51:L53))</f>
        <v>0.12685920020749952</v>
      </c>
      <c r="N141" s="39">
        <f>SUM(G141:M141)</f>
        <v>1</v>
      </c>
      <c r="O141" s="39">
        <f>ROW()</f>
        <v>141</v>
      </c>
      <c r="P141" s="12">
        <f t="shared" ref="P141:V141" si="49">G141</f>
        <v>0.10540138549761321</v>
      </c>
      <c r="Q141" s="12">
        <f t="shared" si="49"/>
        <v>2.8754012290409102E-2</v>
      </c>
      <c r="R141" s="12">
        <f t="shared" si="49"/>
        <v>0.16580604328961066</v>
      </c>
      <c r="S141" s="12">
        <f t="shared" si="49"/>
        <v>5.0537344076701546E-2</v>
      </c>
      <c r="T141" s="12">
        <f t="shared" si="49"/>
        <v>0.18193153189904018</v>
      </c>
      <c r="U141" s="12">
        <f t="shared" si="49"/>
        <v>0.34071048273912574</v>
      </c>
      <c r="V141" s="12">
        <f t="shared" si="49"/>
        <v>0.12685920020749952</v>
      </c>
      <c r="W141" s="12">
        <f>SUM(P141:V141)</f>
        <v>1</v>
      </c>
      <c r="Y141" s="22">
        <f t="shared" ref="Y141:AE141" si="50">G141</f>
        <v>0.10540138549761321</v>
      </c>
      <c r="Z141" s="22">
        <f t="shared" si="50"/>
        <v>2.8754012290409102E-2</v>
      </c>
      <c r="AA141" s="22">
        <f t="shared" si="50"/>
        <v>0.16580604328961066</v>
      </c>
      <c r="AB141" s="22">
        <f t="shared" si="50"/>
        <v>5.0537344076701546E-2</v>
      </c>
      <c r="AC141" s="22">
        <f t="shared" si="50"/>
        <v>0.18193153189904018</v>
      </c>
      <c r="AD141" s="22">
        <f t="shared" si="50"/>
        <v>0.34071048273912574</v>
      </c>
      <c r="AE141" s="22">
        <f t="shared" si="50"/>
        <v>0.12685920020749952</v>
      </c>
      <c r="AF141" s="12">
        <f>SUM(Y141:AE141)</f>
        <v>1</v>
      </c>
      <c r="AH141" s="22">
        <f t="shared" ref="AH141:AN141" si="51">P141</f>
        <v>0.10540138549761321</v>
      </c>
      <c r="AI141" s="22">
        <f t="shared" si="51"/>
        <v>2.8754012290409102E-2</v>
      </c>
      <c r="AJ141" s="22">
        <f t="shared" si="51"/>
        <v>0.16580604328961066</v>
      </c>
      <c r="AK141" s="22">
        <f t="shared" si="51"/>
        <v>5.0537344076701546E-2</v>
      </c>
      <c r="AL141" s="22">
        <f t="shared" si="51"/>
        <v>0.18193153189904018</v>
      </c>
      <c r="AM141" s="22">
        <f t="shared" si="51"/>
        <v>0.34071048273912574</v>
      </c>
      <c r="AN141" s="22">
        <f t="shared" si="51"/>
        <v>0.12685920020749952</v>
      </c>
      <c r="AO141" s="12">
        <f>SUM(AH141:AN141)</f>
        <v>1</v>
      </c>
      <c r="AQ141" s="22">
        <f>Taxis!F179</f>
        <v>0.17706524707400711</v>
      </c>
      <c r="AR141" s="22">
        <f>Taxis!G179</f>
        <v>1.9163809244673296E-2</v>
      </c>
      <c r="AS141" s="22">
        <f>Taxis!H179</f>
        <v>0.12853643148176547</v>
      </c>
      <c r="AT141" s="22">
        <f>Taxis!I179</f>
        <v>4.806967876441904E-2</v>
      </c>
      <c r="AU141" s="22">
        <f>Taxis!J179</f>
        <v>0.17585202592539378</v>
      </c>
      <c r="AV141" s="22">
        <f>Taxis!K179</f>
        <v>0.29641489818485756</v>
      </c>
      <c r="AW141" s="22">
        <f>Taxis!L179</f>
        <v>0.15489790932488368</v>
      </c>
      <c r="AX141" s="12">
        <f>SUM(AQ141:AW141)</f>
        <v>1</v>
      </c>
      <c r="AZ141" s="22">
        <f t="shared" ref="AZ141:BF141" si="52">G141</f>
        <v>0.10540138549761321</v>
      </c>
      <c r="BA141" s="22">
        <f t="shared" si="52"/>
        <v>2.8754012290409102E-2</v>
      </c>
      <c r="BB141" s="22">
        <f t="shared" si="52"/>
        <v>0.16580604328961066</v>
      </c>
      <c r="BC141" s="22">
        <f t="shared" si="52"/>
        <v>5.0537344076701546E-2</v>
      </c>
      <c r="BD141" s="22">
        <f t="shared" si="52"/>
        <v>0.18193153189904018</v>
      </c>
      <c r="BE141" s="22">
        <f t="shared" si="52"/>
        <v>0.34071048273912574</v>
      </c>
      <c r="BF141" s="22">
        <f t="shared" si="52"/>
        <v>0.12685920020749952</v>
      </c>
      <c r="BG141" s="12">
        <f>SUM(AZ141:BF141)</f>
        <v>1</v>
      </c>
      <c r="BI141" s="22">
        <f t="shared" ref="BI141:BO141" si="53">G141</f>
        <v>0.10540138549761321</v>
      </c>
      <c r="BJ141" s="22">
        <f t="shared" si="53"/>
        <v>2.8754012290409102E-2</v>
      </c>
      <c r="BK141" s="22">
        <f t="shared" si="53"/>
        <v>0.16580604328961066</v>
      </c>
      <c r="BL141" s="22">
        <f t="shared" si="53"/>
        <v>5.0537344076701546E-2</v>
      </c>
      <c r="BM141" s="22">
        <f t="shared" si="53"/>
        <v>0.18193153189904018</v>
      </c>
      <c r="BN141" s="22">
        <f t="shared" si="53"/>
        <v>0.34071048273912574</v>
      </c>
      <c r="BO141" s="22">
        <f t="shared" si="53"/>
        <v>0.12685920020749952</v>
      </c>
      <c r="BP141" s="12">
        <f>SUM(BI141:BO141)</f>
        <v>1</v>
      </c>
    </row>
    <row r="142" spans="2:68" ht="13.2" customHeight="1">
      <c r="B142" s="309" t="s">
        <v>2899</v>
      </c>
      <c r="O142" s="39">
        <f>ROW()</f>
        <v>142</v>
      </c>
      <c r="P142" s="282" t="s">
        <v>389</v>
      </c>
      <c r="Y142" s="282" t="s">
        <v>389</v>
      </c>
      <c r="AH142" s="282" t="s">
        <v>389</v>
      </c>
      <c r="AQ142" s="265" t="str">
        <f>CONCATENATE("Derived in 'Taxis' worksheet tab, Row ",Taxis!O179, ", from TLC compilation of taxi 'boardings' for 5 weekdays (and 2 weekend days) in March 2009.")</f>
        <v>Derived in 'Taxis' worksheet tab, Row 179, from TLC compilation of taxi 'boardings' for 5 weekdays (and 2 weekend days) in March 2009.</v>
      </c>
      <c r="AZ142" s="282" t="s">
        <v>389</v>
      </c>
      <c r="BI142" s="282" t="s">
        <v>389</v>
      </c>
    </row>
    <row r="143" spans="2:68" s="1122" customFormat="1" ht="13.2" customHeight="1">
      <c r="B143" s="1190" t="s">
        <v>1834</v>
      </c>
      <c r="G143" s="1122">
        <f t="shared" ref="G143:M143" si="54">P143+Y143+AH143+AQ143+AZ143+BI143</f>
        <v>234149.17670502764</v>
      </c>
      <c r="H143" s="1122">
        <f t="shared" si="54"/>
        <v>29285.525609529766</v>
      </c>
      <c r="I143" s="1122">
        <f t="shared" si="54"/>
        <v>190274.81298526376</v>
      </c>
      <c r="J143" s="1122">
        <f t="shared" si="54"/>
        <v>68550.769632835931</v>
      </c>
      <c r="K143" s="1122">
        <f t="shared" si="54"/>
        <v>250107.28571256585</v>
      </c>
      <c r="L143" s="1122">
        <f t="shared" si="54"/>
        <v>429319.46194820711</v>
      </c>
      <c r="M143" s="1122">
        <f t="shared" si="54"/>
        <v>212713.3780485593</v>
      </c>
      <c r="N143" s="1122">
        <f>SUM(G143:M143)</f>
        <v>1414400.4106419892</v>
      </c>
      <c r="O143" s="39">
        <f>ROW()</f>
        <v>143</v>
      </c>
      <c r="P143" s="1122">
        <f t="shared" ref="P143:V143" si="55">P141*$I$98</f>
        <v>9816.2603201400798</v>
      </c>
      <c r="Q143" s="1122">
        <f t="shared" si="55"/>
        <v>2677.9237156949393</v>
      </c>
      <c r="R143" s="1122">
        <f t="shared" si="55"/>
        <v>15441.877503783762</v>
      </c>
      <c r="S143" s="1122">
        <f t="shared" si="55"/>
        <v>4706.6527921174766</v>
      </c>
      <c r="T143" s="1122">
        <f t="shared" si="55"/>
        <v>16943.679337149591</v>
      </c>
      <c r="U143" s="1122">
        <f t="shared" si="55"/>
        <v>31731.108434467278</v>
      </c>
      <c r="V143" s="1122">
        <f t="shared" si="55"/>
        <v>11814.673283111471</v>
      </c>
      <c r="W143" s="1122">
        <f>SUM(P143:V143)</f>
        <v>93132.175386464602</v>
      </c>
      <c r="Y143" s="1122">
        <f>Y141*$J$98</f>
        <v>6904.1637549777151</v>
      </c>
      <c r="Z143" s="1122">
        <f t="shared" ref="Z143:AE143" si="56">Z141*$J$98</f>
        <v>1883.4895625743152</v>
      </c>
      <c r="AA143" s="1122">
        <f t="shared" si="56"/>
        <v>10860.882606351683</v>
      </c>
      <c r="AB143" s="1122">
        <f t="shared" si="56"/>
        <v>3310.3748835929837</v>
      </c>
      <c r="AC143" s="1122">
        <f t="shared" si="56"/>
        <v>11917.159176748857</v>
      </c>
      <c r="AD143" s="1122">
        <f t="shared" si="56"/>
        <v>22317.742359484451</v>
      </c>
      <c r="AE143" s="1122">
        <f t="shared" si="56"/>
        <v>8309.7265555196445</v>
      </c>
      <c r="AF143" s="1122">
        <f>SUM(Y143:AE143)</f>
        <v>65503.538899249645</v>
      </c>
      <c r="AQ143" s="1122">
        <f t="shared" ref="AQ143:AW143" si="57">AQ141*$L$98</f>
        <v>210187.34459974329</v>
      </c>
      <c r="AR143" s="1122">
        <f t="shared" si="57"/>
        <v>22748.620884765332</v>
      </c>
      <c r="AS143" s="1122">
        <f t="shared" si="57"/>
        <v>152580.65410310062</v>
      </c>
      <c r="AT143" s="1122">
        <f t="shared" si="57"/>
        <v>57061.666827443201</v>
      </c>
      <c r="AU143" s="1122">
        <f t="shared" si="57"/>
        <v>208747.17643657626</v>
      </c>
      <c r="AV143" s="1122">
        <f t="shared" si="57"/>
        <v>351862.72506223724</v>
      </c>
      <c r="AW143" s="1122">
        <f t="shared" si="57"/>
        <v>183873.35054767228</v>
      </c>
      <c r="AX143" s="1122">
        <f>SUM(AQ143:AW143)</f>
        <v>1187061.5384615383</v>
      </c>
      <c r="AZ143" s="1122">
        <f t="shared" ref="AZ143:BF143" si="58">AZ141*$M$98</f>
        <v>4831.5995112105902</v>
      </c>
      <c r="BA143" s="1122">
        <f t="shared" si="58"/>
        <v>1318.0839233923532</v>
      </c>
      <c r="BB143" s="1122">
        <f t="shared" si="58"/>
        <v>7600.549024395752</v>
      </c>
      <c r="BC143" s="1122">
        <f t="shared" si="58"/>
        <v>2316.631852475999</v>
      </c>
      <c r="BD143" s="1122">
        <f t="shared" si="58"/>
        <v>8339.7414222520019</v>
      </c>
      <c r="BE143" s="1122">
        <f t="shared" si="58"/>
        <v>15618.168528761524</v>
      </c>
      <c r="BF143" s="1122">
        <f t="shared" si="58"/>
        <v>5815.2257375117779</v>
      </c>
      <c r="BG143" s="1122">
        <f>SUM(AZ143:BF143)</f>
        <v>45840</v>
      </c>
      <c r="BI143" s="1122">
        <f t="shared" ref="BI143:BO143" si="59">BI141*$N$98</f>
        <v>2409.808518955957</v>
      </c>
      <c r="BJ143" s="1122">
        <f t="shared" si="59"/>
        <v>657.4075231028271</v>
      </c>
      <c r="BK143" s="1122">
        <f t="shared" si="59"/>
        <v>3790.8497476319408</v>
      </c>
      <c r="BL143" s="1122">
        <f t="shared" si="59"/>
        <v>1155.4432772062712</v>
      </c>
      <c r="BM143" s="1122">
        <f t="shared" si="59"/>
        <v>4159.5293398391086</v>
      </c>
      <c r="BN143" s="1122">
        <f t="shared" si="59"/>
        <v>7789.7175632566441</v>
      </c>
      <c r="BO143" s="1122">
        <f t="shared" si="59"/>
        <v>2900.4019247440947</v>
      </c>
      <c r="BP143" s="1122">
        <f>SUM(BI143:BO143)</f>
        <v>22863.157894736843</v>
      </c>
    </row>
    <row r="144" spans="2:68" ht="13.2" customHeight="1">
      <c r="B144" s="309" t="s">
        <v>2805</v>
      </c>
      <c r="O144" s="39">
        <f>ROW()</f>
        <v>144</v>
      </c>
      <c r="P144" s="282" t="str">
        <f>CONCATENATE("Each entry is product of %'s in row ",$O141," times est'd VMT of m.v. trips within cordon (trips that don't cross cordon) shown in row ",$O98, ".")</f>
        <v>Each entry is product of %'s in row 141 times est'd VMT of m.v. trips within cordon (trips that don't cross cordon) shown in row 98.</v>
      </c>
      <c r="Y144" s="282" t="str">
        <f>CONCATENATE("Each entry is product of %'s in row ",$O141," times est'd VMT of m.v. trips within cordon (trips that don't cross cordon) shown in row ",$O98, ".")</f>
        <v>Each entry is product of %'s in row 141 times est'd VMT of m.v. trips within cordon (trips that don't cross cordon) shown in row 98.</v>
      </c>
      <c r="AH144" s="282" t="s">
        <v>2441</v>
      </c>
      <c r="AQ144" s="1100" t="str">
        <f>CONCATENATE("Each entry is product of %'s in row ",$O141," times est'd VMT of taxi trips within cordon (trips that don't cross cordon) shown in Cell L",$O98, ".")</f>
        <v>Each entry is product of %'s in row 141 times est'd VMT of taxi trips within cordon (trips that don't cross cordon) shown in Cell L98.</v>
      </c>
      <c r="AZ144" s="282" t="str">
        <f>CONCATENATE("Each entry is product of %'s in row ",$O141," times est'd VMT of m.v. trips within cordon (trips that don't cross cordon) shown in row ",$O98, ".")</f>
        <v>Each entry is product of %'s in row 141 times est'd VMT of m.v. trips within cordon (trips that don't cross cordon) shown in row 98.</v>
      </c>
      <c r="BI144" s="282" t="str">
        <f>CONCATENATE("Each entry is product of %'s in row ",$O141," times est'd VMT of m.v. trips within cordon (trips that don't cross cordon) shown in row ",$O98, ".")</f>
        <v>Each entry is product of %'s in row 141 times est'd VMT of m.v. trips within cordon (trips that don't cross cordon) shown in row 98.</v>
      </c>
    </row>
    <row r="145" spans="2:68" ht="13.2" customHeight="1">
      <c r="O145" s="39">
        <f>ROW()</f>
        <v>145</v>
      </c>
    </row>
    <row r="146" spans="2:68" ht="13.2" customHeight="1">
      <c r="B146" s="172" t="s">
        <v>96</v>
      </c>
      <c r="O146" s="39">
        <f>ROW()</f>
        <v>146</v>
      </c>
    </row>
    <row r="147" spans="2:68" s="1122" customFormat="1" ht="13.2" customHeight="1">
      <c r="B147" s="1190" t="s">
        <v>2901</v>
      </c>
      <c r="G147" s="1122">
        <f t="shared" ref="G147:M147" si="60">G129+G137+G143</f>
        <v>446828.25435436529</v>
      </c>
      <c r="H147" s="1122">
        <f t="shared" si="60"/>
        <v>88784.918344910053</v>
      </c>
      <c r="I147" s="1122">
        <f t="shared" si="60"/>
        <v>529746.48816342081</v>
      </c>
      <c r="J147" s="1122">
        <f t="shared" si="60"/>
        <v>171660.21926752295</v>
      </c>
      <c r="K147" s="1122">
        <f t="shared" si="60"/>
        <v>618365.78857175529</v>
      </c>
      <c r="L147" s="1122">
        <f t="shared" si="60"/>
        <v>1111342.272307761</v>
      </c>
      <c r="M147" s="1122">
        <f t="shared" si="60"/>
        <v>467339.89653283876</v>
      </c>
      <c r="N147" s="1127">
        <f>SUM(G147:M147)</f>
        <v>3434067.8375425739</v>
      </c>
      <c r="O147" s="39">
        <f>ROW()</f>
        <v>147</v>
      </c>
      <c r="P147" s="1122">
        <f t="shared" ref="P147:V147" si="61">P129+P137+P143</f>
        <v>61466.436526071491</v>
      </c>
      <c r="Q147" s="1122">
        <f t="shared" si="61"/>
        <v>27107.768058420392</v>
      </c>
      <c r="R147" s="1122">
        <f t="shared" si="61"/>
        <v>162911.77142930852</v>
      </c>
      <c r="S147" s="1122">
        <f t="shared" si="61"/>
        <v>43454.981921250888</v>
      </c>
      <c r="T147" s="1122">
        <f t="shared" si="61"/>
        <v>141696.18746288985</v>
      </c>
      <c r="U147" s="1122">
        <f t="shared" si="61"/>
        <v>228149.74152939091</v>
      </c>
      <c r="V147" s="1122">
        <f t="shared" si="61"/>
        <v>80270.516164384841</v>
      </c>
      <c r="W147" s="1122">
        <f>SUM(P147:V147)</f>
        <v>745057.40309171681</v>
      </c>
      <c r="Y147" s="1122">
        <f t="shared" ref="Y147:AE147" si="62">Y129+Y137+Y143</f>
        <v>58467.346381301337</v>
      </c>
      <c r="Z147" s="1122">
        <f t="shared" si="62"/>
        <v>9350.6147793899854</v>
      </c>
      <c r="AA147" s="1122">
        <f t="shared" si="62"/>
        <v>60187.492503517562</v>
      </c>
      <c r="AB147" s="1122">
        <f t="shared" si="62"/>
        <v>24452.804221017217</v>
      </c>
      <c r="AC147" s="1122">
        <f t="shared" si="62"/>
        <v>95253.666576340795</v>
      </c>
      <c r="AD147" s="1122">
        <f t="shared" si="62"/>
        <v>204239.88619454307</v>
      </c>
      <c r="AE147" s="1122">
        <f t="shared" si="62"/>
        <v>72076.500537887288</v>
      </c>
      <c r="AF147" s="1122">
        <f>SUM(Y147:AE147)</f>
        <v>524028.31119399722</v>
      </c>
      <c r="AH147" s="1122">
        <f t="shared" ref="AH147:AN147" si="63">AH129+AH137+AH143</f>
        <v>60667.655152211897</v>
      </c>
      <c r="AI147" s="1122">
        <f t="shared" si="63"/>
        <v>11711.161549163722</v>
      </c>
      <c r="AJ147" s="1122">
        <f t="shared" si="63"/>
        <v>51023.299133066314</v>
      </c>
      <c r="AK147" s="1122">
        <f t="shared" si="63"/>
        <v>15700.526677579786</v>
      </c>
      <c r="AL147" s="1122">
        <f t="shared" si="63"/>
        <v>66214.647033312111</v>
      </c>
      <c r="AM147" s="1122">
        <f t="shared" si="63"/>
        <v>138725.50853422118</v>
      </c>
      <c r="AN147" s="1122">
        <f t="shared" si="63"/>
        <v>62748.313031556223</v>
      </c>
      <c r="AO147" s="1122">
        <f>SUM(AH147:AN147)</f>
        <v>406791.11111111124</v>
      </c>
      <c r="AQ147" s="1122">
        <f t="shared" ref="AQ147:AW147" si="64">AQ129+AQ137+AQ143</f>
        <v>230007.79367064912</v>
      </c>
      <c r="AR147" s="1122">
        <f t="shared" si="64"/>
        <v>30734.647848273351</v>
      </c>
      <c r="AS147" s="1122">
        <f t="shared" si="64"/>
        <v>198648.08170825808</v>
      </c>
      <c r="AT147" s="1122">
        <f t="shared" si="64"/>
        <v>70685.78550120024</v>
      </c>
      <c r="AU147" s="1122">
        <f t="shared" si="64"/>
        <v>252684.25094618322</v>
      </c>
      <c r="AV147" s="1122">
        <f t="shared" si="64"/>
        <v>423148.9721872668</v>
      </c>
      <c r="AW147" s="1122">
        <f t="shared" si="64"/>
        <v>208652.00659970741</v>
      </c>
      <c r="AX147" s="1122">
        <f>SUM(AQ147:AW147)</f>
        <v>1414561.5384615385</v>
      </c>
      <c r="AZ147" s="1122">
        <f t="shared" ref="AZ147:BF147" si="65">AZ129+AZ137+AZ143</f>
        <v>28989.597067263538</v>
      </c>
      <c r="BA147" s="1122">
        <f t="shared" si="65"/>
        <v>7908.5035403541197</v>
      </c>
      <c r="BB147" s="1122">
        <f t="shared" si="65"/>
        <v>45603.294146374516</v>
      </c>
      <c r="BC147" s="1122">
        <f t="shared" si="65"/>
        <v>13899.791114855994</v>
      </c>
      <c r="BD147" s="1122">
        <f t="shared" si="65"/>
        <v>50038.448533512012</v>
      </c>
      <c r="BE147" s="1122">
        <f t="shared" si="65"/>
        <v>93709.011172569153</v>
      </c>
      <c r="BF147" s="1122">
        <f t="shared" si="65"/>
        <v>34891.354425070676</v>
      </c>
      <c r="BG147" s="1122">
        <f>SUM(AZ147:BF147)</f>
        <v>275040</v>
      </c>
      <c r="BI147" s="1122">
        <f t="shared" ref="BI147:BO147" si="66">BI129+BI137+BI143</f>
        <v>7229.4255568678709</v>
      </c>
      <c r="BJ147" s="1122">
        <f t="shared" si="66"/>
        <v>1972.2225693084813</v>
      </c>
      <c r="BK147" s="1122">
        <f t="shared" si="66"/>
        <v>11372.549242895822</v>
      </c>
      <c r="BL147" s="1122">
        <f t="shared" si="66"/>
        <v>3466.3298316188138</v>
      </c>
      <c r="BM147" s="1122">
        <f t="shared" si="66"/>
        <v>12478.588019517327</v>
      </c>
      <c r="BN147" s="1122">
        <f t="shared" si="66"/>
        <v>23369.152689769933</v>
      </c>
      <c r="BO147" s="1122">
        <f t="shared" si="66"/>
        <v>8701.2057742322831</v>
      </c>
      <c r="BP147" s="1122">
        <f>SUM(BI147:BO147)</f>
        <v>68589.473684210534</v>
      </c>
    </row>
    <row r="148" spans="2:68" ht="13.2" customHeight="1">
      <c r="B148" s="309" t="str">
        <f>CONCATENATE("Each entry is sum of respective VMT's in Rows ",O129, ", ",O137, " and ",103, ".")</f>
        <v>Each entry is sum of respective VMT's in Rows 129, 137 and 103.</v>
      </c>
      <c r="G148" s="1122"/>
      <c r="H148" s="1122"/>
      <c r="I148" s="1122"/>
      <c r="J148" s="1122"/>
      <c r="K148" s="1122"/>
      <c r="L148" s="1122"/>
      <c r="M148" s="1122"/>
      <c r="N148" s="186"/>
      <c r="O148" s="39">
        <f>ROW()</f>
        <v>148</v>
      </c>
      <c r="V148" s="3" t="s">
        <v>2826</v>
      </c>
      <c r="W148" s="12">
        <f>W147/$N$147</f>
        <v>0.21696059552069927</v>
      </c>
      <c r="AE148" s="3" t="s">
        <v>1735</v>
      </c>
      <c r="AF148" s="12">
        <f>AF147/$N$147</f>
        <v>0.15259695963635739</v>
      </c>
      <c r="AN148" s="3" t="s">
        <v>1736</v>
      </c>
      <c r="AO148" s="12">
        <f>AO147/$N$147</f>
        <v>0.11845750589546064</v>
      </c>
      <c r="AQ148" s="12">
        <f t="shared" ref="AQ148:AX148" si="67">AQ147/G147</f>
        <v>0.51475660151123126</v>
      </c>
      <c r="AR148" s="12">
        <f t="shared" si="67"/>
        <v>0.34616969211905951</v>
      </c>
      <c r="AS148" s="12">
        <f t="shared" si="67"/>
        <v>0.37498706673252619</v>
      </c>
      <c r="AT148" s="12">
        <f t="shared" si="67"/>
        <v>0.41177732268324996</v>
      </c>
      <c r="AU148" s="12">
        <f t="shared" si="67"/>
        <v>0.4086323267168615</v>
      </c>
      <c r="AV148" s="12">
        <f t="shared" si="67"/>
        <v>0.38075486079421383</v>
      </c>
      <c r="AW148" s="12">
        <f t="shared" si="67"/>
        <v>0.44646735309285962</v>
      </c>
      <c r="AX148" s="12">
        <f t="shared" si="67"/>
        <v>0.41192009167582483</v>
      </c>
      <c r="BF148" s="3" t="s">
        <v>1737</v>
      </c>
      <c r="BG148" s="12">
        <f>BG147/$N147</f>
        <v>8.009160360583302E-2</v>
      </c>
      <c r="BO148" s="3" t="s">
        <v>1738</v>
      </c>
      <c r="BP148" s="12">
        <f>BP147/$N147</f>
        <v>1.9973243665824991E-2</v>
      </c>
    </row>
    <row r="149" spans="2:68" ht="13.2" customHeight="1">
      <c r="B149" s="281" t="s">
        <v>2900</v>
      </c>
      <c r="G149" s="1122">
        <f t="shared" ref="G149:M149" si="68">G147/G118</f>
        <v>74471.375725727543</v>
      </c>
      <c r="H149" s="1122">
        <f t="shared" si="68"/>
        <v>88784.918344910053</v>
      </c>
      <c r="I149" s="1122">
        <f t="shared" si="68"/>
        <v>176582.16272114028</v>
      </c>
      <c r="J149" s="1122">
        <f t="shared" si="68"/>
        <v>171660.21926752295</v>
      </c>
      <c r="K149" s="1122">
        <f t="shared" si="68"/>
        <v>154591.44714293882</v>
      </c>
      <c r="L149" s="1122">
        <f t="shared" si="68"/>
        <v>185223.71205129349</v>
      </c>
      <c r="M149" s="1122">
        <f t="shared" si="68"/>
        <v>155779.96551094626</v>
      </c>
      <c r="O149" s="39">
        <f>ROW()</f>
        <v>149</v>
      </c>
      <c r="AX149" s="3" t="s">
        <v>3167</v>
      </c>
    </row>
    <row r="150" spans="2:68" ht="13.2" customHeight="1">
      <c r="B150" s="309" t="str">
        <f>CONCATENATE("Period VMT in Row ",O147, " divided by hours in period in Row ",$O$118, ".")</f>
        <v>Period VMT in Row 147 divided by hours in period in Row 118.</v>
      </c>
      <c r="O150" s="39">
        <f>ROW()</f>
        <v>150</v>
      </c>
      <c r="AW150" s="3"/>
      <c r="AX150" s="39"/>
    </row>
    <row r="151" spans="2:68" ht="13.2" customHeight="1">
      <c r="B151" s="281" t="s">
        <v>191</v>
      </c>
      <c r="G151" s="576">
        <f t="shared" ref="G151:M151" si="69">G149/MAX($G$149:$M$149)</f>
        <v>0.40206178194455139</v>
      </c>
      <c r="H151" s="39">
        <f t="shared" si="69"/>
        <v>0.47933883497768953</v>
      </c>
      <c r="I151" s="39">
        <f t="shared" si="69"/>
        <v>0.95334533988952708</v>
      </c>
      <c r="J151" s="39">
        <f t="shared" si="69"/>
        <v>0.9267723736148078</v>
      </c>
      <c r="K151" s="39">
        <f t="shared" si="69"/>
        <v>0.83462017595311033</v>
      </c>
      <c r="L151" s="39">
        <f t="shared" si="69"/>
        <v>1</v>
      </c>
      <c r="M151" s="39">
        <f t="shared" si="69"/>
        <v>0.8410368401849464</v>
      </c>
      <c r="O151" s="39">
        <f>ROW()</f>
        <v>151</v>
      </c>
      <c r="P151" s="4147" t="s">
        <v>2680</v>
      </c>
      <c r="Q151" s="4147"/>
      <c r="R151" s="4147"/>
      <c r="S151" s="4147"/>
      <c r="T151" s="4147"/>
      <c r="U151" s="4147"/>
      <c r="V151" s="4147"/>
      <c r="W151" s="4147"/>
      <c r="Y151" s="4147" t="s">
        <v>2681</v>
      </c>
      <c r="Z151" s="4147"/>
      <c r="AA151" s="4147"/>
      <c r="AB151" s="4147"/>
      <c r="AC151" s="4147"/>
      <c r="AD151" s="4147"/>
      <c r="AE151" s="4147"/>
      <c r="AF151" s="4147"/>
      <c r="AH151" s="4263" t="s">
        <v>5482</v>
      </c>
      <c r="AI151" s="4264"/>
      <c r="AJ151" s="4264"/>
      <c r="AK151" s="4264"/>
      <c r="AL151" s="4264"/>
      <c r="AM151" s="4264"/>
      <c r="AN151" s="4264"/>
      <c r="AO151" s="4264"/>
      <c r="AQ151" s="4147" t="s">
        <v>713</v>
      </c>
      <c r="AR151" s="4147"/>
      <c r="AS151" s="4147"/>
      <c r="AT151" s="4147"/>
      <c r="AU151" s="4147"/>
      <c r="AV151" s="4147"/>
      <c r="AW151" s="4147"/>
      <c r="AX151" s="4147"/>
      <c r="AZ151" s="4147" t="s">
        <v>460</v>
      </c>
      <c r="BA151" s="4147"/>
      <c r="BB151" s="4147"/>
      <c r="BC151" s="4147"/>
      <c r="BD151" s="4147"/>
      <c r="BE151" s="4147"/>
      <c r="BF151" s="4147"/>
      <c r="BG151" s="4147"/>
      <c r="BI151" s="4147" t="s">
        <v>849</v>
      </c>
      <c r="BJ151" s="4147"/>
      <c r="BK151" s="4147"/>
      <c r="BL151" s="4147"/>
      <c r="BM151" s="4147"/>
      <c r="BN151" s="4147"/>
      <c r="BO151" s="4147"/>
      <c r="BP151" s="4147"/>
    </row>
    <row r="152" spans="2:68" ht="13.2" customHeight="1">
      <c r="B152" s="309" t="str">
        <f>CONCATENATE("Ratio of Hourly VMT for period, as shown in Row ",O149,", to maximum hourly VMT shown in Row ",O149, ".")</f>
        <v>Ratio of Hourly VMT for period, as shown in Row 149, to maximum hourly VMT shown in Row 149.</v>
      </c>
      <c r="O152" s="39">
        <f>ROW()</f>
        <v>152</v>
      </c>
    </row>
    <row r="153" spans="2:68" ht="13.2" customHeight="1">
      <c r="B153" s="309"/>
      <c r="O153" s="39">
        <f>ROW()</f>
        <v>153</v>
      </c>
    </row>
    <row r="154" spans="2:68" ht="13.2" customHeight="1">
      <c r="B154" s="172" t="s">
        <v>1955</v>
      </c>
      <c r="O154" s="39">
        <f>ROW()</f>
        <v>154</v>
      </c>
    </row>
    <row r="155" spans="2:68" ht="13.2" customHeight="1">
      <c r="B155" s="269" t="s">
        <v>2620</v>
      </c>
      <c r="O155" s="39">
        <f>ROW()</f>
        <v>155</v>
      </c>
    </row>
    <row r="156" spans="2:68" ht="13.2" customHeight="1">
      <c r="B156" s="281" t="s">
        <v>2428</v>
      </c>
      <c r="G156" s="1122">
        <f t="shared" ref="G156:M157" si="70">P156+Y156+AH156+AQ156+AZ156+BI156</f>
        <v>1122608.8814433368</v>
      </c>
      <c r="H156" s="1122">
        <f t="shared" si="70"/>
        <v>413862.15860589576</v>
      </c>
      <c r="I156" s="1122">
        <f t="shared" si="70"/>
        <v>2299787.2334962026</v>
      </c>
      <c r="J156" s="1122">
        <f t="shared" si="70"/>
        <v>680448.4820702424</v>
      </c>
      <c r="K156" s="1122">
        <f t="shared" si="70"/>
        <v>2236662.9373817421</v>
      </c>
      <c r="L156" s="1122">
        <f t="shared" si="70"/>
        <v>3698244.98910648</v>
      </c>
      <c r="M156" s="1122">
        <f t="shared" si="70"/>
        <v>1344415.8153136449</v>
      </c>
      <c r="N156" s="10">
        <f>SUM(G156:M156)</f>
        <v>11796030.497417545</v>
      </c>
      <c r="O156" s="39">
        <f>ROW()</f>
        <v>156</v>
      </c>
      <c r="P156" s="10">
        <f t="shared" ref="P156:V156" si="71">P122*$I$79</f>
        <v>153251.71831510746</v>
      </c>
      <c r="Q156" s="10">
        <f t="shared" si="71"/>
        <v>231554.86102196024</v>
      </c>
      <c r="R156" s="10">
        <f t="shared" si="71"/>
        <v>1424773.4576731361</v>
      </c>
      <c r="S156" s="10">
        <f t="shared" si="71"/>
        <v>342360.49177754892</v>
      </c>
      <c r="T156" s="10">
        <f t="shared" si="71"/>
        <v>934234.05247690598</v>
      </c>
      <c r="U156" s="10">
        <f t="shared" si="71"/>
        <v>1033472.4088235768</v>
      </c>
      <c r="V156" s="10">
        <f t="shared" si="71"/>
        <v>287382.86432830116</v>
      </c>
      <c r="W156" s="10">
        <f>SUM(P156:V156)</f>
        <v>4407029.8544165371</v>
      </c>
      <c r="Y156" s="10">
        <f t="shared" ref="Y156:AE156" si="72">Y122*$J$79</f>
        <v>313773.64954716456</v>
      </c>
      <c r="Z156" s="10">
        <f t="shared" si="72"/>
        <v>31509.700024286849</v>
      </c>
      <c r="AA156" s="10">
        <f t="shared" si="72"/>
        <v>266679.30621106672</v>
      </c>
      <c r="AB156" s="10">
        <f t="shared" si="72"/>
        <v>158177.33675311864</v>
      </c>
      <c r="AC156" s="10">
        <f t="shared" si="72"/>
        <v>597502.75677792355</v>
      </c>
      <c r="AD156" s="10">
        <f t="shared" si="72"/>
        <v>1318697.1344299365</v>
      </c>
      <c r="AE156" s="10">
        <f t="shared" si="72"/>
        <v>413298.34870439413</v>
      </c>
      <c r="AF156" s="10">
        <f>SUM(Y156:AE156)</f>
        <v>3099638.2324478906</v>
      </c>
      <c r="AH156" s="10">
        <f t="shared" ref="AH156:AN156" si="73">AH122*$K$79</f>
        <v>562640.6031709318</v>
      </c>
      <c r="AI156" s="10">
        <f t="shared" si="73"/>
        <v>113349.17315983215</v>
      </c>
      <c r="AJ156" s="10">
        <f t="shared" si="73"/>
        <v>392313.08778486447</v>
      </c>
      <c r="AK156" s="10">
        <f t="shared" si="73"/>
        <v>116023.84467959018</v>
      </c>
      <c r="AL156" s="10">
        <f t="shared" si="73"/>
        <v>498894.49053783028</v>
      </c>
      <c r="AM156" s="10">
        <f t="shared" si="73"/>
        <v>1011796.8805029127</v>
      </c>
      <c r="AN156" s="10">
        <f t="shared" si="73"/>
        <v>527541.45240381896</v>
      </c>
      <c r="AO156" s="10">
        <f>SUM(AH156:AN156)</f>
        <v>3222559.5322397808</v>
      </c>
      <c r="AQ156" s="10">
        <f t="shared" ref="AQ156:AW156" si="74">AQ122*$L$79</f>
        <v>33977.912692981408</v>
      </c>
      <c r="AR156" s="10">
        <f t="shared" si="74"/>
        <v>13690.331937442319</v>
      </c>
      <c r="AS156" s="10">
        <f t="shared" si="74"/>
        <v>78972.733037412807</v>
      </c>
      <c r="AT156" s="10">
        <f t="shared" si="74"/>
        <v>23355.632012154925</v>
      </c>
      <c r="AU156" s="10">
        <f t="shared" si="74"/>
        <v>75320.699159326206</v>
      </c>
      <c r="AV156" s="10">
        <f t="shared" si="74"/>
        <v>122204.99507147924</v>
      </c>
      <c r="AW156" s="10">
        <f t="shared" si="74"/>
        <v>42477.696089203084</v>
      </c>
      <c r="AX156" s="10">
        <f>SUM(AQ156:AW156)</f>
        <v>389999.99999999994</v>
      </c>
      <c r="AZ156" s="10">
        <f t="shared" ref="AZ156:BF156" si="75">AZ122*$M$79</f>
        <v>41668.39173677536</v>
      </c>
      <c r="BA156" s="10">
        <f t="shared" si="75"/>
        <v>16788.968743617617</v>
      </c>
      <c r="BB156" s="10">
        <f t="shared" si="75"/>
        <v>96847.231507732635</v>
      </c>
      <c r="BC156" s="10">
        <f t="shared" si="75"/>
        <v>28641.889592690251</v>
      </c>
      <c r="BD156" s="10">
        <f t="shared" si="75"/>
        <v>92368.605064633884</v>
      </c>
      <c r="BE156" s="10">
        <f t="shared" si="75"/>
        <v>149864.5797592192</v>
      </c>
      <c r="BF156" s="10">
        <f t="shared" si="75"/>
        <v>52091.995665355185</v>
      </c>
      <c r="BG156" s="10">
        <f>SUM(AZ156:BF156)</f>
        <v>478271.66207002412</v>
      </c>
      <c r="BI156" s="10">
        <f t="shared" ref="BI156:BO156" si="76">BI122*$N$79</f>
        <v>17296.60598037616</v>
      </c>
      <c r="BJ156" s="10">
        <f t="shared" si="76"/>
        <v>6969.1237187566539</v>
      </c>
      <c r="BK156" s="10">
        <f t="shared" si="76"/>
        <v>40201.417281989823</v>
      </c>
      <c r="BL156" s="10">
        <f t="shared" si="76"/>
        <v>11889.287255139419</v>
      </c>
      <c r="BM156" s="10">
        <f t="shared" si="76"/>
        <v>38342.333365122344</v>
      </c>
      <c r="BN156" s="10">
        <f t="shared" si="76"/>
        <v>62208.990519356012</v>
      </c>
      <c r="BO156" s="10">
        <f t="shared" si="76"/>
        <v>21623.458122572585</v>
      </c>
      <c r="BP156" s="10">
        <f>SUM(BI156:BO156)</f>
        <v>198531.21624331299</v>
      </c>
    </row>
    <row r="157" spans="2:68" ht="13.2" customHeight="1">
      <c r="B157" s="281" t="s">
        <v>2429</v>
      </c>
      <c r="G157" s="1122">
        <f t="shared" si="70"/>
        <v>1444674.8285925153</v>
      </c>
      <c r="H157" s="1122">
        <f t="shared" si="70"/>
        <v>269237.98954162979</v>
      </c>
      <c r="I157" s="1122">
        <f t="shared" si="70"/>
        <v>1551695.4302590871</v>
      </c>
      <c r="J157" s="1122">
        <f t="shared" si="70"/>
        <v>493152.37422965752</v>
      </c>
      <c r="K157" s="1122">
        <f t="shared" si="70"/>
        <v>2022707.256344307</v>
      </c>
      <c r="L157" s="1122">
        <f t="shared" si="70"/>
        <v>4320477.6660190653</v>
      </c>
      <c r="M157" s="1122">
        <f t="shared" si="70"/>
        <v>1694084.952431283</v>
      </c>
      <c r="N157" s="10">
        <f>SUM(G157:M157)</f>
        <v>11796030.497417547</v>
      </c>
      <c r="O157" s="39">
        <f>ROW()</f>
        <v>157</v>
      </c>
      <c r="P157" s="10">
        <f t="shared" ref="P157:V157" si="77">P133*$I$79</f>
        <v>545061.09073706018</v>
      </c>
      <c r="Q157" s="10">
        <f t="shared" si="77"/>
        <v>98737.782311107716</v>
      </c>
      <c r="R157" s="10">
        <f t="shared" si="77"/>
        <v>569026.43697141169</v>
      </c>
      <c r="S157" s="10">
        <f t="shared" si="77"/>
        <v>181518.73861190601</v>
      </c>
      <c r="T157" s="10">
        <f t="shared" si="77"/>
        <v>752425.71879382152</v>
      </c>
      <c r="U157" s="10">
        <f t="shared" si="77"/>
        <v>1622116.7392140594</v>
      </c>
      <c r="V157" s="10">
        <f t="shared" si="77"/>
        <v>638143.34777717001</v>
      </c>
      <c r="W157" s="10">
        <f>SUM(P157:V157)</f>
        <v>4407029.8544165362</v>
      </c>
      <c r="Y157" s="10">
        <f t="shared" ref="Y157:AE157" si="78">Y133*$J$79</f>
        <v>383363.00222137233</v>
      </c>
      <c r="Z157" s="10">
        <f t="shared" si="78"/>
        <v>69446.183744799215</v>
      </c>
      <c r="AA157" s="10">
        <f t="shared" si="78"/>
        <v>400218.77717542736</v>
      </c>
      <c r="AB157" s="10">
        <f t="shared" si="78"/>
        <v>127669.30125134574</v>
      </c>
      <c r="AC157" s="10">
        <f t="shared" si="78"/>
        <v>529210.73877299391</v>
      </c>
      <c r="AD157" s="10">
        <f t="shared" si="78"/>
        <v>1140898.7977067553</v>
      </c>
      <c r="AE157" s="10">
        <f t="shared" si="78"/>
        <v>448831.4315751972</v>
      </c>
      <c r="AF157" s="10">
        <f>SUM(Y157:AE157)</f>
        <v>3099638.232447891</v>
      </c>
      <c r="AH157" s="10">
        <f t="shared" ref="AH157:AN157" si="79">AH133*$K$79</f>
        <v>398565.89849225653</v>
      </c>
      <c r="AI157" s="10">
        <f t="shared" si="79"/>
        <v>72200.187448242898</v>
      </c>
      <c r="AJ157" s="10">
        <f t="shared" si="79"/>
        <v>416090.11718424928</v>
      </c>
      <c r="AK157" s="10">
        <f t="shared" si="79"/>
        <v>132732.23933523439</v>
      </c>
      <c r="AL157" s="10">
        <f t="shared" si="79"/>
        <v>550197.46915747144</v>
      </c>
      <c r="AM157" s="10">
        <f t="shared" si="79"/>
        <v>1186143.0335266127</v>
      </c>
      <c r="AN157" s="10">
        <f t="shared" si="79"/>
        <v>466630.58709571336</v>
      </c>
      <c r="AO157" s="10">
        <f>SUM(AH157:AN157)</f>
        <v>3222559.5322397808</v>
      </c>
      <c r="AQ157" s="10">
        <f t="shared" ref="AQ157:AW157" si="80">AQ133*$L$79</f>
        <v>33977.912692981408</v>
      </c>
      <c r="AR157" s="10">
        <f t="shared" si="80"/>
        <v>13690.331937442319</v>
      </c>
      <c r="AS157" s="10">
        <f t="shared" si="80"/>
        <v>78972.733037412807</v>
      </c>
      <c r="AT157" s="10">
        <f t="shared" si="80"/>
        <v>23355.632012154925</v>
      </c>
      <c r="AU157" s="10">
        <f t="shared" si="80"/>
        <v>75320.699159326206</v>
      </c>
      <c r="AV157" s="10">
        <f t="shared" si="80"/>
        <v>122204.99507147924</v>
      </c>
      <c r="AW157" s="10">
        <f t="shared" si="80"/>
        <v>42477.696089203084</v>
      </c>
      <c r="AX157" s="10">
        <f>SUM(AQ157:AW157)</f>
        <v>389999.99999999994</v>
      </c>
      <c r="AZ157" s="10">
        <f t="shared" ref="AZ157:BF157" si="81">AZ133*$M$79</f>
        <v>59152.599916078259</v>
      </c>
      <c r="BA157" s="10">
        <f t="shared" si="81"/>
        <v>10715.489755014109</v>
      </c>
      <c r="BB157" s="10">
        <f t="shared" si="81"/>
        <v>61753.432303020287</v>
      </c>
      <c r="BC157" s="10">
        <f t="shared" si="81"/>
        <v>19699.269503647225</v>
      </c>
      <c r="BD157" s="10">
        <f t="shared" si="81"/>
        <v>81656.78722396525</v>
      </c>
      <c r="BE157" s="10">
        <f t="shared" si="81"/>
        <v>176039.75796942471</v>
      </c>
      <c r="BF157" s="10">
        <f t="shared" si="81"/>
        <v>69254.325398874324</v>
      </c>
      <c r="BG157" s="10">
        <f>SUM(AZ157:BF157)</f>
        <v>478271.66207002418</v>
      </c>
      <c r="BI157" s="10">
        <f t="shared" ref="BI157:BO157" si="82">BI133*$N$79</f>
        <v>24554.324532766728</v>
      </c>
      <c r="BJ157" s="10">
        <f t="shared" si="82"/>
        <v>4448.0143450235246</v>
      </c>
      <c r="BK157" s="10">
        <f t="shared" si="82"/>
        <v>25633.933587565796</v>
      </c>
      <c r="BL157" s="10">
        <f t="shared" si="82"/>
        <v>8177.1935153692802</v>
      </c>
      <c r="BM157" s="10">
        <f t="shared" si="82"/>
        <v>33895.843236728746</v>
      </c>
      <c r="BN157" s="10">
        <f t="shared" si="82"/>
        <v>73074.342530733862</v>
      </c>
      <c r="BO157" s="10">
        <f t="shared" si="82"/>
        <v>28747.564495125072</v>
      </c>
      <c r="BP157" s="10">
        <f>SUM(BI157:BO157)</f>
        <v>198531.21624331304</v>
      </c>
    </row>
    <row r="158" spans="2:68" ht="13.2" customHeight="1">
      <c r="B158" s="281" t="s">
        <v>124</v>
      </c>
      <c r="G158" s="1122">
        <f t="shared" ref="G158:M158" si="83">P158+Y158+AH158+AQ158+AZ158+BI158</f>
        <v>2567283.7100358526</v>
      </c>
      <c r="H158" s="1122">
        <f t="shared" si="83"/>
        <v>683100.1481475255</v>
      </c>
      <c r="I158" s="1122">
        <f t="shared" si="83"/>
        <v>3851482.6637552897</v>
      </c>
      <c r="J158" s="1122">
        <f t="shared" si="83"/>
        <v>1173600.8562999</v>
      </c>
      <c r="K158" s="1122">
        <f t="shared" si="83"/>
        <v>4259370.1937260497</v>
      </c>
      <c r="L158" s="1122">
        <f t="shared" si="83"/>
        <v>8018722.6551255463</v>
      </c>
      <c r="M158" s="1122">
        <f t="shared" si="83"/>
        <v>3038500.7677449281</v>
      </c>
      <c r="N158" s="186">
        <f>SUM(G158:M158)</f>
        <v>23592060.994835094</v>
      </c>
      <c r="O158" s="39">
        <f>ROW()</f>
        <v>158</v>
      </c>
      <c r="P158" s="10">
        <f t="shared" ref="P158:V158" si="84">P156+P157</f>
        <v>698312.80905216769</v>
      </c>
      <c r="Q158" s="10">
        <f t="shared" si="84"/>
        <v>330292.64333306794</v>
      </c>
      <c r="R158" s="10">
        <f t="shared" si="84"/>
        <v>1993799.8946445477</v>
      </c>
      <c r="S158" s="10">
        <f t="shared" si="84"/>
        <v>523879.23038945493</v>
      </c>
      <c r="T158" s="10">
        <f t="shared" si="84"/>
        <v>1686659.7712707275</v>
      </c>
      <c r="U158" s="10">
        <f t="shared" si="84"/>
        <v>2655589.1480376362</v>
      </c>
      <c r="V158" s="10">
        <f t="shared" si="84"/>
        <v>925526.21210547118</v>
      </c>
      <c r="W158" s="10">
        <f>SUM(P158:V158)</f>
        <v>8814059.7088330742</v>
      </c>
      <c r="Y158" s="10">
        <f>Y156+Y157</f>
        <v>697136.65176853689</v>
      </c>
      <c r="Z158" s="10">
        <f t="shared" ref="Z158:AE158" si="85">Z156+Z157</f>
        <v>100955.88376908607</v>
      </c>
      <c r="AA158" s="10">
        <f t="shared" si="85"/>
        <v>666898.08338649408</v>
      </c>
      <c r="AB158" s="10">
        <f t="shared" si="85"/>
        <v>285846.63800446439</v>
      </c>
      <c r="AC158" s="10">
        <f t="shared" si="85"/>
        <v>1126713.4955509175</v>
      </c>
      <c r="AD158" s="10">
        <f t="shared" si="85"/>
        <v>2459595.9321366921</v>
      </c>
      <c r="AE158" s="10">
        <f t="shared" si="85"/>
        <v>862129.78027959133</v>
      </c>
      <c r="AF158" s="10">
        <f>SUM(Y158:AE158)</f>
        <v>6199276.464895783</v>
      </c>
      <c r="AH158" s="10">
        <f t="shared" ref="AH158:AN158" si="86">AH156+AH157</f>
        <v>961206.50166318833</v>
      </c>
      <c r="AI158" s="10">
        <f t="shared" si="86"/>
        <v>185549.36060807505</v>
      </c>
      <c r="AJ158" s="10">
        <f t="shared" si="86"/>
        <v>808403.20496911369</v>
      </c>
      <c r="AK158" s="10">
        <f t="shared" si="86"/>
        <v>248756.08401482459</v>
      </c>
      <c r="AL158" s="10">
        <f t="shared" si="86"/>
        <v>1049091.9596953017</v>
      </c>
      <c r="AM158" s="10">
        <f t="shared" si="86"/>
        <v>2197939.9140295256</v>
      </c>
      <c r="AN158" s="10">
        <f t="shared" si="86"/>
        <v>994172.03949953231</v>
      </c>
      <c r="AO158" s="10">
        <f>SUM(AH158:AN158)</f>
        <v>6445119.0644795615</v>
      </c>
      <c r="AQ158" s="10">
        <f>AQ156+AQ157</f>
        <v>67955.825385962817</v>
      </c>
      <c r="AR158" s="10">
        <f t="shared" ref="AR158:AW158" si="87">AR156+AR157</f>
        <v>27380.663874884638</v>
      </c>
      <c r="AS158" s="10">
        <f t="shared" si="87"/>
        <v>157945.46607482561</v>
      </c>
      <c r="AT158" s="10">
        <f t="shared" si="87"/>
        <v>46711.26402430985</v>
      </c>
      <c r="AU158" s="10">
        <f t="shared" si="87"/>
        <v>150641.39831865241</v>
      </c>
      <c r="AV158" s="10">
        <f t="shared" si="87"/>
        <v>244409.99014295847</v>
      </c>
      <c r="AW158" s="10">
        <f t="shared" si="87"/>
        <v>84955.392178406168</v>
      </c>
      <c r="AX158" s="10">
        <f>SUM(AQ158:AW158)</f>
        <v>779999.99999999988</v>
      </c>
      <c r="AZ158" s="10">
        <f t="shared" ref="AZ158:BF158" si="88">AZ156+AZ157</f>
        <v>100820.99165285361</v>
      </c>
      <c r="BA158" s="10">
        <f t="shared" si="88"/>
        <v>27504.458498631728</v>
      </c>
      <c r="BB158" s="10">
        <f t="shared" si="88"/>
        <v>158600.66381075291</v>
      </c>
      <c r="BC158" s="10">
        <f t="shared" si="88"/>
        <v>48341.159096337477</v>
      </c>
      <c r="BD158" s="10">
        <f t="shared" si="88"/>
        <v>174025.39228859913</v>
      </c>
      <c r="BE158" s="10">
        <f t="shared" si="88"/>
        <v>325904.33772864391</v>
      </c>
      <c r="BF158" s="10">
        <f t="shared" si="88"/>
        <v>121346.3210642295</v>
      </c>
      <c r="BG158" s="10">
        <f>SUM(AZ158:BF158)</f>
        <v>956543.32414004824</v>
      </c>
      <c r="BI158" s="10">
        <f t="shared" ref="BI158:BO158" si="89">BI156+BI157</f>
        <v>41850.930513142885</v>
      </c>
      <c r="BJ158" s="10">
        <f t="shared" si="89"/>
        <v>11417.138063780178</v>
      </c>
      <c r="BK158" s="10">
        <f t="shared" si="89"/>
        <v>65835.350869555623</v>
      </c>
      <c r="BL158" s="10">
        <f t="shared" si="89"/>
        <v>20066.480770508701</v>
      </c>
      <c r="BM158" s="10">
        <f t="shared" si="89"/>
        <v>72238.176601851097</v>
      </c>
      <c r="BN158" s="10">
        <f t="shared" si="89"/>
        <v>135283.33305008989</v>
      </c>
      <c r="BO158" s="10">
        <f t="shared" si="89"/>
        <v>50371.022617697658</v>
      </c>
      <c r="BP158" s="10">
        <f>SUM(BI158:BO158)</f>
        <v>397062.43248662603</v>
      </c>
    </row>
    <row r="159" spans="2:68" ht="13.2" customHeight="1">
      <c r="B159" s="309" t="str">
        <f>CONCATENATE("Row ",O156, " entries are product of inbound cordon trips for period in Row ",O122, " and one-way non-cordon mileage in Row ",O85, ". Ditto for outbound legs in Row ",O157, " which uses outbound trips in Row ",O133, ".")</f>
        <v>Row 156 entries are product of inbound cordon trips for period in Row 122 and one-way non-cordon mileage in Row 85. Ditto for outbound legs in Row 157 which uses outbound trips in Row 133.</v>
      </c>
      <c r="O159" s="39">
        <f>ROW()</f>
        <v>159</v>
      </c>
    </row>
    <row r="160" spans="2:68" ht="13.2" customHeight="1">
      <c r="B160" s="269" t="s">
        <v>123</v>
      </c>
      <c r="O160" s="39">
        <f>ROW()</f>
        <v>160</v>
      </c>
    </row>
    <row r="161" spans="2:74" ht="13.2" customHeight="1">
      <c r="B161" s="995" t="s">
        <v>1958</v>
      </c>
      <c r="C161" s="198"/>
      <c r="D161" s="198"/>
      <c r="E161" s="198"/>
      <c r="F161" s="198"/>
      <c r="G161" s="198"/>
      <c r="H161" s="198"/>
      <c r="I161" s="198"/>
      <c r="J161" s="198"/>
      <c r="K161" s="996">
        <f>Approaches!F20</f>
        <v>0.33864842655220262</v>
      </c>
      <c r="O161" s="39">
        <f>ROW()</f>
        <v>161</v>
      </c>
    </row>
    <row r="162" spans="2:74" ht="13.2" customHeight="1">
      <c r="B162" s="1026" t="s">
        <v>1764</v>
      </c>
      <c r="C162" s="113"/>
      <c r="D162" s="113"/>
      <c r="E162" s="113"/>
      <c r="F162" s="113"/>
      <c r="G162" s="113"/>
      <c r="H162" s="113"/>
      <c r="I162" s="113"/>
      <c r="J162" s="113"/>
      <c r="K162" s="140"/>
      <c r="O162" s="39">
        <f>ROW()</f>
        <v>162</v>
      </c>
    </row>
    <row r="163" spans="2:74" ht="13.2" customHeight="1">
      <c r="B163" s="505" t="s">
        <v>1959</v>
      </c>
      <c r="C163" s="113"/>
      <c r="D163" s="113"/>
      <c r="E163" s="113"/>
      <c r="F163" s="113"/>
      <c r="G163" s="113"/>
      <c r="H163" s="113"/>
      <c r="I163" s="113"/>
      <c r="J163" s="113"/>
      <c r="K163" s="1027">
        <f>(1-K161)/K161</f>
        <v>1.9529149453935233</v>
      </c>
      <c r="O163" s="39">
        <f>ROW()</f>
        <v>163</v>
      </c>
    </row>
    <row r="164" spans="2:74" ht="13.2" customHeight="1">
      <c r="B164" s="997" t="str">
        <f>CONCATENATE("Calculated as ratio of (i) complement of percentage in Row ",O161, " to the percentage itself.")</f>
        <v>Calculated as ratio of (i) complement of percentage in Row 161 to the percentage itself.</v>
      </c>
      <c r="C164" s="141"/>
      <c r="D164" s="141"/>
      <c r="E164" s="141"/>
      <c r="F164" s="141"/>
      <c r="G164" s="141"/>
      <c r="H164" s="683"/>
      <c r="I164" s="173"/>
      <c r="J164" s="1647" t="s">
        <v>584</v>
      </c>
      <c r="K164" s="1648">
        <v>0.1</v>
      </c>
      <c r="O164" s="39">
        <f>ROW()</f>
        <v>164</v>
      </c>
    </row>
    <row r="165" spans="2:74" ht="13.2" customHeight="1">
      <c r="B165" s="281" t="s">
        <v>1956</v>
      </c>
      <c r="O165" s="39">
        <f>ROW()</f>
        <v>165</v>
      </c>
    </row>
    <row r="166" spans="2:74" s="1122" customFormat="1" ht="13.2" customHeight="1">
      <c r="B166" s="1126" t="str">
        <f>CONCATENATE("Product of Figures in Row ",O158, " by ratio in Row ",O163,)</f>
        <v>Product of Figures in Row 158 by ratio in Row 163</v>
      </c>
      <c r="G166" s="1122">
        <f t="shared" ref="G166:M166" si="90">P166+Y166+AH166+AQ166+AZ166+BI166</f>
        <v>4887770.3619101448</v>
      </c>
      <c r="H166" s="1122">
        <f t="shared" si="90"/>
        <v>1283302.4472092623</v>
      </c>
      <c r="I166" s="1122">
        <f t="shared" si="90"/>
        <v>7228958.5413245726</v>
      </c>
      <c r="J166" s="1122">
        <f t="shared" si="90"/>
        <v>2205390.6529658451</v>
      </c>
      <c r="K166" s="1122">
        <f t="shared" si="90"/>
        <v>8039062.0109516988</v>
      </c>
      <c r="L166" s="1122">
        <f t="shared" si="90"/>
        <v>15207012.392620942</v>
      </c>
      <c r="M166" s="1122">
        <f t="shared" si="90"/>
        <v>5776518.4450596282</v>
      </c>
      <c r="N166" s="1131">
        <f>SUM(G166:M166)</f>
        <v>44628014.852042094</v>
      </c>
      <c r="O166" s="39">
        <f>ROW()</f>
        <v>166</v>
      </c>
      <c r="P166" s="1134">
        <f>P158*$K$163</f>
        <v>1363745.5213577119</v>
      </c>
      <c r="Q166" s="1134">
        <f t="shared" ref="Q166:V166" si="91">Q158*$K$163</f>
        <v>645033.4395186808</v>
      </c>
      <c r="R166" s="1134">
        <f t="shared" si="91"/>
        <v>3893721.6123753693</v>
      </c>
      <c r="S166" s="1134">
        <f t="shared" si="91"/>
        <v>1023091.5786088234</v>
      </c>
      <c r="T166" s="1134">
        <f t="shared" si="91"/>
        <v>3293903.0751086255</v>
      </c>
      <c r="U166" s="1134">
        <f t="shared" si="91"/>
        <v>5186139.7360275537</v>
      </c>
      <c r="V166" s="1134">
        <f t="shared" si="91"/>
        <v>1807473.9719742306</v>
      </c>
      <c r="W166" s="1191">
        <f>SUM(P166:V166)</f>
        <v>17213108.934970994</v>
      </c>
      <c r="X166" s="1134"/>
      <c r="Y166" s="1134">
        <f t="shared" ref="Y166:AE166" si="92">Y158*$K$163</f>
        <v>1361448.586220376</v>
      </c>
      <c r="Z166" s="1134">
        <f t="shared" si="92"/>
        <v>197158.2542380596</v>
      </c>
      <c r="AA166" s="1134">
        <f t="shared" si="92"/>
        <v>1302395.2340997804</v>
      </c>
      <c r="AB166" s="1134">
        <f t="shared" si="92"/>
        <v>558234.17144941085</v>
      </c>
      <c r="AC166" s="1134">
        <f t="shared" si="92"/>
        <v>2200375.6246379656</v>
      </c>
      <c r="AD166" s="1134">
        <f t="shared" si="92"/>
        <v>4803381.6554988604</v>
      </c>
      <c r="AE166" s="1134">
        <f t="shared" si="92"/>
        <v>1683666.1327768483</v>
      </c>
      <c r="AF166" s="1191">
        <f>SUM(Y166:AE166)</f>
        <v>12106659.658921301</v>
      </c>
      <c r="AG166" s="1134"/>
      <c r="AH166" s="1134">
        <f t="shared" ref="AH166:AN166" si="93">AH158*$K$163</f>
        <v>1877154.5427074649</v>
      </c>
      <c r="AI166" s="1134">
        <f t="shared" si="93"/>
        <v>362362.11943972204</v>
      </c>
      <c r="AJ166" s="1134">
        <f t="shared" si="93"/>
        <v>1578742.7008882058</v>
      </c>
      <c r="AK166" s="1134">
        <f t="shared" si="93"/>
        <v>485799.47423011786</v>
      </c>
      <c r="AL166" s="1134">
        <f t="shared" si="93"/>
        <v>2048787.3671811344</v>
      </c>
      <c r="AM166" s="1134">
        <f>AM158*$K$163</f>
        <v>4292389.7071852162</v>
      </c>
      <c r="AN166" s="1134">
        <f t="shared" si="93"/>
        <v>1941533.4342309968</v>
      </c>
      <c r="AO166" s="1191">
        <f>SUM(AH166:AN166)</f>
        <v>12586769.345862856</v>
      </c>
      <c r="AP166" s="1134"/>
      <c r="AQ166" s="1134">
        <f t="shared" ref="AQ166:AW166" si="94">AQ158*$K$164</f>
        <v>6795.5825385962817</v>
      </c>
      <c r="AR166" s="1134">
        <f t="shared" si="94"/>
        <v>2738.066387488464</v>
      </c>
      <c r="AS166" s="1134">
        <f t="shared" si="94"/>
        <v>15794.546607482562</v>
      </c>
      <c r="AT166" s="1134">
        <f t="shared" si="94"/>
        <v>4671.1264024309849</v>
      </c>
      <c r="AU166" s="1134">
        <f t="shared" si="94"/>
        <v>15064.139831865243</v>
      </c>
      <c r="AV166" s="1134">
        <f t="shared" si="94"/>
        <v>24440.999014295849</v>
      </c>
      <c r="AW166" s="1134">
        <f t="shared" si="94"/>
        <v>8495.5392178406164</v>
      </c>
      <c r="AX166" s="1191">
        <f>SUM(AQ166:AW166)</f>
        <v>78000</v>
      </c>
      <c r="AY166" s="1134"/>
      <c r="AZ166" s="1134">
        <f t="shared" ref="AZ166:BF166" si="95">AZ158*$K$163</f>
        <v>196894.82140825348</v>
      </c>
      <c r="BA166" s="1134">
        <f t="shared" si="95"/>
        <v>53713.868066933806</v>
      </c>
      <c r="BB166" s="1134">
        <f t="shared" si="95"/>
        <v>309733.60670535307</v>
      </c>
      <c r="BC166" s="1134">
        <f t="shared" si="95"/>
        <v>94406.172076883522</v>
      </c>
      <c r="BD166" s="1134">
        <f t="shared" si="95"/>
        <v>339856.78947837604</v>
      </c>
      <c r="BE166" s="1134">
        <f t="shared" si="95"/>
        <v>636463.45191884693</v>
      </c>
      <c r="BF166" s="1134">
        <f t="shared" si="95"/>
        <v>236979.04397485469</v>
      </c>
      <c r="BG166" s="1191">
        <f>SUM(AZ166:BF166)</f>
        <v>1868047.7536295017</v>
      </c>
      <c r="BH166" s="1134"/>
      <c r="BI166" s="1134">
        <f t="shared" ref="BI166:BO166" si="96">BI158*$K$163</f>
        <v>81731.307677742574</v>
      </c>
      <c r="BJ166" s="1134">
        <f t="shared" si="96"/>
        <v>22296.699558377582</v>
      </c>
      <c r="BK166" s="1134">
        <f t="shared" si="96"/>
        <v>128570.84064838167</v>
      </c>
      <c r="BL166" s="1134">
        <f t="shared" si="96"/>
        <v>39188.130198178187</v>
      </c>
      <c r="BM166" s="1134">
        <f t="shared" si="96"/>
        <v>141075.01471373174</v>
      </c>
      <c r="BN166" s="1134">
        <f t="shared" si="96"/>
        <v>264196.84297617013</v>
      </c>
      <c r="BO166" s="1134">
        <f t="shared" si="96"/>
        <v>98370.322884856942</v>
      </c>
      <c r="BP166" s="1191">
        <f>SUM(BI166:BO166)</f>
        <v>775429.15865743882</v>
      </c>
      <c r="BQ166" s="1134"/>
      <c r="BR166" s="1134"/>
      <c r="BS166" s="1134"/>
      <c r="BT166" s="1134"/>
      <c r="BU166" s="1134"/>
      <c r="BV166" s="1134"/>
    </row>
    <row r="167" spans="2:74" s="1122" customFormat="1" ht="13.2" customHeight="1">
      <c r="B167" s="1192" t="s">
        <v>1954</v>
      </c>
      <c r="G167" s="1122">
        <f t="shared" ref="G167:M167" si="97">G158+G166</f>
        <v>7455054.071945997</v>
      </c>
      <c r="H167" s="1122">
        <f t="shared" si="97"/>
        <v>1966402.5953567878</v>
      </c>
      <c r="I167" s="1122">
        <f t="shared" si="97"/>
        <v>11080441.205079863</v>
      </c>
      <c r="J167" s="1122">
        <f t="shared" si="97"/>
        <v>3378991.5092657451</v>
      </c>
      <c r="K167" s="1122">
        <f t="shared" si="97"/>
        <v>12298432.204677749</v>
      </c>
      <c r="L167" s="1122">
        <f t="shared" si="97"/>
        <v>23225735.047746487</v>
      </c>
      <c r="M167" s="1122">
        <f t="shared" si="97"/>
        <v>8815019.2128045559</v>
      </c>
      <c r="N167" s="186">
        <f>SUM(G167:M167)</f>
        <v>68220075.846877187</v>
      </c>
      <c r="O167" s="39">
        <f>ROW()</f>
        <v>167</v>
      </c>
      <c r="P167" s="1122">
        <f t="shared" ref="P167:V167" si="98">P158+P166</f>
        <v>2062058.3304098796</v>
      </c>
      <c r="Q167" s="1122">
        <f t="shared" si="98"/>
        <v>975326.08285174868</v>
      </c>
      <c r="R167" s="1122">
        <f t="shared" si="98"/>
        <v>5887521.5070199165</v>
      </c>
      <c r="S167" s="1122">
        <f t="shared" si="98"/>
        <v>1546970.8089982783</v>
      </c>
      <c r="T167" s="1122">
        <f t="shared" si="98"/>
        <v>4980562.8463793527</v>
      </c>
      <c r="U167" s="1122">
        <f t="shared" si="98"/>
        <v>7841728.8840651903</v>
      </c>
      <c r="V167" s="1122">
        <f t="shared" si="98"/>
        <v>2733000.184079702</v>
      </c>
      <c r="W167" s="1131">
        <f>SUM(P167:V167)</f>
        <v>26027168.64380407</v>
      </c>
      <c r="Y167" s="1122">
        <f t="shared" ref="Y167:AE167" si="99">Y158+Y166</f>
        <v>2058585.237988913</v>
      </c>
      <c r="Z167" s="1122">
        <f t="shared" si="99"/>
        <v>298114.13800714567</v>
      </c>
      <c r="AA167" s="1122">
        <f t="shared" si="99"/>
        <v>1969293.3174862745</v>
      </c>
      <c r="AB167" s="1122">
        <f t="shared" si="99"/>
        <v>844080.80945387529</v>
      </c>
      <c r="AC167" s="1122">
        <f t="shared" si="99"/>
        <v>3327089.120188883</v>
      </c>
      <c r="AD167" s="1122">
        <f t="shared" si="99"/>
        <v>7262977.5876355525</v>
      </c>
      <c r="AE167" s="1122">
        <f t="shared" si="99"/>
        <v>2545795.9130564397</v>
      </c>
      <c r="AF167" s="1131">
        <f>SUM(Y167:AE167)</f>
        <v>18305936.123817082</v>
      </c>
      <c r="AH167" s="1122">
        <f t="shared" ref="AH167:AN167" si="100">AH158+AH166</f>
        <v>2838361.0443706531</v>
      </c>
      <c r="AI167" s="1122">
        <f t="shared" si="100"/>
        <v>547911.48004779709</v>
      </c>
      <c r="AJ167" s="1122">
        <f t="shared" si="100"/>
        <v>2387145.9058573195</v>
      </c>
      <c r="AK167" s="1122">
        <f t="shared" si="100"/>
        <v>734555.55824494245</v>
      </c>
      <c r="AL167" s="1122">
        <f t="shared" si="100"/>
        <v>3097879.3268764364</v>
      </c>
      <c r="AM167" s="1122">
        <f t="shared" si="100"/>
        <v>6490329.6212147418</v>
      </c>
      <c r="AN167" s="1122">
        <f t="shared" si="100"/>
        <v>2935705.4737305292</v>
      </c>
      <c r="AO167" s="1131">
        <f>SUM(AH167:AN167)</f>
        <v>19031888.410342421</v>
      </c>
      <c r="AQ167" s="1122">
        <f t="shared" ref="AQ167:AW167" si="101">AQ158+AQ166</f>
        <v>74751.407924559098</v>
      </c>
      <c r="AR167" s="1122">
        <f t="shared" si="101"/>
        <v>30118.730262373101</v>
      </c>
      <c r="AS167" s="1122">
        <f t="shared" si="101"/>
        <v>173740.01268230818</v>
      </c>
      <c r="AT167" s="1122">
        <f t="shared" si="101"/>
        <v>51382.390426740836</v>
      </c>
      <c r="AU167" s="1122">
        <f t="shared" si="101"/>
        <v>165705.53815051765</v>
      </c>
      <c r="AV167" s="1122">
        <f t="shared" si="101"/>
        <v>268850.98915725434</v>
      </c>
      <c r="AW167" s="1122">
        <f t="shared" si="101"/>
        <v>93450.931396246786</v>
      </c>
      <c r="AX167" s="1131">
        <f>SUM(AQ167:AW167)</f>
        <v>858000</v>
      </c>
      <c r="AZ167" s="1122">
        <f t="shared" ref="AZ167:BF167" si="102">AZ158+AZ166</f>
        <v>297715.81306110707</v>
      </c>
      <c r="BA167" s="1122">
        <f t="shared" si="102"/>
        <v>81218.326565565541</v>
      </c>
      <c r="BB167" s="1122">
        <f t="shared" si="102"/>
        <v>468334.27051610599</v>
      </c>
      <c r="BC167" s="1122">
        <f t="shared" si="102"/>
        <v>142747.331173221</v>
      </c>
      <c r="BD167" s="1122">
        <f t="shared" si="102"/>
        <v>513882.18176697521</v>
      </c>
      <c r="BE167" s="1122">
        <f t="shared" si="102"/>
        <v>962367.78964749083</v>
      </c>
      <c r="BF167" s="1122">
        <f t="shared" si="102"/>
        <v>358325.36503908422</v>
      </c>
      <c r="BG167" s="1131">
        <f>SUM(AZ167:BF167)</f>
        <v>2824591.0777695496</v>
      </c>
      <c r="BI167" s="1122">
        <f t="shared" ref="BI167:BO167" si="103">BI158+BI166</f>
        <v>123582.23819088546</v>
      </c>
      <c r="BJ167" s="1122">
        <f t="shared" si="103"/>
        <v>33713.837622157764</v>
      </c>
      <c r="BK167" s="1122">
        <f t="shared" si="103"/>
        <v>194406.19151793729</v>
      </c>
      <c r="BL167" s="1122">
        <f t="shared" si="103"/>
        <v>59254.610968686888</v>
      </c>
      <c r="BM167" s="1122">
        <f t="shared" si="103"/>
        <v>213313.19131558284</v>
      </c>
      <c r="BN167" s="1122">
        <f t="shared" si="103"/>
        <v>399480.17602626001</v>
      </c>
      <c r="BO167" s="1122">
        <f t="shared" si="103"/>
        <v>148741.34550255461</v>
      </c>
      <c r="BP167" s="1131">
        <f>SUM(BI167:BO167)</f>
        <v>1172491.5911440649</v>
      </c>
    </row>
    <row r="168" spans="2:74" ht="13.2" customHeight="1">
      <c r="B168" s="281" t="s">
        <v>2900</v>
      </c>
      <c r="G168" s="1122">
        <f t="shared" ref="G168:M168" si="104">G167/G118</f>
        <v>1242509.0119909996</v>
      </c>
      <c r="H168" s="1122">
        <f t="shared" si="104"/>
        <v>1966402.5953567878</v>
      </c>
      <c r="I168" s="1122">
        <f t="shared" si="104"/>
        <v>3693480.4016932878</v>
      </c>
      <c r="J168" s="1122">
        <f t="shared" si="104"/>
        <v>3378991.5092657451</v>
      </c>
      <c r="K168" s="1122">
        <f t="shared" si="104"/>
        <v>3074608.0511694374</v>
      </c>
      <c r="L168" s="1122">
        <f t="shared" si="104"/>
        <v>3870955.8412910812</v>
      </c>
      <c r="M168" s="1122">
        <f t="shared" si="104"/>
        <v>2938339.7376015186</v>
      </c>
      <c r="O168" s="39">
        <f>ROW()</f>
        <v>168</v>
      </c>
    </row>
    <row r="169" spans="2:74" ht="13.2" customHeight="1">
      <c r="B169" s="309" t="str">
        <f>CONCATENATE("Period VMT in Row ",O167, " divided by hours in period in Row ",$O$118, ".")</f>
        <v>Period VMT in Row 167 divided by hours in period in Row 118.</v>
      </c>
      <c r="H169" s="3291"/>
      <c r="I169" s="3291"/>
      <c r="J169" s="3291"/>
      <c r="K169" s="3291"/>
      <c r="L169" s="3291"/>
      <c r="O169" s="39">
        <f>ROW()</f>
        <v>169</v>
      </c>
    </row>
    <row r="170" spans="2:74" ht="13.2" customHeight="1">
      <c r="B170" s="281" t="s">
        <v>191</v>
      </c>
      <c r="G170" s="576">
        <f t="shared" ref="G170:M170" si="105">G168/MAX($G$168:$M$168)</f>
        <v>0.32098248157142117</v>
      </c>
      <c r="H170" s="576">
        <f t="shared" si="105"/>
        <v>0.50798889886094201</v>
      </c>
      <c r="I170" s="576">
        <f t="shared" si="105"/>
        <v>0.95415203715199193</v>
      </c>
      <c r="J170" s="576">
        <f t="shared" si="105"/>
        <v>0.87290882350617283</v>
      </c>
      <c r="K170" s="576">
        <f t="shared" si="105"/>
        <v>0.79427618842171088</v>
      </c>
      <c r="L170" s="576">
        <f t="shared" si="105"/>
        <v>1</v>
      </c>
      <c r="M170" s="576">
        <f t="shared" si="105"/>
        <v>0.75907343252499959</v>
      </c>
      <c r="O170" s="39">
        <f>ROW()</f>
        <v>170</v>
      </c>
    </row>
    <row r="171" spans="2:74" ht="13.2" customHeight="1">
      <c r="B171" s="309" t="str">
        <f>CONCATENATE("Ratio of Hourly VMT for period, as shown in Row ",O168,", to maximum hourly VMT shown in same row.")</f>
        <v>Ratio of Hourly VMT for period, as shown in Row 168, to maximum hourly VMT shown in same row.</v>
      </c>
      <c r="O171" s="39">
        <f>ROW()</f>
        <v>171</v>
      </c>
    </row>
    <row r="172" spans="2:74" ht="13.2" customHeight="1">
      <c r="B172" s="309"/>
      <c r="O172" s="39">
        <f>ROW()</f>
        <v>172</v>
      </c>
    </row>
    <row r="173" spans="2:74" ht="13.2" customHeight="1">
      <c r="B173" s="6" t="s">
        <v>2907</v>
      </c>
      <c r="G173" s="880" t="s">
        <v>1472</v>
      </c>
      <c r="H173" s="880" t="s">
        <v>1087</v>
      </c>
      <c r="I173" s="880" t="s">
        <v>2445</v>
      </c>
      <c r="J173" s="880" t="s">
        <v>1088</v>
      </c>
      <c r="K173" s="880" t="s">
        <v>1089</v>
      </c>
      <c r="L173" s="880" t="s">
        <v>1151</v>
      </c>
      <c r="M173" s="880" t="s">
        <v>1090</v>
      </c>
      <c r="N173" s="880" t="s">
        <v>2684</v>
      </c>
      <c r="O173" s="39">
        <f>ROW()</f>
        <v>173</v>
      </c>
      <c r="P173" s="6" t="s">
        <v>2532</v>
      </c>
      <c r="Y173" s="6" t="s">
        <v>2532</v>
      </c>
      <c r="AH173" s="6" t="s">
        <v>2532</v>
      </c>
      <c r="AQ173" s="6" t="s">
        <v>2532</v>
      </c>
      <c r="AZ173" s="6" t="s">
        <v>2532</v>
      </c>
      <c r="BI173" s="6" t="s">
        <v>2532</v>
      </c>
    </row>
    <row r="174" spans="2:74" ht="13.2" customHeight="1">
      <c r="G174" s="298" t="s">
        <v>1091</v>
      </c>
      <c r="H174" s="298" t="s">
        <v>1092</v>
      </c>
      <c r="I174" s="298" t="s">
        <v>1093</v>
      </c>
      <c r="J174" s="298" t="s">
        <v>1094</v>
      </c>
      <c r="K174" s="298" t="s">
        <v>1095</v>
      </c>
      <c r="L174" s="298" t="s">
        <v>1096</v>
      </c>
      <c r="M174" s="298" t="s">
        <v>1097</v>
      </c>
      <c r="N174" s="298"/>
      <c r="O174" s="39">
        <f>ROW()</f>
        <v>174</v>
      </c>
      <c r="AZ174" s="282" t="s">
        <v>426</v>
      </c>
      <c r="BI174" s="282" t="s">
        <v>426</v>
      </c>
    </row>
    <row r="175" spans="2:74" ht="13.2" customHeight="1">
      <c r="B175" s="308" t="s">
        <v>97</v>
      </c>
      <c r="C175" s="217"/>
      <c r="D175" s="217"/>
      <c r="E175" s="217"/>
      <c r="F175" s="217"/>
      <c r="G175" s="217"/>
      <c r="H175" s="217"/>
      <c r="I175" s="217"/>
      <c r="J175" s="217"/>
      <c r="K175" s="217"/>
      <c r="L175" s="217"/>
      <c r="M175" s="217"/>
      <c r="O175" s="39">
        <f>ROW()</f>
        <v>175</v>
      </c>
      <c r="AZ175" s="308" t="s">
        <v>2533</v>
      </c>
      <c r="BI175" s="308" t="s">
        <v>2533</v>
      </c>
    </row>
    <row r="176" spans="2:74" s="1" customFormat="1" ht="13.2" customHeight="1">
      <c r="G176" s="2241"/>
      <c r="H176" s="2241"/>
      <c r="I176" s="2241"/>
      <c r="J176" s="2241"/>
      <c r="K176" s="2241"/>
      <c r="L176" s="2241"/>
      <c r="M176" s="2241"/>
      <c r="N176" s="5"/>
      <c r="O176" s="136">
        <f>ROW()</f>
        <v>176</v>
      </c>
      <c r="P176" s="265"/>
      <c r="Y176" s="265"/>
      <c r="AH176" s="265"/>
      <c r="AU176" s="1892"/>
      <c r="AV176" s="1892"/>
      <c r="AZ176" s="265"/>
      <c r="BI176" s="265"/>
    </row>
    <row r="177" spans="2:68" ht="13.2" customHeight="1">
      <c r="B177" s="4458" t="s">
        <v>3703</v>
      </c>
      <c r="C177" s="4450"/>
      <c r="D177" s="4450"/>
      <c r="E177" s="4450"/>
      <c r="F177" s="4450"/>
      <c r="G177" s="4450"/>
      <c r="H177" s="4450"/>
      <c r="I177" s="4450"/>
      <c r="J177" s="4450"/>
      <c r="K177" s="4450"/>
      <c r="L177" s="4451"/>
      <c r="O177" s="39">
        <f>ROW()</f>
        <v>177</v>
      </c>
      <c r="P177" s="880" t="s">
        <v>1472</v>
      </c>
      <c r="Q177" s="880" t="s">
        <v>615</v>
      </c>
      <c r="R177" s="880" t="s">
        <v>2445</v>
      </c>
      <c r="S177" s="880" t="s">
        <v>616</v>
      </c>
      <c r="T177" s="880" t="s">
        <v>1152</v>
      </c>
      <c r="U177" s="880" t="s">
        <v>1151</v>
      </c>
      <c r="V177" s="880" t="s">
        <v>617</v>
      </c>
      <c r="W177" s="880" t="s">
        <v>2684</v>
      </c>
      <c r="Y177" s="880" t="s">
        <v>1472</v>
      </c>
      <c r="Z177" s="880" t="s">
        <v>615</v>
      </c>
      <c r="AA177" s="880" t="s">
        <v>2445</v>
      </c>
      <c r="AB177" s="880" t="s">
        <v>616</v>
      </c>
      <c r="AC177" s="880" t="s">
        <v>1152</v>
      </c>
      <c r="AD177" s="880" t="s">
        <v>1151</v>
      </c>
      <c r="AE177" s="880" t="s">
        <v>617</v>
      </c>
      <c r="AF177" s="880" t="s">
        <v>2684</v>
      </c>
      <c r="AH177" s="880" t="s">
        <v>1472</v>
      </c>
      <c r="AI177" s="880" t="s">
        <v>615</v>
      </c>
      <c r="AJ177" s="880" t="s">
        <v>2445</v>
      </c>
      <c r="AK177" s="880" t="s">
        <v>616</v>
      </c>
      <c r="AL177" s="880" t="s">
        <v>1152</v>
      </c>
      <c r="AM177" s="880" t="s">
        <v>1151</v>
      </c>
      <c r="AN177" s="880" t="s">
        <v>617</v>
      </c>
      <c r="AO177" s="880" t="s">
        <v>2684</v>
      </c>
      <c r="AQ177" s="880" t="s">
        <v>1472</v>
      </c>
      <c r="AR177" s="880" t="s">
        <v>615</v>
      </c>
      <c r="AS177" s="880" t="s">
        <v>2445</v>
      </c>
      <c r="AT177" s="880" t="s">
        <v>616</v>
      </c>
      <c r="AU177" s="880" t="s">
        <v>1152</v>
      </c>
      <c r="AV177" s="880" t="s">
        <v>1151</v>
      </c>
      <c r="AW177" s="880" t="s">
        <v>617</v>
      </c>
      <c r="AX177" s="880" t="s">
        <v>2684</v>
      </c>
      <c r="AZ177" s="880" t="s">
        <v>1472</v>
      </c>
      <c r="BA177" s="880" t="s">
        <v>615</v>
      </c>
      <c r="BB177" s="880" t="s">
        <v>2445</v>
      </c>
      <c r="BC177" s="880" t="s">
        <v>616</v>
      </c>
      <c r="BD177" s="880" t="s">
        <v>1152</v>
      </c>
      <c r="BE177" s="880" t="s">
        <v>1151</v>
      </c>
      <c r="BF177" s="880" t="s">
        <v>617</v>
      </c>
      <c r="BG177" s="880" t="s">
        <v>2684</v>
      </c>
      <c r="BI177" s="880" t="s">
        <v>1472</v>
      </c>
      <c r="BJ177" s="880" t="s">
        <v>615</v>
      </c>
      <c r="BK177" s="880" t="s">
        <v>2445</v>
      </c>
      <c r="BL177" s="880" t="s">
        <v>616</v>
      </c>
      <c r="BM177" s="880" t="s">
        <v>1152</v>
      </c>
      <c r="BN177" s="880" t="s">
        <v>1151</v>
      </c>
      <c r="BO177" s="880" t="s">
        <v>617</v>
      </c>
      <c r="BP177" s="880" t="s">
        <v>2684</v>
      </c>
    </row>
    <row r="178" spans="2:68" ht="13.2" customHeight="1">
      <c r="B178" s="4452"/>
      <c r="C178" s="4453"/>
      <c r="D178" s="4453"/>
      <c r="E178" s="4453"/>
      <c r="F178" s="4453"/>
      <c r="G178" s="4453"/>
      <c r="H178" s="4453"/>
      <c r="I178" s="4453"/>
      <c r="J178" s="4453"/>
      <c r="K178" s="4453"/>
      <c r="L178" s="4454"/>
      <c r="O178" s="39">
        <f>ROW()</f>
        <v>178</v>
      </c>
      <c r="P178" s="298" t="s">
        <v>2678</v>
      </c>
      <c r="Q178" s="298" t="s">
        <v>665</v>
      </c>
      <c r="R178" s="298" t="s">
        <v>666</v>
      </c>
      <c r="S178" s="298" t="s">
        <v>667</v>
      </c>
      <c r="T178" s="298" t="s">
        <v>668</v>
      </c>
      <c r="U178" s="298" t="s">
        <v>434</v>
      </c>
      <c r="V178" s="298" t="s">
        <v>435</v>
      </c>
      <c r="W178" s="298"/>
      <c r="Y178" s="298" t="s">
        <v>2678</v>
      </c>
      <c r="Z178" s="298" t="s">
        <v>665</v>
      </c>
      <c r="AA178" s="298" t="s">
        <v>666</v>
      </c>
      <c r="AB178" s="298" t="s">
        <v>667</v>
      </c>
      <c r="AC178" s="298" t="s">
        <v>668</v>
      </c>
      <c r="AD178" s="298" t="s">
        <v>434</v>
      </c>
      <c r="AE178" s="298" t="s">
        <v>435</v>
      </c>
      <c r="AF178" s="298"/>
      <c r="AH178" s="298" t="s">
        <v>2678</v>
      </c>
      <c r="AI178" s="298" t="s">
        <v>665</v>
      </c>
      <c r="AJ178" s="298" t="s">
        <v>666</v>
      </c>
      <c r="AK178" s="298" t="s">
        <v>667</v>
      </c>
      <c r="AL178" s="298" t="s">
        <v>668</v>
      </c>
      <c r="AM178" s="298" t="s">
        <v>434</v>
      </c>
      <c r="AN178" s="298" t="s">
        <v>435</v>
      </c>
      <c r="AO178" s="298"/>
      <c r="AQ178" s="298" t="s">
        <v>2678</v>
      </c>
      <c r="AR178" s="298" t="s">
        <v>665</v>
      </c>
      <c r="AS178" s="298" t="s">
        <v>666</v>
      </c>
      <c r="AT178" s="298" t="s">
        <v>667</v>
      </c>
      <c r="AU178" s="298" t="s">
        <v>668</v>
      </c>
      <c r="AV178" s="298" t="s">
        <v>434</v>
      </c>
      <c r="AW178" s="298" t="s">
        <v>435</v>
      </c>
      <c r="AX178" s="298"/>
      <c r="AZ178" s="298" t="s">
        <v>2678</v>
      </c>
      <c r="BA178" s="298" t="s">
        <v>665</v>
      </c>
      <c r="BB178" s="298" t="s">
        <v>666</v>
      </c>
      <c r="BC178" s="298" t="s">
        <v>667</v>
      </c>
      <c r="BD178" s="298" t="s">
        <v>668</v>
      </c>
      <c r="BE178" s="298" t="s">
        <v>434</v>
      </c>
      <c r="BF178" s="298" t="s">
        <v>435</v>
      </c>
      <c r="BG178" s="298"/>
      <c r="BI178" s="298" t="s">
        <v>2678</v>
      </c>
      <c r="BJ178" s="298" t="s">
        <v>665</v>
      </c>
      <c r="BK178" s="298" t="s">
        <v>666</v>
      </c>
      <c r="BL178" s="298" t="s">
        <v>667</v>
      </c>
      <c r="BM178" s="298" t="s">
        <v>668</v>
      </c>
      <c r="BN178" s="298" t="s">
        <v>434</v>
      </c>
      <c r="BO178" s="298" t="s">
        <v>435</v>
      </c>
      <c r="BP178" s="298"/>
    </row>
    <row r="179" spans="2:68" ht="13.2" customHeight="1">
      <c r="B179" s="4455"/>
      <c r="C179" s="4456"/>
      <c r="D179" s="4456"/>
      <c r="E179" s="4456"/>
      <c r="F179" s="4456"/>
      <c r="G179" s="4456"/>
      <c r="H179" s="4456"/>
      <c r="I179" s="4456"/>
      <c r="J179" s="4456"/>
      <c r="K179" s="4456"/>
      <c r="L179" s="4457"/>
      <c r="O179" s="39">
        <f>ROW()</f>
        <v>179</v>
      </c>
    </row>
    <row r="180" spans="2:68" ht="13.2" customHeight="1">
      <c r="O180" s="39">
        <f>ROW()</f>
        <v>180</v>
      </c>
      <c r="AQ180" s="281" t="s">
        <v>59</v>
      </c>
      <c r="AS180" s="4268" t="s">
        <v>2804</v>
      </c>
      <c r="AT180" s="4269"/>
      <c r="AU180" s="647" t="s">
        <v>1650</v>
      </c>
      <c r="AV180" s="600" t="s">
        <v>1651</v>
      </c>
    </row>
    <row r="181" spans="2:68" ht="13.2" customHeight="1">
      <c r="B181" s="312" t="s">
        <v>3704</v>
      </c>
      <c r="I181" s="1176">
        <f>'Speed-Vol., Cordon'!K124</f>
        <v>91365</v>
      </c>
      <c r="K181" s="509"/>
      <c r="O181" s="39">
        <f>ROW()</f>
        <v>181</v>
      </c>
      <c r="P181" s="282" t="s">
        <v>426</v>
      </c>
      <c r="Y181" s="282" t="s">
        <v>426</v>
      </c>
      <c r="AH181" s="282" t="s">
        <v>426</v>
      </c>
      <c r="AS181" s="4270"/>
      <c r="AT181" s="4271"/>
      <c r="AU181" s="141">
        <v>0.95</v>
      </c>
      <c r="AV181" s="481">
        <v>0.99</v>
      </c>
    </row>
    <row r="182" spans="2:68" ht="13.2" customHeight="1">
      <c r="B182" s="309" t="str">
        <f>CONCATENATE("Are calculated using speed-volume relationship in Speed-Volume Cordon worksheet, operating on V_sub_k value in Row ",O181, " and Hourly VMT figures in Row ",O149, ".")</f>
        <v>Are calculated using speed-volume relationship in Speed-Volume Cordon worksheet, operating on V_sub_k value in Row 181 and Hourly VMT figures in Row 149.</v>
      </c>
      <c r="C182" s="217"/>
      <c r="D182" s="217"/>
      <c r="E182" s="217"/>
      <c r="F182" s="217"/>
      <c r="G182" s="217"/>
      <c r="H182" s="217"/>
      <c r="I182" s="217"/>
      <c r="J182" s="217"/>
      <c r="K182" s="217"/>
      <c r="L182" s="217"/>
      <c r="M182" s="217"/>
      <c r="O182" s="39">
        <f>ROW()</f>
        <v>182</v>
      </c>
      <c r="P182" s="308" t="s">
        <v>2533</v>
      </c>
      <c r="Y182" s="308" t="s">
        <v>2533</v>
      </c>
      <c r="AH182" s="308" t="s">
        <v>2533</v>
      </c>
      <c r="AQ182" s="308" t="s">
        <v>2533</v>
      </c>
      <c r="AS182" s="298"/>
      <c r="AT182" s="298"/>
    </row>
    <row r="183" spans="2:68" ht="13.2" customHeight="1">
      <c r="C183" s="217"/>
      <c r="D183" s="217"/>
      <c r="E183" s="217"/>
      <c r="F183" s="217"/>
      <c r="G183" s="217"/>
      <c r="H183" s="217"/>
      <c r="I183" s="217"/>
      <c r="J183" s="217"/>
      <c r="K183" s="217"/>
      <c r="L183" s="217"/>
      <c r="M183" s="217"/>
      <c r="O183" s="39">
        <f>ROW()</f>
        <v>183</v>
      </c>
    </row>
    <row r="184" spans="2:68" ht="13.2" customHeight="1">
      <c r="B184" s="281" t="s">
        <v>98</v>
      </c>
      <c r="D184" s="86"/>
      <c r="E184" s="86"/>
      <c r="F184" s="86"/>
      <c r="G184" s="21">
        <f t="shared" ref="G184:M184" si="106">KSC/(1+0.1*(G149/V_sub_k)^KSE)</f>
        <v>21.069959679339988</v>
      </c>
      <c r="H184" s="21">
        <f t="shared" si="106"/>
        <v>20.198796211465559</v>
      </c>
      <c r="I184" s="21">
        <f t="shared" si="106"/>
        <v>9.18464960823135</v>
      </c>
      <c r="J184" s="21">
        <f t="shared" si="106"/>
        <v>9.7946762584405249</v>
      </c>
      <c r="K184" s="21">
        <f t="shared" si="106"/>
        <v>12.090312708203816</v>
      </c>
      <c r="L184" s="21">
        <f t="shared" si="106"/>
        <v>8.1810393307876197</v>
      </c>
      <c r="M184" s="21">
        <f t="shared" si="106"/>
        <v>11.923235598532427</v>
      </c>
      <c r="O184" s="39">
        <f>ROW()</f>
        <v>184</v>
      </c>
      <c r="P184" s="21">
        <f t="shared" ref="P184:V184" si="107">G184</f>
        <v>21.069959679339988</v>
      </c>
      <c r="Q184" s="21">
        <f t="shared" si="107"/>
        <v>20.198796211465559</v>
      </c>
      <c r="R184" s="21">
        <f t="shared" si="107"/>
        <v>9.18464960823135</v>
      </c>
      <c r="S184" s="21">
        <f t="shared" si="107"/>
        <v>9.7946762584405249</v>
      </c>
      <c r="T184" s="21">
        <f t="shared" si="107"/>
        <v>12.090312708203816</v>
      </c>
      <c r="U184" s="21">
        <f t="shared" si="107"/>
        <v>8.1810393307876197</v>
      </c>
      <c r="V184" s="21">
        <f t="shared" si="107"/>
        <v>11.923235598532427</v>
      </c>
      <c r="Y184" s="21">
        <f t="shared" ref="Y184:AE184" si="108">G184</f>
        <v>21.069959679339988</v>
      </c>
      <c r="Z184" s="21">
        <f t="shared" si="108"/>
        <v>20.198796211465559</v>
      </c>
      <c r="AA184" s="21">
        <f t="shared" si="108"/>
        <v>9.18464960823135</v>
      </c>
      <c r="AB184" s="21">
        <f t="shared" si="108"/>
        <v>9.7946762584405249</v>
      </c>
      <c r="AC184" s="21">
        <f t="shared" si="108"/>
        <v>12.090312708203816</v>
      </c>
      <c r="AD184" s="21">
        <f t="shared" si="108"/>
        <v>8.1810393307876197</v>
      </c>
      <c r="AE184" s="21">
        <f t="shared" si="108"/>
        <v>11.923235598532427</v>
      </c>
      <c r="AH184" s="21">
        <f t="shared" ref="AH184:AN184" si="109">P184</f>
        <v>21.069959679339988</v>
      </c>
      <c r="AI184" s="21">
        <f t="shared" si="109"/>
        <v>20.198796211465559</v>
      </c>
      <c r="AJ184" s="21">
        <f t="shared" si="109"/>
        <v>9.18464960823135</v>
      </c>
      <c r="AK184" s="21">
        <f t="shared" si="109"/>
        <v>9.7946762584405249</v>
      </c>
      <c r="AL184" s="21">
        <f t="shared" si="109"/>
        <v>12.090312708203816</v>
      </c>
      <c r="AM184" s="21">
        <f t="shared" si="109"/>
        <v>8.1810393307876197</v>
      </c>
      <c r="AN184" s="21">
        <f t="shared" si="109"/>
        <v>11.923235598532427</v>
      </c>
      <c r="AQ184" s="21">
        <f t="shared" ref="AQ184:AW184" si="110">G184*$AU$181</f>
        <v>20.016461695372989</v>
      </c>
      <c r="AR184" s="21">
        <f t="shared" si="110"/>
        <v>19.188856400892281</v>
      </c>
      <c r="AS184" s="21">
        <f t="shared" si="110"/>
        <v>8.7254171278197816</v>
      </c>
      <c r="AT184" s="21">
        <f t="shared" si="110"/>
        <v>9.304942445518499</v>
      </c>
      <c r="AU184" s="21">
        <f t="shared" si="110"/>
        <v>11.485797072793625</v>
      </c>
      <c r="AV184" s="21">
        <f t="shared" si="110"/>
        <v>7.771987364248238</v>
      </c>
      <c r="AW184" s="21">
        <f t="shared" si="110"/>
        <v>11.327073818605806</v>
      </c>
      <c r="AZ184" s="21">
        <f t="shared" ref="AZ184:BF184" si="111">G184</f>
        <v>21.069959679339988</v>
      </c>
      <c r="BA184" s="21">
        <f t="shared" si="111"/>
        <v>20.198796211465559</v>
      </c>
      <c r="BB184" s="21">
        <f t="shared" si="111"/>
        <v>9.18464960823135</v>
      </c>
      <c r="BC184" s="21">
        <f t="shared" si="111"/>
        <v>9.7946762584405249</v>
      </c>
      <c r="BD184" s="21">
        <f t="shared" si="111"/>
        <v>12.090312708203816</v>
      </c>
      <c r="BE184" s="21">
        <f t="shared" si="111"/>
        <v>8.1810393307876197</v>
      </c>
      <c r="BF184" s="21">
        <f t="shared" si="111"/>
        <v>11.923235598532427</v>
      </c>
      <c r="BI184" s="21">
        <f t="shared" ref="BI184:BO184" si="112">G184</f>
        <v>21.069959679339988</v>
      </c>
      <c r="BJ184" s="21">
        <f t="shared" si="112"/>
        <v>20.198796211465559</v>
      </c>
      <c r="BK184" s="21">
        <f t="shared" si="112"/>
        <v>9.18464960823135</v>
      </c>
      <c r="BL184" s="21">
        <f t="shared" si="112"/>
        <v>9.7946762584405249</v>
      </c>
      <c r="BM184" s="21">
        <f t="shared" si="112"/>
        <v>12.090312708203816</v>
      </c>
      <c r="BN184" s="21">
        <f t="shared" si="112"/>
        <v>8.1810393307876197</v>
      </c>
      <c r="BO184" s="21">
        <f t="shared" si="112"/>
        <v>11.923235598532427</v>
      </c>
    </row>
    <row r="185" spans="2:68" ht="13.2" customHeight="1">
      <c r="B185" s="309" t="str">
        <f>CONCATENATE("Reciprocal of Cordon Speeds (needed to calc avgs in Rows ",O187, " &amp; ",O188,")")</f>
        <v>Reciprocal of Cordon Speeds (needed to calc avgs in Rows 187 &amp; 188)</v>
      </c>
      <c r="D185" s="86"/>
      <c r="E185" s="86"/>
      <c r="F185" s="86"/>
      <c r="G185" s="117">
        <f t="shared" ref="G185:M185" si="113">1/G184</f>
        <v>4.7460935626779749E-2</v>
      </c>
      <c r="H185" s="117">
        <f t="shared" si="113"/>
        <v>4.9507900843732668E-2</v>
      </c>
      <c r="I185" s="117">
        <f t="shared" si="113"/>
        <v>0.10887731624555309</v>
      </c>
      <c r="J185" s="117">
        <f t="shared" si="113"/>
        <v>0.10209627900036551</v>
      </c>
      <c r="K185" s="117">
        <f t="shared" si="113"/>
        <v>8.2710846620324005E-2</v>
      </c>
      <c r="L185" s="117">
        <f t="shared" si="113"/>
        <v>0.12223385801810174</v>
      </c>
      <c r="M185" s="117">
        <f t="shared" si="113"/>
        <v>8.3869851579808183E-2</v>
      </c>
      <c r="O185" s="39">
        <f>ROW()</f>
        <v>185</v>
      </c>
      <c r="P185" s="21"/>
      <c r="Q185" s="21"/>
      <c r="R185" s="21"/>
      <c r="S185" s="21"/>
      <c r="T185" s="21"/>
      <c r="U185" s="21"/>
      <c r="V185" s="21"/>
      <c r="Y185" s="21"/>
      <c r="Z185" s="21"/>
      <c r="AA185" s="21"/>
      <c r="AB185" s="21"/>
      <c r="AC185" s="21"/>
      <c r="AD185" s="21"/>
      <c r="AE185" s="21"/>
      <c r="AH185" s="21"/>
      <c r="AI185" s="21"/>
      <c r="AJ185" s="21"/>
      <c r="AK185" s="21"/>
      <c r="AL185" s="21"/>
      <c r="AM185" s="21"/>
      <c r="AN185" s="21"/>
      <c r="AQ185" s="21"/>
      <c r="AR185" s="21"/>
      <c r="AS185" s="21"/>
      <c r="AT185" s="21"/>
      <c r="AU185" s="21"/>
      <c r="AV185" s="21"/>
      <c r="AW185" s="21"/>
      <c r="AZ185" s="21"/>
      <c r="BA185" s="21"/>
      <c r="BB185" s="21"/>
      <c r="BC185" s="21"/>
      <c r="BD185" s="21"/>
      <c r="BE185" s="21"/>
      <c r="BF185" s="21"/>
      <c r="BI185" s="21"/>
      <c r="BJ185" s="21"/>
      <c r="BK185" s="21"/>
      <c r="BL185" s="21"/>
      <c r="BM185" s="21"/>
      <c r="BN185" s="21"/>
      <c r="BO185" s="21"/>
    </row>
    <row r="186" spans="2:68" ht="13.2" customHeight="1" thickBot="1">
      <c r="B186" s="309" t="str">
        <f>CONCATENATE("See note directly above in Rows ",O177, " and ",O182, " to see how cordon speeds were estimated.")</f>
        <v>See note directly above in Rows 177 and 182 to see how cordon speeds were estimated.</v>
      </c>
      <c r="G186" s="282"/>
      <c r="L186" s="4275" t="str">
        <f>CONCATENATE("The '4' in last element in numerator and denominator of Cell K",O187, " adjusts the 8 pm end of our P.M. Peak to 6 pm cutoff in NYCDOT's 12-hour data interval. ")</f>
        <v xml:space="preserve">The '4' in last element in numerator and denominator of Cell K187 adjusts the 8 pm end of our P.M. Peak to 6 pm cutoff in NYCDOT's 12-hour data interval. </v>
      </c>
      <c r="M186" s="3659"/>
      <c r="N186" s="3659"/>
      <c r="O186" s="39">
        <f>ROW()</f>
        <v>186</v>
      </c>
    </row>
    <row r="187" spans="2:68" ht="13.2" customHeight="1">
      <c r="B187" s="4307" t="str">
        <f>CONCATENATE("Note: Cell K",O187, " should equal 9.5 mph -- NYCDOT's est. for those periods (slightly adapted by us; see 'Speed-Vol., Cordon' tab) -- provided the 'switch' for changes in traffic levels from baseline levels in Row ",'User Inputs'!N151, " of 'User Inputs' tab is set to zero.")</f>
        <v>Note: Cell K187 should equal 9.5 mph -- NYCDOT's est. for those periods (slightly adapted by us; see 'Speed-Vol., Cordon' tab) -- provided the 'switch' for changes in traffic levels from baseline levels in Row 151 of 'User Inputs' tab is set to zero.</v>
      </c>
      <c r="C187" s="3786"/>
      <c r="D187" s="3786"/>
      <c r="E187" s="3786"/>
      <c r="F187" s="3786"/>
      <c r="G187" s="3786"/>
      <c r="H187" s="1215" t="s">
        <v>260</v>
      </c>
      <c r="I187" s="1216"/>
      <c r="J187" s="1216"/>
      <c r="K187" s="3001">
        <f>(SUMPRODUCT(I149:K149,I118:K118)+L149*4)/(SUMPRODUCT(I149:K149,I118:K118,I185:K185)+L149*4*L185)</f>
        <v>9.5000487407030025</v>
      </c>
      <c r="L187" s="3659"/>
      <c r="M187" s="3659"/>
      <c r="N187" s="3659"/>
      <c r="O187" s="39">
        <f>ROW()</f>
        <v>187</v>
      </c>
    </row>
    <row r="188" spans="2:68" ht="13.2" customHeight="1" thickBot="1">
      <c r="B188" s="3786"/>
      <c r="C188" s="3786"/>
      <c r="D188" s="3786"/>
      <c r="E188" s="3786"/>
      <c r="F188" s="3786"/>
      <c r="G188" s="3786"/>
      <c r="H188" s="865" t="s">
        <v>983</v>
      </c>
      <c r="I188" s="166"/>
      <c r="J188" s="166"/>
      <c r="K188" s="3002">
        <f>$N$147/SUMPRODUCT(G185:M185,G147:M147)</f>
        <v>10.502037542577714</v>
      </c>
      <c r="L188" s="3659"/>
      <c r="M188" s="3659"/>
      <c r="N188" s="3659"/>
      <c r="O188" s="39">
        <f>ROW()</f>
        <v>188</v>
      </c>
      <c r="Q188" s="2494"/>
    </row>
    <row r="189" spans="2:68" ht="13.2" customHeight="1">
      <c r="B189" s="3786"/>
      <c r="C189" s="3786"/>
      <c r="D189" s="3786"/>
      <c r="E189" s="3786"/>
      <c r="F189" s="3786"/>
      <c r="G189" s="3786"/>
      <c r="L189" s="3659"/>
      <c r="M189" s="3659"/>
      <c r="N189" s="3659"/>
      <c r="O189" s="39">
        <f>ROW()</f>
        <v>189</v>
      </c>
    </row>
    <row r="190" spans="2:68" ht="13.2" customHeight="1">
      <c r="B190" s="308" t="s">
        <v>1186</v>
      </c>
      <c r="C190" s="297"/>
      <c r="D190" s="297"/>
      <c r="E190" s="297"/>
      <c r="F190" s="297"/>
      <c r="G190" s="1123">
        <f>G147/G184</f>
        <v>21206.887016138899</v>
      </c>
      <c r="H190" s="1123">
        <f t="shared" ref="H190:M190" si="114">H147/H184</f>
        <v>4395.5549338387082</v>
      </c>
      <c r="I190" s="1123">
        <f t="shared" si="114"/>
        <v>57677.375921739913</v>
      </c>
      <c r="J190" s="1123">
        <f t="shared" si="114"/>
        <v>17525.869639600944</v>
      </c>
      <c r="K190" s="1123">
        <f t="shared" si="114"/>
        <v>51145.557893814155</v>
      </c>
      <c r="L190" s="1123">
        <f t="shared" si="114"/>
        <v>135843.65352278142</v>
      </c>
      <c r="M190" s="1123">
        <f t="shared" si="114"/>
        <v>39195.727759532099</v>
      </c>
      <c r="N190" s="186">
        <f>SUM(G190:M190)</f>
        <v>326990.62668744614</v>
      </c>
      <c r="O190" s="39">
        <f>ROW()</f>
        <v>190</v>
      </c>
      <c r="Q190" s="2494"/>
    </row>
    <row r="191" spans="2:68" ht="13.2" customHeight="1">
      <c r="B191" s="309" t="str">
        <f>CONCATENATE("Calculated as quotient of Row ",O147, " figures by Row ",O184, " figures. Figures in this row will be invoked later, to calculate time savings from cordon fees.")</f>
        <v>Calculated as quotient of Row 147 figures by Row 184 figures. Figures in this row will be invoked later, to calculate time savings from cordon fees.</v>
      </c>
      <c r="C191" s="297"/>
      <c r="D191" s="297"/>
      <c r="E191" s="297"/>
      <c r="F191" s="297"/>
      <c r="G191" s="282"/>
      <c r="H191" s="282"/>
      <c r="I191" s="282"/>
      <c r="J191" s="282"/>
      <c r="K191" s="282"/>
      <c r="L191" s="282"/>
      <c r="M191" s="282"/>
      <c r="N191" s="186"/>
      <c r="O191" s="39">
        <f>ROW()</f>
        <v>191</v>
      </c>
    </row>
    <row r="192" spans="2:68" ht="13.2" customHeight="1">
      <c r="B192" s="568"/>
      <c r="C192" s="568"/>
      <c r="D192" s="568"/>
      <c r="E192" s="568"/>
      <c r="F192" s="568"/>
      <c r="H192" s="1047"/>
      <c r="I192" s="1047"/>
      <c r="J192" s="1047"/>
      <c r="K192" s="1047"/>
      <c r="L192" s="1047"/>
      <c r="M192" s="1047"/>
      <c r="O192" s="39">
        <f>ROW()</f>
        <v>192</v>
      </c>
      <c r="AZ192" s="281" t="s">
        <v>2517</v>
      </c>
      <c r="BI192" s="281" t="s">
        <v>2518</v>
      </c>
    </row>
    <row r="193" spans="2:67" ht="13.2" customHeight="1">
      <c r="B193" s="308" t="s">
        <v>2412</v>
      </c>
      <c r="C193" s="297"/>
      <c r="D193" s="297"/>
      <c r="E193" s="297"/>
      <c r="F193" s="297"/>
      <c r="G193" s="1047"/>
      <c r="H193" s="1047"/>
      <c r="I193" s="1047"/>
      <c r="J193" s="1047"/>
      <c r="K193" s="1047"/>
      <c r="L193" s="1047"/>
      <c r="M193" s="1047"/>
      <c r="O193" s="39">
        <f>ROW()</f>
        <v>193</v>
      </c>
    </row>
    <row r="194" spans="2:67" ht="13.2" customHeight="1">
      <c r="B194" s="308"/>
      <c r="C194" s="297"/>
      <c r="D194" s="297"/>
      <c r="E194" s="297"/>
      <c r="F194" s="297"/>
      <c r="G194" s="1047"/>
      <c r="H194" s="1047"/>
      <c r="I194" s="1047"/>
      <c r="J194" s="1047"/>
      <c r="K194" s="1047"/>
      <c r="L194" s="1047"/>
      <c r="M194" s="1047"/>
      <c r="O194" s="39">
        <f>ROW()</f>
        <v>194</v>
      </c>
    </row>
    <row r="195" spans="2:67" ht="13.2" customHeight="1">
      <c r="B195" s="4187" t="s">
        <v>984</v>
      </c>
      <c r="C195" s="4187"/>
      <c r="D195" s="4187"/>
      <c r="E195" s="4187"/>
      <c r="F195" s="4187"/>
      <c r="G195" s="4187"/>
      <c r="H195" s="4187"/>
      <c r="I195" s="4187"/>
      <c r="J195" s="4187"/>
      <c r="K195" s="4187"/>
      <c r="L195" s="4187"/>
      <c r="M195" s="21"/>
      <c r="O195" s="39">
        <f>ROW()</f>
        <v>195</v>
      </c>
      <c r="P195" s="308"/>
      <c r="Y195" s="308"/>
      <c r="AH195" s="308"/>
      <c r="AQ195" s="308"/>
      <c r="AZ195" s="308"/>
      <c r="BI195" s="308"/>
    </row>
    <row r="196" spans="2:67" ht="13.2" customHeight="1">
      <c r="B196" s="4187"/>
      <c r="C196" s="4187"/>
      <c r="D196" s="4187"/>
      <c r="E196" s="4187"/>
      <c r="F196" s="4187"/>
      <c r="G196" s="4187"/>
      <c r="H196" s="4187"/>
      <c r="I196" s="4187"/>
      <c r="J196" s="4187"/>
      <c r="K196" s="4187"/>
      <c r="L196" s="4187"/>
      <c r="M196" s="21"/>
      <c r="O196" s="39">
        <f>ROW()</f>
        <v>196</v>
      </c>
      <c r="P196" s="308"/>
      <c r="Y196" s="308"/>
      <c r="AH196" s="308"/>
      <c r="AQ196" s="308"/>
      <c r="AZ196" s="308"/>
      <c r="BI196" s="308"/>
    </row>
    <row r="197" spans="2:67" ht="13.2" customHeight="1">
      <c r="B197" s="4187"/>
      <c r="C197" s="4187"/>
      <c r="D197" s="4187"/>
      <c r="E197" s="4187"/>
      <c r="F197" s="4187"/>
      <c r="G197" s="4187"/>
      <c r="H197" s="4187"/>
      <c r="I197" s="4187"/>
      <c r="J197" s="4187"/>
      <c r="K197" s="4187"/>
      <c r="L197" s="4187"/>
      <c r="M197" s="21"/>
      <c r="O197" s="39">
        <f>ROW()</f>
        <v>197</v>
      </c>
      <c r="P197" s="308"/>
      <c r="Y197" s="308"/>
      <c r="AH197" s="308"/>
      <c r="AQ197" s="308"/>
      <c r="AZ197" s="308"/>
      <c r="BI197" s="308"/>
    </row>
    <row r="198" spans="2:67" ht="13.2" customHeight="1">
      <c r="B198" s="309"/>
      <c r="C198" s="297"/>
      <c r="D198" s="297"/>
      <c r="E198" s="297"/>
      <c r="F198" s="297"/>
      <c r="G198" s="21"/>
      <c r="H198" s="21"/>
      <c r="I198" s="4296" t="s">
        <v>381</v>
      </c>
      <c r="J198" s="4296"/>
      <c r="K198" s="4296"/>
      <c r="L198" s="21"/>
      <c r="M198" s="21"/>
      <c r="O198" s="39">
        <f>ROW()</f>
        <v>198</v>
      </c>
      <c r="P198" s="308" t="s">
        <v>2534</v>
      </c>
      <c r="Y198" s="308" t="s">
        <v>2534</v>
      </c>
      <c r="AH198" s="308" t="s">
        <v>2534</v>
      </c>
      <c r="AQ198" s="308" t="s">
        <v>2534</v>
      </c>
      <c r="AZ198" s="308" t="s">
        <v>2534</v>
      </c>
      <c r="BI198" s="308" t="s">
        <v>2534</v>
      </c>
    </row>
    <row r="199" spans="2:67" ht="13.2" customHeight="1">
      <c r="B199" s="281" t="s">
        <v>377</v>
      </c>
      <c r="G199" s="1214">
        <f>Alpha*EXP(Beta*G168/'Speed-Vol., non-Cordon'!$S$100)</f>
        <v>65.877655226233486</v>
      </c>
      <c r="H199" s="1214">
        <f>Alpha*EXP(Beta*H168/'Speed-Vol., non-Cordon'!$S$100)</f>
        <v>44.21060782845241</v>
      </c>
      <c r="I199" s="1214">
        <f>Alpha*EXP(Beta*I168/'Speed-Vol., non-Cordon'!$S$100)</f>
        <v>17.071636237590194</v>
      </c>
      <c r="J199" s="1214">
        <f>Alpha*EXP(Beta*J168/'Speed-Vol., non-Cordon'!$S$100)</f>
        <v>20.301370221590386</v>
      </c>
      <c r="K199" s="1214">
        <f>Alpha*EXP(Beta*K168/'Speed-Vol., non-Cordon'!$S$100)</f>
        <v>24.008086562678411</v>
      </c>
      <c r="L199" s="1214">
        <f>Alpha*EXP(Beta*L168/'Speed-Vol., non-Cordon'!$S$100)</f>
        <v>15.481363917407503</v>
      </c>
      <c r="M199" s="1214">
        <f>Alpha*EXP(Beta*M168/'Speed-Vol., non-Cordon'!$S$100)</f>
        <v>25.879955628508849</v>
      </c>
      <c r="N199" s="956"/>
      <c r="O199" s="39">
        <f>ROW()</f>
        <v>199</v>
      </c>
    </row>
    <row r="200" spans="2:67" ht="13.2" customHeight="1">
      <c r="B200" s="281" t="s">
        <v>378</v>
      </c>
      <c r="G200" s="1213">
        <f>MIN(G199,'Speed-Vol., non-Cordon'!$X$32)</f>
        <v>55</v>
      </c>
      <c r="H200" s="1213">
        <f>MIN(H199,'Speed-Vol., non-Cordon'!$X$32)</f>
        <v>44.21060782845241</v>
      </c>
      <c r="I200" s="1213">
        <f>MIN(I199,'Speed-Vol., non-Cordon'!$X$32)</f>
        <v>17.071636237590194</v>
      </c>
      <c r="J200" s="1213">
        <f>MIN(J199,'Speed-Vol., non-Cordon'!$X$32)</f>
        <v>20.301370221590386</v>
      </c>
      <c r="K200" s="1213">
        <f>MIN(K199,'Speed-Vol., non-Cordon'!$X$32)</f>
        <v>24.008086562678411</v>
      </c>
      <c r="L200" s="1213">
        <f>MIN(L199,'Speed-Vol., non-Cordon'!$X$32)</f>
        <v>15.481363917407503</v>
      </c>
      <c r="M200" s="1213">
        <f>MIN(M199,'Speed-Vol., non-Cordon'!$X$32)</f>
        <v>25.879955628508849</v>
      </c>
      <c r="N200" s="956"/>
      <c r="O200" s="39">
        <f>ROW()</f>
        <v>200</v>
      </c>
      <c r="P200" s="824">
        <f t="shared" ref="P200:V200" si="115">G200</f>
        <v>55</v>
      </c>
      <c r="Q200" s="824">
        <f t="shared" si="115"/>
        <v>44.21060782845241</v>
      </c>
      <c r="R200" s="824">
        <f t="shared" si="115"/>
        <v>17.071636237590194</v>
      </c>
      <c r="S200" s="824">
        <f t="shared" si="115"/>
        <v>20.301370221590386</v>
      </c>
      <c r="T200" s="824">
        <f t="shared" si="115"/>
        <v>24.008086562678411</v>
      </c>
      <c r="U200" s="824">
        <f t="shared" si="115"/>
        <v>15.481363917407503</v>
      </c>
      <c r="V200" s="824">
        <f t="shared" si="115"/>
        <v>25.879955628508849</v>
      </c>
      <c r="W200" s="86"/>
      <c r="X200" s="86"/>
      <c r="Y200" s="824">
        <f t="shared" ref="Y200:AE200" si="116">G200</f>
        <v>55</v>
      </c>
      <c r="Z200" s="824">
        <f t="shared" si="116"/>
        <v>44.21060782845241</v>
      </c>
      <c r="AA200" s="824">
        <f t="shared" si="116"/>
        <v>17.071636237590194</v>
      </c>
      <c r="AB200" s="824">
        <f t="shared" si="116"/>
        <v>20.301370221590386</v>
      </c>
      <c r="AC200" s="824">
        <f t="shared" si="116"/>
        <v>24.008086562678411</v>
      </c>
      <c r="AD200" s="824">
        <f t="shared" si="116"/>
        <v>15.481363917407503</v>
      </c>
      <c r="AE200" s="824">
        <f t="shared" si="116"/>
        <v>25.879955628508849</v>
      </c>
      <c r="AF200" s="86"/>
      <c r="AG200" s="86"/>
      <c r="AH200" s="824">
        <f t="shared" ref="AH200:AN200" si="117">P200</f>
        <v>55</v>
      </c>
      <c r="AI200" s="824">
        <f t="shared" si="117"/>
        <v>44.21060782845241</v>
      </c>
      <c r="AJ200" s="824">
        <f t="shared" si="117"/>
        <v>17.071636237590194</v>
      </c>
      <c r="AK200" s="824">
        <f t="shared" si="117"/>
        <v>20.301370221590386</v>
      </c>
      <c r="AL200" s="824">
        <f t="shared" si="117"/>
        <v>24.008086562678411</v>
      </c>
      <c r="AM200" s="824">
        <f t="shared" si="117"/>
        <v>15.481363917407503</v>
      </c>
      <c r="AN200" s="824">
        <f t="shared" si="117"/>
        <v>25.879955628508849</v>
      </c>
      <c r="AO200" s="86"/>
      <c r="AP200" s="86"/>
      <c r="AQ200" s="824">
        <f t="shared" ref="AQ200:AW200" si="118">$AV$181*G200</f>
        <v>54.45</v>
      </c>
      <c r="AR200" s="824">
        <f t="shared" si="118"/>
        <v>43.768501750167886</v>
      </c>
      <c r="AS200" s="824">
        <f t="shared" si="118"/>
        <v>16.900919875214292</v>
      </c>
      <c r="AT200" s="824">
        <f t="shared" si="118"/>
        <v>20.09835651937448</v>
      </c>
      <c r="AU200" s="824">
        <f t="shared" si="118"/>
        <v>23.768005697051628</v>
      </c>
      <c r="AV200" s="824">
        <f t="shared" si="118"/>
        <v>15.326550278233428</v>
      </c>
      <c r="AW200" s="824">
        <f t="shared" si="118"/>
        <v>25.621156072223762</v>
      </c>
      <c r="AX200" s="86"/>
      <c r="AY200" s="86"/>
      <c r="AZ200" s="824">
        <f t="shared" ref="AZ200:BF200" si="119">G200</f>
        <v>55</v>
      </c>
      <c r="BA200" s="824">
        <f t="shared" si="119"/>
        <v>44.21060782845241</v>
      </c>
      <c r="BB200" s="824">
        <f t="shared" si="119"/>
        <v>17.071636237590194</v>
      </c>
      <c r="BC200" s="824">
        <f t="shared" si="119"/>
        <v>20.301370221590386</v>
      </c>
      <c r="BD200" s="824">
        <f t="shared" si="119"/>
        <v>24.008086562678411</v>
      </c>
      <c r="BE200" s="824">
        <f t="shared" si="119"/>
        <v>15.481363917407503</v>
      </c>
      <c r="BF200" s="824">
        <f t="shared" si="119"/>
        <v>25.879955628508849</v>
      </c>
      <c r="BG200" s="86"/>
      <c r="BH200" s="86"/>
      <c r="BI200" s="824">
        <f t="shared" ref="BI200:BO200" si="120">G200</f>
        <v>55</v>
      </c>
      <c r="BJ200" s="824">
        <f t="shared" si="120"/>
        <v>44.21060782845241</v>
      </c>
      <c r="BK200" s="824">
        <f t="shared" si="120"/>
        <v>17.071636237590194</v>
      </c>
      <c r="BL200" s="824">
        <f t="shared" si="120"/>
        <v>20.301370221590386</v>
      </c>
      <c r="BM200" s="824">
        <f t="shared" si="120"/>
        <v>24.008086562678411</v>
      </c>
      <c r="BN200" s="824">
        <f t="shared" si="120"/>
        <v>15.481363917407503</v>
      </c>
      <c r="BO200" s="824">
        <f t="shared" si="120"/>
        <v>25.879955628508849</v>
      </c>
    </row>
    <row r="201" spans="2:67" ht="13.2" customHeight="1">
      <c r="B201" s="309" t="str">
        <f>CONCATENATE("Reciprocal of Cordon Speeds (needed to calc avgs in Rows ",O203, " &amp; ",O204,")")</f>
        <v>Reciprocal of Cordon Speeds (needed to calc avgs in Rows 203 &amp; 204)</v>
      </c>
      <c r="G201" s="117">
        <f t="shared" ref="G201:M201" si="121">1/G200</f>
        <v>1.8181818181818181E-2</v>
      </c>
      <c r="H201" s="117">
        <f t="shared" si="121"/>
        <v>2.2619005915508694E-2</v>
      </c>
      <c r="I201" s="117">
        <f t="shared" si="121"/>
        <v>5.8576693298917105E-2</v>
      </c>
      <c r="J201" s="117">
        <f t="shared" si="121"/>
        <v>4.9257758914051326E-2</v>
      </c>
      <c r="K201" s="117">
        <f t="shared" si="121"/>
        <v>4.1652632224116623E-2</v>
      </c>
      <c r="L201" s="117">
        <f t="shared" si="121"/>
        <v>6.4593791951081475E-2</v>
      </c>
      <c r="M201" s="117">
        <f t="shared" si="121"/>
        <v>3.8639942600922378E-2</v>
      </c>
      <c r="O201" s="39">
        <f>ROW()</f>
        <v>201</v>
      </c>
    </row>
    <row r="202" spans="2:67" ht="13.2" customHeight="1" thickBot="1">
      <c r="H202" s="117"/>
      <c r="I202" s="117"/>
      <c r="J202" s="117"/>
      <c r="K202" s="117"/>
      <c r="L202" s="117"/>
      <c r="M202" s="117"/>
      <c r="O202" s="39">
        <f>ROW()</f>
        <v>202</v>
      </c>
      <c r="Q202" s="21"/>
      <c r="R202" s="21"/>
      <c r="S202" s="21"/>
      <c r="T202" s="21"/>
      <c r="U202" s="21"/>
      <c r="V202" s="21"/>
      <c r="Y202" s="21"/>
      <c r="Z202" s="21"/>
      <c r="AA202" s="21"/>
      <c r="AB202" s="21"/>
      <c r="AC202" s="21"/>
      <c r="AD202" s="21"/>
      <c r="AE202" s="21"/>
      <c r="AH202" s="21"/>
      <c r="AI202" s="21"/>
      <c r="AJ202" s="21"/>
      <c r="AK202" s="21"/>
      <c r="AL202" s="21"/>
      <c r="AM202" s="21"/>
      <c r="AN202" s="21"/>
      <c r="AQ202" s="21"/>
      <c r="AR202" s="21"/>
      <c r="AS202" s="21"/>
      <c r="AT202" s="21"/>
      <c r="AU202" s="21"/>
      <c r="AV202" s="21"/>
      <c r="AW202" s="21"/>
      <c r="AZ202" s="21"/>
      <c r="BA202" s="21"/>
      <c r="BB202" s="21"/>
      <c r="BC202" s="21"/>
      <c r="BD202" s="21"/>
      <c r="BE202" s="21"/>
      <c r="BF202" s="21"/>
      <c r="BI202" s="21"/>
      <c r="BJ202" s="21"/>
      <c r="BK202" s="21"/>
      <c r="BL202" s="21"/>
      <c r="BM202" s="21"/>
      <c r="BN202" s="21"/>
      <c r="BO202" s="21"/>
    </row>
    <row r="203" spans="2:67" ht="13.2" customHeight="1">
      <c r="B203" s="4307" t="str">
        <f>CONCATENATE("Note: Cell in box at right (this row) should equal 18.22 mph -- PlaNYC's-based figure for those time periods (see 'VMT' worksheet) -- provided the 'switch' for changes in traffic levels from baseline levels in Row ",'User Inputs'!N151, " of 'User Inputs' worksheet is set to zero.")</f>
        <v>Note: Cell in box at right (this row) should equal 18.22 mph -- PlaNYC's-based figure for those time periods (see 'VMT' worksheet) -- provided the 'switch' for changes in traffic levels from baseline levels in Row 151 of 'User Inputs' worksheet is set to zero.</v>
      </c>
      <c r="C203" s="3786"/>
      <c r="D203" s="3786"/>
      <c r="E203" s="3786"/>
      <c r="F203" s="3786"/>
      <c r="G203" s="3786"/>
      <c r="H203" s="1215" t="s">
        <v>260</v>
      </c>
      <c r="I203" s="1216"/>
      <c r="J203" s="1216"/>
      <c r="K203" s="1221">
        <f>(SUMPRODUCT(I149:K149,I118:K118)+L149*4)/(SUMPRODUCT(I149:K149,I118:K118,I201:K201)+L149*4*L201)</f>
        <v>18.219843721850598</v>
      </c>
      <c r="L203" s="4447" t="s">
        <v>1260</v>
      </c>
      <c r="M203" s="4448"/>
      <c r="N203" s="4448"/>
      <c r="O203" s="39">
        <f>ROW()</f>
        <v>203</v>
      </c>
    </row>
    <row r="204" spans="2:67" ht="13.2" customHeight="1" thickBot="1">
      <c r="B204" s="3786"/>
      <c r="C204" s="3786"/>
      <c r="D204" s="3786"/>
      <c r="E204" s="3786"/>
      <c r="F204" s="3786"/>
      <c r="G204" s="3786"/>
      <c r="H204" s="865" t="s">
        <v>983</v>
      </c>
      <c r="I204" s="166"/>
      <c r="J204" s="166"/>
      <c r="K204" s="916">
        <f>$N$147/SUMPRODUCT(G201:M201,G147:M147)</f>
        <v>20.784928325827366</v>
      </c>
      <c r="L204" s="4448"/>
      <c r="M204" s="4448"/>
      <c r="N204" s="4448"/>
      <c r="O204" s="39">
        <f>ROW()</f>
        <v>204</v>
      </c>
    </row>
    <row r="205" spans="2:67" ht="13.2" customHeight="1">
      <c r="B205" s="3786"/>
      <c r="C205" s="3786"/>
      <c r="D205" s="3786"/>
      <c r="E205" s="3786"/>
      <c r="F205" s="3786"/>
      <c r="G205" s="3786"/>
      <c r="L205" s="4448"/>
      <c r="M205" s="4448"/>
      <c r="N205" s="4448"/>
      <c r="O205" s="39">
        <f>ROW()</f>
        <v>205</v>
      </c>
    </row>
    <row r="206" spans="2:67" ht="13.2" customHeight="1">
      <c r="B206" s="967"/>
      <c r="C206" s="967"/>
      <c r="D206" s="967"/>
      <c r="E206" s="967"/>
      <c r="F206" s="967"/>
      <c r="G206" s="21"/>
      <c r="M206" s="21"/>
      <c r="O206" s="39">
        <f>ROW()</f>
        <v>206</v>
      </c>
    </row>
    <row r="207" spans="2:67" ht="13.2" customHeight="1">
      <c r="B207" s="967"/>
      <c r="C207" s="967"/>
      <c r="D207" s="967"/>
      <c r="E207" s="967"/>
      <c r="F207" s="967"/>
      <c r="G207" s="21"/>
      <c r="M207" s="21"/>
      <c r="O207" s="39">
        <f>ROW()</f>
        <v>207</v>
      </c>
    </row>
    <row r="208" spans="2:67" ht="13.2" customHeight="1">
      <c r="B208" s="6" t="s">
        <v>2908</v>
      </c>
      <c r="K208" s="509"/>
      <c r="O208" s="39">
        <f>ROW()</f>
        <v>208</v>
      </c>
    </row>
    <row r="209" spans="2:68" ht="13.2" customHeight="1">
      <c r="O209" s="39">
        <f>ROW()</f>
        <v>209</v>
      </c>
    </row>
    <row r="210" spans="2:68" ht="13.2" customHeight="1">
      <c r="B210" s="4449" t="s">
        <v>1227</v>
      </c>
      <c r="C210" s="4450"/>
      <c r="D210" s="4450"/>
      <c r="E210" s="4450"/>
      <c r="F210" s="4450"/>
      <c r="G210" s="4450"/>
      <c r="H210" s="4450"/>
      <c r="I210" s="4450"/>
      <c r="J210" s="4450"/>
      <c r="K210" s="4450"/>
      <c r="L210" s="4451"/>
      <c r="M210" s="45"/>
      <c r="N210" s="45"/>
      <c r="O210" s="39">
        <f>ROW()</f>
        <v>210</v>
      </c>
      <c r="W210" s="4272" t="s">
        <v>1878</v>
      </c>
      <c r="AF210" s="4272" t="s">
        <v>1878</v>
      </c>
      <c r="AO210" s="4272" t="s">
        <v>1878</v>
      </c>
      <c r="AX210" s="4272" t="s">
        <v>1878</v>
      </c>
      <c r="BG210" s="4272" t="s">
        <v>1878</v>
      </c>
      <c r="BP210" s="4272" t="s">
        <v>1878</v>
      </c>
    </row>
    <row r="211" spans="2:68" ht="13.2" customHeight="1">
      <c r="B211" s="4452"/>
      <c r="C211" s="4453"/>
      <c r="D211" s="4453"/>
      <c r="E211" s="4453"/>
      <c r="F211" s="4453"/>
      <c r="G211" s="4453"/>
      <c r="H211" s="4453"/>
      <c r="I211" s="4453"/>
      <c r="J211" s="4453"/>
      <c r="K211" s="4453"/>
      <c r="L211" s="4454"/>
      <c r="M211" s="191"/>
      <c r="N211" s="191"/>
      <c r="O211" s="39">
        <f>ROW()</f>
        <v>211</v>
      </c>
      <c r="P211" s="6" t="s">
        <v>2040</v>
      </c>
      <c r="W211" s="4273"/>
      <c r="Y211" s="6" t="s">
        <v>2040</v>
      </c>
      <c r="AF211" s="4273"/>
      <c r="AH211" s="6" t="s">
        <v>2040</v>
      </c>
      <c r="AO211" s="4273"/>
      <c r="AQ211" s="2" t="s">
        <v>3168</v>
      </c>
      <c r="AX211" s="4273"/>
      <c r="AZ211" s="6" t="s">
        <v>2040</v>
      </c>
      <c r="BG211" s="4273"/>
      <c r="BI211" s="6" t="s">
        <v>2040</v>
      </c>
      <c r="BP211" s="4273"/>
    </row>
    <row r="212" spans="2:68" ht="13.2" customHeight="1">
      <c r="B212" s="4455"/>
      <c r="C212" s="4456"/>
      <c r="D212" s="4456"/>
      <c r="E212" s="4456"/>
      <c r="F212" s="4456"/>
      <c r="G212" s="4456"/>
      <c r="H212" s="4456"/>
      <c r="I212" s="4456"/>
      <c r="J212" s="4456"/>
      <c r="K212" s="4456"/>
      <c r="L212" s="4457"/>
      <c r="M212" s="191"/>
      <c r="N212" s="191"/>
      <c r="O212" s="39">
        <f>ROW()</f>
        <v>212</v>
      </c>
      <c r="W212" s="4273"/>
      <c r="AF212" s="4273"/>
      <c r="AO212" s="4273"/>
      <c r="AX212" s="4273"/>
      <c r="BG212" s="4273"/>
      <c r="BP212" s="4273"/>
    </row>
    <row r="213" spans="2:68" ht="13.2" customHeight="1">
      <c r="B213" s="280" t="s">
        <v>2158</v>
      </c>
      <c r="C213" s="881"/>
      <c r="D213" s="881"/>
      <c r="E213" s="881"/>
      <c r="F213" s="881"/>
      <c r="G213" s="4286" t="s">
        <v>2351</v>
      </c>
      <c r="H213" s="3775"/>
      <c r="I213" s="3775"/>
      <c r="J213" s="3775"/>
      <c r="K213" s="3775"/>
      <c r="L213" s="3776"/>
      <c r="M213" s="191"/>
      <c r="N213" s="191"/>
      <c r="O213" s="39">
        <f>ROW()</f>
        <v>213</v>
      </c>
      <c r="P213" s="21">
        <f t="shared" ref="P213:V213" si="122">$I$85*60/P184</f>
        <v>3.5595701720084811</v>
      </c>
      <c r="Q213" s="21">
        <f t="shared" si="122"/>
        <v>3.7130925632799503</v>
      </c>
      <c r="R213" s="21">
        <f t="shared" si="122"/>
        <v>8.1657987184164824</v>
      </c>
      <c r="S213" s="21">
        <f t="shared" si="122"/>
        <v>7.6572209250274135</v>
      </c>
      <c r="T213" s="21">
        <f t="shared" si="122"/>
        <v>6.2033134965243004</v>
      </c>
      <c r="U213" s="21">
        <f t="shared" si="122"/>
        <v>9.1675393513576307</v>
      </c>
      <c r="V213" s="21">
        <f t="shared" si="122"/>
        <v>6.2902388684856136</v>
      </c>
      <c r="W213" s="613">
        <f>SUMPRODUCT(P$147:V$147,P213:V213)/W$147</f>
        <v>7.3255767688886042</v>
      </c>
      <c r="Y213" s="21">
        <f t="shared" ref="Y213:AE213" si="123">$J$85*60/Y184</f>
        <v>3.5595701720084811</v>
      </c>
      <c r="Z213" s="21">
        <f t="shared" si="123"/>
        <v>3.7130925632799503</v>
      </c>
      <c r="AA213" s="21">
        <f t="shared" si="123"/>
        <v>8.1657987184164824</v>
      </c>
      <c r="AB213" s="21">
        <f t="shared" si="123"/>
        <v>7.6572209250274135</v>
      </c>
      <c r="AC213" s="21">
        <f t="shared" si="123"/>
        <v>6.2033134965243004</v>
      </c>
      <c r="AD213" s="21">
        <f t="shared" si="123"/>
        <v>9.1675393513576307</v>
      </c>
      <c r="AE213" s="21">
        <f t="shared" si="123"/>
        <v>6.2902388684856136</v>
      </c>
      <c r="AF213" s="613">
        <f>SUMPRODUCT(Y$147:AE$147,Y213:AE213)/AF$147</f>
        <v>7.3244167656433339</v>
      </c>
      <c r="AH213" s="21">
        <f t="shared" ref="AH213:AN213" si="124">$K$85*60/AH184</f>
        <v>4.5562498201708559</v>
      </c>
      <c r="AI213" s="21">
        <f t="shared" si="124"/>
        <v>4.7527584809983363</v>
      </c>
      <c r="AJ213" s="21">
        <f t="shared" si="124"/>
        <v>10.452222359573097</v>
      </c>
      <c r="AK213" s="21">
        <f t="shared" si="124"/>
        <v>9.8012427840350895</v>
      </c>
      <c r="AL213" s="21">
        <f t="shared" si="124"/>
        <v>7.9402412755511049</v>
      </c>
      <c r="AM213" s="21">
        <f t="shared" si="124"/>
        <v>11.734450369737766</v>
      </c>
      <c r="AN213" s="21">
        <f t="shared" si="124"/>
        <v>8.0515057516615851</v>
      </c>
      <c r="AO213" s="613">
        <f>SUMPRODUCT(AH$147:AN$147,AH213:AN213)/AO$147</f>
        <v>9.0417785154651078</v>
      </c>
      <c r="AQ213" s="21">
        <f t="shared" ref="AQ213:AW213" si="125">$L$85*60/AQ184</f>
        <v>5.9950655528563885</v>
      </c>
      <c r="AR213" s="21">
        <f t="shared" si="125"/>
        <v>6.2536295802609692</v>
      </c>
      <c r="AS213" s="21">
        <f t="shared" si="125"/>
        <v>13.752924157333023</v>
      </c>
      <c r="AT213" s="21">
        <f t="shared" si="125"/>
        <v>12.896372084256695</v>
      </c>
      <c r="AU213" s="21">
        <f t="shared" si="125"/>
        <v>10.447685888883033</v>
      </c>
      <c r="AV213" s="21">
        <f t="shared" si="125"/>
        <v>15.440066275970748</v>
      </c>
      <c r="AW213" s="21">
        <f t="shared" si="125"/>
        <v>10.594086515344191</v>
      </c>
      <c r="AX213" s="613">
        <f>SUMPRODUCT(AQ$147:AW$147,AQ213:AW213)/AX$147</f>
        <v>11.734087144752081</v>
      </c>
      <c r="AZ213" s="21">
        <f t="shared" ref="AZ213:BF213" si="126">$M$85*60/AZ184</f>
        <v>8.542968412820354</v>
      </c>
      <c r="BA213" s="21">
        <f t="shared" si="126"/>
        <v>8.9114221518718804</v>
      </c>
      <c r="BB213" s="21">
        <f t="shared" si="126"/>
        <v>19.597916924199556</v>
      </c>
      <c r="BC213" s="21">
        <f t="shared" si="126"/>
        <v>18.377330220065794</v>
      </c>
      <c r="BD213" s="21">
        <f t="shared" si="126"/>
        <v>14.88795239165832</v>
      </c>
      <c r="BE213" s="21">
        <f t="shared" si="126"/>
        <v>22.002094443258315</v>
      </c>
      <c r="BF213" s="21">
        <f t="shared" si="126"/>
        <v>15.096573284365473</v>
      </c>
      <c r="BG213" s="613">
        <f>SUMPRODUCT(AZ$147:BF$147,AZ213:BF213)/BG$147</f>
        <v>17.454945788733479</v>
      </c>
      <c r="BI213" s="21">
        <f t="shared" ref="BI213:BO213" si="127">$N$85*60/BI184</f>
        <v>5.6953122752135696</v>
      </c>
      <c r="BJ213" s="21">
        <f t="shared" si="127"/>
        <v>5.9409481012479199</v>
      </c>
      <c r="BK213" s="21">
        <f t="shared" si="127"/>
        <v>13.06527794946637</v>
      </c>
      <c r="BL213" s="21">
        <f t="shared" si="127"/>
        <v>12.251553480043862</v>
      </c>
      <c r="BM213" s="21">
        <f t="shared" si="127"/>
        <v>9.9253015944388814</v>
      </c>
      <c r="BN213" s="21">
        <f t="shared" si="127"/>
        <v>14.668062962172209</v>
      </c>
      <c r="BO213" s="21">
        <f t="shared" si="127"/>
        <v>10.064382189576982</v>
      </c>
      <c r="BP213" s="613">
        <f>SUMPRODUCT(BI$147:BO$147,BI213:BO213)/BP$147</f>
        <v>11.636630525822317</v>
      </c>
    </row>
    <row r="214" spans="2:68" s="86" customFormat="1" ht="13.2" customHeight="1">
      <c r="B214" s="815" t="s">
        <v>2159</v>
      </c>
      <c r="C214" s="827"/>
      <c r="D214" s="827"/>
      <c r="E214" s="827"/>
      <c r="F214" s="827"/>
      <c r="G214" s="3738"/>
      <c r="H214" s="3739"/>
      <c r="I214" s="3739"/>
      <c r="J214" s="3739"/>
      <c r="K214" s="3739"/>
      <c r="L214" s="3922"/>
      <c r="M214"/>
      <c r="N214"/>
      <c r="O214" s="39">
        <f>ROW()</f>
        <v>214</v>
      </c>
      <c r="P214" s="824">
        <f t="shared" ref="P214:V214" si="128">60*$I$85/(1/($P$135/$P184+$Q$135/$Q184+$R$135/$R184+$S$135/$S184+$T$135/$T184+$U$135/$U184+$V$135/$V184))</f>
        <v>7.2374630892798653</v>
      </c>
      <c r="Q214" s="824">
        <f t="shared" si="128"/>
        <v>7.2374630892798653</v>
      </c>
      <c r="R214" s="824">
        <f t="shared" si="128"/>
        <v>7.2374630892798653</v>
      </c>
      <c r="S214" s="824">
        <f t="shared" si="128"/>
        <v>7.2374630892798653</v>
      </c>
      <c r="T214" s="824">
        <f t="shared" si="128"/>
        <v>7.2374630892798653</v>
      </c>
      <c r="U214" s="824">
        <f t="shared" si="128"/>
        <v>7.2374630892798653</v>
      </c>
      <c r="V214" s="824">
        <f t="shared" si="128"/>
        <v>7.2374630892798653</v>
      </c>
      <c r="W214" s="828">
        <f>SUMPRODUCT(P$147:V$147,P214:V214)/W$147</f>
        <v>7.2374630892798661</v>
      </c>
      <c r="Y214" s="824">
        <f t="shared" ref="Y214:AE214" si="129">60*$J$85/(1/($Y$135/$Y184+$Z$135/$Z184+$AA$135/$AA184+$AB$135/$AB184+$AC$135/$AC184+$AD$135/$AD184+$AE$135/$AE184))</f>
        <v>7.2374630892798679</v>
      </c>
      <c r="Z214" s="824">
        <f t="shared" si="129"/>
        <v>7.2374630892798679</v>
      </c>
      <c r="AA214" s="824">
        <f t="shared" si="129"/>
        <v>7.2374630892798679</v>
      </c>
      <c r="AB214" s="824">
        <f t="shared" si="129"/>
        <v>7.2374630892798679</v>
      </c>
      <c r="AC214" s="824">
        <f t="shared" si="129"/>
        <v>7.2374630892798679</v>
      </c>
      <c r="AD214" s="824">
        <f t="shared" si="129"/>
        <v>7.2374630892798679</v>
      </c>
      <c r="AE214" s="824">
        <f t="shared" si="129"/>
        <v>7.2374630892798679</v>
      </c>
      <c r="AF214" s="828">
        <f>SUMPRODUCT(Y$147:AE$147,Y214:AE214)/AF$147</f>
        <v>7.2374630892798688</v>
      </c>
      <c r="AH214" s="824">
        <f t="shared" ref="AH214:AN214" si="130">AH213</f>
        <v>4.5562498201708559</v>
      </c>
      <c r="AI214" s="824">
        <f t="shared" si="130"/>
        <v>4.7527584809983363</v>
      </c>
      <c r="AJ214" s="824">
        <f t="shared" si="130"/>
        <v>10.452222359573097</v>
      </c>
      <c r="AK214" s="824">
        <f t="shared" si="130"/>
        <v>9.8012427840350895</v>
      </c>
      <c r="AL214" s="824">
        <f t="shared" si="130"/>
        <v>7.9402412755511049</v>
      </c>
      <c r="AM214" s="824">
        <f t="shared" si="130"/>
        <v>11.734450369737766</v>
      </c>
      <c r="AN214" s="824">
        <f t="shared" si="130"/>
        <v>8.0515057516615851</v>
      </c>
      <c r="AO214" s="828">
        <f>SUMPRODUCT(AH$147:AN$147,AH214:AN214)/AO$147</f>
        <v>9.0417785154651078</v>
      </c>
      <c r="AQ214" s="824"/>
      <c r="AR214" s="824"/>
      <c r="AS214" s="824"/>
      <c r="AT214" s="824"/>
      <c r="AU214" s="824"/>
      <c r="AV214" s="824"/>
      <c r="AW214" s="824"/>
      <c r="AX214" s="828"/>
      <c r="AZ214" s="824">
        <f t="shared" ref="AZ214:BF214" si="131">60*$M$85/(1/($AZ$135/$AZ184+$BA$135/$BA184+$BB$135/$BB184+$BC$135/$BC184+$BD$135/$BD184+$BE$135/$BE184+$BF$135/$BF184))</f>
        <v>17.369911414271684</v>
      </c>
      <c r="BA214" s="824">
        <f t="shared" si="131"/>
        <v>17.369911414271684</v>
      </c>
      <c r="BB214" s="824">
        <f t="shared" si="131"/>
        <v>17.369911414271684</v>
      </c>
      <c r="BC214" s="824">
        <f t="shared" si="131"/>
        <v>17.369911414271684</v>
      </c>
      <c r="BD214" s="824">
        <f t="shared" si="131"/>
        <v>17.369911414271684</v>
      </c>
      <c r="BE214" s="824">
        <f t="shared" si="131"/>
        <v>17.369911414271684</v>
      </c>
      <c r="BF214" s="824">
        <f t="shared" si="131"/>
        <v>17.369911414271684</v>
      </c>
      <c r="BG214" s="828">
        <f>SUMPRODUCT(AZ$147:BF$147,AZ214:BF214)/BG$147</f>
        <v>17.369911414271684</v>
      </c>
      <c r="BI214" s="824">
        <f t="shared" ref="BI214:BO214" si="132">60*$N$85/(1/($BI$135/$BI184+$BJ$135/$BJ184+$BK$135/$BK184+$BL$135/$BL184+$BM$135/$BM184+$BN$135/$BN184+$BO$135/$BO184))</f>
        <v>11.579940942847784</v>
      </c>
      <c r="BJ214" s="824">
        <f t="shared" si="132"/>
        <v>11.579940942847784</v>
      </c>
      <c r="BK214" s="824">
        <f t="shared" si="132"/>
        <v>11.579940942847784</v>
      </c>
      <c r="BL214" s="824">
        <f t="shared" si="132"/>
        <v>11.579940942847784</v>
      </c>
      <c r="BM214" s="824">
        <f t="shared" si="132"/>
        <v>11.579940942847784</v>
      </c>
      <c r="BN214" s="824">
        <f t="shared" si="132"/>
        <v>11.579940942847784</v>
      </c>
      <c r="BO214" s="824">
        <f t="shared" si="132"/>
        <v>11.579940942847784</v>
      </c>
      <c r="BP214" s="828">
        <f>SUMPRODUCT(BI$147:BO$147,BI214:BO214)/BP$147</f>
        <v>11.579940942847786</v>
      </c>
    </row>
    <row r="215" spans="2:68" ht="13.2" customHeight="1">
      <c r="B215" s="280" t="s">
        <v>2160</v>
      </c>
      <c r="C215" s="297"/>
      <c r="D215" s="297"/>
      <c r="E215" s="297"/>
      <c r="F215" s="297"/>
      <c r="G215" s="3738"/>
      <c r="H215" s="3739"/>
      <c r="I215" s="3739"/>
      <c r="J215" s="3739"/>
      <c r="K215" s="3739"/>
      <c r="L215" s="3922"/>
      <c r="O215" s="39">
        <f>ROW()</f>
        <v>215</v>
      </c>
      <c r="P215" s="21">
        <f t="shared" ref="P215:V215" si="133">$I$79*60/P200</f>
        <v>18.436427705879503</v>
      </c>
      <c r="Q215" s="21">
        <f t="shared" si="133"/>
        <v>22.935751703707528</v>
      </c>
      <c r="R215" s="21">
        <f t="shared" si="133"/>
        <v>59.396973419022885</v>
      </c>
      <c r="S215" s="21">
        <f t="shared" si="133"/>
        <v>49.947541114490193</v>
      </c>
      <c r="T215" s="21">
        <f t="shared" si="133"/>
        <v>42.235915851773221</v>
      </c>
      <c r="U215" s="21">
        <f t="shared" si="133"/>
        <v>65.498332655510424</v>
      </c>
      <c r="V215" s="21">
        <f t="shared" si="133"/>
        <v>39.181037957668153</v>
      </c>
      <c r="W215" s="613">
        <f>SUMPRODUCT(P$147:V$147,P215:V215)/W$147</f>
        <v>50.566670574233974</v>
      </c>
      <c r="Y215" s="21">
        <f t="shared" ref="Y215:AE215" si="134">$J$79*60/Y200</f>
        <v>18.436427705879503</v>
      </c>
      <c r="Z215" s="21">
        <f t="shared" si="134"/>
        <v>22.935751703707528</v>
      </c>
      <c r="AA215" s="21">
        <f t="shared" si="134"/>
        <v>59.396973419022885</v>
      </c>
      <c r="AB215" s="21">
        <f t="shared" si="134"/>
        <v>49.947541114490193</v>
      </c>
      <c r="AC215" s="21">
        <f t="shared" si="134"/>
        <v>42.235915851773221</v>
      </c>
      <c r="AD215" s="21">
        <f t="shared" si="134"/>
        <v>65.498332655510424</v>
      </c>
      <c r="AE215" s="21">
        <f t="shared" si="134"/>
        <v>39.181037957668153</v>
      </c>
      <c r="AF215" s="613">
        <f>SUMPRODUCT(Y$147:AE$147,Y215:AE215)/AF$147</f>
        <v>50.213383733437354</v>
      </c>
      <c r="AH215" s="21">
        <f t="shared" ref="AH215:AN215" si="135">$K$79*60/AH200</f>
        <v>27.654641558819254</v>
      </c>
      <c r="AI215" s="21">
        <f t="shared" si="135"/>
        <v>34.403627555561293</v>
      </c>
      <c r="AJ215" s="21">
        <f t="shared" si="135"/>
        <v>89.095460128534327</v>
      </c>
      <c r="AK215" s="21">
        <f t="shared" si="135"/>
        <v>74.921311671735296</v>
      </c>
      <c r="AL215" s="21">
        <f t="shared" si="135"/>
        <v>63.353873777659828</v>
      </c>
      <c r="AM215" s="21">
        <f t="shared" si="135"/>
        <v>98.247498983265643</v>
      </c>
      <c r="AN215" s="21">
        <f t="shared" si="135"/>
        <v>58.771556936502222</v>
      </c>
      <c r="AO215" s="613">
        <f>SUMPRODUCT(AH$147:AN$147,AH215:AN215)/AO$147</f>
        <v>72.064263363003349</v>
      </c>
      <c r="AQ215" s="21">
        <f t="shared" ref="AQ215:AW215" si="136">$L$79*60/AQ200</f>
        <v>6.6115702479338836</v>
      </c>
      <c r="AR215" s="21">
        <f t="shared" si="136"/>
        <v>8.2250930601849799</v>
      </c>
      <c r="AS215" s="21">
        <f t="shared" si="136"/>
        <v>21.300615745060767</v>
      </c>
      <c r="AT215" s="21">
        <f t="shared" si="136"/>
        <v>17.911912332382304</v>
      </c>
      <c r="AU215" s="21">
        <f t="shared" si="136"/>
        <v>15.146411717860589</v>
      </c>
      <c r="AV215" s="21">
        <f t="shared" si="136"/>
        <v>23.488651618575084</v>
      </c>
      <c r="AW215" s="21">
        <f t="shared" si="136"/>
        <v>14.050888218517228</v>
      </c>
      <c r="AX215" s="613">
        <f>SUMPRODUCT(AQ$147:AW$147,AQ215:AW215)/AX$147</f>
        <v>16.944583840049319</v>
      </c>
      <c r="AZ215" s="21">
        <f t="shared" ref="AZ215:BF215" si="137">$M$79*60/AZ200</f>
        <v>13.658400630271988</v>
      </c>
      <c r="BA215" s="21">
        <f t="shared" si="137"/>
        <v>16.991669455888037</v>
      </c>
      <c r="BB215" s="21">
        <f t="shared" si="137"/>
        <v>44.003516957024807</v>
      </c>
      <c r="BC215" s="21">
        <f t="shared" si="137"/>
        <v>37.003021296860538</v>
      </c>
      <c r="BD215" s="21">
        <f t="shared" si="137"/>
        <v>31.289958602229895</v>
      </c>
      <c r="BE215" s="21">
        <f t="shared" si="137"/>
        <v>48.523633878296991</v>
      </c>
      <c r="BF215" s="21">
        <f t="shared" si="137"/>
        <v>29.026789900576141</v>
      </c>
      <c r="BG215" s="613">
        <f>SUMPRODUCT(AZ$147:BF$147,AZ215:BF215)/BG$147</f>
        <v>37.001732654980451</v>
      </c>
      <c r="BI215" s="21">
        <f t="shared" ref="BI215:BO215" si="138">$N$79*60/BI200</f>
        <v>18.945721288914854</v>
      </c>
      <c r="BJ215" s="21">
        <f t="shared" si="138"/>
        <v>23.569336004914923</v>
      </c>
      <c r="BK215" s="21">
        <f t="shared" si="138"/>
        <v>61.037773789714137</v>
      </c>
      <c r="BL215" s="21">
        <f t="shared" si="138"/>
        <v>51.327307443619766</v>
      </c>
      <c r="BM215" s="21">
        <f t="shared" si="138"/>
        <v>43.402653858728286</v>
      </c>
      <c r="BN215" s="21">
        <f t="shared" si="138"/>
        <v>67.307678861463771</v>
      </c>
      <c r="BO215" s="21">
        <f t="shared" si="138"/>
        <v>40.263387072520871</v>
      </c>
      <c r="BP215" s="613">
        <f>SUMPRODUCT(BI$147:BO$147,BI215:BO215)/BP$147</f>
        <v>51.325519953959578</v>
      </c>
    </row>
    <row r="216" spans="2:68" s="86" customFormat="1" ht="13.2" customHeight="1">
      <c r="B216" s="815" t="s">
        <v>1138</v>
      </c>
      <c r="C216" s="827"/>
      <c r="D216" s="827"/>
      <c r="E216" s="827"/>
      <c r="F216" s="827"/>
      <c r="G216" s="3738"/>
      <c r="H216" s="3739"/>
      <c r="I216" s="3739"/>
      <c r="J216" s="3739"/>
      <c r="K216" s="3739"/>
      <c r="L216" s="3922"/>
      <c r="M216"/>
      <c r="N216"/>
      <c r="O216" s="39">
        <f>ROW()</f>
        <v>216</v>
      </c>
      <c r="P216" s="824">
        <f t="shared" ref="P216:V216" si="139">60*$I$79/(1/($P$135/$P200+$Q$135/$Q200+$R$135/$R200+$S$135/$S200+$T$135/$T200+$U$135/$U200+$V$135/$V200))</f>
        <v>49.513373981961557</v>
      </c>
      <c r="Q216" s="824">
        <f t="shared" si="139"/>
        <v>49.513373981961557</v>
      </c>
      <c r="R216" s="824">
        <f t="shared" si="139"/>
        <v>49.513373981961557</v>
      </c>
      <c r="S216" s="824">
        <f t="shared" si="139"/>
        <v>49.513373981961557</v>
      </c>
      <c r="T216" s="824">
        <f t="shared" si="139"/>
        <v>49.513373981961557</v>
      </c>
      <c r="U216" s="824">
        <f t="shared" si="139"/>
        <v>49.513373981961557</v>
      </c>
      <c r="V216" s="824">
        <f t="shared" si="139"/>
        <v>49.513373981961557</v>
      </c>
      <c r="W216" s="828">
        <f>SUMPRODUCT(P$147:V$147,P216:V216)/W$147</f>
        <v>49.513373981961557</v>
      </c>
      <c r="Y216" s="824">
        <f t="shared" ref="Y216:AE216" si="140">60*$J$79/(1/($Y$135/$Y200+$Z$135/$Z200+$AA$135/$AA200+$AB$135/$AB200+$AC$135/$AC200+$AD$135/$AD200+$AE$135/$AE200))</f>
        <v>49.513373981961564</v>
      </c>
      <c r="Z216" s="824">
        <f t="shared" si="140"/>
        <v>49.513373981961564</v>
      </c>
      <c r="AA216" s="824">
        <f t="shared" si="140"/>
        <v>49.513373981961564</v>
      </c>
      <c r="AB216" s="824">
        <f t="shared" si="140"/>
        <v>49.513373981961564</v>
      </c>
      <c r="AC216" s="824">
        <f t="shared" si="140"/>
        <v>49.513373981961564</v>
      </c>
      <c r="AD216" s="824">
        <f t="shared" si="140"/>
        <v>49.513373981961564</v>
      </c>
      <c r="AE216" s="824">
        <f t="shared" si="140"/>
        <v>49.513373981961564</v>
      </c>
      <c r="AF216" s="828">
        <f>SUMPRODUCT(Y$147:AE$147,Y216:AE216)/AF$147</f>
        <v>49.513373981961571</v>
      </c>
      <c r="AH216" s="824">
        <f t="shared" ref="AH216:AN216" si="141">AH215</f>
        <v>27.654641558819254</v>
      </c>
      <c r="AI216" s="824">
        <f t="shared" si="141"/>
        <v>34.403627555561293</v>
      </c>
      <c r="AJ216" s="824">
        <f t="shared" si="141"/>
        <v>89.095460128534327</v>
      </c>
      <c r="AK216" s="824">
        <f t="shared" si="141"/>
        <v>74.921311671735296</v>
      </c>
      <c r="AL216" s="824">
        <f t="shared" si="141"/>
        <v>63.353873777659828</v>
      </c>
      <c r="AM216" s="824">
        <f t="shared" si="141"/>
        <v>98.247498983265643</v>
      </c>
      <c r="AN216" s="824">
        <f t="shared" si="141"/>
        <v>58.771556936502222</v>
      </c>
      <c r="AO216" s="828">
        <f>SUMPRODUCT(AH$147:AN$147,AH216:AN216)/AO$147</f>
        <v>72.064263363003349</v>
      </c>
      <c r="AQ216" s="824"/>
      <c r="AR216" s="824"/>
      <c r="AS216" s="824"/>
      <c r="AT216" s="824"/>
      <c r="AU216" s="824"/>
      <c r="AV216" s="824"/>
      <c r="AW216" s="824"/>
      <c r="AX216" s="828"/>
      <c r="AZ216" s="824">
        <f t="shared" ref="AZ216:BF216" si="142">60*$M$79/(1/($AZ$135/$AZ200+$BA$135/$BA200+$BB$135/$BB200+$BC$135/$BC200+$BD$135/$BD200+$BE$135/$BE200+$BF$135/$BF200))</f>
        <v>36.68137391857362</v>
      </c>
      <c r="BA216" s="824">
        <f t="shared" si="142"/>
        <v>36.68137391857362</v>
      </c>
      <c r="BB216" s="824">
        <f t="shared" si="142"/>
        <v>36.68137391857362</v>
      </c>
      <c r="BC216" s="824">
        <f t="shared" si="142"/>
        <v>36.68137391857362</v>
      </c>
      <c r="BD216" s="824">
        <f t="shared" si="142"/>
        <v>36.68137391857362</v>
      </c>
      <c r="BE216" s="824">
        <f t="shared" si="142"/>
        <v>36.68137391857362</v>
      </c>
      <c r="BF216" s="824">
        <f t="shared" si="142"/>
        <v>36.68137391857362</v>
      </c>
      <c r="BG216" s="828">
        <f>SUMPRODUCT(AZ$147:BF$147,AZ216:BF216)/BG$147</f>
        <v>36.68137391857362</v>
      </c>
      <c r="BI216" s="824">
        <f t="shared" ref="BI216:BO216" si="143">60*$N$79/(1/($BI$135/$BI200+$BJ$135/$BJ200+$BK$135/$BK200+$BL$135/$BL200+$BM$135/$BM200+$BN$135/$BN200+$BO$135/$BO200))</f>
        <v>50.881146743894206</v>
      </c>
      <c r="BJ216" s="824">
        <f t="shared" si="143"/>
        <v>50.881146743894206</v>
      </c>
      <c r="BK216" s="824">
        <f t="shared" si="143"/>
        <v>50.881146743894206</v>
      </c>
      <c r="BL216" s="824">
        <f t="shared" si="143"/>
        <v>50.881146743894206</v>
      </c>
      <c r="BM216" s="824">
        <f t="shared" si="143"/>
        <v>50.881146743894206</v>
      </c>
      <c r="BN216" s="824">
        <f t="shared" si="143"/>
        <v>50.881146743894206</v>
      </c>
      <c r="BO216" s="824">
        <f t="shared" si="143"/>
        <v>50.881146743894206</v>
      </c>
      <c r="BP216" s="828">
        <f>SUMPRODUCT(BI$147:BO$147,BI216:BO216)/BP$147</f>
        <v>50.881146743894199</v>
      </c>
    </row>
    <row r="217" spans="2:68" ht="13.2" customHeight="1">
      <c r="B217" s="280" t="s">
        <v>2243</v>
      </c>
      <c r="C217" s="297"/>
      <c r="D217" s="297"/>
      <c r="E217" s="297"/>
      <c r="F217" s="297"/>
      <c r="G217" s="3741"/>
      <c r="H217" s="3742"/>
      <c r="I217" s="3742"/>
      <c r="J217" s="3742"/>
      <c r="K217" s="3742"/>
      <c r="L217" s="3777"/>
      <c r="O217" s="39">
        <f>ROW()</f>
        <v>217</v>
      </c>
      <c r="P217" s="21">
        <f>SUM(P213:P216)</f>
        <v>78.746834949129408</v>
      </c>
      <c r="Q217" s="21">
        <f t="shared" ref="Q217:W217" si="144">SUM(Q213:Q216)</f>
        <v>83.399681338228902</v>
      </c>
      <c r="R217" s="21">
        <f t="shared" si="144"/>
        <v>124.31360920868079</v>
      </c>
      <c r="S217" s="21">
        <f t="shared" si="144"/>
        <v>114.35559911075902</v>
      </c>
      <c r="T217" s="21">
        <f t="shared" si="144"/>
        <v>105.19006641953894</v>
      </c>
      <c r="U217" s="21">
        <f t="shared" si="144"/>
        <v>131.41670907810948</v>
      </c>
      <c r="V217" s="21">
        <f t="shared" si="144"/>
        <v>102.22211389739519</v>
      </c>
      <c r="W217" s="614">
        <f t="shared" si="144"/>
        <v>114.64308441436401</v>
      </c>
      <c r="Y217" s="21">
        <f t="shared" ref="Y217:AF217" si="145">SUM(Y213:Y216)</f>
        <v>78.746834949129408</v>
      </c>
      <c r="Z217" s="21">
        <f t="shared" si="145"/>
        <v>83.399681338228902</v>
      </c>
      <c r="AA217" s="21">
        <f t="shared" si="145"/>
        <v>124.3136092086808</v>
      </c>
      <c r="AB217" s="21">
        <f t="shared" si="145"/>
        <v>114.35559911075904</v>
      </c>
      <c r="AC217" s="21">
        <f t="shared" si="145"/>
        <v>105.19006641953895</v>
      </c>
      <c r="AD217" s="21">
        <f t="shared" si="145"/>
        <v>131.41670907810948</v>
      </c>
      <c r="AE217" s="21">
        <f t="shared" si="145"/>
        <v>102.22211389739519</v>
      </c>
      <c r="AF217" s="614">
        <f t="shared" si="145"/>
        <v>114.28863757032212</v>
      </c>
      <c r="AH217" s="21">
        <f t="shared" ref="AH217:AO217" si="146">SUM(AH213:AH216)</f>
        <v>64.421782757980225</v>
      </c>
      <c r="AI217" s="21">
        <f t="shared" si="146"/>
        <v>78.312772073119248</v>
      </c>
      <c r="AJ217" s="21">
        <f t="shared" si="146"/>
        <v>199.09536497621485</v>
      </c>
      <c r="AK217" s="21">
        <f t="shared" si="146"/>
        <v>169.44510891154079</v>
      </c>
      <c r="AL217" s="21">
        <f t="shared" si="146"/>
        <v>142.58823010642186</v>
      </c>
      <c r="AM217" s="21">
        <f t="shared" si="146"/>
        <v>219.96389870600683</v>
      </c>
      <c r="AN217" s="21">
        <f t="shared" si="146"/>
        <v>133.64612537632763</v>
      </c>
      <c r="AO217" s="614">
        <f t="shared" si="146"/>
        <v>162.21208375693692</v>
      </c>
      <c r="AQ217" s="21">
        <f t="shared" ref="AQ217:AX217" si="147">AQ213+AQ215</f>
        <v>12.606635800790272</v>
      </c>
      <c r="AR217" s="21">
        <f t="shared" si="147"/>
        <v>14.478722640445948</v>
      </c>
      <c r="AS217" s="21">
        <f t="shared" si="147"/>
        <v>35.053539902393794</v>
      </c>
      <c r="AT217" s="21">
        <f t="shared" si="147"/>
        <v>30.808284416638998</v>
      </c>
      <c r="AU217" s="21">
        <f t="shared" si="147"/>
        <v>25.594097606743624</v>
      </c>
      <c r="AV217" s="21">
        <f t="shared" si="147"/>
        <v>38.928717894545834</v>
      </c>
      <c r="AW217" s="21">
        <f t="shared" si="147"/>
        <v>24.644974733861417</v>
      </c>
      <c r="AX217" s="614">
        <f t="shared" si="147"/>
        <v>28.6786709848014</v>
      </c>
      <c r="AZ217" s="21">
        <f t="shared" ref="AZ217:BG217" si="148">SUM(AZ213:AZ216)</f>
        <v>76.252654375937652</v>
      </c>
      <c r="BA217" s="21">
        <f t="shared" si="148"/>
        <v>79.954376940605215</v>
      </c>
      <c r="BB217" s="21">
        <f t="shared" si="148"/>
        <v>117.65271921406966</v>
      </c>
      <c r="BC217" s="21">
        <f t="shared" si="148"/>
        <v>109.43163684977165</v>
      </c>
      <c r="BD217" s="21">
        <f t="shared" si="148"/>
        <v>100.22919632673351</v>
      </c>
      <c r="BE217" s="21">
        <f t="shared" si="148"/>
        <v>124.57701365440062</v>
      </c>
      <c r="BF217" s="21">
        <f t="shared" si="148"/>
        <v>98.17464851778692</v>
      </c>
      <c r="BG217" s="614">
        <f t="shared" si="148"/>
        <v>108.50796377655925</v>
      </c>
      <c r="BI217" s="21">
        <f t="shared" ref="BI217:BP217" si="149">SUM(BI213:BI216)</f>
        <v>87.102121250870411</v>
      </c>
      <c r="BJ217" s="21">
        <f t="shared" si="149"/>
        <v>91.971371792904833</v>
      </c>
      <c r="BK217" s="21">
        <f t="shared" si="149"/>
        <v>136.56413942592252</v>
      </c>
      <c r="BL217" s="21">
        <f t="shared" si="149"/>
        <v>126.03994861040562</v>
      </c>
      <c r="BM217" s="21">
        <f t="shared" si="149"/>
        <v>115.78904313990915</v>
      </c>
      <c r="BN217" s="21">
        <f t="shared" si="149"/>
        <v>144.43682951037795</v>
      </c>
      <c r="BO217" s="21">
        <f t="shared" si="149"/>
        <v>112.78885694883985</v>
      </c>
      <c r="BP217" s="614">
        <f t="shared" si="149"/>
        <v>125.42323816652387</v>
      </c>
    </row>
    <row r="218" spans="2:68" ht="13.2" customHeight="1">
      <c r="O218" s="39">
        <f>ROW()</f>
        <v>218</v>
      </c>
    </row>
    <row r="219" spans="2:68" ht="13.2" customHeight="1">
      <c r="B219" s="3780" t="s">
        <v>2910</v>
      </c>
      <c r="C219" s="3781"/>
      <c r="D219" s="3781"/>
      <c r="E219" s="3781"/>
      <c r="F219" s="3781"/>
      <c r="G219" s="3781"/>
      <c r="H219" s="3781"/>
      <c r="I219" s="3781"/>
      <c r="J219" s="3781"/>
      <c r="K219" s="3781"/>
      <c r="L219" s="3781"/>
      <c r="M219" s="191"/>
      <c r="N219" s="191"/>
      <c r="O219" s="39">
        <f>ROW()</f>
        <v>219</v>
      </c>
    </row>
    <row r="220" spans="2:68" ht="13.2" customHeight="1">
      <c r="B220" s="3781"/>
      <c r="C220" s="3781"/>
      <c r="D220" s="3781"/>
      <c r="E220" s="3781"/>
      <c r="F220" s="3781"/>
      <c r="G220" s="3781"/>
      <c r="H220" s="3781"/>
      <c r="I220" s="3781"/>
      <c r="J220" s="3781"/>
      <c r="K220" s="3781"/>
      <c r="L220" s="3781"/>
      <c r="M220" s="191"/>
      <c r="N220" s="191"/>
      <c r="O220" s="39">
        <f>ROW()</f>
        <v>220</v>
      </c>
    </row>
    <row r="221" spans="2:68" ht="13.2" customHeight="1">
      <c r="B221" s="45"/>
      <c r="C221" s="45"/>
      <c r="D221" s="45"/>
      <c r="E221" s="45"/>
      <c r="F221" s="45"/>
      <c r="G221" s="45"/>
      <c r="H221" s="45"/>
      <c r="I221" s="45"/>
      <c r="J221" s="45"/>
      <c r="K221" s="45"/>
      <c r="L221" s="45"/>
      <c r="M221" s="191"/>
      <c r="N221" s="191"/>
      <c r="O221" s="39">
        <f>ROW()</f>
        <v>221</v>
      </c>
    </row>
    <row r="222" spans="2:68" ht="13.2" customHeight="1">
      <c r="B222" s="3659" t="s">
        <v>862</v>
      </c>
      <c r="C222" s="3659"/>
      <c r="D222" s="3659"/>
      <c r="E222" s="3659"/>
      <c r="F222" s="3659"/>
      <c r="G222" s="3659"/>
      <c r="H222" s="3659"/>
      <c r="I222" s="3659"/>
      <c r="J222" s="3659"/>
      <c r="K222" s="3659"/>
      <c r="L222" s="3659"/>
      <c r="M222" s="281"/>
      <c r="O222" s="39">
        <f>ROW()</f>
        <v>222</v>
      </c>
    </row>
    <row r="223" spans="2:68" ht="13.2" customHeight="1">
      <c r="B223" s="3659"/>
      <c r="C223" s="3659"/>
      <c r="D223" s="3659"/>
      <c r="E223" s="3659"/>
      <c r="F223" s="3659"/>
      <c r="G223" s="3659"/>
      <c r="H223" s="3659"/>
      <c r="I223" s="3659"/>
      <c r="J223" s="3659"/>
      <c r="K223" s="3659"/>
      <c r="L223" s="3659"/>
      <c r="M223" s="281"/>
      <c r="O223" s="39">
        <f>ROW()</f>
        <v>223</v>
      </c>
      <c r="P223" s="4147" t="s">
        <v>2680</v>
      </c>
      <c r="Q223" s="4147"/>
      <c r="R223" s="4147"/>
      <c r="S223" s="4147"/>
      <c r="T223" s="4147"/>
      <c r="U223" s="4147"/>
      <c r="V223" s="4147"/>
      <c r="W223" s="4147"/>
      <c r="Y223" s="4147" t="s">
        <v>2681</v>
      </c>
      <c r="Z223" s="4147"/>
      <c r="AA223" s="4147"/>
      <c r="AB223" s="4147"/>
      <c r="AC223" s="4147"/>
      <c r="AD223" s="4147"/>
      <c r="AE223" s="4147"/>
      <c r="AF223" s="4147"/>
      <c r="AH223" s="4263" t="s">
        <v>5482</v>
      </c>
      <c r="AI223" s="4264"/>
      <c r="AJ223" s="4264"/>
      <c r="AK223" s="4264"/>
      <c r="AL223" s="4264"/>
      <c r="AM223" s="4264"/>
      <c r="AN223" s="4264"/>
      <c r="AO223" s="4264"/>
      <c r="AQ223" s="4147" t="s">
        <v>713</v>
      </c>
      <c r="AR223" s="4147"/>
      <c r="AS223" s="4147"/>
      <c r="AT223" s="4147"/>
      <c r="AU223" s="4147"/>
      <c r="AV223" s="4147"/>
      <c r="AW223" s="4147"/>
      <c r="AX223" s="4147"/>
      <c r="AZ223" s="4147" t="s">
        <v>460</v>
      </c>
      <c r="BA223" s="4147"/>
      <c r="BB223" s="4147"/>
      <c r="BC223" s="4147"/>
      <c r="BD223" s="4147"/>
      <c r="BE223" s="4147"/>
      <c r="BF223" s="4147"/>
      <c r="BG223" s="4147"/>
      <c r="BI223" s="4147" t="s">
        <v>849</v>
      </c>
      <c r="BJ223" s="4147"/>
      <c r="BK223" s="4147"/>
      <c r="BL223" s="4147"/>
      <c r="BM223" s="4147"/>
      <c r="BN223" s="4147"/>
      <c r="BO223" s="4147"/>
      <c r="BP223" s="4147"/>
    </row>
    <row r="224" spans="2:68" ht="13.2" customHeight="1">
      <c r="B224" s="3659"/>
      <c r="C224" s="3659"/>
      <c r="D224" s="3659"/>
      <c r="E224" s="3659"/>
      <c r="F224" s="3659"/>
      <c r="G224" s="3659"/>
      <c r="H224" s="3659"/>
      <c r="I224" s="3659"/>
      <c r="J224" s="3659"/>
      <c r="K224" s="3659"/>
      <c r="L224" s="3659"/>
      <c r="M224" s="281"/>
      <c r="O224" s="39">
        <f>ROW()</f>
        <v>224</v>
      </c>
    </row>
    <row r="225" spans="2:68" ht="13.2" customHeight="1">
      <c r="B225" s="3659"/>
      <c r="C225" s="3659"/>
      <c r="D225" s="3659"/>
      <c r="E225" s="3659"/>
      <c r="F225" s="3659"/>
      <c r="G225" s="3659"/>
      <c r="H225" s="3659"/>
      <c r="I225" s="3659"/>
      <c r="J225" s="3659"/>
      <c r="K225" s="3659"/>
      <c r="L225" s="3659"/>
      <c r="M225" s="281"/>
      <c r="O225" s="39">
        <f>ROW()</f>
        <v>225</v>
      </c>
    </row>
    <row r="226" spans="2:68" ht="13.2" customHeight="1">
      <c r="B226" s="3659"/>
      <c r="C226" s="3659"/>
      <c r="D226" s="3659"/>
      <c r="E226" s="3659"/>
      <c r="F226" s="3659"/>
      <c r="G226" s="3659"/>
      <c r="H226" s="3659"/>
      <c r="I226" s="3659"/>
      <c r="J226" s="3659"/>
      <c r="K226" s="3659"/>
      <c r="L226" s="3659"/>
      <c r="M226" s="281"/>
      <c r="O226" s="39">
        <f>ROW()</f>
        <v>226</v>
      </c>
      <c r="P226" s="880" t="s">
        <v>1472</v>
      </c>
      <c r="Q226" s="880" t="s">
        <v>615</v>
      </c>
      <c r="R226" s="880" t="s">
        <v>2445</v>
      </c>
      <c r="S226" s="880" t="s">
        <v>616</v>
      </c>
      <c r="T226" s="880" t="s">
        <v>1152</v>
      </c>
      <c r="U226" s="880" t="s">
        <v>1151</v>
      </c>
      <c r="V226" s="880" t="s">
        <v>617</v>
      </c>
      <c r="W226" s="880" t="s">
        <v>2684</v>
      </c>
      <c r="Y226" s="880" t="s">
        <v>1472</v>
      </c>
      <c r="Z226" s="880" t="s">
        <v>615</v>
      </c>
      <c r="AA226" s="880" t="s">
        <v>2445</v>
      </c>
      <c r="AB226" s="880" t="s">
        <v>616</v>
      </c>
      <c r="AC226" s="880" t="s">
        <v>1152</v>
      </c>
      <c r="AD226" s="880" t="s">
        <v>1151</v>
      </c>
      <c r="AE226" s="880" t="s">
        <v>617</v>
      </c>
      <c r="AF226" s="880" t="s">
        <v>2684</v>
      </c>
      <c r="AH226" s="880" t="s">
        <v>1472</v>
      </c>
      <c r="AI226" s="880" t="s">
        <v>615</v>
      </c>
      <c r="AJ226" s="880" t="s">
        <v>2445</v>
      </c>
      <c r="AK226" s="880" t="s">
        <v>616</v>
      </c>
      <c r="AL226" s="880" t="s">
        <v>1152</v>
      </c>
      <c r="AM226" s="880" t="s">
        <v>1151</v>
      </c>
      <c r="AN226" s="880" t="s">
        <v>617</v>
      </c>
      <c r="AO226" s="880" t="s">
        <v>2684</v>
      </c>
      <c r="AQ226" s="880" t="s">
        <v>1472</v>
      </c>
      <c r="AR226" s="880" t="s">
        <v>615</v>
      </c>
      <c r="AS226" s="880" t="s">
        <v>2445</v>
      </c>
      <c r="AT226" s="880" t="s">
        <v>616</v>
      </c>
      <c r="AU226" s="880" t="s">
        <v>1152</v>
      </c>
      <c r="AV226" s="880" t="s">
        <v>1151</v>
      </c>
      <c r="AW226" s="880" t="s">
        <v>617</v>
      </c>
      <c r="AX226" s="880" t="s">
        <v>2684</v>
      </c>
      <c r="AZ226" s="880" t="s">
        <v>1472</v>
      </c>
      <c r="BA226" s="880" t="s">
        <v>615</v>
      </c>
      <c r="BB226" s="880" t="s">
        <v>2445</v>
      </c>
      <c r="BC226" s="880" t="s">
        <v>616</v>
      </c>
      <c r="BD226" s="880" t="s">
        <v>1152</v>
      </c>
      <c r="BE226" s="880" t="s">
        <v>1151</v>
      </c>
      <c r="BF226" s="880" t="s">
        <v>617</v>
      </c>
      <c r="BG226" s="880" t="s">
        <v>2684</v>
      </c>
      <c r="BI226" s="880" t="s">
        <v>1472</v>
      </c>
      <c r="BJ226" s="880" t="s">
        <v>615</v>
      </c>
      <c r="BK226" s="880" t="s">
        <v>2445</v>
      </c>
      <c r="BL226" s="880" t="s">
        <v>616</v>
      </c>
      <c r="BM226" s="880" t="s">
        <v>1152</v>
      </c>
      <c r="BN226" s="880" t="s">
        <v>1151</v>
      </c>
      <c r="BO226" s="880" t="s">
        <v>617</v>
      </c>
      <c r="BP226" s="880" t="s">
        <v>2684</v>
      </c>
    </row>
    <row r="227" spans="2:68" ht="13.2" customHeight="1">
      <c r="O227" s="39">
        <f>ROW()</f>
        <v>227</v>
      </c>
      <c r="P227" s="298" t="s">
        <v>2678</v>
      </c>
      <c r="Q227" s="298" t="s">
        <v>665</v>
      </c>
      <c r="R227" s="298" t="s">
        <v>666</v>
      </c>
      <c r="S227" s="298" t="s">
        <v>667</v>
      </c>
      <c r="T227" s="298" t="s">
        <v>668</v>
      </c>
      <c r="U227" s="298" t="s">
        <v>434</v>
      </c>
      <c r="V227" s="298" t="s">
        <v>435</v>
      </c>
      <c r="W227" s="298"/>
      <c r="Y227" s="298" t="s">
        <v>2678</v>
      </c>
      <c r="Z227" s="298" t="s">
        <v>665</v>
      </c>
      <c r="AA227" s="298" t="s">
        <v>666</v>
      </c>
      <c r="AB227" s="298" t="s">
        <v>667</v>
      </c>
      <c r="AC227" s="298" t="s">
        <v>668</v>
      </c>
      <c r="AD227" s="298" t="s">
        <v>434</v>
      </c>
      <c r="AE227" s="298" t="s">
        <v>435</v>
      </c>
      <c r="AF227" s="298"/>
      <c r="AH227" s="298" t="s">
        <v>2678</v>
      </c>
      <c r="AI227" s="298" t="s">
        <v>665</v>
      </c>
      <c r="AJ227" s="298" t="s">
        <v>666</v>
      </c>
      <c r="AK227" s="298" t="s">
        <v>667</v>
      </c>
      <c r="AL227" s="298" t="s">
        <v>668</v>
      </c>
      <c r="AM227" s="298" t="s">
        <v>434</v>
      </c>
      <c r="AN227" s="298" t="s">
        <v>435</v>
      </c>
      <c r="AO227" s="298"/>
      <c r="AQ227" s="298" t="s">
        <v>2678</v>
      </c>
      <c r="AR227" s="298" t="s">
        <v>665</v>
      </c>
      <c r="AS227" s="298" t="s">
        <v>666</v>
      </c>
      <c r="AT227" s="298" t="s">
        <v>667</v>
      </c>
      <c r="AU227" s="298" t="s">
        <v>668</v>
      </c>
      <c r="AV227" s="298" t="s">
        <v>434</v>
      </c>
      <c r="AW227" s="298" t="s">
        <v>435</v>
      </c>
      <c r="AX227" s="298"/>
      <c r="AZ227" s="298" t="s">
        <v>2678</v>
      </c>
      <c r="BA227" s="298" t="s">
        <v>665</v>
      </c>
      <c r="BB227" s="298" t="s">
        <v>666</v>
      </c>
      <c r="BC227" s="298" t="s">
        <v>667</v>
      </c>
      <c r="BD227" s="298" t="s">
        <v>668</v>
      </c>
      <c r="BE227" s="298" t="s">
        <v>434</v>
      </c>
      <c r="BF227" s="298" t="s">
        <v>435</v>
      </c>
      <c r="BG227" s="298"/>
      <c r="BI227" s="298" t="s">
        <v>2678</v>
      </c>
      <c r="BJ227" s="298" t="s">
        <v>665</v>
      </c>
      <c r="BK227" s="298" t="s">
        <v>666</v>
      </c>
      <c r="BL227" s="298" t="s">
        <v>667</v>
      </c>
      <c r="BM227" s="298" t="s">
        <v>668</v>
      </c>
      <c r="BN227" s="298" t="s">
        <v>434</v>
      </c>
      <c r="BO227" s="298" t="s">
        <v>435</v>
      </c>
      <c r="BP227" s="298"/>
    </row>
    <row r="228" spans="2:68" ht="13.2" customHeight="1">
      <c r="B228" s="308" t="s">
        <v>560</v>
      </c>
      <c r="G228" s="21"/>
      <c r="H228" s="21"/>
      <c r="I228" s="21"/>
      <c r="J228" s="21"/>
      <c r="K228" s="21"/>
      <c r="L228" s="21"/>
      <c r="M228" s="21"/>
      <c r="O228" s="39">
        <f>ROW()</f>
        <v>228</v>
      </c>
      <c r="AZ228" t="s">
        <v>56</v>
      </c>
      <c r="BI228" t="s">
        <v>981</v>
      </c>
    </row>
    <row r="229" spans="2:68" ht="13.2" customHeight="1">
      <c r="B229" s="323" t="s">
        <v>1652</v>
      </c>
      <c r="G229" s="4321" t="s">
        <v>2351</v>
      </c>
      <c r="H229" s="4322"/>
      <c r="I229" s="4322"/>
      <c r="J229" s="4322"/>
      <c r="K229" s="4322"/>
      <c r="L229" s="4323"/>
      <c r="M229" s="21"/>
      <c r="O229" s="39">
        <f>ROW()</f>
        <v>229</v>
      </c>
      <c r="P229" s="21">
        <f>1000*'Speed-CO2'!$G$28*Constants!$J$16/EXP('Speed-CO2'!$E$24+'Speed-CO2'!$F$24*P184+'Speed-CO2'!$G$24*P184^2+'Speed-CO2'!$H$24*P184^3+'Speed-CO2'!$I$24*P184^4)</f>
        <v>16.28260129326075</v>
      </c>
      <c r="Q229" s="21">
        <f>1000*'Speed-CO2'!$G$28*Constants!$J$16/EXP('Speed-CO2'!$E$24+'Speed-CO2'!$F$24*Q184+'Speed-CO2'!$G$24*Q184^2+'Speed-CO2'!$H$24*Q184^3+'Speed-CO2'!$I$24*Q184^4)</f>
        <v>15.837970699819035</v>
      </c>
      <c r="R229" s="21">
        <f>1000*'Speed-CO2'!$G$28*Constants!$J$16/EXP('Speed-CO2'!$E$24+'Speed-CO2'!$F$24*R184+'Speed-CO2'!$G$24*R184^2+'Speed-CO2'!$H$24*R184^3+'Speed-CO2'!$I$24*R184^4)</f>
        <v>8.7765506872827004</v>
      </c>
      <c r="S229" s="21">
        <f>1000*'Speed-CO2'!$G$28*Constants!$J$16/EXP('Speed-CO2'!$E$24+'Speed-CO2'!$F$24*S184+'Speed-CO2'!$G$24*S184^2+'Speed-CO2'!$H$24*S184^3+'Speed-CO2'!$I$24*S184^4)</f>
        <v>9.1975640532643244</v>
      </c>
      <c r="T229" s="21">
        <f>1000*'Speed-CO2'!$G$28*Constants!$J$16/EXP('Speed-CO2'!$E$24+'Speed-CO2'!$F$24*T184+'Speed-CO2'!$G$24*T184^2+'Speed-CO2'!$H$24*T184^3+'Speed-CO2'!$I$24*T184^4)</f>
        <v>10.787291436934979</v>
      </c>
      <c r="U229" s="21">
        <f>1000*'Speed-CO2'!$G$28*Constants!$J$16/EXP('Speed-CO2'!$E$24+'Speed-CO2'!$F$24*U184+'Speed-CO2'!$G$24*U184^2+'Speed-CO2'!$H$24*U184^3+'Speed-CO2'!$I$24*U184^4)</f>
        <v>8.0901096229296616</v>
      </c>
      <c r="V229" s="21">
        <f>1000*'Speed-CO2'!$G$28*Constants!$J$16/EXP('Speed-CO2'!$E$24+'Speed-CO2'!$F$24*V184+'Speed-CO2'!$G$24*V184^2+'Speed-CO2'!$H$24*V184^3+'Speed-CO2'!$I$24*V184^4)</f>
        <v>10.672047206578046</v>
      </c>
      <c r="Y229" s="21">
        <f>1000*'Speed-CO2'!$G$28*Constants!$J$16/EXP('Speed-CO2'!$E$24+'Speed-CO2'!$F$24*Y184+'Speed-CO2'!$G$24*Y184^2+'Speed-CO2'!$H$24*Y184^3+'Speed-CO2'!$I$24*Y184^4)</f>
        <v>16.28260129326075</v>
      </c>
      <c r="Z229" s="21">
        <f>1000*'Speed-CO2'!$G$28*Constants!$J$16/EXP('Speed-CO2'!$E$24+'Speed-CO2'!$F$24*Z184+'Speed-CO2'!$G$24*Z184^2+'Speed-CO2'!$H$24*Z184^3+'Speed-CO2'!$I$24*Z184^4)</f>
        <v>15.837970699819035</v>
      </c>
      <c r="AA229" s="21">
        <f>1000*'Speed-CO2'!$G$28*Constants!$J$16/EXP('Speed-CO2'!$E$24+'Speed-CO2'!$F$24*AA184+'Speed-CO2'!$G$24*AA184^2+'Speed-CO2'!$H$24*AA184^3+'Speed-CO2'!$I$24*AA184^4)</f>
        <v>8.7765506872827004</v>
      </c>
      <c r="AB229" s="21">
        <f>1000*'Speed-CO2'!$G$28*Constants!$J$16/EXP('Speed-CO2'!$E$24+'Speed-CO2'!$F$24*AB184+'Speed-CO2'!$G$24*AB184^2+'Speed-CO2'!$H$24*AB184^3+'Speed-CO2'!$I$24*AB184^4)</f>
        <v>9.1975640532643244</v>
      </c>
      <c r="AC229" s="21">
        <f>1000*'Speed-CO2'!$G$28*Constants!$J$16/EXP('Speed-CO2'!$E$24+'Speed-CO2'!$F$24*AC184+'Speed-CO2'!$G$24*AC184^2+'Speed-CO2'!$H$24*AC184^3+'Speed-CO2'!$I$24*AC184^4)</f>
        <v>10.787291436934979</v>
      </c>
      <c r="AD229" s="21">
        <f>1000*'Speed-CO2'!$G$28*Constants!$J$16/EXP('Speed-CO2'!$E$24+'Speed-CO2'!$F$24*AD184+'Speed-CO2'!$G$24*AD184^2+'Speed-CO2'!$H$24*AD184^3+'Speed-CO2'!$I$24*AD184^4)</f>
        <v>8.0901096229296616</v>
      </c>
      <c r="AE229" s="21">
        <f>1000*'Speed-CO2'!$G$28*Constants!$J$16/EXP('Speed-CO2'!$E$24+'Speed-CO2'!$F$24*AE184+'Speed-CO2'!$G$24*AE184^2+'Speed-CO2'!$H$24*AE184^3+'Speed-CO2'!$I$24*AE184^4)</f>
        <v>10.672047206578046</v>
      </c>
      <c r="AH229" s="21">
        <f>1000*'Speed-CO2'!$G$28*Constants!$J$16/EXP('Speed-CO2'!$E$24+'Speed-CO2'!$F$24*AH184+'Speed-CO2'!$G$24*AH184^2+'Speed-CO2'!$H$24*AH184^3+'Speed-CO2'!$I$24*AH184^4)</f>
        <v>16.28260129326075</v>
      </c>
      <c r="AI229" s="21">
        <f>1000*'Speed-CO2'!$G$28*Constants!$J$16/EXP('Speed-CO2'!$E$24+'Speed-CO2'!$F$24*AI184+'Speed-CO2'!$G$24*AI184^2+'Speed-CO2'!$H$24*AI184^3+'Speed-CO2'!$I$24*AI184^4)</f>
        <v>15.837970699819035</v>
      </c>
      <c r="AJ229" s="21">
        <f>1000*'Speed-CO2'!$G$28*Constants!$J$16/EXP('Speed-CO2'!$E$24+'Speed-CO2'!$F$24*AJ184+'Speed-CO2'!$G$24*AJ184^2+'Speed-CO2'!$H$24*AJ184^3+'Speed-CO2'!$I$24*AJ184^4)</f>
        <v>8.7765506872827004</v>
      </c>
      <c r="AK229" s="21">
        <f>1000*'Speed-CO2'!$G$28*Constants!$J$16/EXP('Speed-CO2'!$E$24+'Speed-CO2'!$F$24*AK184+'Speed-CO2'!$G$24*AK184^2+'Speed-CO2'!$H$24*AK184^3+'Speed-CO2'!$I$24*AK184^4)</f>
        <v>9.1975640532643244</v>
      </c>
      <c r="AL229" s="21">
        <f>1000*'Speed-CO2'!$G$28*Constants!$J$16/EXP('Speed-CO2'!$E$24+'Speed-CO2'!$F$24*AL184+'Speed-CO2'!$G$24*AL184^2+'Speed-CO2'!$H$24*AL184^3+'Speed-CO2'!$I$24*AL184^4)</f>
        <v>10.787291436934979</v>
      </c>
      <c r="AM229" s="21">
        <f>1000*'Speed-CO2'!$G$28*Constants!$J$16/EXP('Speed-CO2'!$E$24+'Speed-CO2'!$F$24*AM184+'Speed-CO2'!$G$24*AM184^2+'Speed-CO2'!$H$24*AM184^3+'Speed-CO2'!$I$24*AM184^4)</f>
        <v>8.0901096229296616</v>
      </c>
      <c r="AN229" s="21">
        <f>1000*'Speed-CO2'!$G$28*Constants!$J$16/EXP('Speed-CO2'!$E$24+'Speed-CO2'!$F$24*AN184+'Speed-CO2'!$G$24*AN184^2+'Speed-CO2'!$H$24*AN184^3+'Speed-CO2'!$I$24*AN184^4)</f>
        <v>10.672047206578046</v>
      </c>
      <c r="AQ229" s="21">
        <f>1000*'Speed-CO2'!$G$28*Constants!$J$16/EXP('Speed-CO2'!$E$24+'Speed-CO2'!$F$24*AQ184+'Speed-CO2'!$G$24*AQ184^2+'Speed-CO2'!$H$24*AQ184^3+'Speed-CO2'!$I$24*AQ184^4)</f>
        <v>15.741975171093587</v>
      </c>
      <c r="AR229" s="21">
        <f>1000*'Speed-CO2'!$G$28*Constants!$J$16/EXP('Speed-CO2'!$E$24+'Speed-CO2'!$F$24*AR184+'Speed-CO2'!$G$24*AR184^2+'Speed-CO2'!$H$24*AR184^3+'Speed-CO2'!$I$24*AR184^4)</f>
        <v>15.293834291155807</v>
      </c>
      <c r="AS229" s="21">
        <f>1000*'Speed-CO2'!$G$28*Constants!$J$16/EXP('Speed-CO2'!$E$24+'Speed-CO2'!$F$24*AS184+'Speed-CO2'!$G$24*AS184^2+'Speed-CO2'!$H$24*AS184^3+'Speed-CO2'!$I$24*AS184^4)</f>
        <v>8.4612832663600894</v>
      </c>
      <c r="AT229" s="21">
        <f>1000*'Speed-CO2'!$G$28*Constants!$J$16/EXP('Speed-CO2'!$E$24+'Speed-CO2'!$F$24*AT184+'Speed-CO2'!$G$24*AT184^2+'Speed-CO2'!$H$24*AT184^3+'Speed-CO2'!$I$24*AT184^4)</f>
        <v>8.859397120942015</v>
      </c>
      <c r="AU229" s="21">
        <f>1000*'Speed-CO2'!$G$28*Constants!$J$16/EXP('Speed-CO2'!$E$24+'Speed-CO2'!$F$24*AU184+'Speed-CO2'!$G$24*AU184^2+'Speed-CO2'!$H$24*AU184^3+'Speed-CO2'!$I$24*AU184^4)</f>
        <v>10.369641083552498</v>
      </c>
      <c r="AV229" s="21">
        <f>1000*'Speed-CO2'!$G$28*Constants!$J$16/EXP('Speed-CO2'!$E$24+'Speed-CO2'!$F$24*AV184+'Speed-CO2'!$G$24*AV184^2+'Speed-CO2'!$H$24*AV184^3+'Speed-CO2'!$I$24*AV184^4)</f>
        <v>7.813447529150289</v>
      </c>
      <c r="AW229" s="21">
        <f>1000*'Speed-CO2'!$G$28*Constants!$J$16/EXP('Speed-CO2'!$E$24+'Speed-CO2'!$F$24*AW184+'Speed-CO2'!$G$24*AW184^2+'Speed-CO2'!$H$24*AW184^3+'Speed-CO2'!$I$24*AW184^4)</f>
        <v>10.259725726020784</v>
      </c>
      <c r="AZ229" s="21">
        <f>'Speed-CO2'!$G$32*1000*'Speed-CO2'!$G$28*Constants!$J$16/EXP('Speed-CO2'!$E$24+'Speed-CO2'!$F$24*AZ184+'Speed-CO2'!$G$24*AZ184^2+'Speed-CO2'!$H$24*AZ184^3+'Speed-CO2'!$I$24*AZ184^4)</f>
        <v>8.1413006466303752</v>
      </c>
      <c r="BA229" s="21">
        <f>'Speed-CO2'!$G$32*1000*'Speed-CO2'!$G$28*Constants!$J$16/EXP('Speed-CO2'!$E$24+'Speed-CO2'!$F$24*BA184+'Speed-CO2'!$G$24*BA184^2+'Speed-CO2'!$H$24*BA184^3+'Speed-CO2'!$I$24*BA184^4)</f>
        <v>7.9189853499095175</v>
      </c>
      <c r="BB229" s="21">
        <f>'Speed-CO2'!$G$32*1000*'Speed-CO2'!$G$28*Constants!$J$16/EXP('Speed-CO2'!$E$24+'Speed-CO2'!$F$24*BB184+'Speed-CO2'!$G$24*BB184^2+'Speed-CO2'!$H$24*BB184^3+'Speed-CO2'!$I$24*BB184^4)</f>
        <v>4.3882753436413502</v>
      </c>
      <c r="BC229" s="21">
        <f>'Speed-CO2'!$G$32*1000*'Speed-CO2'!$G$28*Constants!$J$16/EXP('Speed-CO2'!$E$24+'Speed-CO2'!$F$24*BC184+'Speed-CO2'!$G$24*BC184^2+'Speed-CO2'!$H$24*BC184^3+'Speed-CO2'!$I$24*BC184^4)</f>
        <v>4.5987820266321622</v>
      </c>
      <c r="BD229" s="21">
        <f>'Speed-CO2'!$G$32*1000*'Speed-CO2'!$G$28*Constants!$J$16/EXP('Speed-CO2'!$E$24+'Speed-CO2'!$F$24*BD184+'Speed-CO2'!$G$24*BD184^2+'Speed-CO2'!$H$24*BD184^3+'Speed-CO2'!$I$24*BD184^4)</f>
        <v>5.3936457184674893</v>
      </c>
      <c r="BE229" s="21">
        <f>'Speed-CO2'!$G$32*1000*'Speed-CO2'!$G$28*Constants!$J$16/EXP('Speed-CO2'!$E$24+'Speed-CO2'!$F$24*BE184+'Speed-CO2'!$G$24*BE184^2+'Speed-CO2'!$H$24*BE184^3+'Speed-CO2'!$I$24*BE184^4)</f>
        <v>4.0450548114648308</v>
      </c>
      <c r="BF229" s="21">
        <f>'Speed-CO2'!$G$32*1000*'Speed-CO2'!$G$28*Constants!$J$16/EXP('Speed-CO2'!$E$24+'Speed-CO2'!$F$24*BF184+'Speed-CO2'!$G$24*BF184^2+'Speed-CO2'!$H$24*BF184^3+'Speed-CO2'!$I$24*BF184^4)</f>
        <v>5.3360236032890231</v>
      </c>
      <c r="BI229" s="21">
        <f>'Speed-CO2'!$G$33*1000*'Speed-CO2'!$G$28*Constants!$J$16/EXP('Speed-CO2'!$E$24+'Speed-CO2'!$F$24*BI184+'Speed-CO2'!$G$24*BI184^2+'Speed-CO2'!$H$24*BI184^3+'Speed-CO2'!$I$24*BI184^4)</f>
        <v>5.4275337644202493</v>
      </c>
      <c r="BJ229" s="21">
        <f>'Speed-CO2'!$G$33*1000*'Speed-CO2'!$G$28*Constants!$J$16/EXP('Speed-CO2'!$E$24+'Speed-CO2'!$F$24*BJ184+'Speed-CO2'!$G$24*BJ184^2+'Speed-CO2'!$H$24*BJ184^3+'Speed-CO2'!$I$24*BJ184^4)</f>
        <v>5.2793235666063447</v>
      </c>
      <c r="BK229" s="21">
        <f>'Speed-CO2'!$G$33*1000*'Speed-CO2'!$G$28*Constants!$J$16/EXP('Speed-CO2'!$E$24+'Speed-CO2'!$F$24*BK184+'Speed-CO2'!$G$24*BK184^2+'Speed-CO2'!$H$24*BK184^3+'Speed-CO2'!$I$24*BK184^4)</f>
        <v>2.9255168957608997</v>
      </c>
      <c r="BL229" s="21">
        <f>'Speed-CO2'!$G$33*1000*'Speed-CO2'!$G$28*Constants!$J$16/EXP('Speed-CO2'!$E$24+'Speed-CO2'!$F$24*BL184+'Speed-CO2'!$G$24*BL184^2+'Speed-CO2'!$H$24*BL184^3+'Speed-CO2'!$I$24*BL184^4)</f>
        <v>3.0658546844214412</v>
      </c>
      <c r="BM229" s="21">
        <f>'Speed-CO2'!$G$33*1000*'Speed-CO2'!$G$28*Constants!$J$16/EXP('Speed-CO2'!$E$24+'Speed-CO2'!$F$24*BM184+'Speed-CO2'!$G$24*BM184^2+'Speed-CO2'!$H$24*BM184^3+'Speed-CO2'!$I$24*BM184^4)</f>
        <v>3.5957638123116591</v>
      </c>
      <c r="BN229" s="21">
        <f>'Speed-CO2'!$G$33*1000*'Speed-CO2'!$G$28*Constants!$J$16/EXP('Speed-CO2'!$E$24+'Speed-CO2'!$F$24*BN184+'Speed-CO2'!$G$24*BN184^2+'Speed-CO2'!$H$24*BN184^3+'Speed-CO2'!$I$24*BN184^4)</f>
        <v>2.6967032076432202</v>
      </c>
      <c r="BO229" s="21">
        <f>'Speed-CO2'!$G$33*1000*'Speed-CO2'!$G$28*Constants!$J$16/EXP('Speed-CO2'!$E$24+'Speed-CO2'!$F$24*BO184+'Speed-CO2'!$G$24*BO184^2+'Speed-CO2'!$H$24*BO184^3+'Speed-CO2'!$I$24*BO184^4)</f>
        <v>3.5573490688593488</v>
      </c>
    </row>
    <row r="230" spans="2:68" ht="13.2" customHeight="1">
      <c r="B230" s="323" t="s">
        <v>1651</v>
      </c>
      <c r="G230" s="4328"/>
      <c r="H230" s="4329"/>
      <c r="I230" s="4329"/>
      <c r="J230" s="4329"/>
      <c r="K230" s="4329"/>
      <c r="L230" s="4330"/>
      <c r="M230" s="21"/>
      <c r="O230" s="39">
        <f>ROW()</f>
        <v>230</v>
      </c>
      <c r="P230" s="21">
        <f>1000*'Speed-CO2'!$G$29*Constants!$J$16/EXP('Speed-CO2'!$E$24+'Speed-CO2'!$F$24*P200+'Speed-CO2'!$G$24*P200^2+'Speed-CO2'!$H$24*P200^3+'Speed-CO2'!$I$24*P200^4)</f>
        <v>24.464163960904379</v>
      </c>
      <c r="Q230" s="21">
        <f>1000*'Speed-CO2'!$G$29*Constants!$J$16/EXP('Speed-CO2'!$E$24+'Speed-CO2'!$F$24*Q200+'Speed-CO2'!$G$24*Q200^2+'Speed-CO2'!$H$24*Q200^3+'Speed-CO2'!$I$24*Q200^4)</f>
        <v>24.796943885664572</v>
      </c>
      <c r="R230" s="21">
        <f>1000*'Speed-CO2'!$G$29*Constants!$J$16/EXP('Speed-CO2'!$E$24+'Speed-CO2'!$F$24*R200+'Speed-CO2'!$G$24*R200^2+'Speed-CO2'!$H$24*R200^3+'Speed-CO2'!$I$24*R200^4)</f>
        <v>16.872470402215448</v>
      </c>
      <c r="S230" s="21">
        <f>1000*'Speed-CO2'!$G$29*Constants!$J$16/EXP('Speed-CO2'!$E$24+'Speed-CO2'!$F$24*S200+'Speed-CO2'!$G$24*S200^2+'Speed-CO2'!$H$24*S200^3+'Speed-CO2'!$I$24*S200^4)</f>
        <v>19.069838345527163</v>
      </c>
      <c r="T230" s="21">
        <f>1000*'Speed-CO2'!$G$29*Constants!$J$16/EXP('Speed-CO2'!$E$24+'Speed-CO2'!$F$24*T200+'Speed-CO2'!$G$24*T200^2+'Speed-CO2'!$H$24*T200^3+'Speed-CO2'!$I$24*T200^4)</f>
        <v>21.126104117839454</v>
      </c>
      <c r="U230" s="21">
        <f>1000*'Speed-CO2'!$G$29*Constants!$J$16/EXP('Speed-CO2'!$E$24+'Speed-CO2'!$F$24*U200+'Speed-CO2'!$G$24*U200^2+'Speed-CO2'!$H$24*U200^3+'Speed-CO2'!$I$24*U200^4)</f>
        <v>15.674115944023434</v>
      </c>
      <c r="V230" s="21">
        <f>1000*'Speed-CO2'!$G$29*Constants!$J$16/EXP('Speed-CO2'!$E$24+'Speed-CO2'!$F$24*V200+'Speed-CO2'!$G$24*V200^2+'Speed-CO2'!$H$24*V200^3+'Speed-CO2'!$I$24*V200^4)</f>
        <v>21.963444593319313</v>
      </c>
      <c r="Y230" s="21">
        <f>1000*'Speed-CO2'!$G$29*Constants!$J$16/EXP('Speed-CO2'!$E$24+'Speed-CO2'!$F$24*Y200+'Speed-CO2'!$G$24*Y200^2+'Speed-CO2'!$H$24*Y200^3+'Speed-CO2'!$I$24*Y200^4)</f>
        <v>24.464163960904379</v>
      </c>
      <c r="Z230" s="21">
        <f>1000*'Speed-CO2'!$G$29*Constants!$J$16/EXP('Speed-CO2'!$E$24+'Speed-CO2'!$F$24*Z200+'Speed-CO2'!$G$24*Z200^2+'Speed-CO2'!$H$24*Z200^3+'Speed-CO2'!$I$24*Z200^4)</f>
        <v>24.796943885664572</v>
      </c>
      <c r="AA230" s="21">
        <f>1000*'Speed-CO2'!$G$29*Constants!$J$16/EXP('Speed-CO2'!$E$24+'Speed-CO2'!$F$24*AA200+'Speed-CO2'!$G$24*AA200^2+'Speed-CO2'!$H$24*AA200^3+'Speed-CO2'!$I$24*AA200^4)</f>
        <v>16.872470402215448</v>
      </c>
      <c r="AB230" s="21">
        <f>1000*'Speed-CO2'!$G$29*Constants!$J$16/EXP('Speed-CO2'!$E$24+'Speed-CO2'!$F$24*AB200+'Speed-CO2'!$G$24*AB200^2+'Speed-CO2'!$H$24*AB200^3+'Speed-CO2'!$I$24*AB200^4)</f>
        <v>19.069838345527163</v>
      </c>
      <c r="AC230" s="21">
        <f>1000*'Speed-CO2'!$G$29*Constants!$J$16/EXP('Speed-CO2'!$E$24+'Speed-CO2'!$F$24*AC200+'Speed-CO2'!$G$24*AC200^2+'Speed-CO2'!$H$24*AC200^3+'Speed-CO2'!$I$24*AC200^4)</f>
        <v>21.126104117839454</v>
      </c>
      <c r="AD230" s="21">
        <f>1000*'Speed-CO2'!$G$29*Constants!$J$16/EXP('Speed-CO2'!$E$24+'Speed-CO2'!$F$24*AD200+'Speed-CO2'!$G$24*AD200^2+'Speed-CO2'!$H$24*AD200^3+'Speed-CO2'!$I$24*AD200^4)</f>
        <v>15.674115944023434</v>
      </c>
      <c r="AE230" s="21">
        <f>1000*'Speed-CO2'!$G$29*Constants!$J$16/EXP('Speed-CO2'!$E$24+'Speed-CO2'!$F$24*AE200+'Speed-CO2'!$G$24*AE200^2+'Speed-CO2'!$H$24*AE200^3+'Speed-CO2'!$I$24*AE200^4)</f>
        <v>21.963444593319313</v>
      </c>
      <c r="AH230" s="21">
        <f>1000*'Speed-CO2'!$G$29*Constants!$J$16/EXP('Speed-CO2'!$E$24+'Speed-CO2'!$F$24*AH200+'Speed-CO2'!$G$24*AH200^2+'Speed-CO2'!$H$24*AH200^3+'Speed-CO2'!$I$24*AH200^4)</f>
        <v>24.464163960904379</v>
      </c>
      <c r="AI230" s="21">
        <f>1000*'Speed-CO2'!$G$29*Constants!$J$16/EXP('Speed-CO2'!$E$24+'Speed-CO2'!$F$24*AI200+'Speed-CO2'!$G$24*AI200^2+'Speed-CO2'!$H$24*AI200^3+'Speed-CO2'!$I$24*AI200^4)</f>
        <v>24.796943885664572</v>
      </c>
      <c r="AJ230" s="21">
        <f>1000*'Speed-CO2'!$G$29*Constants!$J$16/EXP('Speed-CO2'!$E$24+'Speed-CO2'!$F$24*AJ200+'Speed-CO2'!$G$24*AJ200^2+'Speed-CO2'!$H$24*AJ200^3+'Speed-CO2'!$I$24*AJ200^4)</f>
        <v>16.872470402215448</v>
      </c>
      <c r="AK230" s="21">
        <f>1000*'Speed-CO2'!$G$29*Constants!$J$16/EXP('Speed-CO2'!$E$24+'Speed-CO2'!$F$24*AK200+'Speed-CO2'!$G$24*AK200^2+'Speed-CO2'!$H$24*AK200^3+'Speed-CO2'!$I$24*AK200^4)</f>
        <v>19.069838345527163</v>
      </c>
      <c r="AL230" s="21">
        <f>1000*'Speed-CO2'!$G$29*Constants!$J$16/EXP('Speed-CO2'!$E$24+'Speed-CO2'!$F$24*AL200+'Speed-CO2'!$G$24*AL200^2+'Speed-CO2'!$H$24*AL200^3+'Speed-CO2'!$I$24*AL200^4)</f>
        <v>21.126104117839454</v>
      </c>
      <c r="AM230" s="21">
        <f>1000*'Speed-CO2'!$G$29*Constants!$J$16/EXP('Speed-CO2'!$E$24+'Speed-CO2'!$F$24*AM200+'Speed-CO2'!$G$24*AM200^2+'Speed-CO2'!$H$24*AM200^3+'Speed-CO2'!$I$24*AM200^4)</f>
        <v>15.674115944023434</v>
      </c>
      <c r="AN230" s="21">
        <f>1000*'Speed-CO2'!$G$29*Constants!$J$16/EXP('Speed-CO2'!$E$24+'Speed-CO2'!$F$24*AN200+'Speed-CO2'!$G$24*AN200^2+'Speed-CO2'!$H$24*AN200^3+'Speed-CO2'!$I$24*AN200^4)</f>
        <v>21.963444593319313</v>
      </c>
      <c r="AQ230" s="21">
        <f>1000*'Speed-CO2'!$G$29*Constants!$J$16/EXP('Speed-CO2'!$E$24+'Speed-CO2'!$F$24*AQ200+'Speed-CO2'!$G$24*AQ200^2+'Speed-CO2'!$H$24*AQ200^3+'Speed-CO2'!$I$24*AQ200^4)</f>
        <v>24.492269505127322</v>
      </c>
      <c r="AR230" s="21">
        <f>1000*'Speed-CO2'!$G$29*Constants!$J$16/EXP('Speed-CO2'!$E$24+'Speed-CO2'!$F$24*AR200+'Speed-CO2'!$G$24*AR200^2+'Speed-CO2'!$H$24*AR200^3+'Speed-CO2'!$I$24*AR200^4)</f>
        <v>24.797552684766604</v>
      </c>
      <c r="AS230" s="21">
        <f>1000*'Speed-CO2'!$G$29*Constants!$J$16/EXP('Speed-CO2'!$E$24+'Speed-CO2'!$F$24*AS200+'Speed-CO2'!$G$24*AS200^2+'Speed-CO2'!$H$24*AS200^3+'Speed-CO2'!$I$24*AS200^4)</f>
        <v>16.747098037219487</v>
      </c>
      <c r="AT230" s="21">
        <f>1000*'Speed-CO2'!$G$29*Constants!$J$16/EXP('Speed-CO2'!$E$24+'Speed-CO2'!$F$24*AT200+'Speed-CO2'!$G$24*AT200^2+'Speed-CO2'!$H$24*AT200^3+'Speed-CO2'!$I$24*AT200^4)</f>
        <v>18.942258250235227</v>
      </c>
      <c r="AU230" s="21">
        <f>1000*'Speed-CO2'!$G$29*Constants!$J$16/EXP('Speed-CO2'!$E$24+'Speed-CO2'!$F$24*AU200+'Speed-CO2'!$G$24*AU200^2+'Speed-CO2'!$H$24*AU200^3+'Speed-CO2'!$I$24*AU200^4)</f>
        <v>21.008939203724204</v>
      </c>
      <c r="AV230" s="21">
        <f>1000*'Speed-CO2'!$G$29*Constants!$J$16/EXP('Speed-CO2'!$E$24+'Speed-CO2'!$F$24*AV200+'Speed-CO2'!$G$24*AV200^2+'Speed-CO2'!$H$24*AV200^3+'Speed-CO2'!$I$24*AV200^4)</f>
        <v>15.554064679305158</v>
      </c>
      <c r="AW230" s="21">
        <f>1000*'Speed-CO2'!$G$29*Constants!$J$16/EXP('Speed-CO2'!$E$24+'Speed-CO2'!$F$24*AW200+'Speed-CO2'!$G$24*AW200^2+'Speed-CO2'!$H$24*AW200^3+'Speed-CO2'!$I$24*AW200^4)</f>
        <v>21.855656143312189</v>
      </c>
      <c r="AZ230" s="21">
        <f>'Speed-CO2'!$G$32*1000*'Speed-CO2'!$G$29*Constants!$J$16/EXP('Speed-CO2'!$E$24+'Speed-CO2'!$F$24*AZ200+'Speed-CO2'!$G$24*AZ200^2+'Speed-CO2'!$H$24*AZ200^3+'Speed-CO2'!$I$24*AZ200^4)</f>
        <v>12.23208198045219</v>
      </c>
      <c r="BA230" s="21">
        <f>'Speed-CO2'!$G$32*1000*'Speed-CO2'!$G$29*Constants!$J$16/EXP('Speed-CO2'!$E$24+'Speed-CO2'!$F$24*BA200+'Speed-CO2'!$G$24*BA200^2+'Speed-CO2'!$H$24*BA200^3+'Speed-CO2'!$I$24*BA200^4)</f>
        <v>12.398471942832286</v>
      </c>
      <c r="BB230" s="21">
        <f>'Speed-CO2'!$G$32*1000*'Speed-CO2'!$G$29*Constants!$J$16/EXP('Speed-CO2'!$E$24+'Speed-CO2'!$F$24*BB200+'Speed-CO2'!$G$24*BB200^2+'Speed-CO2'!$H$24*BB200^3+'Speed-CO2'!$I$24*BB200^4)</f>
        <v>8.4362352011077242</v>
      </c>
      <c r="BC230" s="21">
        <f>'Speed-CO2'!$G$32*1000*'Speed-CO2'!$G$29*Constants!$J$16/EXP('Speed-CO2'!$E$24+'Speed-CO2'!$F$24*BC200+'Speed-CO2'!$G$24*BC200^2+'Speed-CO2'!$H$24*BC200^3+'Speed-CO2'!$I$24*BC200^4)</f>
        <v>9.5349191727635816</v>
      </c>
      <c r="BD230" s="21">
        <f>'Speed-CO2'!$G$32*1000*'Speed-CO2'!$G$29*Constants!$J$16/EXP('Speed-CO2'!$E$24+'Speed-CO2'!$F$24*BD200+'Speed-CO2'!$G$24*BD200^2+'Speed-CO2'!$H$24*BD200^3+'Speed-CO2'!$I$24*BD200^4)</f>
        <v>10.563052058919727</v>
      </c>
      <c r="BE230" s="21">
        <f>'Speed-CO2'!$G$32*1000*'Speed-CO2'!$G$29*Constants!$J$16/EXP('Speed-CO2'!$E$24+'Speed-CO2'!$F$24*BE200+'Speed-CO2'!$G$24*BE200^2+'Speed-CO2'!$H$24*BE200^3+'Speed-CO2'!$I$24*BE200^4)</f>
        <v>7.8370579720117171</v>
      </c>
      <c r="BF230" s="21">
        <f>'Speed-CO2'!$G$32*1000*'Speed-CO2'!$G$29*Constants!$J$16/EXP('Speed-CO2'!$E$24+'Speed-CO2'!$F$24*BF200+'Speed-CO2'!$G$24*BF200^2+'Speed-CO2'!$H$24*BF200^3+'Speed-CO2'!$I$24*BF200^4)</f>
        <v>10.981722296659656</v>
      </c>
      <c r="BI230" s="21">
        <f>'Speed-CO2'!$G$33*1000*'Speed-CO2'!$G$29*Constants!$J$16/EXP('Speed-CO2'!$E$24+'Speed-CO2'!$F$24*BI200+'Speed-CO2'!$G$24*BI200^2+'Speed-CO2'!$H$24*BI200^3+'Speed-CO2'!$I$24*BI200^4)</f>
        <v>8.1547213203014586</v>
      </c>
      <c r="BJ230" s="21">
        <f>'Speed-CO2'!$G$33*1000*'Speed-CO2'!$G$29*Constants!$J$16/EXP('Speed-CO2'!$E$24+'Speed-CO2'!$F$24*BJ200+'Speed-CO2'!$G$24*BJ200^2+'Speed-CO2'!$H$24*BJ200^3+'Speed-CO2'!$I$24*BJ200^4)</f>
        <v>8.26564796188819</v>
      </c>
      <c r="BK230" s="21">
        <f>'Speed-CO2'!$G$33*1000*'Speed-CO2'!$G$29*Constants!$J$16/EXP('Speed-CO2'!$E$24+'Speed-CO2'!$F$24*BK200+'Speed-CO2'!$G$24*BK200^2+'Speed-CO2'!$H$24*BK200^3+'Speed-CO2'!$I$24*BK200^4)</f>
        <v>5.6241568007384828</v>
      </c>
      <c r="BL230" s="21">
        <f>'Speed-CO2'!$G$33*1000*'Speed-CO2'!$G$29*Constants!$J$16/EXP('Speed-CO2'!$E$24+'Speed-CO2'!$F$24*BL200+'Speed-CO2'!$G$24*BL200^2+'Speed-CO2'!$H$24*BL200^3+'Speed-CO2'!$I$24*BL200^4)</f>
        <v>6.3566127818423865</v>
      </c>
      <c r="BM230" s="21">
        <f>'Speed-CO2'!$G$33*1000*'Speed-CO2'!$G$29*Constants!$J$16/EXP('Speed-CO2'!$E$24+'Speed-CO2'!$F$24*BM200+'Speed-CO2'!$G$24*BM200^2+'Speed-CO2'!$H$24*BM200^3+'Speed-CO2'!$I$24*BM200^4)</f>
        <v>7.0420347059464845</v>
      </c>
      <c r="BN230" s="21">
        <f>'Speed-CO2'!$G$33*1000*'Speed-CO2'!$G$29*Constants!$J$16/EXP('Speed-CO2'!$E$24+'Speed-CO2'!$F$24*BN200+'Speed-CO2'!$G$24*BN200^2+'Speed-CO2'!$H$24*BN200^3+'Speed-CO2'!$I$24*BN200^4)</f>
        <v>5.2247053146744769</v>
      </c>
      <c r="BO230" s="21">
        <f>'Speed-CO2'!$G$33*1000*'Speed-CO2'!$G$29*Constants!$J$16/EXP('Speed-CO2'!$E$24+'Speed-CO2'!$F$24*BO200+'Speed-CO2'!$G$24*BO200^2+'Speed-CO2'!$H$24*BO200^3+'Speed-CO2'!$I$24*BO200^4)</f>
        <v>7.3211481977731037</v>
      </c>
    </row>
    <row r="231" spans="2:68" ht="13.2" customHeight="1">
      <c r="O231" s="39">
        <f>ROW()</f>
        <v>231</v>
      </c>
    </row>
    <row r="232" spans="2:68" ht="13.2" customHeight="1">
      <c r="B232" s="308" t="s">
        <v>863</v>
      </c>
      <c r="O232" s="39">
        <f>ROW()</f>
        <v>232</v>
      </c>
    </row>
    <row r="233" spans="2:68" ht="13.2" customHeight="1">
      <c r="B233" s="323" t="s">
        <v>1652</v>
      </c>
      <c r="G233" s="4321" t="s">
        <v>2351</v>
      </c>
      <c r="H233" s="4322"/>
      <c r="I233" s="4322"/>
      <c r="J233" s="4322"/>
      <c r="K233" s="4322"/>
      <c r="L233" s="4323"/>
      <c r="O233" s="39">
        <f>ROW()</f>
        <v>233</v>
      </c>
      <c r="P233" s="117">
        <f t="shared" ref="P233:V233" si="150">2*$J$85/P229</f>
        <v>0.15353812053573601</v>
      </c>
      <c r="Q233" s="117">
        <f t="shared" si="150"/>
        <v>0.15784850517677526</v>
      </c>
      <c r="R233" s="117">
        <f t="shared" si="150"/>
        <v>0.28484994721474372</v>
      </c>
      <c r="S233" s="117">
        <f t="shared" si="150"/>
        <v>0.27181109971315942</v>
      </c>
      <c r="T233" s="117">
        <f t="shared" si="150"/>
        <v>0.23175419099554165</v>
      </c>
      <c r="U233" s="117">
        <f t="shared" si="150"/>
        <v>0.3090192984424206</v>
      </c>
      <c r="V233" s="117">
        <f t="shared" si="150"/>
        <v>0.23425683485161569</v>
      </c>
      <c r="Y233" s="117">
        <f t="shared" ref="Y233:AE233" si="151">2*$J$85/Y229</f>
        <v>0.15353812053573601</v>
      </c>
      <c r="Z233" s="117">
        <f t="shared" si="151"/>
        <v>0.15784850517677526</v>
      </c>
      <c r="AA233" s="117">
        <f t="shared" si="151"/>
        <v>0.28484994721474372</v>
      </c>
      <c r="AB233" s="117">
        <f t="shared" si="151"/>
        <v>0.27181109971315942</v>
      </c>
      <c r="AC233" s="117">
        <f t="shared" si="151"/>
        <v>0.23175419099554165</v>
      </c>
      <c r="AD233" s="117">
        <f t="shared" si="151"/>
        <v>0.3090192984424206</v>
      </c>
      <c r="AE233" s="117">
        <f t="shared" si="151"/>
        <v>0.23425683485161569</v>
      </c>
      <c r="AH233" s="117">
        <f t="shared" ref="AH233:AN233" si="152">2*$K$85/AH229</f>
        <v>0.1965287942857421</v>
      </c>
      <c r="AI233" s="117">
        <f t="shared" si="152"/>
        <v>0.20204608662627235</v>
      </c>
      <c r="AJ233" s="117">
        <f t="shared" si="152"/>
        <v>0.364607932434872</v>
      </c>
      <c r="AK233" s="117">
        <f t="shared" si="152"/>
        <v>0.34791820763284409</v>
      </c>
      <c r="AL233" s="117">
        <f t="shared" si="152"/>
        <v>0.29664536447429335</v>
      </c>
      <c r="AM233" s="117">
        <f t="shared" si="152"/>
        <v>0.39554470200629843</v>
      </c>
      <c r="AN233" s="117">
        <f t="shared" si="152"/>
        <v>0.29984874861006811</v>
      </c>
      <c r="AQ233" s="117">
        <f t="shared" ref="AQ233:AW233" si="153">2*$L$85/AQ229</f>
        <v>0.25409772004627817</v>
      </c>
      <c r="AR233" s="117">
        <f t="shared" si="153"/>
        <v>0.26154330718184515</v>
      </c>
      <c r="AS233" s="117">
        <f t="shared" si="153"/>
        <v>0.47274153034244615</v>
      </c>
      <c r="AT233" s="117">
        <f t="shared" si="153"/>
        <v>0.45149799082205294</v>
      </c>
      <c r="AU233" s="117">
        <f t="shared" si="153"/>
        <v>0.38574141262656453</v>
      </c>
      <c r="AV233" s="117">
        <f t="shared" si="153"/>
        <v>0.51193791026008195</v>
      </c>
      <c r="AW233" s="117">
        <f t="shared" si="153"/>
        <v>0.38987397000829893</v>
      </c>
      <c r="AZ233" s="117">
        <f t="shared" ref="AZ233:BF233" si="154">2*$J$85/AZ229</f>
        <v>0.30707624107147202</v>
      </c>
      <c r="BA233" s="117">
        <f t="shared" si="154"/>
        <v>0.31569701035355052</v>
      </c>
      <c r="BB233" s="117">
        <f t="shared" si="154"/>
        <v>0.56969989442948743</v>
      </c>
      <c r="BC233" s="117">
        <f t="shared" si="154"/>
        <v>0.54362219942631884</v>
      </c>
      <c r="BD233" s="117">
        <f t="shared" si="154"/>
        <v>0.4635083819910833</v>
      </c>
      <c r="BE233" s="117">
        <f t="shared" si="154"/>
        <v>0.6180385968848412</v>
      </c>
      <c r="BF233" s="117">
        <f t="shared" si="154"/>
        <v>0.46851366970323138</v>
      </c>
      <c r="BI233" s="117">
        <f t="shared" ref="BI233:BO233" si="155">2*$J$85/BI229</f>
        <v>0.46061436160720809</v>
      </c>
      <c r="BJ233" s="117">
        <f t="shared" si="155"/>
        <v>0.47354551553032581</v>
      </c>
      <c r="BK233" s="117">
        <f t="shared" si="155"/>
        <v>0.85454984164423131</v>
      </c>
      <c r="BL233" s="117">
        <f t="shared" si="155"/>
        <v>0.81543329913947837</v>
      </c>
      <c r="BM233" s="117">
        <f t="shared" si="155"/>
        <v>0.69526257298662508</v>
      </c>
      <c r="BN233" s="117">
        <f t="shared" si="155"/>
        <v>0.9270578953272619</v>
      </c>
      <c r="BO233" s="117">
        <f t="shared" si="155"/>
        <v>0.70277050455484713</v>
      </c>
    </row>
    <row r="234" spans="2:68" ht="13.2" customHeight="1">
      <c r="B234" s="323" t="s">
        <v>1651</v>
      </c>
      <c r="G234" s="4324"/>
      <c r="H234" s="4325"/>
      <c r="I234" s="4325"/>
      <c r="J234" s="4325"/>
      <c r="K234" s="4325"/>
      <c r="L234" s="4326"/>
      <c r="O234" s="39">
        <f>ROW()</f>
        <v>234</v>
      </c>
      <c r="P234" s="117">
        <f t="shared" ref="P234:V234" si="156">2*$J$79/P230</f>
        <v>1.3816175167397622</v>
      </c>
      <c r="Q234" s="117">
        <f t="shared" si="156"/>
        <v>1.3630759345436665</v>
      </c>
      <c r="R234" s="117">
        <f t="shared" si="156"/>
        <v>2.0032702179961124</v>
      </c>
      <c r="S234" s="117">
        <f t="shared" si="156"/>
        <v>1.7724385937811014</v>
      </c>
      <c r="T234" s="117">
        <f t="shared" si="156"/>
        <v>1.599921938860339</v>
      </c>
      <c r="U234" s="117">
        <f t="shared" si="156"/>
        <v>2.1564289546848179</v>
      </c>
      <c r="V234" s="117">
        <f t="shared" si="156"/>
        <v>1.5389260695046065</v>
      </c>
      <c r="Y234" s="117">
        <f t="shared" ref="Y234:AE234" si="157">2*$J$79/Y230</f>
        <v>1.3816175167397622</v>
      </c>
      <c r="Z234" s="117">
        <f t="shared" si="157"/>
        <v>1.3630759345436665</v>
      </c>
      <c r="AA234" s="117">
        <f t="shared" si="157"/>
        <v>2.0032702179961124</v>
      </c>
      <c r="AB234" s="117">
        <f t="shared" si="157"/>
        <v>1.7724385937811014</v>
      </c>
      <c r="AC234" s="117">
        <f t="shared" si="157"/>
        <v>1.599921938860339</v>
      </c>
      <c r="AD234" s="117">
        <f t="shared" si="157"/>
        <v>2.1564289546848179</v>
      </c>
      <c r="AE234" s="117">
        <f t="shared" si="157"/>
        <v>1.5389260695046065</v>
      </c>
      <c r="AH234" s="117">
        <f t="shared" ref="AH234:AN234" si="158">2*$K$79/AH230</f>
        <v>2.0724262751096432</v>
      </c>
      <c r="AI234" s="117">
        <f t="shared" si="158"/>
        <v>2.0446139018154996</v>
      </c>
      <c r="AJ234" s="117">
        <f t="shared" si="158"/>
        <v>3.0049053269941681</v>
      </c>
      <c r="AK234" s="117">
        <f t="shared" si="158"/>
        <v>2.6586578906716523</v>
      </c>
      <c r="AL234" s="117">
        <f t="shared" si="158"/>
        <v>2.3998829082905084</v>
      </c>
      <c r="AM234" s="117">
        <f t="shared" si="158"/>
        <v>3.234643432027227</v>
      </c>
      <c r="AN234" s="117">
        <f t="shared" si="158"/>
        <v>2.3083891042569098</v>
      </c>
      <c r="AQ234" s="117">
        <f t="shared" ref="AQ234:AW234" si="159">2*$L$79/AQ230</f>
        <v>0.48995051265003703</v>
      </c>
      <c r="AR234" s="117">
        <f t="shared" si="159"/>
        <v>0.48391872184111645</v>
      </c>
      <c r="AS234" s="117">
        <f t="shared" si="159"/>
        <v>0.71654205243981206</v>
      </c>
      <c r="AT234" s="117">
        <f t="shared" si="159"/>
        <v>0.63350419160561189</v>
      </c>
      <c r="AU234" s="117">
        <f t="shared" si="159"/>
        <v>0.57118543128882915</v>
      </c>
      <c r="AV234" s="117">
        <f t="shared" si="159"/>
        <v>0.77150251380696144</v>
      </c>
      <c r="AW234" s="117">
        <f t="shared" si="159"/>
        <v>0.54905695447043301</v>
      </c>
      <c r="AZ234" s="117">
        <f t="shared" ref="AZ234:BF234" si="160">2*$J$79/AZ230</f>
        <v>2.7632350334795244</v>
      </c>
      <c r="BA234" s="117">
        <f t="shared" si="160"/>
        <v>2.726151869087333</v>
      </c>
      <c r="BB234" s="117">
        <f t="shared" si="160"/>
        <v>4.0065404359922248</v>
      </c>
      <c r="BC234" s="117">
        <f t="shared" si="160"/>
        <v>3.5448771875622027</v>
      </c>
      <c r="BD234" s="117">
        <f t="shared" si="160"/>
        <v>3.1998438777206779</v>
      </c>
      <c r="BE234" s="117">
        <f t="shared" si="160"/>
        <v>4.3128579093696358</v>
      </c>
      <c r="BF234" s="117">
        <f t="shared" si="160"/>
        <v>3.0778521390092131</v>
      </c>
      <c r="BI234" s="117">
        <f t="shared" ref="BI234:BO234" si="161">2*$J$79/BI230</f>
        <v>4.1448525502192872</v>
      </c>
      <c r="BJ234" s="117">
        <f t="shared" si="161"/>
        <v>4.0892278036309992</v>
      </c>
      <c r="BK234" s="117">
        <f t="shared" si="161"/>
        <v>6.0098106539883362</v>
      </c>
      <c r="BL234" s="117">
        <f t="shared" si="161"/>
        <v>5.3173157813433054</v>
      </c>
      <c r="BM234" s="117">
        <f t="shared" si="161"/>
        <v>4.7997658165810169</v>
      </c>
      <c r="BN234" s="117">
        <f t="shared" si="161"/>
        <v>6.469286864054455</v>
      </c>
      <c r="BO234" s="117">
        <f t="shared" si="161"/>
        <v>4.6167782085138196</v>
      </c>
    </row>
    <row r="235" spans="2:68" ht="13.2" customHeight="1">
      <c r="B235" s="323" t="s">
        <v>1323</v>
      </c>
      <c r="G235" s="3741"/>
      <c r="H235" s="3742"/>
      <c r="I235" s="3742"/>
      <c r="J235" s="3742"/>
      <c r="K235" s="3742"/>
      <c r="L235" s="3777"/>
      <c r="O235" s="39">
        <f>ROW()</f>
        <v>235</v>
      </c>
      <c r="P235" s="117">
        <f>P233+P234</f>
        <v>1.5351556372754982</v>
      </c>
      <c r="Q235" s="117">
        <f t="shared" ref="Q235:V235" si="162">Q233+Q234</f>
        <v>1.5209244397204418</v>
      </c>
      <c r="R235" s="117">
        <f t="shared" si="162"/>
        <v>2.2881201652108563</v>
      </c>
      <c r="S235" s="117">
        <f t="shared" si="162"/>
        <v>2.0442496934942609</v>
      </c>
      <c r="T235" s="117">
        <f t="shared" si="162"/>
        <v>1.8316761298558806</v>
      </c>
      <c r="U235" s="117">
        <f t="shared" si="162"/>
        <v>2.4654482531272386</v>
      </c>
      <c r="V235" s="117">
        <f t="shared" si="162"/>
        <v>1.7731829043562222</v>
      </c>
      <c r="W235" s="117"/>
      <c r="Y235" s="117">
        <f t="shared" ref="Y235:AE235" si="163">Y233+Y234</f>
        <v>1.5351556372754982</v>
      </c>
      <c r="Z235" s="117">
        <f t="shared" si="163"/>
        <v>1.5209244397204418</v>
      </c>
      <c r="AA235" s="117">
        <f t="shared" si="163"/>
        <v>2.2881201652108563</v>
      </c>
      <c r="AB235" s="117">
        <f t="shared" si="163"/>
        <v>2.0442496934942609</v>
      </c>
      <c r="AC235" s="117">
        <f t="shared" si="163"/>
        <v>1.8316761298558806</v>
      </c>
      <c r="AD235" s="117">
        <f t="shared" si="163"/>
        <v>2.4654482531272386</v>
      </c>
      <c r="AE235" s="117">
        <f t="shared" si="163"/>
        <v>1.7731829043562222</v>
      </c>
      <c r="AH235" s="117">
        <f t="shared" ref="AH235:AN235" si="164">AH233+AH234</f>
        <v>2.2689550693953855</v>
      </c>
      <c r="AI235" s="117">
        <f t="shared" si="164"/>
        <v>2.2466599884417722</v>
      </c>
      <c r="AJ235" s="117">
        <f t="shared" si="164"/>
        <v>3.36951325942904</v>
      </c>
      <c r="AK235" s="117">
        <f t="shared" si="164"/>
        <v>3.0065760983044965</v>
      </c>
      <c r="AL235" s="117">
        <f t="shared" si="164"/>
        <v>2.6965282727648017</v>
      </c>
      <c r="AM235" s="117">
        <f t="shared" si="164"/>
        <v>3.6301881340335256</v>
      </c>
      <c r="AN235" s="117">
        <f t="shared" si="164"/>
        <v>2.6082378528669778</v>
      </c>
      <c r="AQ235" s="117">
        <f t="shared" ref="AQ235:AW235" si="165">AQ233+AQ234</f>
        <v>0.74404823269631515</v>
      </c>
      <c r="AR235" s="117">
        <f t="shared" si="165"/>
        <v>0.74546202902296166</v>
      </c>
      <c r="AS235" s="117">
        <f t="shared" si="165"/>
        <v>1.1892835827822581</v>
      </c>
      <c r="AT235" s="117">
        <f t="shared" si="165"/>
        <v>1.0850021824276648</v>
      </c>
      <c r="AU235" s="117">
        <f t="shared" si="165"/>
        <v>0.95692684391539373</v>
      </c>
      <c r="AV235" s="117">
        <f t="shared" si="165"/>
        <v>1.2834404240670434</v>
      </c>
      <c r="AW235" s="117">
        <f t="shared" si="165"/>
        <v>0.93893092447873194</v>
      </c>
      <c r="AZ235" s="117">
        <f t="shared" ref="AZ235:BF235" si="166">AZ233+AZ234</f>
        <v>3.0703112745509964</v>
      </c>
      <c r="BA235" s="117">
        <f t="shared" si="166"/>
        <v>3.0418488794408836</v>
      </c>
      <c r="BB235" s="117">
        <f t="shared" si="166"/>
        <v>4.5762403304217125</v>
      </c>
      <c r="BC235" s="117">
        <f t="shared" si="166"/>
        <v>4.0884993869885218</v>
      </c>
      <c r="BD235" s="117">
        <f t="shared" si="166"/>
        <v>3.6633522597117611</v>
      </c>
      <c r="BE235" s="117">
        <f t="shared" si="166"/>
        <v>4.9308965062544772</v>
      </c>
      <c r="BF235" s="117">
        <f t="shared" si="166"/>
        <v>3.5463658087124443</v>
      </c>
      <c r="BI235" s="117">
        <f t="shared" ref="BI235:BO235" si="167">BI233+BI234</f>
        <v>4.605466911826495</v>
      </c>
      <c r="BJ235" s="117">
        <f t="shared" si="167"/>
        <v>4.5627733191613249</v>
      </c>
      <c r="BK235" s="117">
        <f t="shared" si="167"/>
        <v>6.8643604956325674</v>
      </c>
      <c r="BL235" s="117">
        <f t="shared" si="167"/>
        <v>6.1327490804827836</v>
      </c>
      <c r="BM235" s="117">
        <f t="shared" si="167"/>
        <v>5.4950283895676417</v>
      </c>
      <c r="BN235" s="117">
        <f t="shared" si="167"/>
        <v>7.3963447593817166</v>
      </c>
      <c r="BO235" s="117">
        <f t="shared" si="167"/>
        <v>5.3195487130686665</v>
      </c>
    </row>
    <row r="236" spans="2:68" ht="13.2" customHeight="1">
      <c r="B236" s="213"/>
      <c r="O236" s="39">
        <f>ROW()</f>
        <v>236</v>
      </c>
      <c r="P236" s="117"/>
      <c r="Q236" s="117"/>
      <c r="R236" s="117"/>
      <c r="S236" s="117"/>
      <c r="T236" s="117"/>
      <c r="U236" s="117"/>
      <c r="V236" s="117"/>
      <c r="W236" s="117"/>
      <c r="Y236" s="117"/>
      <c r="Z236" s="117"/>
      <c r="AA236" s="117"/>
      <c r="AB236" s="117"/>
      <c r="AC236" s="117"/>
      <c r="AD236" s="117"/>
      <c r="AE236" s="117"/>
      <c r="AH236" s="117"/>
      <c r="AI236" s="117"/>
      <c r="AJ236" s="117"/>
      <c r="AK236" s="117"/>
      <c r="AL236" s="117"/>
      <c r="AM236" s="117"/>
      <c r="AN236" s="117"/>
      <c r="AQ236" s="117"/>
      <c r="AR236" s="117"/>
      <c r="AS236" s="117"/>
      <c r="AT236" s="117"/>
      <c r="AU236" s="117"/>
      <c r="AV236" s="117"/>
      <c r="AW236" s="117"/>
      <c r="AZ236" s="117"/>
      <c r="BA236" s="117"/>
      <c r="BB236" s="117"/>
      <c r="BC236" s="117"/>
      <c r="BD236" s="117"/>
      <c r="BE236" s="117"/>
      <c r="BF236" s="117"/>
      <c r="BI236" s="117"/>
      <c r="BJ236" s="117"/>
      <c r="BK236" s="117"/>
      <c r="BL236" s="117"/>
      <c r="BM236" s="117"/>
      <c r="BN236" s="117"/>
      <c r="BO236" s="117"/>
    </row>
    <row r="237" spans="2:68" ht="13.2" customHeight="1">
      <c r="B237" s="2" t="s">
        <v>5261</v>
      </c>
      <c r="O237" s="39">
        <f>ROW()</f>
        <v>237</v>
      </c>
      <c r="P237" s="4267" t="str">
        <f>CONCATENATE("Figures in Row ",O239, " are chosen to make wghtd % (in last column) roughly equal % for paid lot or garage shown in Parking worksheet. Most figures in Row ",O241, " are set to equal those. Row ",O240, " figures are rough-estimated, and Row ",O242, " are set to make sum = 100%.")</f>
        <v>Figures in Row 239 are chosen to make wghtd % (in last column) roughly equal % for paid lot or garage shown in Parking worksheet. Most figures in Row 241 are set to equal those. Row 240 figures are rough-estimated, and Row 242 are set to make sum = 100%.</v>
      </c>
      <c r="Q237" s="4187"/>
      <c r="R237" s="4187"/>
      <c r="S237" s="4187"/>
      <c r="T237" s="4187"/>
      <c r="U237" s="4187"/>
      <c r="V237" s="4187"/>
      <c r="W237" s="4187"/>
      <c r="Y237" s="4267" t="str">
        <f>CONCATENATE("Figures in Rows ",O239, " through ",O242, " are chosen so that wghtd %'s in last column of this column-block, when combined (wghtd) w/ analogous figure in prior column-block, will roughly yield respective %'s shown for each 'parking mode' in Parking worksheet.")</f>
        <v>Figures in Rows 239 through 242 are chosen so that wghtd %'s in last column of this column-block, when combined (wghtd) w/ analogous figure in prior column-block, will roughly yield respective %'s shown for each 'parking mode' in Parking worksheet.</v>
      </c>
      <c r="Z237" s="4187"/>
      <c r="AA237" s="4187"/>
      <c r="AB237" s="4187"/>
      <c r="AC237" s="4187"/>
      <c r="AD237" s="4187"/>
      <c r="AE237" s="4187"/>
      <c r="AF237" s="4187"/>
      <c r="AH237" s="117"/>
      <c r="AI237" s="117"/>
      <c r="AJ237" s="117"/>
      <c r="AK237" s="117"/>
      <c r="AL237" s="117"/>
      <c r="AM237" s="117"/>
      <c r="AN237" s="117"/>
      <c r="AQ237" s="117"/>
      <c r="AR237" s="117"/>
      <c r="AS237" s="117"/>
      <c r="AT237" s="117"/>
      <c r="AU237" s="117"/>
      <c r="AV237" s="117"/>
      <c r="AW237" s="117"/>
      <c r="AZ237" s="674" t="s">
        <v>6199</v>
      </c>
      <c r="BA237" s="117"/>
      <c r="BB237" s="117"/>
      <c r="BC237" s="117"/>
      <c r="BD237" s="117"/>
      <c r="BE237" s="117"/>
      <c r="BF237" s="117"/>
      <c r="BI237" s="674" t="s">
        <v>6200</v>
      </c>
      <c r="BJ237" s="117"/>
      <c r="BK237" s="117"/>
      <c r="BL237" s="117"/>
      <c r="BM237" s="117"/>
      <c r="BN237" s="117"/>
      <c r="BO237" s="117"/>
    </row>
    <row r="238" spans="2:68" ht="13.2" customHeight="1">
      <c r="B238" s="308" t="s">
        <v>2439</v>
      </c>
      <c r="O238" s="39">
        <f>ROW()</f>
        <v>238</v>
      </c>
      <c r="P238" s="4187"/>
      <c r="Q238" s="4187"/>
      <c r="R238" s="4187"/>
      <c r="S238" s="4187"/>
      <c r="T238" s="4187"/>
      <c r="U238" s="4187"/>
      <c r="V238" s="4187"/>
      <c r="W238" s="4187"/>
      <c r="Y238" s="4187"/>
      <c r="Z238" s="4187"/>
      <c r="AA238" s="4187"/>
      <c r="AB238" s="4187"/>
      <c r="AC238" s="4187"/>
      <c r="AD238" s="4187"/>
      <c r="AE238" s="4187"/>
      <c r="AF238" s="4187"/>
      <c r="AH238" s="117"/>
      <c r="AI238" s="117"/>
      <c r="AJ238" s="117"/>
      <c r="AK238" s="117"/>
      <c r="AL238" s="117"/>
      <c r="AM238" s="117"/>
      <c r="AN238" s="117"/>
      <c r="AQ238" s="117"/>
      <c r="AR238" s="117"/>
      <c r="AS238" s="117"/>
      <c r="AT238" s="117"/>
      <c r="AU238" s="117"/>
      <c r="AV238" s="117"/>
      <c r="AW238" s="117"/>
      <c r="AZ238" s="117"/>
      <c r="BA238" s="117"/>
      <c r="BB238" s="117"/>
      <c r="BC238" s="117"/>
      <c r="BD238" s="117"/>
      <c r="BE238" s="117"/>
      <c r="BF238" s="117"/>
      <c r="BI238" s="117"/>
      <c r="BJ238" s="117"/>
      <c r="BK238" s="117"/>
      <c r="BL238" s="117"/>
      <c r="BM238" s="117"/>
      <c r="BN238" s="117"/>
      <c r="BO238" s="117"/>
    </row>
    <row r="239" spans="2:68" ht="13.2" customHeight="1">
      <c r="B239" s="323" t="s">
        <v>206</v>
      </c>
      <c r="G239" s="4286" t="s">
        <v>2351</v>
      </c>
      <c r="H239" s="3775"/>
      <c r="I239" s="3775"/>
      <c r="J239" s="3775"/>
      <c r="K239" s="3775"/>
      <c r="L239" s="3776"/>
      <c r="O239" s="39">
        <f>ROW()</f>
        <v>239</v>
      </c>
      <c r="P239" s="39">
        <v>0.05</v>
      </c>
      <c r="Q239" s="39">
        <v>0.15</v>
      </c>
      <c r="R239" s="39">
        <v>0.48</v>
      </c>
      <c r="S239" s="39">
        <v>0.48</v>
      </c>
      <c r="T239" s="39">
        <v>0.48</v>
      </c>
      <c r="U239" s="39">
        <v>0.35</v>
      </c>
      <c r="V239" s="39">
        <v>0.3</v>
      </c>
      <c r="W239" s="12">
        <f>SUMPRODUCT(P$122:V$122,P239:V239)/W$122</f>
        <v>0.40548458200032333</v>
      </c>
      <c r="X239" s="39"/>
      <c r="Y239" s="39">
        <v>0.1</v>
      </c>
      <c r="Z239" s="39">
        <v>0.25</v>
      </c>
      <c r="AA239" s="39">
        <v>0.5</v>
      </c>
      <c r="AB239" s="39">
        <v>0.5</v>
      </c>
      <c r="AC239" s="39">
        <v>0.5</v>
      </c>
      <c r="AD239" s="39">
        <v>0.4</v>
      </c>
      <c r="AE239" s="39">
        <v>0.3</v>
      </c>
      <c r="AF239" s="12">
        <f>SUMPRODUCT(Y$122:AE$122,Y239:AE239)/AF$122</f>
        <v>0.38775584699958721</v>
      </c>
      <c r="AH239" s="4262" t="s">
        <v>2716</v>
      </c>
      <c r="AI239" s="3659"/>
      <c r="AJ239" s="3659"/>
      <c r="AK239" s="3659"/>
      <c r="AL239" s="3659"/>
      <c r="AM239" s="3659"/>
      <c r="AN239" s="3659"/>
      <c r="AO239" s="39"/>
      <c r="AQ239" s="117"/>
      <c r="AR239" s="117"/>
      <c r="AS239" s="117"/>
      <c r="AT239" s="117"/>
      <c r="AU239" s="117"/>
      <c r="AV239" s="117"/>
      <c r="AW239" s="117"/>
      <c r="AY239" s="39"/>
      <c r="AZ239" s="39">
        <v>0.01</v>
      </c>
      <c r="BA239" s="39">
        <v>0.02</v>
      </c>
      <c r="BB239" s="39">
        <v>0.03</v>
      </c>
      <c r="BC239" s="39">
        <v>0.03</v>
      </c>
      <c r="BD239" s="39">
        <v>0.03</v>
      </c>
      <c r="BE239" s="39">
        <v>0.03</v>
      </c>
      <c r="BF239" s="39">
        <v>0.02</v>
      </c>
      <c r="BG239" s="39">
        <f>SUMPRODUCT(AZ$122:BF$122,AZ239:BF239)/BG$122</f>
        <v>2.6817337091984406E-2</v>
      </c>
      <c r="BH239" s="39"/>
      <c r="BI239" s="39">
        <v>0</v>
      </c>
      <c r="BJ239" s="39">
        <v>0.01</v>
      </c>
      <c r="BK239" s="39">
        <v>0.02</v>
      </c>
      <c r="BL239" s="39">
        <v>0.02</v>
      </c>
      <c r="BM239" s="39">
        <v>0.02</v>
      </c>
      <c r="BN239" s="39">
        <v>0.02</v>
      </c>
      <c r="BO239" s="39">
        <v>0.01</v>
      </c>
      <c r="BP239" s="39">
        <f>SUMPRODUCT(BI$122:BO$122,BI239:BO239)/BP$122</f>
        <v>1.6817337091984408E-2</v>
      </c>
    </row>
    <row r="240" spans="2:68" ht="13.2" customHeight="1">
      <c r="B240" s="323" t="s">
        <v>207</v>
      </c>
      <c r="G240" s="3738"/>
      <c r="H240" s="3739"/>
      <c r="I240" s="3739"/>
      <c r="J240" s="3739"/>
      <c r="K240" s="3739"/>
      <c r="L240" s="3922"/>
      <c r="O240" s="39">
        <f>ROW()</f>
        <v>240</v>
      </c>
      <c r="P240" s="39">
        <v>0.02</v>
      </c>
      <c r="Q240" s="39">
        <v>0.02</v>
      </c>
      <c r="R240" s="39">
        <v>0.02</v>
      </c>
      <c r="S240" s="39">
        <v>0.02</v>
      </c>
      <c r="T240" s="39">
        <v>0.02</v>
      </c>
      <c r="U240" s="39">
        <v>0.02</v>
      </c>
      <c r="V240" s="39">
        <v>0.02</v>
      </c>
      <c r="W240" s="12">
        <f>SUMPRODUCT(P$122:V$122,P240:V240)/W$122</f>
        <v>1.9999999999999997E-2</v>
      </c>
      <c r="Y240" s="39">
        <v>0.09</v>
      </c>
      <c r="Z240" s="39">
        <v>0.09</v>
      </c>
      <c r="AA240" s="39">
        <v>0.09</v>
      </c>
      <c r="AB240" s="39">
        <v>0.09</v>
      </c>
      <c r="AC240" s="39">
        <v>0.1</v>
      </c>
      <c r="AD240" s="39">
        <v>0.1</v>
      </c>
      <c r="AE240" s="39">
        <v>0.09</v>
      </c>
      <c r="AF240" s="12">
        <f>SUMPRODUCT(Y$122:AE$122,Y240:AE240)/AF$122</f>
        <v>9.6182011407487944E-2</v>
      </c>
      <c r="AH240" s="3659"/>
      <c r="AI240" s="3659"/>
      <c r="AJ240" s="3659"/>
      <c r="AK240" s="3659"/>
      <c r="AL240" s="3659"/>
      <c r="AM240" s="3659"/>
      <c r="AN240" s="3659"/>
      <c r="AO240" s="39"/>
      <c r="AQ240" s="4265" t="s">
        <v>3169</v>
      </c>
      <c r="AR240" s="4266"/>
      <c r="AS240" s="4266"/>
      <c r="AT240" s="4266"/>
      <c r="AU240" s="4266"/>
      <c r="AV240" s="4266"/>
      <c r="AW240" s="4266"/>
      <c r="AZ240" s="39">
        <v>0.03</v>
      </c>
      <c r="BA240" s="39">
        <v>0.06</v>
      </c>
      <c r="BB240" s="39">
        <v>0.09</v>
      </c>
      <c r="BC240" s="39">
        <v>0.09</v>
      </c>
      <c r="BD240" s="39">
        <v>0.09</v>
      </c>
      <c r="BE240" s="39">
        <v>0.09</v>
      </c>
      <c r="BF240" s="39">
        <v>0.06</v>
      </c>
      <c r="BG240" s="39">
        <f>SUMPRODUCT(AZ$122:BF$122,AZ240:BF240)/BG$122</f>
        <v>8.0452011275953209E-2</v>
      </c>
      <c r="BI240" s="39">
        <v>0</v>
      </c>
      <c r="BJ240" s="39">
        <v>0.01</v>
      </c>
      <c r="BK240" s="39">
        <v>0.02</v>
      </c>
      <c r="BL240" s="39">
        <v>0.02</v>
      </c>
      <c r="BM240" s="39">
        <v>0.02</v>
      </c>
      <c r="BN240" s="39">
        <v>0.02</v>
      </c>
      <c r="BO240" s="39">
        <v>0.01</v>
      </c>
      <c r="BP240" s="39">
        <f>SUMPRODUCT(BI$122:BO$122,BI240:BO240)/BP$122</f>
        <v>1.6817337091984408E-2</v>
      </c>
    </row>
    <row r="241" spans="2:68" ht="13.2" customHeight="1">
      <c r="B241" s="323" t="s">
        <v>1336</v>
      </c>
      <c r="G241" s="3738"/>
      <c r="H241" s="3739"/>
      <c r="I241" s="3739"/>
      <c r="J241" s="3739"/>
      <c r="K241" s="3739"/>
      <c r="L241" s="3922"/>
      <c r="O241" s="39">
        <f>ROW()</f>
        <v>241</v>
      </c>
      <c r="P241" s="39">
        <v>0.15</v>
      </c>
      <c r="Q241" s="39">
        <v>0.2</v>
      </c>
      <c r="R241" s="39">
        <v>0.48</v>
      </c>
      <c r="S241" s="39">
        <v>0.48</v>
      </c>
      <c r="T241" s="39">
        <v>0.48</v>
      </c>
      <c r="U241" s="39">
        <f>U239</f>
        <v>0.35</v>
      </c>
      <c r="V241" s="39">
        <f>V239</f>
        <v>0.3</v>
      </c>
      <c r="W241" s="12">
        <f>SUMPRODUCT(P$122:V$122,P241:V241)/W$122</f>
        <v>0.4115891276402055</v>
      </c>
      <c r="Y241" s="39">
        <v>0.2</v>
      </c>
      <c r="Z241" s="39">
        <v>0.35</v>
      </c>
      <c r="AA241" s="39">
        <v>0.4</v>
      </c>
      <c r="AB241" s="39">
        <v>0.4</v>
      </c>
      <c r="AC241" s="39">
        <v>0.4</v>
      </c>
      <c r="AD241" s="39">
        <v>0.35</v>
      </c>
      <c r="AE241" s="39">
        <v>0.25</v>
      </c>
      <c r="AF241" s="12">
        <f>SUMPRODUCT(Y$122:AE$122,Y241:AE241)/AF$122</f>
        <v>0.33797346350771751</v>
      </c>
      <c r="AH241" s="3659"/>
      <c r="AI241" s="3659"/>
      <c r="AJ241" s="3659"/>
      <c r="AK241" s="3659"/>
      <c r="AL241" s="3659"/>
      <c r="AM241" s="3659"/>
      <c r="AN241" s="3659"/>
      <c r="AO241" s="39"/>
      <c r="AQ241" s="332"/>
      <c r="AR241" s="332"/>
      <c r="AS241" s="332"/>
      <c r="AT241" s="332"/>
      <c r="AU241" s="332"/>
      <c r="AV241" s="332"/>
      <c r="AW241" s="332"/>
      <c r="AZ241" s="39"/>
      <c r="BA241" s="39"/>
      <c r="BB241" s="39"/>
      <c r="BC241" s="39"/>
      <c r="BD241" s="39"/>
      <c r="BE241" s="39"/>
      <c r="BF241" s="39"/>
      <c r="BG241" s="39"/>
      <c r="BI241" s="39"/>
      <c r="BJ241" s="39"/>
      <c r="BK241" s="39"/>
      <c r="BL241" s="39"/>
      <c r="BM241" s="39"/>
      <c r="BN241" s="39"/>
      <c r="BO241" s="39"/>
      <c r="BP241" s="39"/>
    </row>
    <row r="242" spans="2:68" ht="13.2" customHeight="1">
      <c r="B242" s="323" t="s">
        <v>1337</v>
      </c>
      <c r="G242" s="3741"/>
      <c r="H242" s="3742"/>
      <c r="I242" s="3742"/>
      <c r="J242" s="3742"/>
      <c r="K242" s="3742"/>
      <c r="L242" s="3777"/>
      <c r="O242" s="39">
        <f>ROW()</f>
        <v>242</v>
      </c>
      <c r="P242" s="39">
        <f t="shared" ref="P242:V242" si="168">1-SUM(P239:P241)</f>
        <v>0.78</v>
      </c>
      <c r="Q242" s="39">
        <f t="shared" si="168"/>
        <v>0.63</v>
      </c>
      <c r="R242" s="39">
        <f t="shared" si="168"/>
        <v>2.0000000000000018E-2</v>
      </c>
      <c r="S242" s="39">
        <f t="shared" si="168"/>
        <v>2.0000000000000018E-2</v>
      </c>
      <c r="T242" s="39">
        <f t="shared" si="168"/>
        <v>2.0000000000000018E-2</v>
      </c>
      <c r="U242" s="39">
        <f t="shared" si="168"/>
        <v>0.28000000000000003</v>
      </c>
      <c r="V242" s="39">
        <f t="shared" si="168"/>
        <v>0.38</v>
      </c>
      <c r="W242" s="12">
        <f>SUMPRODUCT(P$122:V$122,P242:V242)/W$122</f>
        <v>0.16292629035947118</v>
      </c>
      <c r="Y242" s="39">
        <f t="shared" ref="Y242:AE242" si="169">1-SUM(Y239:Y241)</f>
        <v>0.61</v>
      </c>
      <c r="Z242" s="39">
        <f t="shared" si="169"/>
        <v>0.31000000000000005</v>
      </c>
      <c r="AA242" s="39">
        <f t="shared" si="169"/>
        <v>1.0000000000000009E-2</v>
      </c>
      <c r="AB242" s="39">
        <f t="shared" si="169"/>
        <v>1.0000000000000009E-2</v>
      </c>
      <c r="AC242" s="39">
        <f t="shared" si="169"/>
        <v>0</v>
      </c>
      <c r="AD242" s="39">
        <f t="shared" si="169"/>
        <v>0.15000000000000002</v>
      </c>
      <c r="AE242" s="39">
        <f t="shared" si="169"/>
        <v>0.36</v>
      </c>
      <c r="AF242" s="12">
        <f>SUMPRODUCT(Y$122:AE$122,Y242:AE242)/AF$122</f>
        <v>0.17808867808520734</v>
      </c>
      <c r="AH242" s="3659"/>
      <c r="AI242" s="3659"/>
      <c r="AJ242" s="3659"/>
      <c r="AK242" s="3659"/>
      <c r="AL242" s="3659"/>
      <c r="AM242" s="3659"/>
      <c r="AN242" s="3659"/>
      <c r="AO242" s="39"/>
      <c r="AQ242" s="117"/>
      <c r="AR242" s="117"/>
      <c r="AS242" s="117"/>
      <c r="AT242" s="117"/>
      <c r="AU242" s="117"/>
      <c r="AV242" s="117"/>
      <c r="AW242" s="117"/>
      <c r="AZ242" s="39">
        <f t="shared" ref="AZ242:BF242" si="170">1-AZ239-AZ240</f>
        <v>0.96</v>
      </c>
      <c r="BA242" s="39">
        <f t="shared" si="170"/>
        <v>0.91999999999999993</v>
      </c>
      <c r="BB242" s="39">
        <f t="shared" si="170"/>
        <v>0.88</v>
      </c>
      <c r="BC242" s="39">
        <f t="shared" si="170"/>
        <v>0.88</v>
      </c>
      <c r="BD242" s="39">
        <f t="shared" si="170"/>
        <v>0.88</v>
      </c>
      <c r="BE242" s="39">
        <f t="shared" si="170"/>
        <v>0.88</v>
      </c>
      <c r="BF242" s="39">
        <f t="shared" si="170"/>
        <v>0.91999999999999993</v>
      </c>
      <c r="BG242" s="39">
        <f>SUMPRODUCT(AZ$122:BF$122,AZ242:BF242)/BG$122</f>
        <v>0.89273065163206233</v>
      </c>
      <c r="BI242" s="39">
        <f t="shared" ref="BI242:BO242" si="171">1-BI239-BI240</f>
        <v>1</v>
      </c>
      <c r="BJ242" s="39">
        <f t="shared" si="171"/>
        <v>0.98</v>
      </c>
      <c r="BK242" s="39">
        <f t="shared" si="171"/>
        <v>0.96</v>
      </c>
      <c r="BL242" s="39">
        <f t="shared" si="171"/>
        <v>0.96</v>
      </c>
      <c r="BM242" s="39">
        <f t="shared" si="171"/>
        <v>0.96</v>
      </c>
      <c r="BN242" s="39">
        <f t="shared" si="171"/>
        <v>0.96</v>
      </c>
      <c r="BO242" s="39">
        <f t="shared" si="171"/>
        <v>0.98</v>
      </c>
      <c r="BP242" s="39">
        <f>SUMPRODUCT(BI$122:BO$122,BI242:BO242)/BP$122</f>
        <v>0.9663653258160313</v>
      </c>
    </row>
    <row r="243" spans="2:68" ht="13.2" customHeight="1">
      <c r="B243" s="308" t="s">
        <v>2440</v>
      </c>
      <c r="G243" s="1038"/>
      <c r="H243" s="1038"/>
      <c r="I243" s="1038"/>
      <c r="J243" s="1038"/>
      <c r="K243" s="1038"/>
      <c r="L243" s="1038"/>
      <c r="O243" s="39">
        <f>ROW()</f>
        <v>243</v>
      </c>
      <c r="P243" s="282" t="str">
        <f>CONCATENATE("This note applies to this and next column-blocks. Figs in Rows ",O244, " through ",O246, " are chosen so wghtd figures in last column match figures in Parking worksheet.")</f>
        <v>This note applies to this and next column-blocks. Figs in Rows 244 through 246 are chosen so wghtd figures in last column match figures in Parking worksheet.</v>
      </c>
      <c r="Q243" s="117"/>
      <c r="R243" s="117"/>
      <c r="S243" s="117"/>
      <c r="T243" s="117"/>
      <c r="U243" s="117"/>
      <c r="V243" s="117"/>
      <c r="W243" s="117"/>
      <c r="Y243" s="117"/>
      <c r="Z243" s="117"/>
      <c r="AA243" s="117"/>
      <c r="AB243" s="117"/>
      <c r="AC243" s="117"/>
      <c r="AD243" s="117"/>
      <c r="AE243" s="117"/>
      <c r="AH243" s="117"/>
      <c r="AI243" s="117"/>
      <c r="AJ243" s="117"/>
      <c r="AK243" s="117"/>
      <c r="AL243" s="117"/>
      <c r="AM243" s="117"/>
      <c r="AN243" s="117"/>
      <c r="AQ243" s="117"/>
      <c r="AR243" s="117"/>
      <c r="AS243" s="117"/>
      <c r="AT243" s="117"/>
      <c r="AU243" s="117"/>
      <c r="AV243" s="117"/>
      <c r="AW243" s="117"/>
      <c r="AZ243" s="117"/>
      <c r="BA243" s="117"/>
      <c r="BB243" s="117"/>
      <c r="BC243" s="117"/>
      <c r="BD243" s="117"/>
      <c r="BE243" s="117"/>
      <c r="BF243" s="117"/>
      <c r="BI243" s="117"/>
      <c r="BJ243" s="117"/>
      <c r="BK243" s="117"/>
      <c r="BL243" s="117"/>
      <c r="BM243" s="117"/>
      <c r="BN243" s="117"/>
      <c r="BO243" s="117"/>
    </row>
    <row r="244" spans="2:68" ht="13.2" customHeight="1">
      <c r="B244" s="323" t="s">
        <v>2839</v>
      </c>
      <c r="G244" s="4321" t="s">
        <v>2351</v>
      </c>
      <c r="H244" s="4322"/>
      <c r="I244" s="4322"/>
      <c r="J244" s="4322"/>
      <c r="K244" s="4322"/>
      <c r="L244" s="4323"/>
      <c r="O244" s="39">
        <f>ROW()</f>
        <v>244</v>
      </c>
      <c r="P244" s="32">
        <v>10</v>
      </c>
      <c r="Q244" s="32">
        <v>20</v>
      </c>
      <c r="R244" s="32">
        <v>25</v>
      </c>
      <c r="S244" s="32">
        <v>30</v>
      </c>
      <c r="T244" s="32">
        <v>30</v>
      </c>
      <c r="U244" s="32">
        <v>25</v>
      </c>
      <c r="V244" s="32">
        <v>15</v>
      </c>
      <c r="W244" s="32">
        <f>SUMPRODUCT(P$122:V$122,P244:V244)/W$122</f>
        <v>25.011934114333293</v>
      </c>
      <c r="X244" s="32"/>
      <c r="Y244" s="32">
        <f>P244</f>
        <v>10</v>
      </c>
      <c r="Z244" s="32">
        <f t="shared" ref="Z244:AE245" si="172">Q244</f>
        <v>20</v>
      </c>
      <c r="AA244" s="32">
        <f t="shared" si="172"/>
        <v>25</v>
      </c>
      <c r="AB244" s="32">
        <f t="shared" si="172"/>
        <v>30</v>
      </c>
      <c r="AC244" s="32">
        <f t="shared" si="172"/>
        <v>30</v>
      </c>
      <c r="AD244" s="32">
        <f t="shared" si="172"/>
        <v>25</v>
      </c>
      <c r="AE244" s="32">
        <f t="shared" si="172"/>
        <v>15</v>
      </c>
      <c r="AF244" s="32">
        <f>SUMPRODUCT(Y$122:AE$122,Y244:AE244)/AF$122</f>
        <v>23.316340207677651</v>
      </c>
      <c r="AH244" s="671" t="s">
        <v>844</v>
      </c>
      <c r="AI244" s="672"/>
      <c r="AJ244" s="672"/>
      <c r="AK244" s="672"/>
      <c r="AL244" s="672"/>
      <c r="AM244" s="672"/>
      <c r="AN244" s="673">
        <v>0.1</v>
      </c>
      <c r="AO244" s="32"/>
      <c r="AQ244" s="117"/>
      <c r="AR244" s="117"/>
      <c r="AS244" s="117"/>
      <c r="AT244" s="117"/>
      <c r="AU244" s="117"/>
      <c r="AV244" s="117"/>
      <c r="AW244" s="117"/>
      <c r="AY244" s="32"/>
      <c r="AZ244" s="32">
        <f t="shared" ref="AZ244:BF245" si="173">1.5*Y244</f>
        <v>15</v>
      </c>
      <c r="BA244" s="32">
        <f t="shared" si="173"/>
        <v>30</v>
      </c>
      <c r="BB244" s="32">
        <f t="shared" si="173"/>
        <v>37.5</v>
      </c>
      <c r="BC244" s="32">
        <f t="shared" si="173"/>
        <v>45</v>
      </c>
      <c r="BD244" s="32">
        <f t="shared" si="173"/>
        <v>45</v>
      </c>
      <c r="BE244" s="32">
        <f t="shared" si="173"/>
        <v>37.5</v>
      </c>
      <c r="BF244" s="32">
        <f t="shared" si="173"/>
        <v>22.5</v>
      </c>
      <c r="BG244" s="32">
        <f>SUMPRODUCT(AZ$122:BF$122,AZ244:BF244)/BG$122</f>
        <v>35.540324403397854</v>
      </c>
      <c r="BH244" s="32"/>
      <c r="BI244" s="32">
        <f t="shared" ref="BI244:BO245" si="174">AZ244</f>
        <v>15</v>
      </c>
      <c r="BJ244" s="32">
        <f t="shared" si="174"/>
        <v>30</v>
      </c>
      <c r="BK244" s="32">
        <f t="shared" si="174"/>
        <v>37.5</v>
      </c>
      <c r="BL244" s="32">
        <f t="shared" si="174"/>
        <v>45</v>
      </c>
      <c r="BM244" s="32">
        <f t="shared" si="174"/>
        <v>45</v>
      </c>
      <c r="BN244" s="32">
        <f t="shared" si="174"/>
        <v>37.5</v>
      </c>
      <c r="BO244" s="32">
        <f t="shared" si="174"/>
        <v>22.5</v>
      </c>
      <c r="BP244" s="32">
        <f>SUMPRODUCT(BI$122:BO$122,BI244:BO244)/BP$122</f>
        <v>35.540324403397861</v>
      </c>
    </row>
    <row r="245" spans="2:68" ht="13.2" customHeight="1">
      <c r="B245" s="323" t="s">
        <v>2840</v>
      </c>
      <c r="G245" s="4324"/>
      <c r="H245" s="4325"/>
      <c r="I245" s="4325"/>
      <c r="J245" s="4325"/>
      <c r="K245" s="4325"/>
      <c r="L245" s="4326"/>
      <c r="O245" s="39">
        <f>ROW()</f>
        <v>245</v>
      </c>
      <c r="P245" s="32">
        <v>1</v>
      </c>
      <c r="Q245" s="32">
        <v>2</v>
      </c>
      <c r="R245" s="32">
        <v>2</v>
      </c>
      <c r="S245" s="32">
        <v>3</v>
      </c>
      <c r="T245" s="32">
        <v>2</v>
      </c>
      <c r="U245" s="32">
        <v>2</v>
      </c>
      <c r="V245" s="32">
        <v>2</v>
      </c>
      <c r="W245" s="32">
        <f>SUMPRODUCT(P$122:V$122,P245:V245)/W$122</f>
        <v>2.0429107085065294</v>
      </c>
      <c r="X245" s="32"/>
      <c r="Y245" s="32">
        <f>P245</f>
        <v>1</v>
      </c>
      <c r="Z245" s="32">
        <f t="shared" si="172"/>
        <v>2</v>
      </c>
      <c r="AA245" s="32">
        <f t="shared" si="172"/>
        <v>2</v>
      </c>
      <c r="AB245" s="32">
        <f t="shared" si="172"/>
        <v>3</v>
      </c>
      <c r="AC245" s="32">
        <f t="shared" si="172"/>
        <v>2</v>
      </c>
      <c r="AD245" s="32">
        <f t="shared" si="172"/>
        <v>2</v>
      </c>
      <c r="AE245" s="32">
        <f t="shared" si="172"/>
        <v>2</v>
      </c>
      <c r="AF245" s="32">
        <f>SUMPRODUCT(Y$122:AE$122,Y245:AE245)/AF$122</f>
        <v>1.9498017829418866</v>
      </c>
      <c r="AH245" s="32"/>
      <c r="AI245" s="32"/>
      <c r="AJ245" s="32"/>
      <c r="AK245" s="32"/>
      <c r="AL245" s="32"/>
      <c r="AM245" s="32"/>
      <c r="AN245" s="32"/>
      <c r="AO245" s="32"/>
      <c r="AQ245" s="117"/>
      <c r="AR245" s="117"/>
      <c r="AS245" s="117"/>
      <c r="AT245" s="117"/>
      <c r="AU245" s="117"/>
      <c r="AV245" s="117"/>
      <c r="AW245" s="117"/>
      <c r="AY245" s="32"/>
      <c r="AZ245" s="32">
        <f t="shared" si="173"/>
        <v>1.5</v>
      </c>
      <c r="BA245" s="32">
        <f t="shared" si="173"/>
        <v>3</v>
      </c>
      <c r="BB245" s="32">
        <f t="shared" si="173"/>
        <v>3</v>
      </c>
      <c r="BC245" s="32">
        <f t="shared" si="173"/>
        <v>4.5</v>
      </c>
      <c r="BD245" s="32">
        <f t="shared" si="173"/>
        <v>3</v>
      </c>
      <c r="BE245" s="32">
        <f t="shared" si="173"/>
        <v>3</v>
      </c>
      <c r="BF245" s="32">
        <f t="shared" si="173"/>
        <v>3</v>
      </c>
      <c r="BG245" s="32">
        <f>SUMPRODUCT(AZ$122:BF$122,AZ245:BF245)/BG$122</f>
        <v>2.9591450743045131</v>
      </c>
      <c r="BH245" s="32"/>
      <c r="BI245" s="32">
        <f t="shared" si="174"/>
        <v>1.5</v>
      </c>
      <c r="BJ245" s="32">
        <f t="shared" si="174"/>
        <v>3</v>
      </c>
      <c r="BK245" s="32">
        <f t="shared" si="174"/>
        <v>3</v>
      </c>
      <c r="BL245" s="32">
        <f t="shared" si="174"/>
        <v>4.5</v>
      </c>
      <c r="BM245" s="32">
        <f t="shared" si="174"/>
        <v>3</v>
      </c>
      <c r="BN245" s="32">
        <f t="shared" si="174"/>
        <v>3</v>
      </c>
      <c r="BO245" s="32">
        <f t="shared" si="174"/>
        <v>3</v>
      </c>
      <c r="BP245" s="32">
        <f>SUMPRODUCT(BI$122:BO$122,BI245:BO245)/BP$122</f>
        <v>2.959145074304514</v>
      </c>
    </row>
    <row r="246" spans="2:68" ht="13.2" customHeight="1">
      <c r="B246" s="323" t="s">
        <v>1144</v>
      </c>
      <c r="G246" s="3741"/>
      <c r="H246" s="3742"/>
      <c r="I246" s="3742"/>
      <c r="J246" s="3742"/>
      <c r="K246" s="3742"/>
      <c r="L246" s="3777"/>
      <c r="O246" s="39">
        <f>ROW()</f>
        <v>246</v>
      </c>
      <c r="P246" s="32">
        <v>6</v>
      </c>
      <c r="Q246" s="32">
        <v>6</v>
      </c>
      <c r="R246" s="32">
        <v>6</v>
      </c>
      <c r="S246" s="32">
        <v>9</v>
      </c>
      <c r="T246" s="32">
        <v>6</v>
      </c>
      <c r="U246" s="32">
        <v>6</v>
      </c>
      <c r="V246" s="32">
        <v>6</v>
      </c>
      <c r="W246" s="32">
        <f>SUMPRODUCT(P$122:V$122,P246:V246)/W$122</f>
        <v>6.2330552570011175</v>
      </c>
      <c r="X246" s="32"/>
      <c r="Y246" s="32">
        <f>P246</f>
        <v>6</v>
      </c>
      <c r="Z246" s="32">
        <f t="shared" ref="Z246:AE246" si="175">Q246</f>
        <v>6</v>
      </c>
      <c r="AA246" s="32">
        <f t="shared" si="175"/>
        <v>6</v>
      </c>
      <c r="AB246" s="32">
        <f t="shared" si="175"/>
        <v>9</v>
      </c>
      <c r="AC246" s="32">
        <f t="shared" si="175"/>
        <v>6</v>
      </c>
      <c r="AD246" s="32">
        <f t="shared" si="175"/>
        <v>6</v>
      </c>
      <c r="AE246" s="32">
        <f t="shared" si="175"/>
        <v>6</v>
      </c>
      <c r="AF246" s="32">
        <f>SUMPRODUCT(Y$122:AE$122,Y246:AE246)/AF$122</f>
        <v>6.1530927078172608</v>
      </c>
      <c r="AH246" s="32"/>
      <c r="AI246" s="32"/>
      <c r="AJ246" s="32"/>
      <c r="AK246" s="32"/>
      <c r="AL246" s="32"/>
      <c r="AM246" s="32"/>
      <c r="AN246" s="32"/>
      <c r="AO246" s="32"/>
      <c r="AQ246" s="117"/>
      <c r="AR246" s="117"/>
      <c r="AS246" s="117"/>
      <c r="AT246" s="117"/>
      <c r="AU246" s="117"/>
      <c r="AV246" s="117"/>
      <c r="AW246" s="117"/>
      <c r="AY246" s="32"/>
      <c r="AZ246" s="32"/>
      <c r="BA246" s="32"/>
      <c r="BB246" s="32"/>
      <c r="BC246" s="32"/>
      <c r="BD246" s="32"/>
      <c r="BE246" s="32"/>
      <c r="BF246" s="32"/>
      <c r="BG246" s="32"/>
      <c r="BH246" s="32"/>
      <c r="BI246" s="32"/>
      <c r="BJ246" s="32"/>
      <c r="BK246" s="32"/>
      <c r="BL246" s="32"/>
      <c r="BM246" s="32"/>
      <c r="BN246" s="32"/>
      <c r="BO246" s="32"/>
      <c r="BP246" s="32"/>
    </row>
    <row r="247" spans="2:68" ht="13.2" customHeight="1">
      <c r="B247" s="308" t="s">
        <v>950</v>
      </c>
      <c r="O247" s="39">
        <f>ROW()</f>
        <v>247</v>
      </c>
      <c r="P247" s="32"/>
      <c r="Q247" s="32"/>
      <c r="R247" s="32"/>
      <c r="S247" s="32"/>
      <c r="T247" s="32"/>
      <c r="U247" s="32"/>
      <c r="V247" s="32"/>
      <c r="W247" s="32"/>
      <c r="X247" s="32"/>
      <c r="Y247" s="32"/>
      <c r="Z247" s="32"/>
      <c r="AA247" s="32"/>
      <c r="AB247" s="32"/>
      <c r="AC247" s="32"/>
      <c r="AD247" s="32"/>
      <c r="AE247" s="32"/>
      <c r="AF247" s="32"/>
      <c r="AH247" s="32"/>
      <c r="AI247" s="32"/>
      <c r="AJ247" s="32"/>
      <c r="AK247" s="32"/>
      <c r="AL247" s="32"/>
      <c r="AM247" s="32"/>
      <c r="AN247" s="32"/>
      <c r="AO247" s="32"/>
      <c r="AQ247" s="117"/>
      <c r="AR247" s="117"/>
      <c r="AS247" s="117"/>
      <c r="AT247" s="117"/>
      <c r="AU247" s="117"/>
      <c r="AV247" s="117"/>
      <c r="AW247" s="117"/>
      <c r="AY247" s="32"/>
      <c r="AZ247" s="32"/>
      <c r="BA247" s="32"/>
      <c r="BB247" s="32"/>
      <c r="BC247" s="32"/>
      <c r="BD247" s="32"/>
      <c r="BE247" s="32"/>
      <c r="BF247" s="32"/>
      <c r="BG247" s="32"/>
      <c r="BH247" s="32"/>
      <c r="BI247" s="32"/>
      <c r="BJ247" s="32"/>
      <c r="BK247" s="32"/>
      <c r="BL247" s="32"/>
      <c r="BM247" s="32"/>
      <c r="BN247" s="32"/>
      <c r="BO247" s="32"/>
      <c r="BP247" s="32"/>
    </row>
    <row r="248" spans="2:68" ht="13.2" customHeight="1">
      <c r="B248" s="323" t="s">
        <v>2839</v>
      </c>
      <c r="G248" s="4286" t="s">
        <v>2351</v>
      </c>
      <c r="H248" s="3775"/>
      <c r="I248" s="3775"/>
      <c r="J248" s="3775"/>
      <c r="K248" s="3775"/>
      <c r="L248" s="3776"/>
      <c r="O248" s="39">
        <f>ROW()</f>
        <v>248</v>
      </c>
      <c r="P248" s="32">
        <f>P239*P244</f>
        <v>0.5</v>
      </c>
      <c r="Q248" s="32">
        <f t="shared" ref="Q248:V248" si="176">Q239*Q244</f>
        <v>3</v>
      </c>
      <c r="R248" s="32">
        <f t="shared" si="176"/>
        <v>12</v>
      </c>
      <c r="S248" s="32">
        <f t="shared" si="176"/>
        <v>14.399999999999999</v>
      </c>
      <c r="T248" s="32">
        <f t="shared" si="176"/>
        <v>14.399999999999999</v>
      </c>
      <c r="U248" s="32">
        <f t="shared" si="176"/>
        <v>8.75</v>
      </c>
      <c r="V248" s="32">
        <f t="shared" si="176"/>
        <v>4.5</v>
      </c>
      <c r="W248" s="32"/>
      <c r="X248" s="32"/>
      <c r="Y248" s="32">
        <f>Y239*Y244</f>
        <v>1</v>
      </c>
      <c r="Z248" s="32">
        <f t="shared" ref="Z248:AE248" si="177">Z239*Z244</f>
        <v>5</v>
      </c>
      <c r="AA248" s="32">
        <f t="shared" si="177"/>
        <v>12.5</v>
      </c>
      <c r="AB248" s="32">
        <f t="shared" si="177"/>
        <v>15</v>
      </c>
      <c r="AC248" s="32">
        <f t="shared" si="177"/>
        <v>15</v>
      </c>
      <c r="AD248" s="32">
        <f t="shared" si="177"/>
        <v>10</v>
      </c>
      <c r="AE248" s="32">
        <f t="shared" si="177"/>
        <v>4.5</v>
      </c>
      <c r="AF248" s="32"/>
      <c r="AH248" s="32"/>
      <c r="AI248" s="32"/>
      <c r="AJ248" s="32"/>
      <c r="AK248" s="32"/>
      <c r="AL248" s="32"/>
      <c r="AM248" s="32"/>
      <c r="AN248" s="32"/>
      <c r="AO248" s="32"/>
      <c r="AQ248" s="117"/>
      <c r="AR248" s="117"/>
      <c r="AS248" s="117"/>
      <c r="AT248" s="117"/>
      <c r="AU248" s="117"/>
      <c r="AV248" s="117"/>
      <c r="AW248" s="117"/>
      <c r="AY248" s="32"/>
      <c r="AZ248" s="32">
        <f>AZ239*AZ244</f>
        <v>0.15</v>
      </c>
      <c r="BA248" s="32">
        <f t="shared" ref="BA248:BF248" si="178">BA239*BA244</f>
        <v>0.6</v>
      </c>
      <c r="BB248" s="32">
        <f t="shared" si="178"/>
        <v>1.125</v>
      </c>
      <c r="BC248" s="32">
        <f t="shared" si="178"/>
        <v>1.3499999999999999</v>
      </c>
      <c r="BD248" s="32">
        <f t="shared" si="178"/>
        <v>1.3499999999999999</v>
      </c>
      <c r="BE248" s="32">
        <f t="shared" si="178"/>
        <v>1.125</v>
      </c>
      <c r="BF248" s="32">
        <f t="shared" si="178"/>
        <v>0.45</v>
      </c>
      <c r="BG248" s="32"/>
      <c r="BH248" s="32"/>
      <c r="BI248" s="32">
        <f>BI239*BI244</f>
        <v>0</v>
      </c>
      <c r="BJ248" s="32">
        <f t="shared" ref="BJ248:BO248" si="179">BJ239*BJ244</f>
        <v>0.3</v>
      </c>
      <c r="BK248" s="32">
        <f t="shared" si="179"/>
        <v>0.75</v>
      </c>
      <c r="BL248" s="32">
        <f t="shared" si="179"/>
        <v>0.9</v>
      </c>
      <c r="BM248" s="32">
        <f t="shared" si="179"/>
        <v>0.9</v>
      </c>
      <c r="BN248" s="32">
        <f t="shared" si="179"/>
        <v>0.75</v>
      </c>
      <c r="BO248" s="32">
        <f t="shared" si="179"/>
        <v>0.22500000000000001</v>
      </c>
      <c r="BP248" s="32"/>
    </row>
    <row r="249" spans="2:68" ht="13.2" customHeight="1">
      <c r="B249" s="323" t="s">
        <v>2840</v>
      </c>
      <c r="G249" s="3738"/>
      <c r="H249" s="3739"/>
      <c r="I249" s="3739"/>
      <c r="J249" s="3739"/>
      <c r="K249" s="3739"/>
      <c r="L249" s="3922"/>
      <c r="O249" s="39">
        <f>ROW()</f>
        <v>249</v>
      </c>
      <c r="P249" s="32">
        <f>P240*P245</f>
        <v>0.02</v>
      </c>
      <c r="Q249" s="32">
        <f t="shared" ref="Q249:V250" si="180">Q240*Q245</f>
        <v>0.04</v>
      </c>
      <c r="R249" s="32">
        <f t="shared" si="180"/>
        <v>0.04</v>
      </c>
      <c r="S249" s="32">
        <f t="shared" si="180"/>
        <v>0.06</v>
      </c>
      <c r="T249" s="32">
        <f t="shared" si="180"/>
        <v>0.04</v>
      </c>
      <c r="U249" s="32">
        <f t="shared" si="180"/>
        <v>0.04</v>
      </c>
      <c r="V249" s="32">
        <f t="shared" si="180"/>
        <v>0.04</v>
      </c>
      <c r="W249" s="117"/>
      <c r="Y249" s="32">
        <f>Y240*Y245</f>
        <v>0.09</v>
      </c>
      <c r="Z249" s="32">
        <f t="shared" ref="Z249:AE250" si="181">Z240*Z245</f>
        <v>0.18</v>
      </c>
      <c r="AA249" s="32">
        <f t="shared" si="181"/>
        <v>0.18</v>
      </c>
      <c r="AB249" s="32">
        <f t="shared" si="181"/>
        <v>0.27</v>
      </c>
      <c r="AC249" s="32">
        <f t="shared" si="181"/>
        <v>0.2</v>
      </c>
      <c r="AD249" s="32">
        <f t="shared" si="181"/>
        <v>0.2</v>
      </c>
      <c r="AE249" s="32">
        <f t="shared" si="181"/>
        <v>0.18</v>
      </c>
      <c r="AF249" s="117"/>
      <c r="AH249" s="32"/>
      <c r="AI249" s="32"/>
      <c r="AJ249" s="32"/>
      <c r="AK249" s="32"/>
      <c r="AL249" s="32"/>
      <c r="AM249" s="32"/>
      <c r="AN249" s="32"/>
      <c r="AO249" s="117"/>
      <c r="AQ249" s="117"/>
      <c r="AR249" s="117"/>
      <c r="AS249" s="117"/>
      <c r="AT249" s="117"/>
      <c r="AU249" s="117"/>
      <c r="AV249" s="117"/>
      <c r="AW249" s="117"/>
      <c r="AZ249" s="32">
        <f>AZ240*AZ245</f>
        <v>4.4999999999999998E-2</v>
      </c>
      <c r="BA249" s="32">
        <f t="shared" ref="BA249:BF249" si="182">BA240*BA245</f>
        <v>0.18</v>
      </c>
      <c r="BB249" s="32">
        <f t="shared" si="182"/>
        <v>0.27</v>
      </c>
      <c r="BC249" s="32">
        <f t="shared" si="182"/>
        <v>0.40499999999999997</v>
      </c>
      <c r="BD249" s="32">
        <f t="shared" si="182"/>
        <v>0.27</v>
      </c>
      <c r="BE249" s="32">
        <f t="shared" si="182"/>
        <v>0.27</v>
      </c>
      <c r="BF249" s="32">
        <f t="shared" si="182"/>
        <v>0.18</v>
      </c>
      <c r="BG249" s="117"/>
      <c r="BI249" s="32">
        <f>BI240*BI245</f>
        <v>0</v>
      </c>
      <c r="BJ249" s="32">
        <f t="shared" ref="BJ249:BO249" si="183">BJ240*BJ245</f>
        <v>0.03</v>
      </c>
      <c r="BK249" s="32">
        <f t="shared" si="183"/>
        <v>0.06</v>
      </c>
      <c r="BL249" s="32">
        <f t="shared" si="183"/>
        <v>0.09</v>
      </c>
      <c r="BM249" s="32">
        <f t="shared" si="183"/>
        <v>0.06</v>
      </c>
      <c r="BN249" s="32">
        <f t="shared" si="183"/>
        <v>0.06</v>
      </c>
      <c r="BO249" s="32">
        <f t="shared" si="183"/>
        <v>0.03</v>
      </c>
      <c r="BP249" s="117"/>
    </row>
    <row r="250" spans="2:68" ht="13.2" customHeight="1">
      <c r="B250" s="323" t="s">
        <v>1144</v>
      </c>
      <c r="G250" s="3738"/>
      <c r="H250" s="3739"/>
      <c r="I250" s="3739"/>
      <c r="J250" s="3739"/>
      <c r="K250" s="3739"/>
      <c r="L250" s="3922"/>
      <c r="O250" s="39">
        <f>ROW()</f>
        <v>250</v>
      </c>
      <c r="P250" s="32">
        <f>P241*P246</f>
        <v>0.89999999999999991</v>
      </c>
      <c r="Q250" s="32">
        <f t="shared" si="180"/>
        <v>1.2000000000000002</v>
      </c>
      <c r="R250" s="32">
        <f t="shared" si="180"/>
        <v>2.88</v>
      </c>
      <c r="S250" s="32">
        <f t="shared" si="180"/>
        <v>4.32</v>
      </c>
      <c r="T250" s="32">
        <f t="shared" si="180"/>
        <v>2.88</v>
      </c>
      <c r="U250" s="32">
        <f t="shared" si="180"/>
        <v>2.0999999999999996</v>
      </c>
      <c r="V250" s="32">
        <f t="shared" si="180"/>
        <v>1.7999999999999998</v>
      </c>
      <c r="W250" s="117"/>
      <c r="Y250" s="32">
        <f>Y241*Y246</f>
        <v>1.2000000000000002</v>
      </c>
      <c r="Z250" s="32">
        <f t="shared" si="181"/>
        <v>2.0999999999999996</v>
      </c>
      <c r="AA250" s="32">
        <f t="shared" si="181"/>
        <v>2.4000000000000004</v>
      </c>
      <c r="AB250" s="32">
        <f t="shared" si="181"/>
        <v>3.6</v>
      </c>
      <c r="AC250" s="32">
        <f t="shared" si="181"/>
        <v>2.4000000000000004</v>
      </c>
      <c r="AD250" s="32">
        <f t="shared" si="181"/>
        <v>2.0999999999999996</v>
      </c>
      <c r="AE250" s="32">
        <f t="shared" si="181"/>
        <v>1.5</v>
      </c>
      <c r="AF250" s="117"/>
      <c r="AH250" s="32"/>
      <c r="AI250" s="32"/>
      <c r="AJ250" s="32"/>
      <c r="AK250" s="32"/>
      <c r="AL250" s="32"/>
      <c r="AM250" s="32"/>
      <c r="AN250" s="32"/>
      <c r="AO250" s="117"/>
      <c r="AQ250" s="117"/>
      <c r="AR250" s="117"/>
      <c r="AS250" s="117"/>
      <c r="AT250" s="117"/>
      <c r="AU250" s="117"/>
      <c r="AV250" s="117"/>
      <c r="AW250" s="117"/>
      <c r="AZ250" s="32"/>
      <c r="BA250" s="32"/>
      <c r="BB250" s="32"/>
      <c r="BC250" s="32"/>
      <c r="BD250" s="32"/>
      <c r="BE250" s="32"/>
      <c r="BF250" s="32"/>
      <c r="BG250" s="117"/>
      <c r="BI250" s="32"/>
      <c r="BJ250" s="32"/>
      <c r="BK250" s="32"/>
      <c r="BL250" s="32"/>
      <c r="BM250" s="32"/>
      <c r="BN250" s="32"/>
      <c r="BO250" s="32"/>
      <c r="BP250" s="117"/>
    </row>
    <row r="251" spans="2:68" ht="13.2" customHeight="1">
      <c r="B251" s="323" t="s">
        <v>1302</v>
      </c>
      <c r="G251" s="3741"/>
      <c r="H251" s="3742"/>
      <c r="I251" s="3742"/>
      <c r="J251" s="3742"/>
      <c r="K251" s="3742"/>
      <c r="L251" s="3777"/>
      <c r="O251" s="39">
        <f>ROW()</f>
        <v>251</v>
      </c>
      <c r="P251" s="32">
        <f>SUM(P248:P250)</f>
        <v>1.42</v>
      </c>
      <c r="Q251" s="32">
        <f t="shared" ref="Q251:V251" si="184">SUM(Q248:Q250)</f>
        <v>4.24</v>
      </c>
      <c r="R251" s="32">
        <f t="shared" si="184"/>
        <v>14.919999999999998</v>
      </c>
      <c r="S251" s="32">
        <f t="shared" si="184"/>
        <v>18.78</v>
      </c>
      <c r="T251" s="32">
        <f t="shared" si="184"/>
        <v>17.319999999999997</v>
      </c>
      <c r="U251" s="32">
        <f t="shared" si="184"/>
        <v>10.889999999999999</v>
      </c>
      <c r="V251" s="32">
        <f t="shared" si="184"/>
        <v>6.34</v>
      </c>
      <c r="W251" s="32">
        <f>SUMPRODUCT(P$122:V$122,P251:V251)/W$122</f>
        <v>13.193469905216745</v>
      </c>
      <c r="Y251" s="32">
        <f t="shared" ref="Y251:AE251" si="185">SUM(Y248:Y250)</f>
        <v>2.29</v>
      </c>
      <c r="Z251" s="32">
        <f t="shared" si="185"/>
        <v>7.2799999999999994</v>
      </c>
      <c r="AA251" s="32">
        <f t="shared" si="185"/>
        <v>15.08</v>
      </c>
      <c r="AB251" s="32">
        <f t="shared" si="185"/>
        <v>18.87</v>
      </c>
      <c r="AC251" s="32">
        <f t="shared" si="185"/>
        <v>17.600000000000001</v>
      </c>
      <c r="AD251" s="32">
        <f t="shared" si="185"/>
        <v>12.299999999999999</v>
      </c>
      <c r="AE251" s="32">
        <f t="shared" si="185"/>
        <v>6.18</v>
      </c>
      <c r="AF251" s="32">
        <f>SUMPRODUCT(Y$122:AE$122,Y251:AE251)/AF$122</f>
        <v>12.015747268091232</v>
      </c>
      <c r="AH251" s="32">
        <f t="shared" ref="AH251:AN251" si="186">$AN$244*AVERAGE(P251,Y251)</f>
        <v>0.1855</v>
      </c>
      <c r="AI251" s="32">
        <f t="shared" si="186"/>
        <v>0.57599999999999996</v>
      </c>
      <c r="AJ251" s="32">
        <f t="shared" si="186"/>
        <v>1.5</v>
      </c>
      <c r="AK251" s="32">
        <f t="shared" si="186"/>
        <v>1.8825000000000003</v>
      </c>
      <c r="AL251" s="32">
        <f t="shared" si="186"/>
        <v>1.7460000000000002</v>
      </c>
      <c r="AM251" s="32">
        <f t="shared" si="186"/>
        <v>1.1595</v>
      </c>
      <c r="AN251" s="32">
        <f t="shared" si="186"/>
        <v>0.626</v>
      </c>
      <c r="AO251" s="32">
        <f>SUMPRODUCT(AH$122:AN$122,AH251:AN251)/AO$122</f>
        <v>1.039866805877995</v>
      </c>
      <c r="AQ251" s="117"/>
      <c r="AR251" s="117"/>
      <c r="AS251" s="117"/>
      <c r="AT251" s="117"/>
      <c r="AU251" s="117"/>
      <c r="AV251" s="117"/>
      <c r="AW251" s="117"/>
      <c r="AZ251" s="32">
        <f t="shared" ref="AZ251:BF251" si="187">AZ248+AZ249</f>
        <v>0.19500000000000001</v>
      </c>
      <c r="BA251" s="32">
        <f t="shared" si="187"/>
        <v>0.78</v>
      </c>
      <c r="BB251" s="32">
        <f t="shared" si="187"/>
        <v>1.395</v>
      </c>
      <c r="BC251" s="32">
        <f t="shared" si="187"/>
        <v>1.7549999999999999</v>
      </c>
      <c r="BD251" s="32">
        <f t="shared" si="187"/>
        <v>1.6199999999999999</v>
      </c>
      <c r="BE251" s="32">
        <f t="shared" si="187"/>
        <v>1.395</v>
      </c>
      <c r="BF251" s="32">
        <f t="shared" si="187"/>
        <v>0.63</v>
      </c>
      <c r="BG251" s="32">
        <f>SUMPRODUCT(AZ$122:BF$122,AZ251:BF251)/BG$122</f>
        <v>1.2505556357791769</v>
      </c>
      <c r="BI251" s="32">
        <f t="shared" ref="BI251:BO251" si="188">BI248+BI249</f>
        <v>0</v>
      </c>
      <c r="BJ251" s="32">
        <f t="shared" si="188"/>
        <v>0.32999999999999996</v>
      </c>
      <c r="BK251" s="32">
        <f t="shared" si="188"/>
        <v>0.81</v>
      </c>
      <c r="BL251" s="32">
        <f t="shared" si="188"/>
        <v>0.99</v>
      </c>
      <c r="BM251" s="32">
        <f t="shared" si="188"/>
        <v>0.96</v>
      </c>
      <c r="BN251" s="32">
        <f t="shared" si="188"/>
        <v>0.81</v>
      </c>
      <c r="BO251" s="32">
        <f t="shared" si="188"/>
        <v>0.255</v>
      </c>
      <c r="BP251" s="32">
        <f>SUMPRODUCT(BI$122:BO$122,BI251:BO251)/BP$122</f>
        <v>0.70188084280844076</v>
      </c>
    </row>
    <row r="252" spans="2:68" ht="13.2" customHeight="1">
      <c r="O252" s="39">
        <f>ROW()</f>
        <v>252</v>
      </c>
      <c r="AQ252" s="4265" t="s">
        <v>3170</v>
      </c>
      <c r="AR252" s="4266"/>
      <c r="AS252" s="4266"/>
      <c r="AT252" s="4266"/>
      <c r="AU252" s="4266"/>
      <c r="AV252" s="4266"/>
      <c r="AW252" s="4266"/>
      <c r="BI252" s="43" t="s">
        <v>982</v>
      </c>
    </row>
    <row r="253" spans="2:68" ht="13.2" customHeight="1">
      <c r="B253" s="2" t="s">
        <v>5262</v>
      </c>
      <c r="O253" s="39">
        <f>ROW()</f>
        <v>253</v>
      </c>
      <c r="P253" s="591">
        <f>SUM(P254:P257)</f>
        <v>10.670239289908297</v>
      </c>
      <c r="Q253" s="591">
        <f t="shared" ref="Q253:V253" si="189">SUM(Q254:Q257)</f>
        <v>14.888165437630246</v>
      </c>
      <c r="R253" s="591">
        <f t="shared" si="189"/>
        <v>28.676609596133169</v>
      </c>
      <c r="S253" s="591">
        <f t="shared" si="189"/>
        <v>31.416801401970758</v>
      </c>
      <c r="T253" s="591">
        <f t="shared" si="189"/>
        <v>29.149021860144909</v>
      </c>
      <c r="U253" s="591">
        <f t="shared" si="189"/>
        <v>25.223906129395747</v>
      </c>
      <c r="V253" s="591">
        <f t="shared" si="189"/>
        <v>17.946747603246212</v>
      </c>
      <c r="W253" s="1347">
        <f>SUMPRODUCT(P$122:V$122,P253:V253)/W$122</f>
        <v>26.129618984382166</v>
      </c>
      <c r="Y253" s="591">
        <f t="shared" ref="Y253:AE253" si="190">SUM(Y254:Y257)</f>
        <v>11.540239289908296</v>
      </c>
      <c r="Z253" s="591">
        <f t="shared" si="190"/>
        <v>17.928165437630245</v>
      </c>
      <c r="AA253" s="591">
        <f t="shared" si="190"/>
        <v>28.836609596133172</v>
      </c>
      <c r="AB253" s="591">
        <f t="shared" si="190"/>
        <v>31.506801401970762</v>
      </c>
      <c r="AC253" s="591">
        <f t="shared" si="190"/>
        <v>29.429021860144914</v>
      </c>
      <c r="AD253" s="591">
        <f t="shared" si="190"/>
        <v>26.633906129395747</v>
      </c>
      <c r="AE253" s="591">
        <f t="shared" si="190"/>
        <v>17.786747603246212</v>
      </c>
      <c r="AF253" s="1347">
        <f>SUMPRODUCT(Y$122:AE$122,Y253:AE253)/AF$122</f>
        <v>24.814810025181863</v>
      </c>
      <c r="AH253" s="591">
        <f t="shared" ref="AH253:AN253" si="191">SUM(AH254:AH257)</f>
        <v>14.499894017043642</v>
      </c>
      <c r="AI253" s="591">
        <f t="shared" si="191"/>
        <v>16.961679757066658</v>
      </c>
      <c r="AJ253" s="591">
        <f t="shared" si="191"/>
        <v>22.500102909769101</v>
      </c>
      <c r="AK253" s="591">
        <f t="shared" si="191"/>
        <v>21.155860974545011</v>
      </c>
      <c r="AL253" s="591">
        <f t="shared" si="191"/>
        <v>19.84117923749417</v>
      </c>
      <c r="AM253" s="591">
        <f t="shared" si="191"/>
        <v>22.976377071790733</v>
      </c>
      <c r="AN253" s="591">
        <f t="shared" si="191"/>
        <v>18.385675641882436</v>
      </c>
      <c r="AO253" s="1347">
        <f>SUMPRODUCT(AH$122:AN$122,AH253:AN253)/AO$122</f>
        <v>19.924466161245878</v>
      </c>
      <c r="AZ253" s="591">
        <f t="shared" ref="AZ253:BF253" si="192">SUM(AZ254:AZ257)</f>
        <v>18.274701275394158</v>
      </c>
      <c r="BA253" s="591">
        <f t="shared" si="192"/>
        <v>21.234776266415619</v>
      </c>
      <c r="BB253" s="591">
        <f t="shared" si="192"/>
        <v>27.68046378014277</v>
      </c>
      <c r="BC253" s="591">
        <f t="shared" si="192"/>
        <v>26.187048195096644</v>
      </c>
      <c r="BD253" s="591">
        <f t="shared" si="192"/>
        <v>24.436489111444953</v>
      </c>
      <c r="BE253" s="591">
        <f t="shared" si="192"/>
        <v>29.028157248307274</v>
      </c>
      <c r="BF253" s="591">
        <f t="shared" si="192"/>
        <v>23.00194059764755</v>
      </c>
      <c r="BI253" s="591">
        <f t="shared" ref="BI253:BO253" si="193">SUM(BI254:BI257)</f>
        <v>23.913292697041051</v>
      </c>
      <c r="BJ253" s="591">
        <f t="shared" si="193"/>
        <v>26.564289137353292</v>
      </c>
      <c r="BK253" s="591">
        <f t="shared" si="193"/>
        <v>36.176521211222713</v>
      </c>
      <c r="BL253" s="591">
        <f t="shared" si="193"/>
        <v>33.19019703037484</v>
      </c>
      <c r="BM253" s="591">
        <f t="shared" si="193"/>
        <v>30.736858404897301</v>
      </c>
      <c r="BN253" s="591">
        <f t="shared" si="193"/>
        <v>38.004961011830133</v>
      </c>
      <c r="BO253" s="591">
        <f t="shared" si="193"/>
        <v>29.365035634201192</v>
      </c>
    </row>
    <row r="254" spans="2:68" ht="13.2" customHeight="1">
      <c r="B254" s="308" t="s">
        <v>1324</v>
      </c>
      <c r="C254" s="4297" t="str">
        <f>CONCATENATE("Fuel costs are calc'd on Row ",O235, " and gas price in 'Trip Price, (Future)'. Parking is derived in Rows ",O237, "-",O251, ". Baseline Tolls are from 'River Crossings', Rows ",'River Crossings'!O41, " (peak) and ",'River Crossings'!O50, " (off-pk).")</f>
        <v>Fuel costs are calc'd on Row 235 and gas price in 'Trip Price, (Future)'. Parking is derived in Rows 237-251. Baseline Tolls are from 'River Crossings', Rows 41 (peak) and 50 (off-pk).</v>
      </c>
      <c r="D254" s="4298"/>
      <c r="E254" s="4298"/>
      <c r="F254" s="4299"/>
      <c r="G254" s="4327" t="s">
        <v>2351</v>
      </c>
      <c r="H254" s="3833"/>
      <c r="I254" s="3833"/>
      <c r="J254" s="3833"/>
      <c r="K254" s="3833"/>
      <c r="L254" s="3833"/>
      <c r="O254" s="39">
        <f>ROW()</f>
        <v>254</v>
      </c>
      <c r="P254" s="25">
        <f t="shared" ref="P254:V254" si="194">P235*$W$259/100</f>
        <v>5.8335914216468927</v>
      </c>
      <c r="Q254" s="25">
        <f t="shared" si="194"/>
        <v>5.7795128709376788</v>
      </c>
      <c r="R254" s="25">
        <f t="shared" si="194"/>
        <v>8.6948566278012542</v>
      </c>
      <c r="S254" s="25">
        <f t="shared" si="194"/>
        <v>7.7681488352781916</v>
      </c>
      <c r="T254" s="25">
        <f t="shared" si="194"/>
        <v>6.960369293452346</v>
      </c>
      <c r="U254" s="25">
        <f t="shared" si="194"/>
        <v>9.3687033618835063</v>
      </c>
      <c r="V254" s="25">
        <f t="shared" si="194"/>
        <v>6.7380950365536441</v>
      </c>
      <c r="W254" s="32">
        <f>SUMPRODUCT(P$122:V$122,P254:V254)/W$122</f>
        <v>8.0329190111776487</v>
      </c>
      <c r="Y254" s="25">
        <f t="shared" ref="Y254:AE254" si="195">Y235*$W$259/100</f>
        <v>5.8335914216468927</v>
      </c>
      <c r="Z254" s="25">
        <f t="shared" si="195"/>
        <v>5.7795128709376788</v>
      </c>
      <c r="AA254" s="25">
        <f t="shared" si="195"/>
        <v>8.6948566278012542</v>
      </c>
      <c r="AB254" s="25">
        <f t="shared" si="195"/>
        <v>7.7681488352781916</v>
      </c>
      <c r="AC254" s="25">
        <f t="shared" si="195"/>
        <v>6.960369293452346</v>
      </c>
      <c r="AD254" s="25">
        <f t="shared" si="195"/>
        <v>9.3687033618835063</v>
      </c>
      <c r="AE254" s="25">
        <f t="shared" si="195"/>
        <v>6.7380950365536441</v>
      </c>
      <c r="AF254" s="32">
        <f>SUMPRODUCT(Y$122:AE$122,Y254:AE254)/AF$122</f>
        <v>8.0197059205258974</v>
      </c>
      <c r="AH254" s="25">
        <f t="shared" ref="AH254:AN254" si="196">AH235*$W$259/100</f>
        <v>8.6220292637024656</v>
      </c>
      <c r="AI254" s="25">
        <f t="shared" si="196"/>
        <v>8.5373079560787346</v>
      </c>
      <c r="AJ254" s="25">
        <f t="shared" si="196"/>
        <v>12.804150385830352</v>
      </c>
      <c r="AK254" s="25">
        <f t="shared" si="196"/>
        <v>11.424989173557087</v>
      </c>
      <c r="AL254" s="25">
        <f t="shared" si="196"/>
        <v>10.246807436506247</v>
      </c>
      <c r="AM254" s="25">
        <f t="shared" si="196"/>
        <v>13.794714909327396</v>
      </c>
      <c r="AN254" s="25">
        <f t="shared" si="196"/>
        <v>9.9113038408945151</v>
      </c>
      <c r="AO254" s="32">
        <f>SUMPRODUCT(AH$122:AN$122,AH254:AN254)/AO$122</f>
        <v>11.315774319750339</v>
      </c>
      <c r="AQ254" s="25">
        <f t="shared" ref="AQ254:AW254" si="197">AQ235*$W$259/100</f>
        <v>2.8273832842459972</v>
      </c>
      <c r="AR254" s="25">
        <f t="shared" si="197"/>
        <v>2.8327557102872545</v>
      </c>
      <c r="AS254" s="25">
        <f t="shared" si="197"/>
        <v>4.519277614572581</v>
      </c>
      <c r="AT254" s="25">
        <f t="shared" si="197"/>
        <v>4.1230082932251264</v>
      </c>
      <c r="AU254" s="25">
        <f t="shared" si="197"/>
        <v>3.6363220068784958</v>
      </c>
      <c r="AV254" s="25">
        <f t="shared" si="197"/>
        <v>4.8770736114547653</v>
      </c>
      <c r="AW254" s="25">
        <f t="shared" si="197"/>
        <v>3.5679375130191811</v>
      </c>
      <c r="AZ254" s="25">
        <f t="shared" ref="AZ254:BF254" si="198">AZ235*$W$259/100</f>
        <v>11.667182843293785</v>
      </c>
      <c r="BA254" s="25">
        <f t="shared" si="198"/>
        <v>11.559025741875358</v>
      </c>
      <c r="BB254" s="25">
        <f t="shared" si="198"/>
        <v>17.389713255602508</v>
      </c>
      <c r="BC254" s="25">
        <f t="shared" si="198"/>
        <v>15.536297670556383</v>
      </c>
      <c r="BD254" s="25">
        <f t="shared" si="198"/>
        <v>13.920738586904692</v>
      </c>
      <c r="BE254" s="25">
        <f t="shared" si="198"/>
        <v>18.737406723767013</v>
      </c>
      <c r="BF254" s="25">
        <f t="shared" si="198"/>
        <v>13.476190073107288</v>
      </c>
      <c r="BG254" s="32">
        <f>SUMPRODUCT(AZ$122:BF$122,AZ254:BF254)/BG$122</f>
        <v>15.901560561371232</v>
      </c>
      <c r="BI254" s="25">
        <f t="shared" ref="BI254:BO254" si="199">BI235*$W$259/100</f>
        <v>17.500774264940681</v>
      </c>
      <c r="BJ254" s="25">
        <f t="shared" si="199"/>
        <v>17.338538612813032</v>
      </c>
      <c r="BK254" s="25">
        <f t="shared" si="199"/>
        <v>26.084569883403756</v>
      </c>
      <c r="BL254" s="25">
        <f t="shared" si="199"/>
        <v>23.304446505834576</v>
      </c>
      <c r="BM254" s="25">
        <f t="shared" si="199"/>
        <v>20.881107880357039</v>
      </c>
      <c r="BN254" s="25">
        <f t="shared" si="199"/>
        <v>28.106110085650524</v>
      </c>
      <c r="BO254" s="25">
        <f t="shared" si="199"/>
        <v>20.214285109660931</v>
      </c>
      <c r="BP254" s="32">
        <f>SUMPRODUCT(BI$122:BO$122,BI254:BO254)/BP$122</f>
        <v>23.852340842056851</v>
      </c>
    </row>
    <row r="255" spans="2:68" ht="13.2" customHeight="1">
      <c r="B255" s="308" t="s">
        <v>1325</v>
      </c>
      <c r="C255" s="4300"/>
      <c r="D255" s="3796"/>
      <c r="E255" s="3796"/>
      <c r="F255" s="4301"/>
      <c r="G255" s="3833"/>
      <c r="H255" s="3833"/>
      <c r="I255" s="3833"/>
      <c r="J255" s="3833"/>
      <c r="K255" s="3833"/>
      <c r="L255" s="3833"/>
      <c r="O255" s="39">
        <f>ROW()</f>
        <v>255</v>
      </c>
      <c r="P255" s="25">
        <f>P251</f>
        <v>1.42</v>
      </c>
      <c r="Q255" s="25">
        <f t="shared" ref="Q255:V255" si="200">Q251</f>
        <v>4.24</v>
      </c>
      <c r="R255" s="25">
        <f t="shared" si="200"/>
        <v>14.919999999999998</v>
      </c>
      <c r="S255" s="25">
        <f t="shared" si="200"/>
        <v>18.78</v>
      </c>
      <c r="T255" s="25">
        <f t="shared" si="200"/>
        <v>17.319999999999997</v>
      </c>
      <c r="U255" s="25">
        <f t="shared" si="200"/>
        <v>10.889999999999999</v>
      </c>
      <c r="V255" s="25">
        <f t="shared" si="200"/>
        <v>6.34</v>
      </c>
      <c r="W255" s="32">
        <f>SUMPRODUCT(P$122:V$122,P255:V255)/W$122</f>
        <v>13.193469905216745</v>
      </c>
      <c r="Y255" s="25">
        <f t="shared" ref="Y255:AE255" si="201">Y251</f>
        <v>2.29</v>
      </c>
      <c r="Z255" s="25">
        <f t="shared" si="201"/>
        <v>7.2799999999999994</v>
      </c>
      <c r="AA255" s="25">
        <f t="shared" si="201"/>
        <v>15.08</v>
      </c>
      <c r="AB255" s="25">
        <f t="shared" si="201"/>
        <v>18.87</v>
      </c>
      <c r="AC255" s="25">
        <f t="shared" si="201"/>
        <v>17.600000000000001</v>
      </c>
      <c r="AD255" s="25">
        <f t="shared" si="201"/>
        <v>12.299999999999999</v>
      </c>
      <c r="AE255" s="25">
        <f t="shared" si="201"/>
        <v>6.18</v>
      </c>
      <c r="AF255" s="32">
        <f>SUMPRODUCT(Y$122:AE$122,Y255:AE255)/AF$122</f>
        <v>12.015747268091232</v>
      </c>
      <c r="AH255" s="25">
        <f t="shared" ref="AH255:AN255" si="202">AH251</f>
        <v>0.1855</v>
      </c>
      <c r="AI255" s="25">
        <f t="shared" si="202"/>
        <v>0.57599999999999996</v>
      </c>
      <c r="AJ255" s="25">
        <f t="shared" si="202"/>
        <v>1.5</v>
      </c>
      <c r="AK255" s="25">
        <f t="shared" si="202"/>
        <v>1.8825000000000003</v>
      </c>
      <c r="AL255" s="25">
        <f t="shared" si="202"/>
        <v>1.7460000000000002</v>
      </c>
      <c r="AM255" s="25">
        <f t="shared" si="202"/>
        <v>1.1595</v>
      </c>
      <c r="AN255" s="25">
        <f t="shared" si="202"/>
        <v>0.626</v>
      </c>
      <c r="AO255" s="32">
        <f>SUMPRODUCT(AH$122:AN$122,AH255:AN255)/AO$122</f>
        <v>1.039866805877995</v>
      </c>
      <c r="AZ255" s="25">
        <f t="shared" ref="AZ255:BF255" si="203">AZ251</f>
        <v>0.19500000000000001</v>
      </c>
      <c r="BA255" s="25">
        <f t="shared" si="203"/>
        <v>0.78</v>
      </c>
      <c r="BB255" s="25">
        <f t="shared" si="203"/>
        <v>1.395</v>
      </c>
      <c r="BC255" s="25">
        <f t="shared" si="203"/>
        <v>1.7549999999999999</v>
      </c>
      <c r="BD255" s="25">
        <f t="shared" si="203"/>
        <v>1.6199999999999999</v>
      </c>
      <c r="BE255" s="25">
        <f t="shared" si="203"/>
        <v>1.395</v>
      </c>
      <c r="BF255" s="25">
        <f t="shared" si="203"/>
        <v>0.63</v>
      </c>
      <c r="BG255" s="32">
        <f>SUMPRODUCT(AZ$122:BF$122,AZ255:BF255)/BG$122</f>
        <v>1.2505556357791769</v>
      </c>
      <c r="BI255" s="25">
        <f t="shared" ref="BI255:BO255" si="204">BI251</f>
        <v>0</v>
      </c>
      <c r="BJ255" s="25">
        <f t="shared" si="204"/>
        <v>0.32999999999999996</v>
      </c>
      <c r="BK255" s="25">
        <f t="shared" si="204"/>
        <v>0.81</v>
      </c>
      <c r="BL255" s="25">
        <f t="shared" si="204"/>
        <v>0.99</v>
      </c>
      <c r="BM255" s="25">
        <f t="shared" si="204"/>
        <v>0.96</v>
      </c>
      <c r="BN255" s="25">
        <f t="shared" si="204"/>
        <v>0.81</v>
      </c>
      <c r="BO255" s="25">
        <f t="shared" si="204"/>
        <v>0.255</v>
      </c>
      <c r="BP255" s="32">
        <f>SUMPRODUCT(BI$122:BO$122,BI255:BO255)/BP$122</f>
        <v>0.70188084280844076</v>
      </c>
    </row>
    <row r="256" spans="2:68" ht="13.2" customHeight="1">
      <c r="B256" s="308" t="s">
        <v>637</v>
      </c>
      <c r="C256" s="4302"/>
      <c r="D256" s="4303"/>
      <c r="E256" s="4303"/>
      <c r="F256" s="4304"/>
      <c r="G256" s="3833"/>
      <c r="H256" s="3833"/>
      <c r="I256" s="3833"/>
      <c r="J256" s="3833"/>
      <c r="K256" s="3833"/>
      <c r="L256" s="3833"/>
      <c r="M256" s="7"/>
      <c r="O256" s="39">
        <f>ROW()</f>
        <v>256</v>
      </c>
      <c r="P256" s="26">
        <f>'River Crossings'!$K$50</f>
        <v>1.9646431698302398</v>
      </c>
      <c r="Q256" s="26">
        <f>'River Crossings'!$K$50</f>
        <v>1.9646431698302398</v>
      </c>
      <c r="R256" s="26">
        <f>'River Crossings'!$K$41</f>
        <v>2.1577435714695872</v>
      </c>
      <c r="S256" s="26">
        <f>'River Crossings'!$K$50</f>
        <v>1.9646431698302398</v>
      </c>
      <c r="T256" s="26">
        <f>'River Crossings'!$K$50</f>
        <v>1.9646431698302398</v>
      </c>
      <c r="U256" s="26">
        <f>0.5*'River Crossings'!$K$41+0.5*'River Crossings'!$K$50</f>
        <v>2.0611933706499137</v>
      </c>
      <c r="V256" s="26">
        <f>'River Crossings'!$K$50</f>
        <v>1.9646431698302398</v>
      </c>
      <c r="W256" s="32">
        <f>SUMPRODUCT(P$122:V$122,P256:V256)/W$122</f>
        <v>2.0497132301475212</v>
      </c>
      <c r="Y256" s="26">
        <f>'River Crossings'!$K$50</f>
        <v>1.9646431698302398</v>
      </c>
      <c r="Z256" s="26">
        <f>'River Crossings'!$K$50</f>
        <v>1.9646431698302398</v>
      </c>
      <c r="AA256" s="26">
        <f>'River Crossings'!$K$41</f>
        <v>2.1577435714695872</v>
      </c>
      <c r="AB256" s="26">
        <f>'River Crossings'!$K$50</f>
        <v>1.9646431698302398</v>
      </c>
      <c r="AC256" s="26">
        <f>'River Crossings'!$K$50</f>
        <v>1.9646431698302398</v>
      </c>
      <c r="AD256" s="26">
        <f>0.5*'River Crossings'!$K$41+0.5*'River Crossings'!$K$50</f>
        <v>2.0611933706499137</v>
      </c>
      <c r="AE256" s="26">
        <f>'River Crossings'!$K$50</f>
        <v>1.9646431698302398</v>
      </c>
      <c r="AF256" s="32">
        <f>SUMPRODUCT(Y$122:AE$122,Y256:AE256)/AF$122</f>
        <v>2.0223325970723924</v>
      </c>
      <c r="AH256" s="26">
        <f>'River Crossings'!$K$50*$AM$258</f>
        <v>3.5363577056944315</v>
      </c>
      <c r="AI256" s="26">
        <f>'River Crossings'!$K$50*$AM$258</f>
        <v>3.5363577056944315</v>
      </c>
      <c r="AJ256" s="26">
        <f>'River Crossings'!$K$41*$AM$258</f>
        <v>3.8839384286452572</v>
      </c>
      <c r="AK256" s="26">
        <f>'River Crossings'!$K$50*$AM$258</f>
        <v>3.5363577056944315</v>
      </c>
      <c r="AL256" s="26">
        <f>'River Crossings'!$K$50*$AM$258</f>
        <v>3.5363577056944315</v>
      </c>
      <c r="AM256" s="26">
        <f>(0.5*'River Crossings'!$K$41+0.5*'River Crossings'!$K$50)*$AM$258</f>
        <v>3.7101480671698446</v>
      </c>
      <c r="AN256" s="26">
        <f>'River Crossings'!$K$50*$AM$258</f>
        <v>3.5363577056944315</v>
      </c>
      <c r="AO256" s="32">
        <f>SUMPRODUCT(AH$122:AN$122,AH256:AN256)/AO$122</f>
        <v>3.6332375334072311</v>
      </c>
      <c r="AX256" s="32"/>
      <c r="AZ256" s="26">
        <f>'User Inputs'!$E$69*'River Crossings'!$K$50</f>
        <v>3.9292863396604796</v>
      </c>
      <c r="BA256" s="26">
        <f>'User Inputs'!$E$69*'River Crossings'!$K$50</f>
        <v>3.9292863396604796</v>
      </c>
      <c r="BB256" s="26">
        <f>'User Inputs'!$E$69*'River Crossings'!$K$50</f>
        <v>3.9292863396604796</v>
      </c>
      <c r="BC256" s="26">
        <f>'User Inputs'!$E$69*'River Crossings'!$K$50</f>
        <v>3.9292863396604796</v>
      </c>
      <c r="BD256" s="26">
        <f>'User Inputs'!$E$69*'River Crossings'!$K$50</f>
        <v>3.9292863396604796</v>
      </c>
      <c r="BE256" s="26">
        <f>'User Inputs'!$E$69*'River Crossings'!$K$50</f>
        <v>3.9292863396604796</v>
      </c>
      <c r="BF256" s="26">
        <f>'User Inputs'!$E$69*'River Crossings'!$K$50</f>
        <v>3.9292863396604796</v>
      </c>
      <c r="BG256" s="32">
        <f>SUMPRODUCT(AZ$122:BF$122,AZ256:BF256)/BG$122</f>
        <v>3.9292863396604791</v>
      </c>
      <c r="BI256" s="26">
        <f>$BO$258*'River Crossings'!$K$50</f>
        <v>3.9292863396604796</v>
      </c>
      <c r="BJ256" s="26">
        <f>$BO$258*'River Crossings'!$K$50</f>
        <v>3.9292863396604796</v>
      </c>
      <c r="BK256" s="26">
        <f>$BO$258*'River Crossings'!$K$41</f>
        <v>4.3154871429391743</v>
      </c>
      <c r="BL256" s="26">
        <f>$BO$258*'River Crossings'!$K$50</f>
        <v>3.9292863396604796</v>
      </c>
      <c r="BM256" s="26">
        <f>$BO$258*'River Crossings'!$K$50</f>
        <v>3.9292863396604796</v>
      </c>
      <c r="BN256" s="26">
        <f>$BO$258*(0.5*'River Crossings'!$K$41+0.5*'River Crossings'!$K$50)</f>
        <v>4.1223867412998274</v>
      </c>
      <c r="BO256" s="26">
        <f>$BO$258*'River Crossings'!$K$50</f>
        <v>3.9292863396604796</v>
      </c>
      <c r="BP256" s="32">
        <f>SUMPRODUCT(BI$122:BO$122,BI256:BO256)/BP$122</f>
        <v>4.0679970231650957</v>
      </c>
    </row>
    <row r="257" spans="2:68" ht="13.2" customHeight="1">
      <c r="B257" s="308" t="s">
        <v>864</v>
      </c>
      <c r="G257" s="3833"/>
      <c r="H257" s="3833"/>
      <c r="I257" s="3833"/>
      <c r="J257" s="3833"/>
      <c r="K257" s="3833"/>
      <c r="L257" s="3833"/>
      <c r="M257" s="7"/>
      <c r="O257" s="39">
        <f>ROW()</f>
        <v>257</v>
      </c>
      <c r="P257" s="26">
        <f>2*$I$87*'Trip Price'!$N$23</f>
        <v>1.4520046984311636</v>
      </c>
      <c r="Q257" s="26">
        <f>2*$I$87*'Trip Price'!$L$23</f>
        <v>2.9040093968623273</v>
      </c>
      <c r="R257" s="26">
        <f>2*$I$87*'Trip Price'!$L$23</f>
        <v>2.9040093968623273</v>
      </c>
      <c r="S257" s="26">
        <f>2*$I$87*'Trip Price'!$L$23</f>
        <v>2.9040093968623273</v>
      </c>
      <c r="T257" s="26">
        <f>2*$I$87*'Trip Price'!$L$23</f>
        <v>2.9040093968623273</v>
      </c>
      <c r="U257" s="26">
        <f>2*$I$87*'Trip Price'!$L$23</f>
        <v>2.9040093968623273</v>
      </c>
      <c r="V257" s="26">
        <f>2*$I$87*'Trip Price'!$L$23</f>
        <v>2.9040093968623273</v>
      </c>
      <c r="W257" s="32">
        <f>SUMPRODUCT(P$122:V$122,P257:V257)/W$122</f>
        <v>2.8535168378402496</v>
      </c>
      <c r="Y257" s="26">
        <f>2*$J$87*'Trip Price'!$N$23</f>
        <v>1.4520046984311636</v>
      </c>
      <c r="Z257" s="26">
        <f>2*$J$87*'Trip Price'!$L$23</f>
        <v>2.9040093968623273</v>
      </c>
      <c r="AA257" s="26">
        <f>2*$J$87*'Trip Price'!$L$23</f>
        <v>2.9040093968623273</v>
      </c>
      <c r="AB257" s="26">
        <f>2*$J$87*'Trip Price'!$L$23</f>
        <v>2.9040093968623273</v>
      </c>
      <c r="AC257" s="26">
        <f>2*$J$87*'Trip Price'!$L$23</f>
        <v>2.9040093968623273</v>
      </c>
      <c r="AD257" s="26">
        <f>2*$J$87*'Trip Price'!$L$23</f>
        <v>2.9040093968623273</v>
      </c>
      <c r="AE257" s="26">
        <f>2*$J$87*'Trip Price'!$L$23</f>
        <v>2.9040093968623273</v>
      </c>
      <c r="AF257" s="32">
        <f>SUMPRODUCT(Y$122:AE$122,Y257:AE257)/AF$122</f>
        <v>2.7570242394923423</v>
      </c>
      <c r="AH257" s="26">
        <f>2*$K$87*'Trip Price'!$N$23</f>
        <v>2.1560070476467454</v>
      </c>
      <c r="AI257" s="26">
        <f>2*$K$87*'Trip Price'!$L$23</f>
        <v>4.3120140952934909</v>
      </c>
      <c r="AJ257" s="26">
        <f>2*$K$87*'Trip Price'!$L$23</f>
        <v>4.3120140952934909</v>
      </c>
      <c r="AK257" s="26">
        <f>2*$K$87*'Trip Price'!$L$23</f>
        <v>4.3120140952934909</v>
      </c>
      <c r="AL257" s="26">
        <f>2*$K$87*'Trip Price'!$L$23</f>
        <v>4.3120140952934909</v>
      </c>
      <c r="AM257" s="26">
        <f>2*$K$87*'Trip Price'!$L$23</f>
        <v>4.3120140952934909</v>
      </c>
      <c r="AN257" s="26">
        <f>2*$K$87*'Trip Price'!$L$23</f>
        <v>4.3120140952934909</v>
      </c>
      <c r="AO257" s="32">
        <f>SUMPRODUCT(AH$122:AN$122,AH257:AN257)/AO$122</f>
        <v>3.9355875022103115</v>
      </c>
      <c r="AZ257" s="26">
        <f>2*$BF$258*$M$87*'Trip Price'!$N$23</f>
        <v>2.4832320924398918</v>
      </c>
      <c r="BA257" s="26">
        <f>2*$BF$258*$M$87*'Trip Price'!$L$23</f>
        <v>4.9664641848797837</v>
      </c>
      <c r="BB257" s="26">
        <f>2*$BF$258*$M$87*'Trip Price'!$L$23</f>
        <v>4.9664641848797837</v>
      </c>
      <c r="BC257" s="26">
        <f>2*$BF$258*$M$87*'Trip Price'!$L$23</f>
        <v>4.9664641848797837</v>
      </c>
      <c r="BD257" s="26">
        <f>2*$BF$258*$M$87*'Trip Price'!$L$23</f>
        <v>4.9664641848797837</v>
      </c>
      <c r="BE257" s="26">
        <f>2*$BF$258*$M$87*'Trip Price'!$L$23</f>
        <v>4.9664641848797837</v>
      </c>
      <c r="BF257" s="26">
        <f>2*$BF$258*$M$87*'Trip Price'!$L$23</f>
        <v>4.9664641848797837</v>
      </c>
      <c r="BG257" s="32">
        <f>SUMPRODUCT(AZ$122:BF$122,AZ257:BF257)/BG$122</f>
        <v>4.7501179201789316</v>
      </c>
      <c r="BI257" s="26">
        <f>2*$BO$258*$M$87*'Trip Price'!$N$23</f>
        <v>2.4832320924398918</v>
      </c>
      <c r="BJ257" s="26">
        <f>2*$BO$258*$M$87*'Trip Price'!$L$23</f>
        <v>4.9664641848797837</v>
      </c>
      <c r="BK257" s="26">
        <f>2*$BO$258*$M$87*'Trip Price'!$L$23</f>
        <v>4.9664641848797837</v>
      </c>
      <c r="BL257" s="26">
        <f>2*$BO$258*$M$87*'Trip Price'!$L$23</f>
        <v>4.9664641848797837</v>
      </c>
      <c r="BM257" s="26">
        <f>2*$BO$258*$M$87*'Trip Price'!$L$23</f>
        <v>4.9664641848797837</v>
      </c>
      <c r="BN257" s="26">
        <f>2*$BO$258*$M$87*'Trip Price'!$L$23</f>
        <v>4.9664641848797837</v>
      </c>
      <c r="BO257" s="26">
        <f>2*$BO$258*$M$87*'Trip Price'!$L$23</f>
        <v>4.9664641848797837</v>
      </c>
      <c r="BP257" s="32">
        <f>SUMPRODUCT(BI$122:BO$122,BI257:BO257)/BP$122</f>
        <v>4.7501179201789334</v>
      </c>
    </row>
    <row r="258" spans="2:68" ht="13.2" customHeight="1">
      <c r="L258" s="7"/>
      <c r="M258" s="7"/>
      <c r="O258" s="39">
        <f>ROW()</f>
        <v>258</v>
      </c>
      <c r="W258" s="7"/>
      <c r="AF258" s="7"/>
      <c r="AL258" s="118" t="s">
        <v>2442</v>
      </c>
      <c r="AM258" s="3183">
        <f>1+$I$43</f>
        <v>1.8</v>
      </c>
      <c r="AO258" s="7"/>
      <c r="BE258" s="131" t="s">
        <v>5513</v>
      </c>
      <c r="BF258">
        <v>2</v>
      </c>
      <c r="BG258" s="7"/>
      <c r="BN258" s="131" t="s">
        <v>5255</v>
      </c>
      <c r="BO258">
        <f>BF258</f>
        <v>2</v>
      </c>
      <c r="BP258" s="7"/>
    </row>
    <row r="259" spans="2:68" ht="13.2" customHeight="1">
      <c r="B259" s="24" t="s">
        <v>1239</v>
      </c>
      <c r="G259" s="54"/>
      <c r="H259" s="4459" t="str">
        <f>CONCATENATE("Default is CORDON. If only tolling East &amp; Harlem River bridges, type BRIDGES in 'User Inputs' worksheet, Row ",'User Inputs'!N42, ". If only tolling East River bridges, type EAST there.")</f>
        <v>Default is CORDON. If only tolling East &amp; Harlem River bridges, type BRIDGES in 'User Inputs' worksheet, Row 42. If only tolling East River bridges, type EAST there.</v>
      </c>
      <c r="I259" s="4151"/>
      <c r="J259" s="4151"/>
      <c r="K259" s="4152"/>
      <c r="O259" s="39">
        <f>ROW()</f>
        <v>259</v>
      </c>
      <c r="Q259" s="3434"/>
      <c r="R259" s="3435"/>
      <c r="S259" s="3435"/>
      <c r="T259" s="3435"/>
      <c r="U259" s="3435"/>
      <c r="V259" s="3440" t="s">
        <v>5962</v>
      </c>
      <c r="W259" s="3441">
        <f>ROUND(360.7*1.05,-1)</f>
        <v>380</v>
      </c>
      <c r="AF259" s="7"/>
      <c r="AO259" s="7"/>
      <c r="BG259" s="7"/>
      <c r="BP259" s="7"/>
    </row>
    <row r="260" spans="2:68" ht="13.2" customHeight="1">
      <c r="G260" s="54"/>
      <c r="H260" s="4153"/>
      <c r="I260" s="3809"/>
      <c r="J260" s="3809"/>
      <c r="K260" s="4154"/>
      <c r="O260" s="39">
        <f>ROW()</f>
        <v>260</v>
      </c>
      <c r="Q260" s="3436"/>
      <c r="R260" s="3437"/>
      <c r="S260" s="3437"/>
      <c r="T260" s="3437"/>
      <c r="U260" s="3437"/>
      <c r="V260" s="3438" t="s">
        <v>5963</v>
      </c>
      <c r="W260" s="3439"/>
      <c r="AF260" s="7"/>
      <c r="AO260" s="7"/>
      <c r="BC260" s="1958"/>
      <c r="BD260" s="1958"/>
      <c r="BE260" s="1958"/>
      <c r="BF260" s="1959" t="s">
        <v>3202</v>
      </c>
      <c r="BG260" s="1963">
        <f>'User Inputs'!J72</f>
        <v>1</v>
      </c>
      <c r="BP260" s="7"/>
    </row>
    <row r="261" spans="2:68" ht="13.2" customHeight="1">
      <c r="B261" s="2" t="s">
        <v>4354</v>
      </c>
      <c r="G261" s="54"/>
      <c r="H261" s="4164"/>
      <c r="I261" s="4165"/>
      <c r="J261" s="4165"/>
      <c r="K261" s="4166"/>
      <c r="O261" s="39">
        <f>ROW()</f>
        <v>261</v>
      </c>
      <c r="W261" s="7"/>
      <c r="AF261" s="7"/>
      <c r="AO261" s="7"/>
      <c r="BC261" s="1958"/>
      <c r="BD261" s="1958"/>
      <c r="BE261" s="1958"/>
      <c r="BF261" s="1960" t="str">
        <f>CONCATENATE("Discount is looked up from 'User Inputs' worksheet, Row ",'User Inputs'!N72, ".")</f>
        <v>Discount is looked up from 'User Inputs' worksheet, Row 72.</v>
      </c>
      <c r="BG261" s="1961"/>
      <c r="BP261" s="7"/>
    </row>
    <row r="262" spans="2:68" ht="13.2" customHeight="1">
      <c r="B262" s="6"/>
      <c r="G262" s="54"/>
      <c r="O262" s="39">
        <f>ROW()</f>
        <v>262</v>
      </c>
      <c r="P262" s="4147" t="s">
        <v>2680</v>
      </c>
      <c r="Q262" s="4147"/>
      <c r="R262" s="4147"/>
      <c r="S262" s="4147"/>
      <c r="T262" s="4147"/>
      <c r="U262" s="4147"/>
      <c r="V262" s="4147"/>
      <c r="W262" s="4147"/>
      <c r="Y262" s="4147" t="s">
        <v>2681</v>
      </c>
      <c r="Z262" s="4147"/>
      <c r="AA262" s="4147"/>
      <c r="AB262" s="4147"/>
      <c r="AC262" s="4147"/>
      <c r="AD262" s="4147"/>
      <c r="AE262" s="4147"/>
      <c r="AF262" s="4147"/>
      <c r="AH262" s="4263" t="s">
        <v>5482</v>
      </c>
      <c r="AI262" s="4264"/>
      <c r="AJ262" s="4264"/>
      <c r="AK262" s="4264"/>
      <c r="AL262" s="4264"/>
      <c r="AM262" s="4264"/>
      <c r="AN262" s="4264"/>
      <c r="AO262" s="4264"/>
      <c r="AQ262" s="4147" t="s">
        <v>713</v>
      </c>
      <c r="AR262" s="4147"/>
      <c r="AS262" s="4147"/>
      <c r="AT262" s="4147"/>
      <c r="AU262" s="4147"/>
      <c r="AV262" s="4147"/>
      <c r="AW262" s="4147"/>
      <c r="AX262" s="4147"/>
      <c r="AZ262" s="4147" t="s">
        <v>460</v>
      </c>
      <c r="BA262" s="4147"/>
      <c r="BB262" s="4147"/>
      <c r="BC262" s="4147"/>
      <c r="BD262" s="4147"/>
      <c r="BE262" s="4147"/>
      <c r="BF262" s="4147"/>
      <c r="BG262" s="4147"/>
      <c r="BI262" s="4147" t="s">
        <v>849</v>
      </c>
      <c r="BJ262" s="4147"/>
      <c r="BK262" s="4147"/>
      <c r="BL262" s="4147"/>
      <c r="BM262" s="4147"/>
      <c r="BN262" s="4147"/>
      <c r="BO262" s="4147"/>
      <c r="BP262" s="4147"/>
    </row>
    <row r="263" spans="2:68" ht="13.2" customHeight="1">
      <c r="B263" s="4247" t="s">
        <v>5617</v>
      </c>
      <c r="C263" s="4247"/>
      <c r="D263" s="4247"/>
      <c r="E263" s="4247"/>
      <c r="F263" s="4247"/>
      <c r="G263" s="4247"/>
      <c r="H263" s="4247"/>
      <c r="I263" s="4247"/>
      <c r="J263" s="4247"/>
      <c r="K263" s="4247"/>
      <c r="L263" s="2"/>
      <c r="O263" s="39">
        <f>ROW()</f>
        <v>263</v>
      </c>
      <c r="W263" s="7"/>
      <c r="AF263" s="7"/>
      <c r="AO263" s="7"/>
      <c r="AR263" s="117"/>
      <c r="BG263" s="7"/>
      <c r="BP263" s="7"/>
    </row>
    <row r="264" spans="2:68" ht="13.2" customHeight="1">
      <c r="B264" s="4247"/>
      <c r="C264" s="4247"/>
      <c r="D264" s="4247"/>
      <c r="E264" s="4247"/>
      <c r="F264" s="4247"/>
      <c r="G264" s="4247"/>
      <c r="H264" s="4247"/>
      <c r="I264" s="4247"/>
      <c r="J264" s="4247"/>
      <c r="K264" s="4247"/>
      <c r="L264" s="4460" t="s">
        <v>2044</v>
      </c>
      <c r="N264" s="2724" t="s">
        <v>4646</v>
      </c>
      <c r="O264" s="39">
        <f>ROW()</f>
        <v>264</v>
      </c>
      <c r="P264" s="591">
        <f>VLOOKUP('Weekday Hours'!$H54,'Weekday Hours'!$G$3:$H$7,2)</f>
        <v>3</v>
      </c>
      <c r="Q264" s="591">
        <f>VLOOKUP('Weekday Hours'!$H36,'Weekday Hours'!$G$3:$H$7,2)</f>
        <v>7</v>
      </c>
      <c r="R264" s="591">
        <f>VLOOKUP('Weekday Hours'!$H37,'Weekday Hours'!$G$3:$H$7,2)</f>
        <v>9.5</v>
      </c>
      <c r="S264" s="591">
        <f>VLOOKUP('Weekday Hours'!$H40,'Weekday Hours'!$G$3:$H$7,2)</f>
        <v>9.5</v>
      </c>
      <c r="T264" s="591">
        <f>VLOOKUP('Weekday Hours'!$H41,'Weekday Hours'!$G$3:$H$7,2)</f>
        <v>7</v>
      </c>
      <c r="U264" s="591">
        <f>VLOOKUP('Weekday Hours'!$H45,'Weekday Hours'!$G$3:$H$7,2)</f>
        <v>9.5</v>
      </c>
      <c r="V264" s="591">
        <f>VLOOKUP('Weekday Hours'!$H51,'Weekday Hours'!$G$3:$H$7,2)</f>
        <v>7</v>
      </c>
      <c r="W264" s="591">
        <f>SUMPRODUCT(P$122:V$122,P$264:V$264)/W$122</f>
        <v>8.4496178227662622</v>
      </c>
      <c r="Y264" s="591">
        <f>VLOOKUP('Weekday Hours'!$H54,'Weekday Hours'!$G$3:$H$7,2)</f>
        <v>3</v>
      </c>
      <c r="Z264" s="591">
        <f>VLOOKUP('Weekday Hours'!$H36,'Weekday Hours'!$G$3:$H$7,2)</f>
        <v>7</v>
      </c>
      <c r="AA264" s="591">
        <f>VLOOKUP('Weekday Hours'!$H37,'Weekday Hours'!$G$3:$H$7,2)</f>
        <v>9.5</v>
      </c>
      <c r="AB264" s="591">
        <f>VLOOKUP('Weekday Hours'!$H40,'Weekday Hours'!$G$3:$H$7,2)</f>
        <v>9.5</v>
      </c>
      <c r="AC264" s="591">
        <f>VLOOKUP('Weekday Hours'!$H41,'Weekday Hours'!$G$3:$H$7,2)</f>
        <v>7</v>
      </c>
      <c r="AD264" s="591">
        <f>VLOOKUP('Weekday Hours'!$H45,'Weekday Hours'!$G$3:$H$7,2)</f>
        <v>9.5</v>
      </c>
      <c r="AE264" s="591">
        <f>VLOOKUP('Weekday Hours'!$H51,'Weekday Hours'!$G$3:$H$7,2)</f>
        <v>7</v>
      </c>
      <c r="AF264" s="591">
        <f>SUMPRODUCT(Y$122:AE$122,Y$264:AE$264)/AF$122</f>
        <v>8.0013393862565287</v>
      </c>
      <c r="AH264" s="591">
        <f>VLOOKUP('Weekday Hours'!$H54,'Weekday Hours'!$G$3:$H$7,2)*IF($AL$267="YES",(1+$I$43),1)</f>
        <v>5.4</v>
      </c>
      <c r="AI264" s="591">
        <f>VLOOKUP('Weekday Hours'!$H36,'Weekday Hours'!$G$3:$H$7,2)*IF($AL$267="YES",(1+$I$43),1)</f>
        <v>12.6</v>
      </c>
      <c r="AJ264" s="591">
        <f>VLOOKUP('Weekday Hours'!$H37,'Weekday Hours'!$G$3:$H$7,2)*IF($AL$267="YES",(1+$I$43),1)</f>
        <v>17.100000000000001</v>
      </c>
      <c r="AK264" s="591">
        <f>VLOOKUP('Weekday Hours'!$H40,'Weekday Hours'!$G$3:$H$7,2)*IF($AL$267="YES",(1+$I$43),1)</f>
        <v>17.100000000000001</v>
      </c>
      <c r="AL264" s="591">
        <f>VLOOKUP('Weekday Hours'!$H41,'Weekday Hours'!$G$3:$H$7,2)*IF($AL$267="YES",(1+$I$43),1)</f>
        <v>12.6</v>
      </c>
      <c r="AM264" s="591">
        <f>VLOOKUP('Weekday Hours'!$H45,'Weekday Hours'!$G$3:$H$7,2)*IF($AL$267="YES",(1+$I$43),1)</f>
        <v>17.100000000000001</v>
      </c>
      <c r="AN264" s="591">
        <f>VLOOKUP('Weekday Hours'!$H51,'Weekday Hours'!$G$3:$H$7,2)*IF($AL$267="YES",(1+$I$43),1)</f>
        <v>12.6</v>
      </c>
      <c r="AO264" s="591">
        <f>SUMPRODUCT(AH$122:AN$122,AH$264:AN$264)/AO$122</f>
        <v>13.465644152610453</v>
      </c>
      <c r="AR264" s="117"/>
      <c r="AZ264" s="591">
        <f>'User Inputs'!$J$69*VLOOKUP('Weekday Hours'!$H54,'Weekday Hours'!$G$3:$H$7,2)*(1+$M78)</f>
        <v>5.6544502617801058</v>
      </c>
      <c r="BA264" s="591">
        <f>'User Inputs'!$J$69*VLOOKUP('Weekday Hours'!$H36,'Weekday Hours'!$G$3:$H$7,2)*(1+$M78)</f>
        <v>13.193717277486913</v>
      </c>
      <c r="BB264" s="591">
        <f>'User Inputs'!$J$69*VLOOKUP('Weekday Hours'!$H37,'Weekday Hours'!$G$3:$H$7,2)*(1+$M78)</f>
        <v>17.905759162303667</v>
      </c>
      <c r="BC264" s="591">
        <f>'User Inputs'!$J$69*VLOOKUP('Weekday Hours'!$H40,'Weekday Hours'!$G$3:$H$7,2)*(1+$M78)</f>
        <v>17.905759162303667</v>
      </c>
      <c r="BD264" s="591">
        <f>'User Inputs'!$J$69*VLOOKUP('Weekday Hours'!$H41,'Weekday Hours'!$G$3:$H$7,2)*(1+$M78)</f>
        <v>13.193717277486913</v>
      </c>
      <c r="BE264" s="591">
        <f>'User Inputs'!$J$69*VLOOKUP('Weekday Hours'!$H45,'Weekday Hours'!$G$3:$H$7,2)*(1+$M78)</f>
        <v>17.905759162303667</v>
      </c>
      <c r="BF264" s="591">
        <f>'User Inputs'!$J$69*VLOOKUP('Weekday Hours'!$H51,'Weekday Hours'!$G$3:$H$7,2)*(1+$M78)</f>
        <v>13.193717277486913</v>
      </c>
      <c r="BG264" s="591">
        <f>SUMPRODUCT(AZ$122:BF$122,AZ$264:BF$264)/BG$122</f>
        <v>15.249722510820904</v>
      </c>
      <c r="BI264" s="591">
        <f>'User Inputs'!$J$69*VLOOKUP('Weekday Hours'!$H54,'Weekday Hours'!$G$3:$H$7,2)*(1+$N78)</f>
        <v>5.0386740331491717</v>
      </c>
      <c r="BJ264" s="591">
        <f>'User Inputs'!$J$69*VLOOKUP('Weekday Hours'!$H36,'Weekday Hours'!$G$3:$H$7,2)*(1+$N78)</f>
        <v>11.756906077348066</v>
      </c>
      <c r="BK264" s="591">
        <f>'User Inputs'!$J$69*VLOOKUP('Weekday Hours'!$H37,'Weekday Hours'!$G$3:$H$7,2)*(1+$N78)</f>
        <v>15.955801104972377</v>
      </c>
      <c r="BL264" s="591">
        <f>'User Inputs'!$J$69*VLOOKUP('Weekday Hours'!$H40,'Weekday Hours'!$G$3:$H$7,2)*(1+$N78)</f>
        <v>15.955801104972377</v>
      </c>
      <c r="BM264" s="591">
        <f>'User Inputs'!$J$69*VLOOKUP('Weekday Hours'!$H41,'Weekday Hours'!$G$3:$H$7,2)*(1+$N78)</f>
        <v>11.756906077348066</v>
      </c>
      <c r="BN264" s="591">
        <f>'User Inputs'!$J$69*VLOOKUP('Weekday Hours'!$H45,'Weekday Hours'!$G$3:$H$7,2)*(1+$N78)</f>
        <v>15.955801104972377</v>
      </c>
      <c r="BO264" s="591">
        <f>'User Inputs'!$J$69*VLOOKUP('Weekday Hours'!$H51,'Weekday Hours'!$G$3:$H$7,2)*(1+$N78)</f>
        <v>11.756906077348066</v>
      </c>
      <c r="BP264" s="591">
        <f>SUMPRODUCT(BI$122:BO$122,BI$264:BO$264)/BP$122</f>
        <v>13.589009942730279</v>
      </c>
    </row>
    <row r="265" spans="2:68" ht="13.2" customHeight="1">
      <c r="L265" s="4461"/>
      <c r="O265" s="39">
        <f>ROW()</f>
        <v>265</v>
      </c>
      <c r="P265" s="4347" t="s">
        <v>1548</v>
      </c>
      <c r="Q265" s="4347"/>
      <c r="R265" s="4347"/>
      <c r="S265" s="4347"/>
      <c r="T265" s="4347"/>
      <c r="U265" s="4347"/>
      <c r="V265" s="4347"/>
      <c r="W265" s="7"/>
      <c r="Y265" s="4347" t="s">
        <v>1548</v>
      </c>
      <c r="Z265" s="4347"/>
      <c r="AA265" s="4347"/>
      <c r="AB265" s="4347"/>
      <c r="AC265" s="4347"/>
      <c r="AD265" s="4347"/>
      <c r="AE265" s="4347"/>
      <c r="AF265" s="7"/>
      <c r="AH265" s="4406" t="str">
        <f>CONCATENATE("Tolls shown above are literally 'looked up' from toll schedule in by Hour worksheet and are then 'marked up' by ",I43*100, "%, per Cell I",O43, ", to reflect share of through-entries that will pay second cordon toll when their return leg re-enters cordon.")</f>
        <v>Tolls shown above are literally 'looked up' from toll schedule in by Hour worksheet and are then 'marked up' by 80%, per Cell I43, to reflect share of through-entries that will pay second cordon toll when their return leg re-enters cordon.</v>
      </c>
      <c r="AI265" s="3833"/>
      <c r="AJ265" s="3833"/>
      <c r="AK265" s="3833"/>
      <c r="AL265" s="3833"/>
      <c r="AM265" s="3833"/>
      <c r="AN265" s="3833"/>
      <c r="AO265" s="7"/>
      <c r="AZ265" s="2927" t="s">
        <v>4978</v>
      </c>
      <c r="BG265" s="7"/>
      <c r="BI265" s="2927" t="s">
        <v>4979</v>
      </c>
      <c r="BP265" s="7"/>
    </row>
    <row r="266" spans="2:68" ht="13.2" customHeight="1">
      <c r="B266" s="2060" t="s">
        <v>3339</v>
      </c>
      <c r="C266" s="50"/>
      <c r="D266" s="50"/>
      <c r="E266" s="50"/>
      <c r="F266" s="50"/>
      <c r="G266" s="50"/>
      <c r="L266" s="2723" t="str">
        <f>'User Inputs'!J42</f>
        <v>CORDON</v>
      </c>
      <c r="N266" s="4320" t="s">
        <v>4647</v>
      </c>
      <c r="O266" s="39">
        <f>ROW()</f>
        <v>266</v>
      </c>
      <c r="W266" s="7"/>
      <c r="AF266" s="7"/>
      <c r="AH266" s="3833"/>
      <c r="AI266" s="3833"/>
      <c r="AJ266" s="3833"/>
      <c r="AK266" s="3833"/>
      <c r="AL266" s="3833"/>
      <c r="AM266" s="3833"/>
      <c r="AN266" s="3833"/>
      <c r="AO266" s="7"/>
      <c r="AZ266" s="86"/>
      <c r="BA266" s="86"/>
      <c r="BB266" s="86"/>
      <c r="BC266" s="86"/>
      <c r="BD266" s="86"/>
      <c r="BE266" s="86"/>
      <c r="BF266" s="2047"/>
      <c r="BP266" s="7"/>
    </row>
    <row r="267" spans="2:68" ht="13.2" customHeight="1">
      <c r="G267" s="4101" t="s">
        <v>421</v>
      </c>
      <c r="H267" s="3659"/>
      <c r="I267" s="3659"/>
      <c r="J267" s="3659"/>
      <c r="K267" s="3659"/>
      <c r="N267" s="3813"/>
      <c r="O267" s="39">
        <f>ROW()</f>
        <v>267</v>
      </c>
      <c r="W267" s="7"/>
      <c r="AF267" s="7"/>
      <c r="AH267" s="2630"/>
      <c r="AI267" s="2631"/>
      <c r="AJ267" s="2631"/>
      <c r="AK267" s="2632" t="s">
        <v>4590</v>
      </c>
      <c r="AL267" s="2633" t="s">
        <v>2129</v>
      </c>
      <c r="AO267" s="7"/>
      <c r="AZ267" s="1955"/>
      <c r="BA267" s="1955"/>
      <c r="BB267" s="1955"/>
      <c r="BC267" s="1955"/>
      <c r="BD267" s="1955"/>
      <c r="BE267" s="1955"/>
      <c r="BF267" s="3159" t="s">
        <v>5494</v>
      </c>
      <c r="BG267" s="1962">
        <v>0.05</v>
      </c>
      <c r="BP267" s="7"/>
    </row>
    <row r="268" spans="2:68" ht="13.2" customHeight="1">
      <c r="B268" s="308" t="s">
        <v>2045</v>
      </c>
      <c r="G268" s="3659"/>
      <c r="H268" s="3659"/>
      <c r="I268" s="3659"/>
      <c r="J268" s="3659"/>
      <c r="K268" s="3659"/>
      <c r="L268" s="258">
        <f>IF($L$266="CORDON", 1, IF($L$266="BRIDGES", 'River Crossings'!$L$22, 'River Crossings'!$L$11))</f>
        <v>1</v>
      </c>
      <c r="N268" s="3813"/>
      <c r="O268" s="39">
        <f>ROW()</f>
        <v>268</v>
      </c>
      <c r="P268" s="2291">
        <f t="shared" ref="P268:V268" si="205">P264*$L$268</f>
        <v>3</v>
      </c>
      <c r="Q268" s="2291">
        <f t="shared" si="205"/>
        <v>7</v>
      </c>
      <c r="R268" s="2291">
        <f t="shared" si="205"/>
        <v>9.5</v>
      </c>
      <c r="S268" s="2291">
        <f t="shared" si="205"/>
        <v>9.5</v>
      </c>
      <c r="T268" s="2291">
        <f t="shared" si="205"/>
        <v>7</v>
      </c>
      <c r="U268" s="2291">
        <f t="shared" si="205"/>
        <v>9.5</v>
      </c>
      <c r="V268" s="2291">
        <f t="shared" si="205"/>
        <v>7</v>
      </c>
      <c r="W268" s="591">
        <f>SUMPRODUCT(P$122:V$122,P$268:V$268)/W$122</f>
        <v>8.4496178227662622</v>
      </c>
      <c r="Y268" s="2291">
        <f t="shared" ref="Y268:AE268" si="206">Y264*$L$268</f>
        <v>3</v>
      </c>
      <c r="Z268" s="2291">
        <f t="shared" si="206"/>
        <v>7</v>
      </c>
      <c r="AA268" s="2291">
        <f t="shared" si="206"/>
        <v>9.5</v>
      </c>
      <c r="AB268" s="2291">
        <f t="shared" si="206"/>
        <v>9.5</v>
      </c>
      <c r="AC268" s="2291">
        <f t="shared" si="206"/>
        <v>7</v>
      </c>
      <c r="AD268" s="2291">
        <f t="shared" si="206"/>
        <v>9.5</v>
      </c>
      <c r="AE268" s="2291">
        <f t="shared" si="206"/>
        <v>7</v>
      </c>
      <c r="AF268" s="591">
        <f>SUMPRODUCT(Y$122:AE$122,Y$268:AE$268)/AF$122</f>
        <v>8.0013393862565287</v>
      </c>
      <c r="AH268" s="2291">
        <f t="shared" ref="AH268:AN268" si="207">AH264*$L$268</f>
        <v>5.4</v>
      </c>
      <c r="AI268" s="2291">
        <f t="shared" si="207"/>
        <v>12.6</v>
      </c>
      <c r="AJ268" s="2291">
        <f t="shared" si="207"/>
        <v>17.100000000000001</v>
      </c>
      <c r="AK268" s="2291">
        <f t="shared" si="207"/>
        <v>17.100000000000001</v>
      </c>
      <c r="AL268" s="2291">
        <f t="shared" si="207"/>
        <v>12.6</v>
      </c>
      <c r="AM268" s="2291">
        <f t="shared" si="207"/>
        <v>17.100000000000001</v>
      </c>
      <c r="AN268" s="2291">
        <f t="shared" si="207"/>
        <v>12.6</v>
      </c>
      <c r="AO268" s="591">
        <f>SUMPRODUCT(AH$122:AN$122,AH$268:AN$268)/AO$122</f>
        <v>13.465644152610453</v>
      </c>
      <c r="AZ268" s="2291">
        <f t="shared" ref="AZ268:BF268" si="208">AZ264*$L$268</f>
        <v>5.6544502617801058</v>
      </c>
      <c r="BA268" s="2291">
        <f t="shared" si="208"/>
        <v>13.193717277486913</v>
      </c>
      <c r="BB268" s="2291">
        <f t="shared" si="208"/>
        <v>17.905759162303667</v>
      </c>
      <c r="BC268" s="2291">
        <f t="shared" si="208"/>
        <v>17.905759162303667</v>
      </c>
      <c r="BD268" s="2291">
        <f t="shared" si="208"/>
        <v>13.193717277486913</v>
      </c>
      <c r="BE268" s="2291">
        <f t="shared" si="208"/>
        <v>17.905759162303667</v>
      </c>
      <c r="BF268" s="2291">
        <f t="shared" si="208"/>
        <v>13.193717277486913</v>
      </c>
      <c r="BG268" s="591">
        <f>SUMPRODUCT(AZ$122:BF$122,AZ$268:BF$268)/BG$122</f>
        <v>15.249722510820904</v>
      </c>
      <c r="BI268" s="2291">
        <f t="shared" ref="BI268:BO268" si="209">BI264*$L$268</f>
        <v>5.0386740331491717</v>
      </c>
      <c r="BJ268" s="2291">
        <f t="shared" si="209"/>
        <v>11.756906077348066</v>
      </c>
      <c r="BK268" s="2291">
        <f t="shared" si="209"/>
        <v>15.955801104972377</v>
      </c>
      <c r="BL268" s="2291">
        <f t="shared" si="209"/>
        <v>15.955801104972377</v>
      </c>
      <c r="BM268" s="2291">
        <f t="shared" si="209"/>
        <v>11.756906077348066</v>
      </c>
      <c r="BN268" s="2291">
        <f t="shared" si="209"/>
        <v>15.955801104972377</v>
      </c>
      <c r="BO268" s="2291">
        <f t="shared" si="209"/>
        <v>11.756906077348066</v>
      </c>
      <c r="BP268" s="591">
        <f>SUMPRODUCT(BI$122:BO$122,BI$268:BO$268)/BP$122</f>
        <v>13.589009942730279</v>
      </c>
    </row>
    <row r="269" spans="2:68" ht="13.2" customHeight="1">
      <c r="M269" s="113"/>
      <c r="O269" s="39">
        <f>ROW()</f>
        <v>269</v>
      </c>
      <c r="P269" s="2494"/>
      <c r="W269" s="7"/>
      <c r="AF269" s="7"/>
      <c r="AO269" s="7"/>
      <c r="AQ269" s="117"/>
      <c r="AR269" s="117"/>
      <c r="BP269" s="7"/>
    </row>
    <row r="270" spans="2:68" ht="13.2" customHeight="1">
      <c r="B270" s="1688" t="s">
        <v>2853</v>
      </c>
      <c r="C270" s="1516"/>
      <c r="D270" s="1516"/>
      <c r="E270" s="1516"/>
      <c r="F270" s="1516"/>
      <c r="G270" s="2718"/>
      <c r="H270" s="2718"/>
      <c r="I270" s="2718"/>
      <c r="J270" s="2718"/>
      <c r="K270" s="2718"/>
      <c r="L270" s="2719" t="str">
        <f>CONCATENATE("Default is INCREMENT. If new toll replaces old, type REPLACE in Row ",'User Inputs'!N50, " of User Inputs wksht.")</f>
        <v>Default is INCREMENT. If new toll replaces old, type REPLACE in Row 50 of User Inputs wksht.</v>
      </c>
      <c r="O270" s="39">
        <f>ROW()</f>
        <v>270</v>
      </c>
      <c r="P270" s="2291">
        <f t="shared" ref="P270:V270" si="210">IF($L$271="REPLACE",MAX(P268-P256,0),P268)</f>
        <v>3</v>
      </c>
      <c r="Q270" s="2291">
        <f t="shared" si="210"/>
        <v>7</v>
      </c>
      <c r="R270" s="2291">
        <f t="shared" si="210"/>
        <v>9.5</v>
      </c>
      <c r="S270" s="2291">
        <f t="shared" si="210"/>
        <v>9.5</v>
      </c>
      <c r="T270" s="2291">
        <f t="shared" si="210"/>
        <v>7</v>
      </c>
      <c r="U270" s="2291">
        <f t="shared" si="210"/>
        <v>9.5</v>
      </c>
      <c r="V270" s="2291">
        <f t="shared" si="210"/>
        <v>7</v>
      </c>
      <c r="W270" s="591">
        <f>SUMPRODUCT(P$122:V$122,P$270:V$270)/W$122</f>
        <v>8.4496178227662622</v>
      </c>
      <c r="Y270" s="2291">
        <f t="shared" ref="Y270:AE270" si="211">IF($L$271="REPLACE",MAX(Y268-Y256,0),Y268)</f>
        <v>3</v>
      </c>
      <c r="Z270" s="2291">
        <f t="shared" si="211"/>
        <v>7</v>
      </c>
      <c r="AA270" s="2291">
        <f t="shared" si="211"/>
        <v>9.5</v>
      </c>
      <c r="AB270" s="2291">
        <f t="shared" si="211"/>
        <v>9.5</v>
      </c>
      <c r="AC270" s="2291">
        <f t="shared" si="211"/>
        <v>7</v>
      </c>
      <c r="AD270" s="2291">
        <f t="shared" si="211"/>
        <v>9.5</v>
      </c>
      <c r="AE270" s="2291">
        <f t="shared" si="211"/>
        <v>7</v>
      </c>
      <c r="AF270" s="591">
        <f>SUMPRODUCT(Y$122:AE$122,Y$270:AE$270)/AF$122</f>
        <v>8.0013393862565287</v>
      </c>
      <c r="AH270" s="2291">
        <f t="shared" ref="AH270:AN270" si="212">IF($L$271="REPLACE",MAX(AH268-AH256,0),AH268)</f>
        <v>5.4</v>
      </c>
      <c r="AI270" s="2291">
        <f t="shared" si="212"/>
        <v>12.6</v>
      </c>
      <c r="AJ270" s="2291">
        <f t="shared" si="212"/>
        <v>17.100000000000001</v>
      </c>
      <c r="AK270" s="2291">
        <f t="shared" si="212"/>
        <v>17.100000000000001</v>
      </c>
      <c r="AL270" s="2291">
        <f t="shared" si="212"/>
        <v>12.6</v>
      </c>
      <c r="AM270" s="2291">
        <f t="shared" si="212"/>
        <v>17.100000000000001</v>
      </c>
      <c r="AN270" s="2291">
        <f t="shared" si="212"/>
        <v>12.6</v>
      </c>
      <c r="AO270" s="591">
        <f>SUMPRODUCT(AH$122:AN$122,AH$270:AN$270)/AO$122</f>
        <v>13.465644152610453</v>
      </c>
      <c r="AQ270" s="117"/>
      <c r="AR270" s="117"/>
      <c r="AZ270" s="2291">
        <f t="shared" ref="AZ270:BF270" si="213">IF($L$271="REPLACE",MAX(AZ268-AZ256,0),AZ268)</f>
        <v>5.6544502617801058</v>
      </c>
      <c r="BA270" s="2291">
        <f t="shared" si="213"/>
        <v>13.193717277486913</v>
      </c>
      <c r="BB270" s="2291">
        <f t="shared" si="213"/>
        <v>17.905759162303667</v>
      </c>
      <c r="BC270" s="2291">
        <f t="shared" si="213"/>
        <v>17.905759162303667</v>
      </c>
      <c r="BD270" s="2291">
        <f t="shared" si="213"/>
        <v>13.193717277486913</v>
      </c>
      <c r="BE270" s="2291">
        <f t="shared" si="213"/>
        <v>17.905759162303667</v>
      </c>
      <c r="BF270" s="2291">
        <f t="shared" si="213"/>
        <v>13.193717277486913</v>
      </c>
      <c r="BG270" s="591">
        <f>SUMPRODUCT(AZ$122:BF$122,AZ$270:BF$270)/BG$122</f>
        <v>15.249722510820904</v>
      </c>
      <c r="BI270" s="2291">
        <f t="shared" ref="BI270:BO270" si="214">IF($L$271="REPLACE",MAX(BI268-BI256,0),BI268)</f>
        <v>5.0386740331491717</v>
      </c>
      <c r="BJ270" s="2291">
        <f t="shared" si="214"/>
        <v>11.756906077348066</v>
      </c>
      <c r="BK270" s="2291">
        <f t="shared" si="214"/>
        <v>15.955801104972377</v>
      </c>
      <c r="BL270" s="2291">
        <f t="shared" si="214"/>
        <v>15.955801104972377</v>
      </c>
      <c r="BM270" s="2291">
        <f t="shared" si="214"/>
        <v>11.756906077348066</v>
      </c>
      <c r="BN270" s="2291">
        <f t="shared" si="214"/>
        <v>15.955801104972377</v>
      </c>
      <c r="BO270" s="2291">
        <f t="shared" si="214"/>
        <v>11.756906077348066</v>
      </c>
      <c r="BP270" s="591">
        <f>SUMPRODUCT(BI$122:BO$122,BI$270:BO$270)/BP$122</f>
        <v>13.589009942730279</v>
      </c>
    </row>
    <row r="271" spans="2:68" ht="13.2" customHeight="1">
      <c r="J271" s="2720"/>
      <c r="K271" s="2721" t="s">
        <v>4645</v>
      </c>
      <c r="L271" s="2722" t="str">
        <f>'User Inputs'!J50</f>
        <v>INCREMENT</v>
      </c>
      <c r="O271" s="39">
        <f>ROW()</f>
        <v>271</v>
      </c>
      <c r="W271" s="7"/>
      <c r="AF271" s="7"/>
      <c r="AO271" s="7"/>
      <c r="AQ271" s="117"/>
      <c r="AR271" s="117"/>
      <c r="BC271" s="86"/>
      <c r="BD271" s="86"/>
      <c r="BE271" s="86"/>
      <c r="BF271" s="2717"/>
      <c r="BG271" s="88"/>
      <c r="BP271" s="7"/>
    </row>
    <row r="272" spans="2:68" s="3495" customFormat="1" ht="13.2" customHeight="1">
      <c r="B272" s="518" t="s">
        <v>6098</v>
      </c>
      <c r="J272" s="3502"/>
      <c r="K272" s="3503"/>
      <c r="L272" s="1794"/>
      <c r="O272" s="39">
        <f>ROW()</f>
        <v>272</v>
      </c>
      <c r="P272" s="716">
        <f>PA_Offpeak_Toll_EZPass</f>
        <v>7.5</v>
      </c>
      <c r="Q272" s="716">
        <f>PA_Offpeak_Toll_EZPass</f>
        <v>7.5</v>
      </c>
      <c r="R272" s="716">
        <f>PA_Peak_Toll_EZPass</f>
        <v>9.5</v>
      </c>
      <c r="S272" s="716">
        <f>PA_Peak_Toll_EZPass</f>
        <v>9.5</v>
      </c>
      <c r="T272" s="716">
        <f>PA_Offpeak_Toll_EZPass</f>
        <v>7.5</v>
      </c>
      <c r="U272" s="716">
        <f>1/3*PA_Offpeak_Toll_EZPass+2/3*PA_Peak_Toll_EZPass</f>
        <v>8.8333333333333321</v>
      </c>
      <c r="V272" s="716">
        <f>PA_Offpeak_Toll_EZPass</f>
        <v>7.5</v>
      </c>
      <c r="W272" s="716">
        <f>SUMPRODUCT(P$122:V$122,P272:V272)/W$122</f>
        <v>8.6146353151529738</v>
      </c>
      <c r="Y272" s="716">
        <f>PA_Offpeak_Toll_EZPass</f>
        <v>7.5</v>
      </c>
      <c r="Z272" s="716">
        <f>PA_Offpeak_Toll_EZPass</f>
        <v>7.5</v>
      </c>
      <c r="AA272" s="716">
        <f>PA_Peak_Toll_EZPass</f>
        <v>9.5</v>
      </c>
      <c r="AB272" s="716">
        <f>PA_Peak_Toll_EZPass</f>
        <v>9.5</v>
      </c>
      <c r="AC272" s="716">
        <f>PA_Offpeak_Toll_EZPass</f>
        <v>7.5</v>
      </c>
      <c r="AD272" s="716">
        <f>1/3*PA_Offpeak_Toll_EZPass+2/3*PA_Peak_Toll_EZPass</f>
        <v>8.8333333333333321</v>
      </c>
      <c r="AE272" s="716">
        <f>PA_Offpeak_Toll_EZPass</f>
        <v>7.5</v>
      </c>
      <c r="AF272" s="716">
        <f>SUMPRODUCT(Y$122:AE$122,Y272:AE272)/AF$122</f>
        <v>8.3413808116488948</v>
      </c>
      <c r="AH272" s="716">
        <f t="shared" ref="AH272:AN272" si="215">P272*(1+$I$43)</f>
        <v>13.5</v>
      </c>
      <c r="AI272" s="716">
        <f t="shared" si="215"/>
        <v>13.5</v>
      </c>
      <c r="AJ272" s="716">
        <f t="shared" si="215"/>
        <v>17.100000000000001</v>
      </c>
      <c r="AK272" s="716">
        <f t="shared" si="215"/>
        <v>17.100000000000001</v>
      </c>
      <c r="AL272" s="716">
        <f t="shared" si="215"/>
        <v>13.5</v>
      </c>
      <c r="AM272" s="716">
        <f t="shared" si="215"/>
        <v>15.899999999999999</v>
      </c>
      <c r="AN272" s="716">
        <f t="shared" si="215"/>
        <v>13.5</v>
      </c>
      <c r="AO272" s="716">
        <f>SUMPRODUCT(AH$122:AN$122,AH272:AN272)/AO$122</f>
        <v>14.821410955322014</v>
      </c>
      <c r="AQ272" s="117"/>
      <c r="AR272" s="117"/>
      <c r="AZ272" s="716">
        <f>PA_Offpeak_Toll_EZPass*(1+$M$78)*'User Inputs'!$J$69</f>
        <v>14.136125654450263</v>
      </c>
      <c r="BA272" s="716">
        <f>PA_Offpeak_Toll_EZPass*(1+$M$78)*'User Inputs'!$J$69</f>
        <v>14.136125654450263</v>
      </c>
      <c r="BB272" s="716">
        <f>PA_Peak_Toll_EZPass*(1+$M$78)*'User Inputs'!$J$69</f>
        <v>17.905759162303667</v>
      </c>
      <c r="BC272" s="716">
        <f>PA_Peak_Toll_EZPass*(1+$M$78)*'User Inputs'!$J$69</f>
        <v>17.905759162303667</v>
      </c>
      <c r="BD272" s="716">
        <f>PA_Offpeak_Toll_EZPass*(1+$M$78)*'User Inputs'!$J$69</f>
        <v>14.136125654450263</v>
      </c>
      <c r="BE272" s="716">
        <f>(1/3*PA_Offpeak_Toll_EZPass+2/3*PA_Peak_Toll_EZPass)*(1+$M$78)*'User Inputs'!$J$69</f>
        <v>16.649214659685864</v>
      </c>
      <c r="BF272" s="716">
        <f>PA_Offpeak_Toll_EZPass*(1+$M$78)*'User Inputs'!$J$69</f>
        <v>14.136125654450263</v>
      </c>
      <c r="BG272" s="716">
        <f>SUMPRODUCT(AZ$122:BF$122,AZ272:BF272)/BG$122</f>
        <v>15.912670431870035</v>
      </c>
      <c r="BI272" s="716">
        <f>PA_Offpeak_Toll_EZPass*(1+$N$78)*'User Inputs'!$J$69</f>
        <v>12.596685082872929</v>
      </c>
      <c r="BJ272" s="716">
        <f>PA_Offpeak_Toll_EZPass*(1+$N$78)*'User Inputs'!$J$69</f>
        <v>12.596685082872929</v>
      </c>
      <c r="BK272" s="716">
        <f>PA_Peak_Toll_EZPass*(1+$N$78)*'User Inputs'!$J$69</f>
        <v>15.955801104972375</v>
      </c>
      <c r="BL272" s="716">
        <f>PA_Peak_Toll_EZPass*(1+$N$78)*'User Inputs'!$J$69</f>
        <v>15.955801104972375</v>
      </c>
      <c r="BM272" s="716">
        <f>PA_Offpeak_Toll_EZPass*(1+$N$78)*'User Inputs'!$J$69</f>
        <v>12.596685082872929</v>
      </c>
      <c r="BN272" s="716">
        <f>(1/3*PA_Offpeak_Toll_EZPass+2/3*PA_Peak_Toll_EZPass)*(1+$N$78)*'User Inputs'!$J$69</f>
        <v>14.836095764272557</v>
      </c>
      <c r="BO272" s="716">
        <f>PA_Offpeak_Toll_EZPass*(1+$N$78)*'User Inputs'!$J$69</f>
        <v>12.596685082872929</v>
      </c>
      <c r="BP272" s="716">
        <f>SUMPRODUCT(BI$122:BO$122,BI272:BO272)/BP$122</f>
        <v>14.1797620619414</v>
      </c>
    </row>
    <row r="273" spans="2:68" s="3495" customFormat="1" ht="13.2" customHeight="1">
      <c r="J273" s="3502"/>
      <c r="K273" s="3503"/>
      <c r="L273" s="1794"/>
      <c r="O273" s="39">
        <f>ROW()</f>
        <v>273</v>
      </c>
      <c r="U273" s="3496" t="s">
        <v>6099</v>
      </c>
      <c r="W273" s="7"/>
      <c r="AD273" s="3496" t="s">
        <v>6099</v>
      </c>
      <c r="AF273" s="7"/>
      <c r="AH273" s="265" t="str">
        <f>CONCATENATE("Tolls above apply PA tolls from prior column block but add ",I$43*100, "%, per Cell I",O41, ", to reflect return leg re-entering cordon.")</f>
        <v>Tolls above apply PA tolls from prior column block but add 80%, per Cell I41, to reflect return leg re-entering cordon.</v>
      </c>
      <c r="AI273" s="265"/>
      <c r="AJ273" s="265"/>
      <c r="AK273" s="265"/>
      <c r="AL273" s="265"/>
      <c r="AM273" s="265"/>
      <c r="AN273" s="265"/>
      <c r="AO273" s="7"/>
      <c r="AQ273" s="117"/>
      <c r="AR273" s="117"/>
      <c r="AZ273" s="2927" t="s">
        <v>6100</v>
      </c>
      <c r="BC273" s="86"/>
      <c r="BD273" s="86"/>
      <c r="BE273" s="86"/>
      <c r="BF273" s="3504"/>
      <c r="BG273" s="88"/>
      <c r="BI273" s="2927" t="s">
        <v>6101</v>
      </c>
      <c r="BP273" s="7"/>
    </row>
    <row r="274" spans="2:68" s="3495" customFormat="1" ht="13.2" customHeight="1">
      <c r="B274" s="518" t="s">
        <v>6102</v>
      </c>
      <c r="J274" s="3502"/>
      <c r="K274" s="3503"/>
      <c r="L274" s="1794"/>
      <c r="O274" s="39">
        <f>ROW()</f>
        <v>274</v>
      </c>
      <c r="P274" s="26">
        <f t="shared" ref="P274:V274" si="216">MAX(0,P270-P272)</f>
        <v>0</v>
      </c>
      <c r="Q274" s="26">
        <f t="shared" si="216"/>
        <v>0</v>
      </c>
      <c r="R274" s="26">
        <f t="shared" si="216"/>
        <v>0</v>
      </c>
      <c r="S274" s="26">
        <f t="shared" si="216"/>
        <v>0</v>
      </c>
      <c r="T274" s="26">
        <f t="shared" si="216"/>
        <v>0</v>
      </c>
      <c r="U274" s="26">
        <f t="shared" si="216"/>
        <v>0.66666666666666785</v>
      </c>
      <c r="V274" s="26">
        <f t="shared" si="216"/>
        <v>0</v>
      </c>
      <c r="W274" s="716">
        <f>SUMPRODUCT(P$122:V$122,P274:V274)/W$122</f>
        <v>0.1563369499736694</v>
      </c>
      <c r="Y274" s="26">
        <f t="shared" ref="Y274:AE274" si="217">MAX(0,Y270-Y272)</f>
        <v>0</v>
      </c>
      <c r="Z274" s="26">
        <f t="shared" si="217"/>
        <v>0</v>
      </c>
      <c r="AA274" s="26">
        <f t="shared" si="217"/>
        <v>0</v>
      </c>
      <c r="AB274" s="26">
        <f t="shared" si="217"/>
        <v>0</v>
      </c>
      <c r="AC274" s="26">
        <f t="shared" si="217"/>
        <v>0</v>
      </c>
      <c r="AD274" s="26">
        <f t="shared" si="217"/>
        <v>0.66666666666666785</v>
      </c>
      <c r="AE274" s="26">
        <f t="shared" si="217"/>
        <v>0</v>
      </c>
      <c r="AF274" s="716">
        <f>SUMPRODUCT(Y$122:AE$122,Y274:AE274)/AF$122</f>
        <v>0.28362388028070368</v>
      </c>
      <c r="AH274" s="26">
        <f t="shared" ref="AH274:AN274" si="218">MAX(0,AH270-AH272)</f>
        <v>0</v>
      </c>
      <c r="AI274" s="26">
        <f t="shared" si="218"/>
        <v>0</v>
      </c>
      <c r="AJ274" s="26">
        <f t="shared" si="218"/>
        <v>0</v>
      </c>
      <c r="AK274" s="26">
        <f t="shared" si="218"/>
        <v>0</v>
      </c>
      <c r="AL274" s="26">
        <f t="shared" si="218"/>
        <v>0</v>
      </c>
      <c r="AM274" s="26">
        <f t="shared" si="218"/>
        <v>1.2000000000000028</v>
      </c>
      <c r="AN274" s="26">
        <f t="shared" si="218"/>
        <v>0</v>
      </c>
      <c r="AO274" s="716">
        <f>SUMPRODUCT(AH$122:AN$122,AH274:AN274)/AO$122</f>
        <v>0.37676767316680759</v>
      </c>
      <c r="AQ274" s="117"/>
      <c r="AR274" s="117"/>
      <c r="AZ274" s="26">
        <f t="shared" ref="AZ274:BF274" si="219">MAX(0,AZ270-AZ272)</f>
        <v>0</v>
      </c>
      <c r="BA274" s="26">
        <f t="shared" si="219"/>
        <v>0</v>
      </c>
      <c r="BB274" s="26">
        <f t="shared" si="219"/>
        <v>0</v>
      </c>
      <c r="BC274" s="26">
        <f t="shared" si="219"/>
        <v>0</v>
      </c>
      <c r="BD274" s="26">
        <f t="shared" si="219"/>
        <v>0</v>
      </c>
      <c r="BE274" s="26">
        <f t="shared" si="219"/>
        <v>1.2565445026178033</v>
      </c>
      <c r="BF274" s="26">
        <f t="shared" si="219"/>
        <v>0</v>
      </c>
      <c r="BG274" s="716">
        <f>SUMPRODUCT(AZ$122:BF$122,AZ274:BF274)/BG$122</f>
        <v>0.39373337115257173</v>
      </c>
      <c r="BI274" s="26">
        <f t="shared" ref="BI274:BO274" si="220">MAX(0,BI270-BI272)</f>
        <v>0</v>
      </c>
      <c r="BJ274" s="26">
        <f t="shared" si="220"/>
        <v>0</v>
      </c>
      <c r="BK274" s="26">
        <f t="shared" si="220"/>
        <v>1.7763568394002505E-15</v>
      </c>
      <c r="BL274" s="26">
        <f t="shared" si="220"/>
        <v>1.7763568394002505E-15</v>
      </c>
      <c r="BM274" s="26">
        <f t="shared" si="220"/>
        <v>0</v>
      </c>
      <c r="BN274" s="26">
        <f t="shared" si="220"/>
        <v>1.1197053406998201</v>
      </c>
      <c r="BO274" s="26">
        <f t="shared" si="220"/>
        <v>0</v>
      </c>
      <c r="BP274" s="716">
        <f>SUMPRODUCT(BI$122:BO$122,BI274:BO274)/BP$122</f>
        <v>0.35085534779930949</v>
      </c>
    </row>
    <row r="275" spans="2:68" s="3495" customFormat="1" ht="13.2" customHeight="1">
      <c r="J275" s="3502"/>
      <c r="K275" s="3503"/>
      <c r="L275" s="1794"/>
      <c r="O275" s="39">
        <f>ROW()</f>
        <v>275</v>
      </c>
      <c r="W275" s="7"/>
      <c r="AF275" s="7"/>
      <c r="AO275" s="7"/>
      <c r="AQ275" s="117"/>
      <c r="AR275" s="117"/>
      <c r="BC275" s="86"/>
      <c r="BD275" s="86"/>
      <c r="BE275" s="86"/>
      <c r="BF275" s="3504"/>
      <c r="BG275" s="88"/>
      <c r="BP275" s="7"/>
    </row>
    <row r="276" spans="2:68" ht="13.2" customHeight="1">
      <c r="B276" s="518" t="str">
        <f>CONCATENATE("Average Change to New Toll if Toll Increment Applied to PANYNJ Tunnels Is Less Than Nominal Cordon Toll in Row ",O264, "")</f>
        <v>Average Change to New Toll if Toll Increment Applied to PANYNJ Tunnels Is Less Than Nominal Cordon Toll in Row 264</v>
      </c>
      <c r="O276" s="39">
        <f>ROW()</f>
        <v>276</v>
      </c>
      <c r="P276" s="716">
        <f>IF($L266="CORDON",IF($L$271="REPLACE",0,-'Hub-Bound'!$E$74*(P264-P274)),0)</f>
        <v>-0.41471861907704388</v>
      </c>
      <c r="Q276" s="716">
        <f>IF($L266="CORDON",IF($L$271="REPLACE",0,-'Hub-Bound'!$E$74*(Q264-Q274)),0)</f>
        <v>-0.96767677784643569</v>
      </c>
      <c r="R276" s="716">
        <f>IF($L266="CORDON",IF($L$271="REPLACE",0,-'Hub-Bound'!$E$74*(R264-R274)),0)</f>
        <v>-1.3132756270773056</v>
      </c>
      <c r="S276" s="716">
        <f>IF($L266="CORDON",IF($L$271="REPLACE",0,-'Hub-Bound'!$E$74*(S264-S274)),0)</f>
        <v>-1.3132756270773056</v>
      </c>
      <c r="T276" s="716">
        <f>IF($L266="CORDON",IF($L$271="REPLACE",0,-'Hub-Bound'!$E$74*(T264-T274)),0)</f>
        <v>-0.96767677784643569</v>
      </c>
      <c r="U276" s="716">
        <f>IF($L266="CORDON",IF($L$271="REPLACE",0,-'Hub-Bound'!$E$74*(U264-U274)),0)</f>
        <v>-1.2211159339490734</v>
      </c>
      <c r="V276" s="716">
        <f>IF($L266="CORDON",IF($L$271="REPLACE",0,-'Hub-Bound'!$E$74*(V264-V274)),0)</f>
        <v>-0.96767677784643569</v>
      </c>
      <c r="W276" s="716">
        <f>SUMPRODUCT(P$122:V$122,P$276:V$276)/W$122</f>
        <v>-1.1464593303942021</v>
      </c>
      <c r="Y276" s="716">
        <f>IF($L266="CORDON",IF($L$271="REPLACE",0,-'Hub-Bound'!$E$74*(Y264-Y274)),0)</f>
        <v>-0.41471861907704388</v>
      </c>
      <c r="Z276" s="716">
        <f>IF($L266="CORDON",IF($L$271="REPLACE",0,-'Hub-Bound'!$E$74*(Z264-Z274)),0)</f>
        <v>-0.96767677784643569</v>
      </c>
      <c r="AA276" s="716">
        <f>IF($L266="CORDON",IF($L$271="REPLACE",0,-'Hub-Bound'!$E$74*(AA264-AA274)),0)</f>
        <v>-1.3132756270773056</v>
      </c>
      <c r="AB276" s="716">
        <f>IF($L266="CORDON",IF($L$271="REPLACE",0,-'Hub-Bound'!$E$74*(AB264-AB274)),0)</f>
        <v>-1.3132756270773056</v>
      </c>
      <c r="AC276" s="716">
        <f>IF($L266="CORDON",IF($L$271="REPLACE",0,-'Hub-Bound'!$E$74*(AC264-AC274)),0)</f>
        <v>-0.96767677784643569</v>
      </c>
      <c r="AD276" s="716">
        <f>IF($L266="CORDON",IF($L$271="REPLACE",0,-'Hub-Bound'!$E$74*(AD264-AD274)),0)</f>
        <v>-1.2211159339490734</v>
      </c>
      <c r="AE276" s="716">
        <f>IF($L266="CORDON",IF($L$271="REPLACE",0,-'Hub-Bound'!$E$74*(AE264-AE274)),0)</f>
        <v>-0.96767677784643569</v>
      </c>
      <c r="AF276" s="716">
        <f>SUMPRODUCT(Y$122:AE$122,Y$276:AE$276)/AF$122</f>
        <v>-1.0668934390225946</v>
      </c>
      <c r="AH276" s="716">
        <f>IF($L266="CORDON",IF($L$271="REPLACE",0,-'Hub-Bound'!$E$74*(AH264-AH274)),0)</f>
        <v>-0.74649351433867894</v>
      </c>
      <c r="AI276" s="716">
        <f>IF($L266="CORDON",IF($L$271="REPLACE",0,-'Hub-Bound'!$E$74*(AI264-AI274)),0)</f>
        <v>-1.7418182001235842</v>
      </c>
      <c r="AJ276" s="716">
        <f>IF($L266="CORDON",IF($L$271="REPLACE",0,-'Hub-Bound'!$E$74*(AJ264-AJ274)),0)</f>
        <v>-2.36389612873915</v>
      </c>
      <c r="AK276" s="716">
        <f>IF($L266="CORDON",IF($L$271="REPLACE",0,-'Hub-Bound'!$E$74*(AK264-AK274)),0)</f>
        <v>-2.36389612873915</v>
      </c>
      <c r="AL276" s="716">
        <f>IF($L266="CORDON",IF($L$271="REPLACE",0,-'Hub-Bound'!$E$74*(AL264-AL274)),0)</f>
        <v>-1.7418182001235842</v>
      </c>
      <c r="AM276" s="716">
        <f>IF($L266="CORDON",IF($L$271="REPLACE",0,-'Hub-Bound'!$E$74*(AM264-AM274)),0)</f>
        <v>-2.1980086811083321</v>
      </c>
      <c r="AN276" s="716">
        <f>IF($L266="CORDON",IF($L$271="REPLACE",0,-'Hub-Bound'!$E$74*(AN264-AN274)),0)</f>
        <v>-1.7418182001235842</v>
      </c>
      <c r="AO276" s="716">
        <f>SUMPRODUCT(AH$122:AN$122,AH$276:AN$276)/AO$122</f>
        <v>-1.8094002596082897</v>
      </c>
      <c r="AQ276" s="117"/>
      <c r="AR276" s="117"/>
      <c r="AZ276" s="716">
        <f>IF($L266="CORDON",IF($L$271="REPLACE",0,-'Hub-Bound'!$E$74*(AZ264-AZ274)),0)</f>
        <v>-0.7816686014017582</v>
      </c>
      <c r="BA276" s="716">
        <f>IF($L266="CORDON",IF($L$271="REPLACE",0,-'Hub-Bound'!$E$74*(BA264-BA274)),0)</f>
        <v>-1.823893403270769</v>
      </c>
      <c r="BB276" s="716">
        <f>IF($L266="CORDON",IF($L$271="REPLACE",0,-'Hub-Bound'!$E$74*(BB264-BB274)),0)</f>
        <v>-2.4752839044389008</v>
      </c>
      <c r="BC276" s="716">
        <f>IF($L266="CORDON",IF($L$271="REPLACE",0,-'Hub-Bound'!$E$74*(BC264-BC274)),0)</f>
        <v>-2.4752839044389008</v>
      </c>
      <c r="BD276" s="716">
        <f>IF($L266="CORDON",IF($L$271="REPLACE",0,-'Hub-Bound'!$E$74*(BD264-BD274)),0)</f>
        <v>-1.823893403270769</v>
      </c>
      <c r="BE276" s="716">
        <f>IF($L266="CORDON",IF($L$271="REPLACE",0,-'Hub-Bound'!$E$74*(BE264-BE274)),0)</f>
        <v>-2.3015797707940653</v>
      </c>
      <c r="BF276" s="716">
        <f>IF($L266="CORDON",IF($L$271="REPLACE",0,-'Hub-Bound'!$E$74*(BF264-BF274)),0)</f>
        <v>-1.823893403270769</v>
      </c>
      <c r="BG276" s="716">
        <f>IF($L266="CORDON",IF($L$271="REPLACE",0,-'Hub-Bound'!$E$74*(BG264-BG274)),0)</f>
        <v>-2.0536851003422707</v>
      </c>
      <c r="BI276" s="716">
        <f>IF($L266="CORDON",IF($L$271="REPLACE",0,-'Hub-Bound'!$E$74*(BI264-BI274)),0)</f>
        <v>-0.6965439790023279</v>
      </c>
      <c r="BJ276" s="716">
        <f>IF($L266="CORDON",IF($L$271="REPLACE",0,-'Hub-Bound'!$E$74*(BJ264-BJ274)),0)</f>
        <v>-1.6252692843387648</v>
      </c>
      <c r="BK276" s="716">
        <f>IF($L266="CORDON",IF($L$271="REPLACE",0,-'Hub-Bound'!$E$74*(BK264-BK274)),0)</f>
        <v>-2.2057226001740378</v>
      </c>
      <c r="BL276" s="716">
        <f>IF($L266="CORDON",IF($L$271="REPLACE",0,-'Hub-Bound'!$E$74*(BL264-BL274)),0)</f>
        <v>-2.2057226001740378</v>
      </c>
      <c r="BM276" s="716">
        <f>IF($L266="CORDON",IF($L$271="REPLACE",0,-'Hub-Bound'!$E$74*(BM264-BM274)),0)</f>
        <v>-1.6252692843387648</v>
      </c>
      <c r="BN276" s="716">
        <f>IF($L266="CORDON",IF($L$271="REPLACE",0,-'Hub-Bound'!$E$74*(BN264-BN274)),0)</f>
        <v>-2.0509350492846314</v>
      </c>
      <c r="BO276" s="716">
        <f>IF($L266="CORDON",IF($L$271="REPLACE",0,-'Hub-Bound'!$E$74*(BO264-BO274)),0)</f>
        <v>-1.6252692843387648</v>
      </c>
      <c r="BP276" s="716">
        <f>SUMPRODUCT(BI$122:BO$122,BI$276:BO$276)/BP$122</f>
        <v>-1.8300363975793981</v>
      </c>
    </row>
    <row r="277" spans="2:68" ht="13.2" customHeight="1">
      <c r="B277" s="215" t="s">
        <v>6103</v>
      </c>
      <c r="O277" s="39">
        <f>ROW()</f>
        <v>277</v>
      </c>
      <c r="P277" s="39"/>
      <c r="R277" s="2494"/>
      <c r="W277" s="7"/>
      <c r="AF277" s="7"/>
      <c r="AO277" s="7"/>
      <c r="AQ277" s="117"/>
      <c r="AR277" s="117"/>
      <c r="BP277" s="7"/>
    </row>
    <row r="278" spans="2:68" ht="13.2" customHeight="1">
      <c r="B278" s="518" t="s">
        <v>5615</v>
      </c>
      <c r="O278" s="39">
        <f>ROW()</f>
        <v>278</v>
      </c>
      <c r="P278" s="716">
        <f>IF($L266="CORDON",IF(OR($L$271="REPLACE",Results!$H$25="Baseline"),0,-IF('User Inputs'!$J$54="YES",MAX(0,P264-'River Crossings'!$G$75),0)))*'Hub-Bound'!$E$67</f>
        <v>0</v>
      </c>
      <c r="Q278" s="716">
        <f>IF($L266="CORDON",IF(OR($L$271="REPLACE",Results!$H$25="Baseline"),0,-IF('User Inputs'!$J$54="YES",MAX(0,Q264-'River Crossings'!$G$75),0)))*'Hub-Bound'!$E$67</f>
        <v>-0.21573925967689367</v>
      </c>
      <c r="R278" s="716">
        <f>IF($L266="CORDON",IF(OR($L$271="REPLACE",Results!$H$25="Baseline"),0,-IF('User Inputs'!$J$54="YES",MAX(0,R264-'River Crossings'!$G$75),0)))*'Hub-Bound'!$E$67</f>
        <v>-0.46089750930972734</v>
      </c>
      <c r="S278" s="716">
        <f>IF($L266="CORDON",IF(OR($L$271="REPLACE",Results!$H$25="Baseline"),0,-IF('User Inputs'!$J$54="YES",MAX(0,S264-'River Crossings'!$G$75),0)))*'Hub-Bound'!$E$67</f>
        <v>-0.46089750930972734</v>
      </c>
      <c r="T278" s="716">
        <f>IF($L266="CORDON",IF(OR($L$271="REPLACE",Results!$H$25="Baseline"),0,-IF('User Inputs'!$J$54="YES",MAX(0,T264-'River Crossings'!$G$75),0)))*'Hub-Bound'!$E$67</f>
        <v>-0.21573925967689367</v>
      </c>
      <c r="U278" s="716">
        <f>IF($L266="CORDON",IF(OR($L$271="REPLACE",Results!$H$25="Baseline"),0,-IF('User Inputs'!$J$54="YES",MAX(0,U264-'River Crossings'!$G$75),0)))*'Hub-Bound'!$E$67</f>
        <v>-0.46089750930972734</v>
      </c>
      <c r="V278" s="716">
        <f>IF($L266="CORDON",IF(OR($L$271="REPLACE",Results!$H$25="Baseline"),0,-IF('User Inputs'!$J$54="YES",MAX(0,V264-'River Crossings'!$G$75),0)))*'Hub-Bound'!$E$67</f>
        <v>-0.21573925967689367</v>
      </c>
      <c r="W278" s="716">
        <f>IF($L266="CORDON",IF(OR($L$271="REPLACE",Results!$H$25="Baseline"),0,-IF('User Inputs'!$J$54="YES",MAX(0,W264-'River Crossings'!$G$75),0)))*'Hub-Bound'!$E$67</f>
        <v>-0.35789356690326812</v>
      </c>
      <c r="Y278" s="716">
        <f>IF($L266="CORDON",IF(OR($L$271="REPLACE",Results!$H$25="Baseline"),0,-IF('User Inputs'!$J$54="YES",MAX(0,Y264-'River Crossings'!$G$75),0)))*'Hub-Bound'!$E$67</f>
        <v>0</v>
      </c>
      <c r="Z278" s="716">
        <f>IF($L266="CORDON",IF(OR($L$271="REPLACE",Results!$H$25="Baseline"),0,-IF('User Inputs'!$J$54="YES",MAX(0,Z264-'River Crossings'!$G$75),0)))*'Hub-Bound'!$E$67</f>
        <v>-0.21573925967689367</v>
      </c>
      <c r="AA278" s="716">
        <f>IF($L266="CORDON",IF(OR($L$271="REPLACE",Results!$H$25="Baseline"),0,-IF('User Inputs'!$J$54="YES",MAX(0,AA264-'River Crossings'!$G$75),0)))*'Hub-Bound'!$E$67</f>
        <v>-0.46089750930972734</v>
      </c>
      <c r="AB278" s="716">
        <f>IF($L266="CORDON",IF(OR($L$271="REPLACE",Results!$H$25="Baseline"),0,-IF('User Inputs'!$J$54="YES",MAX(0,AB264-'River Crossings'!$G$75),0)))*'Hub-Bound'!$E$67</f>
        <v>-0.46089750930972734</v>
      </c>
      <c r="AC278" s="716">
        <f>IF($L266="CORDON",IF(OR($L$271="REPLACE",Results!$H$25="Baseline"),0,-IF('User Inputs'!$J$54="YES",MAX(0,AC264-'River Crossings'!$G$75),0)))*'Hub-Bound'!$E$67</f>
        <v>-0.21573925967689367</v>
      </c>
      <c r="AD278" s="716">
        <f>IF($L266="CORDON",IF(OR($L$271="REPLACE",Results!$H$25="Baseline"),0,-IF('User Inputs'!$J$54="YES",MAX(0,AD264-'River Crossings'!$G$75),0)))*'Hub-Bound'!$E$67</f>
        <v>-0.46089750930972734</v>
      </c>
      <c r="AE278" s="716">
        <f>IF($L266="CORDON",IF(OR($L$271="REPLACE",Results!$H$25="Baseline"),0,-IF('User Inputs'!$J$54="YES",MAX(0,AE264-'River Crossings'!$G$75),0)))*'Hub-Bound'!$E$67</f>
        <v>-0.21573925967689367</v>
      </c>
      <c r="AF278" s="716">
        <f>SUMPRODUCT(Y$122:AE$122,Y$278:AE$278)/AF$122</f>
        <v>-0.33180225489396015</v>
      </c>
      <c r="AH278" s="716">
        <f t="shared" ref="AH278:AN278" si="221">P278*IF($AL$267="YES",(1+$I$43),1)</f>
        <v>0</v>
      </c>
      <c r="AI278" s="716">
        <f t="shared" si="221"/>
        <v>-0.3883306674184086</v>
      </c>
      <c r="AJ278" s="716">
        <f t="shared" si="221"/>
        <v>-0.82961551675750922</v>
      </c>
      <c r="AK278" s="716">
        <f t="shared" si="221"/>
        <v>-0.82961551675750922</v>
      </c>
      <c r="AL278" s="716">
        <f t="shared" si="221"/>
        <v>-0.3883306674184086</v>
      </c>
      <c r="AM278" s="716">
        <f t="shared" si="221"/>
        <v>-0.82961551675750922</v>
      </c>
      <c r="AN278" s="716">
        <f t="shared" si="221"/>
        <v>-0.3883306674184086</v>
      </c>
      <c r="AO278" s="716">
        <f>SUMPRODUCT(AH$122:AN$122,AH$278:AN$278)/AO$122</f>
        <v>-0.52869158710330755</v>
      </c>
      <c r="AQ278" s="117"/>
      <c r="AR278" s="117"/>
      <c r="AZ278" s="716">
        <f>P278*'User Inputs'!$J$69</f>
        <v>0</v>
      </c>
      <c r="BA278" s="716">
        <f>Q278*'User Inputs'!$J$69</f>
        <v>-0.34518281548302987</v>
      </c>
      <c r="BB278" s="716">
        <f>R278*'User Inputs'!$J$69</f>
        <v>-0.73743601489556376</v>
      </c>
      <c r="BC278" s="716">
        <f>S278*'User Inputs'!$J$69</f>
        <v>-0.73743601489556376</v>
      </c>
      <c r="BD278" s="716">
        <f>T278*'User Inputs'!$J$69</f>
        <v>-0.34518281548302987</v>
      </c>
      <c r="BE278" s="716">
        <f>U278*'User Inputs'!$J$69</f>
        <v>-0.73743601489556376</v>
      </c>
      <c r="BF278" s="716">
        <f>V278*'User Inputs'!$J$69</f>
        <v>-0.34518281548302987</v>
      </c>
      <c r="BG278" s="716">
        <f>SUMPRODUCT(AZ$122:BF$122,AZ$278:BF$278)/BG$122</f>
        <v>-0.54094009064899762</v>
      </c>
      <c r="BI278" s="716">
        <f>P278*'User Inputs'!$J$69</f>
        <v>0</v>
      </c>
      <c r="BJ278" s="716">
        <f>Q278*'User Inputs'!$J$69</f>
        <v>-0.34518281548302987</v>
      </c>
      <c r="BK278" s="716">
        <f>R278*'User Inputs'!$J$69</f>
        <v>-0.73743601489556376</v>
      </c>
      <c r="BL278" s="716">
        <f>S278*'User Inputs'!$J$69</f>
        <v>-0.73743601489556376</v>
      </c>
      <c r="BM278" s="716">
        <f>T278*'User Inputs'!$J$69</f>
        <v>-0.34518281548302987</v>
      </c>
      <c r="BN278" s="716">
        <f>U278*'User Inputs'!$J$69</f>
        <v>-0.73743601489556376</v>
      </c>
      <c r="BO278" s="716">
        <f>V278*'User Inputs'!$J$69</f>
        <v>-0.34518281548302987</v>
      </c>
      <c r="BP278" s="716">
        <f>SUMPRODUCT(BI$122:BO$122,BI$278:BO$278)/BP$122</f>
        <v>-0.54094009064899762</v>
      </c>
    </row>
    <row r="279" spans="2:68" ht="13.2" customHeight="1">
      <c r="B279" s="215" t="s">
        <v>6016</v>
      </c>
      <c r="O279" s="39">
        <f>ROW()</f>
        <v>279</v>
      </c>
      <c r="P279" s="2494"/>
      <c r="W279" s="7"/>
      <c r="AF279" s="7"/>
      <c r="AO279" s="7"/>
      <c r="AQ279" s="117"/>
      <c r="AR279" s="117"/>
      <c r="BC279" s="86"/>
      <c r="BD279" s="86"/>
      <c r="BE279" s="86"/>
      <c r="BF279" s="2717"/>
      <c r="BG279" s="88"/>
      <c r="BP279" s="7"/>
    </row>
    <row r="280" spans="2:68" ht="13.2" customHeight="1">
      <c r="B280" s="518" t="s">
        <v>4644</v>
      </c>
      <c r="H280" s="4334" t="str">
        <f>CONCATENATE("If entry in Cell M",O282, " = 'YES', all auto tolls are discounted by % shown in Cell H",238, " (does not apply to taxis, trucks, buses).")</f>
        <v>If entry in Cell M282 = 'YES', all auto tolls are discounted by % shown in Cell H238 (does not apply to taxis, trucks, buses).</v>
      </c>
      <c r="I280" s="4335"/>
      <c r="J280" s="4335"/>
      <c r="K280" s="4335"/>
      <c r="L280" s="4336"/>
      <c r="O280" s="39">
        <f>ROW()</f>
        <v>280</v>
      </c>
      <c r="P280" s="2291">
        <f t="shared" ref="P280:V280" si="222">P270+P276+P278</f>
        <v>2.585281380922956</v>
      </c>
      <c r="Q280" s="2291">
        <f t="shared" si="222"/>
        <v>5.8165839624766713</v>
      </c>
      <c r="R280" s="2291">
        <f t="shared" si="222"/>
        <v>7.7258268636129666</v>
      </c>
      <c r="S280" s="2291">
        <f t="shared" si="222"/>
        <v>7.7258268636129666</v>
      </c>
      <c r="T280" s="2291">
        <f t="shared" si="222"/>
        <v>5.8165839624766713</v>
      </c>
      <c r="U280" s="2291">
        <f t="shared" si="222"/>
        <v>7.8179865567411992</v>
      </c>
      <c r="V280" s="2291">
        <f t="shared" si="222"/>
        <v>5.8165839624766713</v>
      </c>
      <c r="W280" s="2449">
        <f>SUMPRODUCT(P$122:V$122,P$280:V$280)/W$122</f>
        <v>6.9391267631543387</v>
      </c>
      <c r="Y280" s="2291">
        <f t="shared" ref="Y280:AE280" si="223">Y270+Y276+Y278</f>
        <v>2.585281380922956</v>
      </c>
      <c r="Z280" s="2291">
        <f t="shared" si="223"/>
        <v>5.8165839624766713</v>
      </c>
      <c r="AA280" s="2291">
        <f t="shared" si="223"/>
        <v>7.7258268636129666</v>
      </c>
      <c r="AB280" s="2291">
        <f t="shared" si="223"/>
        <v>7.7258268636129666</v>
      </c>
      <c r="AC280" s="2291">
        <f t="shared" si="223"/>
        <v>5.8165839624766713</v>
      </c>
      <c r="AD280" s="2291">
        <f t="shared" si="223"/>
        <v>7.8179865567411992</v>
      </c>
      <c r="AE280" s="2291">
        <f t="shared" si="223"/>
        <v>5.8165839624766713</v>
      </c>
      <c r="AF280" s="2449">
        <f>SUMPRODUCT(Y$122:AE$122,Y$280:AE$280)/AF$122</f>
        <v>6.6026436923399752</v>
      </c>
      <c r="AH280" s="2291">
        <f t="shared" ref="AH280:AN280" si="224">AH270+AH276+AH278</f>
        <v>4.6535064856613211</v>
      </c>
      <c r="AI280" s="2291">
        <f t="shared" si="224"/>
        <v>10.469851132458007</v>
      </c>
      <c r="AJ280" s="2291">
        <f t="shared" si="224"/>
        <v>13.906488354503342</v>
      </c>
      <c r="AK280" s="2291">
        <f t="shared" si="224"/>
        <v>13.906488354503342</v>
      </c>
      <c r="AL280" s="2291">
        <f t="shared" si="224"/>
        <v>10.469851132458007</v>
      </c>
      <c r="AM280" s="2291">
        <f t="shared" si="224"/>
        <v>14.072375802134161</v>
      </c>
      <c r="AN280" s="2291">
        <f t="shared" si="224"/>
        <v>10.469851132458007</v>
      </c>
      <c r="AO280" s="2449">
        <f>SUMPRODUCT(AH$122:AN$122,AH$280:AN$280)/AO$122</f>
        <v>11.127552305898858</v>
      </c>
      <c r="AQ280" s="117"/>
      <c r="AR280" s="117"/>
      <c r="AZ280" s="2291">
        <f t="shared" ref="AZ280:BF280" si="225">AZ270+AZ276+AZ278</f>
        <v>4.8727816603783474</v>
      </c>
      <c r="BA280" s="2291">
        <f t="shared" si="225"/>
        <v>11.024641058733113</v>
      </c>
      <c r="BB280" s="2291">
        <f t="shared" si="225"/>
        <v>14.693039242969203</v>
      </c>
      <c r="BC280" s="2291">
        <f t="shared" si="225"/>
        <v>14.693039242969203</v>
      </c>
      <c r="BD280" s="2291">
        <f t="shared" si="225"/>
        <v>11.024641058733113</v>
      </c>
      <c r="BE280" s="2291">
        <f t="shared" si="225"/>
        <v>14.866743376614037</v>
      </c>
      <c r="BF280" s="2291">
        <f t="shared" si="225"/>
        <v>11.024641058733113</v>
      </c>
      <c r="BG280" s="2449">
        <f>SUMPRODUCT(AZ$122:BF$122,AZ$280:BF$280)/BG$122</f>
        <v>12.655097319829636</v>
      </c>
      <c r="BI280" s="2291">
        <f t="shared" ref="BI280:BO280" si="226">BI270+BI276+BI278</f>
        <v>4.3421300541468435</v>
      </c>
      <c r="BJ280" s="2291">
        <f t="shared" si="226"/>
        <v>9.7864539775262713</v>
      </c>
      <c r="BK280" s="2291">
        <f t="shared" si="226"/>
        <v>13.012642489902774</v>
      </c>
      <c r="BL280" s="2291">
        <f t="shared" si="226"/>
        <v>13.012642489902774</v>
      </c>
      <c r="BM280" s="2291">
        <f t="shared" si="226"/>
        <v>9.7864539775262713</v>
      </c>
      <c r="BN280" s="2291">
        <f t="shared" si="226"/>
        <v>13.16743004079218</v>
      </c>
      <c r="BO280" s="2291">
        <f t="shared" si="226"/>
        <v>9.7864539775262713</v>
      </c>
      <c r="BP280" s="2449">
        <f>SUMPRODUCT(BI$122:BO$122,BI$280:BO$280)/BP$122</f>
        <v>11.218033454501883</v>
      </c>
    </row>
    <row r="281" spans="2:68" ht="13.2" customHeight="1" thickBot="1">
      <c r="H281" s="4337"/>
      <c r="I281" s="4338"/>
      <c r="J281" s="4338"/>
      <c r="K281" s="4338"/>
      <c r="L281" s="4339"/>
      <c r="M281" s="2686"/>
      <c r="N281" s="4320" t="s">
        <v>4648</v>
      </c>
      <c r="O281" s="39">
        <f>ROW()</f>
        <v>281</v>
      </c>
      <c r="P281" s="716"/>
      <c r="Q281" s="716"/>
      <c r="R281" s="716"/>
      <c r="W281" s="7"/>
      <c r="AF281" s="7"/>
      <c r="AO281" s="7"/>
      <c r="AQ281" s="117"/>
      <c r="AR281" s="117"/>
      <c r="BC281" s="86"/>
      <c r="BD281" s="86"/>
      <c r="BE281" s="86"/>
      <c r="BF281" s="2717"/>
      <c r="BG281" s="88"/>
      <c r="BP281" s="7"/>
    </row>
    <row r="282" spans="2:68" ht="13.2" customHeight="1" thickBot="1">
      <c r="B282" s="2061" t="s">
        <v>3340</v>
      </c>
      <c r="C282" s="2062"/>
      <c r="D282" s="2062"/>
      <c r="E282" s="2062"/>
      <c r="F282" s="2062"/>
      <c r="G282" s="2062"/>
      <c r="H282" s="2066">
        <v>0.06</v>
      </c>
      <c r="I282" s="2064" t="s">
        <v>3342</v>
      </c>
      <c r="J282" s="2065" t="s">
        <v>3341</v>
      </c>
      <c r="K282" s="2063" t="s">
        <v>3343</v>
      </c>
      <c r="L282" s="2067">
        <f>IF(M282="YES",$H$282,0)</f>
        <v>0</v>
      </c>
      <c r="M282" s="782" t="str">
        <f>'User Inputs'!J57</f>
        <v>NO</v>
      </c>
      <c r="N282" s="3813"/>
      <c r="O282" s="39">
        <f>ROW()</f>
        <v>282</v>
      </c>
      <c r="P282" s="716">
        <f t="shared" ref="P282:V282" si="227">-$L$282*P280</f>
        <v>0</v>
      </c>
      <c r="Q282" s="716">
        <f t="shared" si="227"/>
        <v>0</v>
      </c>
      <c r="R282" s="716">
        <f t="shared" si="227"/>
        <v>0</v>
      </c>
      <c r="S282" s="716">
        <f t="shared" si="227"/>
        <v>0</v>
      </c>
      <c r="T282" s="716">
        <f t="shared" si="227"/>
        <v>0</v>
      </c>
      <c r="U282" s="716">
        <f t="shared" si="227"/>
        <v>0</v>
      </c>
      <c r="V282" s="716">
        <f t="shared" si="227"/>
        <v>0</v>
      </c>
      <c r="W282" s="716">
        <f>SUMPRODUCT(P$122:V$122,P$282:V$282)/W$122</f>
        <v>0</v>
      </c>
      <c r="Y282" s="716">
        <f t="shared" ref="Y282:AE282" si="228">-$L$282*Y280</f>
        <v>0</v>
      </c>
      <c r="Z282" s="716">
        <f t="shared" si="228"/>
        <v>0</v>
      </c>
      <c r="AA282" s="716">
        <f t="shared" si="228"/>
        <v>0</v>
      </c>
      <c r="AB282" s="716">
        <f t="shared" si="228"/>
        <v>0</v>
      </c>
      <c r="AC282" s="716">
        <f t="shared" si="228"/>
        <v>0</v>
      </c>
      <c r="AD282" s="716">
        <f t="shared" si="228"/>
        <v>0</v>
      </c>
      <c r="AE282" s="716">
        <f t="shared" si="228"/>
        <v>0</v>
      </c>
      <c r="AF282" s="716">
        <f>SUMPRODUCT(Y$122:AE$122,Y$282:AE$282)/AF$122</f>
        <v>0</v>
      </c>
      <c r="AH282" s="716">
        <f t="shared" ref="AH282:AN282" si="229">-$L$282*AH280</f>
        <v>0</v>
      </c>
      <c r="AI282" s="716">
        <f t="shared" si="229"/>
        <v>0</v>
      </c>
      <c r="AJ282" s="716">
        <f t="shared" si="229"/>
        <v>0</v>
      </c>
      <c r="AK282" s="716">
        <f t="shared" si="229"/>
        <v>0</v>
      </c>
      <c r="AL282" s="716">
        <f t="shared" si="229"/>
        <v>0</v>
      </c>
      <c r="AM282" s="716">
        <f t="shared" si="229"/>
        <v>0</v>
      </c>
      <c r="AN282" s="716">
        <f t="shared" si="229"/>
        <v>0</v>
      </c>
      <c r="AO282" s="716">
        <f>SUMPRODUCT(AH$122:AN$122,AH$282:AN$282)/AO$122</f>
        <v>0</v>
      </c>
      <c r="AQ282" s="117"/>
      <c r="AR282" s="117"/>
      <c r="BP282" s="7"/>
    </row>
    <row r="283" spans="2:68" ht="13.2" customHeight="1">
      <c r="H283" s="4331" t="str">
        <f>CONCATENATE("Note: % in Cell H",O282, " (which feeds L",O282, ") was est'd outside the BTA.")</f>
        <v>Note: % in Cell H282 (which feeds L282) was est'd outside the BTA.</v>
      </c>
      <c r="I283" s="4332"/>
      <c r="J283" s="4332"/>
      <c r="K283" s="4332"/>
      <c r="L283" s="4333"/>
      <c r="M283" s="113"/>
      <c r="N283" s="3813"/>
      <c r="O283" s="39">
        <f>ROW()</f>
        <v>283</v>
      </c>
      <c r="W283" s="7"/>
      <c r="AF283" s="7"/>
      <c r="AO283" s="7"/>
      <c r="AQ283" s="117"/>
      <c r="AR283" s="117"/>
      <c r="BG283" s="7"/>
      <c r="BP283" s="7"/>
    </row>
    <row r="284" spans="2:68" ht="13.2" customHeight="1">
      <c r="H284" s="3919" t="str">
        <f>CONCATENATE("Amounts shown are product of % of cordon trips not using E-ZPass specified in 'Cordon' tab, Row ",Cordon!L79, ", and cash-payers' surcharge specified in 'User Inputs' tab, Row ",'User Inputs'!N67, ". Trucks + buses are surcharged same as autos. Thru-trips pay for each crossing.")</f>
        <v>Amounts shown are product of % of cordon trips not using E-ZPass specified in 'Cordon' tab, Row 79, and cash-payers' surcharge specified in 'User Inputs' tab, Row 67. Trucks + buses are surcharged same as autos. Thru-trips pay for each crossing.</v>
      </c>
      <c r="I284" s="4109"/>
      <c r="J284" s="4109"/>
      <c r="K284" s="4109"/>
      <c r="L284" s="4109"/>
      <c r="M284" s="4109"/>
      <c r="N284" s="4462"/>
      <c r="O284" s="39">
        <f>ROW()</f>
        <v>284</v>
      </c>
      <c r="W284" s="7"/>
      <c r="AF284" s="7"/>
      <c r="AO284" s="7"/>
      <c r="AQ284" s="117"/>
      <c r="AR284" s="117"/>
      <c r="BG284" s="7"/>
      <c r="BP284" s="7"/>
    </row>
    <row r="285" spans="2:68" ht="13.2" customHeight="1">
      <c r="B285" s="3013" t="s">
        <v>6017</v>
      </c>
      <c r="C285" s="2718"/>
      <c r="D285" s="2718"/>
      <c r="E285" s="2718"/>
      <c r="F285" s="2718"/>
      <c r="G285" s="2718"/>
      <c r="H285" s="4110"/>
      <c r="I285" s="4111"/>
      <c r="J285" s="4111"/>
      <c r="K285" s="4111"/>
      <c r="L285" s="4111"/>
      <c r="M285" s="4111"/>
      <c r="N285" s="4463"/>
      <c r="O285" s="39">
        <f>ROW()</f>
        <v>285</v>
      </c>
      <c r="P285" s="2291">
        <f>Cordon!$H$79*'User Inputs'!$J$67</f>
        <v>0.49999999999999989</v>
      </c>
      <c r="Q285" s="2291">
        <f>Cordon!$H$79*'User Inputs'!$J$67</f>
        <v>0.49999999999999989</v>
      </c>
      <c r="R285" s="2291">
        <f>Cordon!$H$79*'User Inputs'!$J$67</f>
        <v>0.49999999999999989</v>
      </c>
      <c r="S285" s="2291">
        <f>Cordon!$H$79*'User Inputs'!$J$67</f>
        <v>0.49999999999999989</v>
      </c>
      <c r="T285" s="2291">
        <f>Cordon!$H$79*'User Inputs'!$J$67</f>
        <v>0.49999999999999989</v>
      </c>
      <c r="U285" s="2291">
        <f>Cordon!$H$79*'User Inputs'!$J$67</f>
        <v>0.49999999999999989</v>
      </c>
      <c r="V285" s="2291">
        <f>Cordon!$H$79*'User Inputs'!$J$67</f>
        <v>0.49999999999999989</v>
      </c>
      <c r="W285" s="2449">
        <f>SUMPRODUCT(P$122:V$122,P$285:V$285)/W$122</f>
        <v>0.49999999999999989</v>
      </c>
      <c r="Y285" s="2291">
        <f>Cordon!$H$79*'User Inputs'!$J$67</f>
        <v>0.49999999999999989</v>
      </c>
      <c r="Z285" s="2291">
        <f>Cordon!$H$79*'User Inputs'!$J$67</f>
        <v>0.49999999999999989</v>
      </c>
      <c r="AA285" s="2291">
        <f>Cordon!$H$79*'User Inputs'!$J$67</f>
        <v>0.49999999999999989</v>
      </c>
      <c r="AB285" s="2291">
        <f>Cordon!$H$79*'User Inputs'!$J$67</f>
        <v>0.49999999999999989</v>
      </c>
      <c r="AC285" s="2291">
        <f>Cordon!$H$79*'User Inputs'!$J$67</f>
        <v>0.49999999999999989</v>
      </c>
      <c r="AD285" s="2291">
        <f>Cordon!$H$79*'User Inputs'!$J$67</f>
        <v>0.49999999999999989</v>
      </c>
      <c r="AE285" s="2291">
        <f>Cordon!$H$79*'User Inputs'!$J$67</f>
        <v>0.49999999999999989</v>
      </c>
      <c r="AF285" s="2449">
        <f>SUMPRODUCT(Y$122:AE$122,Y$285:AE$285)/AF$122</f>
        <v>0.49999999999999994</v>
      </c>
      <c r="AH285" s="2291">
        <f>Cordon!$H$79*'User Inputs'!$J$67*(1+$I$43)</f>
        <v>0.8999999999999998</v>
      </c>
      <c r="AI285" s="2291">
        <f>Cordon!$H$79*'User Inputs'!$J$67*(1+$I$43)</f>
        <v>0.8999999999999998</v>
      </c>
      <c r="AJ285" s="2291">
        <f>Cordon!$H$79*'User Inputs'!$J$67*(1+$I$43)</f>
        <v>0.8999999999999998</v>
      </c>
      <c r="AK285" s="2291">
        <f>Cordon!$H$79*'User Inputs'!$J$67*(1+$I$43)</f>
        <v>0.8999999999999998</v>
      </c>
      <c r="AL285" s="2291">
        <f>Cordon!$H$79*'User Inputs'!$J$67*(1+$I$43)</f>
        <v>0.8999999999999998</v>
      </c>
      <c r="AM285" s="2291">
        <f>Cordon!$H$79*'User Inputs'!$J$67*(1+$I$43)</f>
        <v>0.8999999999999998</v>
      </c>
      <c r="AN285" s="2291">
        <f>Cordon!$H$79*'User Inputs'!$J$67*(1+$I$43)</f>
        <v>0.8999999999999998</v>
      </c>
      <c r="AO285" s="2449">
        <f>SUMPRODUCT(AH$122:AN$122,AH$285:AN$285)/AO$122</f>
        <v>0.8999999999999998</v>
      </c>
      <c r="AQ285" s="117"/>
      <c r="AR285" s="117"/>
      <c r="AZ285" s="2291">
        <f>Cordon!$H$79*'User Inputs'!$J$67*(1+$M$78)</f>
        <v>0.58900523560209417</v>
      </c>
      <c r="BA285" s="2291">
        <f>Cordon!$H$79*'User Inputs'!$J$67*(1+$M$78)</f>
        <v>0.58900523560209417</v>
      </c>
      <c r="BB285" s="2291">
        <f>Cordon!$H$79*'User Inputs'!$J$67*(1+$M$78)</f>
        <v>0.58900523560209417</v>
      </c>
      <c r="BC285" s="2291">
        <f>Cordon!$H$79*'User Inputs'!$J$67*(1+$M$78)</f>
        <v>0.58900523560209417</v>
      </c>
      <c r="BD285" s="2291">
        <f>Cordon!$H$79*'User Inputs'!$J$67*(1+$M$78)</f>
        <v>0.58900523560209417</v>
      </c>
      <c r="BE285" s="2291">
        <f>Cordon!$H$79*'User Inputs'!$J$67*(1+$M$78)</f>
        <v>0.58900523560209417</v>
      </c>
      <c r="BF285" s="2291">
        <f>Cordon!$H$79*'User Inputs'!$J$67*(1+$M$78)</f>
        <v>0.58900523560209417</v>
      </c>
      <c r="BG285" s="2449">
        <f>SUMPRODUCT(AZ$122:BF$122,AZ$285:BF$285)/BG$122</f>
        <v>0.58900523560209417</v>
      </c>
      <c r="BI285" s="2291">
        <f>Cordon!$H$79*'User Inputs'!$J$67*(1+$N$78)</f>
        <v>0.52486187845303856</v>
      </c>
      <c r="BJ285" s="2291">
        <f>Cordon!$H$79*'User Inputs'!$J$67*(1+$N$78)</f>
        <v>0.52486187845303856</v>
      </c>
      <c r="BK285" s="2291">
        <f>Cordon!$H$79*'User Inputs'!$J$67*(1+$N$78)</f>
        <v>0.52486187845303856</v>
      </c>
      <c r="BL285" s="2291">
        <f>Cordon!$H$79*'User Inputs'!$J$67*(1+$N$78)</f>
        <v>0.52486187845303856</v>
      </c>
      <c r="BM285" s="2291">
        <f>Cordon!$H$79*'User Inputs'!$J$67*(1+$N$78)</f>
        <v>0.52486187845303856</v>
      </c>
      <c r="BN285" s="2291">
        <f>Cordon!$H$79*'User Inputs'!$J$67*(1+$N$78)</f>
        <v>0.52486187845303856</v>
      </c>
      <c r="BO285" s="2291">
        <f>Cordon!$H$79*'User Inputs'!$J$67*(1+$N$78)</f>
        <v>0.52486187845303856</v>
      </c>
      <c r="BP285" s="2449">
        <f>SUMPRODUCT(BI$122:BO$122,BI$285:BO$285)/BP$122</f>
        <v>0.52486187845303867</v>
      </c>
    </row>
    <row r="286" spans="2:68" ht="13.2" customHeight="1">
      <c r="H286" s="4112"/>
      <c r="I286" s="4113"/>
      <c r="J286" s="4113"/>
      <c r="K286" s="4113"/>
      <c r="L286" s="4113"/>
      <c r="M286" s="4113"/>
      <c r="N286" s="4464"/>
      <c r="O286" s="39">
        <f>ROW()</f>
        <v>286</v>
      </c>
      <c r="W286" s="7"/>
      <c r="AF286" s="7"/>
      <c r="AO286" s="7"/>
      <c r="AQ286" s="117"/>
      <c r="AR286" s="117"/>
      <c r="BG286" s="7"/>
      <c r="BP286" s="7"/>
    </row>
    <row r="287" spans="2:68" s="1" customFormat="1" ht="13.2" customHeight="1">
      <c r="B287" s="312" t="s">
        <v>5276</v>
      </c>
      <c r="O287" s="136">
        <f>ROW()</f>
        <v>287</v>
      </c>
      <c r="P287" s="590">
        <f t="shared" ref="P287:V287" si="230">P280+P282+P285</f>
        <v>3.085281380922956</v>
      </c>
      <c r="Q287" s="590">
        <f t="shared" si="230"/>
        <v>6.3165839624766713</v>
      </c>
      <c r="R287" s="590">
        <f t="shared" si="230"/>
        <v>8.2258268636129657</v>
      </c>
      <c r="S287" s="590">
        <f t="shared" si="230"/>
        <v>8.2258268636129657</v>
      </c>
      <c r="T287" s="590">
        <f t="shared" si="230"/>
        <v>6.3165839624766713</v>
      </c>
      <c r="U287" s="590">
        <f t="shared" si="230"/>
        <v>8.3179865567411984</v>
      </c>
      <c r="V287" s="590">
        <f t="shared" si="230"/>
        <v>6.3165839624766713</v>
      </c>
      <c r="W287" s="590">
        <f>SUMPRODUCT(P$122:V$122,P287:V287)/W$122</f>
        <v>7.4391267631543387</v>
      </c>
      <c r="Y287" s="590">
        <f t="shared" ref="Y287:AE287" si="231">Y280+Y282+Y285</f>
        <v>3.085281380922956</v>
      </c>
      <c r="Z287" s="590">
        <f t="shared" si="231"/>
        <v>6.3165839624766713</v>
      </c>
      <c r="AA287" s="590">
        <f t="shared" si="231"/>
        <v>8.2258268636129657</v>
      </c>
      <c r="AB287" s="590">
        <f t="shared" si="231"/>
        <v>8.2258268636129657</v>
      </c>
      <c r="AC287" s="590">
        <f t="shared" si="231"/>
        <v>6.3165839624766713</v>
      </c>
      <c r="AD287" s="590">
        <f t="shared" si="231"/>
        <v>8.3179865567411984</v>
      </c>
      <c r="AE287" s="590">
        <f t="shared" si="231"/>
        <v>6.3165839624766713</v>
      </c>
      <c r="AF287" s="590">
        <f>SUMPRODUCT(Y$122:AE$122,Y287:AE287)/AF$122</f>
        <v>7.1026436923399752</v>
      </c>
      <c r="AH287" s="590">
        <f t="shared" ref="AH287:AN287" si="232">AH280+AH282+AH285</f>
        <v>5.5535064856613205</v>
      </c>
      <c r="AI287" s="590">
        <f t="shared" si="232"/>
        <v>11.369851132458008</v>
      </c>
      <c r="AJ287" s="590">
        <f t="shared" si="232"/>
        <v>14.806488354503342</v>
      </c>
      <c r="AK287" s="590">
        <f t="shared" si="232"/>
        <v>14.806488354503342</v>
      </c>
      <c r="AL287" s="590">
        <f t="shared" si="232"/>
        <v>11.369851132458008</v>
      </c>
      <c r="AM287" s="590">
        <f t="shared" si="232"/>
        <v>14.972375802134161</v>
      </c>
      <c r="AN287" s="590">
        <f t="shared" si="232"/>
        <v>11.369851132458008</v>
      </c>
      <c r="AO287" s="590">
        <f>SUMPRODUCT(AH$122:AN$122,AH287:AN287)/AO$122</f>
        <v>12.027552305898858</v>
      </c>
      <c r="AQ287" s="638"/>
      <c r="AR287" s="638"/>
      <c r="AZ287" s="590">
        <f t="shared" ref="AZ287:BF287" si="233">AZ280+AZ282+AZ285</f>
        <v>5.4617868959804419</v>
      </c>
      <c r="BA287" s="590">
        <f t="shared" si="233"/>
        <v>11.613646294335208</v>
      </c>
      <c r="BB287" s="590">
        <f t="shared" si="233"/>
        <v>15.282044478571297</v>
      </c>
      <c r="BC287" s="590">
        <f t="shared" si="233"/>
        <v>15.282044478571297</v>
      </c>
      <c r="BD287" s="590">
        <f t="shared" si="233"/>
        <v>11.613646294335208</v>
      </c>
      <c r="BE287" s="590">
        <f t="shared" si="233"/>
        <v>15.455748612216132</v>
      </c>
      <c r="BF287" s="590">
        <f t="shared" si="233"/>
        <v>11.613646294335208</v>
      </c>
      <c r="BG287" s="590">
        <f>SUMPRODUCT(AZ$122:BF$122,AZ287:BF287)/BG$122</f>
        <v>13.244102555431729</v>
      </c>
      <c r="BI287" s="590">
        <f t="shared" ref="BI287:BO287" si="234">BI280+BI282+BI285</f>
        <v>4.8669919325998823</v>
      </c>
      <c r="BJ287" s="590">
        <f t="shared" si="234"/>
        <v>10.311315855979309</v>
      </c>
      <c r="BK287" s="590">
        <f t="shared" si="234"/>
        <v>13.537504368355812</v>
      </c>
      <c r="BL287" s="590">
        <f t="shared" si="234"/>
        <v>13.537504368355812</v>
      </c>
      <c r="BM287" s="590">
        <f t="shared" si="234"/>
        <v>10.311315855979309</v>
      </c>
      <c r="BN287" s="590">
        <f t="shared" si="234"/>
        <v>13.692291919245218</v>
      </c>
      <c r="BO287" s="590">
        <f t="shared" si="234"/>
        <v>10.311315855979309</v>
      </c>
      <c r="BP287" s="590">
        <f>SUMPRODUCT(BI$122:BO$122,BI287:BO287)/BP$122</f>
        <v>11.742895332954921</v>
      </c>
    </row>
    <row r="288" spans="2:68" ht="13.2" customHeight="1">
      <c r="B288" s="309" t="str">
        <f>CONCATENATE("Sum of Rows ",O280, ", ",O282, " and ",O285,".")</f>
        <v>Sum of Rows 280, 282 and 285.</v>
      </c>
      <c r="O288" s="39">
        <f>ROW()</f>
        <v>288</v>
      </c>
      <c r="W288" s="7"/>
      <c r="AF288" s="7"/>
      <c r="AO288" s="7"/>
      <c r="AQ288" s="117"/>
      <c r="AR288" s="117"/>
      <c r="BG288" s="7"/>
      <c r="BP288" s="7"/>
    </row>
    <row r="289" spans="2:68" s="3201" customFormat="1" ht="13.2" customHeight="1">
      <c r="B289" s="3213" t="s">
        <v>5616</v>
      </c>
      <c r="C289" s="1955"/>
      <c r="D289" s="1955"/>
      <c r="E289" s="1955"/>
      <c r="F289" s="1955"/>
      <c r="G289" s="1955"/>
      <c r="H289" s="1955"/>
      <c r="O289" s="39">
        <f>ROW()</f>
        <v>289</v>
      </c>
      <c r="P289" s="716">
        <f>-P287*Incidence!$X$396*IF('User Inputs'!$J$60="YES",1,0)</f>
        <v>-0.31420792921921581</v>
      </c>
      <c r="Q289" s="716">
        <f>-Q287*Incidence!$X$396*IF('User Inputs'!$J$60="YES",1,0)</f>
        <v>-0.64328679350321638</v>
      </c>
      <c r="R289" s="716">
        <f>-R287*Incidence!$X$396*IF('User Inputs'!$J$60="YES",1,0)</f>
        <v>-0.83772586867212828</v>
      </c>
      <c r="S289" s="716">
        <f>-S287*Incidence!$X$396*IF('User Inputs'!$J$60="YES",1,0)</f>
        <v>-0.83772586867212828</v>
      </c>
      <c r="T289" s="716">
        <f>-T287*Incidence!$X$396*IF('User Inputs'!$J$60="YES",1,0)</f>
        <v>-0.64328679350321638</v>
      </c>
      <c r="U289" s="716">
        <f>-U287*Incidence!$X$396*IF('User Inputs'!$J$60="YES",1,0)</f>
        <v>-0.84711149765052562</v>
      </c>
      <c r="V289" s="716">
        <f>-V287*Incidence!$X$396*IF('User Inputs'!$J$60="YES",1,0)</f>
        <v>-0.64328679350321638</v>
      </c>
      <c r="W289" s="590">
        <f>SUMPRODUCT(P$122:V$122,P289:V289)/W$122</f>
        <v>-0.75760759777143361</v>
      </c>
      <c r="Y289" s="716">
        <f>-Y287*Incidence!$X$396*IF('User Inputs'!$J$60="YES",1,0)</f>
        <v>-0.31420792921921581</v>
      </c>
      <c r="Z289" s="716">
        <f>-Z287*Incidence!$X$396*IF('User Inputs'!$J$60="YES",1,0)</f>
        <v>-0.64328679350321638</v>
      </c>
      <c r="AA289" s="716">
        <f>-AA287*Incidence!$X$396*IF('User Inputs'!$J$60="YES",1,0)</f>
        <v>-0.83772586867212828</v>
      </c>
      <c r="AB289" s="716">
        <f>-AB287*Incidence!$X$396*IF('User Inputs'!$J$60="YES",1,0)</f>
        <v>-0.83772586867212828</v>
      </c>
      <c r="AC289" s="716">
        <f>-AC287*Incidence!$X$396*IF('User Inputs'!$J$60="YES",1,0)</f>
        <v>-0.64328679350321638</v>
      </c>
      <c r="AD289" s="716">
        <f>-AD287*Incidence!$X$396*IF('User Inputs'!$J$60="YES",1,0)</f>
        <v>-0.84711149765052562</v>
      </c>
      <c r="AE289" s="716">
        <f>-AE287*Incidence!$X$396*IF('User Inputs'!$J$60="YES",1,0)</f>
        <v>-0.64328679350321638</v>
      </c>
      <c r="AF289" s="590">
        <f>SUMPRODUCT(Y$122:AE$122,Y289:AE289)/AF$122</f>
        <v>-0.72333984846609267</v>
      </c>
      <c r="AH289" s="716">
        <f>-AH287*Incidence!$X$396*IF('User Inputs'!$J$60="YES",1,0)</f>
        <v>-0.56557427259458848</v>
      </c>
      <c r="AI289" s="716">
        <f>-AI287*Incidence!$X$396*IF('User Inputs'!$J$60="YES",1,0)</f>
        <v>-1.1579162283057893</v>
      </c>
      <c r="AJ289" s="716">
        <f>-AJ287*Incidence!$X$396*IF('User Inputs'!$J$60="YES",1,0)</f>
        <v>-1.5079065636098312</v>
      </c>
      <c r="AK289" s="716">
        <f>-AK287*Incidence!$X$396*IF('User Inputs'!$J$60="YES",1,0)</f>
        <v>-1.5079065636098312</v>
      </c>
      <c r="AL289" s="716">
        <f>-AL287*Incidence!$X$396*IF('User Inputs'!$J$60="YES",1,0)</f>
        <v>-1.1579162283057893</v>
      </c>
      <c r="AM289" s="716">
        <f>-AM287*Incidence!$X$396*IF('User Inputs'!$J$60="YES",1,0)</f>
        <v>-1.5248006957709466</v>
      </c>
      <c r="AN289" s="716">
        <f>-AN287*Incidence!$X$396*IF('User Inputs'!$J$60="YES",1,0)</f>
        <v>-1.1579162283057893</v>
      </c>
      <c r="AO289" s="590">
        <f>SUMPRODUCT(AH$122:AN$122,AH289:AN289)/AO$122</f>
        <v>-1.2248971283396386</v>
      </c>
      <c r="AQ289" s="117"/>
      <c r="AR289" s="117"/>
      <c r="BG289" s="590">
        <f>SUMPRODUCT(AZ$122:BF$122,AZ289:BF289)/BG$122</f>
        <v>0</v>
      </c>
      <c r="BP289" s="590">
        <f>SUMPRODUCT(BI$122:BO$122,BI289:BO289)/BP$122</f>
        <v>0</v>
      </c>
    </row>
    <row r="290" spans="2:68" ht="13.2" customHeight="1">
      <c r="B290" s="309" t="str">
        <f>CONCATENATE("Product of (I) percent of CBD trips that qualify for exemption, shown in 'Incidence' tab, Cell X",Incidence!AA396, "; (ii) prior row here (Row ",O287, "); and (iii) 'IF' statement reflecting applicability of exemption.")</f>
        <v>Product of (I) percent of CBD trips that qualify for exemption, shown in 'Incidence' tab, Cell X396; (ii) prior row here (Row 287); and (iii) 'IF' statement reflecting applicability of exemption.</v>
      </c>
      <c r="O290" s="39">
        <f>ROW()</f>
        <v>290</v>
      </c>
      <c r="W290" s="3468"/>
      <c r="AF290" s="3468"/>
      <c r="AO290" s="3468"/>
      <c r="BG290" s="3468"/>
      <c r="BP290" s="3468"/>
    </row>
    <row r="291" spans="2:68" s="3212" customFormat="1" ht="13.2" customHeight="1">
      <c r="B291" s="518" t="s">
        <v>5276</v>
      </c>
      <c r="O291" s="39">
        <f>ROW()</f>
        <v>291</v>
      </c>
      <c r="P291" s="2291">
        <f t="shared" ref="P291:V291" si="235">P287+P289</f>
        <v>2.7710734517037401</v>
      </c>
      <c r="Q291" s="2291">
        <f t="shared" si="235"/>
        <v>5.6732971689734546</v>
      </c>
      <c r="R291" s="2291">
        <f t="shared" si="235"/>
        <v>7.3881009949408369</v>
      </c>
      <c r="S291" s="2291">
        <f t="shared" si="235"/>
        <v>7.3881009949408369</v>
      </c>
      <c r="T291" s="2291">
        <f t="shared" si="235"/>
        <v>5.6732971689734546</v>
      </c>
      <c r="U291" s="2291">
        <f t="shared" si="235"/>
        <v>7.4708750590906732</v>
      </c>
      <c r="V291" s="2291">
        <f t="shared" si="235"/>
        <v>5.6732971689734546</v>
      </c>
      <c r="W291" s="2291">
        <f>SUMPRODUCT(P$122:V$122,P291:V291)/W$122</f>
        <v>6.6815191653829036</v>
      </c>
      <c r="Y291" s="2291">
        <f t="shared" ref="Y291:AE291" si="236">Y287+Y289</f>
        <v>2.7710734517037401</v>
      </c>
      <c r="Z291" s="2291">
        <f t="shared" si="236"/>
        <v>5.6732971689734546</v>
      </c>
      <c r="AA291" s="2291">
        <f t="shared" si="236"/>
        <v>7.3881009949408369</v>
      </c>
      <c r="AB291" s="2291">
        <f t="shared" si="236"/>
        <v>7.3881009949408369</v>
      </c>
      <c r="AC291" s="2291">
        <f t="shared" si="236"/>
        <v>5.6732971689734546</v>
      </c>
      <c r="AD291" s="2291">
        <f t="shared" si="236"/>
        <v>7.4708750590906732</v>
      </c>
      <c r="AE291" s="2291">
        <f t="shared" si="236"/>
        <v>5.6732971689734546</v>
      </c>
      <c r="AF291" s="2291">
        <f>SUMPRODUCT(Y$122:AE$122,Y291:AE291)/AF$122</f>
        <v>6.3793038438738821</v>
      </c>
      <c r="AH291" s="2291">
        <f t="shared" ref="AH291:AN291" si="237">AH287+AH289</f>
        <v>4.9879322130667321</v>
      </c>
      <c r="AI291" s="2291">
        <f t="shared" si="237"/>
        <v>10.211934904152219</v>
      </c>
      <c r="AJ291" s="2291">
        <f t="shared" si="237"/>
        <v>13.298581790893511</v>
      </c>
      <c r="AK291" s="2291">
        <f t="shared" si="237"/>
        <v>13.298581790893511</v>
      </c>
      <c r="AL291" s="2291">
        <f t="shared" si="237"/>
        <v>10.211934904152219</v>
      </c>
      <c r="AM291" s="2291">
        <f t="shared" si="237"/>
        <v>13.447575106363214</v>
      </c>
      <c r="AN291" s="2291">
        <f t="shared" si="237"/>
        <v>10.211934904152219</v>
      </c>
      <c r="AO291" s="2291">
        <f>SUMPRODUCT(AH$122:AN$122,AH291:AN291)/AO$122</f>
        <v>10.802655177559219</v>
      </c>
      <c r="AZ291" s="2291">
        <f t="shared" ref="AZ291:BF291" si="238">AZ287+AZ289</f>
        <v>5.4617868959804419</v>
      </c>
      <c r="BA291" s="2291">
        <f t="shared" si="238"/>
        <v>11.613646294335208</v>
      </c>
      <c r="BB291" s="2291">
        <f t="shared" si="238"/>
        <v>15.282044478571297</v>
      </c>
      <c r="BC291" s="2291">
        <f t="shared" si="238"/>
        <v>15.282044478571297</v>
      </c>
      <c r="BD291" s="2291">
        <f t="shared" si="238"/>
        <v>11.613646294335208</v>
      </c>
      <c r="BE291" s="2291">
        <f t="shared" si="238"/>
        <v>15.455748612216132</v>
      </c>
      <c r="BF291" s="2291">
        <f t="shared" si="238"/>
        <v>11.613646294335208</v>
      </c>
      <c r="BG291" s="2291">
        <f>SUMPRODUCT(AZ$122:BF$122,AZ291:BF291)/BG$122</f>
        <v>13.244102555431729</v>
      </c>
      <c r="BI291" s="2291">
        <f t="shared" ref="BI291:BO291" si="239">BI287+BI289</f>
        <v>4.8669919325998823</v>
      </c>
      <c r="BJ291" s="2291">
        <f t="shared" si="239"/>
        <v>10.311315855979309</v>
      </c>
      <c r="BK291" s="2291">
        <f t="shared" si="239"/>
        <v>13.537504368355812</v>
      </c>
      <c r="BL291" s="2291">
        <f t="shared" si="239"/>
        <v>13.537504368355812</v>
      </c>
      <c r="BM291" s="2291">
        <f t="shared" si="239"/>
        <v>10.311315855979309</v>
      </c>
      <c r="BN291" s="2291">
        <f t="shared" si="239"/>
        <v>13.692291919245218</v>
      </c>
      <c r="BO291" s="2291">
        <f t="shared" si="239"/>
        <v>10.311315855979309</v>
      </c>
      <c r="BP291" s="2291">
        <f>SUMPRODUCT(BI$122:BO$122,BI291:BO291)/BP$122</f>
        <v>11.742895332954921</v>
      </c>
    </row>
    <row r="292" spans="2:68" s="3212" customFormat="1" ht="13.2" customHeight="1">
      <c r="O292" s="39">
        <f>ROW()</f>
        <v>292</v>
      </c>
      <c r="W292" s="3468"/>
      <c r="AF292" s="3468"/>
      <c r="AO292" s="3468"/>
      <c r="BG292" s="3468"/>
      <c r="BP292" s="3468"/>
    </row>
    <row r="293" spans="2:68" ht="13.2" customHeight="1">
      <c r="B293" s="308" t="s">
        <v>2043</v>
      </c>
      <c r="H293" s="4386" t="str">
        <f>CONCATENATE("Weighted avg toll. Will change as trip times resettle. Includes trucks and buses as well as double toll (where applicable) for through-trips. Includes any current toll, unless REPLACE switch has been set in Cell L",O271, ", in which case any current toll will have been erased.")</f>
        <v>Weighted avg toll. Will change as trip times resettle. Includes trucks and buses as well as double toll (where applicable) for through-trips. Includes any current toll, unless REPLACE switch has been set in Cell L271, in which case any current toll will have been erased.</v>
      </c>
      <c r="I293" s="4387"/>
      <c r="J293" s="4387"/>
      <c r="K293" s="4387"/>
      <c r="L293" s="4387"/>
      <c r="M293" s="4387"/>
      <c r="N293" s="4306">
        <f>(W293*W122+AF293*AF122+AO293*AO122+BG293*BG122+BP293*BP122)/(W122+AF122+AO122+BG122+BP122)</f>
        <v>10.451480190613317</v>
      </c>
      <c r="O293" s="39">
        <f>ROW()</f>
        <v>293</v>
      </c>
      <c r="P293" s="591">
        <f t="shared" ref="P293:V293" si="240">P256+P291</f>
        <v>4.7357166215339799</v>
      </c>
      <c r="Q293" s="591">
        <f t="shared" si="240"/>
        <v>7.6379403388036948</v>
      </c>
      <c r="R293" s="591">
        <f t="shared" si="240"/>
        <v>9.5458445664104232</v>
      </c>
      <c r="S293" s="591">
        <f t="shared" si="240"/>
        <v>9.3527441647710763</v>
      </c>
      <c r="T293" s="591">
        <f t="shared" si="240"/>
        <v>7.6379403388036948</v>
      </c>
      <c r="U293" s="591">
        <f t="shared" si="240"/>
        <v>9.5320684297405869</v>
      </c>
      <c r="V293" s="591">
        <f t="shared" si="240"/>
        <v>7.6379403388036948</v>
      </c>
      <c r="W293" s="2291">
        <f>SUMPRODUCT(P$122:V$122,P293:V293)/W$122</f>
        <v>8.7312323955304265</v>
      </c>
      <c r="Y293" s="591">
        <f t="shared" ref="Y293:AE293" si="241">Y256+Y291</f>
        <v>4.7357166215339799</v>
      </c>
      <c r="Z293" s="591">
        <f t="shared" si="241"/>
        <v>7.6379403388036948</v>
      </c>
      <c r="AA293" s="591">
        <f t="shared" si="241"/>
        <v>9.5458445664104232</v>
      </c>
      <c r="AB293" s="591">
        <f t="shared" si="241"/>
        <v>9.3527441647710763</v>
      </c>
      <c r="AC293" s="591">
        <f t="shared" si="241"/>
        <v>7.6379403388036948</v>
      </c>
      <c r="AD293" s="591">
        <f t="shared" si="241"/>
        <v>9.5320684297405869</v>
      </c>
      <c r="AE293" s="591">
        <f t="shared" si="241"/>
        <v>7.6379403388036948</v>
      </c>
      <c r="AF293" s="2291">
        <f>SUMPRODUCT(Y$122:AE$122,Y293:AE293)/AF$122</f>
        <v>8.4016364409462749</v>
      </c>
      <c r="AH293" s="591">
        <f t="shared" ref="AH293:AN293" si="242">AH256+AH291</f>
        <v>8.5242899187611627</v>
      </c>
      <c r="AI293" s="591">
        <f t="shared" si="242"/>
        <v>13.748292609846651</v>
      </c>
      <c r="AJ293" s="591">
        <f t="shared" si="242"/>
        <v>17.18252021953877</v>
      </c>
      <c r="AK293" s="591">
        <f t="shared" si="242"/>
        <v>16.834939496587943</v>
      </c>
      <c r="AL293" s="591">
        <f t="shared" si="242"/>
        <v>13.748292609846651</v>
      </c>
      <c r="AM293" s="591">
        <f t="shared" si="242"/>
        <v>17.157723173533057</v>
      </c>
      <c r="AN293" s="591">
        <f t="shared" si="242"/>
        <v>13.748292609846651</v>
      </c>
      <c r="AO293" s="2291">
        <f>SUMPRODUCT(AH$122:AN$122,AH293:AN293)/AO$122</f>
        <v>14.435892710966451</v>
      </c>
      <c r="AZ293" s="591">
        <f t="shared" ref="AZ293:BF293" si="243">AZ256+AZ291</f>
        <v>9.3910732356409206</v>
      </c>
      <c r="BA293" s="591">
        <f t="shared" si="243"/>
        <v>15.542932633995687</v>
      </c>
      <c r="BB293" s="591">
        <f t="shared" si="243"/>
        <v>19.211330818231776</v>
      </c>
      <c r="BC293" s="591">
        <f t="shared" si="243"/>
        <v>19.211330818231776</v>
      </c>
      <c r="BD293" s="591">
        <f t="shared" si="243"/>
        <v>15.542932633995687</v>
      </c>
      <c r="BE293" s="591">
        <f t="shared" si="243"/>
        <v>19.385034951876612</v>
      </c>
      <c r="BF293" s="591">
        <f t="shared" si="243"/>
        <v>15.542932633995687</v>
      </c>
      <c r="BG293" s="2291">
        <f>SUMPRODUCT(AZ$122:BF$122,AZ293:BF293)/BG$122</f>
        <v>17.173388895092209</v>
      </c>
      <c r="BI293" s="591">
        <f t="shared" ref="BI293:BO293" si="244">BI256+BI291</f>
        <v>8.7962782722603627</v>
      </c>
      <c r="BJ293" s="591">
        <f t="shared" si="244"/>
        <v>14.240602195639788</v>
      </c>
      <c r="BK293" s="591">
        <f t="shared" si="244"/>
        <v>17.852991511294988</v>
      </c>
      <c r="BL293" s="591">
        <f t="shared" si="244"/>
        <v>17.466790708016291</v>
      </c>
      <c r="BM293" s="591">
        <f t="shared" si="244"/>
        <v>14.240602195639788</v>
      </c>
      <c r="BN293" s="591">
        <f t="shared" si="244"/>
        <v>17.814678660545045</v>
      </c>
      <c r="BO293" s="591">
        <f t="shared" si="244"/>
        <v>14.240602195639788</v>
      </c>
      <c r="BP293" s="2291">
        <f>SUMPRODUCT(BI$122:BO$122,BI293:BO293)/BP$122</f>
        <v>15.810892356120016</v>
      </c>
    </row>
    <row r="294" spans="2:68" ht="13.2" customHeight="1">
      <c r="H294" s="4387"/>
      <c r="I294" s="4387"/>
      <c r="J294" s="4387"/>
      <c r="K294" s="4387"/>
      <c r="L294" s="4387"/>
      <c r="M294" s="4387"/>
      <c r="N294" s="3952"/>
      <c r="O294" s="39">
        <f>ROW()</f>
        <v>294</v>
      </c>
      <c r="P294" s="611"/>
      <c r="W294" s="3468"/>
      <c r="Y294" s="611"/>
      <c r="AF294" s="3468"/>
      <c r="AH294" s="611"/>
      <c r="AO294" s="3468"/>
      <c r="AZ294" s="611"/>
      <c r="BG294" s="3468"/>
      <c r="BI294" s="611"/>
      <c r="BP294" s="3468"/>
    </row>
    <row r="295" spans="2:68" s="86" customFormat="1" ht="13.2" customHeight="1">
      <c r="B295" s="985" t="str">
        <f>CONCATENATE("Near-Final Trip Cost - including new toll (sum of Rows ",O253," and ",O291,")")</f>
        <v>Near-Final Trip Cost - including new toll (sum of Rows 253 and 291)</v>
      </c>
      <c r="H295" s="4387"/>
      <c r="I295" s="4387"/>
      <c r="J295" s="4387"/>
      <c r="K295" s="4387"/>
      <c r="L295" s="4387"/>
      <c r="M295" s="4387"/>
      <c r="N295" s="3952"/>
      <c r="O295" s="785">
        <f>ROW()</f>
        <v>295</v>
      </c>
      <c r="P295" s="1703">
        <f t="shared" ref="P295:V295" si="245">P253+P291</f>
        <v>13.441312741612037</v>
      </c>
      <c r="Q295" s="1703">
        <f t="shared" si="245"/>
        <v>20.561462606603701</v>
      </c>
      <c r="R295" s="1703">
        <f t="shared" si="245"/>
        <v>36.064710591074004</v>
      </c>
      <c r="S295" s="1703">
        <f t="shared" si="245"/>
        <v>38.804902396911594</v>
      </c>
      <c r="T295" s="1703">
        <f t="shared" si="245"/>
        <v>34.822319029118361</v>
      </c>
      <c r="U295" s="1703">
        <f t="shared" si="245"/>
        <v>32.694781188486417</v>
      </c>
      <c r="V295" s="1703">
        <f t="shared" si="245"/>
        <v>23.620044772219668</v>
      </c>
      <c r="W295" s="2291">
        <f>SUMPRODUCT(P$122:V$122,P295:V295)/W$122</f>
        <v>32.811138149765064</v>
      </c>
      <c r="Y295" s="1703">
        <f t="shared" ref="Y295:AE295" si="246">Y253+Y291</f>
        <v>14.311312741612037</v>
      </c>
      <c r="Z295" s="1703">
        <f t="shared" si="246"/>
        <v>23.6014626066037</v>
      </c>
      <c r="AA295" s="1703">
        <f t="shared" si="246"/>
        <v>36.224710591074007</v>
      </c>
      <c r="AB295" s="1703">
        <f t="shared" si="246"/>
        <v>38.894902396911597</v>
      </c>
      <c r="AC295" s="1703">
        <f t="shared" si="246"/>
        <v>35.10231902911837</v>
      </c>
      <c r="AD295" s="1703">
        <f t="shared" si="246"/>
        <v>34.10478118848642</v>
      </c>
      <c r="AE295" s="1703">
        <f t="shared" si="246"/>
        <v>23.460044772219668</v>
      </c>
      <c r="AF295" s="2291">
        <f>SUMPRODUCT(Y$122:AE$122,Y295:AE295)/AF$122</f>
        <v>31.194113869055748</v>
      </c>
      <c r="AH295" s="1703">
        <f t="shared" ref="AH295:AN295" si="247">AH253+AH291</f>
        <v>19.487826230110375</v>
      </c>
      <c r="AI295" s="1703">
        <f t="shared" si="247"/>
        <v>27.173614661218878</v>
      </c>
      <c r="AJ295" s="1703">
        <f t="shared" si="247"/>
        <v>35.798684700662612</v>
      </c>
      <c r="AK295" s="1703">
        <f t="shared" si="247"/>
        <v>34.454442765438522</v>
      </c>
      <c r="AL295" s="1703">
        <f t="shared" si="247"/>
        <v>30.05311414164639</v>
      </c>
      <c r="AM295" s="1703">
        <f t="shared" si="247"/>
        <v>36.423952178153947</v>
      </c>
      <c r="AN295" s="1703">
        <f t="shared" si="247"/>
        <v>28.597610546034655</v>
      </c>
      <c r="AO295" s="2291">
        <f>SUMPRODUCT(AH$122:AN$122,AH295:AN295)/AO$122</f>
        <v>30.727121338805091</v>
      </c>
      <c r="AQ295" s="1701"/>
      <c r="AR295" s="1582"/>
      <c r="AS295" s="1582"/>
      <c r="AT295" s="1582"/>
      <c r="AU295" s="1582"/>
      <c r="AV295" s="1582"/>
      <c r="AW295" s="1582"/>
      <c r="AX295" s="1582"/>
      <c r="AZ295" s="1703">
        <f t="shared" ref="AZ295:BF295" si="248">AZ253+AZ291</f>
        <v>23.736488171374599</v>
      </c>
      <c r="BA295" s="1703">
        <f t="shared" si="248"/>
        <v>32.848422560750826</v>
      </c>
      <c r="BB295" s="1703">
        <f t="shared" si="248"/>
        <v>42.962508258714067</v>
      </c>
      <c r="BC295" s="1703">
        <f t="shared" si="248"/>
        <v>41.469092673667944</v>
      </c>
      <c r="BD295" s="1703">
        <f t="shared" si="248"/>
        <v>36.050135405780161</v>
      </c>
      <c r="BE295" s="1703">
        <f t="shared" si="248"/>
        <v>44.483905860523407</v>
      </c>
      <c r="BF295" s="1703">
        <f t="shared" si="248"/>
        <v>34.615586891982758</v>
      </c>
      <c r="BG295" s="2291">
        <f>SUMPRODUCT(AZ$122:BF$122,AZ295:BF295)/BG$122</f>
        <v>39.075623012421552</v>
      </c>
      <c r="BI295" s="1703">
        <f t="shared" ref="BI295:BO295" si="249">BI253+BI291</f>
        <v>28.780284629640931</v>
      </c>
      <c r="BJ295" s="1703">
        <f t="shared" si="249"/>
        <v>36.875604993332601</v>
      </c>
      <c r="BK295" s="1703">
        <f t="shared" si="249"/>
        <v>49.714025579578525</v>
      </c>
      <c r="BL295" s="1703">
        <f t="shared" si="249"/>
        <v>46.727701398730652</v>
      </c>
      <c r="BM295" s="1703">
        <f t="shared" si="249"/>
        <v>41.048174260876607</v>
      </c>
      <c r="BN295" s="1703">
        <f t="shared" si="249"/>
        <v>51.697252931075354</v>
      </c>
      <c r="BO295" s="1703">
        <f t="shared" si="249"/>
        <v>39.676351490180501</v>
      </c>
      <c r="BP295" s="2291">
        <f>SUMPRODUCT(BI$122:BO$122,BI295:BO295)/BP$122</f>
        <v>45.115231961164234</v>
      </c>
    </row>
    <row r="296" spans="2:68" ht="13.2" customHeight="1">
      <c r="O296" s="39">
        <f>ROW()</f>
        <v>296</v>
      </c>
      <c r="P296" s="611"/>
      <c r="W296" s="3468"/>
      <c r="Y296" s="611"/>
      <c r="AF296" s="3468"/>
      <c r="AH296" s="611"/>
      <c r="AO296" s="3468"/>
      <c r="AQ296" s="1581"/>
      <c r="AR296" s="300"/>
      <c r="AS296" s="300"/>
      <c r="AT296" s="300"/>
      <c r="AU296" s="300"/>
      <c r="AV296" s="300"/>
      <c r="AW296" s="300"/>
      <c r="AX296" s="300"/>
      <c r="AZ296" s="611"/>
      <c r="BG296" s="3468"/>
      <c r="BI296" s="611"/>
      <c r="BP296" s="3468"/>
    </row>
    <row r="297" spans="2:68" s="3467" customFormat="1" ht="13.2" customHeight="1">
      <c r="B297" s="2480" t="s">
        <v>6076</v>
      </c>
      <c r="I297" s="4422" t="s">
        <v>6135</v>
      </c>
      <c r="J297" s="4423"/>
      <c r="K297" s="4423"/>
      <c r="L297" s="4248"/>
      <c r="M297" s="4426">
        <v>0.5</v>
      </c>
      <c r="O297" s="39">
        <f>ROW()</f>
        <v>297</v>
      </c>
      <c r="P297" s="611"/>
      <c r="W297" s="86"/>
      <c r="Y297" s="611"/>
      <c r="AF297" s="86"/>
      <c r="AH297" s="611"/>
      <c r="AO297" s="86"/>
      <c r="AQ297" s="1581"/>
      <c r="AR297" s="300"/>
      <c r="AS297" s="300"/>
      <c r="AT297" s="300"/>
      <c r="AU297" s="300"/>
      <c r="AV297" s="300"/>
      <c r="AW297" s="300"/>
      <c r="AX297" s="300"/>
      <c r="AZ297" s="611"/>
      <c r="BG297" s="86"/>
      <c r="BI297" s="611"/>
      <c r="BP297" s="86"/>
    </row>
    <row r="298" spans="2:68" s="3467" customFormat="1" ht="13.2" customHeight="1">
      <c r="I298" s="4249"/>
      <c r="J298" s="4424"/>
      <c r="K298" s="4424"/>
      <c r="L298" s="4250"/>
      <c r="M298" s="3952"/>
      <c r="O298" s="39">
        <f>ROW()</f>
        <v>298</v>
      </c>
      <c r="P298" s="611"/>
      <c r="W298" s="86"/>
      <c r="Y298" s="611"/>
      <c r="AF298" s="86"/>
      <c r="AH298" s="611"/>
      <c r="AO298" s="86"/>
      <c r="AQ298" s="1581"/>
      <c r="AR298" s="300"/>
      <c r="AS298" s="300"/>
      <c r="AT298" s="300"/>
      <c r="AU298" s="300"/>
      <c r="AV298" s="300"/>
      <c r="AW298" s="300"/>
      <c r="AX298" s="300"/>
      <c r="AZ298" s="611"/>
      <c r="BG298" s="86"/>
      <c r="BI298" s="611"/>
      <c r="BP298" s="86"/>
    </row>
    <row r="299" spans="2:68" s="3467" customFormat="1" ht="13.2" customHeight="1">
      <c r="B299" s="316" t="s">
        <v>6066</v>
      </c>
      <c r="G299" s="1100" t="str">
        <f>CONCATENATE("Reproduced from Row ",O244, ".")</f>
        <v>Reproduced from Row 244.</v>
      </c>
      <c r="I299" s="4251"/>
      <c r="J299" s="4425"/>
      <c r="K299" s="4425"/>
      <c r="L299" s="4252"/>
      <c r="M299" s="3470" t="s">
        <v>6064</v>
      </c>
      <c r="O299" s="39">
        <f>ROW()</f>
        <v>299</v>
      </c>
      <c r="P299" s="32">
        <f t="shared" ref="P299:V299" si="250">P244</f>
        <v>10</v>
      </c>
      <c r="Q299" s="32">
        <f t="shared" si="250"/>
        <v>20</v>
      </c>
      <c r="R299" s="32">
        <f t="shared" si="250"/>
        <v>25</v>
      </c>
      <c r="S299" s="32">
        <f t="shared" si="250"/>
        <v>30</v>
      </c>
      <c r="T299" s="32">
        <f t="shared" si="250"/>
        <v>30</v>
      </c>
      <c r="U299" s="32">
        <f t="shared" si="250"/>
        <v>25</v>
      </c>
      <c r="V299" s="32">
        <f t="shared" si="250"/>
        <v>15</v>
      </c>
      <c r="W299" s="590">
        <f>SUMPRODUCT(P$122:V$122,P299:V299)/W$122</f>
        <v>25.011934114333293</v>
      </c>
      <c r="Y299" s="32">
        <f t="shared" ref="Y299:AE299" si="251">Y244</f>
        <v>10</v>
      </c>
      <c r="Z299" s="32">
        <f t="shared" si="251"/>
        <v>20</v>
      </c>
      <c r="AA299" s="32">
        <f t="shared" si="251"/>
        <v>25</v>
      </c>
      <c r="AB299" s="32">
        <f t="shared" si="251"/>
        <v>30</v>
      </c>
      <c r="AC299" s="32">
        <f t="shared" si="251"/>
        <v>30</v>
      </c>
      <c r="AD299" s="32">
        <f t="shared" si="251"/>
        <v>25</v>
      </c>
      <c r="AE299" s="32">
        <f t="shared" si="251"/>
        <v>15</v>
      </c>
      <c r="AF299" s="590">
        <f>SUMPRODUCT(Y$122:AE$122,Y299:AE299)/AF$122</f>
        <v>23.316340207677651</v>
      </c>
      <c r="AH299" s="611"/>
      <c r="AO299" s="590"/>
      <c r="AQ299" s="1581"/>
      <c r="AR299" s="300"/>
      <c r="AV299" s="300"/>
      <c r="AW299" s="300"/>
      <c r="AX299" s="300"/>
      <c r="AZ299" s="32">
        <f t="shared" ref="AZ299:BF299" si="252">AZ244</f>
        <v>15</v>
      </c>
      <c r="BA299" s="32">
        <f t="shared" si="252"/>
        <v>30</v>
      </c>
      <c r="BB299" s="32">
        <f t="shared" si="252"/>
        <v>37.5</v>
      </c>
      <c r="BC299" s="32">
        <f t="shared" si="252"/>
        <v>45</v>
      </c>
      <c r="BD299" s="32">
        <f t="shared" si="252"/>
        <v>45</v>
      </c>
      <c r="BE299" s="32">
        <f t="shared" si="252"/>
        <v>37.5</v>
      </c>
      <c r="BF299" s="32">
        <f t="shared" si="252"/>
        <v>22.5</v>
      </c>
      <c r="BG299" s="590">
        <f>SUMPRODUCT(AZ$122:BF$122,AZ299:BF299)/BG$122</f>
        <v>35.540324403397854</v>
      </c>
      <c r="BI299" s="32">
        <f t="shared" ref="BI299:BO299" si="253">BI244</f>
        <v>15</v>
      </c>
      <c r="BJ299" s="32">
        <f t="shared" si="253"/>
        <v>30</v>
      </c>
      <c r="BK299" s="32">
        <f t="shared" si="253"/>
        <v>37.5</v>
      </c>
      <c r="BL299" s="32">
        <f t="shared" si="253"/>
        <v>45</v>
      </c>
      <c r="BM299" s="32">
        <f t="shared" si="253"/>
        <v>45</v>
      </c>
      <c r="BN299" s="32">
        <f t="shared" si="253"/>
        <v>37.5</v>
      </c>
      <c r="BO299" s="32">
        <f t="shared" si="253"/>
        <v>22.5</v>
      </c>
      <c r="BP299" s="590">
        <f>SUMPRODUCT(BI$122:BO$122,BI299:BO299)/BP$122</f>
        <v>35.540324403397861</v>
      </c>
    </row>
    <row r="300" spans="2:68" s="3467" customFormat="1" ht="13.2" customHeight="1">
      <c r="B300" s="316" t="s">
        <v>6067</v>
      </c>
      <c r="G300" s="1100" t="str">
        <f>CONCATENATE("Reproduced from Row ",O287, ".")</f>
        <v>Reproduced from Row 287.</v>
      </c>
      <c r="O300" s="39">
        <f>ROW()</f>
        <v>300</v>
      </c>
      <c r="P300" s="32">
        <f t="shared" ref="P300:V300" si="254">P287</f>
        <v>3.085281380922956</v>
      </c>
      <c r="Q300" s="32">
        <f t="shared" si="254"/>
        <v>6.3165839624766713</v>
      </c>
      <c r="R300" s="32">
        <f t="shared" si="254"/>
        <v>8.2258268636129657</v>
      </c>
      <c r="S300" s="32">
        <f t="shared" si="254"/>
        <v>8.2258268636129657</v>
      </c>
      <c r="T300" s="32">
        <f t="shared" si="254"/>
        <v>6.3165839624766713</v>
      </c>
      <c r="U300" s="32">
        <f t="shared" si="254"/>
        <v>8.3179865567411984</v>
      </c>
      <c r="V300" s="32">
        <f t="shared" si="254"/>
        <v>6.3165839624766713</v>
      </c>
      <c r="W300" s="590">
        <f>SUMPRODUCT(P$122:V$122,P300:V300)/W$122</f>
        <v>7.4391267631543387</v>
      </c>
      <c r="Y300" s="32">
        <f t="shared" ref="Y300:AE300" si="255">Y287</f>
        <v>3.085281380922956</v>
      </c>
      <c r="Z300" s="32">
        <f t="shared" si="255"/>
        <v>6.3165839624766713</v>
      </c>
      <c r="AA300" s="32">
        <f t="shared" si="255"/>
        <v>8.2258268636129657</v>
      </c>
      <c r="AB300" s="32">
        <f t="shared" si="255"/>
        <v>8.2258268636129657</v>
      </c>
      <c r="AC300" s="32">
        <f t="shared" si="255"/>
        <v>6.3165839624766713</v>
      </c>
      <c r="AD300" s="32">
        <f t="shared" si="255"/>
        <v>8.3179865567411984</v>
      </c>
      <c r="AE300" s="32">
        <f t="shared" si="255"/>
        <v>6.3165839624766713</v>
      </c>
      <c r="AF300" s="590">
        <f>SUMPRODUCT(Y$122:AE$122,Y300:AE300)/AF$122</f>
        <v>7.1026436923399752</v>
      </c>
      <c r="AH300" s="611"/>
      <c r="AO300" s="590"/>
      <c r="AQ300" s="1581"/>
      <c r="AR300" s="300"/>
      <c r="AZ300" s="32">
        <f t="shared" ref="AZ300:BF300" si="256">AZ287</f>
        <v>5.4617868959804419</v>
      </c>
      <c r="BA300" s="32">
        <f t="shared" si="256"/>
        <v>11.613646294335208</v>
      </c>
      <c r="BB300" s="32">
        <f t="shared" si="256"/>
        <v>15.282044478571297</v>
      </c>
      <c r="BC300" s="32">
        <f t="shared" si="256"/>
        <v>15.282044478571297</v>
      </c>
      <c r="BD300" s="32">
        <f t="shared" si="256"/>
        <v>11.613646294335208</v>
      </c>
      <c r="BE300" s="32">
        <f t="shared" si="256"/>
        <v>15.455748612216132</v>
      </c>
      <c r="BF300" s="32">
        <f t="shared" si="256"/>
        <v>11.613646294335208</v>
      </c>
      <c r="BG300" s="590">
        <f>SUMPRODUCT(AZ$122:BF$122,AZ300:BF300)/BG$122</f>
        <v>13.244102555431729</v>
      </c>
      <c r="BI300" s="32">
        <f t="shared" ref="BI300:BO300" si="257">BI287</f>
        <v>4.8669919325998823</v>
      </c>
      <c r="BJ300" s="32">
        <f t="shared" si="257"/>
        <v>10.311315855979309</v>
      </c>
      <c r="BK300" s="32">
        <f t="shared" si="257"/>
        <v>13.537504368355812</v>
      </c>
      <c r="BL300" s="32">
        <f t="shared" si="257"/>
        <v>13.537504368355812</v>
      </c>
      <c r="BM300" s="32">
        <f t="shared" si="257"/>
        <v>10.311315855979309</v>
      </c>
      <c r="BN300" s="32">
        <f t="shared" si="257"/>
        <v>13.692291919245218</v>
      </c>
      <c r="BO300" s="32">
        <f t="shared" si="257"/>
        <v>10.311315855979309</v>
      </c>
      <c r="BP300" s="590">
        <f>SUMPRODUCT(BI$122:BO$122,BI300:BO300)/BP$122</f>
        <v>11.742895332954921</v>
      </c>
    </row>
    <row r="301" spans="2:68" s="3467" customFormat="1" ht="13.2" customHeight="1">
      <c r="B301" s="316" t="s">
        <v>6068</v>
      </c>
      <c r="G301" s="1100" t="str">
        <f>CONCATENATE("Sum of Cells I",O71, " and J",O71,", which pertain to auto work and non-work trips, resp'ly.")</f>
        <v>Sum of Cells I71 and J71, which pertain to auto work and non-work trips, resp'ly.</v>
      </c>
      <c r="N301" s="10">
        <f>I71+J71</f>
        <v>444179.99999999994</v>
      </c>
      <c r="O301" s="39">
        <f>ROW()</f>
        <v>301</v>
      </c>
      <c r="P301" s="611"/>
      <c r="W301" s="3468"/>
      <c r="Y301" s="611"/>
      <c r="AF301" s="3468"/>
      <c r="AH301" s="611"/>
      <c r="AO301" s="3468"/>
      <c r="AQ301" s="1581"/>
      <c r="AR301" s="300"/>
      <c r="AZ301" s="611"/>
      <c r="BG301" s="3468"/>
      <c r="BI301" s="611"/>
      <c r="BP301" s="3468"/>
    </row>
    <row r="302" spans="2:68" s="3467" customFormat="1" ht="13.2" customHeight="1">
      <c r="B302" s="316" t="s">
        <v>6069</v>
      </c>
      <c r="G302" s="1100" t="str">
        <f>CONCATENATE("Sum of Cells W",O848, " and AF",O848,", which also pertain to auto work + non-work trips).")</f>
        <v>Sum of Cells W848 and AF848, which also pertain to auto work + non-work trips).</v>
      </c>
      <c r="N302" s="10">
        <f ca="1">W848+AF848</f>
        <v>365133.9128413999</v>
      </c>
      <c r="O302" s="39">
        <f>ROW()</f>
        <v>302</v>
      </c>
      <c r="P302" s="611"/>
      <c r="W302" s="3468"/>
      <c r="Y302" s="611"/>
      <c r="AF302" s="3468"/>
      <c r="AH302" s="611"/>
      <c r="AO302" s="3468"/>
      <c r="AQ302" s="1581"/>
      <c r="AR302" s="300"/>
      <c r="AZ302" s="611"/>
      <c r="BG302" s="3468"/>
      <c r="BI302" s="611"/>
      <c r="BP302" s="3468"/>
    </row>
    <row r="303" spans="2:68" s="3467" customFormat="1" ht="13.2" customHeight="1">
      <c r="B303" s="316" t="s">
        <v>6062</v>
      </c>
      <c r="L303" s="3481" t="s">
        <v>6063</v>
      </c>
      <c r="M303" s="3482">
        <f ca="1">N303/N301</f>
        <v>0.17795958205817475</v>
      </c>
      <c r="N303" s="10">
        <f ca="1">N301-N302</f>
        <v>79046.087158600043</v>
      </c>
      <c r="O303" s="39">
        <f>ROW()</f>
        <v>303</v>
      </c>
      <c r="P303" s="611"/>
      <c r="W303" s="3468"/>
      <c r="Y303" s="611"/>
      <c r="AF303" s="3468"/>
      <c r="AH303" s="611"/>
      <c r="AO303" s="3468"/>
      <c r="AQ303" s="1581"/>
      <c r="AR303" s="300"/>
      <c r="AZ303" s="611"/>
      <c r="BG303" s="3468"/>
      <c r="BI303" s="611"/>
      <c r="BP303" s="3468"/>
    </row>
    <row r="304" spans="2:68" s="3467" customFormat="1" ht="13.2" customHeight="1">
      <c r="B304" s="1815" t="s">
        <v>6070</v>
      </c>
      <c r="G304" s="826" t="str">
        <f>CONCATENATE("Product of percents in Rows ",O297, " and ",O303, ", but capped at one-half of effective cordon toll.")</f>
        <v>Product of percents in Rows 297 and 303, but capped at one-half of effective cordon toll.</v>
      </c>
      <c r="M304" s="3483"/>
      <c r="N304" s="3484">
        <f ca="1">M303/M297</f>
        <v>0.3559191641163495</v>
      </c>
      <c r="O304" s="39">
        <f>ROW()</f>
        <v>304</v>
      </c>
      <c r="P304" s="32">
        <f t="shared" ref="P304:V304" ca="1" si="258">MAX(-$N$304*P300,-0.5*P300)</f>
        <v>-1.0981107701618349</v>
      </c>
      <c r="Q304" s="32">
        <f t="shared" ca="1" si="258"/>
        <v>-2.2481932839954357</v>
      </c>
      <c r="R304" s="32">
        <f t="shared" ca="1" si="258"/>
        <v>-2.9277294214629395</v>
      </c>
      <c r="S304" s="32">
        <f t="shared" ca="1" si="258"/>
        <v>-2.9277294214629395</v>
      </c>
      <c r="T304" s="32">
        <f t="shared" ca="1" si="258"/>
        <v>-2.2481932839954357</v>
      </c>
      <c r="U304" s="32">
        <f t="shared" ca="1" si="258"/>
        <v>-2.9605308224063593</v>
      </c>
      <c r="V304" s="32">
        <f t="shared" ca="1" si="258"/>
        <v>-2.2481932839954357</v>
      </c>
      <c r="W304" s="590">
        <f ca="1">SUMPRODUCT(P$122:V$122,P304:V304)/W$122</f>
        <v>-2.647727779297457</v>
      </c>
      <c r="Y304" s="32">
        <f t="shared" ref="Y304:AE304" ca="1" si="259">MAX(-$N$304*Y300,-0.5*Y300)</f>
        <v>-1.0981107701618349</v>
      </c>
      <c r="Z304" s="32">
        <f t="shared" ca="1" si="259"/>
        <v>-2.2481932839954357</v>
      </c>
      <c r="AA304" s="32">
        <f t="shared" ca="1" si="259"/>
        <v>-2.9277294214629395</v>
      </c>
      <c r="AB304" s="32">
        <f t="shared" ca="1" si="259"/>
        <v>-2.9277294214629395</v>
      </c>
      <c r="AC304" s="32">
        <f t="shared" ca="1" si="259"/>
        <v>-2.2481932839954357</v>
      </c>
      <c r="AD304" s="32">
        <f t="shared" ca="1" si="259"/>
        <v>-2.9605308224063593</v>
      </c>
      <c r="AE304" s="32">
        <f t="shared" ca="1" si="259"/>
        <v>-2.2481932839954357</v>
      </c>
      <c r="AF304" s="590">
        <f ca="1">SUMPRODUCT(Y$122:AE$122,Y304:AE304)/AF$122</f>
        <v>-2.5279670059939061</v>
      </c>
      <c r="AH304" s="611"/>
      <c r="AO304" s="590"/>
      <c r="AQ304" s="1581"/>
      <c r="AR304" s="300"/>
      <c r="AZ304" s="32">
        <f t="shared" ref="AZ304:BF304" ca="1" si="260">MAX(-$N$304*AZ300,-0.5*AZ300)</f>
        <v>-1.94395462659899</v>
      </c>
      <c r="BA304" s="32">
        <f t="shared" ca="1" si="260"/>
        <v>-4.1335192814227266</v>
      </c>
      <c r="BB304" s="32">
        <f t="shared" ca="1" si="260"/>
        <v>-5.4391724968019703</v>
      </c>
      <c r="BC304" s="32">
        <f t="shared" ca="1" si="260"/>
        <v>-5.4391724968019703</v>
      </c>
      <c r="BD304" s="32">
        <f t="shared" ca="1" si="260"/>
        <v>-4.1335192814227266</v>
      </c>
      <c r="BE304" s="32">
        <f t="shared" ca="1" si="260"/>
        <v>-5.5009971268523943</v>
      </c>
      <c r="BF304" s="32">
        <f t="shared" ca="1" si="260"/>
        <v>-4.1335192814227266</v>
      </c>
      <c r="BG304" s="590">
        <f ca="1">SUMPRODUCT(AZ$122:BF$122,AZ304:BF304)/BG$122</f>
        <v>-4.7138299110004693</v>
      </c>
      <c r="BI304" s="32">
        <f t="shared" ref="BI304:BO304" ca="1" si="261">MAX(-$N$304*BI300,-0.5*BI300)</f>
        <v>-1.7322557004119665</v>
      </c>
      <c r="BJ304" s="32">
        <f t="shared" ca="1" si="261"/>
        <v>-3.6699949203998163</v>
      </c>
      <c r="BK304" s="32">
        <f t="shared" ca="1" si="261"/>
        <v>-4.8182572390066305</v>
      </c>
      <c r="BL304" s="32">
        <f t="shared" ca="1" si="261"/>
        <v>-4.8182572390066305</v>
      </c>
      <c r="BM304" s="32">
        <f t="shared" ca="1" si="261"/>
        <v>-3.6699949203998163</v>
      </c>
      <c r="BN304" s="32">
        <f t="shared" ca="1" si="261"/>
        <v>-4.873349094734805</v>
      </c>
      <c r="BO304" s="32">
        <f t="shared" ca="1" si="261"/>
        <v>-3.6699949203998163</v>
      </c>
      <c r="BP304" s="590">
        <f ca="1">SUMPRODUCT(BI$122:BO$122,BI304:BO304)/BP$122</f>
        <v>-4.1795214912110978</v>
      </c>
    </row>
    <row r="305" spans="1:68" s="3467" customFormat="1" ht="13.2" customHeight="1">
      <c r="B305" s="316" t="s">
        <v>6065</v>
      </c>
      <c r="M305" s="4308" t="s">
        <v>6078</v>
      </c>
      <c r="N305" s="4309"/>
      <c r="O305" s="39">
        <f>ROW()</f>
        <v>305</v>
      </c>
      <c r="P305" s="39">
        <f t="shared" ref="P305:V305" si="262">P239</f>
        <v>0.05</v>
      </c>
      <c r="Q305" s="39">
        <f t="shared" si="262"/>
        <v>0.15</v>
      </c>
      <c r="R305" s="39">
        <f t="shared" si="262"/>
        <v>0.48</v>
      </c>
      <c r="S305" s="39">
        <f t="shared" si="262"/>
        <v>0.48</v>
      </c>
      <c r="T305" s="39">
        <f t="shared" si="262"/>
        <v>0.48</v>
      </c>
      <c r="U305" s="39">
        <f t="shared" si="262"/>
        <v>0.35</v>
      </c>
      <c r="V305" s="39">
        <f t="shared" si="262"/>
        <v>0.3</v>
      </c>
      <c r="W305" s="3468"/>
      <c r="Y305" s="39">
        <f t="shared" ref="Y305:AE305" si="263">Y239</f>
        <v>0.1</v>
      </c>
      <c r="Z305" s="39">
        <f t="shared" si="263"/>
        <v>0.25</v>
      </c>
      <c r="AA305" s="39">
        <f t="shared" si="263"/>
        <v>0.5</v>
      </c>
      <c r="AB305" s="39">
        <f t="shared" si="263"/>
        <v>0.5</v>
      </c>
      <c r="AC305" s="39">
        <f t="shared" si="263"/>
        <v>0.5</v>
      </c>
      <c r="AD305" s="39">
        <f t="shared" si="263"/>
        <v>0.4</v>
      </c>
      <c r="AE305" s="39">
        <f t="shared" si="263"/>
        <v>0.3</v>
      </c>
      <c r="AF305" s="3468"/>
      <c r="AH305" s="611"/>
      <c r="AO305" s="3468"/>
      <c r="AQ305" s="1581"/>
      <c r="AR305" s="300"/>
      <c r="AZ305" s="39">
        <f t="shared" ref="AZ305:BF305" si="264">AZ239</f>
        <v>0.01</v>
      </c>
      <c r="BA305" s="39">
        <f t="shared" si="264"/>
        <v>0.02</v>
      </c>
      <c r="BB305" s="39">
        <f t="shared" si="264"/>
        <v>0.03</v>
      </c>
      <c r="BC305" s="39">
        <f t="shared" si="264"/>
        <v>0.03</v>
      </c>
      <c r="BD305" s="39">
        <f t="shared" si="264"/>
        <v>0.03</v>
      </c>
      <c r="BE305" s="39">
        <f t="shared" si="264"/>
        <v>0.03</v>
      </c>
      <c r="BF305" s="39">
        <f t="shared" si="264"/>
        <v>0.02</v>
      </c>
      <c r="BG305" s="3468"/>
      <c r="BI305" s="39">
        <f t="shared" ref="BI305:BO305" si="265">BI239</f>
        <v>0</v>
      </c>
      <c r="BJ305" s="39">
        <f t="shared" si="265"/>
        <v>0.01</v>
      </c>
      <c r="BK305" s="39">
        <f t="shared" si="265"/>
        <v>0.02</v>
      </c>
      <c r="BL305" s="39">
        <f t="shared" si="265"/>
        <v>0.02</v>
      </c>
      <c r="BM305" s="39">
        <f t="shared" si="265"/>
        <v>0.02</v>
      </c>
      <c r="BN305" s="39">
        <f t="shared" si="265"/>
        <v>0.02</v>
      </c>
      <c r="BO305" s="39">
        <f t="shared" si="265"/>
        <v>0.01</v>
      </c>
      <c r="BP305" s="3468"/>
    </row>
    <row r="306" spans="1:68" s="3467" customFormat="1" ht="13.2" customHeight="1">
      <c r="B306" s="316" t="s">
        <v>6071</v>
      </c>
      <c r="G306" s="1100" t="str">
        <f>CONCATENATE("Reproduced from Row ",O244, ".")</f>
        <v>Reproduced from Row 244.</v>
      </c>
      <c r="M306" s="4310"/>
      <c r="N306" s="4311"/>
      <c r="O306" s="39">
        <f>ROW()</f>
        <v>306</v>
      </c>
      <c r="P306" s="32">
        <f t="shared" ref="P306:V306" si="266">P244</f>
        <v>10</v>
      </c>
      <c r="Q306" s="32">
        <f t="shared" si="266"/>
        <v>20</v>
      </c>
      <c r="R306" s="32">
        <f t="shared" si="266"/>
        <v>25</v>
      </c>
      <c r="S306" s="32">
        <f t="shared" si="266"/>
        <v>30</v>
      </c>
      <c r="T306" s="32">
        <f t="shared" si="266"/>
        <v>30</v>
      </c>
      <c r="U306" s="32">
        <f t="shared" si="266"/>
        <v>25</v>
      </c>
      <c r="V306" s="32">
        <f t="shared" si="266"/>
        <v>15</v>
      </c>
      <c r="W306" s="590">
        <f>SUMPRODUCT(P$122:V$122,P306:V306)/W$122</f>
        <v>25.011934114333293</v>
      </c>
      <c r="Y306" s="32">
        <f t="shared" ref="Y306:AE306" si="267">Y244</f>
        <v>10</v>
      </c>
      <c r="Z306" s="32">
        <f t="shared" si="267"/>
        <v>20</v>
      </c>
      <c r="AA306" s="32">
        <f t="shared" si="267"/>
        <v>25</v>
      </c>
      <c r="AB306" s="32">
        <f t="shared" si="267"/>
        <v>30</v>
      </c>
      <c r="AC306" s="32">
        <f t="shared" si="267"/>
        <v>30</v>
      </c>
      <c r="AD306" s="32">
        <f t="shared" si="267"/>
        <v>25</v>
      </c>
      <c r="AE306" s="32">
        <f t="shared" si="267"/>
        <v>15</v>
      </c>
      <c r="AF306" s="590">
        <f>SUMPRODUCT(Y$122:AE$122,Y306:AE306)/AF$122</f>
        <v>23.316340207677651</v>
      </c>
      <c r="AH306" s="611"/>
      <c r="AO306" s="590"/>
      <c r="AQ306" s="1581"/>
      <c r="AR306" s="300"/>
      <c r="AZ306" s="32">
        <f t="shared" ref="AZ306:BF306" si="268">AZ244</f>
        <v>15</v>
      </c>
      <c r="BA306" s="32">
        <f t="shared" si="268"/>
        <v>30</v>
      </c>
      <c r="BB306" s="32">
        <f t="shared" si="268"/>
        <v>37.5</v>
      </c>
      <c r="BC306" s="32">
        <f t="shared" si="268"/>
        <v>45</v>
      </c>
      <c r="BD306" s="32">
        <f t="shared" si="268"/>
        <v>45</v>
      </c>
      <c r="BE306" s="32">
        <f t="shared" si="268"/>
        <v>37.5</v>
      </c>
      <c r="BF306" s="32">
        <f t="shared" si="268"/>
        <v>22.5</v>
      </c>
      <c r="BG306" s="590">
        <f>SUMPRODUCT(AZ$122:BF$122,AZ306:BF306)/BG$122</f>
        <v>35.540324403397854</v>
      </c>
      <c r="BI306" s="32">
        <f t="shared" ref="BI306:BO306" si="269">BI244</f>
        <v>15</v>
      </c>
      <c r="BJ306" s="32">
        <f t="shared" si="269"/>
        <v>30</v>
      </c>
      <c r="BK306" s="32">
        <f t="shared" si="269"/>
        <v>37.5</v>
      </c>
      <c r="BL306" s="32">
        <f t="shared" si="269"/>
        <v>45</v>
      </c>
      <c r="BM306" s="32">
        <f t="shared" si="269"/>
        <v>45</v>
      </c>
      <c r="BN306" s="32">
        <f t="shared" si="269"/>
        <v>37.5</v>
      </c>
      <c r="BO306" s="32">
        <f t="shared" si="269"/>
        <v>22.5</v>
      </c>
      <c r="BP306" s="590">
        <f>SUMPRODUCT(BI$122:BO$122,BI306:BO306)/BP$122</f>
        <v>35.540324403397861</v>
      </c>
    </row>
    <row r="307" spans="1:68" s="3467" customFormat="1" ht="13.2" customHeight="1">
      <c r="B307" s="316" t="s">
        <v>6077</v>
      </c>
      <c r="G307" s="1100" t="str">
        <f>CONCATENATE("Sum of baseline in Row ",O306, " and change in Row ",O304, ".")</f>
        <v>Sum of baseline in Row 306 and change in Row 304.</v>
      </c>
      <c r="M307" s="4312"/>
      <c r="N307" s="4313"/>
      <c r="O307" s="39">
        <f>ROW()</f>
        <v>307</v>
      </c>
      <c r="P307" s="32">
        <f t="shared" ref="P307:V307" ca="1" si="270">MAX(0,P306+P304)</f>
        <v>8.9018892298381651</v>
      </c>
      <c r="Q307" s="32">
        <f t="shared" ca="1" si="270"/>
        <v>17.751806716004566</v>
      </c>
      <c r="R307" s="32">
        <f t="shared" ca="1" si="270"/>
        <v>22.072270578537061</v>
      </c>
      <c r="S307" s="32">
        <f t="shared" ca="1" si="270"/>
        <v>27.072270578537061</v>
      </c>
      <c r="T307" s="32">
        <f t="shared" ca="1" si="270"/>
        <v>27.751806716004566</v>
      </c>
      <c r="U307" s="32">
        <f t="shared" ca="1" si="270"/>
        <v>22.039469177593642</v>
      </c>
      <c r="V307" s="32">
        <f t="shared" ca="1" si="270"/>
        <v>12.751806716004564</v>
      </c>
      <c r="W307" s="590">
        <f ca="1">SUMPRODUCT(P$122:V$122,P307:V307)/W$122</f>
        <v>22.364206335035835</v>
      </c>
      <c r="Y307" s="32">
        <f t="shared" ref="Y307:AE307" ca="1" si="271">MAX(0,Y306+Y304)</f>
        <v>8.9018892298381651</v>
      </c>
      <c r="Z307" s="32">
        <f t="shared" ca="1" si="271"/>
        <v>17.751806716004566</v>
      </c>
      <c r="AA307" s="32">
        <f t="shared" ca="1" si="271"/>
        <v>22.072270578537061</v>
      </c>
      <c r="AB307" s="32">
        <f t="shared" ca="1" si="271"/>
        <v>27.072270578537061</v>
      </c>
      <c r="AC307" s="32">
        <f t="shared" ca="1" si="271"/>
        <v>27.751806716004566</v>
      </c>
      <c r="AD307" s="32">
        <f t="shared" ca="1" si="271"/>
        <v>22.039469177593642</v>
      </c>
      <c r="AE307" s="32">
        <f t="shared" ca="1" si="271"/>
        <v>12.751806716004564</v>
      </c>
      <c r="AF307" s="590">
        <f ca="1">SUMPRODUCT(Y$122:AE$122,Y307:AE307)/AF$122</f>
        <v>20.788373201683743</v>
      </c>
      <c r="AH307" s="611"/>
      <c r="AO307" s="590"/>
      <c r="AQ307" s="1581"/>
      <c r="AR307" s="300"/>
      <c r="AZ307" s="32">
        <f t="shared" ref="AZ307:BF307" ca="1" si="272">MAX(0,AZ306+AZ304)</f>
        <v>13.056045373401011</v>
      </c>
      <c r="BA307" s="32">
        <f t="shared" ca="1" si="272"/>
        <v>25.866480718577272</v>
      </c>
      <c r="BB307" s="32">
        <f t="shared" ca="1" si="272"/>
        <v>32.060827503198027</v>
      </c>
      <c r="BC307" s="32">
        <f t="shared" ca="1" si="272"/>
        <v>39.560827503198027</v>
      </c>
      <c r="BD307" s="32">
        <f t="shared" ca="1" si="272"/>
        <v>40.866480718577272</v>
      </c>
      <c r="BE307" s="32">
        <f t="shared" ca="1" si="272"/>
        <v>31.999002873147607</v>
      </c>
      <c r="BF307" s="32">
        <f t="shared" ca="1" si="272"/>
        <v>18.366480718577272</v>
      </c>
      <c r="BG307" s="590">
        <f ca="1">SUMPRODUCT(AZ$122:BF$122,AZ307:BF307)/BG$122</f>
        <v>30.82649449239738</v>
      </c>
      <c r="BI307" s="32">
        <f t="shared" ref="BI307:BO307" ca="1" si="273">MAX(0,BI306+BI304)</f>
        <v>13.267744299588033</v>
      </c>
      <c r="BJ307" s="32">
        <f t="shared" ca="1" si="273"/>
        <v>26.330005079600184</v>
      </c>
      <c r="BK307" s="32">
        <f t="shared" ca="1" si="273"/>
        <v>32.681742760993373</v>
      </c>
      <c r="BL307" s="32">
        <f t="shared" ca="1" si="273"/>
        <v>40.181742760993373</v>
      </c>
      <c r="BM307" s="32">
        <f t="shared" ca="1" si="273"/>
        <v>41.330005079600184</v>
      </c>
      <c r="BN307" s="32">
        <f t="shared" ca="1" si="273"/>
        <v>32.626650905265194</v>
      </c>
      <c r="BO307" s="32">
        <f t="shared" ca="1" si="273"/>
        <v>18.830005079600184</v>
      </c>
      <c r="BP307" s="590">
        <f ca="1">SUMPRODUCT(BI$122:BO$122,BI307:BO307)/BP$122</f>
        <v>31.36080291218676</v>
      </c>
    </row>
    <row r="308" spans="1:68" s="3467" customFormat="1" ht="13.2" customHeight="1">
      <c r="B308" s="316" t="s">
        <v>6072</v>
      </c>
      <c r="I308" s="1100" t="str">
        <f>CONCATENATE("Product of % in Row ",O305, " and $ change in Row ",O304, ".")</f>
        <v>Product of % in Row 305 and $ change in Row 304.</v>
      </c>
      <c r="O308" s="39">
        <f>ROW()</f>
        <v>308</v>
      </c>
      <c r="P308" s="32">
        <f t="shared" ref="P308:V308" ca="1" si="274">P305*P304</f>
        <v>-5.4905538508091746E-2</v>
      </c>
      <c r="Q308" s="32">
        <f t="shared" ca="1" si="274"/>
        <v>-0.33722899259931532</v>
      </c>
      <c r="R308" s="32">
        <f t="shared" ca="1" si="274"/>
        <v>-1.4053101223022109</v>
      </c>
      <c r="S308" s="32">
        <f t="shared" ca="1" si="274"/>
        <v>-1.4053101223022109</v>
      </c>
      <c r="T308" s="32">
        <f t="shared" ca="1" si="274"/>
        <v>-1.0791327763178091</v>
      </c>
      <c r="U308" s="32">
        <f t="shared" ca="1" si="274"/>
        <v>-1.0361857878422258</v>
      </c>
      <c r="V308" s="32">
        <f t="shared" ca="1" si="274"/>
        <v>-0.67445798519863065</v>
      </c>
      <c r="W308" s="590">
        <f ca="1">SUMPRODUCT(P$122:V$122,P308:V308)/W$122</f>
        <v>-1.0988653228647007</v>
      </c>
      <c r="Y308" s="32">
        <f t="shared" ref="Y308:AE308" ca="1" si="275">Y305*Y304</f>
        <v>-0.10981107701618349</v>
      </c>
      <c r="Z308" s="32">
        <f t="shared" ca="1" si="275"/>
        <v>-0.56204832099885893</v>
      </c>
      <c r="AA308" s="32">
        <f t="shared" ca="1" si="275"/>
        <v>-1.4638647107314697</v>
      </c>
      <c r="AB308" s="32">
        <f t="shared" ca="1" si="275"/>
        <v>-1.4638647107314697</v>
      </c>
      <c r="AC308" s="32">
        <f t="shared" ca="1" si="275"/>
        <v>-1.1240966419977179</v>
      </c>
      <c r="AD308" s="32">
        <f t="shared" ca="1" si="275"/>
        <v>-1.1842123289625437</v>
      </c>
      <c r="AE308" s="32">
        <f t="shared" ca="1" si="275"/>
        <v>-0.67445798519863065</v>
      </c>
      <c r="AF308" s="590">
        <f ca="1">SUMPRODUCT(Y$122:AE$122,Y308:AE308)/AF$122</f>
        <v>-1.0279002977130853</v>
      </c>
      <c r="AH308" s="611"/>
      <c r="AO308" s="590"/>
      <c r="AQ308" s="1581"/>
      <c r="AR308" s="300"/>
      <c r="AS308" s="300"/>
      <c r="AT308" s="300"/>
      <c r="AU308" s="300"/>
      <c r="AV308" s="3601" t="s">
        <v>6373</v>
      </c>
      <c r="AW308" s="3597"/>
      <c r="AX308" s="3596">
        <f>Taxis!L474</f>
        <v>0</v>
      </c>
      <c r="AZ308" s="32">
        <f t="shared" ref="AZ308:BF308" ca="1" si="276">AZ305*AZ304</f>
        <v>-1.9439546265989899E-2</v>
      </c>
      <c r="BA308" s="32">
        <f t="shared" ca="1" si="276"/>
        <v>-8.2670385628454537E-2</v>
      </c>
      <c r="BB308" s="32">
        <f t="shared" ca="1" si="276"/>
        <v>-0.16317517490405911</v>
      </c>
      <c r="BC308" s="32">
        <f t="shared" ca="1" si="276"/>
        <v>-0.16317517490405911</v>
      </c>
      <c r="BD308" s="32">
        <f t="shared" ca="1" si="276"/>
        <v>-0.1240055784426818</v>
      </c>
      <c r="BE308" s="32">
        <f t="shared" ca="1" si="276"/>
        <v>-0.16502991380557183</v>
      </c>
      <c r="BF308" s="32">
        <f t="shared" ca="1" si="276"/>
        <v>-8.2670385628454537E-2</v>
      </c>
      <c r="BG308" s="590">
        <f ca="1">SUMPRODUCT(AZ$122:BF$122,AZ308:BF308)/BG$122</f>
        <v>-0.13207452122716726</v>
      </c>
      <c r="BI308" s="32">
        <f t="shared" ref="BI308:BO308" ca="1" si="277">BI305*BI304</f>
        <v>0</v>
      </c>
      <c r="BJ308" s="32">
        <f t="shared" ca="1" si="277"/>
        <v>-3.6699949203998161E-2</v>
      </c>
      <c r="BK308" s="32">
        <f t="shared" ca="1" si="277"/>
        <v>-9.6365144780132611E-2</v>
      </c>
      <c r="BL308" s="32">
        <f t="shared" ca="1" si="277"/>
        <v>-9.6365144780132611E-2</v>
      </c>
      <c r="BM308" s="32">
        <f t="shared" ca="1" si="277"/>
        <v>-7.3399898407996322E-2</v>
      </c>
      <c r="BN308" s="32">
        <f t="shared" ca="1" si="277"/>
        <v>-9.7466981894696103E-2</v>
      </c>
      <c r="BO308" s="32">
        <f t="shared" ca="1" si="277"/>
        <v>-3.6699949203998161E-2</v>
      </c>
      <c r="BP308" s="590">
        <f ca="1">SUMPRODUCT(BI$122:BO$122,BI308:BO308)/BP$122</f>
        <v>-7.5286500505050202E-2</v>
      </c>
    </row>
    <row r="309" spans="1:68" s="3467" customFormat="1" ht="13.2" customHeight="1">
      <c r="B309" s="316"/>
      <c r="I309" s="1100"/>
      <c r="O309" s="39">
        <f>ROW()</f>
        <v>309</v>
      </c>
      <c r="P309" s="32"/>
      <c r="Q309" s="32"/>
      <c r="R309" s="32"/>
      <c r="S309" s="32"/>
      <c r="T309" s="32"/>
      <c r="U309" s="32"/>
      <c r="V309" s="32"/>
      <c r="W309" s="3468"/>
      <c r="Y309" s="32"/>
      <c r="Z309" s="32"/>
      <c r="AA309" s="32"/>
      <c r="AB309" s="32"/>
      <c r="AC309" s="32"/>
      <c r="AD309" s="32"/>
      <c r="AE309" s="32"/>
      <c r="AF309" s="3468"/>
      <c r="AH309" s="611"/>
      <c r="AO309" s="3468"/>
      <c r="AQ309" s="1581"/>
      <c r="AR309" s="300"/>
      <c r="AS309" s="300"/>
      <c r="AT309" s="300"/>
      <c r="AU309" s="300"/>
      <c r="AV309" s="4396" t="str">
        <f>CONCATENATE("Decided through an exogenous process, and set in Taxis worksheet tab, in Row ",Taxis!O474, ".")</f>
        <v>Decided through an exogenous process, and set in Taxis worksheet tab, in Row 474.</v>
      </c>
      <c r="AW309" s="3678"/>
      <c r="AX309" s="3678"/>
      <c r="AZ309" s="32"/>
      <c r="BA309" s="32"/>
      <c r="BB309" s="32"/>
      <c r="BC309" s="32"/>
      <c r="BD309" s="32"/>
      <c r="BE309" s="32"/>
      <c r="BF309" s="32"/>
      <c r="BG309" s="3468"/>
      <c r="BI309" s="32"/>
      <c r="BJ309" s="32"/>
      <c r="BK309" s="32"/>
      <c r="BL309" s="32"/>
      <c r="BM309" s="32"/>
      <c r="BN309" s="32"/>
      <c r="BO309" s="32"/>
      <c r="BP309" s="3468"/>
    </row>
    <row r="310" spans="1:68" s="3467" customFormat="1" ht="13.2" customHeight="1">
      <c r="B310" s="2480" t="s">
        <v>6074</v>
      </c>
      <c r="C310" s="3468"/>
      <c r="D310" s="3468"/>
      <c r="E310" s="3468"/>
      <c r="F310" s="3468"/>
      <c r="G310" s="3468"/>
      <c r="H310" s="1100" t="str">
        <f>CONCATENATE("Sum of Rows ",O295," and ",O308,".")</f>
        <v>Sum of Rows 295 and 308.</v>
      </c>
      <c r="O310" s="39">
        <f>ROW()</f>
        <v>310</v>
      </c>
      <c r="P310" s="32">
        <f t="shared" ref="P310:V310" ca="1" si="278">P295+P308</f>
        <v>13.386407203103946</v>
      </c>
      <c r="Q310" s="32">
        <f t="shared" ca="1" si="278"/>
        <v>20.224233614004387</v>
      </c>
      <c r="R310" s="32">
        <f t="shared" ca="1" si="278"/>
        <v>34.659400468771793</v>
      </c>
      <c r="S310" s="32">
        <f t="shared" ca="1" si="278"/>
        <v>37.399592274609383</v>
      </c>
      <c r="T310" s="32">
        <f t="shared" ca="1" si="278"/>
        <v>33.743186252800555</v>
      </c>
      <c r="U310" s="32">
        <f t="shared" ca="1" si="278"/>
        <v>31.658595400644192</v>
      </c>
      <c r="V310" s="32">
        <f t="shared" ca="1" si="278"/>
        <v>22.945586787021035</v>
      </c>
      <c r="W310" s="590">
        <f ca="1">SUMPRODUCT(P$122:V$122,P310:V310)/W$122</f>
        <v>31.712272826900371</v>
      </c>
      <c r="Y310" s="32">
        <f t="shared" ref="Y310:AE310" ca="1" si="279">Y295+Y308</f>
        <v>14.201501664595853</v>
      </c>
      <c r="Z310" s="32">
        <f t="shared" ca="1" si="279"/>
        <v>23.039414285604842</v>
      </c>
      <c r="AA310" s="32">
        <f t="shared" ca="1" si="279"/>
        <v>34.760845880342536</v>
      </c>
      <c r="AB310" s="32">
        <f t="shared" ca="1" si="279"/>
        <v>37.431037686180126</v>
      </c>
      <c r="AC310" s="32">
        <f t="shared" ca="1" si="279"/>
        <v>33.978222387120653</v>
      </c>
      <c r="AD310" s="32">
        <f t="shared" ca="1" si="279"/>
        <v>32.920568859523875</v>
      </c>
      <c r="AE310" s="32">
        <f t="shared" ca="1" si="279"/>
        <v>22.785586787021035</v>
      </c>
      <c r="AF310" s="590">
        <f ca="1">SUMPRODUCT(Y$122:AE$122,Y310:AE310)/AF$122</f>
        <v>30.166213571342663</v>
      </c>
      <c r="AH310" s="32">
        <f t="shared" ref="AH310:AN310" si="280">AH295+AH308</f>
        <v>19.487826230110375</v>
      </c>
      <c r="AI310" s="32">
        <f t="shared" si="280"/>
        <v>27.173614661218878</v>
      </c>
      <c r="AJ310" s="32">
        <f t="shared" si="280"/>
        <v>35.798684700662612</v>
      </c>
      <c r="AK310" s="32">
        <f t="shared" si="280"/>
        <v>34.454442765438522</v>
      </c>
      <c r="AL310" s="32">
        <f t="shared" si="280"/>
        <v>30.05311414164639</v>
      </c>
      <c r="AM310" s="32">
        <f t="shared" si="280"/>
        <v>36.423952178153947</v>
      </c>
      <c r="AN310" s="32">
        <f t="shared" si="280"/>
        <v>28.597610546034655</v>
      </c>
      <c r="AO310" s="590">
        <f>SUMPRODUCT(AH$122:AN$122,AH310:AN310)/AO$122</f>
        <v>30.727121338805091</v>
      </c>
      <c r="AQ310" s="1581"/>
      <c r="AR310" s="300"/>
      <c r="AS310" s="300"/>
      <c r="AT310" s="300"/>
      <c r="AU310" s="300"/>
      <c r="AV310" s="3659"/>
      <c r="AW310" s="3659"/>
      <c r="AX310" s="3659"/>
      <c r="AZ310" s="32">
        <f t="shared" ref="AZ310:BF310" ca="1" si="281">AZ295+AZ308</f>
        <v>23.71704862510861</v>
      </c>
      <c r="BA310" s="32">
        <f t="shared" ca="1" si="281"/>
        <v>32.765752175122373</v>
      </c>
      <c r="BB310" s="32">
        <f t="shared" ca="1" si="281"/>
        <v>42.799333083810005</v>
      </c>
      <c r="BC310" s="32">
        <f t="shared" ca="1" si="281"/>
        <v>41.305917498763883</v>
      </c>
      <c r="BD310" s="32">
        <f t="shared" ca="1" si="281"/>
        <v>35.926129827337476</v>
      </c>
      <c r="BE310" s="32">
        <f t="shared" ca="1" si="281"/>
        <v>44.318875946717839</v>
      </c>
      <c r="BF310" s="32">
        <f t="shared" ca="1" si="281"/>
        <v>34.532916506354304</v>
      </c>
      <c r="BG310" s="590">
        <f ca="1">SUMPRODUCT(AZ$122:BF$122,AZ310:BF310)/BG$122</f>
        <v>38.943548491194385</v>
      </c>
      <c r="BI310" s="32">
        <f t="shared" ref="BI310:BO310" ca="1" si="282">BI295+BI308</f>
        <v>28.780284629640931</v>
      </c>
      <c r="BJ310" s="32">
        <f t="shared" ca="1" si="282"/>
        <v>36.838905044128602</v>
      </c>
      <c r="BK310" s="32">
        <f t="shared" ca="1" si="282"/>
        <v>49.617660434798395</v>
      </c>
      <c r="BL310" s="32">
        <f t="shared" ca="1" si="282"/>
        <v>46.631336253950522</v>
      </c>
      <c r="BM310" s="32">
        <f t="shared" ca="1" si="282"/>
        <v>40.974774362468608</v>
      </c>
      <c r="BN310" s="32">
        <f t="shared" ca="1" si="282"/>
        <v>51.599785949180657</v>
      </c>
      <c r="BO310" s="32">
        <f t="shared" ca="1" si="282"/>
        <v>39.639651540976502</v>
      </c>
      <c r="BP310" s="590">
        <f ca="1">SUMPRODUCT(BI$122:BO$122,BI310:BO310)/BP$122</f>
        <v>45.039945460659183</v>
      </c>
    </row>
    <row r="311" spans="1:68" s="3467" customFormat="1" ht="13.2" customHeight="1">
      <c r="B311" s="985"/>
      <c r="O311" s="39">
        <f>ROW()</f>
        <v>311</v>
      </c>
      <c r="P311" s="32"/>
      <c r="Q311" s="32"/>
      <c r="R311" s="32"/>
      <c r="S311" s="32"/>
      <c r="T311" s="32"/>
      <c r="U311" s="32"/>
      <c r="V311" s="32"/>
      <c r="W311" s="32"/>
      <c r="Y311" s="32"/>
      <c r="Z311" s="32"/>
      <c r="AA311" s="32"/>
      <c r="AB311" s="32"/>
      <c r="AC311" s="32"/>
      <c r="AD311" s="32"/>
      <c r="AE311" s="32"/>
      <c r="AF311" s="32"/>
      <c r="AH311" s="611"/>
      <c r="AQ311" s="1581"/>
      <c r="AR311" s="300"/>
      <c r="AS311" s="300"/>
      <c r="AT311" s="300"/>
      <c r="AU311" s="300"/>
      <c r="AZ311" s="32"/>
      <c r="BA311" s="32"/>
      <c r="BB311" s="32"/>
      <c r="BC311" s="32"/>
      <c r="BD311" s="32"/>
      <c r="BE311" s="32"/>
      <c r="BF311" s="32"/>
      <c r="BG311" s="32"/>
      <c r="BI311" s="32"/>
      <c r="BJ311" s="32"/>
      <c r="BK311" s="32"/>
      <c r="BL311" s="32"/>
      <c r="BM311" s="32"/>
      <c r="BN311" s="32"/>
      <c r="BO311" s="32"/>
      <c r="BP311" s="32"/>
    </row>
    <row r="312" spans="1:68" s="3467" customFormat="1" ht="13.2" customHeight="1">
      <c r="B312" s="2480" t="s">
        <v>6073</v>
      </c>
      <c r="H312" s="1100" t="str">
        <f>CONCATENATE("Ratio of new trip cost in Row ",O310, " to old trip cost in Row ",O253,".")</f>
        <v>Ratio of new trip cost in Row 310 to old trip cost in Row 253.</v>
      </c>
      <c r="O312" s="39">
        <f>ROW()</f>
        <v>312</v>
      </c>
      <c r="P312" s="1704">
        <f t="shared" ref="P312:V312" ca="1" si="283">P310/P253</f>
        <v>1.2545554827214183</v>
      </c>
      <c r="Q312" s="1704">
        <f t="shared" ca="1" si="283"/>
        <v>1.3584100538597645</v>
      </c>
      <c r="R312" s="1704">
        <f t="shared" ca="1" si="283"/>
        <v>1.208629644748707</v>
      </c>
      <c r="S312" s="1704">
        <f t="shared" ca="1" si="283"/>
        <v>1.1904328450274166</v>
      </c>
      <c r="T312" s="1704">
        <f t="shared" ca="1" si="283"/>
        <v>1.1576095559809225</v>
      </c>
      <c r="U312" s="1704">
        <f t="shared" ca="1" si="283"/>
        <v>1.2551028075603845</v>
      </c>
      <c r="V312" s="1704">
        <f t="shared" ca="1" si="283"/>
        <v>1.2785373313474711</v>
      </c>
      <c r="Y312" s="1704">
        <f t="shared" ref="Y312:AE312" ca="1" si="284">Y310/Y253</f>
        <v>1.230607209073626</v>
      </c>
      <c r="Z312" s="1704">
        <f t="shared" ca="1" si="284"/>
        <v>1.2850960331527488</v>
      </c>
      <c r="AA312" s="1704">
        <f t="shared" ca="1" si="284"/>
        <v>1.2054414984001369</v>
      </c>
      <c r="AB312" s="1704">
        <f t="shared" ca="1" si="284"/>
        <v>1.1880303940925847</v>
      </c>
      <c r="AC312" s="1704">
        <f t="shared" ca="1" si="284"/>
        <v>1.1545821179037086</v>
      </c>
      <c r="AD312" s="1704">
        <f t="shared" ca="1" si="284"/>
        <v>1.2360398320691519</v>
      </c>
      <c r="AE312" s="1704">
        <f t="shared" ca="1" si="284"/>
        <v>1.2810429031366306</v>
      </c>
      <c r="AH312" s="1704">
        <f t="shared" ref="AH312:AN312" si="285">AH310/AH253</f>
        <v>1.3439978393775676</v>
      </c>
      <c r="AI312" s="1704">
        <f t="shared" si="285"/>
        <v>1.6020591739976504</v>
      </c>
      <c r="AJ312" s="1704">
        <f t="shared" si="285"/>
        <v>1.5910453762911247</v>
      </c>
      <c r="AK312" s="1704">
        <f t="shared" si="285"/>
        <v>1.6286003584016044</v>
      </c>
      <c r="AL312" s="1704">
        <f t="shared" si="285"/>
        <v>1.5146838694372851</v>
      </c>
      <c r="AM312" s="1704">
        <f t="shared" si="285"/>
        <v>1.5852783084272013</v>
      </c>
      <c r="AN312" s="1704">
        <f t="shared" si="285"/>
        <v>1.5554288622871986</v>
      </c>
      <c r="AQ312" s="1581"/>
      <c r="AR312" s="300"/>
      <c r="AS312" s="300"/>
      <c r="AT312" s="300"/>
      <c r="AU312" s="300"/>
      <c r="AV312" s="3601" t="s">
        <v>6371</v>
      </c>
      <c r="AW312" s="3597"/>
      <c r="AX312" s="3598">
        <f>AX308/Taxis!L192</f>
        <v>0</v>
      </c>
      <c r="AZ312" s="1704">
        <f t="shared" ref="AZ312:BF312" ca="1" si="286">AZ310/AZ253</f>
        <v>1.2978077325423789</v>
      </c>
      <c r="BA312" s="1704">
        <f t="shared" ca="1" si="286"/>
        <v>1.5430231881907723</v>
      </c>
      <c r="BB312" s="1704">
        <f t="shared" ca="1" si="286"/>
        <v>1.5461927742162005</v>
      </c>
      <c r="BC312" s="1704">
        <f t="shared" ca="1" si="286"/>
        <v>1.5773414854179002</v>
      </c>
      <c r="BD312" s="1704">
        <f t="shared" ca="1" si="286"/>
        <v>1.470183775725429</v>
      </c>
      <c r="BE312" s="1704">
        <f t="shared" ca="1" si="286"/>
        <v>1.5267547150035581</v>
      </c>
      <c r="BF312" s="1704">
        <f t="shared" ca="1" si="286"/>
        <v>1.501304481669953</v>
      </c>
      <c r="BI312" s="1704">
        <f t="shared" ref="BI312:BO312" ca="1" si="287">BI310/BI253</f>
        <v>1.2035266324157068</v>
      </c>
      <c r="BJ312" s="1704">
        <f t="shared" ca="1" si="287"/>
        <v>1.3867830173677673</v>
      </c>
      <c r="BK312" s="1704">
        <f t="shared" ca="1" si="287"/>
        <v>1.3715431659417257</v>
      </c>
      <c r="BL312" s="1704">
        <f t="shared" ca="1" si="287"/>
        <v>1.40497316756736</v>
      </c>
      <c r="BM312" s="1704">
        <f t="shared" ca="1" si="287"/>
        <v>1.3330827055487264</v>
      </c>
      <c r="BN312" s="1704">
        <f t="shared" ca="1" si="287"/>
        <v>1.3577118506480967</v>
      </c>
      <c r="BO312" s="1704">
        <f t="shared" ca="1" si="287"/>
        <v>1.3498928465391868</v>
      </c>
    </row>
    <row r="313" spans="1:68" s="3467" customFormat="1" ht="13.2" customHeight="1">
      <c r="O313" s="39">
        <f>ROW()</f>
        <v>313</v>
      </c>
      <c r="P313" s="32"/>
      <c r="Q313" s="32"/>
      <c r="R313" s="32"/>
      <c r="S313" s="32"/>
      <c r="T313" s="32"/>
      <c r="U313" s="32"/>
      <c r="V313" s="32"/>
      <c r="Y313" s="32"/>
      <c r="Z313" s="32"/>
      <c r="AA313" s="32"/>
      <c r="AB313" s="32"/>
      <c r="AC313" s="32"/>
      <c r="AD313" s="32"/>
      <c r="AE313" s="32"/>
      <c r="AH313" s="611"/>
      <c r="AQ313" s="1581"/>
      <c r="AR313" s="300"/>
      <c r="AS313" s="300"/>
      <c r="AT313" s="300"/>
      <c r="AU313" s="300"/>
      <c r="AV313" s="4396" t="str">
        <f>CONCATENATE("Ratio of Cell AX",O308, " to baseline number of medallion taxis, in 'Taxis' tab, Row ",Taxis!O192,".")</f>
        <v>Ratio of Cell AX308 to baseline number of medallion taxis, in 'Taxis' tab, Row 192.</v>
      </c>
      <c r="AW313" s="3678"/>
      <c r="AX313" s="3678"/>
      <c r="AZ313" s="32"/>
      <c r="BA313" s="32"/>
      <c r="BB313" s="32"/>
      <c r="BC313" s="32"/>
      <c r="BD313" s="32"/>
      <c r="BE313" s="32"/>
      <c r="BF313" s="32"/>
      <c r="BI313" s="32"/>
      <c r="BJ313" s="32"/>
      <c r="BK313" s="32"/>
      <c r="BL313" s="32"/>
      <c r="BM313" s="32"/>
      <c r="BN313" s="32"/>
      <c r="BO313" s="32"/>
    </row>
    <row r="314" spans="1:68" ht="13.2" customHeight="1">
      <c r="B314" s="6" t="s">
        <v>431</v>
      </c>
      <c r="O314" s="39">
        <f>ROW()</f>
        <v>314</v>
      </c>
      <c r="Y314" s="3467"/>
      <c r="Z314" s="3467"/>
      <c r="AA314" s="3467"/>
      <c r="AB314" s="3467"/>
      <c r="AC314" s="3467"/>
      <c r="AD314" s="3467"/>
      <c r="AE314" s="3467"/>
      <c r="AF314" s="3467"/>
      <c r="AV314" s="3659"/>
      <c r="AW314" s="3659"/>
      <c r="AX314" s="3659"/>
    </row>
    <row r="315" spans="1:68" ht="13.2" customHeight="1">
      <c r="A315" s="86"/>
      <c r="B315" s="1101" t="s">
        <v>4357</v>
      </c>
      <c r="C315" s="86"/>
      <c r="D315" s="86"/>
      <c r="E315" s="86"/>
      <c r="F315" s="86"/>
      <c r="G315" s="86"/>
      <c r="H315" s="86"/>
      <c r="I315" s="86"/>
      <c r="J315" s="86"/>
      <c r="K315" s="86"/>
      <c r="L315" s="3538"/>
      <c r="M315" s="86"/>
      <c r="N315" s="86"/>
      <c r="O315" s="785">
        <f>ROW()</f>
        <v>315</v>
      </c>
      <c r="P315" s="785">
        <f ca="1">P312^Elasticities!$G$51</f>
        <v>0.89280181323567354</v>
      </c>
      <c r="Q315" s="785">
        <f ca="1">Q312^Elasticities!$G$51</f>
        <v>0.85799460370726266</v>
      </c>
      <c r="R315" s="785">
        <f ca="1">R312^Elasticities!$G$51</f>
        <v>0.90960613084977149</v>
      </c>
      <c r="S315" s="785">
        <f ca="1">S312^Elasticities!$G$51</f>
        <v>0.91653182468601935</v>
      </c>
      <c r="T315" s="785">
        <f ca="1">T312^Elasticities!$G$51</f>
        <v>0.92943484077693705</v>
      </c>
      <c r="U315" s="785">
        <f ca="1">U312^Elasticities!$G$51</f>
        <v>0.89260712564107891</v>
      </c>
      <c r="V315" s="785">
        <f ca="1">V312^Elasticities!$G$51</f>
        <v>0.88438892089949528</v>
      </c>
      <c r="W315" s="1699"/>
      <c r="X315" s="86"/>
      <c r="Y315" s="785">
        <f ca="1">Y312^Elasticities!$H$51</f>
        <v>0.82964536371048792</v>
      </c>
      <c r="Z315" s="785">
        <f ca="1">Z312^Elasticities!$H$51</f>
        <v>0.79791747268109126</v>
      </c>
      <c r="AA315" s="785">
        <f ca="1">AA312^Elasticities!$H$51</f>
        <v>0.84521749036352201</v>
      </c>
      <c r="AB315" s="785">
        <f ca="1">AB312^Elasticities!$H$51</f>
        <v>0.85635769307548693</v>
      </c>
      <c r="AC315" s="785">
        <f ca="1">AC312^Elasticities!$H$51</f>
        <v>0.87865352523639806</v>
      </c>
      <c r="AD315" s="785">
        <f ca="1">AD312^Elasticities!$H$51</f>
        <v>0.82636284141089755</v>
      </c>
      <c r="AE315" s="785">
        <f ca="1">AE312^Elasticities!$H$51</f>
        <v>0.80018921315399172</v>
      </c>
      <c r="AF315" s="1699"/>
      <c r="AG315" s="86"/>
      <c r="AH315" s="785">
        <f>AH312^Elasticities!$I$51</f>
        <v>0.82147335863702153</v>
      </c>
      <c r="AI315" s="785">
        <f>AI312^Elasticities!$I$51</f>
        <v>0.73089424344783138</v>
      </c>
      <c r="AJ315" s="785">
        <f>AJ312^Elasticities!$I$51</f>
        <v>0.73425577997009184</v>
      </c>
      <c r="AK315" s="785">
        <f>AK312^Elasticities!$I$51</f>
        <v>0.72294944122375082</v>
      </c>
      <c r="AL315" s="785">
        <f>AL312^Elasticities!$I$51</f>
        <v>0.75867490894034839</v>
      </c>
      <c r="AM315" s="785">
        <f>AM312^Elasticities!$I$51</f>
        <v>0.7360314553887618</v>
      </c>
      <c r="AN315" s="785">
        <f>AN312^Elasticities!$I$51</f>
        <v>0.74539688255147574</v>
      </c>
      <c r="AO315" s="785"/>
      <c r="AP315" s="86"/>
      <c r="AY315" s="86"/>
      <c r="AZ315" s="785">
        <f ca="1">AZ312^(Elasticities!$J$62*Elasticities!$G$51)</f>
        <v>0.95748418002592306</v>
      </c>
      <c r="BA315" s="785">
        <f ca="1">BA312^(Elasticities!$J$62*Elasticities!$G$51)</f>
        <v>0.93026052262469905</v>
      </c>
      <c r="BB315" s="785">
        <f ca="1">BB312^(Elasticities!$J$62*Elasticities!$G$51)</f>
        <v>0.92994242274955552</v>
      </c>
      <c r="BC315" s="785">
        <f ca="1">BC312^(Elasticities!$J$62*Elasticities!$G$51)</f>
        <v>0.92685624191359028</v>
      </c>
      <c r="BD315" s="785">
        <f ca="1">BD312^(Elasticities!$J$62*Elasticities!$G$51)</f>
        <v>0.9377881249455795</v>
      </c>
      <c r="BE315" s="785">
        <f ca="1">BE312^(Elasticities!$J$62*Elasticities!$G$51)</f>
        <v>0.93190531429373868</v>
      </c>
      <c r="BF315" s="785">
        <f ca="1">BF312^(Elasticities!$J$62*Elasticities!$G$51)</f>
        <v>0.93451986268067799</v>
      </c>
      <c r="BG315" s="785"/>
      <c r="BH315" s="86"/>
      <c r="BI315" s="785">
        <f ca="1">BI312^(Elasticities!$J$63*Elasticities!$G$51)</f>
        <v>0.98164493364293681</v>
      </c>
      <c r="BJ315" s="785">
        <f ca="1">BJ312^(Elasticities!$J$63*Elasticities!$G$51)</f>
        <v>0.96783015299377606</v>
      </c>
      <c r="BK315" s="785">
        <f ca="1">BK312^(Elasticities!$J$63*Elasticities!$G$51)</f>
        <v>0.96890021427080064</v>
      </c>
      <c r="BL315" s="785">
        <f ca="1">BL312^(Elasticities!$J$63*Elasticities!$G$51)</f>
        <v>0.96656974501631876</v>
      </c>
      <c r="BM315" s="785">
        <f ca="1">BM312^(Elasticities!$J$63*Elasticities!$G$51)</f>
        <v>0.97165992378124033</v>
      </c>
      <c r="BN315" s="785">
        <f ca="1">BN312^(Elasticities!$J$63*Elasticities!$G$51)</f>
        <v>0.96988275880030161</v>
      </c>
      <c r="BO315" s="785">
        <f ca="1">BO312^(Elasticities!$J$63*Elasticities!$G$51)</f>
        <v>0.97044308644059796</v>
      </c>
      <c r="BP315" s="39"/>
    </row>
    <row r="316" spans="1:68" ht="13.2" customHeight="1">
      <c r="A316" s="86"/>
      <c r="B316" s="1700" t="str">
        <f>CONCATENATE("Calculated by raising factor change due to tolls in Row ",O312, " to price-elasticity for respective trip type shown in Elasticities worksheet.")</f>
        <v>Calculated by raising factor change due to tolls in Row 312 to price-elasticity for respective trip type shown in Elasticities worksheet.</v>
      </c>
      <c r="C316" s="86"/>
      <c r="D316" s="86"/>
      <c r="E316" s="86"/>
      <c r="F316" s="86"/>
      <c r="G316" s="86"/>
      <c r="H316" s="86"/>
      <c r="I316" s="86"/>
      <c r="J316" s="86"/>
      <c r="K316" s="86"/>
      <c r="L316" s="4397" t="s">
        <v>6170</v>
      </c>
      <c r="M316" s="4414"/>
      <c r="N316" s="4415"/>
      <c r="O316" s="785">
        <f>ROW()</f>
        <v>316</v>
      </c>
      <c r="P316" s="785"/>
      <c r="Q316" s="785"/>
      <c r="R316" s="785"/>
      <c r="S316" s="785"/>
      <c r="T316" s="785"/>
      <c r="U316" s="785"/>
      <c r="V316" s="785"/>
      <c r="W316" s="1699"/>
      <c r="X316" s="86"/>
      <c r="Y316" s="785"/>
      <c r="Z316" s="785"/>
      <c r="AA316" s="785"/>
      <c r="AB316" s="785"/>
      <c r="AC316" s="785"/>
      <c r="AD316" s="785"/>
      <c r="AE316" s="785"/>
      <c r="AF316" s="785"/>
      <c r="AG316" s="86"/>
      <c r="AH316" s="785"/>
      <c r="AI316" s="785"/>
      <c r="AJ316" s="785"/>
      <c r="AK316" s="785"/>
      <c r="AL316" s="785"/>
      <c r="AM316" s="785"/>
      <c r="AN316" s="785"/>
      <c r="AO316" s="785"/>
      <c r="AP316" s="86"/>
      <c r="AV316" s="4397" t="str">
        <f>CONCATENATE(" The 'IF' statement used to calculated value of Cell AX",O325, " allows its ordinary value to be overridden, in order to model exogenous change in number of medallion taxicabs. The override is triggered by the presence of a positive, non-zero value in the 'Taxis' worksheet tab, in Cell L",Taxis!O474, ". This causes Cell AX",O325, " to be calculated as the prorated change in weekday cordon-crossing taxi trips, calculated as product of baseline cordon-crossing taxi trips in Cell L",O30, " and percent in Cell AX",O316, " above.")</f>
        <v xml:space="preserve"> The 'IF' statement used to calculated value of Cell AX325 allows its ordinary value to be overridden, in order to model exogenous change in number of medallion taxicabs. The override is triggered by the presence of a positive, non-zero value in the 'Taxis' worksheet tab, in Cell L474. This causes Cell AX325 to be calculated as the prorated change in weekday cordon-crossing taxi trips, calculated as product of baseline cordon-crossing taxi trips in Cell L30 and percent in Cell AX316 above.</v>
      </c>
      <c r="AW316" s="4398"/>
      <c r="AX316" s="4399"/>
      <c r="AY316" s="86"/>
      <c r="AZ316" s="785"/>
      <c r="BA316" s="785"/>
      <c r="BB316" s="785"/>
      <c r="BC316" s="785"/>
      <c r="BD316" s="785"/>
      <c r="BE316" s="785"/>
      <c r="BF316" s="785"/>
      <c r="BG316" s="785"/>
      <c r="BH316" s="86"/>
      <c r="BI316" s="785"/>
      <c r="BJ316" s="785"/>
      <c r="BK316" s="785"/>
      <c r="BL316" s="785"/>
      <c r="BM316" s="785"/>
      <c r="BN316" s="785"/>
      <c r="BO316" s="785"/>
      <c r="BP316" s="39"/>
    </row>
    <row r="317" spans="1:68" ht="13.2" customHeight="1">
      <c r="A317" s="86"/>
      <c r="B317" s="312" t="s">
        <v>4356</v>
      </c>
      <c r="C317" s="86"/>
      <c r="D317" s="86"/>
      <c r="E317" s="86"/>
      <c r="F317" s="86"/>
      <c r="G317" s="86"/>
      <c r="H317" s="86"/>
      <c r="I317" s="86"/>
      <c r="J317" s="86"/>
      <c r="K317" s="86"/>
      <c r="L317" s="4416"/>
      <c r="M317" s="4417"/>
      <c r="N317" s="4418"/>
      <c r="O317" s="785">
        <f>ROW()</f>
        <v>317</v>
      </c>
      <c r="P317" s="785">
        <f t="shared" ref="P317:V317" ca="1" si="288">1-P315</f>
        <v>0.10719818676432646</v>
      </c>
      <c r="Q317" s="785">
        <f ca="1">1-Q315</f>
        <v>0.14200539629273734</v>
      </c>
      <c r="R317" s="785">
        <f t="shared" ca="1" si="288"/>
        <v>9.0393869150228512E-2</v>
      </c>
      <c r="S317" s="785">
        <f t="shared" ca="1" si="288"/>
        <v>8.3468175313980653E-2</v>
      </c>
      <c r="T317" s="785">
        <f t="shared" ca="1" si="288"/>
        <v>7.0565159223062945E-2</v>
      </c>
      <c r="U317" s="785">
        <f t="shared" ca="1" si="288"/>
        <v>0.10739287435892109</v>
      </c>
      <c r="V317" s="785">
        <f t="shared" ca="1" si="288"/>
        <v>0.11561107910050472</v>
      </c>
      <c r="W317" s="1699"/>
      <c r="X317" s="86"/>
      <c r="Y317" s="785">
        <f t="shared" ref="Y317:AE317" ca="1" si="289">1-Y315</f>
        <v>0.17035463628951208</v>
      </c>
      <c r="Z317" s="785">
        <f t="shared" ca="1" si="289"/>
        <v>0.20208252731890874</v>
      </c>
      <c r="AA317" s="785">
        <f t="shared" ca="1" si="289"/>
        <v>0.15478250963647799</v>
      </c>
      <c r="AB317" s="785">
        <f t="shared" ca="1" si="289"/>
        <v>0.14364230692451307</v>
      </c>
      <c r="AC317" s="785">
        <f t="shared" ca="1" si="289"/>
        <v>0.12134647476360194</v>
      </c>
      <c r="AD317" s="785">
        <f t="shared" ca="1" si="289"/>
        <v>0.17363715858910245</v>
      </c>
      <c r="AE317" s="785">
        <f t="shared" ca="1" si="289"/>
        <v>0.19981078684600828</v>
      </c>
      <c r="AF317" s="785"/>
      <c r="AG317" s="86"/>
      <c r="AH317" s="785">
        <f t="shared" ref="AH317:AN317" si="290">1-AH315</f>
        <v>0.17852664136297847</v>
      </c>
      <c r="AI317" s="785">
        <f t="shared" si="290"/>
        <v>0.26910575655216862</v>
      </c>
      <c r="AJ317" s="785">
        <f t="shared" si="290"/>
        <v>0.26574422002990816</v>
      </c>
      <c r="AK317" s="785">
        <f t="shared" si="290"/>
        <v>0.27705055877624918</v>
      </c>
      <c r="AL317" s="785">
        <f t="shared" si="290"/>
        <v>0.24132509105965161</v>
      </c>
      <c r="AM317" s="785">
        <f t="shared" si="290"/>
        <v>0.2639685446112382</v>
      </c>
      <c r="AN317" s="785">
        <f t="shared" si="290"/>
        <v>0.25460311744852426</v>
      </c>
      <c r="AO317" s="785"/>
      <c r="AP317" s="86"/>
      <c r="AV317" s="4400"/>
      <c r="AW317" s="4401"/>
      <c r="AX317" s="4402"/>
      <c r="AY317" s="86"/>
      <c r="AZ317" s="785">
        <f t="shared" ref="AZ317:BF317" ca="1" si="291">1-AZ315</f>
        <v>4.251581997407694E-2</v>
      </c>
      <c r="BA317" s="785">
        <f t="shared" ca="1" si="291"/>
        <v>6.9739477375300951E-2</v>
      </c>
      <c r="BB317" s="785">
        <f t="shared" ca="1" si="291"/>
        <v>7.005757725044448E-2</v>
      </c>
      <c r="BC317" s="785">
        <f t="shared" ca="1" si="291"/>
        <v>7.3143758086409716E-2</v>
      </c>
      <c r="BD317" s="785">
        <f t="shared" ca="1" si="291"/>
        <v>6.2211875054420496E-2</v>
      </c>
      <c r="BE317" s="785">
        <f t="shared" ca="1" si="291"/>
        <v>6.8094685706261315E-2</v>
      </c>
      <c r="BF317" s="785">
        <f t="shared" ca="1" si="291"/>
        <v>6.5480137319322007E-2</v>
      </c>
      <c r="BG317" s="785"/>
      <c r="BH317" s="86"/>
      <c r="BI317" s="785">
        <f t="shared" ref="BI317:BO317" ca="1" si="292">1-BI315</f>
        <v>1.8355066357063188E-2</v>
      </c>
      <c r="BJ317" s="785">
        <f t="shared" ca="1" si="292"/>
        <v>3.2169847006223939E-2</v>
      </c>
      <c r="BK317" s="785">
        <f t="shared" ca="1" si="292"/>
        <v>3.1099785729199358E-2</v>
      </c>
      <c r="BL317" s="785">
        <f t="shared" ca="1" si="292"/>
        <v>3.343025498368124E-2</v>
      </c>
      <c r="BM317" s="785">
        <f t="shared" ca="1" si="292"/>
        <v>2.8340076218759669E-2</v>
      </c>
      <c r="BN317" s="785">
        <f t="shared" ca="1" si="292"/>
        <v>3.0117241199698386E-2</v>
      </c>
      <c r="BO317" s="785">
        <f t="shared" ca="1" si="292"/>
        <v>2.9556913559402043E-2</v>
      </c>
      <c r="BP317" s="39"/>
    </row>
    <row r="318" spans="1:68" ht="13.2" customHeight="1">
      <c r="A318" s="86"/>
      <c r="B318" s="1700" t="str">
        <f>CONCATENATE("Complement of preliminary traffic-retention factor in Row ",O315, ".")</f>
        <v>Complement of preliminary traffic-retention factor in Row 315.</v>
      </c>
      <c r="C318" s="86"/>
      <c r="D318" s="86"/>
      <c r="E318" s="86"/>
      <c r="F318" s="86"/>
      <c r="G318" s="86"/>
      <c r="H318" s="86"/>
      <c r="I318" s="86"/>
      <c r="J318" s="86"/>
      <c r="K318" s="86"/>
      <c r="L318" s="4416"/>
      <c r="M318" s="4417"/>
      <c r="N318" s="4418"/>
      <c r="O318" s="785">
        <f>ROW()</f>
        <v>318</v>
      </c>
      <c r="P318" s="785"/>
      <c r="Q318" s="785"/>
      <c r="R318" s="785"/>
      <c r="S318" s="785"/>
      <c r="T318" s="785"/>
      <c r="U318" s="785"/>
      <c r="V318" s="785"/>
      <c r="W318" s="1699"/>
      <c r="X318" s="86"/>
      <c r="Y318" s="785"/>
      <c r="Z318" s="785"/>
      <c r="AA318" s="785"/>
      <c r="AB318" s="785"/>
      <c r="AC318" s="785"/>
      <c r="AD318" s="785"/>
      <c r="AE318" s="785"/>
      <c r="AF318" s="785"/>
      <c r="AG318" s="86"/>
      <c r="AH318" s="785"/>
      <c r="AI318" s="785"/>
      <c r="AJ318" s="785"/>
      <c r="AK318" s="785"/>
      <c r="AL318" s="785"/>
      <c r="AM318" s="785"/>
      <c r="AN318" s="785"/>
      <c r="AO318" s="785"/>
      <c r="AP318" s="86"/>
      <c r="AV318" s="4400"/>
      <c r="AW318" s="4401"/>
      <c r="AX318" s="4402"/>
      <c r="AY318" s="86"/>
      <c r="AZ318" s="785"/>
      <c r="BA318" s="785"/>
      <c r="BB318" s="785"/>
      <c r="BC318" s="785"/>
      <c r="BD318" s="785"/>
      <c r="BE318" s="785"/>
      <c r="BF318" s="785"/>
      <c r="BG318" s="785"/>
      <c r="BH318" s="86"/>
      <c r="BI318" s="785"/>
      <c r="BJ318" s="785"/>
      <c r="BK318" s="785"/>
      <c r="BL318" s="785"/>
      <c r="BM318" s="785"/>
      <c r="BN318" s="785"/>
      <c r="BO318" s="785"/>
      <c r="BP318" s="39"/>
    </row>
    <row r="319" spans="1:68" ht="13.2" customHeight="1">
      <c r="A319" s="86"/>
      <c r="B319" s="518" t="s">
        <v>4355</v>
      </c>
      <c r="C319" s="86"/>
      <c r="D319" s="86"/>
      <c r="E319" s="86"/>
      <c r="F319" s="86"/>
      <c r="G319" s="86"/>
      <c r="H319" s="86"/>
      <c r="I319" s="86"/>
      <c r="J319" s="86"/>
      <c r="K319" s="3541">
        <f>'User Inputs'!J64</f>
        <v>2.5000000000000001E-2</v>
      </c>
      <c r="L319" s="4419"/>
      <c r="M319" s="4420"/>
      <c r="N319" s="4421"/>
      <c r="O319" s="785">
        <f>ROW()</f>
        <v>319</v>
      </c>
      <c r="P319" s="785"/>
      <c r="Q319" s="785"/>
      <c r="R319" s="785"/>
      <c r="S319" s="785"/>
      <c r="T319" s="785"/>
      <c r="U319" s="785"/>
      <c r="V319" s="785"/>
      <c r="W319" s="1699"/>
      <c r="X319" s="86"/>
      <c r="Y319" s="785"/>
      <c r="Z319" s="785"/>
      <c r="AA319" s="785"/>
      <c r="AB319" s="785"/>
      <c r="AC319" s="785"/>
      <c r="AD319" s="785"/>
      <c r="AE319" s="785"/>
      <c r="AF319" s="785"/>
      <c r="AG319" s="86"/>
      <c r="AH319" s="785"/>
      <c r="AI319" s="785"/>
      <c r="AJ319" s="785"/>
      <c r="AK319" s="785"/>
      <c r="AL319" s="785"/>
      <c r="AM319" s="785"/>
      <c r="AN319" s="785"/>
      <c r="AO319" s="785"/>
      <c r="AP319" s="86"/>
      <c r="AV319" s="4400"/>
      <c r="AW319" s="4401"/>
      <c r="AX319" s="4402"/>
      <c r="AY319" s="86"/>
      <c r="AZ319" s="785"/>
      <c r="BA319" s="785"/>
      <c r="BB319" s="785"/>
      <c r="BC319" s="785"/>
      <c r="BD319" s="785"/>
      <c r="BE319" s="785"/>
      <c r="BF319" s="785"/>
      <c r="BG319" s="785"/>
      <c r="BH319" s="86"/>
      <c r="BI319" s="785"/>
      <c r="BJ319" s="785"/>
      <c r="BK319" s="785"/>
      <c r="BL319" s="785"/>
      <c r="BM319" s="785"/>
      <c r="BN319" s="785"/>
      <c r="BO319" s="785"/>
      <c r="BP319" s="39"/>
    </row>
    <row r="320" spans="1:68" ht="13.2" customHeight="1">
      <c r="A320" s="86"/>
      <c r="B320" s="494" t="str">
        <f>CONCATENATE("Komanoff assumption, inputted in 'User Inputs' tab, Row ",'User Inputs'!N64, ", to reflect exemptions for disability, police, fire and other categories that might be carved out in legislation enabling tolls.")</f>
        <v>Komanoff assumption, inputted in 'User Inputs' tab, Row 64, to reflect exemptions for disability, police, fire and other categories that might be carved out in legislation enabling tolls.</v>
      </c>
      <c r="C320" s="86"/>
      <c r="D320" s="86"/>
      <c r="E320" s="86"/>
      <c r="F320" s="86"/>
      <c r="G320" s="86"/>
      <c r="H320" s="86"/>
      <c r="I320" s="86"/>
      <c r="J320" s="86"/>
      <c r="K320" s="86"/>
      <c r="M320" s="86"/>
      <c r="N320" s="86"/>
      <c r="O320" s="785">
        <f>ROW()</f>
        <v>320</v>
      </c>
      <c r="P320" s="785"/>
      <c r="Q320" s="785"/>
      <c r="R320" s="785"/>
      <c r="S320" s="785"/>
      <c r="T320" s="785"/>
      <c r="U320" s="785"/>
      <c r="V320" s="785"/>
      <c r="W320" s="1699"/>
      <c r="X320" s="86"/>
      <c r="Y320" s="785"/>
      <c r="Z320" s="785"/>
      <c r="AA320" s="785"/>
      <c r="AB320" s="785"/>
      <c r="AC320" s="785"/>
      <c r="AD320" s="785"/>
      <c r="AE320" s="785"/>
      <c r="AF320" s="785"/>
      <c r="AG320" s="86"/>
      <c r="AH320" s="785"/>
      <c r="AI320" s="785"/>
      <c r="AJ320" s="785"/>
      <c r="AK320" s="785"/>
      <c r="AL320" s="785"/>
      <c r="AM320" s="785"/>
      <c r="AN320" s="785"/>
      <c r="AO320" s="785"/>
      <c r="AP320" s="86"/>
      <c r="AV320" s="4400"/>
      <c r="AW320" s="4401"/>
      <c r="AX320" s="4402"/>
      <c r="AY320" s="86"/>
      <c r="AZ320" s="785"/>
      <c r="BA320" s="785"/>
      <c r="BB320" s="785"/>
      <c r="BC320" s="785"/>
      <c r="BD320" s="785"/>
      <c r="BE320" s="785"/>
      <c r="BF320" s="785"/>
      <c r="BG320" s="785"/>
      <c r="BH320" s="86"/>
      <c r="BI320" s="785"/>
      <c r="BJ320" s="785"/>
      <c r="BK320" s="785"/>
      <c r="BL320" s="785"/>
      <c r="BM320" s="785"/>
      <c r="BN320" s="785"/>
      <c r="BO320" s="785"/>
      <c r="BP320" s="39"/>
    </row>
    <row r="321" spans="1:68" ht="13.2" customHeight="1">
      <c r="A321" s="86"/>
      <c r="B321" s="815" t="s">
        <v>432</v>
      </c>
      <c r="C321" s="86"/>
      <c r="D321" s="86"/>
      <c r="E321" s="86"/>
      <c r="F321" s="86"/>
      <c r="G321" s="86"/>
      <c r="H321" s="86"/>
      <c r="I321" s="86"/>
      <c r="J321" s="86"/>
      <c r="K321" s="86"/>
      <c r="M321" s="86"/>
      <c r="N321" s="86"/>
      <c r="O321" s="785">
        <f>ROW()</f>
        <v>321</v>
      </c>
      <c r="P321" s="785">
        <f ca="1">(1-$K$319)*P315+$K$319</f>
        <v>0.89548176790478173</v>
      </c>
      <c r="Q321" s="785">
        <f t="shared" ref="Q321:V321" ca="1" si="293">(1-$K$319)*Q315+$K$319</f>
        <v>0.86154473861458114</v>
      </c>
      <c r="R321" s="785">
        <f t="shared" ca="1" si="293"/>
        <v>0.91186597757852716</v>
      </c>
      <c r="S321" s="785">
        <f t="shared" ca="1" si="293"/>
        <v>0.91861852906886887</v>
      </c>
      <c r="T321" s="785">
        <f t="shared" ca="1" si="293"/>
        <v>0.93119896975751359</v>
      </c>
      <c r="U321" s="785">
        <f t="shared" ca="1" si="293"/>
        <v>0.89529194750005192</v>
      </c>
      <c r="V321" s="785">
        <f t="shared" ca="1" si="293"/>
        <v>0.88727919787700793</v>
      </c>
      <c r="W321" s="1699"/>
      <c r="X321" s="86"/>
      <c r="Y321" s="785">
        <f ca="1">(1-$K$319)*Y315+$K$319</f>
        <v>0.8339042296177257</v>
      </c>
      <c r="Z321" s="785">
        <f t="shared" ref="Z321:AE321" ca="1" si="294">(1-$K$319)*Z315+$K$319</f>
        <v>0.80296953586406394</v>
      </c>
      <c r="AA321" s="785">
        <f t="shared" ca="1" si="294"/>
        <v>0.849087053104434</v>
      </c>
      <c r="AB321" s="785">
        <f t="shared" ca="1" si="294"/>
        <v>0.85994875074859978</v>
      </c>
      <c r="AC321" s="785">
        <f t="shared" ca="1" si="294"/>
        <v>0.8816871871054881</v>
      </c>
      <c r="AD321" s="785">
        <f t="shared" ca="1" si="294"/>
        <v>0.83070377037562515</v>
      </c>
      <c r="AE321" s="785">
        <f t="shared" ca="1" si="294"/>
        <v>0.80518448282514188</v>
      </c>
      <c r="AF321" s="785"/>
      <c r="AG321" s="86"/>
      <c r="AH321" s="785">
        <f>(1-$K$319)*AH315+$K$319</f>
        <v>0.82593652467109602</v>
      </c>
      <c r="AI321" s="785">
        <f t="shared" ref="AI321:AN321" si="295">(1-$K$319)*AI315+$K$319</f>
        <v>0.73762188736163559</v>
      </c>
      <c r="AJ321" s="785">
        <f t="shared" si="295"/>
        <v>0.74089938547083956</v>
      </c>
      <c r="AK321" s="785">
        <f t="shared" si="295"/>
        <v>0.72987570519315703</v>
      </c>
      <c r="AL321" s="785">
        <f t="shared" si="295"/>
        <v>0.76470803621683969</v>
      </c>
      <c r="AM321" s="785">
        <f t="shared" si="295"/>
        <v>0.74263066900404273</v>
      </c>
      <c r="AN321" s="785">
        <f t="shared" si="295"/>
        <v>0.75176196048768884</v>
      </c>
      <c r="AO321" s="785"/>
      <c r="AP321" s="86"/>
      <c r="AV321" s="4400"/>
      <c r="AW321" s="4401"/>
      <c r="AX321" s="4402"/>
      <c r="AY321" s="86"/>
      <c r="AZ321" s="785">
        <f ca="1">(1-$K$319)*AZ315+$K$319</f>
        <v>0.95854707552527496</v>
      </c>
      <c r="BA321" s="785">
        <f t="shared" ref="BA321:BF321" ca="1" si="296">(1-$K$319)*BA315+$K$319</f>
        <v>0.93200400955908158</v>
      </c>
      <c r="BB321" s="785">
        <f t="shared" ca="1" si="296"/>
        <v>0.93169386218081662</v>
      </c>
      <c r="BC321" s="785">
        <f t="shared" ca="1" si="296"/>
        <v>0.92868483586575057</v>
      </c>
      <c r="BD321" s="785">
        <f t="shared" ca="1" si="296"/>
        <v>0.93934342182193997</v>
      </c>
      <c r="BE321" s="785">
        <f t="shared" ca="1" si="296"/>
        <v>0.93360768143639516</v>
      </c>
      <c r="BF321" s="785">
        <f t="shared" ca="1" si="296"/>
        <v>0.936156866113661</v>
      </c>
      <c r="BG321" s="785"/>
      <c r="BH321" s="86"/>
      <c r="BI321" s="785">
        <f ca="1">(1-$K$319)*BI315+$K$319</f>
        <v>0.98210381030186344</v>
      </c>
      <c r="BJ321" s="785">
        <f t="shared" ref="BJ321:BO321" ca="1" si="297">(1-$K$319)*BJ315+$K$319</f>
        <v>0.96863439916893168</v>
      </c>
      <c r="BK321" s="785">
        <f t="shared" ca="1" si="297"/>
        <v>0.9696777089140306</v>
      </c>
      <c r="BL321" s="785">
        <f t="shared" ca="1" si="297"/>
        <v>0.96740550139091075</v>
      </c>
      <c r="BM321" s="785">
        <f t="shared" ca="1" si="297"/>
        <v>0.97236842568670934</v>
      </c>
      <c r="BN321" s="785">
        <f t="shared" ca="1" si="297"/>
        <v>0.97063568983029402</v>
      </c>
      <c r="BO321" s="785">
        <f t="shared" ca="1" si="297"/>
        <v>0.97118200927958298</v>
      </c>
      <c r="BP321" s="39"/>
    </row>
    <row r="322" spans="1:68" ht="13.2" customHeight="1">
      <c r="A322" s="86"/>
      <c r="B322" s="1700" t="str">
        <f>CONCATENATE("Calculated as sum of (i) product of Row ",O315, " and complement of parameter in Row ",O319, "; and (ii) parameter in Row ",O319, ". Mathematically, reflects 'free pass' given to vehicle share shown in Row ",O319, ".")</f>
        <v>Calculated as sum of (i) product of Row 315 and complement of parameter in Row 319; and (ii) parameter in Row 319. Mathematically, reflects 'free pass' given to vehicle share shown in Row 319.</v>
      </c>
      <c r="C322" s="86"/>
      <c r="D322" s="86"/>
      <c r="E322" s="86"/>
      <c r="F322" s="86"/>
      <c r="G322" s="86"/>
      <c r="H322" s="86"/>
      <c r="I322" s="86"/>
      <c r="J322" s="86"/>
      <c r="K322" s="86"/>
      <c r="M322" s="86"/>
      <c r="N322" s="86"/>
      <c r="O322" s="785">
        <f>ROW()</f>
        <v>322</v>
      </c>
      <c r="P322" s="785"/>
      <c r="Q322" s="785"/>
      <c r="R322" s="785"/>
      <c r="S322" s="785"/>
      <c r="T322" s="785"/>
      <c r="U322" s="785"/>
      <c r="V322" s="785"/>
      <c r="W322" s="1699"/>
      <c r="X322" s="86"/>
      <c r="Y322" s="785"/>
      <c r="Z322" s="785"/>
      <c r="AA322" s="785"/>
      <c r="AB322" s="785"/>
      <c r="AC322" s="785"/>
      <c r="AD322" s="785"/>
      <c r="AE322" s="785"/>
      <c r="AF322" s="785"/>
      <c r="AG322" s="86"/>
      <c r="AH322" s="785"/>
      <c r="AI322" s="785"/>
      <c r="AJ322" s="785"/>
      <c r="AK322" s="785"/>
      <c r="AL322" s="785"/>
      <c r="AM322" s="785"/>
      <c r="AN322" s="785"/>
      <c r="AO322" s="785"/>
      <c r="AP322" s="86"/>
      <c r="AV322" s="4400"/>
      <c r="AW322" s="4401"/>
      <c r="AX322" s="4402"/>
      <c r="AY322" s="86"/>
      <c r="AZ322" s="785"/>
      <c r="BA322" s="785"/>
      <c r="BB322" s="785"/>
      <c r="BC322" s="785"/>
      <c r="BD322" s="785"/>
      <c r="BE322" s="785"/>
      <c r="BF322" s="785"/>
      <c r="BG322" s="785"/>
      <c r="BH322" s="86"/>
      <c r="BI322" s="785"/>
      <c r="BJ322" s="785"/>
      <c r="BK322" s="785"/>
      <c r="BL322" s="785"/>
      <c r="BM322" s="785"/>
      <c r="BN322" s="785"/>
      <c r="BO322" s="785"/>
      <c r="BP322" s="39"/>
    </row>
    <row r="323" spans="1:68" ht="13.2" customHeight="1">
      <c r="A323" s="86"/>
      <c r="B323" s="1101" t="s">
        <v>4358</v>
      </c>
      <c r="C323" s="86"/>
      <c r="D323" s="86"/>
      <c r="E323" s="86"/>
      <c r="F323" s="86"/>
      <c r="G323" s="86"/>
      <c r="H323" s="86"/>
      <c r="I323" s="86"/>
      <c r="J323" s="86"/>
      <c r="K323" s="86"/>
      <c r="M323" s="86"/>
      <c r="N323" s="86"/>
      <c r="O323" s="785">
        <f>ROW()</f>
        <v>323</v>
      </c>
      <c r="P323" s="785">
        <f t="shared" ref="P323:V323" ca="1" si="298">1-P321</f>
        <v>0.10451823209521827</v>
      </c>
      <c r="Q323" s="785">
        <f ca="1">1-Q321</f>
        <v>0.13845526138541886</v>
      </c>
      <c r="R323" s="785">
        <f t="shared" ca="1" si="298"/>
        <v>8.8134022421472835E-2</v>
      </c>
      <c r="S323" s="785">
        <f t="shared" ca="1" si="298"/>
        <v>8.1381470931131128E-2</v>
      </c>
      <c r="T323" s="785">
        <f t="shared" ca="1" si="298"/>
        <v>6.8801030242486405E-2</v>
      </c>
      <c r="U323" s="785">
        <f t="shared" ca="1" si="298"/>
        <v>0.10470805249994808</v>
      </c>
      <c r="V323" s="785">
        <f t="shared" ca="1" si="298"/>
        <v>0.11272080212299207</v>
      </c>
      <c r="W323" s="1699"/>
      <c r="X323" s="86"/>
      <c r="Y323" s="785">
        <f t="shared" ref="Y323" ca="1" si="299">1-Y321</f>
        <v>0.1660957703822743</v>
      </c>
      <c r="Z323" s="785">
        <f ca="1">1-Z321</f>
        <v>0.19703046413593606</v>
      </c>
      <c r="AA323" s="785">
        <f t="shared" ref="AA323:AE323" ca="1" si="300">1-AA321</f>
        <v>0.150912946895566</v>
      </c>
      <c r="AB323" s="785">
        <f t="shared" ca="1" si="300"/>
        <v>0.14005124925140022</v>
      </c>
      <c r="AC323" s="785">
        <f t="shared" ca="1" si="300"/>
        <v>0.1183128128945119</v>
      </c>
      <c r="AD323" s="785">
        <f t="shared" ca="1" si="300"/>
        <v>0.16929622962437485</v>
      </c>
      <c r="AE323" s="785">
        <f t="shared" ca="1" si="300"/>
        <v>0.19481551717485812</v>
      </c>
      <c r="AF323" s="785"/>
      <c r="AG323" s="86"/>
      <c r="AH323" s="785">
        <f t="shared" ref="AH323" si="301">1-AH321</f>
        <v>0.17406347532890398</v>
      </c>
      <c r="AI323" s="785">
        <f>1-AI321</f>
        <v>0.26237811263836441</v>
      </c>
      <c r="AJ323" s="785">
        <f t="shared" ref="AJ323:AN323" si="302">1-AJ321</f>
        <v>0.25910061452916044</v>
      </c>
      <c r="AK323" s="785">
        <f t="shared" si="302"/>
        <v>0.27012429480684297</v>
      </c>
      <c r="AL323" s="785">
        <f t="shared" si="302"/>
        <v>0.23529196378316031</v>
      </c>
      <c r="AM323" s="785">
        <f t="shared" si="302"/>
        <v>0.25736933099595727</v>
      </c>
      <c r="AN323" s="785">
        <f t="shared" si="302"/>
        <v>0.24823803951231116</v>
      </c>
      <c r="AO323" s="785"/>
      <c r="AP323" s="86"/>
      <c r="AV323" s="4400"/>
      <c r="AW323" s="4401"/>
      <c r="AX323" s="4402"/>
      <c r="AY323" s="86"/>
      <c r="AZ323" s="785">
        <f t="shared" ref="AZ323" ca="1" si="303">1-AZ321</f>
        <v>4.1452924474725039E-2</v>
      </c>
      <c r="BA323" s="785">
        <f ca="1">1-BA321</f>
        <v>6.7995990440918419E-2</v>
      </c>
      <c r="BB323" s="785">
        <f t="shared" ref="BB323:BF323" ca="1" si="304">1-BB321</f>
        <v>6.8306137819183377E-2</v>
      </c>
      <c r="BC323" s="785">
        <f t="shared" ca="1" si="304"/>
        <v>7.1315164134249431E-2</v>
      </c>
      <c r="BD323" s="785">
        <f t="shared" ca="1" si="304"/>
        <v>6.0656578178060028E-2</v>
      </c>
      <c r="BE323" s="785">
        <f t="shared" ca="1" si="304"/>
        <v>6.6392318563604835E-2</v>
      </c>
      <c r="BF323" s="785">
        <f t="shared" ca="1" si="304"/>
        <v>6.3843133886338999E-2</v>
      </c>
      <c r="BG323" s="785"/>
      <c r="BH323" s="86"/>
      <c r="BI323" s="785">
        <f t="shared" ref="BI323" ca="1" si="305">1-BI321</f>
        <v>1.7896189698136555E-2</v>
      </c>
      <c r="BJ323" s="785">
        <f ca="1">1-BJ321</f>
        <v>3.1365600831068319E-2</v>
      </c>
      <c r="BK323" s="785">
        <f t="shared" ref="BK323:BO323" ca="1" si="306">1-BK321</f>
        <v>3.0322291085969399E-2</v>
      </c>
      <c r="BL323" s="785">
        <f t="shared" ca="1" si="306"/>
        <v>3.2594498609089251E-2</v>
      </c>
      <c r="BM323" s="785">
        <f t="shared" ca="1" si="306"/>
        <v>2.7631574313290663E-2</v>
      </c>
      <c r="BN323" s="785">
        <f t="shared" ca="1" si="306"/>
        <v>2.9364310169705976E-2</v>
      </c>
      <c r="BO323" s="785">
        <f t="shared" ca="1" si="306"/>
        <v>2.8817990720417019E-2</v>
      </c>
      <c r="BP323" s="39"/>
    </row>
    <row r="324" spans="1:68" ht="13.2" customHeight="1">
      <c r="A324" s="86"/>
      <c r="B324" s="1700" t="str">
        <f>CONCATENATE("Complement of preliminary traffic-retention factor in Row ",O321, ".")</f>
        <v>Complement of preliminary traffic-retention factor in Row 321.</v>
      </c>
      <c r="C324" s="86"/>
      <c r="D324" s="86"/>
      <c r="E324" s="86"/>
      <c r="F324" s="86"/>
      <c r="G324" s="86"/>
      <c r="H324" s="86"/>
      <c r="I324" s="86"/>
      <c r="J324" s="86"/>
      <c r="K324" s="86"/>
      <c r="M324" s="86"/>
      <c r="N324" s="86"/>
      <c r="O324" s="785">
        <f>ROW()</f>
        <v>324</v>
      </c>
      <c r="P324" s="785"/>
      <c r="Q324" s="785"/>
      <c r="R324" s="785"/>
      <c r="S324" s="785"/>
      <c r="T324" s="785"/>
      <c r="U324" s="785"/>
      <c r="V324" s="785"/>
      <c r="W324" s="1699"/>
      <c r="X324" s="86"/>
      <c r="Y324" s="785"/>
      <c r="Z324" s="785"/>
      <c r="AA324" s="785"/>
      <c r="AB324" s="785"/>
      <c r="AC324" s="785"/>
      <c r="AD324" s="785"/>
      <c r="AE324" s="785"/>
      <c r="AF324" s="785"/>
      <c r="AG324" s="86"/>
      <c r="AH324" s="785"/>
      <c r="AI324" s="785"/>
      <c r="AJ324" s="785"/>
      <c r="AK324" s="785"/>
      <c r="AL324" s="785"/>
      <c r="AM324" s="785"/>
      <c r="AN324" s="785"/>
      <c r="AO324" s="785"/>
      <c r="AP324" s="86"/>
      <c r="AV324" s="4403"/>
      <c r="AW324" s="4404"/>
      <c r="AX324" s="4405"/>
      <c r="AY324" s="86"/>
      <c r="AZ324" s="785"/>
      <c r="BA324" s="785"/>
      <c r="BB324" s="785"/>
      <c r="BC324" s="785"/>
      <c r="BD324" s="785"/>
      <c r="BE324" s="785"/>
      <c r="BF324" s="785"/>
      <c r="BG324" s="785"/>
      <c r="BH324" s="86"/>
      <c r="BI324" s="785"/>
      <c r="BJ324" s="785"/>
      <c r="BK324" s="785"/>
      <c r="BL324" s="785"/>
      <c r="BM324" s="785"/>
      <c r="BN324" s="785"/>
      <c r="BO324" s="785"/>
      <c r="BP324" s="39"/>
    </row>
    <row r="325" spans="1:68" ht="13.2" customHeight="1">
      <c r="A325" s="86"/>
      <c r="B325" s="86"/>
      <c r="C325" s="86"/>
      <c r="D325" s="86"/>
      <c r="E325" s="86"/>
      <c r="F325" s="86"/>
      <c r="G325" s="86"/>
      <c r="H325" s="86"/>
      <c r="I325" s="86"/>
      <c r="J325" s="86"/>
      <c r="K325" s="86"/>
      <c r="M325" s="86"/>
      <c r="N325" s="86"/>
      <c r="O325" s="785">
        <f>ROW()</f>
        <v>325</v>
      </c>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9" t="s">
        <v>6374</v>
      </c>
      <c r="AR325" s="1002"/>
      <c r="AS325" s="1002"/>
      <c r="AT325" s="1002"/>
      <c r="AU325" s="1002"/>
      <c r="AX325" s="3599">
        <f ca="1">IF(Taxis!L474&gt;0,L30*AX312,Taxis!L304)</f>
        <v>3385.5882142617215</v>
      </c>
      <c r="AY325" s="86"/>
      <c r="AZ325" s="86"/>
      <c r="BA325" s="86"/>
      <c r="BB325" s="86"/>
      <c r="BC325" s="86"/>
      <c r="BD325" s="86"/>
      <c r="BE325" s="86"/>
      <c r="BF325" s="86"/>
      <c r="BG325" s="86"/>
      <c r="BH325" s="86"/>
      <c r="BI325" s="86"/>
      <c r="BJ325" s="86"/>
      <c r="BK325" s="86"/>
      <c r="BL325" s="86"/>
      <c r="BM325" s="86"/>
      <c r="BN325" s="86"/>
      <c r="BO325" s="86"/>
    </row>
    <row r="326" spans="1:68" ht="13.2" customHeight="1">
      <c r="A326" s="86"/>
      <c r="B326" s="812" t="s">
        <v>2609</v>
      </c>
      <c r="C326" s="86"/>
      <c r="D326" s="86"/>
      <c r="E326" s="86"/>
      <c r="F326" s="86"/>
      <c r="G326" s="86"/>
      <c r="H326" s="86"/>
      <c r="I326" s="86"/>
      <c r="J326" s="86"/>
      <c r="K326" s="86"/>
      <c r="M326" s="86"/>
      <c r="N326" s="86"/>
      <c r="O326" s="785">
        <f>ROW()</f>
        <v>326</v>
      </c>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26" t="str">
        <f>CONCATENATE("Above figure is derived in 'Taxis' Worksheet, Row ",Taxis!O304, ", but is subject to 'IF' statement explained in large text box directly above.")</f>
        <v>Above figure is derived in 'Taxis' Worksheet, Row 304, but is subject to 'IF' statement explained in large text box directly above.</v>
      </c>
      <c r="AR326" s="86"/>
      <c r="AS326" s="86"/>
      <c r="AT326" s="86"/>
      <c r="AU326" s="86"/>
      <c r="AV326" s="86"/>
      <c r="AW326" s="86"/>
      <c r="AY326" s="86"/>
      <c r="AZ326" s="86"/>
      <c r="BA326" s="86"/>
      <c r="BB326" s="86"/>
      <c r="BC326" s="86"/>
      <c r="BD326" s="86"/>
      <c r="BE326" s="86"/>
      <c r="BF326" s="86"/>
      <c r="BG326" s="86"/>
      <c r="BH326" s="86"/>
      <c r="BI326" s="86"/>
      <c r="BJ326" s="86"/>
      <c r="BK326" s="86"/>
      <c r="BL326" s="86"/>
      <c r="BM326" s="86"/>
      <c r="BN326" s="86"/>
      <c r="BO326" s="86"/>
    </row>
    <row r="327" spans="1:68" ht="13.2" customHeight="1">
      <c r="A327" s="86"/>
      <c r="B327" s="815" t="s">
        <v>1346</v>
      </c>
      <c r="C327" s="86"/>
      <c r="D327" s="86"/>
      <c r="E327" s="86"/>
      <c r="F327" s="86"/>
      <c r="G327" s="86"/>
      <c r="H327" s="86"/>
      <c r="I327" s="86"/>
      <c r="J327" s="86"/>
      <c r="K327" s="86"/>
      <c r="M327" s="86"/>
      <c r="N327" s="86"/>
      <c r="O327" s="785">
        <f>ROW()</f>
        <v>327</v>
      </c>
      <c r="P327" s="814">
        <f>P122/V122</f>
        <v>0.53326672302923173</v>
      </c>
      <c r="Q327" s="814">
        <f t="shared" ref="Q327:V327" si="307">Q122/P122</f>
        <v>1.5109446312755224</v>
      </c>
      <c r="R327" s="814">
        <f t="shared" si="307"/>
        <v>6.1530708160689969</v>
      </c>
      <c r="S327" s="814">
        <f t="shared" si="307"/>
        <v>0.2402911774736973</v>
      </c>
      <c r="T327" s="814">
        <f t="shared" si="307"/>
        <v>2.7288021688084587</v>
      </c>
      <c r="U327" s="814">
        <f t="shared" si="307"/>
        <v>1.1062242979514214</v>
      </c>
      <c r="V327" s="814">
        <f t="shared" si="307"/>
        <v>0.27807502345944107</v>
      </c>
      <c r="W327" s="86"/>
      <c r="X327" s="86"/>
      <c r="Y327" s="814">
        <f>Y122/AE122</f>
        <v>0.75919405565200249</v>
      </c>
      <c r="Z327" s="814">
        <f t="shared" ref="Z327:AE327" si="308">Z122/Y122</f>
        <v>0.10042175329178017</v>
      </c>
      <c r="AA327" s="814">
        <f t="shared" si="308"/>
        <v>8.4634035235345717</v>
      </c>
      <c r="AB327" s="814">
        <f t="shared" si="308"/>
        <v>0.5931368991485495</v>
      </c>
      <c r="AC327" s="814">
        <f t="shared" si="308"/>
        <v>3.7774232961735787</v>
      </c>
      <c r="AD327" s="814">
        <f t="shared" si="308"/>
        <v>2.2070143099273811</v>
      </c>
      <c r="AE327" s="814">
        <f t="shared" si="308"/>
        <v>0.31341415546721429</v>
      </c>
      <c r="AF327" s="86"/>
      <c r="AG327" s="86"/>
      <c r="AH327" s="814">
        <f>AH122/AN122</f>
        <v>1.0665334460584635</v>
      </c>
      <c r="AI327" s="814">
        <f t="shared" ref="AI327:AN327" si="309">AI122/AH122</f>
        <v>0.20145928417006964</v>
      </c>
      <c r="AJ327" s="814">
        <f t="shared" si="309"/>
        <v>3.4611023340388116</v>
      </c>
      <c r="AK327" s="814">
        <f t="shared" si="309"/>
        <v>0.29574298765993506</v>
      </c>
      <c r="AL327" s="814">
        <f t="shared" si="309"/>
        <v>4.2999306902436327</v>
      </c>
      <c r="AM327" s="814">
        <f t="shared" si="309"/>
        <v>2.0280778795776055</v>
      </c>
      <c r="AN327" s="814">
        <f t="shared" si="309"/>
        <v>0.52139066898645203</v>
      </c>
      <c r="AO327" s="86"/>
      <c r="AP327" s="86"/>
      <c r="AQ327" s="4009" t="s">
        <v>3297</v>
      </c>
      <c r="AR327" s="3659"/>
      <c r="AS327" s="3659"/>
      <c r="AT327" s="3659"/>
      <c r="AU327" s="3659"/>
      <c r="AV327" s="3659"/>
      <c r="AW327" s="3659"/>
      <c r="AY327" s="86"/>
      <c r="AZ327" s="814">
        <f>AZ122/BF122</f>
        <v>0.79990008454384764</v>
      </c>
      <c r="BA327" s="814">
        <f t="shared" ref="BA327:BF327" si="310">BA122/AZ122</f>
        <v>0.40291856834013934</v>
      </c>
      <c r="BB327" s="814">
        <f t="shared" si="310"/>
        <v>5.768503890064685</v>
      </c>
      <c r="BC327" s="814">
        <f t="shared" si="310"/>
        <v>0.29574298765993512</v>
      </c>
      <c r="BD327" s="814">
        <f t="shared" si="310"/>
        <v>3.2249480176827245</v>
      </c>
      <c r="BE327" s="814">
        <f t="shared" si="310"/>
        <v>1.6224623036620847</v>
      </c>
      <c r="BF327" s="814">
        <f t="shared" si="310"/>
        <v>0.3475937793243013</v>
      </c>
      <c r="BG327" s="86"/>
      <c r="BH327" s="86"/>
      <c r="BI327" s="814">
        <f>BI122/BO122</f>
        <v>0.79990008454384753</v>
      </c>
      <c r="BJ327" s="814">
        <f t="shared" ref="BJ327:BO327" si="311">BJ122/BI122</f>
        <v>0.40291856834013934</v>
      </c>
      <c r="BK327" s="814">
        <f t="shared" si="311"/>
        <v>5.768503890064685</v>
      </c>
      <c r="BL327" s="814">
        <f t="shared" si="311"/>
        <v>0.29574298765993512</v>
      </c>
      <c r="BM327" s="814">
        <f t="shared" si="311"/>
        <v>3.2249480176827241</v>
      </c>
      <c r="BN327" s="814">
        <f t="shared" si="311"/>
        <v>1.6224623036620849</v>
      </c>
      <c r="BO327" s="814">
        <f t="shared" si="311"/>
        <v>0.3475937793243013</v>
      </c>
    </row>
    <row r="328" spans="1:68" ht="13.2" customHeight="1">
      <c r="A328" s="86"/>
      <c r="B328" s="815" t="s">
        <v>1523</v>
      </c>
      <c r="C328" s="86"/>
      <c r="D328" s="86"/>
      <c r="E328" s="86"/>
      <c r="F328" s="86"/>
      <c r="G328" s="86"/>
      <c r="H328" s="86"/>
      <c r="I328" s="86"/>
      <c r="J328" s="86"/>
      <c r="K328" s="86"/>
      <c r="M328" s="86"/>
      <c r="N328" s="86"/>
      <c r="O328" s="785">
        <f>ROW()</f>
        <v>328</v>
      </c>
      <c r="P328" s="814">
        <f t="shared" ref="P328:U328" si="312">P122/Q122</f>
        <v>0.66183762085034925</v>
      </c>
      <c r="Q328" s="814">
        <f t="shared" si="312"/>
        <v>0.16252047634304143</v>
      </c>
      <c r="R328" s="814">
        <f t="shared" si="312"/>
        <v>4.1616176278859083</v>
      </c>
      <c r="S328" s="814">
        <f t="shared" si="312"/>
        <v>0.36646115699792686</v>
      </c>
      <c r="T328" s="814">
        <f t="shared" si="312"/>
        <v>0.90397580477292483</v>
      </c>
      <c r="U328" s="814">
        <f t="shared" si="312"/>
        <v>3.5961518138498194</v>
      </c>
      <c r="V328" s="814">
        <f>V122/P122</f>
        <v>1.8752342061013689</v>
      </c>
      <c r="W328" s="86"/>
      <c r="X328" s="86"/>
      <c r="Y328" s="814">
        <f t="shared" ref="Y328:AD328" si="313">Y122/Z122</f>
        <v>9.9580017996145962</v>
      </c>
      <c r="Z328" s="814">
        <f t="shared" si="313"/>
        <v>0.11815577470922359</v>
      </c>
      <c r="AA328" s="814">
        <f t="shared" si="313"/>
        <v>1.6859514244274876</v>
      </c>
      <c r="AB328" s="814">
        <f t="shared" si="313"/>
        <v>0.26473072292770877</v>
      </c>
      <c r="AC328" s="814">
        <f t="shared" si="313"/>
        <v>0.45310082290898412</v>
      </c>
      <c r="AD328" s="814">
        <f t="shared" si="313"/>
        <v>3.190666351713678</v>
      </c>
      <c r="AE328" s="814">
        <f>AE122/Y122</f>
        <v>1.3171862879526779</v>
      </c>
      <c r="AF328" s="86"/>
      <c r="AG328" s="86"/>
      <c r="AH328" s="814">
        <f t="shared" ref="AH328:AM328" si="314">AH122/AI122</f>
        <v>4.9637821563776194</v>
      </c>
      <c r="AI328" s="814">
        <f t="shared" si="314"/>
        <v>0.288925291276518</v>
      </c>
      <c r="AJ328" s="814">
        <f t="shared" si="314"/>
        <v>3.3813143226573015</v>
      </c>
      <c r="AK328" s="814">
        <f t="shared" si="314"/>
        <v>0.23256188809483816</v>
      </c>
      <c r="AL328" s="814">
        <f t="shared" si="314"/>
        <v>0.49307771169432274</v>
      </c>
      <c r="AM328" s="814">
        <f t="shared" si="314"/>
        <v>1.9179476340532366</v>
      </c>
      <c r="AN328" s="814">
        <f>AN122/AH122</f>
        <v>0.93761710305068457</v>
      </c>
      <c r="AO328" s="86"/>
      <c r="AP328" s="86"/>
      <c r="AQ328" s="3659"/>
      <c r="AR328" s="3659"/>
      <c r="AS328" s="3659"/>
      <c r="AT328" s="3659"/>
      <c r="AU328" s="3659"/>
      <c r="AV328" s="3659"/>
      <c r="AW328" s="3659"/>
      <c r="AY328" s="86"/>
      <c r="AZ328" s="814">
        <f t="shared" ref="AZ328:BE328" si="315">AZ122/BA122</f>
        <v>2.4818910781888097</v>
      </c>
      <c r="BA328" s="814">
        <f t="shared" si="315"/>
        <v>0.17335517476591084</v>
      </c>
      <c r="BB328" s="814">
        <f t="shared" si="315"/>
        <v>3.381314322657301</v>
      </c>
      <c r="BC328" s="814">
        <f t="shared" si="315"/>
        <v>0.31008251745978427</v>
      </c>
      <c r="BD328" s="814">
        <f t="shared" si="315"/>
        <v>0.61634713961790333</v>
      </c>
      <c r="BE328" s="814">
        <f t="shared" si="315"/>
        <v>2.8769214510798555</v>
      </c>
      <c r="BF328" s="814">
        <f>BF122/AZ122</f>
        <v>1.2501561374009127</v>
      </c>
      <c r="BG328" s="86"/>
      <c r="BH328" s="86"/>
      <c r="BI328" s="814">
        <f t="shared" ref="BI328:BN328" si="316">BI122/BJ122</f>
        <v>2.4818910781888097</v>
      </c>
      <c r="BJ328" s="814">
        <f t="shared" si="316"/>
        <v>0.17335517476591086</v>
      </c>
      <c r="BK328" s="814">
        <f t="shared" si="316"/>
        <v>3.3813143226573006</v>
      </c>
      <c r="BL328" s="814">
        <f t="shared" si="316"/>
        <v>0.31008251745978427</v>
      </c>
      <c r="BM328" s="814">
        <f t="shared" si="316"/>
        <v>0.61634713961790333</v>
      </c>
      <c r="BN328" s="814">
        <f t="shared" si="316"/>
        <v>2.8769214510798555</v>
      </c>
      <c r="BO328" s="814">
        <f>BO122/BI122</f>
        <v>1.2501561374009127</v>
      </c>
    </row>
    <row r="329" spans="1:68" ht="13.2" customHeight="1">
      <c r="A329" s="86"/>
      <c r="B329" s="815" t="s">
        <v>3348</v>
      </c>
      <c r="C329" s="86"/>
      <c r="D329" s="86"/>
      <c r="E329" s="86"/>
      <c r="F329" s="86"/>
      <c r="G329" s="815"/>
      <c r="H329" s="86"/>
      <c r="I329" s="86"/>
      <c r="J329" s="86"/>
      <c r="K329" s="86"/>
      <c r="M329" s="86"/>
      <c r="N329" s="86"/>
      <c r="O329" s="785">
        <f>ROW()</f>
        <v>329</v>
      </c>
      <c r="P329" s="814">
        <f>IF(ABS(P256-V256)&lt;1,1,P256/V256)</f>
        <v>1</v>
      </c>
      <c r="Q329" s="814">
        <f t="shared" ref="Q329:V329" si="317">IF(ABS(Q256-P256)&lt;1,1,Q256/P256)</f>
        <v>1</v>
      </c>
      <c r="R329" s="814">
        <f t="shared" si="317"/>
        <v>1</v>
      </c>
      <c r="S329" s="814">
        <f t="shared" si="317"/>
        <v>1</v>
      </c>
      <c r="T329" s="814">
        <f t="shared" si="317"/>
        <v>1</v>
      </c>
      <c r="U329" s="814">
        <f t="shared" si="317"/>
        <v>1</v>
      </c>
      <c r="V329" s="814">
        <f t="shared" si="317"/>
        <v>1</v>
      </c>
      <c r="W329" s="86"/>
      <c r="X329" s="86"/>
      <c r="Y329" s="814">
        <f>IF(ABS(Y256-AE256)&lt;1,1,Y256/AE256)</f>
        <v>1</v>
      </c>
      <c r="Z329" s="814">
        <f t="shared" ref="Z329:AE329" si="318">IF(ABS(Z256-Y256)&lt;1,1,Z256/Y256)</f>
        <v>1</v>
      </c>
      <c r="AA329" s="814">
        <f t="shared" si="318"/>
        <v>1</v>
      </c>
      <c r="AB329" s="814">
        <f t="shared" si="318"/>
        <v>1</v>
      </c>
      <c r="AC329" s="814">
        <f t="shared" si="318"/>
        <v>1</v>
      </c>
      <c r="AD329" s="814">
        <f t="shared" si="318"/>
        <v>1</v>
      </c>
      <c r="AE329" s="814">
        <f t="shared" si="318"/>
        <v>1</v>
      </c>
      <c r="AF329" s="86"/>
      <c r="AG329" s="86"/>
      <c r="AH329" s="814">
        <f>IF(ABS(AH256-AN256)&lt;1,1,AH256/AN256)</f>
        <v>1</v>
      </c>
      <c r="AI329" s="814">
        <f t="shared" ref="AI329:AN329" si="319">IF(ABS(AI256-AH256)&lt;1,1,AI256/AH256)</f>
        <v>1</v>
      </c>
      <c r="AJ329" s="814">
        <f t="shared" si="319"/>
        <v>1</v>
      </c>
      <c r="AK329" s="814">
        <f t="shared" si="319"/>
        <v>1</v>
      </c>
      <c r="AL329" s="814">
        <f t="shared" si="319"/>
        <v>1</v>
      </c>
      <c r="AM329" s="814">
        <f t="shared" si="319"/>
        <v>1</v>
      </c>
      <c r="AN329" s="814">
        <f t="shared" si="319"/>
        <v>1</v>
      </c>
      <c r="AO329" s="86"/>
      <c r="AP329" s="86"/>
      <c r="AQ329" s="3659"/>
      <c r="AR329" s="3659"/>
      <c r="AS329" s="3659"/>
      <c r="AT329" s="3659"/>
      <c r="AU329" s="3659"/>
      <c r="AV329" s="3659"/>
      <c r="AW329" s="3659"/>
      <c r="AY329" s="86"/>
      <c r="AZ329" s="814">
        <f>IF(ABS(AZ256-BF256)&lt;1,1,AZ256/BF256)</f>
        <v>1</v>
      </c>
      <c r="BA329" s="814">
        <f t="shared" ref="BA329:BF329" si="320">IF(ABS(BA256-AZ256)&lt;1,1,BA256/AZ256)</f>
        <v>1</v>
      </c>
      <c r="BB329" s="814">
        <f t="shared" si="320"/>
        <v>1</v>
      </c>
      <c r="BC329" s="814">
        <f t="shared" si="320"/>
        <v>1</v>
      </c>
      <c r="BD329" s="814">
        <f t="shared" si="320"/>
        <v>1</v>
      </c>
      <c r="BE329" s="814">
        <f t="shared" si="320"/>
        <v>1</v>
      </c>
      <c r="BF329" s="814">
        <f t="shared" si="320"/>
        <v>1</v>
      </c>
      <c r="BG329" s="86"/>
      <c r="BH329" s="86"/>
      <c r="BI329" s="814">
        <f>IF(ABS(BI256-BO256)&lt;1,1,BI256/BO256)</f>
        <v>1</v>
      </c>
      <c r="BJ329" s="814">
        <f t="shared" ref="BJ329:BO329" si="321">IF(ABS(BJ256-BI256)&lt;1,1,BJ256/BI256)</f>
        <v>1</v>
      </c>
      <c r="BK329" s="814">
        <f t="shared" si="321"/>
        <v>1</v>
      </c>
      <c r="BL329" s="814">
        <f t="shared" si="321"/>
        <v>1</v>
      </c>
      <c r="BM329" s="814">
        <f t="shared" si="321"/>
        <v>1</v>
      </c>
      <c r="BN329" s="814">
        <f t="shared" si="321"/>
        <v>1</v>
      </c>
      <c r="BO329" s="814">
        <f t="shared" si="321"/>
        <v>1</v>
      </c>
    </row>
    <row r="330" spans="1:68" ht="13.2" customHeight="1">
      <c r="A330" s="86"/>
      <c r="B330" s="815" t="s">
        <v>3349</v>
      </c>
      <c r="C330" s="86"/>
      <c r="D330" s="86"/>
      <c r="E330" s="86"/>
      <c r="F330" s="86"/>
      <c r="G330" s="815"/>
      <c r="H330" s="86"/>
      <c r="I330" s="86"/>
      <c r="J330" s="86"/>
      <c r="K330" s="86"/>
      <c r="M330" s="86"/>
      <c r="N330" s="86"/>
      <c r="O330" s="785">
        <f>ROW()</f>
        <v>330</v>
      </c>
      <c r="P330" s="814">
        <f t="shared" ref="P330:U330" si="322">IF(ABS(P256-Q256)&lt;1,1,P256/Q256)</f>
        <v>1</v>
      </c>
      <c r="Q330" s="814">
        <f t="shared" si="322"/>
        <v>1</v>
      </c>
      <c r="R330" s="814">
        <f t="shared" si="322"/>
        <v>1</v>
      </c>
      <c r="S330" s="814">
        <f t="shared" si="322"/>
        <v>1</v>
      </c>
      <c r="T330" s="814">
        <f t="shared" si="322"/>
        <v>1</v>
      </c>
      <c r="U330" s="814">
        <f t="shared" si="322"/>
        <v>1</v>
      </c>
      <c r="V330" s="814">
        <f>IF(ABS(V256-P256)&lt;1,1,V256/P256)</f>
        <v>1</v>
      </c>
      <c r="W330" s="86"/>
      <c r="X330" s="86"/>
      <c r="Y330" s="814">
        <f t="shared" ref="Y330:AD330" si="323">IF(ABS(Y256-Z256)&lt;1,1,Y256/Z256)</f>
        <v>1</v>
      </c>
      <c r="Z330" s="814">
        <f t="shared" si="323"/>
        <v>1</v>
      </c>
      <c r="AA330" s="814">
        <f t="shared" si="323"/>
        <v>1</v>
      </c>
      <c r="AB330" s="814">
        <f t="shared" si="323"/>
        <v>1</v>
      </c>
      <c r="AC330" s="814">
        <f t="shared" si="323"/>
        <v>1</v>
      </c>
      <c r="AD330" s="814">
        <f t="shared" si="323"/>
        <v>1</v>
      </c>
      <c r="AE330" s="814">
        <f>IF(ABS(AE256-Y256)&lt;1,1,AE256/Y256)</f>
        <v>1</v>
      </c>
      <c r="AF330" s="86"/>
      <c r="AG330" s="86"/>
      <c r="AH330" s="814">
        <f t="shared" ref="AH330:AM330" si="324">IF(ABS(AH256-AI256)&lt;1,1,AH256/AI256)</f>
        <v>1</v>
      </c>
      <c r="AI330" s="814">
        <f t="shared" si="324"/>
        <v>1</v>
      </c>
      <c r="AJ330" s="814">
        <f t="shared" si="324"/>
        <v>1</v>
      </c>
      <c r="AK330" s="814">
        <f t="shared" si="324"/>
        <v>1</v>
      </c>
      <c r="AL330" s="814">
        <f t="shared" si="324"/>
        <v>1</v>
      </c>
      <c r="AM330" s="814">
        <f t="shared" si="324"/>
        <v>1</v>
      </c>
      <c r="AN330" s="814">
        <f>IF(ABS(AN256-AH256)&lt;1,1,AN256/AH256)</f>
        <v>1</v>
      </c>
      <c r="AO330" s="86"/>
      <c r="AP330" s="86"/>
      <c r="AR330" s="1002"/>
      <c r="AS330" s="1002"/>
      <c r="AT330" s="1002"/>
      <c r="AU330" s="1002"/>
      <c r="AV330" s="1002"/>
      <c r="AW330" s="1002"/>
      <c r="AX330" s="4388" t="str">
        <f>CONCATENATE("Sum below matches Row ",O325, ".")</f>
        <v>Sum below matches Row 325.</v>
      </c>
      <c r="AY330" s="86"/>
      <c r="AZ330" s="814">
        <f t="shared" ref="AZ330:BE330" si="325">IF(ABS(AZ256-BA256)&lt;1,1,AZ256/BA256)</f>
        <v>1</v>
      </c>
      <c r="BA330" s="814">
        <f t="shared" si="325"/>
        <v>1</v>
      </c>
      <c r="BB330" s="814">
        <f t="shared" si="325"/>
        <v>1</v>
      </c>
      <c r="BC330" s="814">
        <f t="shared" si="325"/>
        <v>1</v>
      </c>
      <c r="BD330" s="814">
        <f t="shared" si="325"/>
        <v>1</v>
      </c>
      <c r="BE330" s="814">
        <f t="shared" si="325"/>
        <v>1</v>
      </c>
      <c r="BF330" s="814">
        <f>IF(ABS(BF256-AZ256)&lt;1,1,BF256/AZ256)</f>
        <v>1</v>
      </c>
      <c r="BG330" s="86"/>
      <c r="BH330" s="86"/>
      <c r="BI330" s="814">
        <f t="shared" ref="BI330:BN330" si="326">IF(ABS(BI256-BJ256)&lt;1,1,BI256/BJ256)</f>
        <v>1</v>
      </c>
      <c r="BJ330" s="814">
        <f t="shared" si="326"/>
        <v>1</v>
      </c>
      <c r="BK330" s="814">
        <f t="shared" si="326"/>
        <v>1</v>
      </c>
      <c r="BL330" s="814">
        <f t="shared" si="326"/>
        <v>1</v>
      </c>
      <c r="BM330" s="814">
        <f t="shared" si="326"/>
        <v>1</v>
      </c>
      <c r="BN330" s="814">
        <f t="shared" si="326"/>
        <v>1</v>
      </c>
      <c r="BO330" s="814">
        <f>IF(ABS(BO256-BI256)&lt;1,1,BO256/BI256)</f>
        <v>1</v>
      </c>
    </row>
    <row r="331" spans="1:68" ht="13.2" customHeight="1">
      <c r="A331" s="86"/>
      <c r="B331" s="815" t="s">
        <v>3350</v>
      </c>
      <c r="C331" s="86"/>
      <c r="D331" s="86"/>
      <c r="E331" s="86"/>
      <c r="F331" s="86"/>
      <c r="G331" s="86"/>
      <c r="H331" s="86"/>
      <c r="I331" s="86"/>
      <c r="J331" s="86"/>
      <c r="K331" s="86"/>
      <c r="M331" s="86"/>
      <c r="N331" s="86"/>
      <c r="O331" s="785">
        <f>ROW()</f>
        <v>331</v>
      </c>
      <c r="P331" s="814">
        <f>IF(ABS(P293-V293)&lt;1, 1, P293/V293)</f>
        <v>0.62002534864991099</v>
      </c>
      <c r="Q331" s="814">
        <f t="shared" ref="Q331:V331" si="327">IF(ABS(Q293-P293)&lt;1, 1, Q293/P293)</f>
        <v>1.6128372850843502</v>
      </c>
      <c r="R331" s="814">
        <f t="shared" si="327"/>
        <v>1.2497930257341545</v>
      </c>
      <c r="S331" s="814">
        <f t="shared" si="327"/>
        <v>1</v>
      </c>
      <c r="T331" s="814">
        <f t="shared" si="327"/>
        <v>0.81665233264622783</v>
      </c>
      <c r="U331" s="814">
        <f t="shared" si="327"/>
        <v>1.2479893802408992</v>
      </c>
      <c r="V331" s="814">
        <f t="shared" si="327"/>
        <v>0.80128886978747382</v>
      </c>
      <c r="W331" s="86"/>
      <c r="X331" s="86"/>
      <c r="Y331" s="814">
        <f>IF(ABS(Y293-AE293)&lt;1, 1, Y293/AE293)</f>
        <v>0.62002534864991099</v>
      </c>
      <c r="Z331" s="814">
        <f t="shared" ref="Z331:AE331" si="328">IF(ABS(Z293-Y293)&lt;1, 1, Z293/Y293)</f>
        <v>1.6128372850843502</v>
      </c>
      <c r="AA331" s="814">
        <f t="shared" si="328"/>
        <v>1.2497930257341545</v>
      </c>
      <c r="AB331" s="814">
        <f t="shared" si="328"/>
        <v>1</v>
      </c>
      <c r="AC331" s="814">
        <f t="shared" si="328"/>
        <v>0.81665233264622783</v>
      </c>
      <c r="AD331" s="814">
        <f t="shared" si="328"/>
        <v>1.2479893802408992</v>
      </c>
      <c r="AE331" s="814">
        <f t="shared" si="328"/>
        <v>0.80128886978747382</v>
      </c>
      <c r="AF331" s="86"/>
      <c r="AG331" s="86"/>
      <c r="AH331" s="814">
        <f>IF(ABS(AH293-AN293)&lt;1, 1, AH293/AN293)</f>
        <v>0.62002534864991088</v>
      </c>
      <c r="AI331" s="814">
        <f t="shared" ref="AI331:AN331" si="329">IF(ABS(AI293-AH293)&lt;1, 1, AI293/AH293)</f>
        <v>1.6128372850843502</v>
      </c>
      <c r="AJ331" s="814">
        <f t="shared" si="329"/>
        <v>1.2497930257341552</v>
      </c>
      <c r="AK331" s="814">
        <f t="shared" si="329"/>
        <v>1</v>
      </c>
      <c r="AL331" s="814">
        <f t="shared" si="329"/>
        <v>0.8166523326462275</v>
      </c>
      <c r="AM331" s="814">
        <f t="shared" si="329"/>
        <v>1.2479893802408992</v>
      </c>
      <c r="AN331" s="814">
        <f t="shared" si="329"/>
        <v>0.80128886978747371</v>
      </c>
      <c r="AO331" s="86"/>
      <c r="AP331" s="86"/>
      <c r="AQ331" s="1002" t="str">
        <f>CONCATENATE("Distribute Row ",O325, " figure, which is 24-h, to different time bins, based on taxi entry patterns in Row ",O122, ".")</f>
        <v>Distribute Row 325 figure, which is 24-h, to different time bins, based on taxi entry patterns in Row 122.</v>
      </c>
      <c r="AR331" s="1002"/>
      <c r="AS331" s="1002"/>
      <c r="AT331" s="1002"/>
      <c r="AU331" s="1002"/>
      <c r="AV331" s="1002"/>
      <c r="AW331" s="1002"/>
      <c r="AX331" s="4389"/>
      <c r="AY331" s="86"/>
      <c r="AZ331" s="814">
        <f>IF(ABS(AZ293-BF293)&lt;1, 1, AZ293/BF293)</f>
        <v>0.60420214490929813</v>
      </c>
      <c r="BA331" s="814">
        <f t="shared" ref="BA331:BF331" si="330">IF(ABS(BA293-AZ293)&lt;1, 1, BA293/AZ293)</f>
        <v>1.6550752234587292</v>
      </c>
      <c r="BB331" s="814">
        <f t="shared" si="330"/>
        <v>1.2360171192026224</v>
      </c>
      <c r="BC331" s="814">
        <f t="shared" si="330"/>
        <v>1</v>
      </c>
      <c r="BD331" s="814">
        <f t="shared" si="330"/>
        <v>0.80905028293226111</v>
      </c>
      <c r="BE331" s="814">
        <f t="shared" si="330"/>
        <v>1.2471928823443161</v>
      </c>
      <c r="BF331" s="814">
        <f t="shared" si="330"/>
        <v>0.80180059889399469</v>
      </c>
      <c r="BG331" s="86"/>
      <c r="BH331" s="86"/>
      <c r="BI331" s="814">
        <f>IF(ABS(BI293-BO293)&lt;1, 1, BI293/BO293)</f>
        <v>0.61769004929816962</v>
      </c>
      <c r="BJ331" s="814">
        <f t="shared" ref="BJ331:BO331" si="331">IF(ABS(BJ293-BI293)&lt;1, 1, BJ293/BI293)</f>
        <v>1.6189349353064983</v>
      </c>
      <c r="BK331" s="814">
        <f t="shared" si="331"/>
        <v>1.2536682975921656</v>
      </c>
      <c r="BL331" s="814">
        <f t="shared" si="331"/>
        <v>1</v>
      </c>
      <c r="BM331" s="814">
        <f t="shared" si="331"/>
        <v>0.81529586251377817</v>
      </c>
      <c r="BN331" s="814">
        <f t="shared" si="331"/>
        <v>1.2509779021844718</v>
      </c>
      <c r="BO331" s="814">
        <f t="shared" si="331"/>
        <v>0.79937463184104907</v>
      </c>
    </row>
    <row r="332" spans="1:68" ht="13.2" customHeight="1">
      <c r="A332" s="86"/>
      <c r="B332" s="815" t="s">
        <v>3351</v>
      </c>
      <c r="C332" s="86"/>
      <c r="D332" s="86"/>
      <c r="E332" s="86"/>
      <c r="F332" s="86"/>
      <c r="G332" s="86"/>
      <c r="H332" s="86"/>
      <c r="I332" s="86"/>
      <c r="J332" s="86"/>
      <c r="K332" s="86"/>
      <c r="M332" s="86"/>
      <c r="N332" s="86"/>
      <c r="O332" s="785">
        <f>ROW()</f>
        <v>332</v>
      </c>
      <c r="P332" s="814">
        <f t="shared" ref="P332:U332" si="332">IF(ABS(P293-Q293)&lt;1, 1, P293/Q293)</f>
        <v>0.62002534864991099</v>
      </c>
      <c r="Q332" s="814">
        <f t="shared" si="332"/>
        <v>0.80013248546700688</v>
      </c>
      <c r="R332" s="814">
        <f t="shared" si="332"/>
        <v>1</v>
      </c>
      <c r="S332" s="814">
        <f t="shared" si="332"/>
        <v>1.2245112883712268</v>
      </c>
      <c r="T332" s="814">
        <f t="shared" si="332"/>
        <v>0.80128886978747382</v>
      </c>
      <c r="U332" s="814">
        <f t="shared" si="332"/>
        <v>1.2479893802408992</v>
      </c>
      <c r="V332" s="814">
        <f>IF(ABS(V293-P293)&lt;1, 1, V293/P293)</f>
        <v>1.6128372850843502</v>
      </c>
      <c r="W332" s="86"/>
      <c r="X332" s="86"/>
      <c r="Y332" s="814">
        <f t="shared" ref="Y332:AD332" si="333">IF(ABS(Y293-Z293)&lt;1, 1, Y293/Z293)</f>
        <v>0.62002534864991099</v>
      </c>
      <c r="Z332" s="814">
        <f t="shared" si="333"/>
        <v>0.80013248546700688</v>
      </c>
      <c r="AA332" s="814">
        <f t="shared" si="333"/>
        <v>1</v>
      </c>
      <c r="AB332" s="814">
        <f t="shared" si="333"/>
        <v>1.2245112883712268</v>
      </c>
      <c r="AC332" s="814">
        <f t="shared" si="333"/>
        <v>0.80128886978747382</v>
      </c>
      <c r="AD332" s="814">
        <f t="shared" si="333"/>
        <v>1.2479893802408992</v>
      </c>
      <c r="AE332" s="814">
        <f>IF(ABS(AE293-Y293)&lt;1, 1, AE293/Y293)</f>
        <v>1.6128372850843502</v>
      </c>
      <c r="AF332" s="86"/>
      <c r="AG332" s="86"/>
      <c r="AH332" s="814">
        <f t="shared" ref="AH332:AM332" si="334">IF(ABS(AH293-AI293)&lt;1, 1, AH293/AI293)</f>
        <v>0.62002534864991088</v>
      </c>
      <c r="AI332" s="814">
        <f t="shared" si="334"/>
        <v>0.80013248546700655</v>
      </c>
      <c r="AJ332" s="814">
        <f t="shared" si="334"/>
        <v>1</v>
      </c>
      <c r="AK332" s="814">
        <f t="shared" si="334"/>
        <v>1.224511288371227</v>
      </c>
      <c r="AL332" s="814">
        <f t="shared" si="334"/>
        <v>0.80128886978747371</v>
      </c>
      <c r="AM332" s="814">
        <f t="shared" si="334"/>
        <v>1.2479893802408992</v>
      </c>
      <c r="AN332" s="814">
        <f>IF(ABS(AN293-AH293)&lt;1, 1, AN293/AH293)</f>
        <v>1.6128372850843502</v>
      </c>
      <c r="AO332" s="86"/>
      <c r="AP332" s="86"/>
      <c r="AQ332" s="1772">
        <f t="shared" ref="AQ332:AW332" ca="1" si="335">(AQ122/$AX122)*$AX$325</f>
        <v>294.962104509158</v>
      </c>
      <c r="AR332" s="1772">
        <f t="shared" ca="1" si="335"/>
        <v>118.84570886342449</v>
      </c>
      <c r="AS332" s="1772">
        <f t="shared" ca="1" si="335"/>
        <v>685.56193389615919</v>
      </c>
      <c r="AT332" s="1772">
        <f t="shared" ca="1" si="335"/>
        <v>202.75013455637304</v>
      </c>
      <c r="AU332" s="1772">
        <f t="shared" ca="1" si="335"/>
        <v>653.85864452248086</v>
      </c>
      <c r="AV332" s="1772">
        <f t="shared" ca="1" si="335"/>
        <v>1060.8610026613126</v>
      </c>
      <c r="AW332" s="1772">
        <f t="shared" ca="1" si="335"/>
        <v>368.74868525281329</v>
      </c>
      <c r="AX332" s="1925">
        <f ca="1">SUM(AQ332:AW332)</f>
        <v>3385.5882142617215</v>
      </c>
      <c r="AY332" s="86"/>
      <c r="AZ332" s="814">
        <f t="shared" ref="AZ332:BE332" si="336">IF(ABS(AZ293-BA293)&lt;1, 1, AZ293/BA293)</f>
        <v>0.60420214490929813</v>
      </c>
      <c r="BA332" s="814">
        <f t="shared" si="336"/>
        <v>0.80905028293226111</v>
      </c>
      <c r="BB332" s="814">
        <f t="shared" si="336"/>
        <v>1</v>
      </c>
      <c r="BC332" s="814">
        <f t="shared" si="336"/>
        <v>1.2360171192026224</v>
      </c>
      <c r="BD332" s="814">
        <f t="shared" si="336"/>
        <v>0.80180059889399469</v>
      </c>
      <c r="BE332" s="814">
        <f t="shared" si="336"/>
        <v>1.2471928823443161</v>
      </c>
      <c r="BF332" s="814">
        <f>IF(ABS(BF293-AZ293)&lt;1, 1, BF293/AZ293)</f>
        <v>1.6550752234587292</v>
      </c>
      <c r="BG332" s="86"/>
      <c r="BH332" s="86"/>
      <c r="BI332" s="814">
        <f t="shared" ref="BI332:BN332" si="337">IF(ABS(BI293-BJ293)&lt;1, 1, BI293/BJ293)</f>
        <v>0.61769004929816962</v>
      </c>
      <c r="BJ332" s="814">
        <f t="shared" si="337"/>
        <v>0.79765915906195539</v>
      </c>
      <c r="BK332" s="814">
        <f t="shared" si="337"/>
        <v>1</v>
      </c>
      <c r="BL332" s="814">
        <f t="shared" si="337"/>
        <v>1.2265486015306504</v>
      </c>
      <c r="BM332" s="814">
        <f t="shared" si="337"/>
        <v>0.79937463184104907</v>
      </c>
      <c r="BN332" s="814">
        <f t="shared" si="337"/>
        <v>1.2509779021844718</v>
      </c>
      <c r="BO332" s="814">
        <f>IF(ABS(BO293-BI293)&lt;1, 1, BO293/BI293)</f>
        <v>1.6189349353064983</v>
      </c>
    </row>
    <row r="333" spans="1:68" ht="13.2" customHeight="1">
      <c r="A333" s="86"/>
      <c r="B333" s="815" t="str">
        <f>CONCATENATE("Ratio of toll ratios for time-switching earlier (Row ",O331," div. by Row ",O329,"); if &gt; 1, some trips will switch to earlier period")</f>
        <v>Ratio of toll ratios for time-switching earlier (Row 331 div. by Row 329); if &gt; 1, some trips will switch to earlier period</v>
      </c>
      <c r="C333" s="86"/>
      <c r="D333" s="86"/>
      <c r="E333" s="86"/>
      <c r="F333" s="86"/>
      <c r="G333" s="815"/>
      <c r="H333" s="86"/>
      <c r="I333" s="86"/>
      <c r="J333" s="86"/>
      <c r="K333" s="86"/>
      <c r="M333" s="86"/>
      <c r="N333" s="86"/>
      <c r="O333" s="785">
        <f>ROW()</f>
        <v>333</v>
      </c>
      <c r="P333" s="814">
        <f>P331/P329</f>
        <v>0.62002534864991099</v>
      </c>
      <c r="Q333" s="814">
        <f t="shared" ref="P333:V334" si="338">Q331/Q329</f>
        <v>1.6128372850843502</v>
      </c>
      <c r="R333" s="814">
        <f t="shared" si="338"/>
        <v>1.2497930257341545</v>
      </c>
      <c r="S333" s="814">
        <f t="shared" si="338"/>
        <v>1</v>
      </c>
      <c r="T333" s="814">
        <f t="shared" si="338"/>
        <v>0.81665233264622783</v>
      </c>
      <c r="U333" s="814">
        <f t="shared" si="338"/>
        <v>1.2479893802408992</v>
      </c>
      <c r="V333" s="814">
        <f t="shared" si="338"/>
        <v>0.80128886978747382</v>
      </c>
      <c r="W333" s="86"/>
      <c r="X333" s="86"/>
      <c r="Y333" s="814">
        <f t="shared" ref="Y333:AE333" si="339">Y331/Y329</f>
        <v>0.62002534864991099</v>
      </c>
      <c r="Z333" s="814">
        <f t="shared" si="339"/>
        <v>1.6128372850843502</v>
      </c>
      <c r="AA333" s="814">
        <f t="shared" si="339"/>
        <v>1.2497930257341545</v>
      </c>
      <c r="AB333" s="814">
        <f t="shared" si="339"/>
        <v>1</v>
      </c>
      <c r="AC333" s="814">
        <f t="shared" si="339"/>
        <v>0.81665233264622783</v>
      </c>
      <c r="AD333" s="814">
        <f t="shared" si="339"/>
        <v>1.2479893802408992</v>
      </c>
      <c r="AE333" s="814">
        <f t="shared" si="339"/>
        <v>0.80128886978747382</v>
      </c>
      <c r="AF333" s="86"/>
      <c r="AG333" s="86"/>
      <c r="AH333" s="814">
        <f t="shared" ref="AH333:AN333" si="340">AH331/AH329</f>
        <v>0.62002534864991088</v>
      </c>
      <c r="AI333" s="814">
        <f t="shared" si="340"/>
        <v>1.6128372850843502</v>
      </c>
      <c r="AJ333" s="814">
        <f t="shared" si="340"/>
        <v>1.2497930257341552</v>
      </c>
      <c r="AK333" s="814">
        <f t="shared" si="340"/>
        <v>1</v>
      </c>
      <c r="AL333" s="814">
        <f t="shared" si="340"/>
        <v>0.8166523326462275</v>
      </c>
      <c r="AM333" s="814">
        <f t="shared" si="340"/>
        <v>1.2479893802408992</v>
      </c>
      <c r="AN333" s="814">
        <f t="shared" si="340"/>
        <v>0.80128886978747371</v>
      </c>
      <c r="AO333" s="86"/>
      <c r="AP333" s="86"/>
      <c r="AY333" s="86"/>
      <c r="AZ333" s="814">
        <f t="shared" ref="AZ333:BF333" si="341">AZ331/AZ329</f>
        <v>0.60420214490929813</v>
      </c>
      <c r="BA333" s="814">
        <f t="shared" si="341"/>
        <v>1.6550752234587292</v>
      </c>
      <c r="BB333" s="814">
        <f t="shared" si="341"/>
        <v>1.2360171192026224</v>
      </c>
      <c r="BC333" s="814">
        <f t="shared" si="341"/>
        <v>1</v>
      </c>
      <c r="BD333" s="814">
        <f t="shared" si="341"/>
        <v>0.80905028293226111</v>
      </c>
      <c r="BE333" s="814">
        <f t="shared" si="341"/>
        <v>1.2471928823443161</v>
      </c>
      <c r="BF333" s="814">
        <f t="shared" si="341"/>
        <v>0.80180059889399469</v>
      </c>
      <c r="BG333" s="86"/>
      <c r="BH333" s="86"/>
      <c r="BI333" s="814">
        <f t="shared" ref="BI333:BO333" si="342">BI331/BI329</f>
        <v>0.61769004929816962</v>
      </c>
      <c r="BJ333" s="814">
        <f t="shared" si="342"/>
        <v>1.6189349353064983</v>
      </c>
      <c r="BK333" s="814">
        <f t="shared" si="342"/>
        <v>1.2536682975921656</v>
      </c>
      <c r="BL333" s="814">
        <f t="shared" si="342"/>
        <v>1</v>
      </c>
      <c r="BM333" s="814">
        <f t="shared" si="342"/>
        <v>0.81529586251377817</v>
      </c>
      <c r="BN333" s="814">
        <f t="shared" si="342"/>
        <v>1.2509779021844718</v>
      </c>
      <c r="BO333" s="814">
        <f t="shared" si="342"/>
        <v>0.79937463184104907</v>
      </c>
    </row>
    <row r="334" spans="1:68" ht="13.2" customHeight="1">
      <c r="A334" s="86"/>
      <c r="B334" s="815" t="str">
        <f>CONCATENATE("Ratio of toll ratios for time-switching later (Row ",O332," div. by Row ",O330,"); if &gt; 1, some trips will switch to later period")</f>
        <v>Ratio of toll ratios for time-switching later (Row 332 div. by Row 330); if &gt; 1, some trips will switch to later period</v>
      </c>
      <c r="C334" s="86"/>
      <c r="D334" s="86"/>
      <c r="E334" s="86"/>
      <c r="F334" s="86"/>
      <c r="G334" s="815"/>
      <c r="H334" s="86"/>
      <c r="I334" s="86"/>
      <c r="J334" s="86"/>
      <c r="K334" s="86"/>
      <c r="M334" s="86"/>
      <c r="N334" s="86"/>
      <c r="O334" s="785">
        <f>ROW()</f>
        <v>334</v>
      </c>
      <c r="P334" s="814">
        <f t="shared" si="338"/>
        <v>0.62002534864991099</v>
      </c>
      <c r="Q334" s="814">
        <f t="shared" si="338"/>
        <v>0.80013248546700688</v>
      </c>
      <c r="R334" s="814">
        <f t="shared" si="338"/>
        <v>1</v>
      </c>
      <c r="S334" s="814">
        <f t="shared" si="338"/>
        <v>1.2245112883712268</v>
      </c>
      <c r="T334" s="814">
        <f t="shared" si="338"/>
        <v>0.80128886978747382</v>
      </c>
      <c r="U334" s="814">
        <f t="shared" si="338"/>
        <v>1.2479893802408992</v>
      </c>
      <c r="V334" s="814">
        <f t="shared" si="338"/>
        <v>1.6128372850843502</v>
      </c>
      <c r="W334" s="86"/>
      <c r="X334" s="86"/>
      <c r="Y334" s="814">
        <f t="shared" ref="Y334:AE334" si="343">Y332/Y330</f>
        <v>0.62002534864991099</v>
      </c>
      <c r="Z334" s="814">
        <f t="shared" si="343"/>
        <v>0.80013248546700688</v>
      </c>
      <c r="AA334" s="814">
        <f t="shared" si="343"/>
        <v>1</v>
      </c>
      <c r="AB334" s="814">
        <f t="shared" si="343"/>
        <v>1.2245112883712268</v>
      </c>
      <c r="AC334" s="814">
        <f t="shared" si="343"/>
        <v>0.80128886978747382</v>
      </c>
      <c r="AD334" s="814">
        <f t="shared" si="343"/>
        <v>1.2479893802408992</v>
      </c>
      <c r="AE334" s="814">
        <f t="shared" si="343"/>
        <v>1.6128372850843502</v>
      </c>
      <c r="AF334" s="86"/>
      <c r="AG334" s="86"/>
      <c r="AH334" s="814">
        <f t="shared" ref="AH334:AN334" si="344">AH332/AH330</f>
        <v>0.62002534864991088</v>
      </c>
      <c r="AI334" s="814">
        <f t="shared" si="344"/>
        <v>0.80013248546700655</v>
      </c>
      <c r="AJ334" s="814">
        <f t="shared" si="344"/>
        <v>1</v>
      </c>
      <c r="AK334" s="814">
        <f t="shared" si="344"/>
        <v>1.224511288371227</v>
      </c>
      <c r="AL334" s="814">
        <f t="shared" si="344"/>
        <v>0.80128886978747371</v>
      </c>
      <c r="AM334" s="814">
        <f t="shared" si="344"/>
        <v>1.2479893802408992</v>
      </c>
      <c r="AN334" s="814">
        <f t="shared" si="344"/>
        <v>1.6128372850843502</v>
      </c>
      <c r="AO334" s="86"/>
      <c r="AP334" s="86"/>
      <c r="AY334" s="86"/>
      <c r="AZ334" s="814">
        <f t="shared" ref="AZ334:BF334" si="345">AZ332/AZ330</f>
        <v>0.60420214490929813</v>
      </c>
      <c r="BA334" s="814">
        <f t="shared" si="345"/>
        <v>0.80905028293226111</v>
      </c>
      <c r="BB334" s="814">
        <f t="shared" si="345"/>
        <v>1</v>
      </c>
      <c r="BC334" s="814">
        <f t="shared" si="345"/>
        <v>1.2360171192026224</v>
      </c>
      <c r="BD334" s="814">
        <f t="shared" si="345"/>
        <v>0.80180059889399469</v>
      </c>
      <c r="BE334" s="814">
        <f t="shared" si="345"/>
        <v>1.2471928823443161</v>
      </c>
      <c r="BF334" s="814">
        <f t="shared" si="345"/>
        <v>1.6550752234587292</v>
      </c>
      <c r="BG334" s="86"/>
      <c r="BH334" s="86"/>
      <c r="BI334" s="814">
        <f t="shared" ref="BI334:BO334" si="346">BI332/BI330</f>
        <v>0.61769004929816962</v>
      </c>
      <c r="BJ334" s="814">
        <f t="shared" si="346"/>
        <v>0.79765915906195539</v>
      </c>
      <c r="BK334" s="814">
        <f t="shared" si="346"/>
        <v>1</v>
      </c>
      <c r="BL334" s="814">
        <f t="shared" si="346"/>
        <v>1.2265486015306504</v>
      </c>
      <c r="BM334" s="814">
        <f t="shared" si="346"/>
        <v>0.79937463184104907</v>
      </c>
      <c r="BN334" s="814">
        <f t="shared" si="346"/>
        <v>1.2509779021844718</v>
      </c>
      <c r="BO334" s="814">
        <f t="shared" si="346"/>
        <v>1.6189349353064983</v>
      </c>
    </row>
    <row r="335" spans="1:68" ht="13.2" customHeight="1">
      <c r="A335" s="86"/>
      <c r="B335" s="815" t="s">
        <v>1582</v>
      </c>
      <c r="C335" s="86"/>
      <c r="D335" s="86"/>
      <c r="E335" s="86"/>
      <c r="F335" s="86"/>
      <c r="G335" s="86"/>
      <c r="H335" s="86"/>
      <c r="I335" s="4343" t="s">
        <v>1700</v>
      </c>
      <c r="J335" s="4344"/>
      <c r="K335" s="86"/>
      <c r="M335" s="86"/>
      <c r="N335" s="86"/>
      <c r="O335" s="785">
        <f>ROW()</f>
        <v>335</v>
      </c>
      <c r="P335" s="814">
        <f>'Weekday Hours'!$H182</f>
        <v>-0.41</v>
      </c>
      <c r="Q335" s="814">
        <f>'Weekday Hours'!$H182</f>
        <v>-0.41</v>
      </c>
      <c r="R335" s="814">
        <f>'Weekday Hours'!$H178</f>
        <v>-0.6</v>
      </c>
      <c r="S335" s="814">
        <f>'Weekday Hours'!$H182</f>
        <v>-0.41</v>
      </c>
      <c r="T335" s="814">
        <f>'Weekday Hours'!$H182</f>
        <v>-0.41</v>
      </c>
      <c r="U335" s="814">
        <f>'Weekday Hours'!$H180</f>
        <v>-0.22</v>
      </c>
      <c r="V335" s="814">
        <f>'Weekday Hours'!$H182</f>
        <v>-0.41</v>
      </c>
      <c r="W335" s="86"/>
      <c r="X335" s="86"/>
      <c r="Y335" s="814">
        <f>'Weekday Hours'!$H182</f>
        <v>-0.41</v>
      </c>
      <c r="Z335" s="814">
        <f>'Weekday Hours'!$H182</f>
        <v>-0.41</v>
      </c>
      <c r="AA335" s="814">
        <f>'Weekday Hours'!$H178</f>
        <v>-0.6</v>
      </c>
      <c r="AB335" s="814">
        <f>'Weekday Hours'!$H182</f>
        <v>-0.41</v>
      </c>
      <c r="AC335" s="814">
        <f>'Weekday Hours'!$H182</f>
        <v>-0.41</v>
      </c>
      <c r="AD335" s="814">
        <f>'Weekday Hours'!$H180</f>
        <v>-0.22</v>
      </c>
      <c r="AE335" s="814">
        <f>'Weekday Hours'!$H182</f>
        <v>-0.41</v>
      </c>
      <c r="AF335" s="86"/>
      <c r="AG335" s="86"/>
      <c r="AH335" s="814">
        <f>'Weekday Hours'!$H182</f>
        <v>-0.41</v>
      </c>
      <c r="AI335" s="814">
        <f>'Weekday Hours'!$H182</f>
        <v>-0.41</v>
      </c>
      <c r="AJ335" s="814">
        <f>'Weekday Hours'!$H178</f>
        <v>-0.6</v>
      </c>
      <c r="AK335" s="814">
        <f>'Weekday Hours'!$H182</f>
        <v>-0.41</v>
      </c>
      <c r="AL335" s="814">
        <f>'Weekday Hours'!$H182</f>
        <v>-0.41</v>
      </c>
      <c r="AM335" s="814">
        <f>'Weekday Hours'!$H180</f>
        <v>-0.22</v>
      </c>
      <c r="AN335" s="814">
        <f>'Weekday Hours'!$H182</f>
        <v>-0.41</v>
      </c>
      <c r="AO335" s="86"/>
      <c r="AP335" s="86"/>
      <c r="AY335" s="86"/>
      <c r="AZ335" s="814">
        <f>'Weekday Hours'!$H182</f>
        <v>-0.41</v>
      </c>
      <c r="BA335" s="814">
        <f>'Weekday Hours'!$H182</f>
        <v>-0.41</v>
      </c>
      <c r="BB335" s="814">
        <f>'Weekday Hours'!$H178</f>
        <v>-0.6</v>
      </c>
      <c r="BC335" s="814">
        <f>'Weekday Hours'!$H182</f>
        <v>-0.41</v>
      </c>
      <c r="BD335" s="814">
        <f>'Weekday Hours'!$H182</f>
        <v>-0.41</v>
      </c>
      <c r="BE335" s="814">
        <f>'Weekday Hours'!$H180</f>
        <v>-0.22</v>
      </c>
      <c r="BF335" s="814">
        <f>'Weekday Hours'!$H182</f>
        <v>-0.41</v>
      </c>
      <c r="BG335" s="86"/>
      <c r="BH335" s="86"/>
      <c r="BI335" s="814">
        <f>'Weekday Hours'!$H182</f>
        <v>-0.41</v>
      </c>
      <c r="BJ335" s="814">
        <f>'Weekday Hours'!$H182</f>
        <v>-0.41</v>
      </c>
      <c r="BK335" s="814">
        <f>'Weekday Hours'!$H178</f>
        <v>-0.6</v>
      </c>
      <c r="BL335" s="814">
        <f>'Weekday Hours'!$H182</f>
        <v>-0.41</v>
      </c>
      <c r="BM335" s="814">
        <f>'Weekday Hours'!$H182</f>
        <v>-0.41</v>
      </c>
      <c r="BN335" s="814">
        <f>'Weekday Hours'!$H180</f>
        <v>-0.22</v>
      </c>
      <c r="BO335" s="814">
        <f>'Weekday Hours'!$H182</f>
        <v>-0.41</v>
      </c>
    </row>
    <row r="336" spans="1:68" ht="13.2" customHeight="1">
      <c r="A336" s="86"/>
      <c r="B336" s="815" t="s">
        <v>2221</v>
      </c>
      <c r="C336" s="86"/>
      <c r="D336" s="86"/>
      <c r="E336" s="86"/>
      <c r="F336" s="86"/>
      <c r="G336" s="86"/>
      <c r="H336" s="86"/>
      <c r="I336" s="4345"/>
      <c r="J336" s="4346"/>
      <c r="K336" s="86"/>
      <c r="M336" s="86"/>
      <c r="N336" s="86"/>
      <c r="O336" s="785">
        <f>ROW()</f>
        <v>336</v>
      </c>
      <c r="P336" s="814">
        <f>'Weekday Hours'!$H183</f>
        <v>-0.11</v>
      </c>
      <c r="Q336" s="814">
        <f>'Weekday Hours'!$H183</f>
        <v>-0.11</v>
      </c>
      <c r="R336" s="814">
        <f>'Weekday Hours'!$H179</f>
        <v>-0.13</v>
      </c>
      <c r="S336" s="814">
        <f>'Weekday Hours'!$H183</f>
        <v>-0.11</v>
      </c>
      <c r="T336" s="814">
        <f>'Weekday Hours'!$H183</f>
        <v>-0.11</v>
      </c>
      <c r="U336" s="814">
        <f>'Weekday Hours'!$H181</f>
        <v>-0.09</v>
      </c>
      <c r="V336" s="814">
        <f>'Weekday Hours'!$H183</f>
        <v>-0.11</v>
      </c>
      <c r="W336" s="86"/>
      <c r="X336" s="86"/>
      <c r="Y336" s="814">
        <f>'Weekday Hours'!$H183</f>
        <v>-0.11</v>
      </c>
      <c r="Z336" s="814">
        <f>'Weekday Hours'!$H183</f>
        <v>-0.11</v>
      </c>
      <c r="AA336" s="814">
        <f>'Weekday Hours'!$H179</f>
        <v>-0.13</v>
      </c>
      <c r="AB336" s="814">
        <f>'Weekday Hours'!$H183</f>
        <v>-0.11</v>
      </c>
      <c r="AC336" s="814">
        <f>'Weekday Hours'!$H183</f>
        <v>-0.11</v>
      </c>
      <c r="AD336" s="814">
        <f>'Weekday Hours'!$H181</f>
        <v>-0.09</v>
      </c>
      <c r="AE336" s="814">
        <f>'Weekday Hours'!$H183</f>
        <v>-0.11</v>
      </c>
      <c r="AF336" s="86"/>
      <c r="AG336" s="86"/>
      <c r="AH336" s="814">
        <f>'Weekday Hours'!$H183</f>
        <v>-0.11</v>
      </c>
      <c r="AI336" s="814">
        <f>'Weekday Hours'!$H183</f>
        <v>-0.11</v>
      </c>
      <c r="AJ336" s="814">
        <f>'Weekday Hours'!$H179</f>
        <v>-0.13</v>
      </c>
      <c r="AK336" s="814">
        <f>'Weekday Hours'!$H183</f>
        <v>-0.11</v>
      </c>
      <c r="AL336" s="814">
        <f>'Weekday Hours'!$H183</f>
        <v>-0.11</v>
      </c>
      <c r="AM336" s="814">
        <f>'Weekday Hours'!$H181</f>
        <v>-0.09</v>
      </c>
      <c r="AN336" s="814">
        <f>'Weekday Hours'!$H183</f>
        <v>-0.11</v>
      </c>
      <c r="AO336" s="86"/>
      <c r="AP336" s="86"/>
      <c r="AY336" s="86"/>
      <c r="AZ336" s="814">
        <f>'Weekday Hours'!$H183</f>
        <v>-0.11</v>
      </c>
      <c r="BA336" s="814">
        <f>'Weekday Hours'!$H183</f>
        <v>-0.11</v>
      </c>
      <c r="BB336" s="814">
        <f>'Weekday Hours'!$H179</f>
        <v>-0.13</v>
      </c>
      <c r="BC336" s="814">
        <f>'Weekday Hours'!$H183</f>
        <v>-0.11</v>
      </c>
      <c r="BD336" s="814">
        <f>'Weekday Hours'!$H183</f>
        <v>-0.11</v>
      </c>
      <c r="BE336" s="814">
        <f>'Weekday Hours'!$H181</f>
        <v>-0.09</v>
      </c>
      <c r="BF336" s="814">
        <f>'Weekday Hours'!$H183</f>
        <v>-0.11</v>
      </c>
      <c r="BG336" s="86"/>
      <c r="BH336" s="86"/>
      <c r="BI336" s="814">
        <f>'Weekday Hours'!$H183</f>
        <v>-0.11</v>
      </c>
      <c r="BJ336" s="814">
        <f>'Weekday Hours'!$H183</f>
        <v>-0.11</v>
      </c>
      <c r="BK336" s="814">
        <f>'Weekday Hours'!$H179</f>
        <v>-0.13</v>
      </c>
      <c r="BL336" s="814">
        <f>'Weekday Hours'!$H183</f>
        <v>-0.11</v>
      </c>
      <c r="BM336" s="814">
        <f>'Weekday Hours'!$H183</f>
        <v>-0.11</v>
      </c>
      <c r="BN336" s="814">
        <f>'Weekday Hours'!$H181</f>
        <v>-0.09</v>
      </c>
      <c r="BO336" s="814">
        <f>'Weekday Hours'!$H183</f>
        <v>-0.11</v>
      </c>
    </row>
    <row r="337" spans="1:74" s="86" customFormat="1" ht="13.2" customHeight="1">
      <c r="B337" s="815" t="s">
        <v>1698</v>
      </c>
      <c r="O337" s="785">
        <f>ROW()</f>
        <v>337</v>
      </c>
      <c r="P337" s="814">
        <f>(P335*(VLOOKUP(P$118,'Weekday Hours'!$E$138:$G$147,3)/'Weekday Hours'!$G$140))</f>
        <v>-0.21955298954968847</v>
      </c>
      <c r="Q337" s="814">
        <f>(Q335*(VLOOKUP(Q$118,'Weekday Hours'!$E$138:$G$147,3)/'Weekday Hours'!$G$140))</f>
        <v>-0.7380074998336914</v>
      </c>
      <c r="R337" s="814">
        <f>(R335*(VLOOKUP(R$118,'Weekday Hours'!$E$138:$G$147,3)/'Weekday Hours'!$G$140))</f>
        <v>-0.6</v>
      </c>
      <c r="S337" s="814">
        <f>(S335*(VLOOKUP(S$118,'Weekday Hours'!$E$138:$G$147,3)/'Weekday Hours'!$G$140))</f>
        <v>-0.7380074998336914</v>
      </c>
      <c r="T337" s="814">
        <f>(T335*(VLOOKUP(T$118,'Weekday Hours'!$E$138:$G$147,3)/'Weekday Hours'!$G$140))</f>
        <v>-0.32176239360267511</v>
      </c>
      <c r="U337" s="814">
        <f>(U335*(VLOOKUP(U$118,'Weekday Hours'!$E$138:$G$147,3)/'Weekday Hours'!$G$140))</f>
        <v>-0.11780892122178406</v>
      </c>
      <c r="V337" s="814">
        <f>(V335*(VLOOKUP(V$118,'Weekday Hours'!$E$138:$G$147,3)/'Weekday Hours'!$G$140))</f>
        <v>-0.41</v>
      </c>
      <c r="Y337" s="814">
        <f>(Y335*(VLOOKUP(Y$118,'Weekday Hours'!$E$138:$G$147,3)/'Weekday Hours'!$G$140))</f>
        <v>-0.21955298954968847</v>
      </c>
      <c r="Z337" s="814">
        <f>(Z335*(VLOOKUP(Z$118,'Weekday Hours'!$E$138:$G$147,3)/'Weekday Hours'!$G$140))</f>
        <v>-0.7380074998336914</v>
      </c>
      <c r="AA337" s="814">
        <f>(AA335*(VLOOKUP(AA$118,'Weekday Hours'!$E$138:$G$147,3)/'Weekday Hours'!$G$140))</f>
        <v>-0.6</v>
      </c>
      <c r="AB337" s="814">
        <f>(AB335*(VLOOKUP(AB$118,'Weekday Hours'!$E$138:$G$147,3)/'Weekday Hours'!$G$140))</f>
        <v>-0.7380074998336914</v>
      </c>
      <c r="AC337" s="814">
        <f>(AC335*(VLOOKUP(AC$118,'Weekday Hours'!$E$138:$G$147,3)/'Weekday Hours'!$G$140))</f>
        <v>-0.32176239360267511</v>
      </c>
      <c r="AD337" s="814">
        <f>(AD335*(VLOOKUP(AD$118,'Weekday Hours'!$E$138:$G$147,3)/'Weekday Hours'!$G$140))</f>
        <v>-0.11780892122178406</v>
      </c>
      <c r="AE337" s="814">
        <f>(AE335*(VLOOKUP(AE$118,'Weekday Hours'!$E$138:$G$147,3)/'Weekday Hours'!$G$140))</f>
        <v>-0.41</v>
      </c>
      <c r="AH337" s="814">
        <f>(AH335*(VLOOKUP(AH$118,'Weekday Hours'!$E$138:$G$147,3)/'Weekday Hours'!$G$140))</f>
        <v>-0.21955298954968847</v>
      </c>
      <c r="AI337" s="814">
        <f>(AI335*(VLOOKUP(AI$118,'Weekday Hours'!$E$138:$G$147,3)/'Weekday Hours'!$G$140))</f>
        <v>-0.7380074998336914</v>
      </c>
      <c r="AJ337" s="814">
        <f>(AJ335*(VLOOKUP(AJ$118,'Weekday Hours'!$E$138:$G$147,3)/'Weekday Hours'!$G$140))</f>
        <v>-0.6</v>
      </c>
      <c r="AK337" s="814">
        <f>(AK335*(VLOOKUP(AK$118,'Weekday Hours'!$E$138:$G$147,3)/'Weekday Hours'!$G$140))</f>
        <v>-0.7380074998336914</v>
      </c>
      <c r="AL337" s="814">
        <f>(AL335*(VLOOKUP(AL$118,'Weekday Hours'!$E$138:$G$147,3)/'Weekday Hours'!$G$140))</f>
        <v>-0.32176239360267511</v>
      </c>
      <c r="AM337" s="814">
        <f>(AM335*(VLOOKUP(AM$118,'Weekday Hours'!$E$138:$G$147,3)/'Weekday Hours'!$G$140))</f>
        <v>-0.11780892122178406</v>
      </c>
      <c r="AN337" s="814">
        <f>(AN335*(VLOOKUP(AN$118,'Weekday Hours'!$E$138:$G$147,3)/'Weekday Hours'!$G$140))</f>
        <v>-0.41</v>
      </c>
      <c r="AQ337"/>
      <c r="AR337"/>
      <c r="AS337"/>
      <c r="AT337"/>
      <c r="AU337"/>
      <c r="AV337"/>
      <c r="AW337"/>
      <c r="AX337"/>
      <c r="AZ337" s="814">
        <f>(AZ335*(VLOOKUP(AZ$118,'Weekday Hours'!$E$138:$G$147,3)/'Weekday Hours'!$G$140))</f>
        <v>-0.21955298954968847</v>
      </c>
      <c r="BA337" s="814">
        <f>(BA335*(VLOOKUP(BA$118,'Weekday Hours'!$E$138:$G$147,3)/'Weekday Hours'!$G$140))</f>
        <v>-0.7380074998336914</v>
      </c>
      <c r="BB337" s="814">
        <f>(BB335*(VLOOKUP(BB$118,'Weekday Hours'!$E$138:$G$147,3)/'Weekday Hours'!$G$140))</f>
        <v>-0.6</v>
      </c>
      <c r="BC337" s="814">
        <f>(BC335*(VLOOKUP(BC$118,'Weekday Hours'!$E$138:$G$147,3)/'Weekday Hours'!$G$140))</f>
        <v>-0.7380074998336914</v>
      </c>
      <c r="BD337" s="814">
        <f>(BD335*(VLOOKUP(BD$118,'Weekday Hours'!$E$138:$G$147,3)/'Weekday Hours'!$G$140))</f>
        <v>-0.32176239360267511</v>
      </c>
      <c r="BE337" s="814">
        <f>(BE335*(VLOOKUP(BE$118,'Weekday Hours'!$E$138:$G$147,3)/'Weekday Hours'!$G$140))</f>
        <v>-0.11780892122178406</v>
      </c>
      <c r="BF337" s="814">
        <f>(BF335*(VLOOKUP(BF$118,'Weekday Hours'!$E$138:$G$147,3)/'Weekday Hours'!$G$140))</f>
        <v>-0.41</v>
      </c>
      <c r="BI337" s="814">
        <f>(BI335*(VLOOKUP(BI$118,'Weekday Hours'!$E$138:$G$147,3)/'Weekday Hours'!$G$140))</f>
        <v>-0.21955298954968847</v>
      </c>
      <c r="BJ337" s="814">
        <f>(BJ335*(VLOOKUP(BJ$118,'Weekday Hours'!$E$138:$G$147,3)/'Weekday Hours'!$G$140))</f>
        <v>-0.7380074998336914</v>
      </c>
      <c r="BK337" s="814">
        <f>(BK335*(VLOOKUP(BK$118,'Weekday Hours'!$E$138:$G$147,3)/'Weekday Hours'!$G$140))</f>
        <v>-0.6</v>
      </c>
      <c r="BL337" s="814">
        <f>(BL335*(VLOOKUP(BL$118,'Weekday Hours'!$E$138:$G$147,3)/'Weekday Hours'!$G$140))</f>
        <v>-0.7380074998336914</v>
      </c>
      <c r="BM337" s="814">
        <f>(BM335*(VLOOKUP(BM$118,'Weekday Hours'!$E$138:$G$147,3)/'Weekday Hours'!$G$140))</f>
        <v>-0.32176239360267511</v>
      </c>
      <c r="BN337" s="814">
        <f>(BN335*(VLOOKUP(BN$118,'Weekday Hours'!$E$138:$G$147,3)/'Weekday Hours'!$G$140))</f>
        <v>-0.11780892122178406</v>
      </c>
      <c r="BO337" s="814">
        <f>(BO335*(VLOOKUP(BO$118,'Weekday Hours'!$E$138:$G$147,3)/'Weekday Hours'!$G$140))</f>
        <v>-0.41</v>
      </c>
    </row>
    <row r="338" spans="1:74" s="86" customFormat="1" ht="13.2" customHeight="1">
      <c r="B338" s="815" t="s">
        <v>1699</v>
      </c>
      <c r="O338" s="785">
        <f>ROW()</f>
        <v>338</v>
      </c>
      <c r="P338" s="814">
        <f>(P336*(VLOOKUP(P$118,'Weekday Hours'!$E$138:$G$147,3)/'Weekday Hours'!$G$140))</f>
        <v>-5.890446061089203E-2</v>
      </c>
      <c r="Q338" s="814">
        <f>(Q336*(VLOOKUP(Q$118,'Weekday Hours'!$E$138:$G$147,3)/'Weekday Hours'!$G$140))</f>
        <v>-0.19800201215050259</v>
      </c>
      <c r="R338" s="814">
        <f>(R336*(VLOOKUP(R$118,'Weekday Hours'!$E$138:$G$147,3)/'Weekday Hours'!$G$140))</f>
        <v>-0.13</v>
      </c>
      <c r="S338" s="814">
        <f>(S336*(VLOOKUP(S$118,'Weekday Hours'!$E$138:$G$147,3)/'Weekday Hours'!$G$140))</f>
        <v>-0.19800201215050259</v>
      </c>
      <c r="T338" s="814">
        <f>(T336*(VLOOKUP(T$118,'Weekday Hours'!$E$138:$G$147,3)/'Weekday Hours'!$G$140))</f>
        <v>-8.6326495844620155E-2</v>
      </c>
      <c r="U338" s="814">
        <f>(U336*(VLOOKUP(U$118,'Weekday Hours'!$E$138:$G$147,3)/'Weekday Hours'!$G$140))</f>
        <v>-4.8194558681638931E-2</v>
      </c>
      <c r="V338" s="814">
        <f>(V336*(VLOOKUP(V$118,'Weekday Hours'!$E$138:$G$147,3)/'Weekday Hours'!$G$140))</f>
        <v>-0.11</v>
      </c>
      <c r="Y338" s="814">
        <f>(Y336*(VLOOKUP(Y$118,'Weekday Hours'!$E$138:$G$147,3)/'Weekday Hours'!$G$140))</f>
        <v>-5.890446061089203E-2</v>
      </c>
      <c r="Z338" s="814">
        <f>(Z336*(VLOOKUP(Z$118,'Weekday Hours'!$E$138:$G$147,3)/'Weekday Hours'!$G$140))</f>
        <v>-0.19800201215050259</v>
      </c>
      <c r="AA338" s="814">
        <f>(AA336*(VLOOKUP(AA$118,'Weekday Hours'!$E$138:$G$147,3)/'Weekday Hours'!$G$140))</f>
        <v>-0.13</v>
      </c>
      <c r="AB338" s="814">
        <f>(AB336*(VLOOKUP(AB$118,'Weekday Hours'!$E$138:$G$147,3)/'Weekday Hours'!$G$140))</f>
        <v>-0.19800201215050259</v>
      </c>
      <c r="AC338" s="814">
        <f>(AC336*(VLOOKUP(AC$118,'Weekday Hours'!$E$138:$G$147,3)/'Weekday Hours'!$G$140))</f>
        <v>-8.6326495844620155E-2</v>
      </c>
      <c r="AD338" s="814">
        <f>(AD336*(VLOOKUP(AD$118,'Weekday Hours'!$E$138:$G$147,3)/'Weekday Hours'!$G$140))</f>
        <v>-4.8194558681638931E-2</v>
      </c>
      <c r="AE338" s="814">
        <f>(AE336*(VLOOKUP(AE$118,'Weekday Hours'!$E$138:$G$147,3)/'Weekday Hours'!$G$140))</f>
        <v>-0.11</v>
      </c>
      <c r="AH338" s="814">
        <f>(AH336*(VLOOKUP(AH$118,'Weekday Hours'!$E$138:$G$147,3)/'Weekday Hours'!$G$140))</f>
        <v>-5.890446061089203E-2</v>
      </c>
      <c r="AI338" s="814">
        <f>(AI336*(VLOOKUP(AI$118,'Weekday Hours'!$E$138:$G$147,3)/'Weekday Hours'!$G$140))</f>
        <v>-0.19800201215050259</v>
      </c>
      <c r="AJ338" s="814">
        <f>(AJ336*(VLOOKUP(AJ$118,'Weekday Hours'!$E$138:$G$147,3)/'Weekday Hours'!$G$140))</f>
        <v>-0.13</v>
      </c>
      <c r="AK338" s="814">
        <f>(AK336*(VLOOKUP(AK$118,'Weekday Hours'!$E$138:$G$147,3)/'Weekday Hours'!$G$140))</f>
        <v>-0.19800201215050259</v>
      </c>
      <c r="AL338" s="814">
        <f>(AL336*(VLOOKUP(AL$118,'Weekday Hours'!$E$138:$G$147,3)/'Weekday Hours'!$G$140))</f>
        <v>-8.6326495844620155E-2</v>
      </c>
      <c r="AM338" s="814">
        <f>(AM336*(VLOOKUP(AM$118,'Weekday Hours'!$E$138:$G$147,3)/'Weekday Hours'!$G$140))</f>
        <v>-4.8194558681638931E-2</v>
      </c>
      <c r="AN338" s="814">
        <f>(AN336*(VLOOKUP(AN$118,'Weekday Hours'!$E$138:$G$147,3)/'Weekday Hours'!$G$140))</f>
        <v>-0.11</v>
      </c>
      <c r="AQ338"/>
      <c r="AR338"/>
      <c r="AS338"/>
      <c r="AT338"/>
      <c r="AU338"/>
      <c r="AV338"/>
      <c r="AW338"/>
      <c r="AX338"/>
      <c r="AZ338" s="814">
        <f>(AZ336*(VLOOKUP(AZ$118,'Weekday Hours'!$E$138:$G$147,3)/'Weekday Hours'!$G$140))</f>
        <v>-5.890446061089203E-2</v>
      </c>
      <c r="BA338" s="814">
        <f>(BA336*(VLOOKUP(BA$118,'Weekday Hours'!$E$138:$G$147,3)/'Weekday Hours'!$G$140))</f>
        <v>-0.19800201215050259</v>
      </c>
      <c r="BB338" s="814">
        <f>(BB336*(VLOOKUP(BB$118,'Weekday Hours'!$E$138:$G$147,3)/'Weekday Hours'!$G$140))</f>
        <v>-0.13</v>
      </c>
      <c r="BC338" s="814">
        <f>(BC336*(VLOOKUP(BC$118,'Weekday Hours'!$E$138:$G$147,3)/'Weekday Hours'!$G$140))</f>
        <v>-0.19800201215050259</v>
      </c>
      <c r="BD338" s="814">
        <f>(BD336*(VLOOKUP(BD$118,'Weekday Hours'!$E$138:$G$147,3)/'Weekday Hours'!$G$140))</f>
        <v>-8.6326495844620155E-2</v>
      </c>
      <c r="BE338" s="814">
        <f>(BE336*(VLOOKUP(BE$118,'Weekday Hours'!$E$138:$G$147,3)/'Weekday Hours'!$G$140))</f>
        <v>-4.8194558681638931E-2</v>
      </c>
      <c r="BF338" s="814">
        <f>(BF336*(VLOOKUP(BF$118,'Weekday Hours'!$E$138:$G$147,3)/'Weekday Hours'!$G$140))</f>
        <v>-0.11</v>
      </c>
      <c r="BI338" s="814">
        <f>(BI336*(VLOOKUP(BI$118,'Weekday Hours'!$E$138:$G$147,3)/'Weekday Hours'!$G$140))</f>
        <v>-5.890446061089203E-2</v>
      </c>
      <c r="BJ338" s="814">
        <f>(BJ336*(VLOOKUP(BJ$118,'Weekday Hours'!$E$138:$G$147,3)/'Weekday Hours'!$G$140))</f>
        <v>-0.19800201215050259</v>
      </c>
      <c r="BK338" s="814">
        <f>(BK336*(VLOOKUP(BK$118,'Weekday Hours'!$E$138:$G$147,3)/'Weekday Hours'!$G$140))</f>
        <v>-0.13</v>
      </c>
      <c r="BL338" s="814">
        <f>(BL336*(VLOOKUP(BL$118,'Weekday Hours'!$E$138:$G$147,3)/'Weekday Hours'!$G$140))</f>
        <v>-0.19800201215050259</v>
      </c>
      <c r="BM338" s="814">
        <f>(BM336*(VLOOKUP(BM$118,'Weekday Hours'!$E$138:$G$147,3)/'Weekday Hours'!$G$140))</f>
        <v>-8.6326495844620155E-2</v>
      </c>
      <c r="BN338" s="814">
        <f>(BN336*(VLOOKUP(BN$118,'Weekday Hours'!$E$138:$G$147,3)/'Weekday Hours'!$G$140))</f>
        <v>-4.8194558681638931E-2</v>
      </c>
      <c r="BO338" s="814">
        <f>(BO336*(VLOOKUP(BO$118,'Weekday Hours'!$E$138:$G$147,3)/'Weekday Hours'!$G$140))</f>
        <v>-0.11</v>
      </c>
    </row>
    <row r="339" spans="1:74" s="86" customFormat="1" ht="13.2" customHeight="1">
      <c r="B339" s="815" t="str">
        <f>CONCATENATE("Factor to multiply Row ",O327," fig., to indicate trips switching to earlier period")</f>
        <v>Factor to multiply Row 327 fig., to indicate trips switching to earlier period</v>
      </c>
      <c r="H339" s="4314" t="s">
        <v>2699</v>
      </c>
      <c r="I339" s="4315"/>
      <c r="J339" s="4316"/>
      <c r="O339" s="785">
        <f>ROW()</f>
        <v>339</v>
      </c>
      <c r="P339" s="814">
        <f>MIN(P333^P337,1)</f>
        <v>1</v>
      </c>
      <c r="Q339" s="814">
        <f t="shared" ref="Q339:V339" si="347">MIN(Q333^Q337,1)</f>
        <v>0.70274313815112943</v>
      </c>
      <c r="R339" s="814">
        <f t="shared" si="347"/>
        <v>0.87477656902716017</v>
      </c>
      <c r="S339" s="814">
        <f t="shared" si="347"/>
        <v>1</v>
      </c>
      <c r="T339" s="814">
        <f t="shared" si="347"/>
        <v>1</v>
      </c>
      <c r="U339" s="814">
        <f t="shared" si="347"/>
        <v>0.97423897294163009</v>
      </c>
      <c r="V339" s="814">
        <f t="shared" si="347"/>
        <v>1</v>
      </c>
      <c r="Y339" s="814">
        <f>MIN(Y333^Y337,1)</f>
        <v>1</v>
      </c>
      <c r="Z339" s="814">
        <f t="shared" ref="Z339:AE339" si="348">MIN(Z333^Z337,1)</f>
        <v>0.70274313815112943</v>
      </c>
      <c r="AA339" s="814">
        <f t="shared" si="348"/>
        <v>0.87477656902716017</v>
      </c>
      <c r="AB339" s="814">
        <f t="shared" si="348"/>
        <v>1</v>
      </c>
      <c r="AC339" s="814">
        <f t="shared" si="348"/>
        <v>1</v>
      </c>
      <c r="AD339" s="814">
        <f t="shared" si="348"/>
        <v>0.97423897294163009</v>
      </c>
      <c r="AE339" s="814">
        <f t="shared" si="348"/>
        <v>1</v>
      </c>
      <c r="AH339" s="814">
        <f>MIN(AH333^AH337,1)</f>
        <v>1</v>
      </c>
      <c r="AI339" s="814">
        <f t="shared" ref="AI339:AN339" si="349">MIN(AI333^AI337,1)</f>
        <v>0.70274313815112943</v>
      </c>
      <c r="AJ339" s="814">
        <f t="shared" si="349"/>
        <v>0.87477656902715994</v>
      </c>
      <c r="AK339" s="814">
        <f t="shared" si="349"/>
        <v>1</v>
      </c>
      <c r="AL339" s="814">
        <f t="shared" si="349"/>
        <v>1</v>
      </c>
      <c r="AM339" s="814">
        <f t="shared" si="349"/>
        <v>0.97423897294163009</v>
      </c>
      <c r="AN339" s="814">
        <f t="shared" si="349"/>
        <v>1</v>
      </c>
      <c r="AQ339"/>
      <c r="AR339"/>
      <c r="AS339"/>
      <c r="AT339"/>
      <c r="AU339"/>
      <c r="AV339"/>
      <c r="AW339"/>
      <c r="AX339"/>
      <c r="AZ339" s="814">
        <f>MIN(AZ333^AZ337,1)</f>
        <v>1</v>
      </c>
      <c r="BA339" s="814">
        <f t="shared" ref="BA339:BF339" si="350">MIN(BA333^BA337,1)</f>
        <v>0.68946284762222987</v>
      </c>
      <c r="BB339" s="814">
        <f t="shared" si="350"/>
        <v>0.88061343806223014</v>
      </c>
      <c r="BC339" s="814">
        <f t="shared" si="350"/>
        <v>1</v>
      </c>
      <c r="BD339" s="814">
        <f t="shared" si="350"/>
        <v>1</v>
      </c>
      <c r="BE339" s="814">
        <f t="shared" si="350"/>
        <v>0.97431225073443328</v>
      </c>
      <c r="BF339" s="814">
        <f t="shared" si="350"/>
        <v>1</v>
      </c>
      <c r="BI339" s="814">
        <f>MIN(BI333^BI337,1)</f>
        <v>1</v>
      </c>
      <c r="BJ339" s="814">
        <f t="shared" ref="BJ339:BO339" si="351">MIN(BJ333^BJ337,1)</f>
        <v>0.7007887758932605</v>
      </c>
      <c r="BK339" s="814">
        <f t="shared" si="351"/>
        <v>0.87315312723609118</v>
      </c>
      <c r="BL339" s="814">
        <f t="shared" si="351"/>
        <v>1</v>
      </c>
      <c r="BM339" s="814">
        <f t="shared" si="351"/>
        <v>1</v>
      </c>
      <c r="BN339" s="814">
        <f t="shared" si="351"/>
        <v>0.97396449428840848</v>
      </c>
      <c r="BO339" s="814">
        <f t="shared" si="351"/>
        <v>1</v>
      </c>
    </row>
    <row r="340" spans="1:74" s="86" customFormat="1" ht="13.2" customHeight="1">
      <c r="B340" s="815" t="str">
        <f>CONCATENATE("Factor to multiply Row ",O328," fig., to indicate trips switching to later period")</f>
        <v>Factor to multiply Row 328 fig., to indicate trips switching to later period</v>
      </c>
      <c r="H340" s="4317"/>
      <c r="I340" s="4318"/>
      <c r="J340" s="4319"/>
      <c r="O340" s="785">
        <f>ROW()</f>
        <v>340</v>
      </c>
      <c r="P340" s="814">
        <f t="shared" ref="P340:V340" si="352">MIN(P334^P338,1)</f>
        <v>1</v>
      </c>
      <c r="Q340" s="814">
        <f t="shared" si="352"/>
        <v>1</v>
      </c>
      <c r="R340" s="814">
        <f t="shared" si="352"/>
        <v>1</v>
      </c>
      <c r="S340" s="814">
        <f t="shared" si="352"/>
        <v>0.96068982280988879</v>
      </c>
      <c r="T340" s="814">
        <f t="shared" si="352"/>
        <v>1</v>
      </c>
      <c r="U340" s="814">
        <f t="shared" si="352"/>
        <v>0.98938007207067624</v>
      </c>
      <c r="V340" s="814">
        <f t="shared" si="352"/>
        <v>0.94877894625165127</v>
      </c>
      <c r="Y340" s="814">
        <f t="shared" ref="Y340:AE340" si="353">MIN(Y334^Y338,1)</f>
        <v>1</v>
      </c>
      <c r="Z340" s="814">
        <f t="shared" si="353"/>
        <v>1</v>
      </c>
      <c r="AA340" s="814">
        <f t="shared" si="353"/>
        <v>1</v>
      </c>
      <c r="AB340" s="814">
        <f t="shared" si="353"/>
        <v>0.96068982280988879</v>
      </c>
      <c r="AC340" s="814">
        <f t="shared" si="353"/>
        <v>1</v>
      </c>
      <c r="AD340" s="814">
        <f t="shared" si="353"/>
        <v>0.98938007207067624</v>
      </c>
      <c r="AE340" s="814">
        <f t="shared" si="353"/>
        <v>0.94877894625165127</v>
      </c>
      <c r="AH340" s="814">
        <f t="shared" ref="AH340:AN340" si="354">MIN(AH334^AH338,1)</f>
        <v>1</v>
      </c>
      <c r="AI340" s="814">
        <f t="shared" si="354"/>
        <v>1</v>
      </c>
      <c r="AJ340" s="814">
        <f t="shared" si="354"/>
        <v>1</v>
      </c>
      <c r="AK340" s="814">
        <f t="shared" si="354"/>
        <v>0.96068982280988857</v>
      </c>
      <c r="AL340" s="814">
        <f t="shared" si="354"/>
        <v>1</v>
      </c>
      <c r="AM340" s="814">
        <f t="shared" si="354"/>
        <v>0.98938007207067624</v>
      </c>
      <c r="AN340" s="814">
        <f t="shared" si="354"/>
        <v>0.94877894625165127</v>
      </c>
      <c r="AQ340"/>
      <c r="AR340"/>
      <c r="AS340"/>
      <c r="AT340"/>
      <c r="AU340"/>
      <c r="AV340"/>
      <c r="AW340"/>
      <c r="AX340"/>
      <c r="AZ340" s="814">
        <f t="shared" ref="AZ340:BF340" si="355">MIN(AZ334^AZ338,1)</f>
        <v>1</v>
      </c>
      <c r="BA340" s="814">
        <f t="shared" si="355"/>
        <v>1</v>
      </c>
      <c r="BB340" s="814">
        <f t="shared" si="355"/>
        <v>1</v>
      </c>
      <c r="BC340" s="814">
        <f t="shared" si="355"/>
        <v>0.95891247056876971</v>
      </c>
      <c r="BD340" s="814">
        <f t="shared" si="355"/>
        <v>1</v>
      </c>
      <c r="BE340" s="814">
        <f t="shared" si="355"/>
        <v>0.98941051456382278</v>
      </c>
      <c r="BF340" s="814">
        <f t="shared" si="355"/>
        <v>0.94608476475994763</v>
      </c>
      <c r="BI340" s="814">
        <f t="shared" ref="BI340:BO340" si="356">MIN(BI334^BI338,1)</f>
        <v>1</v>
      </c>
      <c r="BJ340" s="814">
        <f t="shared" si="356"/>
        <v>1</v>
      </c>
      <c r="BK340" s="814">
        <f t="shared" si="356"/>
        <v>1</v>
      </c>
      <c r="BL340" s="814">
        <f t="shared" si="356"/>
        <v>0.9603736567237775</v>
      </c>
      <c r="BM340" s="814">
        <f t="shared" si="356"/>
        <v>1</v>
      </c>
      <c r="BN340" s="814">
        <f t="shared" si="356"/>
        <v>0.98926603075548769</v>
      </c>
      <c r="BO340" s="814">
        <f t="shared" si="356"/>
        <v>0.94838519688614953</v>
      </c>
    </row>
    <row r="341" spans="1:74" ht="13.2" customHeight="1">
      <c r="A341" s="86"/>
      <c r="B341" s="815" t="s">
        <v>847</v>
      </c>
      <c r="C341" s="86"/>
      <c r="D341" s="86"/>
      <c r="E341" s="86"/>
      <c r="F341" s="86"/>
      <c r="G341" s="1697"/>
      <c r="H341" s="1697"/>
      <c r="I341" s="86"/>
      <c r="J341" s="86"/>
      <c r="K341" s="86"/>
      <c r="L341" s="86"/>
      <c r="M341" s="86"/>
      <c r="N341" s="86"/>
      <c r="O341" s="785">
        <f>ROW()</f>
        <v>341</v>
      </c>
      <c r="P341" s="814">
        <f t="shared" ref="P341:V342" si="357">P339*P327</f>
        <v>0.53326672302923173</v>
      </c>
      <c r="Q341" s="814">
        <f t="shared" si="357"/>
        <v>1.0618059717551618</v>
      </c>
      <c r="R341" s="814">
        <f t="shared" si="357"/>
        <v>5.3825621774619856</v>
      </c>
      <c r="S341" s="814">
        <f t="shared" si="357"/>
        <v>0.2402911774736973</v>
      </c>
      <c r="T341" s="814">
        <f t="shared" si="357"/>
        <v>2.7288021688084587</v>
      </c>
      <c r="U341" s="814">
        <f t="shared" si="357"/>
        <v>1.0777268238792685</v>
      </c>
      <c r="V341" s="814">
        <f t="shared" si="357"/>
        <v>0.27807502345944107</v>
      </c>
      <c r="W341" s="86"/>
      <c r="X341" s="86"/>
      <c r="Y341" s="814">
        <f t="shared" ref="Y341:AE342" si="358">Y339*Y327</f>
        <v>0.75919405565200249</v>
      </c>
      <c r="Z341" s="814">
        <f t="shared" si="358"/>
        <v>7.0570698046904107E-2</v>
      </c>
      <c r="AA341" s="814">
        <f t="shared" si="358"/>
        <v>7.4035870966099511</v>
      </c>
      <c r="AB341" s="814">
        <f t="shared" si="358"/>
        <v>0.5931368991485495</v>
      </c>
      <c r="AC341" s="814">
        <f t="shared" si="358"/>
        <v>3.7774232961735787</v>
      </c>
      <c r="AD341" s="814">
        <f t="shared" si="358"/>
        <v>2.1501593545711324</v>
      </c>
      <c r="AE341" s="814">
        <f t="shared" si="358"/>
        <v>0.31341415546721429</v>
      </c>
      <c r="AF341" s="86"/>
      <c r="AG341" s="86"/>
      <c r="AH341" s="814">
        <f t="shared" ref="AH341:AN342" si="359">AH339*AH327</f>
        <v>1.0665334460584635</v>
      </c>
      <c r="AI341" s="814">
        <f t="shared" si="359"/>
        <v>0.14157412956735491</v>
      </c>
      <c r="AJ341" s="814">
        <f t="shared" si="359"/>
        <v>3.0276912248223669</v>
      </c>
      <c r="AK341" s="814">
        <f t="shared" si="359"/>
        <v>0.29574298765993506</v>
      </c>
      <c r="AL341" s="814">
        <f t="shared" si="359"/>
        <v>4.2999306902436327</v>
      </c>
      <c r="AM341" s="814">
        <f t="shared" si="359"/>
        <v>1.9758325104453254</v>
      </c>
      <c r="AN341" s="814">
        <f t="shared" si="359"/>
        <v>0.52139066898645203</v>
      </c>
      <c r="AO341" s="86"/>
      <c r="AP341" s="86"/>
      <c r="AQ341" s="86"/>
      <c r="AR341" s="86"/>
      <c r="AS341" s="86"/>
      <c r="AT341" s="86"/>
      <c r="AU341" s="86"/>
      <c r="AV341" s="86"/>
      <c r="AW341" s="86"/>
      <c r="AX341" s="86"/>
      <c r="AY341" s="86"/>
      <c r="AZ341" s="814">
        <f t="shared" ref="AZ341:BF342" si="360">AZ339*AZ327</f>
        <v>0.79990008454384764</v>
      </c>
      <c r="BA341" s="814">
        <f t="shared" si="360"/>
        <v>0.27779738348766447</v>
      </c>
      <c r="BB341" s="814">
        <f t="shared" si="360"/>
        <v>5.079822043105211</v>
      </c>
      <c r="BC341" s="814">
        <f t="shared" si="360"/>
        <v>0.29574298765993512</v>
      </c>
      <c r="BD341" s="814">
        <f t="shared" si="360"/>
        <v>3.2249480176827245</v>
      </c>
      <c r="BE341" s="814">
        <f t="shared" si="360"/>
        <v>1.5807848988127793</v>
      </c>
      <c r="BF341" s="814">
        <f t="shared" si="360"/>
        <v>0.3475937793243013</v>
      </c>
      <c r="BG341" s="86"/>
      <c r="BH341" s="86"/>
      <c r="BI341" s="814">
        <f t="shared" ref="BI341:BO342" si="361">BI339*BI327</f>
        <v>0.79990008454384753</v>
      </c>
      <c r="BJ341" s="814">
        <f t="shared" si="361"/>
        <v>0.28236081029175125</v>
      </c>
      <c r="BK341" s="814">
        <f t="shared" si="361"/>
        <v>5.0367872110835368</v>
      </c>
      <c r="BL341" s="814">
        <f t="shared" si="361"/>
        <v>0.29574298765993512</v>
      </c>
      <c r="BM341" s="814">
        <f t="shared" si="361"/>
        <v>3.2249480176827241</v>
      </c>
      <c r="BN341" s="814">
        <f t="shared" si="361"/>
        <v>1.5802206770882488</v>
      </c>
      <c r="BO341" s="814">
        <f t="shared" si="361"/>
        <v>0.3475937793243013</v>
      </c>
    </row>
    <row r="342" spans="1:74" ht="13.2" customHeight="1">
      <c r="A342" s="86"/>
      <c r="B342" s="815" t="s">
        <v>848</v>
      </c>
      <c r="C342" s="86"/>
      <c r="D342" s="86"/>
      <c r="E342" s="86"/>
      <c r="F342" s="86"/>
      <c r="G342" s="1697"/>
      <c r="H342" s="1697"/>
      <c r="I342" s="86"/>
      <c r="J342" s="86"/>
      <c r="K342" s="86"/>
      <c r="L342" s="86"/>
      <c r="M342" s="86"/>
      <c r="N342" s="86"/>
      <c r="O342" s="785">
        <f>ROW()</f>
        <v>342</v>
      </c>
      <c r="P342" s="814">
        <f t="shared" si="357"/>
        <v>0.66183762085034925</v>
      </c>
      <c r="Q342" s="814">
        <f t="shared" si="357"/>
        <v>0.16252047634304143</v>
      </c>
      <c r="R342" s="814">
        <f t="shared" si="357"/>
        <v>4.1616176278859083</v>
      </c>
      <c r="S342" s="814">
        <f t="shared" si="357"/>
        <v>0.35205550398304519</v>
      </c>
      <c r="T342" s="814">
        <f t="shared" si="357"/>
        <v>0.90397580477292483</v>
      </c>
      <c r="U342" s="814">
        <f t="shared" si="357"/>
        <v>3.5579609407638273</v>
      </c>
      <c r="V342" s="814">
        <f t="shared" si="357"/>
        <v>1.7791827340399087</v>
      </c>
      <c r="W342" s="86"/>
      <c r="X342" s="86"/>
      <c r="Y342" s="814">
        <f t="shared" si="358"/>
        <v>9.9580017996145962</v>
      </c>
      <c r="Z342" s="814">
        <f t="shared" si="358"/>
        <v>0.11815577470922359</v>
      </c>
      <c r="AA342" s="814">
        <f t="shared" si="358"/>
        <v>1.6859514244274876</v>
      </c>
      <c r="AB342" s="814">
        <f t="shared" si="358"/>
        <v>0.25432411130175431</v>
      </c>
      <c r="AC342" s="814">
        <f t="shared" si="358"/>
        <v>0.45310082290898412</v>
      </c>
      <c r="AD342" s="814">
        <f t="shared" si="358"/>
        <v>3.1567817050119604</v>
      </c>
      <c r="AE342" s="814">
        <f t="shared" si="358"/>
        <v>1.2497186183008657</v>
      </c>
      <c r="AF342" s="86"/>
      <c r="AG342" s="86"/>
      <c r="AH342" s="814">
        <f t="shared" si="359"/>
        <v>4.9637821563776194</v>
      </c>
      <c r="AI342" s="814">
        <f t="shared" si="359"/>
        <v>0.288925291276518</v>
      </c>
      <c r="AJ342" s="814">
        <f t="shared" si="359"/>
        <v>3.3813143226573015</v>
      </c>
      <c r="AK342" s="814">
        <f t="shared" si="359"/>
        <v>0.22341983906616319</v>
      </c>
      <c r="AL342" s="814">
        <f t="shared" si="359"/>
        <v>0.49307771169432274</v>
      </c>
      <c r="AM342" s="814">
        <f t="shared" si="359"/>
        <v>1.8975791684073742</v>
      </c>
      <c r="AN342" s="814">
        <f t="shared" si="359"/>
        <v>0.88959136701995445</v>
      </c>
      <c r="AO342" s="86"/>
      <c r="AP342" s="86"/>
      <c r="AQ342" s="86"/>
      <c r="AR342" s="86"/>
      <c r="AS342" s="86"/>
      <c r="AT342" s="86"/>
      <c r="AU342" s="86"/>
      <c r="AV342" s="86"/>
      <c r="AW342" s="86"/>
      <c r="AX342" s="86"/>
      <c r="AY342" s="86"/>
      <c r="AZ342" s="814">
        <f t="shared" si="360"/>
        <v>2.4818910781888097</v>
      </c>
      <c r="BA342" s="814">
        <f t="shared" si="360"/>
        <v>0.17335517476591084</v>
      </c>
      <c r="BB342" s="814">
        <f t="shared" si="360"/>
        <v>3.381314322657301</v>
      </c>
      <c r="BC342" s="814">
        <f t="shared" si="360"/>
        <v>0.29734199289754543</v>
      </c>
      <c r="BD342" s="814">
        <f t="shared" si="360"/>
        <v>0.61634713961790333</v>
      </c>
      <c r="BE342" s="814">
        <f t="shared" si="360"/>
        <v>2.8464563332726196</v>
      </c>
      <c r="BF342" s="814">
        <f t="shared" si="360"/>
        <v>1.1827536751661472</v>
      </c>
      <c r="BG342" s="86"/>
      <c r="BH342" s="86"/>
      <c r="BI342" s="814">
        <f t="shared" si="361"/>
        <v>2.4818910781888097</v>
      </c>
      <c r="BJ342" s="814">
        <f t="shared" si="361"/>
        <v>0.17335517476591086</v>
      </c>
      <c r="BK342" s="814">
        <f t="shared" si="361"/>
        <v>3.3813143226573006</v>
      </c>
      <c r="BL342" s="814">
        <f t="shared" si="361"/>
        <v>0.29779508117896758</v>
      </c>
      <c r="BM342" s="814">
        <f t="shared" si="361"/>
        <v>0.61634713961790333</v>
      </c>
      <c r="BN342" s="814">
        <f t="shared" si="361"/>
        <v>2.8460406647050864</v>
      </c>
      <c r="BO342" s="814">
        <f t="shared" si="361"/>
        <v>1.1856295745073928</v>
      </c>
    </row>
    <row r="343" spans="1:74" ht="13.2" customHeight="1">
      <c r="A343" s="86"/>
      <c r="B343" s="815" t="s">
        <v>1819</v>
      </c>
      <c r="C343" s="86"/>
      <c r="D343" s="86"/>
      <c r="E343" s="86"/>
      <c r="F343" s="86"/>
      <c r="G343" s="1134">
        <f t="shared" ref="G343:M344" si="362">P343+Y343+AH343+AQ343+AZ343+BI343</f>
        <v>0</v>
      </c>
      <c r="H343" s="1134">
        <f t="shared" si="362"/>
        <v>4076.8908368677389</v>
      </c>
      <c r="I343" s="1134">
        <f t="shared" si="362"/>
        <v>2570.8720663786771</v>
      </c>
      <c r="J343" s="1134">
        <f t="shared" si="362"/>
        <v>0</v>
      </c>
      <c r="K343" s="1134">
        <f t="shared" si="362"/>
        <v>1.9512855026332662E-12</v>
      </c>
      <c r="L343" s="1134">
        <f t="shared" si="362"/>
        <v>1897.1027972140625</v>
      </c>
      <c r="M343" s="1134">
        <f t="shared" si="362"/>
        <v>0</v>
      </c>
      <c r="N343" s="1134">
        <f>SUM(G343:M343)</f>
        <v>8544.8657004604793</v>
      </c>
      <c r="O343" s="785">
        <f>ROW()</f>
        <v>343</v>
      </c>
      <c r="P343" s="1702">
        <f>(P$122-V$122*P341)/(1+P341)</f>
        <v>0</v>
      </c>
      <c r="Q343" s="1702">
        <f t="shared" ref="Q343:V343" si="363">(Q$122-P$122*Q341)/(1+Q341)</f>
        <v>1975.3760508403921</v>
      </c>
      <c r="R343" s="1702">
        <f t="shared" si="363"/>
        <v>1654.0481451083572</v>
      </c>
      <c r="S343" s="1702">
        <f t="shared" si="363"/>
        <v>0</v>
      </c>
      <c r="T343" s="1702">
        <f t="shared" si="363"/>
        <v>1.9512855026332662E-12</v>
      </c>
      <c r="U343" s="1702">
        <f t="shared" si="363"/>
        <v>758.20282772692065</v>
      </c>
      <c r="V343" s="1702">
        <f t="shared" si="363"/>
        <v>0</v>
      </c>
      <c r="W343" s="86"/>
      <c r="X343" s="86"/>
      <c r="Y343" s="1702">
        <f>(Y$122-AE$122*Y341)/(1+Y341)</f>
        <v>0</v>
      </c>
      <c r="Z343" s="1702">
        <f t="shared" ref="Z343:AE343" si="364">(Z$122-Y$122*Z341)/(1+Z341)</f>
        <v>517.69335562196284</v>
      </c>
      <c r="AA343" s="1702">
        <f t="shared" si="364"/>
        <v>235.13755388174005</v>
      </c>
      <c r="AB343" s="1702">
        <f t="shared" si="364"/>
        <v>0</v>
      </c>
      <c r="AC343" s="1702">
        <f t="shared" si="364"/>
        <v>0</v>
      </c>
      <c r="AD343" s="1702">
        <f t="shared" si="364"/>
        <v>638.09816943760268</v>
      </c>
      <c r="AE343" s="1702">
        <f t="shared" si="364"/>
        <v>0</v>
      </c>
      <c r="AF343" s="86"/>
      <c r="AG343" s="86"/>
      <c r="AH343" s="1702">
        <f>(AH$122-AN$122*AH341)/(1+AH341)</f>
        <v>0</v>
      </c>
      <c r="AI343" s="1702">
        <f t="shared" ref="AI343:AN343" si="365">(AI$122-AH$122*AI341)/(1+AI341)</f>
        <v>1164.3047089975182</v>
      </c>
      <c r="AJ343" s="1702">
        <f t="shared" si="365"/>
        <v>481.15250781144073</v>
      </c>
      <c r="AK343" s="1702">
        <f t="shared" si="365"/>
        <v>0</v>
      </c>
      <c r="AL343" s="1702">
        <f t="shared" si="365"/>
        <v>0</v>
      </c>
      <c r="AM343" s="1702">
        <f t="shared" si="365"/>
        <v>345.51630997221986</v>
      </c>
      <c r="AN343" s="1702">
        <f t="shared" si="365"/>
        <v>0</v>
      </c>
      <c r="AO343" s="86"/>
      <c r="AP343" s="86"/>
      <c r="AQ343" s="86"/>
      <c r="AR343" s="86"/>
      <c r="AS343" s="86"/>
      <c r="AT343" s="86"/>
      <c r="AU343" s="86"/>
      <c r="AV343" s="86"/>
      <c r="AW343" s="86"/>
      <c r="AX343" s="86"/>
      <c r="AY343" s="86"/>
      <c r="AZ343" s="1702">
        <f>(AZ$122-BF$122*AZ341)/(1+AZ341)</f>
        <v>0</v>
      </c>
      <c r="BA343" s="1702">
        <f t="shared" ref="BA343:BF343" si="366">(BA$122-AZ$122*BA341)/(1+BA341)</f>
        <v>325.88495108467964</v>
      </c>
      <c r="BB343" s="1702">
        <f t="shared" si="366"/>
        <v>151.8939590672602</v>
      </c>
      <c r="BC343" s="1702">
        <f t="shared" si="366"/>
        <v>0</v>
      </c>
      <c r="BD343" s="1702">
        <f t="shared" si="366"/>
        <v>0</v>
      </c>
      <c r="BE343" s="1702">
        <f t="shared" si="366"/>
        <v>119.14119680957401</v>
      </c>
      <c r="BF343" s="1702">
        <f t="shared" si="366"/>
        <v>0</v>
      </c>
      <c r="BG343" s="86"/>
      <c r="BH343" s="86"/>
      <c r="BI343" s="1702">
        <f>(BI$122-BO$122*BI341)/(1+BI341)</f>
        <v>0</v>
      </c>
      <c r="BJ343" s="1702">
        <f t="shared" ref="BJ343:BO343" si="367">(BJ$122-BI$122*BJ341)/(1+BJ341)</f>
        <v>93.631770323186529</v>
      </c>
      <c r="BK343" s="1702">
        <f t="shared" si="367"/>
        <v>48.639900509878586</v>
      </c>
      <c r="BL343" s="1702">
        <f t="shared" si="367"/>
        <v>0</v>
      </c>
      <c r="BM343" s="1702">
        <f t="shared" si="367"/>
        <v>0</v>
      </c>
      <c r="BN343" s="1702">
        <f t="shared" si="367"/>
        <v>36.144293267745283</v>
      </c>
      <c r="BO343" s="1702">
        <f t="shared" si="367"/>
        <v>0</v>
      </c>
    </row>
    <row r="344" spans="1:74" ht="13.2" customHeight="1">
      <c r="A344" s="86"/>
      <c r="B344" s="815" t="s">
        <v>1820</v>
      </c>
      <c r="C344" s="86"/>
      <c r="D344" s="86"/>
      <c r="E344" s="86"/>
      <c r="F344" s="86"/>
      <c r="G344" s="1134">
        <f t="shared" si="362"/>
        <v>6.1001202118043304E-13</v>
      </c>
      <c r="H344" s="1134">
        <f t="shared" si="362"/>
        <v>-4.8445193819636507E-14</v>
      </c>
      <c r="I344" s="1134">
        <f t="shared" si="362"/>
        <v>0</v>
      </c>
      <c r="J344" s="1134">
        <f t="shared" si="362"/>
        <v>1122.729046652647</v>
      </c>
      <c r="K344" s="1134">
        <f t="shared" si="362"/>
        <v>5.6268525459693547E-13</v>
      </c>
      <c r="L344" s="1134">
        <f t="shared" si="362"/>
        <v>531.07061044712668</v>
      </c>
      <c r="M344" s="1134">
        <f t="shared" si="362"/>
        <v>1566.4749501793042</v>
      </c>
      <c r="N344" s="1134">
        <f>SUM(G344:M344)</f>
        <v>3220.2746072790787</v>
      </c>
      <c r="O344" s="785">
        <f>ROW()</f>
        <v>344</v>
      </c>
      <c r="P344" s="1702">
        <f t="shared" ref="P344:U344" si="368">(P$122-Q$122*P342)/(1+P342)</f>
        <v>0</v>
      </c>
      <c r="Q344" s="1702">
        <f t="shared" si="368"/>
        <v>0</v>
      </c>
      <c r="R344" s="1702">
        <f t="shared" si="368"/>
        <v>0</v>
      </c>
      <c r="S344" s="1702">
        <f t="shared" si="368"/>
        <v>588.98727044085979</v>
      </c>
      <c r="T344" s="1702">
        <f t="shared" si="368"/>
        <v>0</v>
      </c>
      <c r="U344" s="1702">
        <f t="shared" si="368"/>
        <v>142.48253815078016</v>
      </c>
      <c r="V344" s="1702">
        <f>(V$122-P$122*V342)/(1+V342)</f>
        <v>313.4036578387238</v>
      </c>
      <c r="W344" s="86"/>
      <c r="X344" s="86"/>
      <c r="Y344" s="1702">
        <f t="shared" ref="Y344:AD344" si="369">(Y$122-Z$122*Y342)/(1+Y342)</f>
        <v>0</v>
      </c>
      <c r="Z344" s="1702">
        <f t="shared" si="369"/>
        <v>0</v>
      </c>
      <c r="AA344" s="1702">
        <f t="shared" si="369"/>
        <v>0</v>
      </c>
      <c r="AB344" s="1702">
        <f t="shared" si="369"/>
        <v>293.32648360837118</v>
      </c>
      <c r="AC344" s="1702">
        <f t="shared" si="369"/>
        <v>0</v>
      </c>
      <c r="AD344" s="1702">
        <f t="shared" si="369"/>
        <v>199.35227680388954</v>
      </c>
      <c r="AE344" s="1702">
        <f>(AE$122-Y$122*AE342)/(1+AE342)</f>
        <v>556.7955588062257</v>
      </c>
      <c r="AF344" s="86"/>
      <c r="AG344" s="86"/>
      <c r="AH344" s="1702">
        <f t="shared" ref="AH344:AM344" si="370">(AH$122-AI$122*AH342)/(1+AH342)</f>
        <v>6.1001202118043304E-13</v>
      </c>
      <c r="AI344" s="1702">
        <f t="shared" si="370"/>
        <v>0</v>
      </c>
      <c r="AJ344" s="1702">
        <f t="shared" si="370"/>
        <v>0</v>
      </c>
      <c r="AK344" s="1702">
        <f t="shared" si="370"/>
        <v>147.06091449460723</v>
      </c>
      <c r="AL344" s="1702">
        <f t="shared" si="370"/>
        <v>0</v>
      </c>
      <c r="AM344" s="1702">
        <f t="shared" si="370"/>
        <v>146.28510977611231</v>
      </c>
      <c r="AN344" s="1702">
        <f>(AN$122-AH$122*AN342)/(1+AN342)</f>
        <v>564.10211811335273</v>
      </c>
      <c r="AO344" s="86"/>
      <c r="AP344" s="86"/>
      <c r="AQ344" s="86"/>
      <c r="AR344" s="86"/>
      <c r="AS344" s="86"/>
      <c r="AT344" s="86"/>
      <c r="AU344" s="86"/>
      <c r="AV344" s="86"/>
      <c r="AW344" s="86"/>
      <c r="AX344" s="86"/>
      <c r="AY344" s="86"/>
      <c r="AZ344" s="1702">
        <f t="shared" ref="AZ344:BE344" si="371">(AZ$122-BA$122*AZ342)/(1+AZ342)</f>
        <v>0</v>
      </c>
      <c r="BA344" s="1702">
        <f t="shared" si="371"/>
        <v>0</v>
      </c>
      <c r="BB344" s="1702">
        <f t="shared" si="371"/>
        <v>0</v>
      </c>
      <c r="BC344" s="1702">
        <f t="shared" si="371"/>
        <v>72.4512582634555</v>
      </c>
      <c r="BD344" s="1702">
        <f t="shared" si="371"/>
        <v>5.6268525459693547E-13</v>
      </c>
      <c r="BE344" s="1702">
        <f t="shared" si="371"/>
        <v>32.953516445319615</v>
      </c>
      <c r="BF344" s="1702">
        <f>(BF$122-AZ$122*BF342)/(1+BF342)</f>
        <v>102.7700305408659</v>
      </c>
      <c r="BG344" s="86"/>
      <c r="BH344" s="86"/>
      <c r="BI344" s="1702">
        <f t="shared" ref="BI344:BN344" si="372">(BI$122-BJ$122*BI342)/(1+BI342)</f>
        <v>0</v>
      </c>
      <c r="BJ344" s="1702">
        <f t="shared" si="372"/>
        <v>-4.8445193819636507E-14</v>
      </c>
      <c r="BK344" s="1702">
        <f t="shared" si="372"/>
        <v>0</v>
      </c>
      <c r="BL344" s="1702">
        <f t="shared" si="372"/>
        <v>20.903119845353359</v>
      </c>
      <c r="BM344" s="1702">
        <f t="shared" si="372"/>
        <v>0</v>
      </c>
      <c r="BN344" s="1702">
        <f t="shared" si="372"/>
        <v>9.9971692710251308</v>
      </c>
      <c r="BO344" s="1702">
        <f>(BO$122-BI$122*BO342)/(1+BO342)</f>
        <v>29.403584880135856</v>
      </c>
    </row>
    <row r="345" spans="1:74" ht="13.2" customHeight="1">
      <c r="B345" s="280"/>
      <c r="G345" s="1123"/>
      <c r="H345" s="1122"/>
      <c r="I345" s="1122"/>
      <c r="J345" s="1122"/>
      <c r="K345" s="1122"/>
      <c r="L345" s="1122"/>
      <c r="M345" s="1122"/>
      <c r="N345" s="1122"/>
      <c r="O345" s="39">
        <f>ROW()</f>
        <v>345</v>
      </c>
      <c r="P345" s="39"/>
      <c r="Q345" s="39"/>
      <c r="R345" s="39"/>
      <c r="S345" s="39"/>
      <c r="T345" s="39"/>
      <c r="U345" s="39"/>
      <c r="V345" s="39"/>
      <c r="Y345" s="39"/>
      <c r="Z345" s="39"/>
      <c r="AA345" s="39"/>
      <c r="AB345" s="39"/>
      <c r="AC345" s="39"/>
      <c r="AD345" s="39"/>
      <c r="AE345" s="39"/>
      <c r="AH345" s="39"/>
      <c r="AI345" s="39"/>
      <c r="AJ345" s="39"/>
      <c r="AK345" s="39"/>
      <c r="AL345" s="39"/>
      <c r="AM345" s="39"/>
      <c r="AN345" s="39"/>
      <c r="AZ345" s="39"/>
      <c r="BA345" s="39"/>
      <c r="BB345" s="39"/>
      <c r="BC345" s="39"/>
      <c r="BD345" s="39"/>
      <c r="BE345" s="39"/>
      <c r="BF345" s="39"/>
      <c r="BI345" s="39"/>
      <c r="BJ345" s="39"/>
      <c r="BK345" s="39"/>
      <c r="BL345" s="39"/>
      <c r="BM345" s="39"/>
      <c r="BN345" s="39"/>
      <c r="BO345" s="39"/>
    </row>
    <row r="346" spans="1:74" ht="13.2" customHeight="1">
      <c r="B346" s="6" t="s">
        <v>716</v>
      </c>
      <c r="G346" s="1122"/>
      <c r="H346" s="1122"/>
      <c r="I346" s="1122"/>
      <c r="J346" s="1122"/>
      <c r="K346" s="1122"/>
      <c r="L346" s="1122"/>
      <c r="M346" s="1122"/>
      <c r="N346" s="1122"/>
      <c r="O346" s="39">
        <f>ROW()</f>
        <v>346</v>
      </c>
    </row>
    <row r="347" spans="1:74" ht="13.2" customHeight="1">
      <c r="B347" s="280" t="str">
        <f>CONCATENATE("Daily cordon vehicle entries in period (reproduced from row ",O122, ")")</f>
        <v>Daily cordon vehicle entries in period (reproduced from row 122)</v>
      </c>
      <c r="G347" s="1122">
        <f t="shared" ref="G347:M347" si="373">G122</f>
        <v>59816.389783210681</v>
      </c>
      <c r="H347" s="1122">
        <f t="shared" si="373"/>
        <v>24061.208416006182</v>
      </c>
      <c r="I347" s="1122">
        <f t="shared" si="373"/>
        <v>138773.65063043591</v>
      </c>
      <c r="J347" s="1122">
        <f t="shared" si="373"/>
        <v>41059.235442521305</v>
      </c>
      <c r="K347" s="1122">
        <f t="shared" si="373"/>
        <v>132453.98342495839</v>
      </c>
      <c r="L347" s="1122">
        <f t="shared" si="373"/>
        <v>215013.46225259535</v>
      </c>
      <c r="M347" s="1122">
        <f t="shared" si="373"/>
        <v>74755.871219862805</v>
      </c>
      <c r="N347" s="1122">
        <f t="shared" ref="N347:N356" si="374">SUM(G347:M347)</f>
        <v>685933.80116959068</v>
      </c>
      <c r="O347" s="39">
        <f>ROW()</f>
        <v>347</v>
      </c>
      <c r="P347" s="575">
        <f t="shared" ref="P347:V347" si="375">P122</f>
        <v>9068.1174994694829</v>
      </c>
      <c r="Q347" s="575">
        <f t="shared" si="375"/>
        <v>13701.42345159903</v>
      </c>
      <c r="R347" s="575">
        <f t="shared" si="375"/>
        <v>84305.82877863734</v>
      </c>
      <c r="S347" s="575">
        <f t="shared" si="375"/>
        <v>20257.946865114682</v>
      </c>
      <c r="T347" s="575">
        <f t="shared" si="375"/>
        <v>55279.929341131465</v>
      </c>
      <c r="U347" s="575">
        <f t="shared" si="375"/>
        <v>61152.001026197337</v>
      </c>
      <c r="V347" s="575">
        <f t="shared" si="375"/>
        <v>17004.844119951587</v>
      </c>
      <c r="W347" s="575">
        <f t="shared" ref="W347:W356" si="376">SUM(P347:V347)</f>
        <v>260770.09108210093</v>
      </c>
      <c r="Y347" s="575">
        <f t="shared" ref="Y347:AE347" si="377">Y122</f>
        <v>18566.423617388937</v>
      </c>
      <c r="Z347" s="575">
        <f t="shared" si="377"/>
        <v>1864.4728120161126</v>
      </c>
      <c r="AA347" s="575">
        <f t="shared" si="377"/>
        <v>15779.78576675158</v>
      </c>
      <c r="AB347" s="575">
        <f t="shared" si="377"/>
        <v>9359.5731989194483</v>
      </c>
      <c r="AC347" s="575">
        <f t="shared" si="377"/>
        <v>35355.069843840189</v>
      </c>
      <c r="AD347" s="575">
        <f t="shared" si="377"/>
        <v>78029.14507383731</v>
      </c>
      <c r="AE347" s="575">
        <f t="shared" si="377"/>
        <v>24455.438605145464</v>
      </c>
      <c r="AF347" s="575">
        <f t="shared" ref="AF347:AF356" si="378">SUM(Y347:AE347)</f>
        <v>183409.90891789904</v>
      </c>
      <c r="AH347" s="575">
        <f t="shared" ref="AH347:AN347" si="379">AH122</f>
        <v>22194.818457807927</v>
      </c>
      <c r="AI347" s="575">
        <f t="shared" si="379"/>
        <v>4471.3522387946341</v>
      </c>
      <c r="AJ347" s="575">
        <f t="shared" si="379"/>
        <v>15475.807670001774</v>
      </c>
      <c r="AK347" s="575">
        <f t="shared" si="379"/>
        <v>4576.8615967768628</v>
      </c>
      <c r="AL347" s="575">
        <f t="shared" si="379"/>
        <v>19680.187644978312</v>
      </c>
      <c r="AM347" s="575">
        <f t="shared" si="379"/>
        <v>39912.953228717008</v>
      </c>
      <c r="AN347" s="575">
        <f t="shared" si="379"/>
        <v>20810.241385145731</v>
      </c>
      <c r="AO347" s="575">
        <f t="shared" ref="AO347:AO356" si="380">SUM(AH347:AN347)</f>
        <v>127122.22222222225</v>
      </c>
      <c r="AQ347" s="575">
        <f t="shared" ref="AQ347:AW347" si="381">AQ122</f>
        <v>5662.9854488302353</v>
      </c>
      <c r="AR347" s="575">
        <f t="shared" si="381"/>
        <v>2281.7219895737198</v>
      </c>
      <c r="AS347" s="575">
        <f t="shared" si="381"/>
        <v>13162.122172902134</v>
      </c>
      <c r="AT347" s="575">
        <f t="shared" si="381"/>
        <v>3892.6053353591542</v>
      </c>
      <c r="AU347" s="575">
        <f t="shared" si="381"/>
        <v>12553.4498598877</v>
      </c>
      <c r="AV347" s="575">
        <f t="shared" si="381"/>
        <v>20367.499178579874</v>
      </c>
      <c r="AW347" s="575">
        <f t="shared" si="381"/>
        <v>7079.6160148671806</v>
      </c>
      <c r="AX347" s="575">
        <f>SUM(AQ347:AW347)</f>
        <v>65000</v>
      </c>
      <c r="AZ347" s="575">
        <f t="shared" ref="AZ347:BF347" si="382">AZ122</f>
        <v>3328.0929868509998</v>
      </c>
      <c r="BA347" s="575">
        <f t="shared" si="382"/>
        <v>1340.950461564863</v>
      </c>
      <c r="BB347" s="575">
        <f t="shared" si="382"/>
        <v>7735.2779539209469</v>
      </c>
      <c r="BC347" s="575">
        <f t="shared" si="382"/>
        <v>2287.6542124726107</v>
      </c>
      <c r="BD347" s="575">
        <f t="shared" si="382"/>
        <v>7377.5659176570798</v>
      </c>
      <c r="BE347" s="575">
        <f t="shared" si="382"/>
        <v>11969.822594180787</v>
      </c>
      <c r="BF347" s="575">
        <f t="shared" si="382"/>
        <v>4160.6358733527122</v>
      </c>
      <c r="BG347" s="575">
        <f t="shared" ref="BG347:BG356" si="383">SUM(AZ347:BF347)</f>
        <v>38200</v>
      </c>
      <c r="BI347" s="575">
        <f t="shared" ref="BI347:BO347" si="384">BI122</f>
        <v>995.95177286309888</v>
      </c>
      <c r="BJ347" s="575">
        <f t="shared" si="384"/>
        <v>401.28746245782344</v>
      </c>
      <c r="BK347" s="575">
        <f t="shared" si="384"/>
        <v>2314.8282882221406</v>
      </c>
      <c r="BL347" s="575">
        <f t="shared" si="384"/>
        <v>684.59423387854929</v>
      </c>
      <c r="BM347" s="575">
        <f t="shared" si="384"/>
        <v>2207.7808174636507</v>
      </c>
      <c r="BN347" s="575">
        <f t="shared" si="384"/>
        <v>3582.0411510830354</v>
      </c>
      <c r="BO347" s="575">
        <f t="shared" si="384"/>
        <v>1245.0952214001229</v>
      </c>
      <c r="BP347" s="575">
        <f t="shared" ref="BP347:BP356" si="385">SUM(BI347:BO347)</f>
        <v>11431.57894736842</v>
      </c>
    </row>
    <row r="348" spans="1:74" ht="13.2" customHeight="1">
      <c r="B348" s="280" t="s">
        <v>556</v>
      </c>
      <c r="G348" s="1122">
        <f ca="1">P348+Y348+AH348+AZ348+BI348</f>
        <v>8050.6782075964329</v>
      </c>
      <c r="H348" s="1122">
        <f t="shared" ref="H348:M351" ca="1" si="386">Q348+Z348+AI348+AR348+BA348+BJ348</f>
        <v>3541.3429473523556</v>
      </c>
      <c r="I348" s="1122">
        <f t="shared" ca="1" si="386"/>
        <v>14419.934912070739</v>
      </c>
      <c r="J348" s="1122">
        <f t="shared" ca="1" si="386"/>
        <v>4381.2213856030303</v>
      </c>
      <c r="K348" s="1122">
        <f t="shared" ca="1" si="386"/>
        <v>13125.36621588976</v>
      </c>
      <c r="L348" s="1122">
        <f t="shared" ca="1" si="386"/>
        <v>30785.405508513537</v>
      </c>
      <c r="M348" s="1122">
        <f t="shared" ca="1" si="386"/>
        <v>12148.501287654439</v>
      </c>
      <c r="N348" s="1122">
        <f t="shared" ca="1" si="374"/>
        <v>86452.450464680282</v>
      </c>
      <c r="O348" s="39">
        <f>ROW()</f>
        <v>348</v>
      </c>
      <c r="P348" s="575">
        <f t="shared" ref="P348:V348" ca="1" si="387">P$347*P323</f>
        <v>947.78360947626174</v>
      </c>
      <c r="Q348" s="575">
        <f t="shared" ca="1" si="387"/>
        <v>1897.0341653434516</v>
      </c>
      <c r="R348" s="575">
        <f t="shared" ca="1" si="387"/>
        <v>7430.2118038372728</v>
      </c>
      <c r="S348" s="575">
        <f t="shared" ca="1" si="387"/>
        <v>1648.6215139277294</v>
      </c>
      <c r="T348" s="575">
        <f t="shared" ca="1" si="387"/>
        <v>3803.3160904016977</v>
      </c>
      <c r="U348" s="575">
        <f t="shared" ca="1" si="387"/>
        <v>6403.1069339279493</v>
      </c>
      <c r="V348" s="575">
        <f t="shared" ca="1" si="387"/>
        <v>1916.7996691773881</v>
      </c>
      <c r="W348" s="575">
        <f t="shared" ca="1" si="376"/>
        <v>24046.87378609175</v>
      </c>
      <c r="Y348" s="575">
        <f t="shared" ref="Y348:AE348" ca="1" si="388">Y$347*Y323</f>
        <v>3083.8044339738676</v>
      </c>
      <c r="Z348" s="575">
        <f t="shared" ca="1" si="388"/>
        <v>367.35794352036851</v>
      </c>
      <c r="AA348" s="575">
        <f t="shared" ca="1" si="388"/>
        <v>2381.3739714411895</v>
      </c>
      <c r="AB348" s="575">
        <f t="shared" ca="1" si="388"/>
        <v>1310.8199189685929</v>
      </c>
      <c r="AC348" s="575">
        <f t="shared" ca="1" si="388"/>
        <v>4182.9577633066647</v>
      </c>
      <c r="AD348" s="575">
        <f t="shared" ca="1" si="388"/>
        <v>13210.040061814019</v>
      </c>
      <c r="AE348" s="575">
        <f t="shared" ca="1" si="388"/>
        <v>4764.2989195994041</v>
      </c>
      <c r="AF348" s="575">
        <f t="shared" ca="1" si="378"/>
        <v>29300.653012624109</v>
      </c>
      <c r="AH348" s="575">
        <f t="shared" ref="AH348:AN348" si="389">AH$347*AH323</f>
        <v>3863.3072350601528</v>
      </c>
      <c r="AI348" s="575">
        <f t="shared" si="389"/>
        <v>1173.1849613562615</v>
      </c>
      <c r="AJ348" s="575">
        <f t="shared" si="389"/>
        <v>4009.7912776325543</v>
      </c>
      <c r="AK348" s="575">
        <f t="shared" si="389"/>
        <v>1236.3215112578714</v>
      </c>
      <c r="AL348" s="575">
        <f t="shared" si="389"/>
        <v>4630.5899986080358</v>
      </c>
      <c r="AM348" s="575">
        <f t="shared" si="389"/>
        <v>10272.37007054783</v>
      </c>
      <c r="AN348" s="575">
        <f t="shared" si="389"/>
        <v>5165.8935232265394</v>
      </c>
      <c r="AO348" s="575">
        <f t="shared" si="380"/>
        <v>30351.458577689245</v>
      </c>
      <c r="AQ348" s="4366" t="str">
        <f>CONCATENATE("We have eliminated these entries for medallion taxis, since (i) changes in taxi entries into the CBD are accounted for above, in Rows ",O325, " and ",O332, " and (ii) switching between time periods doesn't apply since taxi fares aren't varied by time of day.")</f>
        <v>We have eliminated these entries for medallion taxis, since (i) changes in taxi entries into the CBD are accounted for above, in Rows 325 and 332 and (ii) switching between time periods doesn't apply since taxi fares aren't varied by time of day.</v>
      </c>
      <c r="AR348" s="3775"/>
      <c r="AS348" s="3775"/>
      <c r="AT348" s="3775"/>
      <c r="AU348" s="3775"/>
      <c r="AV348" s="3775"/>
      <c r="AW348" s="3775"/>
      <c r="AX348" s="3776"/>
      <c r="AZ348" s="575">
        <f t="shared" ref="AZ348:BF348" ca="1" si="390">AZ$347*AZ323</f>
        <v>137.95918722879657</v>
      </c>
      <c r="BA348" s="575">
        <f t="shared" ca="1" si="390"/>
        <v>91.179254766309569</v>
      </c>
      <c r="BB348" s="575">
        <f t="shared" ca="1" si="390"/>
        <v>528.36696199021503</v>
      </c>
      <c r="BC348" s="575">
        <f t="shared" ca="1" si="390"/>
        <v>163.14443564489136</v>
      </c>
      <c r="BD348" s="575">
        <f t="shared" ca="1" si="390"/>
        <v>447.49790384815782</v>
      </c>
      <c r="BE348" s="575">
        <f t="shared" ca="1" si="390"/>
        <v>794.70427482268565</v>
      </c>
      <c r="BF348" s="575">
        <f t="shared" ca="1" si="390"/>
        <v>265.62803311476222</v>
      </c>
      <c r="BG348" s="575">
        <f t="shared" ca="1" si="383"/>
        <v>2428.4800514158183</v>
      </c>
      <c r="BI348" s="575">
        <f t="shared" ref="BI348:BO348" ca="1" si="391">BI$347*BI323</f>
        <v>17.823741857353429</v>
      </c>
      <c r="BJ348" s="575">
        <f t="shared" ca="1" si="391"/>
        <v>12.586622365964404</v>
      </c>
      <c r="BK348" s="575">
        <f t="shared" ca="1" si="391"/>
        <v>70.19089716950802</v>
      </c>
      <c r="BL348" s="575">
        <f t="shared" ca="1" si="391"/>
        <v>22.314005803944895</v>
      </c>
      <c r="BM348" s="575">
        <f t="shared" ca="1" si="391"/>
        <v>61.00445972520447</v>
      </c>
      <c r="BN348" s="575">
        <f t="shared" ca="1" si="391"/>
        <v>105.18416740105287</v>
      </c>
      <c r="BO348" s="575">
        <f t="shared" ca="1" si="391"/>
        <v>35.881142536344313</v>
      </c>
      <c r="BP348" s="575">
        <f t="shared" ca="1" si="385"/>
        <v>324.98503685937243</v>
      </c>
      <c r="BV348">
        <f>ROW()</f>
        <v>348</v>
      </c>
    </row>
    <row r="349" spans="1:74" ht="13.2" customHeight="1">
      <c r="B349" s="280" t="s">
        <v>1085</v>
      </c>
      <c r="G349" s="1122">
        <f>P349+Y349+AH349+AZ349+BI349</f>
        <v>0</v>
      </c>
      <c r="H349" s="1122">
        <f t="shared" si="386"/>
        <v>4076.8908368677389</v>
      </c>
      <c r="I349" s="1122">
        <f t="shared" si="386"/>
        <v>2570.8720663786771</v>
      </c>
      <c r="J349" s="1122">
        <f t="shared" si="386"/>
        <v>0</v>
      </c>
      <c r="K349" s="1122">
        <f t="shared" si="386"/>
        <v>1.9512855026332662E-12</v>
      </c>
      <c r="L349" s="1122">
        <f t="shared" si="386"/>
        <v>1897.1027972140625</v>
      </c>
      <c r="M349" s="1122">
        <f t="shared" si="386"/>
        <v>0</v>
      </c>
      <c r="N349" s="1122">
        <f t="shared" si="374"/>
        <v>8544.8657004604793</v>
      </c>
      <c r="O349" s="39">
        <f>ROW()</f>
        <v>349</v>
      </c>
      <c r="P349" s="575">
        <f>P343</f>
        <v>0</v>
      </c>
      <c r="Q349" s="575">
        <f t="shared" ref="Q349:V349" si="392">Q343</f>
        <v>1975.3760508403921</v>
      </c>
      <c r="R349" s="575">
        <f t="shared" si="392"/>
        <v>1654.0481451083572</v>
      </c>
      <c r="S349" s="575">
        <f t="shared" si="392"/>
        <v>0</v>
      </c>
      <c r="T349" s="575">
        <f t="shared" si="392"/>
        <v>1.9512855026332662E-12</v>
      </c>
      <c r="U349" s="575">
        <f t="shared" si="392"/>
        <v>758.20282772692065</v>
      </c>
      <c r="V349" s="575">
        <f t="shared" si="392"/>
        <v>0</v>
      </c>
      <c r="W349" s="575">
        <f t="shared" si="376"/>
        <v>4387.6270236756718</v>
      </c>
      <c r="Y349" s="575">
        <f>Y343</f>
        <v>0</v>
      </c>
      <c r="Z349" s="575">
        <f t="shared" ref="Z349:AE349" si="393">Z343</f>
        <v>517.69335562196284</v>
      </c>
      <c r="AA349" s="575">
        <f t="shared" si="393"/>
        <v>235.13755388174005</v>
      </c>
      <c r="AB349" s="575">
        <f t="shared" si="393"/>
        <v>0</v>
      </c>
      <c r="AC349" s="575">
        <f t="shared" si="393"/>
        <v>0</v>
      </c>
      <c r="AD349" s="575">
        <f t="shared" si="393"/>
        <v>638.09816943760268</v>
      </c>
      <c r="AE349" s="575">
        <f t="shared" si="393"/>
        <v>0</v>
      </c>
      <c r="AF349" s="575">
        <f t="shared" si="378"/>
        <v>1390.9290789413055</v>
      </c>
      <c r="AH349" s="575">
        <f>AH343</f>
        <v>0</v>
      </c>
      <c r="AI349" s="575">
        <f t="shared" ref="AI349:AN349" si="394">AI343</f>
        <v>1164.3047089975182</v>
      </c>
      <c r="AJ349" s="575">
        <f t="shared" si="394"/>
        <v>481.15250781144073</v>
      </c>
      <c r="AK349" s="575">
        <f t="shared" si="394"/>
        <v>0</v>
      </c>
      <c r="AL349" s="575">
        <f t="shared" si="394"/>
        <v>0</v>
      </c>
      <c r="AM349" s="575">
        <f t="shared" si="394"/>
        <v>345.51630997221986</v>
      </c>
      <c r="AN349" s="575">
        <f t="shared" si="394"/>
        <v>0</v>
      </c>
      <c r="AO349" s="575">
        <f t="shared" si="380"/>
        <v>1990.9735267811789</v>
      </c>
      <c r="AQ349" s="3738"/>
      <c r="AR349" s="3739"/>
      <c r="AS349" s="3739"/>
      <c r="AT349" s="3739"/>
      <c r="AU349" s="3739"/>
      <c r="AV349" s="3739"/>
      <c r="AW349" s="3739"/>
      <c r="AX349" s="3922"/>
      <c r="AZ349" s="575">
        <f>AZ343</f>
        <v>0</v>
      </c>
      <c r="BA349" s="575">
        <f t="shared" ref="BA349:BF349" si="395">BA343</f>
        <v>325.88495108467964</v>
      </c>
      <c r="BB349" s="575">
        <f t="shared" si="395"/>
        <v>151.8939590672602</v>
      </c>
      <c r="BC349" s="575">
        <f t="shared" si="395"/>
        <v>0</v>
      </c>
      <c r="BD349" s="575">
        <f t="shared" si="395"/>
        <v>0</v>
      </c>
      <c r="BE349" s="575">
        <f t="shared" si="395"/>
        <v>119.14119680957401</v>
      </c>
      <c r="BF349" s="575">
        <f t="shared" si="395"/>
        <v>0</v>
      </c>
      <c r="BG349" s="575">
        <f t="shared" si="383"/>
        <v>596.92010696151385</v>
      </c>
      <c r="BI349" s="575">
        <f>BI343</f>
        <v>0</v>
      </c>
      <c r="BJ349" s="575">
        <f t="shared" ref="BJ349:BO349" si="396">BJ343</f>
        <v>93.631770323186529</v>
      </c>
      <c r="BK349" s="575">
        <f t="shared" si="396"/>
        <v>48.639900509878586</v>
      </c>
      <c r="BL349" s="575">
        <f t="shared" si="396"/>
        <v>0</v>
      </c>
      <c r="BM349" s="575">
        <f t="shared" si="396"/>
        <v>0</v>
      </c>
      <c r="BN349" s="575">
        <f t="shared" si="396"/>
        <v>36.144293267745283</v>
      </c>
      <c r="BO349" s="575">
        <f t="shared" si="396"/>
        <v>0</v>
      </c>
      <c r="BP349" s="575">
        <f t="shared" si="385"/>
        <v>178.41596410081041</v>
      </c>
    </row>
    <row r="350" spans="1:74" ht="13.2" customHeight="1">
      <c r="B350" s="280" t="s">
        <v>1086</v>
      </c>
      <c r="G350" s="1122">
        <f>P350+Y350+AH350+AZ350+BI350</f>
        <v>6.1001202118043304E-13</v>
      </c>
      <c r="H350" s="1122">
        <f t="shared" si="386"/>
        <v>-4.8445193819636507E-14</v>
      </c>
      <c r="I350" s="1122">
        <f t="shared" si="386"/>
        <v>0</v>
      </c>
      <c r="J350" s="1122">
        <f t="shared" si="386"/>
        <v>1122.729046652647</v>
      </c>
      <c r="K350" s="1122">
        <f t="shared" si="386"/>
        <v>5.6268525459693547E-13</v>
      </c>
      <c r="L350" s="1122">
        <f t="shared" si="386"/>
        <v>531.07061044712668</v>
      </c>
      <c r="M350" s="1122">
        <f t="shared" si="386"/>
        <v>1566.4749501793042</v>
      </c>
      <c r="N350" s="1122">
        <f t="shared" si="374"/>
        <v>3220.2746072790787</v>
      </c>
      <c r="O350" s="39">
        <f>ROW()</f>
        <v>350</v>
      </c>
      <c r="P350" s="575">
        <f>P344</f>
        <v>0</v>
      </c>
      <c r="Q350" s="575">
        <f t="shared" ref="Q350:V350" si="397">Q344</f>
        <v>0</v>
      </c>
      <c r="R350" s="575">
        <f t="shared" si="397"/>
        <v>0</v>
      </c>
      <c r="S350" s="575">
        <f t="shared" si="397"/>
        <v>588.98727044085979</v>
      </c>
      <c r="T350" s="575">
        <f t="shared" si="397"/>
        <v>0</v>
      </c>
      <c r="U350" s="575">
        <f t="shared" si="397"/>
        <v>142.48253815078016</v>
      </c>
      <c r="V350" s="575">
        <f t="shared" si="397"/>
        <v>313.4036578387238</v>
      </c>
      <c r="W350" s="575">
        <f t="shared" si="376"/>
        <v>1044.8734664303638</v>
      </c>
      <c r="Y350" s="575">
        <f>Y344</f>
        <v>0</v>
      </c>
      <c r="Z350" s="575">
        <f t="shared" ref="Z350:AE350" si="398">Z344</f>
        <v>0</v>
      </c>
      <c r="AA350" s="575">
        <f t="shared" si="398"/>
        <v>0</v>
      </c>
      <c r="AB350" s="575">
        <f t="shared" si="398"/>
        <v>293.32648360837118</v>
      </c>
      <c r="AC350" s="575">
        <f t="shared" si="398"/>
        <v>0</v>
      </c>
      <c r="AD350" s="575">
        <f t="shared" si="398"/>
        <v>199.35227680388954</v>
      </c>
      <c r="AE350" s="575">
        <f t="shared" si="398"/>
        <v>556.7955588062257</v>
      </c>
      <c r="AF350" s="575">
        <f t="shared" si="378"/>
        <v>1049.4743192184865</v>
      </c>
      <c r="AH350" s="575">
        <f>AH344</f>
        <v>6.1001202118043304E-13</v>
      </c>
      <c r="AI350" s="575">
        <f t="shared" ref="AI350:AN350" si="399">AI344</f>
        <v>0</v>
      </c>
      <c r="AJ350" s="575">
        <f t="shared" si="399"/>
        <v>0</v>
      </c>
      <c r="AK350" s="575">
        <f t="shared" si="399"/>
        <v>147.06091449460723</v>
      </c>
      <c r="AL350" s="575">
        <f t="shared" si="399"/>
        <v>0</v>
      </c>
      <c r="AM350" s="575">
        <f t="shared" si="399"/>
        <v>146.28510977611231</v>
      </c>
      <c r="AN350" s="575">
        <f t="shared" si="399"/>
        <v>564.10211811335273</v>
      </c>
      <c r="AO350" s="575">
        <f t="shared" si="380"/>
        <v>857.44814238407287</v>
      </c>
      <c r="AQ350" s="3738"/>
      <c r="AR350" s="3739"/>
      <c r="AS350" s="3739"/>
      <c r="AT350" s="3739"/>
      <c r="AU350" s="3739"/>
      <c r="AV350" s="3739"/>
      <c r="AW350" s="3739"/>
      <c r="AX350" s="3922"/>
      <c r="AZ350" s="575">
        <f>AZ344</f>
        <v>0</v>
      </c>
      <c r="BA350" s="575">
        <f t="shared" ref="BA350:BF350" si="400">BA344</f>
        <v>0</v>
      </c>
      <c r="BB350" s="575">
        <f t="shared" si="400"/>
        <v>0</v>
      </c>
      <c r="BC350" s="575">
        <f t="shared" si="400"/>
        <v>72.4512582634555</v>
      </c>
      <c r="BD350" s="575">
        <f t="shared" si="400"/>
        <v>5.6268525459693547E-13</v>
      </c>
      <c r="BE350" s="575">
        <f t="shared" si="400"/>
        <v>32.953516445319615</v>
      </c>
      <c r="BF350" s="575">
        <f t="shared" si="400"/>
        <v>102.7700305408659</v>
      </c>
      <c r="BG350" s="575">
        <f t="shared" si="383"/>
        <v>208.17480524964157</v>
      </c>
      <c r="BI350" s="575">
        <f>BI344</f>
        <v>0</v>
      </c>
      <c r="BJ350" s="575">
        <f t="shared" ref="BJ350:BO350" si="401">BJ344</f>
        <v>-4.8445193819636507E-14</v>
      </c>
      <c r="BK350" s="575">
        <f t="shared" si="401"/>
        <v>0</v>
      </c>
      <c r="BL350" s="575">
        <f t="shared" si="401"/>
        <v>20.903119845353359</v>
      </c>
      <c r="BM350" s="575">
        <f t="shared" si="401"/>
        <v>0</v>
      </c>
      <c r="BN350" s="575">
        <f t="shared" si="401"/>
        <v>9.9971692710251308</v>
      </c>
      <c r="BO350" s="575">
        <f t="shared" si="401"/>
        <v>29.403584880135856</v>
      </c>
      <c r="BP350" s="575">
        <f t="shared" si="385"/>
        <v>60.303873996514298</v>
      </c>
    </row>
    <row r="351" spans="1:74" ht="13.2" customHeight="1">
      <c r="B351" s="280" t="s">
        <v>1213</v>
      </c>
      <c r="G351" s="1122">
        <f>P351+Y351+AH351+AZ351+BI351</f>
        <v>6.1001202118043304E-13</v>
      </c>
      <c r="H351" s="1122">
        <f t="shared" si="386"/>
        <v>4076.8908368677389</v>
      </c>
      <c r="I351" s="1122">
        <f t="shared" si="386"/>
        <v>2570.8720663786771</v>
      </c>
      <c r="J351" s="1122">
        <f t="shared" si="386"/>
        <v>1122.729046652647</v>
      </c>
      <c r="K351" s="1122">
        <f t="shared" si="386"/>
        <v>2.5139707572302016E-12</v>
      </c>
      <c r="L351" s="1122">
        <f t="shared" si="386"/>
        <v>2428.1734076611892</v>
      </c>
      <c r="M351" s="1122">
        <f t="shared" si="386"/>
        <v>1566.4749501793042</v>
      </c>
      <c r="N351" s="1122">
        <f t="shared" si="374"/>
        <v>11765.140307739561</v>
      </c>
      <c r="O351" s="39">
        <f>ROW()</f>
        <v>351</v>
      </c>
      <c r="P351" s="575">
        <f t="shared" ref="P351:V351" si="402">P349+P350</f>
        <v>0</v>
      </c>
      <c r="Q351" s="575">
        <f t="shared" si="402"/>
        <v>1975.3760508403921</v>
      </c>
      <c r="R351" s="575">
        <f t="shared" si="402"/>
        <v>1654.0481451083572</v>
      </c>
      <c r="S351" s="575">
        <f t="shared" si="402"/>
        <v>588.98727044085979</v>
      </c>
      <c r="T351" s="575">
        <f t="shared" si="402"/>
        <v>1.9512855026332662E-12</v>
      </c>
      <c r="U351" s="575">
        <f t="shared" si="402"/>
        <v>900.68536587770086</v>
      </c>
      <c r="V351" s="575">
        <f t="shared" si="402"/>
        <v>313.4036578387238</v>
      </c>
      <c r="W351" s="575">
        <f t="shared" si="376"/>
        <v>5432.5004901060356</v>
      </c>
      <c r="Y351" s="575">
        <f t="shared" ref="Y351:AE351" si="403">Y349+Y350</f>
        <v>0</v>
      </c>
      <c r="Z351" s="575">
        <f t="shared" si="403"/>
        <v>517.69335562196284</v>
      </c>
      <c r="AA351" s="575">
        <f t="shared" si="403"/>
        <v>235.13755388174005</v>
      </c>
      <c r="AB351" s="575">
        <f t="shared" si="403"/>
        <v>293.32648360837118</v>
      </c>
      <c r="AC351" s="575">
        <f t="shared" si="403"/>
        <v>0</v>
      </c>
      <c r="AD351" s="575">
        <f t="shared" si="403"/>
        <v>837.45044624149227</v>
      </c>
      <c r="AE351" s="575">
        <f t="shared" si="403"/>
        <v>556.7955588062257</v>
      </c>
      <c r="AF351" s="575">
        <f t="shared" si="378"/>
        <v>2440.4033981597922</v>
      </c>
      <c r="AH351" s="575">
        <f t="shared" ref="AH351:AN351" si="404">AH349+AH350</f>
        <v>6.1001202118043304E-13</v>
      </c>
      <c r="AI351" s="575">
        <f t="shared" si="404"/>
        <v>1164.3047089975182</v>
      </c>
      <c r="AJ351" s="575">
        <f t="shared" si="404"/>
        <v>481.15250781144073</v>
      </c>
      <c r="AK351" s="575">
        <f t="shared" si="404"/>
        <v>147.06091449460723</v>
      </c>
      <c r="AL351" s="575">
        <f t="shared" si="404"/>
        <v>0</v>
      </c>
      <c r="AM351" s="575">
        <f t="shared" si="404"/>
        <v>491.80141974833214</v>
      </c>
      <c r="AN351" s="575">
        <f t="shared" si="404"/>
        <v>564.10211811335273</v>
      </c>
      <c r="AO351" s="575">
        <f t="shared" si="380"/>
        <v>2848.4216691652518</v>
      </c>
      <c r="AQ351" s="3738"/>
      <c r="AR351" s="3739"/>
      <c r="AS351" s="3739"/>
      <c r="AT351" s="3739"/>
      <c r="AU351" s="3739"/>
      <c r="AV351" s="3739"/>
      <c r="AW351" s="3739"/>
      <c r="AX351" s="3922"/>
      <c r="AZ351" s="575">
        <f t="shared" ref="AZ351:BF351" si="405">AZ349+AZ350</f>
        <v>0</v>
      </c>
      <c r="BA351" s="575">
        <f t="shared" si="405"/>
        <v>325.88495108467964</v>
      </c>
      <c r="BB351" s="575">
        <f t="shared" si="405"/>
        <v>151.8939590672602</v>
      </c>
      <c r="BC351" s="575">
        <f t="shared" si="405"/>
        <v>72.4512582634555</v>
      </c>
      <c r="BD351" s="575">
        <f t="shared" si="405"/>
        <v>5.6268525459693547E-13</v>
      </c>
      <c r="BE351" s="575">
        <f t="shared" si="405"/>
        <v>152.09471325489363</v>
      </c>
      <c r="BF351" s="575">
        <f t="shared" si="405"/>
        <v>102.7700305408659</v>
      </c>
      <c r="BG351" s="575">
        <f t="shared" si="383"/>
        <v>805.09491221115559</v>
      </c>
      <c r="BI351" s="575">
        <f t="shared" ref="BI351:BO351" si="406">BI349+BI350</f>
        <v>0</v>
      </c>
      <c r="BJ351" s="575">
        <f t="shared" si="406"/>
        <v>93.631770323186487</v>
      </c>
      <c r="BK351" s="575">
        <f t="shared" si="406"/>
        <v>48.639900509878586</v>
      </c>
      <c r="BL351" s="575">
        <f t="shared" si="406"/>
        <v>20.903119845353359</v>
      </c>
      <c r="BM351" s="575">
        <f t="shared" si="406"/>
        <v>0</v>
      </c>
      <c r="BN351" s="575">
        <f t="shared" si="406"/>
        <v>46.141462538770412</v>
      </c>
      <c r="BO351" s="575">
        <f t="shared" si="406"/>
        <v>29.403584880135856</v>
      </c>
      <c r="BP351" s="575">
        <f t="shared" si="385"/>
        <v>238.7198380973247</v>
      </c>
    </row>
    <row r="352" spans="1:74" ht="13.2" customHeight="1">
      <c r="B352" s="280" t="s">
        <v>2183</v>
      </c>
      <c r="G352" s="1122">
        <f t="shared" ref="G352:M356" si="407">P352+Y352+AH352+AQ352+AZ352+BI352</f>
        <v>4076.8908368677389</v>
      </c>
      <c r="H352" s="1122">
        <f t="shared" si="407"/>
        <v>2570.8720663786771</v>
      </c>
      <c r="I352" s="1122">
        <f t="shared" si="407"/>
        <v>0</v>
      </c>
      <c r="J352" s="1122">
        <f t="shared" si="407"/>
        <v>1.9512855026332662E-12</v>
      </c>
      <c r="K352" s="1122">
        <f t="shared" si="407"/>
        <v>1897.1027972140625</v>
      </c>
      <c r="L352" s="1122">
        <f t="shared" si="407"/>
        <v>0</v>
      </c>
      <c r="M352" s="1122">
        <f t="shared" si="407"/>
        <v>0</v>
      </c>
      <c r="N352" s="1122">
        <f t="shared" si="374"/>
        <v>8544.8657004604793</v>
      </c>
      <c r="O352" s="39">
        <f>ROW()</f>
        <v>352</v>
      </c>
      <c r="P352" s="575">
        <f t="shared" ref="P352:U352" si="408">Q349</f>
        <v>1975.3760508403921</v>
      </c>
      <c r="Q352" s="575">
        <f t="shared" si="408"/>
        <v>1654.0481451083572</v>
      </c>
      <c r="R352" s="575">
        <f t="shared" si="408"/>
        <v>0</v>
      </c>
      <c r="S352" s="575">
        <f t="shared" si="408"/>
        <v>1.9512855026332662E-12</v>
      </c>
      <c r="T352" s="575">
        <f t="shared" si="408"/>
        <v>758.20282772692065</v>
      </c>
      <c r="U352" s="575">
        <f t="shared" si="408"/>
        <v>0</v>
      </c>
      <c r="V352" s="575">
        <f>P349</f>
        <v>0</v>
      </c>
      <c r="W352" s="575">
        <f t="shared" si="376"/>
        <v>4387.6270236756718</v>
      </c>
      <c r="Y352" s="575">
        <f t="shared" ref="Y352:AD352" si="409">Z349</f>
        <v>517.69335562196284</v>
      </c>
      <c r="Z352" s="575">
        <f t="shared" si="409"/>
        <v>235.13755388174005</v>
      </c>
      <c r="AA352" s="575">
        <f t="shared" si="409"/>
        <v>0</v>
      </c>
      <c r="AB352" s="575">
        <f t="shared" si="409"/>
        <v>0</v>
      </c>
      <c r="AC352" s="575">
        <f t="shared" si="409"/>
        <v>638.09816943760268</v>
      </c>
      <c r="AD352" s="575">
        <f t="shared" si="409"/>
        <v>0</v>
      </c>
      <c r="AE352" s="575">
        <f>Y349</f>
        <v>0</v>
      </c>
      <c r="AF352" s="575">
        <f t="shared" si="378"/>
        <v>1390.9290789413055</v>
      </c>
      <c r="AH352" s="575">
        <f t="shared" ref="AH352:AM352" si="410">AI349</f>
        <v>1164.3047089975182</v>
      </c>
      <c r="AI352" s="575">
        <f t="shared" si="410"/>
        <v>481.15250781144073</v>
      </c>
      <c r="AJ352" s="575">
        <f t="shared" si="410"/>
        <v>0</v>
      </c>
      <c r="AK352" s="575">
        <f t="shared" si="410"/>
        <v>0</v>
      </c>
      <c r="AL352" s="575">
        <f t="shared" si="410"/>
        <v>345.51630997221986</v>
      </c>
      <c r="AM352" s="575">
        <f t="shared" si="410"/>
        <v>0</v>
      </c>
      <c r="AN352" s="575">
        <f>AH349</f>
        <v>0</v>
      </c>
      <c r="AO352" s="575">
        <f t="shared" si="380"/>
        <v>1990.9735267811789</v>
      </c>
      <c r="AQ352" s="3738"/>
      <c r="AR352" s="3739"/>
      <c r="AS352" s="3739"/>
      <c r="AT352" s="3739"/>
      <c r="AU352" s="3739"/>
      <c r="AV352" s="3739"/>
      <c r="AW352" s="3739"/>
      <c r="AX352" s="3922"/>
      <c r="AZ352" s="575">
        <f t="shared" ref="AZ352:BE352" si="411">BA349</f>
        <v>325.88495108467964</v>
      </c>
      <c r="BA352" s="575">
        <f t="shared" si="411"/>
        <v>151.8939590672602</v>
      </c>
      <c r="BB352" s="575">
        <f t="shared" si="411"/>
        <v>0</v>
      </c>
      <c r="BC352" s="575">
        <f t="shared" si="411"/>
        <v>0</v>
      </c>
      <c r="BD352" s="575">
        <f t="shared" si="411"/>
        <v>119.14119680957401</v>
      </c>
      <c r="BE352" s="575">
        <f t="shared" si="411"/>
        <v>0</v>
      </c>
      <c r="BF352" s="575">
        <f>AZ349</f>
        <v>0</v>
      </c>
      <c r="BG352" s="575">
        <f t="shared" si="383"/>
        <v>596.92010696151385</v>
      </c>
      <c r="BI352" s="575">
        <f t="shared" ref="BI352:BN352" si="412">BJ349</f>
        <v>93.631770323186529</v>
      </c>
      <c r="BJ352" s="575">
        <f t="shared" si="412"/>
        <v>48.639900509878586</v>
      </c>
      <c r="BK352" s="575">
        <f t="shared" si="412"/>
        <v>0</v>
      </c>
      <c r="BL352" s="575">
        <f t="shared" si="412"/>
        <v>0</v>
      </c>
      <c r="BM352" s="575">
        <f t="shared" si="412"/>
        <v>36.144293267745283</v>
      </c>
      <c r="BN352" s="575">
        <f t="shared" si="412"/>
        <v>0</v>
      </c>
      <c r="BO352" s="575">
        <f>BI349</f>
        <v>0</v>
      </c>
      <c r="BP352" s="575">
        <f t="shared" si="385"/>
        <v>178.41596410081041</v>
      </c>
    </row>
    <row r="353" spans="2:68" ht="13.2" customHeight="1">
      <c r="B353" s="280" t="s">
        <v>2184</v>
      </c>
      <c r="G353" s="1122">
        <f t="shared" si="407"/>
        <v>1566.4749501793042</v>
      </c>
      <c r="H353" s="1122">
        <f t="shared" si="407"/>
        <v>6.1001202118043304E-13</v>
      </c>
      <c r="I353" s="1122">
        <f t="shared" si="407"/>
        <v>-4.8445193819636507E-14</v>
      </c>
      <c r="J353" s="1122">
        <f t="shared" si="407"/>
        <v>0</v>
      </c>
      <c r="K353" s="1122">
        <f t="shared" si="407"/>
        <v>1122.729046652647</v>
      </c>
      <c r="L353" s="1122">
        <f t="shared" si="407"/>
        <v>5.6268525459693547E-13</v>
      </c>
      <c r="M353" s="1122">
        <f t="shared" si="407"/>
        <v>531.07061044712668</v>
      </c>
      <c r="N353" s="1122">
        <f t="shared" si="374"/>
        <v>3220.2746072790787</v>
      </c>
      <c r="O353" s="39">
        <f>ROW()</f>
        <v>353</v>
      </c>
      <c r="P353" s="575">
        <f>V350</f>
        <v>313.4036578387238</v>
      </c>
      <c r="Q353" s="575">
        <f t="shared" ref="Q353:V353" si="413">P350</f>
        <v>0</v>
      </c>
      <c r="R353" s="575">
        <f t="shared" si="413"/>
        <v>0</v>
      </c>
      <c r="S353" s="575">
        <f t="shared" si="413"/>
        <v>0</v>
      </c>
      <c r="T353" s="575">
        <f t="shared" si="413"/>
        <v>588.98727044085979</v>
      </c>
      <c r="U353" s="575">
        <f t="shared" si="413"/>
        <v>0</v>
      </c>
      <c r="V353" s="575">
        <f t="shared" si="413"/>
        <v>142.48253815078016</v>
      </c>
      <c r="W353" s="575">
        <f t="shared" si="376"/>
        <v>1044.8734664303638</v>
      </c>
      <c r="Y353" s="575">
        <f>AE350</f>
        <v>556.7955588062257</v>
      </c>
      <c r="Z353" s="575">
        <f t="shared" ref="Z353:AE353" si="414">Y350</f>
        <v>0</v>
      </c>
      <c r="AA353" s="575">
        <f t="shared" si="414"/>
        <v>0</v>
      </c>
      <c r="AB353" s="575">
        <f t="shared" si="414"/>
        <v>0</v>
      </c>
      <c r="AC353" s="575">
        <f t="shared" si="414"/>
        <v>293.32648360837118</v>
      </c>
      <c r="AD353" s="575">
        <f t="shared" si="414"/>
        <v>0</v>
      </c>
      <c r="AE353" s="575">
        <f t="shared" si="414"/>
        <v>199.35227680388954</v>
      </c>
      <c r="AF353" s="575">
        <f t="shared" si="378"/>
        <v>1049.4743192184865</v>
      </c>
      <c r="AH353" s="575">
        <f>AN350</f>
        <v>564.10211811335273</v>
      </c>
      <c r="AI353" s="575">
        <f t="shared" ref="AI353:AN353" si="415">AH350</f>
        <v>6.1001202118043304E-13</v>
      </c>
      <c r="AJ353" s="575">
        <f t="shared" si="415"/>
        <v>0</v>
      </c>
      <c r="AK353" s="575">
        <f t="shared" si="415"/>
        <v>0</v>
      </c>
      <c r="AL353" s="575">
        <f t="shared" si="415"/>
        <v>147.06091449460723</v>
      </c>
      <c r="AM353" s="575">
        <f t="shared" si="415"/>
        <v>0</v>
      </c>
      <c r="AN353" s="575">
        <f t="shared" si="415"/>
        <v>146.28510977611231</v>
      </c>
      <c r="AO353" s="575">
        <f t="shared" si="380"/>
        <v>857.44814238407287</v>
      </c>
      <c r="AQ353" s="3738"/>
      <c r="AR353" s="3739"/>
      <c r="AS353" s="3739"/>
      <c r="AT353" s="3739"/>
      <c r="AU353" s="3739"/>
      <c r="AV353" s="3739"/>
      <c r="AW353" s="3739"/>
      <c r="AX353" s="3922"/>
      <c r="AZ353" s="575">
        <f>BF350</f>
        <v>102.7700305408659</v>
      </c>
      <c r="BA353" s="575">
        <f t="shared" ref="BA353:BF353" si="416">AZ350</f>
        <v>0</v>
      </c>
      <c r="BB353" s="575">
        <f t="shared" si="416"/>
        <v>0</v>
      </c>
      <c r="BC353" s="575">
        <f t="shared" si="416"/>
        <v>0</v>
      </c>
      <c r="BD353" s="575">
        <f t="shared" si="416"/>
        <v>72.4512582634555</v>
      </c>
      <c r="BE353" s="575">
        <f t="shared" si="416"/>
        <v>5.6268525459693547E-13</v>
      </c>
      <c r="BF353" s="575">
        <f t="shared" si="416"/>
        <v>32.953516445319615</v>
      </c>
      <c r="BG353" s="575">
        <f t="shared" si="383"/>
        <v>208.17480524964159</v>
      </c>
      <c r="BI353" s="575">
        <f>BO350</f>
        <v>29.403584880135856</v>
      </c>
      <c r="BJ353" s="575">
        <f t="shared" ref="BJ353:BO353" si="417">BI350</f>
        <v>0</v>
      </c>
      <c r="BK353" s="575">
        <f t="shared" si="417"/>
        <v>-4.8445193819636507E-14</v>
      </c>
      <c r="BL353" s="575">
        <f t="shared" si="417"/>
        <v>0</v>
      </c>
      <c r="BM353" s="575">
        <f t="shared" si="417"/>
        <v>20.903119845353359</v>
      </c>
      <c r="BN353" s="575">
        <f t="shared" si="417"/>
        <v>0</v>
      </c>
      <c r="BO353" s="575">
        <f t="shared" si="417"/>
        <v>9.9971692710251308</v>
      </c>
      <c r="BP353" s="575">
        <f t="shared" si="385"/>
        <v>60.303873996514298</v>
      </c>
    </row>
    <row r="354" spans="2:68" ht="13.2" customHeight="1">
      <c r="B354" s="280" t="s">
        <v>1214</v>
      </c>
      <c r="G354" s="1122">
        <f t="shared" si="407"/>
        <v>5643.3657870470433</v>
      </c>
      <c r="H354" s="1122">
        <f t="shared" si="407"/>
        <v>2570.8720663786776</v>
      </c>
      <c r="I354" s="1122">
        <f t="shared" si="407"/>
        <v>-4.8445193819636507E-14</v>
      </c>
      <c r="J354" s="1122">
        <f t="shared" si="407"/>
        <v>1.9512855026332662E-12</v>
      </c>
      <c r="K354" s="1122">
        <f t="shared" si="407"/>
        <v>3019.8318438667093</v>
      </c>
      <c r="L354" s="1122">
        <f t="shared" si="407"/>
        <v>5.6268525459693547E-13</v>
      </c>
      <c r="M354" s="1122">
        <f t="shared" si="407"/>
        <v>531.07061044712668</v>
      </c>
      <c r="N354" s="1122">
        <f t="shared" si="374"/>
        <v>11765.140307739557</v>
      </c>
      <c r="O354" s="39">
        <f>ROW()</f>
        <v>354</v>
      </c>
      <c r="P354" s="575">
        <f t="shared" ref="P354:V354" si="418">P352+P353</f>
        <v>2288.7797086791161</v>
      </c>
      <c r="Q354" s="575">
        <f t="shared" si="418"/>
        <v>1654.0481451083572</v>
      </c>
      <c r="R354" s="575">
        <f t="shared" si="418"/>
        <v>0</v>
      </c>
      <c r="S354" s="575">
        <f t="shared" si="418"/>
        <v>1.9512855026332662E-12</v>
      </c>
      <c r="T354" s="575">
        <f t="shared" si="418"/>
        <v>1347.1900981677804</v>
      </c>
      <c r="U354" s="575">
        <f t="shared" si="418"/>
        <v>0</v>
      </c>
      <c r="V354" s="575">
        <f t="shared" si="418"/>
        <v>142.48253815078016</v>
      </c>
      <c r="W354" s="575">
        <f t="shared" si="376"/>
        <v>5432.5004901060347</v>
      </c>
      <c r="Y354" s="575">
        <f t="shared" ref="Y354:AE354" si="419">Y352+Y353</f>
        <v>1074.4889144281885</v>
      </c>
      <c r="Z354" s="575">
        <f t="shared" si="419"/>
        <v>235.13755388174005</v>
      </c>
      <c r="AA354" s="575">
        <f t="shared" si="419"/>
        <v>0</v>
      </c>
      <c r="AB354" s="575">
        <f t="shared" si="419"/>
        <v>0</v>
      </c>
      <c r="AC354" s="575">
        <f t="shared" si="419"/>
        <v>931.42465304597386</v>
      </c>
      <c r="AD354" s="575">
        <f t="shared" si="419"/>
        <v>0</v>
      </c>
      <c r="AE354" s="575">
        <f t="shared" si="419"/>
        <v>199.35227680388954</v>
      </c>
      <c r="AF354" s="575">
        <f t="shared" si="378"/>
        <v>2440.4033981597922</v>
      </c>
      <c r="AH354" s="575">
        <f t="shared" ref="AH354:AN354" si="420">AH352+AH353</f>
        <v>1728.4068271108708</v>
      </c>
      <c r="AI354" s="575">
        <f t="shared" si="420"/>
        <v>481.15250781144135</v>
      </c>
      <c r="AJ354" s="575">
        <f t="shared" si="420"/>
        <v>0</v>
      </c>
      <c r="AK354" s="575">
        <f t="shared" si="420"/>
        <v>0</v>
      </c>
      <c r="AL354" s="575">
        <f t="shared" si="420"/>
        <v>492.57722446682709</v>
      </c>
      <c r="AM354" s="575">
        <f t="shared" si="420"/>
        <v>0</v>
      </c>
      <c r="AN354" s="575">
        <f t="shared" si="420"/>
        <v>146.28510977611231</v>
      </c>
      <c r="AO354" s="575">
        <f t="shared" si="380"/>
        <v>2848.4216691652514</v>
      </c>
      <c r="AQ354" s="3741"/>
      <c r="AR354" s="3742"/>
      <c r="AS354" s="3742"/>
      <c r="AT354" s="3742"/>
      <c r="AU354" s="3742"/>
      <c r="AV354" s="3742"/>
      <c r="AW354" s="3742"/>
      <c r="AX354" s="3777"/>
      <c r="AZ354" s="575">
        <f t="shared" ref="AZ354:BF354" si="421">AZ352+AZ353</f>
        <v>428.65498162554553</v>
      </c>
      <c r="BA354" s="575">
        <f t="shared" si="421"/>
        <v>151.8939590672602</v>
      </c>
      <c r="BB354" s="575">
        <f t="shared" si="421"/>
        <v>0</v>
      </c>
      <c r="BC354" s="575">
        <f t="shared" si="421"/>
        <v>0</v>
      </c>
      <c r="BD354" s="575">
        <f t="shared" si="421"/>
        <v>191.5924550730295</v>
      </c>
      <c r="BE354" s="575">
        <f t="shared" si="421"/>
        <v>5.6268525459693547E-13</v>
      </c>
      <c r="BF354" s="575">
        <f t="shared" si="421"/>
        <v>32.953516445319615</v>
      </c>
      <c r="BG354" s="575">
        <f t="shared" si="383"/>
        <v>805.09491221115525</v>
      </c>
      <c r="BI354" s="575">
        <f t="shared" ref="BI354:BO354" si="422">BI352+BI353</f>
        <v>123.03535520332238</v>
      </c>
      <c r="BJ354" s="575">
        <f t="shared" si="422"/>
        <v>48.639900509878586</v>
      </c>
      <c r="BK354" s="575">
        <f t="shared" si="422"/>
        <v>-4.8445193819636507E-14</v>
      </c>
      <c r="BL354" s="575">
        <f t="shared" si="422"/>
        <v>0</v>
      </c>
      <c r="BM354" s="575">
        <f t="shared" si="422"/>
        <v>57.047413113098642</v>
      </c>
      <c r="BN354" s="575">
        <f t="shared" si="422"/>
        <v>0</v>
      </c>
      <c r="BO354" s="575">
        <f t="shared" si="422"/>
        <v>9.9971692710251308</v>
      </c>
      <c r="BP354" s="575">
        <f t="shared" si="385"/>
        <v>238.71983809732467</v>
      </c>
    </row>
    <row r="355" spans="2:68" ht="13.2" customHeight="1">
      <c r="B355" s="280" t="s">
        <v>2185</v>
      </c>
      <c r="G355" s="1122">
        <f t="shared" ca="1" si="407"/>
        <v>-2112.350316040232</v>
      </c>
      <c r="H355" s="1122">
        <f t="shared" ca="1" si="407"/>
        <v>-4928.5160089779938</v>
      </c>
      <c r="I355" s="1122">
        <f t="shared" ca="1" si="407"/>
        <v>-16305.24504455326</v>
      </c>
      <c r="J355" s="1122">
        <f t="shared" ca="1" si="407"/>
        <v>-5301.2002976993035</v>
      </c>
      <c r="K355" s="1122">
        <f t="shared" ca="1" si="407"/>
        <v>-9451.6757275005748</v>
      </c>
      <c r="L355" s="1122">
        <f t="shared" ca="1" si="407"/>
        <v>-32152.717913513414</v>
      </c>
      <c r="M355" s="1122">
        <f t="shared" ca="1" si="407"/>
        <v>-12815.156942133803</v>
      </c>
      <c r="N355" s="1122">
        <f t="shared" ca="1" si="374"/>
        <v>-83066.862250418591</v>
      </c>
      <c r="O355" s="39">
        <f>ROW()</f>
        <v>355</v>
      </c>
      <c r="P355" s="575">
        <f ca="1">P354-P351-P348</f>
        <v>1340.9960992028543</v>
      </c>
      <c r="Q355" s="575">
        <f t="shared" ref="Q355:V355" ca="1" si="423">Q354-Q351-Q348</f>
        <v>-2218.3620710754867</v>
      </c>
      <c r="R355" s="575">
        <f t="shared" ca="1" si="423"/>
        <v>-9084.2599489456297</v>
      </c>
      <c r="S355" s="575">
        <f t="shared" ca="1" si="423"/>
        <v>-2237.6087843685873</v>
      </c>
      <c r="T355" s="575">
        <f t="shared" ca="1" si="423"/>
        <v>-2456.1259922339195</v>
      </c>
      <c r="U355" s="575">
        <f t="shared" ca="1" si="423"/>
        <v>-7303.7922998056501</v>
      </c>
      <c r="V355" s="575">
        <f t="shared" ca="1" si="423"/>
        <v>-2087.7207888653315</v>
      </c>
      <c r="W355" s="575">
        <f t="shared" ca="1" si="376"/>
        <v>-24046.87378609175</v>
      </c>
      <c r="Y355" s="575">
        <f t="shared" ref="Y355:AE355" ca="1" si="424">Y354-Y351-Y348</f>
        <v>-2009.3155195456791</v>
      </c>
      <c r="Z355" s="575">
        <f t="shared" ca="1" si="424"/>
        <v>-649.91374526059133</v>
      </c>
      <c r="AA355" s="575">
        <f t="shared" ca="1" si="424"/>
        <v>-2616.5115253229296</v>
      </c>
      <c r="AB355" s="575">
        <f t="shared" ca="1" si="424"/>
        <v>-1604.1464025769642</v>
      </c>
      <c r="AC355" s="575">
        <f t="shared" ca="1" si="424"/>
        <v>-3251.5331102606906</v>
      </c>
      <c r="AD355" s="575">
        <f t="shared" ca="1" si="424"/>
        <v>-14047.490508055511</v>
      </c>
      <c r="AE355" s="575">
        <f t="shared" ca="1" si="424"/>
        <v>-5121.7422016017399</v>
      </c>
      <c r="AF355" s="575">
        <f t="shared" ca="1" si="378"/>
        <v>-29300.653012624109</v>
      </c>
      <c r="AH355" s="575">
        <f t="shared" ref="AH355:AN355" si="425">AH354-AH351-AH348</f>
        <v>-2134.9004079492825</v>
      </c>
      <c r="AI355" s="575">
        <f t="shared" si="425"/>
        <v>-1856.3371625423383</v>
      </c>
      <c r="AJ355" s="575">
        <f t="shared" si="425"/>
        <v>-4490.9437854439948</v>
      </c>
      <c r="AK355" s="575">
        <f t="shared" si="425"/>
        <v>-1383.3824257524786</v>
      </c>
      <c r="AL355" s="575">
        <f t="shared" si="425"/>
        <v>-4138.0127741412089</v>
      </c>
      <c r="AM355" s="575">
        <f t="shared" si="425"/>
        <v>-10764.171490296161</v>
      </c>
      <c r="AN355" s="575">
        <f t="shared" si="425"/>
        <v>-5583.71053156378</v>
      </c>
      <c r="AO355" s="575">
        <f t="shared" si="380"/>
        <v>-30351.458577689249</v>
      </c>
      <c r="AQ355" s="575">
        <f t="shared" ref="AQ355:AW355" ca="1" si="426">AQ332</f>
        <v>294.962104509158</v>
      </c>
      <c r="AR355" s="575">
        <f t="shared" ca="1" si="426"/>
        <v>118.84570886342449</v>
      </c>
      <c r="AS355" s="575">
        <f t="shared" ca="1" si="426"/>
        <v>685.56193389615919</v>
      </c>
      <c r="AT355" s="575">
        <f t="shared" ca="1" si="426"/>
        <v>202.75013455637304</v>
      </c>
      <c r="AU355" s="575">
        <f t="shared" ca="1" si="426"/>
        <v>653.85864452248086</v>
      </c>
      <c r="AV355" s="575">
        <f t="shared" ca="1" si="426"/>
        <v>1060.8610026613126</v>
      </c>
      <c r="AW355" s="575">
        <f t="shared" ca="1" si="426"/>
        <v>368.74868525281329</v>
      </c>
      <c r="AX355" s="575">
        <f ca="1">SUM(AQ355:AW355)</f>
        <v>3385.5882142617215</v>
      </c>
      <c r="AZ355" s="575">
        <f t="shared" ref="AZ355:BF355" ca="1" si="427">AZ354-AZ351-AZ348</f>
        <v>290.69579439674897</v>
      </c>
      <c r="BA355" s="575">
        <f t="shared" ca="1" si="427"/>
        <v>-265.170246783729</v>
      </c>
      <c r="BB355" s="575">
        <f t="shared" ca="1" si="427"/>
        <v>-680.26092105747523</v>
      </c>
      <c r="BC355" s="575">
        <f t="shared" ca="1" si="427"/>
        <v>-235.59569390834685</v>
      </c>
      <c r="BD355" s="575">
        <f t="shared" ca="1" si="427"/>
        <v>-255.90544877512889</v>
      </c>
      <c r="BE355" s="575">
        <f t="shared" ca="1" si="427"/>
        <v>-946.79898807757877</v>
      </c>
      <c r="BF355" s="575">
        <f t="shared" ca="1" si="427"/>
        <v>-335.44454721030854</v>
      </c>
      <c r="BG355" s="575">
        <f t="shared" ca="1" si="383"/>
        <v>-2428.4800514158183</v>
      </c>
      <c r="BI355" s="575">
        <f t="shared" ref="BI355:BO355" ca="1" si="428">BI354-BI351-BI348</f>
        <v>105.21161334596896</v>
      </c>
      <c r="BJ355" s="575">
        <f t="shared" ca="1" si="428"/>
        <v>-57.578492179272303</v>
      </c>
      <c r="BK355" s="575">
        <f t="shared" ca="1" si="428"/>
        <v>-118.83079767938665</v>
      </c>
      <c r="BL355" s="575">
        <f t="shared" ca="1" si="428"/>
        <v>-43.217125649298254</v>
      </c>
      <c r="BM355" s="575">
        <f t="shared" ca="1" si="428"/>
        <v>-3.9570466121058274</v>
      </c>
      <c r="BN355" s="575">
        <f t="shared" ca="1" si="428"/>
        <v>-151.32562993982327</v>
      </c>
      <c r="BO355" s="575">
        <f t="shared" ca="1" si="428"/>
        <v>-55.287558145455037</v>
      </c>
      <c r="BP355" s="575">
        <f t="shared" ca="1" si="385"/>
        <v>-324.98503685937237</v>
      </c>
    </row>
    <row r="356" spans="2:68" ht="13.2" customHeight="1">
      <c r="B356" s="280" t="s">
        <v>799</v>
      </c>
      <c r="G356" s="1122">
        <f t="shared" ca="1" si="407"/>
        <v>57704.039467170449</v>
      </c>
      <c r="H356" s="1122">
        <f t="shared" ca="1" si="407"/>
        <v>19132.692407028193</v>
      </c>
      <c r="I356" s="1122">
        <f t="shared" ca="1" si="407"/>
        <v>122468.40558588265</v>
      </c>
      <c r="J356" s="1122">
        <f t="shared" ca="1" si="407"/>
        <v>35758.035144822003</v>
      </c>
      <c r="K356" s="1122">
        <f t="shared" ca="1" si="407"/>
        <v>123002.30769745783</v>
      </c>
      <c r="L356" s="1122">
        <f t="shared" ca="1" si="407"/>
        <v>182860.74433908192</v>
      </c>
      <c r="M356" s="1122">
        <f t="shared" ca="1" si="407"/>
        <v>61940.714277728992</v>
      </c>
      <c r="N356" s="1124">
        <f t="shared" ca="1" si="374"/>
        <v>602866.93891917204</v>
      </c>
      <c r="O356" s="39">
        <f>ROW()</f>
        <v>356</v>
      </c>
      <c r="P356" s="575">
        <f t="shared" ref="P356:V356" ca="1" si="429">P347+P355</f>
        <v>10409.113598672337</v>
      </c>
      <c r="Q356" s="575">
        <f t="shared" ca="1" si="429"/>
        <v>11483.061380523544</v>
      </c>
      <c r="R356" s="575">
        <f t="shared" ca="1" si="429"/>
        <v>75221.568829691707</v>
      </c>
      <c r="S356" s="575">
        <f t="shared" ca="1" si="429"/>
        <v>18020.338080746093</v>
      </c>
      <c r="T356" s="575">
        <f t="shared" ca="1" si="429"/>
        <v>52823.803348897549</v>
      </c>
      <c r="U356" s="575">
        <f t="shared" ca="1" si="429"/>
        <v>53848.208726391684</v>
      </c>
      <c r="V356" s="575">
        <f t="shared" ca="1" si="429"/>
        <v>14917.123331086255</v>
      </c>
      <c r="W356" s="575">
        <f t="shared" ca="1" si="376"/>
        <v>236723.21729600916</v>
      </c>
      <c r="Y356" s="575">
        <f t="shared" ref="Y356:AE356" ca="1" si="430">Y347+Y355</f>
        <v>16557.108097843258</v>
      </c>
      <c r="Z356" s="575">
        <f t="shared" ca="1" si="430"/>
        <v>1214.5590667555211</v>
      </c>
      <c r="AA356" s="575">
        <f t="shared" ca="1" si="430"/>
        <v>13163.274241428651</v>
      </c>
      <c r="AB356" s="575">
        <f t="shared" ca="1" si="430"/>
        <v>7755.4267963424845</v>
      </c>
      <c r="AC356" s="575">
        <f t="shared" ca="1" si="430"/>
        <v>32103.536733579498</v>
      </c>
      <c r="AD356" s="575">
        <f t="shared" ca="1" si="430"/>
        <v>63981.654565781799</v>
      </c>
      <c r="AE356" s="575">
        <f t="shared" ca="1" si="430"/>
        <v>19333.696403543723</v>
      </c>
      <c r="AF356" s="575">
        <f t="shared" ca="1" si="378"/>
        <v>154109.25590527494</v>
      </c>
      <c r="AH356" s="575">
        <f t="shared" ref="AH356:AN356" si="431">AH347+AH355</f>
        <v>20059.918049858643</v>
      </c>
      <c r="AI356" s="575">
        <f t="shared" si="431"/>
        <v>2615.0150762522958</v>
      </c>
      <c r="AJ356" s="575">
        <f t="shared" si="431"/>
        <v>10984.863884557779</v>
      </c>
      <c r="AK356" s="575">
        <f t="shared" si="431"/>
        <v>3193.4791710243844</v>
      </c>
      <c r="AL356" s="575">
        <f t="shared" si="431"/>
        <v>15542.174870837103</v>
      </c>
      <c r="AM356" s="575">
        <f t="shared" si="431"/>
        <v>29148.781738420847</v>
      </c>
      <c r="AN356" s="575">
        <f t="shared" si="431"/>
        <v>15226.530853581951</v>
      </c>
      <c r="AO356" s="575">
        <f t="shared" si="380"/>
        <v>96770.763644532999</v>
      </c>
      <c r="AQ356" s="575">
        <f t="shared" ref="AQ356:AW356" ca="1" si="432">AQ347+AQ355</f>
        <v>5957.9475533393934</v>
      </c>
      <c r="AR356" s="575">
        <f t="shared" ca="1" si="432"/>
        <v>2400.5676984371444</v>
      </c>
      <c r="AS356" s="575">
        <f t="shared" ca="1" si="432"/>
        <v>13847.684106798293</v>
      </c>
      <c r="AT356" s="575">
        <f t="shared" ca="1" si="432"/>
        <v>4095.3554699155275</v>
      </c>
      <c r="AU356" s="575">
        <f t="shared" ca="1" si="432"/>
        <v>13207.308504410181</v>
      </c>
      <c r="AV356" s="575">
        <f t="shared" ca="1" si="432"/>
        <v>21428.360181241187</v>
      </c>
      <c r="AW356" s="575">
        <f t="shared" ca="1" si="432"/>
        <v>7448.3647001199943</v>
      </c>
      <c r="AX356" s="575">
        <f ca="1">SUM(AQ356:AW356)</f>
        <v>68385.588214261719</v>
      </c>
      <c r="AZ356" s="575">
        <f t="shared" ref="AZ356:BF356" ca="1" si="433">AZ347+AZ355</f>
        <v>3618.7887812477488</v>
      </c>
      <c r="BA356" s="575">
        <f t="shared" ca="1" si="433"/>
        <v>1075.780214781134</v>
      </c>
      <c r="BB356" s="575">
        <f t="shared" ca="1" si="433"/>
        <v>7055.0170328634713</v>
      </c>
      <c r="BC356" s="575">
        <f t="shared" ca="1" si="433"/>
        <v>2052.058518564264</v>
      </c>
      <c r="BD356" s="575">
        <f t="shared" ca="1" si="433"/>
        <v>7121.6604688819507</v>
      </c>
      <c r="BE356" s="575">
        <f t="shared" ca="1" si="433"/>
        <v>11023.023606103208</v>
      </c>
      <c r="BF356" s="575">
        <f t="shared" ca="1" si="433"/>
        <v>3825.1913261424038</v>
      </c>
      <c r="BG356" s="575">
        <f t="shared" ca="1" si="383"/>
        <v>35771.51994858418</v>
      </c>
      <c r="BI356" s="575">
        <f t="shared" ref="BI356:BO356" ca="1" si="434">BI347+BI355</f>
        <v>1101.1633862090678</v>
      </c>
      <c r="BJ356" s="575">
        <f t="shared" ca="1" si="434"/>
        <v>343.70897027855113</v>
      </c>
      <c r="BK356" s="575">
        <f t="shared" ca="1" si="434"/>
        <v>2195.9974905427539</v>
      </c>
      <c r="BL356" s="575">
        <f t="shared" ca="1" si="434"/>
        <v>641.37710822925101</v>
      </c>
      <c r="BM356" s="575">
        <f t="shared" ca="1" si="434"/>
        <v>2203.8237708515449</v>
      </c>
      <c r="BN356" s="575">
        <f t="shared" ca="1" si="434"/>
        <v>3430.7155211432123</v>
      </c>
      <c r="BO356" s="575">
        <f t="shared" ca="1" si="434"/>
        <v>1189.8076632546679</v>
      </c>
      <c r="BP356" s="575">
        <f t="shared" ca="1" si="385"/>
        <v>11106.593910509047</v>
      </c>
    </row>
    <row r="357" spans="2:68" s="1122" customFormat="1" ht="13.2" customHeight="1">
      <c r="B357" s="1123" t="s">
        <v>800</v>
      </c>
      <c r="G357" s="1122">
        <f t="shared" ref="G357:M357" ca="1" si="435">G356/G118</f>
        <v>9617.3399111950748</v>
      </c>
      <c r="H357" s="1122">
        <f t="shared" ca="1" si="435"/>
        <v>19132.692407028193</v>
      </c>
      <c r="I357" s="1122">
        <f t="shared" ca="1" si="435"/>
        <v>40822.801861960885</v>
      </c>
      <c r="J357" s="1122">
        <f t="shared" ca="1" si="435"/>
        <v>35758.035144822003</v>
      </c>
      <c r="K357" s="1122">
        <f t="shared" ca="1" si="435"/>
        <v>30750.576924364457</v>
      </c>
      <c r="L357" s="1122">
        <f t="shared" ca="1" si="435"/>
        <v>30476.790723180322</v>
      </c>
      <c r="M357" s="1122">
        <f t="shared" ca="1" si="435"/>
        <v>20646.904759242996</v>
      </c>
      <c r="N357" s="1124"/>
      <c r="O357" s="39">
        <f>ROW()</f>
        <v>357</v>
      </c>
      <c r="P357" s="1698">
        <f t="shared" ref="P357:V357" ca="1" si="436">P356/P118</f>
        <v>1734.8522664453894</v>
      </c>
      <c r="Q357" s="1698">
        <f t="shared" ca="1" si="436"/>
        <v>11483.061380523544</v>
      </c>
      <c r="R357" s="1698">
        <f t="shared" ca="1" si="436"/>
        <v>25073.856276563904</v>
      </c>
      <c r="S357" s="1698">
        <f t="shared" ca="1" si="436"/>
        <v>18020.338080746093</v>
      </c>
      <c r="T357" s="1698">
        <f t="shared" ca="1" si="436"/>
        <v>13205.950837224387</v>
      </c>
      <c r="U357" s="1698">
        <f t="shared" ca="1" si="436"/>
        <v>8974.7014543986134</v>
      </c>
      <c r="V357" s="1698">
        <f t="shared" ca="1" si="436"/>
        <v>4972.3744436954184</v>
      </c>
      <c r="W357" s="1698"/>
      <c r="Y357" s="1698">
        <f t="shared" ref="Y357:AE357" ca="1" si="437">Y356/Y118</f>
        <v>2759.5180163072096</v>
      </c>
      <c r="Z357" s="1698">
        <f t="shared" ca="1" si="437"/>
        <v>1214.5590667555211</v>
      </c>
      <c r="AA357" s="1698">
        <f t="shared" ca="1" si="437"/>
        <v>4387.7580804762174</v>
      </c>
      <c r="AB357" s="1698">
        <f t="shared" ca="1" si="437"/>
        <v>7755.4267963424845</v>
      </c>
      <c r="AC357" s="1698">
        <f t="shared" ca="1" si="437"/>
        <v>8025.8841833948745</v>
      </c>
      <c r="AD357" s="1698">
        <f t="shared" ca="1" si="437"/>
        <v>10663.609094296966</v>
      </c>
      <c r="AE357" s="1698">
        <f t="shared" ca="1" si="437"/>
        <v>6444.5654678479077</v>
      </c>
      <c r="AF357" s="1698"/>
      <c r="AH357" s="1698">
        <f t="shared" ref="AH357:AN357" si="438">AH356/AH118</f>
        <v>3343.3196749764406</v>
      </c>
      <c r="AI357" s="1698">
        <f t="shared" si="438"/>
        <v>2615.0150762522958</v>
      </c>
      <c r="AJ357" s="1698">
        <f t="shared" si="438"/>
        <v>3661.6212948525931</v>
      </c>
      <c r="AK357" s="1698">
        <f t="shared" si="438"/>
        <v>3193.4791710243844</v>
      </c>
      <c r="AL357" s="1698">
        <f t="shared" si="438"/>
        <v>3885.5437177092758</v>
      </c>
      <c r="AM357" s="1698">
        <f t="shared" si="438"/>
        <v>4858.1302897368078</v>
      </c>
      <c r="AN357" s="1698">
        <f t="shared" si="438"/>
        <v>5075.5102845273168</v>
      </c>
      <c r="AO357" s="1698"/>
      <c r="AQ357" s="1698">
        <f t="shared" ref="AQ357:AW357" ca="1" si="439">AQ356/AQ118</f>
        <v>992.99125888989886</v>
      </c>
      <c r="AR357" s="1698">
        <f t="shared" ca="1" si="439"/>
        <v>2400.5676984371444</v>
      </c>
      <c r="AS357" s="1698">
        <f t="shared" ca="1" si="439"/>
        <v>4615.8947022660977</v>
      </c>
      <c r="AT357" s="1698">
        <f t="shared" ca="1" si="439"/>
        <v>4095.3554699155275</v>
      </c>
      <c r="AU357" s="1698">
        <f t="shared" ca="1" si="439"/>
        <v>3301.8271261025452</v>
      </c>
      <c r="AV357" s="1698">
        <f t="shared" ca="1" si="439"/>
        <v>3571.3933635401977</v>
      </c>
      <c r="AW357" s="1698">
        <f t="shared" ca="1" si="439"/>
        <v>2482.7882333733314</v>
      </c>
      <c r="AX357" s="1698"/>
      <c r="AZ357" s="1698">
        <f t="shared" ref="AZ357:BF357" ca="1" si="440">AZ356/AZ118</f>
        <v>603.13146354129151</v>
      </c>
      <c r="BA357" s="1698">
        <f t="shared" ca="1" si="440"/>
        <v>1075.780214781134</v>
      </c>
      <c r="BB357" s="1698">
        <f t="shared" ca="1" si="440"/>
        <v>2351.6723442878238</v>
      </c>
      <c r="BC357" s="1698">
        <f t="shared" ca="1" si="440"/>
        <v>2052.058518564264</v>
      </c>
      <c r="BD357" s="1698">
        <f t="shared" ca="1" si="440"/>
        <v>1780.4151172204877</v>
      </c>
      <c r="BE357" s="1698">
        <f t="shared" ca="1" si="440"/>
        <v>1837.1706010172013</v>
      </c>
      <c r="BF357" s="1698">
        <f t="shared" ca="1" si="440"/>
        <v>1275.0637753808012</v>
      </c>
      <c r="BG357" s="1698"/>
      <c r="BI357" s="1698">
        <f t="shared" ref="BI357:BO357" ca="1" si="441">BI356/BI118</f>
        <v>183.52723103484462</v>
      </c>
      <c r="BJ357" s="1698">
        <f t="shared" ca="1" si="441"/>
        <v>343.70897027855113</v>
      </c>
      <c r="BK357" s="1698">
        <f t="shared" ca="1" si="441"/>
        <v>731.99916351425134</v>
      </c>
      <c r="BL357" s="1698">
        <f t="shared" ca="1" si="441"/>
        <v>641.37710822925101</v>
      </c>
      <c r="BM357" s="1698">
        <f t="shared" ca="1" si="441"/>
        <v>550.95594271288621</v>
      </c>
      <c r="BN357" s="1698">
        <f t="shared" ca="1" si="441"/>
        <v>571.78592019053542</v>
      </c>
      <c r="BO357" s="1698">
        <f t="shared" ca="1" si="441"/>
        <v>396.60255441822261</v>
      </c>
      <c r="BP357" s="1698"/>
    </row>
    <row r="358" spans="2:68" ht="13.2" customHeight="1">
      <c r="B358" s="280"/>
      <c r="G358" s="576"/>
      <c r="H358" s="576"/>
      <c r="I358" s="576"/>
      <c r="J358" s="576"/>
      <c r="K358" s="576"/>
      <c r="L358" s="576"/>
      <c r="M358" s="576"/>
      <c r="N358" s="576"/>
      <c r="O358" s="39">
        <f>ROW()</f>
        <v>358</v>
      </c>
      <c r="P358" s="12"/>
      <c r="Q358" s="12"/>
      <c r="R358" s="12"/>
      <c r="S358" s="12"/>
      <c r="T358" s="12"/>
      <c r="U358" s="12"/>
      <c r="V358" s="12"/>
      <c r="W358" s="12"/>
      <c r="Y358" s="12"/>
      <c r="Z358" s="12"/>
      <c r="AA358" s="12"/>
      <c r="AB358" s="12"/>
      <c r="AC358" s="12"/>
      <c r="AD358" s="12"/>
      <c r="AE358" s="12"/>
      <c r="AF358" s="12"/>
      <c r="AH358" s="12"/>
      <c r="AI358" s="12"/>
      <c r="AJ358" s="12"/>
      <c r="AK358" s="12"/>
      <c r="AL358" s="12"/>
      <c r="AM358" s="12"/>
      <c r="AN358" s="12"/>
      <c r="AO358" s="12"/>
      <c r="AQ358" s="12"/>
      <c r="AR358" s="12"/>
      <c r="AS358" s="12"/>
      <c r="AT358" s="12"/>
      <c r="AU358" s="12"/>
      <c r="AV358" s="12"/>
      <c r="AW358" s="12"/>
      <c r="AX358" s="12"/>
      <c r="AZ358" s="12"/>
      <c r="BA358" s="12"/>
      <c r="BB358" s="12"/>
      <c r="BC358" s="12"/>
      <c r="BD358" s="12"/>
      <c r="BE358" s="12"/>
      <c r="BF358" s="12"/>
      <c r="BG358" s="12"/>
      <c r="BI358" s="12"/>
      <c r="BJ358" s="12"/>
      <c r="BK358" s="12"/>
      <c r="BL358" s="12"/>
      <c r="BM358" s="12"/>
      <c r="BN358" s="12"/>
      <c r="BO358" s="12"/>
      <c r="BP358" s="12"/>
    </row>
    <row r="359" spans="2:68" ht="13.2" customHeight="1">
      <c r="B359" s="6" t="s">
        <v>2219</v>
      </c>
      <c r="G359" s="818"/>
      <c r="H359" s="576"/>
      <c r="I359" s="576"/>
      <c r="J359" s="576"/>
      <c r="K359" s="576"/>
      <c r="L359" s="576"/>
      <c r="M359" s="576"/>
      <c r="N359" s="576"/>
      <c r="O359" s="39">
        <f>ROW()</f>
        <v>359</v>
      </c>
      <c r="P359" s="12"/>
      <c r="Q359" s="12"/>
      <c r="R359" s="12"/>
      <c r="S359" s="12"/>
      <c r="T359" s="12"/>
      <c r="U359" s="12"/>
      <c r="V359" s="12"/>
      <c r="W359" s="12"/>
      <c r="Y359" s="12"/>
      <c r="Z359" s="12"/>
      <c r="AA359" s="12"/>
      <c r="AB359" s="12"/>
      <c r="AC359" s="12"/>
      <c r="AD359" s="12"/>
      <c r="AE359" s="12"/>
      <c r="AF359" s="12"/>
      <c r="AH359" s="12"/>
      <c r="AI359" s="12"/>
      <c r="AJ359" s="12"/>
      <c r="AK359" s="12"/>
      <c r="AL359" s="12"/>
      <c r="AM359" s="12"/>
      <c r="AN359" s="12"/>
      <c r="AO359" s="12"/>
      <c r="AQ359" s="12"/>
      <c r="AR359" s="12"/>
      <c r="AS359" s="12"/>
      <c r="AT359" s="12"/>
      <c r="AU359" s="12"/>
      <c r="AV359" s="12"/>
      <c r="AW359" s="12"/>
      <c r="AX359" s="12"/>
      <c r="AZ359" s="12"/>
      <c r="BA359" s="12"/>
      <c r="BB359" s="12"/>
      <c r="BC359" s="12"/>
      <c r="BD359" s="12"/>
      <c r="BE359" s="12"/>
      <c r="BF359" s="12"/>
      <c r="BG359" s="12"/>
      <c r="BI359" s="12"/>
      <c r="BJ359" s="12"/>
      <c r="BK359" s="12"/>
      <c r="BL359" s="12"/>
      <c r="BM359" s="12"/>
      <c r="BN359" s="12"/>
      <c r="BO359" s="12"/>
      <c r="BP359" s="12"/>
    </row>
    <row r="360" spans="2:68" ht="13.2" customHeight="1">
      <c r="B360" s="4350" t="s">
        <v>1191</v>
      </c>
      <c r="C360" s="4351"/>
      <c r="D360" s="4351"/>
      <c r="E360" s="4351"/>
      <c r="F360" s="4351"/>
      <c r="G360" s="4351"/>
      <c r="H360" s="4351"/>
      <c r="I360" s="4351"/>
      <c r="J360" s="4351"/>
      <c r="K360" s="4351"/>
      <c r="L360" s="4352"/>
      <c r="M360" s="576"/>
      <c r="N360" s="576"/>
      <c r="O360" s="39">
        <f>ROW()</f>
        <v>360</v>
      </c>
      <c r="P360" s="12"/>
      <c r="Q360" s="12"/>
      <c r="R360" s="12"/>
      <c r="S360" s="12"/>
      <c r="T360" s="12"/>
      <c r="U360" s="12"/>
      <c r="V360" s="12"/>
      <c r="W360" s="12"/>
      <c r="Y360" s="12"/>
      <c r="Z360" s="12"/>
      <c r="AA360" s="12"/>
      <c r="AB360" s="12"/>
      <c r="AC360" s="12"/>
      <c r="AD360" s="12"/>
      <c r="AE360" s="12"/>
      <c r="AF360" s="12"/>
      <c r="AH360" s="12"/>
      <c r="AI360" s="12"/>
      <c r="AJ360" s="12"/>
      <c r="AK360" s="12"/>
      <c r="AL360" s="12"/>
      <c r="AM360" s="12"/>
      <c r="AN360" s="12"/>
      <c r="AO360" s="12"/>
      <c r="AQ360" s="12"/>
      <c r="AR360" s="12"/>
      <c r="AS360" s="12"/>
      <c r="AT360" s="12"/>
      <c r="AU360" s="12"/>
      <c r="AV360" s="12"/>
      <c r="AW360" s="12"/>
      <c r="AX360" s="12"/>
      <c r="AZ360" s="12"/>
      <c r="BA360" s="12"/>
      <c r="BB360" s="12"/>
      <c r="BC360" s="12"/>
      <c r="BD360" s="12"/>
      <c r="BE360" s="12"/>
      <c r="BF360" s="12"/>
      <c r="BG360" s="12"/>
      <c r="BI360" s="12"/>
      <c r="BJ360" s="12"/>
      <c r="BK360" s="12"/>
      <c r="BL360" s="12"/>
      <c r="BM360" s="12"/>
      <c r="BN360" s="12"/>
      <c r="BO360" s="12"/>
      <c r="BP360" s="12"/>
    </row>
    <row r="361" spans="2:68" ht="13.2" customHeight="1">
      <c r="B361" s="4353"/>
      <c r="C361" s="4354"/>
      <c r="D361" s="4354"/>
      <c r="E361" s="4354"/>
      <c r="F361" s="4354"/>
      <c r="G361" s="4354"/>
      <c r="H361" s="4354"/>
      <c r="I361" s="4354"/>
      <c r="J361" s="4354"/>
      <c r="K361" s="4354"/>
      <c r="L361" s="4355"/>
      <c r="M361" s="576"/>
      <c r="N361" s="576"/>
      <c r="O361" s="39">
        <f>ROW()</f>
        <v>361</v>
      </c>
      <c r="P361" s="12"/>
      <c r="Q361" s="12"/>
      <c r="R361" s="12"/>
      <c r="S361" s="12"/>
      <c r="T361" s="12"/>
      <c r="U361" s="12"/>
      <c r="V361" s="12"/>
      <c r="W361" s="12"/>
      <c r="Y361" s="12"/>
      <c r="Z361" s="12"/>
      <c r="AA361" s="12"/>
      <c r="AB361" s="12"/>
      <c r="AC361" s="12"/>
      <c r="AD361" s="12"/>
      <c r="AE361" s="12"/>
      <c r="AF361" s="12"/>
      <c r="AH361" s="12"/>
      <c r="AI361" s="12"/>
      <c r="AJ361" s="12"/>
      <c r="AK361" s="12"/>
      <c r="AL361" s="12"/>
      <c r="AM361" s="12"/>
      <c r="AN361" s="12"/>
      <c r="AO361" s="12"/>
      <c r="AQ361" s="12"/>
      <c r="AR361" s="12"/>
      <c r="AS361" s="12"/>
      <c r="AT361" s="12"/>
      <c r="AU361" s="12"/>
      <c r="AV361" s="12"/>
      <c r="AW361" s="12"/>
      <c r="AX361" s="12"/>
      <c r="AZ361" s="12"/>
      <c r="BA361" s="12"/>
      <c r="BB361" s="12"/>
      <c r="BC361" s="12"/>
      <c r="BD361" s="12"/>
      <c r="BE361" s="12"/>
      <c r="BF361" s="12"/>
      <c r="BG361" s="12"/>
      <c r="BI361" s="12"/>
      <c r="BJ361" s="12"/>
      <c r="BK361" s="12"/>
      <c r="BL361" s="12"/>
      <c r="BM361" s="12"/>
      <c r="BN361" s="12"/>
      <c r="BO361" s="12"/>
      <c r="BP361" s="12"/>
    </row>
    <row r="362" spans="2:68" ht="13.2" customHeight="1">
      <c r="B362" s="4356"/>
      <c r="C362" s="4357"/>
      <c r="D362" s="4357"/>
      <c r="E362" s="4357"/>
      <c r="F362" s="4357"/>
      <c r="G362" s="4357"/>
      <c r="H362" s="4357"/>
      <c r="I362" s="4357"/>
      <c r="J362" s="4357"/>
      <c r="K362" s="4357"/>
      <c r="L362" s="4358"/>
      <c r="M362" s="576"/>
      <c r="N362" s="576"/>
      <c r="O362" s="39">
        <f>ROW()</f>
        <v>362</v>
      </c>
      <c r="P362" s="12"/>
      <c r="Q362" s="12"/>
      <c r="R362" s="12"/>
      <c r="S362" s="12"/>
      <c r="T362" s="12"/>
      <c r="U362" s="12"/>
      <c r="V362" s="12"/>
      <c r="W362" s="12"/>
      <c r="Y362" s="12"/>
      <c r="Z362" s="12"/>
      <c r="AA362" s="12"/>
      <c r="AB362" s="12"/>
      <c r="AC362" s="12"/>
      <c r="AD362" s="12"/>
      <c r="AE362" s="12"/>
      <c r="AF362" s="12"/>
      <c r="AH362" s="12"/>
      <c r="AI362" s="12"/>
      <c r="AJ362" s="12"/>
      <c r="AK362" s="12"/>
      <c r="AL362" s="12"/>
      <c r="AM362" s="12"/>
      <c r="AN362" s="12"/>
      <c r="AO362" s="12"/>
      <c r="AQ362" s="12"/>
      <c r="AR362" s="12"/>
      <c r="AS362" s="12"/>
      <c r="AT362" s="12"/>
      <c r="AU362" s="12"/>
      <c r="AV362" s="12"/>
      <c r="AW362" s="12"/>
      <c r="AX362" s="12"/>
      <c r="AZ362" s="12"/>
      <c r="BA362" s="12"/>
      <c r="BB362" s="12"/>
      <c r="BC362" s="12"/>
      <c r="BD362" s="12"/>
      <c r="BE362" s="12"/>
      <c r="BF362" s="12"/>
      <c r="BG362" s="12"/>
      <c r="BI362" s="12"/>
      <c r="BJ362" s="12"/>
      <c r="BK362" s="12"/>
      <c r="BL362" s="12"/>
      <c r="BM362" s="12"/>
      <c r="BN362" s="12"/>
      <c r="BO362" s="12"/>
      <c r="BP362" s="12"/>
    </row>
    <row r="363" spans="2:68" ht="13.2" customHeight="1">
      <c r="B363" s="280" t="s">
        <v>802</v>
      </c>
      <c r="G363" s="1122">
        <f>Subways!AM326+SUM(Subways!P326:T326)</f>
        <v>433.4950466455299</v>
      </c>
      <c r="H363" s="1122">
        <f>Subways!U326</f>
        <v>962.47719128227277</v>
      </c>
      <c r="I363" s="1122">
        <f>SUM(Subways!V326:X326)</f>
        <v>25703.305766929181</v>
      </c>
      <c r="J363" s="1122">
        <f>Subways!Y326</f>
        <v>7429.7472663567669</v>
      </c>
      <c r="K363" s="1122">
        <f>SUM(Subways!Z326:AC326)</f>
        <v>7900.1487879476344</v>
      </c>
      <c r="L363" s="1122">
        <f>SUM(Subways!AD326:AI326)</f>
        <v>9818.3037862359706</v>
      </c>
      <c r="M363" s="1122">
        <f>SUM(Subways!AJ326:AL326)</f>
        <v>1334.1045941926268</v>
      </c>
      <c r="N363" s="1122">
        <f>SUM(G363:M363)</f>
        <v>53581.582439589984</v>
      </c>
      <c r="O363" s="39">
        <f>ROW()</f>
        <v>363</v>
      </c>
      <c r="P363" s="10">
        <f>$W$363*('Weekday Hours'!T54+SUM('Weekday Hours'!T31:T35))</f>
        <v>1448.6650484647703</v>
      </c>
      <c r="Q363" s="10">
        <f>$W$363*'Weekday Hours'!T36</f>
        <v>2188.8526774943393</v>
      </c>
      <c r="R363" s="10">
        <f>$W$363*SUM('Weekday Hours'!T37:T39)</f>
        <v>13468.165530564904</v>
      </c>
      <c r="S363" s="10">
        <f>$W$363*'Weekday Hours'!T40</f>
        <v>3236.2813537501033</v>
      </c>
      <c r="T363" s="10">
        <f>$W$363*SUM('Weekday Hours'!T41:T44)</f>
        <v>8831.1715769876573</v>
      </c>
      <c r="U363" s="10">
        <f>$W$363*SUM('Weekday Hours'!T45:T50)</f>
        <v>9769.2565778417193</v>
      </c>
      <c r="V363" s="10">
        <f>$W$363*SUM('Weekday Hours'!T51:T53)</f>
        <v>2716.5862520646351</v>
      </c>
      <c r="W363" s="10">
        <f>$N363*(I76/(I76+I39*K76))</f>
        <v>41658.979017168123</v>
      </c>
      <c r="AH363" s="10">
        <f>$AO$363*('Weekday Hours'!V54+SUM('Weekday Hours'!V31:V35))</f>
        <v>2081.6188851899601</v>
      </c>
      <c r="AI363" s="10">
        <f>$AO$363*'Weekday Hours'!V36</f>
        <v>419.36145052526774</v>
      </c>
      <c r="AJ363" s="10">
        <f>$AO$363*SUM('Weekday Hours'!V37:V39)</f>
        <v>1451.4528952189057</v>
      </c>
      <c r="AK363" s="10">
        <f>$AO$363*'Weekday Hours'!V40</f>
        <v>429.25701567970185</v>
      </c>
      <c r="AL363" s="10">
        <f>$AO$363*SUM('Weekday Hours'!V41:V44)</f>
        <v>1845.7754157235424</v>
      </c>
      <c r="AM363" s="10">
        <f>$AO$363*SUM('Weekday Hours'!V45:V50)</f>
        <v>3743.3762912970751</v>
      </c>
      <c r="AN363" s="10">
        <f>$AO$363*SUM('Weekday Hours'!V51:V53)</f>
        <v>1951.7614687874059</v>
      </c>
      <c r="AO363" s="10">
        <f>$N363*((I39*K76)/(I76+I39*K76))</f>
        <v>11922.603422421858</v>
      </c>
      <c r="AQ363" s="4390" t="str">
        <f>CONCATENATE("We have eliminated these entries for medallion taxis, since changes in taxi entries into the CBD due to taxi users' attraction to subways are accounted for above, in Rows ",O325, " and ",O332, ".")</f>
        <v>We have eliminated these entries for medallion taxis, since changes in taxi entries into the CBD due to taxi users' attraction to subways are accounted for above, in Rows 325 and 332.</v>
      </c>
      <c r="AR363" s="4391"/>
      <c r="AS363" s="4391"/>
      <c r="AT363" s="4391"/>
      <c r="AU363" s="4391"/>
      <c r="AV363" s="4391"/>
      <c r="AW363" s="4391"/>
      <c r="AX363" s="4392"/>
      <c r="AZ363" s="12"/>
      <c r="BA363" s="12"/>
      <c r="BB363" s="12"/>
      <c r="BC363" s="12"/>
      <c r="BD363" s="12"/>
      <c r="BE363" s="12"/>
      <c r="BF363" s="12"/>
      <c r="BG363" s="12"/>
      <c r="BI363" s="12"/>
      <c r="BJ363" s="12"/>
      <c r="BK363" s="12"/>
      <c r="BL363" s="12"/>
      <c r="BM363" s="12"/>
      <c r="BN363" s="12"/>
      <c r="BO363" s="12"/>
      <c r="BP363" s="12"/>
    </row>
    <row r="364" spans="2:68" ht="13.2" customHeight="1">
      <c r="B364" s="280" t="s">
        <v>1192</v>
      </c>
      <c r="G364" s="1122">
        <f>Subways!AM328+SUM(Subways!P328:T328)</f>
        <v>491.2171814930025</v>
      </c>
      <c r="H364" s="1122">
        <f>Subways!U328</f>
        <v>107.03870440423668</v>
      </c>
      <c r="I364" s="1122">
        <f>SUM(Subways!V328:X328)</f>
        <v>601.79111351367487</v>
      </c>
      <c r="J364" s="1122">
        <f>Subways!Y328</f>
        <v>826.27466774795755</v>
      </c>
      <c r="K364" s="1122">
        <f>SUM(Subways!Z328:AC328)</f>
        <v>2450.4223333686432</v>
      </c>
      <c r="L364" s="1122">
        <f>SUM(Subways!AD328:AI328)</f>
        <v>5338.2269043504393</v>
      </c>
      <c r="M364" s="1122">
        <f>SUM(Subways!AJ328:AL328)</f>
        <v>1054.8462093708961</v>
      </c>
      <c r="N364" s="1122">
        <f>SUM(G364:M364)</f>
        <v>10869.817114248852</v>
      </c>
      <c r="O364" s="39">
        <f>ROW()</f>
        <v>364</v>
      </c>
      <c r="P364" s="12"/>
      <c r="Q364" s="12"/>
      <c r="R364" s="12"/>
      <c r="S364" s="12"/>
      <c r="T364" s="12"/>
      <c r="U364" s="12"/>
      <c r="V364" s="12"/>
      <c r="W364" s="12"/>
      <c r="Y364" s="10">
        <f>$AF$364*('Weekday Hours'!U54+SUM('Weekday Hours'!U31:U35))</f>
        <v>855.5015161325806</v>
      </c>
      <c r="Z364" s="10">
        <f>$AF$364*'Weekday Hours'!U36</f>
        <v>85.910962193809894</v>
      </c>
      <c r="AA364" s="10">
        <f>$AF$364*SUM('Weekday Hours'!U37:U39)</f>
        <v>727.09914014133619</v>
      </c>
      <c r="AB364" s="10">
        <f>$AF$364*'Weekday Hours'!U40</f>
        <v>431.26932935700876</v>
      </c>
      <c r="AC364" s="10">
        <f>$AF$364*SUM('Weekday Hours'!U41:U44)</f>
        <v>1629.0868116383208</v>
      </c>
      <c r="AD364" s="10">
        <f>$AF$364*SUM('Weekday Hours'!U45:U50)</f>
        <v>3595.4179053997455</v>
      </c>
      <c r="AE364" s="10">
        <f>$AF$364*SUM('Weekday Hours'!U51:U53)</f>
        <v>1126.8548663725617</v>
      </c>
      <c r="AF364" s="10">
        <f>$N364*(J76/(J76+(1-I39)*K76))</f>
        <v>8451.1405312353636</v>
      </c>
      <c r="AH364" s="10">
        <f>$AO$364*('Weekday Hours'!V54+SUM('Weekday Hours'!V31:V35))</f>
        <v>422.28720305324725</v>
      </c>
      <c r="AI364" s="10">
        <f>$AO$364*'Weekday Hours'!V36</f>
        <v>85.073677641288043</v>
      </c>
      <c r="AJ364" s="10">
        <f>$AO$364*SUM('Weekday Hours'!V37:V39)</f>
        <v>294.44870424952751</v>
      </c>
      <c r="AK364" s="10">
        <f>$AO$364*'Weekday Hours'!V40</f>
        <v>87.081139507351878</v>
      </c>
      <c r="AL364" s="10">
        <f>$AO$364*SUM('Weekday Hours'!V41:V44)</f>
        <v>374.44286430904964</v>
      </c>
      <c r="AM364" s="10">
        <f>$AO$364*SUM('Weekday Hours'!V45:V50)</f>
        <v>759.39929027086248</v>
      </c>
      <c r="AN364" s="10">
        <f>$AO$364*SUM('Weekday Hours'!V51:V53)</f>
        <v>395.94370398216188</v>
      </c>
      <c r="AO364" s="10">
        <f>$N364*((1-I39)*K76/(J76+(1-I39)*K76))</f>
        <v>2418.6765830134887</v>
      </c>
      <c r="AQ364" s="4393"/>
      <c r="AR364" s="4394"/>
      <c r="AS364" s="4394"/>
      <c r="AT364" s="4394"/>
      <c r="AU364" s="4394"/>
      <c r="AV364" s="4394"/>
      <c r="AW364" s="4394"/>
      <c r="AX364" s="4395"/>
      <c r="AZ364" s="12"/>
      <c r="BA364" s="12"/>
      <c r="BB364" s="12"/>
      <c r="BC364" s="12"/>
      <c r="BD364" s="12"/>
      <c r="BE364" s="12"/>
      <c r="BF364" s="12"/>
      <c r="BG364" s="12"/>
      <c r="BI364" s="12"/>
      <c r="BJ364" s="12"/>
      <c r="BK364" s="12"/>
      <c r="BL364" s="12"/>
      <c r="BM364" s="12"/>
      <c r="BN364" s="12"/>
      <c r="BO364" s="12"/>
      <c r="BP364" s="12"/>
    </row>
    <row r="365" spans="2:68" ht="13.2" customHeight="1">
      <c r="B365" s="309" t="str">
        <f>CONCATENATE("Preceding two rows draw on data from Subways worksheet, Rows ",Subways!O326, " and ",Subways!O328, ".")</f>
        <v>Preceding two rows draw on data from Subways worksheet, Rows 326 and 328.</v>
      </c>
      <c r="G365" s="1122"/>
      <c r="H365" s="1122"/>
      <c r="I365" s="1122"/>
      <c r="J365" s="1122"/>
      <c r="K365" s="1122"/>
      <c r="L365" s="1122"/>
      <c r="M365" s="1122"/>
      <c r="N365" s="1122"/>
      <c r="O365" s="39">
        <f>ROW()</f>
        <v>365</v>
      </c>
      <c r="P365" s="12"/>
      <c r="Q365" s="12"/>
      <c r="R365" s="12"/>
      <c r="S365" s="12"/>
      <c r="T365" s="12"/>
      <c r="U365" s="12"/>
      <c r="V365" s="12"/>
      <c r="W365" s="12"/>
      <c r="Y365" s="10"/>
      <c r="Z365" s="10"/>
      <c r="AA365" s="10"/>
      <c r="AB365" s="10"/>
      <c r="AC365" s="10"/>
      <c r="AD365" s="10"/>
      <c r="AE365" s="10"/>
      <c r="AF365" s="10"/>
      <c r="AH365" s="10"/>
      <c r="AI365" s="10"/>
      <c r="AJ365" s="10"/>
      <c r="AK365" s="10"/>
      <c r="AL365" s="10"/>
      <c r="AM365" s="10"/>
      <c r="AN365" s="10"/>
      <c r="AO365" s="10"/>
      <c r="AQ365" s="12"/>
      <c r="AR365" s="12"/>
      <c r="AS365" s="12"/>
      <c r="AT365" s="12"/>
      <c r="AU365" s="12"/>
      <c r="AV365" s="12"/>
      <c r="AW365" s="12"/>
      <c r="AX365" s="12"/>
      <c r="AZ365" s="12"/>
      <c r="BA365" s="12"/>
      <c r="BB365" s="12"/>
      <c r="BC365" s="12"/>
      <c r="BD365" s="12"/>
      <c r="BE365" s="12"/>
      <c r="BF365" s="12"/>
      <c r="BG365" s="12"/>
      <c r="BI365" s="12"/>
      <c r="BJ365" s="12"/>
      <c r="BK365" s="12"/>
      <c r="BL365" s="12"/>
      <c r="BM365" s="12"/>
      <c r="BN365" s="12"/>
      <c r="BO365" s="12"/>
      <c r="BP365" s="12"/>
    </row>
    <row r="366" spans="2:68" s="1122" customFormat="1" ht="13.2" customHeight="1">
      <c r="B366" s="1123" t="s">
        <v>2186</v>
      </c>
      <c r="G366" s="1122">
        <f ca="1">P366+Y366+AH366+AQ366+AZ366+BI366</f>
        <v>-6920.4229688807909</v>
      </c>
      <c r="H366" s="1122">
        <f t="shared" ref="G366:M368" ca="1" si="442">Q366+Z366+AI366+AR366+BA366+BJ366</f>
        <v>-7707.7147768326986</v>
      </c>
      <c r="I366" s="1122">
        <f t="shared" ca="1" si="442"/>
        <v>-32246.411314727928</v>
      </c>
      <c r="J366" s="1122">
        <f t="shared" ca="1" si="442"/>
        <v>-9485.0891359934685</v>
      </c>
      <c r="K366" s="1122">
        <f t="shared" ca="1" si="442"/>
        <v>-22132.152396159141</v>
      </c>
      <c r="L366" s="1122">
        <f t="shared" ca="1" si="442"/>
        <v>-50020.167978322817</v>
      </c>
      <c r="M366" s="1122">
        <f t="shared" ca="1" si="442"/>
        <v>-19006.303233340564</v>
      </c>
      <c r="N366" s="1122">
        <f ca="1">SUM(G366:M366)</f>
        <v>-147518.2618042574</v>
      </c>
      <c r="O366" s="39">
        <f>ROW()</f>
        <v>366</v>
      </c>
      <c r="P366" s="1122">
        <f ca="1">P355-P363-P364</f>
        <v>-107.66894926191594</v>
      </c>
      <c r="Q366" s="1122">
        <f t="shared" ref="Q366:V366" ca="1" si="443">Q355-Q363-Q364</f>
        <v>-4407.214748569826</v>
      </c>
      <c r="R366" s="1122">
        <f t="shared" ca="1" si="443"/>
        <v>-22552.425479510533</v>
      </c>
      <c r="S366" s="1122">
        <f t="shared" ca="1" si="443"/>
        <v>-5473.8901381186906</v>
      </c>
      <c r="T366" s="1122">
        <f t="shared" ca="1" si="443"/>
        <v>-11287.297569221577</v>
      </c>
      <c r="U366" s="1122">
        <f t="shared" ca="1" si="443"/>
        <v>-17073.048877647368</v>
      </c>
      <c r="V366" s="1122">
        <f t="shared" ca="1" si="443"/>
        <v>-4804.3070409299671</v>
      </c>
      <c r="W366" s="1122">
        <f ca="1">SUM(P366:V366)</f>
        <v>-65705.852803259884</v>
      </c>
      <c r="Y366" s="1122">
        <f t="shared" ref="Y366:AE366" ca="1" si="444">Y355-Y363-Y364</f>
        <v>-2864.8170356782598</v>
      </c>
      <c r="Z366" s="1122">
        <f t="shared" ca="1" si="444"/>
        <v>-735.82470745440128</v>
      </c>
      <c r="AA366" s="1122">
        <f t="shared" ca="1" si="444"/>
        <v>-3343.6106654642658</v>
      </c>
      <c r="AB366" s="1122">
        <f t="shared" ca="1" si="444"/>
        <v>-2035.4157319339729</v>
      </c>
      <c r="AC366" s="1122">
        <f t="shared" ca="1" si="444"/>
        <v>-4880.6199218990114</v>
      </c>
      <c r="AD366" s="1122">
        <f t="shared" ca="1" si="444"/>
        <v>-17642.908413455258</v>
      </c>
      <c r="AE366" s="1122">
        <f t="shared" ca="1" si="444"/>
        <v>-6248.5970679743014</v>
      </c>
      <c r="AF366" s="1122">
        <f ca="1">SUM(Y366:AE366)</f>
        <v>-37751.793543859472</v>
      </c>
      <c r="AH366" s="1122">
        <f t="shared" ref="AH366:AN366" si="445">AH355-AH363-AH364</f>
        <v>-4638.8064961924902</v>
      </c>
      <c r="AI366" s="1122">
        <f t="shared" si="445"/>
        <v>-2360.7722907088942</v>
      </c>
      <c r="AJ366" s="1122">
        <f t="shared" si="445"/>
        <v>-6236.845384912428</v>
      </c>
      <c r="AK366" s="1122">
        <f t="shared" si="445"/>
        <v>-1899.7205809395325</v>
      </c>
      <c r="AL366" s="1122">
        <f t="shared" si="445"/>
        <v>-6358.2310541738007</v>
      </c>
      <c r="AM366" s="1122">
        <f t="shared" si="445"/>
        <v>-15266.947071864099</v>
      </c>
      <c r="AN366" s="1122">
        <f t="shared" si="445"/>
        <v>-7931.4157043333471</v>
      </c>
      <c r="AO366" s="1122">
        <f>SUM(AH366:AN366)</f>
        <v>-44692.738583124585</v>
      </c>
      <c r="AQ366" s="575">
        <f t="shared" ref="AQ366:AW366" ca="1" si="446">AQ355</f>
        <v>294.962104509158</v>
      </c>
      <c r="AR366" s="575">
        <f t="shared" ca="1" si="446"/>
        <v>118.84570886342449</v>
      </c>
      <c r="AS366" s="575">
        <f t="shared" ca="1" si="446"/>
        <v>685.56193389615919</v>
      </c>
      <c r="AT366" s="575">
        <f t="shared" ca="1" si="446"/>
        <v>202.75013455637304</v>
      </c>
      <c r="AU366" s="575">
        <f t="shared" ca="1" si="446"/>
        <v>653.85864452248086</v>
      </c>
      <c r="AV366" s="575">
        <f t="shared" ca="1" si="446"/>
        <v>1060.8610026613126</v>
      </c>
      <c r="AW366" s="575">
        <f t="shared" ca="1" si="446"/>
        <v>368.74868525281329</v>
      </c>
      <c r="AX366" s="10">
        <f ca="1">SUM(AQ366:AW366)</f>
        <v>3385.5882142617215</v>
      </c>
      <c r="AZ366" s="1122">
        <f t="shared" ref="AZ366:BF366" ca="1" si="447">AZ355-AZ363-AZ364</f>
        <v>290.69579439674897</v>
      </c>
      <c r="BA366" s="1122">
        <f t="shared" ca="1" si="447"/>
        <v>-265.170246783729</v>
      </c>
      <c r="BB366" s="1122">
        <f t="shared" ca="1" si="447"/>
        <v>-680.26092105747523</v>
      </c>
      <c r="BC366" s="1122">
        <f t="shared" ca="1" si="447"/>
        <v>-235.59569390834685</v>
      </c>
      <c r="BD366" s="1122">
        <f t="shared" ca="1" si="447"/>
        <v>-255.90544877512889</v>
      </c>
      <c r="BE366" s="1122">
        <f t="shared" ca="1" si="447"/>
        <v>-946.79898807757877</v>
      </c>
      <c r="BF366" s="1122">
        <f t="shared" ca="1" si="447"/>
        <v>-335.44454721030854</v>
      </c>
      <c r="BG366" s="1122">
        <f ca="1">SUM(AZ366:BF366)</f>
        <v>-2428.4800514158183</v>
      </c>
      <c r="BI366" s="1122">
        <f t="shared" ref="BI366:BO366" ca="1" si="448">BI355-BI363-BI364</f>
        <v>105.21161334596896</v>
      </c>
      <c r="BJ366" s="1122">
        <f t="shared" ca="1" si="448"/>
        <v>-57.578492179272303</v>
      </c>
      <c r="BK366" s="1122">
        <f t="shared" ca="1" si="448"/>
        <v>-118.83079767938665</v>
      </c>
      <c r="BL366" s="1122">
        <f t="shared" ca="1" si="448"/>
        <v>-43.217125649298254</v>
      </c>
      <c r="BM366" s="1122">
        <f t="shared" ca="1" si="448"/>
        <v>-3.9570466121058274</v>
      </c>
      <c r="BN366" s="1122">
        <f t="shared" ca="1" si="448"/>
        <v>-151.32562993982327</v>
      </c>
      <c r="BO366" s="1122">
        <f t="shared" ca="1" si="448"/>
        <v>-55.287558145455037</v>
      </c>
      <c r="BP366" s="1122">
        <f ca="1">SUM(BI366:BO366)</f>
        <v>-324.98503685937237</v>
      </c>
    </row>
    <row r="367" spans="2:68" ht="13.2" customHeight="1">
      <c r="B367" s="309" t="str">
        <f>CONCATENATE("Each figure in above row is calculated as Row ",O355, " less Rows ",O363, " and ",O364,".")</f>
        <v>Each figure in above row is calculated as Row 355 less Rows 363 and 364.</v>
      </c>
      <c r="G367" s="1122"/>
      <c r="H367" s="1122"/>
      <c r="I367" s="1122"/>
      <c r="J367" s="1122"/>
      <c r="K367" s="1122"/>
      <c r="L367" s="1122"/>
      <c r="M367" s="1122"/>
      <c r="N367" s="1122"/>
      <c r="O367" s="39">
        <f>ROW()</f>
        <v>367</v>
      </c>
    </row>
    <row r="368" spans="2:68" ht="13.2" customHeight="1">
      <c r="B368" s="280" t="s">
        <v>2395</v>
      </c>
      <c r="G368" s="1122">
        <f t="shared" ca="1" si="442"/>
        <v>52895.966814329891</v>
      </c>
      <c r="H368" s="1122">
        <f t="shared" ca="1" si="442"/>
        <v>16353.493639173485</v>
      </c>
      <c r="I368" s="1122">
        <f t="shared" ca="1" si="442"/>
        <v>106527.23931570798</v>
      </c>
      <c r="J368" s="1122">
        <f t="shared" ca="1" si="442"/>
        <v>31574.146306527837</v>
      </c>
      <c r="K368" s="1122">
        <f t="shared" ca="1" si="442"/>
        <v>110321.83102879925</v>
      </c>
      <c r="L368" s="1122">
        <f t="shared" ca="1" si="442"/>
        <v>164993.29427427254</v>
      </c>
      <c r="M368" s="1122">
        <f t="shared" ca="1" si="442"/>
        <v>55749.567986522234</v>
      </c>
      <c r="N368" s="1122">
        <f ca="1">SUM(G368:M368)</f>
        <v>538415.53936533316</v>
      </c>
      <c r="O368" s="39">
        <f>ROW()</f>
        <v>368</v>
      </c>
      <c r="P368" s="10">
        <f ca="1">P347+P366</f>
        <v>8960.4485502075677</v>
      </c>
      <c r="Q368" s="10">
        <f t="shared" ref="Q368:V368" ca="1" si="449">Q347+Q366</f>
        <v>9294.2087030292041</v>
      </c>
      <c r="R368" s="10">
        <f t="shared" ca="1" si="449"/>
        <v>61753.403299126803</v>
      </c>
      <c r="S368" s="10">
        <f t="shared" ca="1" si="449"/>
        <v>14784.05672699599</v>
      </c>
      <c r="T368" s="10">
        <f t="shared" ca="1" si="449"/>
        <v>43992.631771909888</v>
      </c>
      <c r="U368" s="10">
        <f t="shared" ca="1" si="449"/>
        <v>44078.952148549972</v>
      </c>
      <c r="V368" s="10">
        <f t="shared" ca="1" si="449"/>
        <v>12200.53707902162</v>
      </c>
      <c r="W368" s="10">
        <f ca="1">SUM(P368:V368)</f>
        <v>195064.23827884102</v>
      </c>
      <c r="Y368" s="10">
        <f t="shared" ref="Y368:AE368" ca="1" si="450">Y347+Y366</f>
        <v>15701.606581710677</v>
      </c>
      <c r="Z368" s="10">
        <f t="shared" ca="1" si="450"/>
        <v>1128.6481045617113</v>
      </c>
      <c r="AA368" s="10">
        <f t="shared" ca="1" si="450"/>
        <v>12436.175101287314</v>
      </c>
      <c r="AB368" s="10">
        <f t="shared" ca="1" si="450"/>
        <v>7324.1574669854754</v>
      </c>
      <c r="AC368" s="10">
        <f t="shared" ca="1" si="450"/>
        <v>30474.449921941177</v>
      </c>
      <c r="AD368" s="10">
        <f t="shared" ca="1" si="450"/>
        <v>60386.236660382056</v>
      </c>
      <c r="AE368" s="10">
        <f t="shared" ca="1" si="450"/>
        <v>18206.841537171164</v>
      </c>
      <c r="AF368" s="10">
        <f ca="1">SUM(Y368:AE368)</f>
        <v>145658.11537403957</v>
      </c>
      <c r="AH368" s="10">
        <f t="shared" ref="AH368:AN368" si="451">AH347+AH366</f>
        <v>17556.011961615437</v>
      </c>
      <c r="AI368" s="10">
        <f t="shared" si="451"/>
        <v>2110.5799480857399</v>
      </c>
      <c r="AJ368" s="10">
        <f t="shared" si="451"/>
        <v>9238.9622850893466</v>
      </c>
      <c r="AK368" s="10">
        <f t="shared" si="451"/>
        <v>2677.1410158373301</v>
      </c>
      <c r="AL368" s="10">
        <f t="shared" si="451"/>
        <v>13321.956590804512</v>
      </c>
      <c r="AM368" s="10">
        <f t="shared" si="451"/>
        <v>24646.006156852909</v>
      </c>
      <c r="AN368" s="10">
        <f t="shared" si="451"/>
        <v>12878.825680812384</v>
      </c>
      <c r="AO368" s="10">
        <f>SUM(AH368:AN368)</f>
        <v>82429.483639097656</v>
      </c>
      <c r="AQ368" s="10">
        <f t="shared" ref="AQ368:AW368" ca="1" si="452">AQ347+AQ366</f>
        <v>5957.9475533393934</v>
      </c>
      <c r="AR368" s="10">
        <f t="shared" ca="1" si="452"/>
        <v>2400.5676984371444</v>
      </c>
      <c r="AS368" s="10">
        <f t="shared" ca="1" si="452"/>
        <v>13847.684106798293</v>
      </c>
      <c r="AT368" s="10">
        <f t="shared" ca="1" si="452"/>
        <v>4095.3554699155275</v>
      </c>
      <c r="AU368" s="10">
        <f t="shared" ca="1" si="452"/>
        <v>13207.308504410181</v>
      </c>
      <c r="AV368" s="10">
        <f t="shared" ca="1" si="452"/>
        <v>21428.360181241187</v>
      </c>
      <c r="AW368" s="10">
        <f t="shared" ca="1" si="452"/>
        <v>7448.3647001199943</v>
      </c>
      <c r="AX368" s="10">
        <f ca="1">SUM(AQ368:AW368)</f>
        <v>68385.588214261719</v>
      </c>
      <c r="AZ368" s="10">
        <f t="shared" ref="AZ368:BF368" ca="1" si="453">AZ347+AZ366</f>
        <v>3618.7887812477488</v>
      </c>
      <c r="BA368" s="10">
        <f t="shared" ca="1" si="453"/>
        <v>1075.780214781134</v>
      </c>
      <c r="BB368" s="10">
        <f t="shared" ca="1" si="453"/>
        <v>7055.0170328634713</v>
      </c>
      <c r="BC368" s="10">
        <f t="shared" ca="1" si="453"/>
        <v>2052.058518564264</v>
      </c>
      <c r="BD368" s="10">
        <f t="shared" ca="1" si="453"/>
        <v>7121.6604688819507</v>
      </c>
      <c r="BE368" s="10">
        <f t="shared" ca="1" si="453"/>
        <v>11023.023606103208</v>
      </c>
      <c r="BF368" s="10">
        <f t="shared" ca="1" si="453"/>
        <v>3825.1913261424038</v>
      </c>
      <c r="BG368" s="10">
        <f ca="1">SUM(AZ368:BF368)</f>
        <v>35771.51994858418</v>
      </c>
      <c r="BI368" s="10">
        <f t="shared" ref="BI368:BO368" ca="1" si="454">BI347+BI366</f>
        <v>1101.1633862090678</v>
      </c>
      <c r="BJ368" s="10">
        <f t="shared" ca="1" si="454"/>
        <v>343.70897027855113</v>
      </c>
      <c r="BK368" s="10">
        <f t="shared" ca="1" si="454"/>
        <v>2195.9974905427539</v>
      </c>
      <c r="BL368" s="10">
        <f t="shared" ca="1" si="454"/>
        <v>641.37710822925101</v>
      </c>
      <c r="BM368" s="10">
        <f t="shared" ca="1" si="454"/>
        <v>2203.8237708515449</v>
      </c>
      <c r="BN368" s="10">
        <f t="shared" ca="1" si="454"/>
        <v>3430.7155211432123</v>
      </c>
      <c r="BO368" s="10">
        <f t="shared" ca="1" si="454"/>
        <v>1189.8076632546679</v>
      </c>
      <c r="BP368" s="10">
        <f ca="1">SUM(BI368:BO368)</f>
        <v>11106.593910509047</v>
      </c>
    </row>
    <row r="369" spans="2:68" ht="13.2" customHeight="1">
      <c r="B369" s="309" t="str">
        <f>CONCATENATE("Each figure in above row is calculated as Sum of figures in Rows ",O347, " and ",O366, ".")</f>
        <v>Each figure in above row is calculated as Sum of figures in Rows 347 and 366.</v>
      </c>
      <c r="G369" s="1122"/>
      <c r="H369" s="1122"/>
      <c r="I369" s="1122"/>
      <c r="J369" s="1122"/>
      <c r="K369" s="1122"/>
      <c r="L369" s="1122"/>
      <c r="M369" s="1122"/>
      <c r="N369" s="1122"/>
      <c r="O369" s="39">
        <f>ROW()</f>
        <v>369</v>
      </c>
      <c r="P369" s="10"/>
      <c r="Q369" s="10"/>
      <c r="R369" s="10"/>
      <c r="S369" s="10"/>
      <c r="T369" s="10"/>
      <c r="U369" s="10"/>
      <c r="V369" s="10"/>
      <c r="W369" s="10"/>
      <c r="Y369" s="10"/>
      <c r="Z369" s="10"/>
      <c r="AA369" s="10"/>
      <c r="AB369" s="10"/>
      <c r="AC369" s="10"/>
      <c r="AD369" s="10"/>
      <c r="AE369" s="10"/>
      <c r="AF369" s="10"/>
      <c r="AH369" s="10"/>
      <c r="AI369" s="10"/>
      <c r="AJ369" s="10"/>
      <c r="AK369" s="10"/>
      <c r="AL369" s="10"/>
      <c r="AM369" s="10"/>
      <c r="AN369" s="10"/>
      <c r="AO369" s="10"/>
      <c r="AQ369" s="10"/>
      <c r="AR369" s="10"/>
      <c r="AS369" s="10"/>
      <c r="AT369" s="10"/>
      <c r="AU369" s="10"/>
      <c r="AV369" s="10"/>
      <c r="AW369" s="10"/>
      <c r="AX369" s="10"/>
      <c r="AZ369" s="10"/>
      <c r="BA369" s="10"/>
      <c r="BB369" s="10"/>
      <c r="BC369" s="10"/>
      <c r="BD369" s="10"/>
      <c r="BE369" s="10"/>
      <c r="BF369" s="10"/>
      <c r="BG369" s="10"/>
      <c r="BI369" s="10"/>
      <c r="BJ369" s="10"/>
      <c r="BK369" s="10"/>
      <c r="BL369" s="10"/>
      <c r="BM369" s="10"/>
      <c r="BN369" s="10"/>
      <c r="BO369" s="10"/>
      <c r="BP369" s="10"/>
    </row>
    <row r="370" spans="2:68" s="1122" customFormat="1" ht="13.2" customHeight="1">
      <c r="B370" s="1123" t="s">
        <v>801</v>
      </c>
      <c r="G370" s="1122">
        <f t="shared" ref="G370:M370" ca="1" si="455">G368/G118</f>
        <v>8815.9944690549819</v>
      </c>
      <c r="H370" s="1122">
        <f t="shared" ca="1" si="455"/>
        <v>16353.493639173485</v>
      </c>
      <c r="I370" s="1122">
        <f t="shared" ca="1" si="455"/>
        <v>35509.07977190266</v>
      </c>
      <c r="J370" s="1122">
        <f t="shared" ca="1" si="455"/>
        <v>31574.146306527837</v>
      </c>
      <c r="K370" s="1122">
        <f t="shared" ca="1" si="455"/>
        <v>27580.457757199812</v>
      </c>
      <c r="L370" s="1122">
        <f t="shared" ca="1" si="455"/>
        <v>27498.882379045423</v>
      </c>
      <c r="M370" s="1122">
        <f t="shared" ca="1" si="455"/>
        <v>18583.189328840745</v>
      </c>
      <c r="O370" s="39">
        <f>ROW()</f>
        <v>370</v>
      </c>
      <c r="P370" s="1122">
        <f t="shared" ref="P370:V370" ca="1" si="456">P368/P118</f>
        <v>1493.4080917012614</v>
      </c>
      <c r="Q370" s="1122">
        <f t="shared" ca="1" si="456"/>
        <v>9294.2087030292041</v>
      </c>
      <c r="R370" s="1122">
        <f t="shared" ca="1" si="456"/>
        <v>20584.467766375601</v>
      </c>
      <c r="S370" s="1122">
        <f t="shared" ca="1" si="456"/>
        <v>14784.05672699599</v>
      </c>
      <c r="T370" s="1122">
        <f t="shared" ca="1" si="456"/>
        <v>10998.157942977472</v>
      </c>
      <c r="U370" s="1122">
        <f t="shared" ca="1" si="456"/>
        <v>7346.4920247583286</v>
      </c>
      <c r="V370" s="1122">
        <f t="shared" ca="1" si="456"/>
        <v>4066.8456930072066</v>
      </c>
      <c r="Y370" s="1122">
        <f t="shared" ref="Y370:AE370" ca="1" si="457">Y368/Y118</f>
        <v>2616.9344302851127</v>
      </c>
      <c r="Z370" s="1122">
        <f t="shared" ca="1" si="457"/>
        <v>1128.6481045617113</v>
      </c>
      <c r="AA370" s="1122">
        <f t="shared" ca="1" si="457"/>
        <v>4145.3917004291043</v>
      </c>
      <c r="AB370" s="1122">
        <f t="shared" ca="1" si="457"/>
        <v>7324.1574669854754</v>
      </c>
      <c r="AC370" s="1122">
        <f t="shared" ca="1" si="457"/>
        <v>7618.6124804852943</v>
      </c>
      <c r="AD370" s="1122">
        <f t="shared" ca="1" si="457"/>
        <v>10064.372776730343</v>
      </c>
      <c r="AE370" s="1122">
        <f t="shared" ca="1" si="457"/>
        <v>6068.9471790570542</v>
      </c>
      <c r="AH370" s="1122">
        <f t="shared" ref="AH370:AN370" si="458">AH368/AH118</f>
        <v>2926.0019936025728</v>
      </c>
      <c r="AI370" s="1122">
        <f t="shared" si="458"/>
        <v>2110.5799480857399</v>
      </c>
      <c r="AJ370" s="1122">
        <f t="shared" si="458"/>
        <v>3079.6540950297822</v>
      </c>
      <c r="AK370" s="1122">
        <f t="shared" si="458"/>
        <v>2677.1410158373301</v>
      </c>
      <c r="AL370" s="1122">
        <f t="shared" si="458"/>
        <v>3330.4891477011279</v>
      </c>
      <c r="AM370" s="1122">
        <f t="shared" si="458"/>
        <v>4107.6676928088182</v>
      </c>
      <c r="AN370" s="1122">
        <f t="shared" si="458"/>
        <v>4292.9418936041284</v>
      </c>
      <c r="AQ370" s="1122">
        <f t="shared" ref="AQ370:AW370" ca="1" si="459">AQ368/AQ118</f>
        <v>992.99125888989886</v>
      </c>
      <c r="AR370" s="1122">
        <f t="shared" ca="1" si="459"/>
        <v>2400.5676984371444</v>
      </c>
      <c r="AS370" s="1122">
        <f t="shared" ca="1" si="459"/>
        <v>4615.8947022660977</v>
      </c>
      <c r="AT370" s="1122">
        <f t="shared" ca="1" si="459"/>
        <v>4095.3554699155275</v>
      </c>
      <c r="AU370" s="1122">
        <f t="shared" ca="1" si="459"/>
        <v>3301.8271261025452</v>
      </c>
      <c r="AV370" s="1122">
        <f t="shared" ca="1" si="459"/>
        <v>3571.3933635401977</v>
      </c>
      <c r="AW370" s="1122">
        <f t="shared" ca="1" si="459"/>
        <v>2482.7882333733314</v>
      </c>
      <c r="AZ370" s="1122">
        <f t="shared" ref="AZ370:BF370" ca="1" si="460">AZ368/AZ118</f>
        <v>603.13146354129151</v>
      </c>
      <c r="BA370" s="1122">
        <f t="shared" ca="1" si="460"/>
        <v>1075.780214781134</v>
      </c>
      <c r="BB370" s="1122">
        <f t="shared" ca="1" si="460"/>
        <v>2351.6723442878238</v>
      </c>
      <c r="BC370" s="1122">
        <f t="shared" ca="1" si="460"/>
        <v>2052.058518564264</v>
      </c>
      <c r="BD370" s="1122">
        <f t="shared" ca="1" si="460"/>
        <v>1780.4151172204877</v>
      </c>
      <c r="BE370" s="1122">
        <f t="shared" ca="1" si="460"/>
        <v>1837.1706010172013</v>
      </c>
      <c r="BF370" s="1122">
        <f t="shared" ca="1" si="460"/>
        <v>1275.0637753808012</v>
      </c>
      <c r="BI370" s="1122">
        <f t="shared" ref="BI370:BO370" ca="1" si="461">BI368/BI118</f>
        <v>183.52723103484462</v>
      </c>
      <c r="BJ370" s="1122">
        <f t="shared" ca="1" si="461"/>
        <v>343.70897027855113</v>
      </c>
      <c r="BK370" s="1122">
        <f t="shared" ca="1" si="461"/>
        <v>731.99916351425134</v>
      </c>
      <c r="BL370" s="1122">
        <f t="shared" ca="1" si="461"/>
        <v>641.37710822925101</v>
      </c>
      <c r="BM370" s="1122">
        <f t="shared" ca="1" si="461"/>
        <v>550.95594271288621</v>
      </c>
      <c r="BN370" s="1122">
        <f t="shared" ca="1" si="461"/>
        <v>571.78592019053542</v>
      </c>
      <c r="BO370" s="1122">
        <f t="shared" ca="1" si="461"/>
        <v>396.60255441822261</v>
      </c>
    </row>
    <row r="371" spans="2:68" ht="13.2" customHeight="1">
      <c r="B371" s="280" t="s">
        <v>1342</v>
      </c>
      <c r="G371" s="576">
        <f t="shared" ref="G371:N371" ca="1" si="462">G368/G347</f>
        <v>0.88430557253685649</v>
      </c>
      <c r="H371" s="576">
        <f t="shared" ca="1" si="462"/>
        <v>0.67966219137583661</v>
      </c>
      <c r="I371" s="576">
        <f t="shared" ca="1" si="462"/>
        <v>0.76763304007471556</v>
      </c>
      <c r="J371" s="576">
        <f t="shared" ca="1" si="462"/>
        <v>0.7689901179657469</v>
      </c>
      <c r="K371" s="576">
        <f t="shared" ca="1" si="462"/>
        <v>0.83290685697876288</v>
      </c>
      <c r="L371" s="576">
        <f t="shared" ca="1" si="462"/>
        <v>0.76736262253402676</v>
      </c>
      <c r="M371" s="576">
        <f t="shared" ca="1" si="462"/>
        <v>0.745755043407339</v>
      </c>
      <c r="N371" s="576">
        <f t="shared" ca="1" si="462"/>
        <v>0.78493804860946781</v>
      </c>
      <c r="O371" s="39">
        <f>ROW()</f>
        <v>371</v>
      </c>
      <c r="P371" s="576">
        <f t="shared" ref="P371:W371" ca="1" si="463">P368/P347</f>
        <v>0.988126648197025</v>
      </c>
      <c r="Q371" s="576">
        <f t="shared" ca="1" si="463"/>
        <v>0.67833891389908973</v>
      </c>
      <c r="R371" s="576">
        <f t="shared" ca="1" si="463"/>
        <v>0.73249268993337735</v>
      </c>
      <c r="S371" s="576">
        <f t="shared" ca="1" si="463"/>
        <v>0.72979047804962716</v>
      </c>
      <c r="T371" s="576">
        <f t="shared" ca="1" si="463"/>
        <v>0.79581562958288421</v>
      </c>
      <c r="U371" s="576">
        <f t="shared" ca="1" si="463"/>
        <v>0.72080964496430266</v>
      </c>
      <c r="V371" s="576">
        <f t="shared" ca="1" si="463"/>
        <v>0.71747420869955936</v>
      </c>
      <c r="W371" s="576">
        <f t="shared" ca="1" si="463"/>
        <v>0.74803148424497401</v>
      </c>
      <c r="Y371" s="576">
        <f t="shared" ref="Y371:AF371" ca="1" si="464">Y368/Y347</f>
        <v>0.84569903742823527</v>
      </c>
      <c r="Z371" s="576">
        <f t="shared" ca="1" si="464"/>
        <v>0.60534436184203133</v>
      </c>
      <c r="AA371" s="576">
        <f t="shared" ca="1" si="464"/>
        <v>0.78810798100254686</v>
      </c>
      <c r="AB371" s="576">
        <f t="shared" ca="1" si="464"/>
        <v>0.78253113804708962</v>
      </c>
      <c r="AC371" s="576">
        <f t="shared" ca="1" si="464"/>
        <v>0.86195417111446193</v>
      </c>
      <c r="AD371" s="576">
        <f t="shared" ca="1" si="464"/>
        <v>0.77389335232674727</v>
      </c>
      <c r="AE371" s="576">
        <f t="shared" ca="1" si="464"/>
        <v>0.74449049273401358</v>
      </c>
      <c r="AF371" s="576">
        <f t="shared" ca="1" si="464"/>
        <v>0.79416709944085651</v>
      </c>
      <c r="AH371" s="576">
        <f t="shared" ref="AH371:AO371" si="465">AH368/AH347</f>
        <v>0.79099597029771596</v>
      </c>
      <c r="AI371" s="576">
        <f t="shared" si="465"/>
        <v>0.47202274286820672</v>
      </c>
      <c r="AJ371" s="576">
        <f t="shared" si="465"/>
        <v>0.5969938682423731</v>
      </c>
      <c r="AK371" s="576">
        <f t="shared" si="465"/>
        <v>0.58492942363007827</v>
      </c>
      <c r="AL371" s="576">
        <f t="shared" si="465"/>
        <v>0.6769222342350889</v>
      </c>
      <c r="AM371" s="576">
        <f t="shared" si="465"/>
        <v>0.61749392523328317</v>
      </c>
      <c r="AN371" s="576">
        <f t="shared" si="465"/>
        <v>0.6188695961021019</v>
      </c>
      <c r="AO371" s="576">
        <f t="shared" si="465"/>
        <v>0.64842701927443291</v>
      </c>
      <c r="AQ371" s="576">
        <f t="shared" ref="AQ371:AX371" ca="1" si="466">AQ368/AQ347</f>
        <v>1.0520859725271035</v>
      </c>
      <c r="AR371" s="576">
        <f t="shared" ca="1" si="466"/>
        <v>1.0520859725271035</v>
      </c>
      <c r="AS371" s="576">
        <f t="shared" ca="1" si="466"/>
        <v>1.0520859725271035</v>
      </c>
      <c r="AT371" s="576">
        <f t="shared" ca="1" si="466"/>
        <v>1.0520859725271035</v>
      </c>
      <c r="AU371" s="576">
        <f t="shared" ca="1" si="466"/>
        <v>1.0520859725271035</v>
      </c>
      <c r="AV371" s="576">
        <f t="shared" ca="1" si="466"/>
        <v>1.0520859725271035</v>
      </c>
      <c r="AW371" s="576">
        <f t="shared" ca="1" si="466"/>
        <v>1.0520859725271035</v>
      </c>
      <c r="AX371" s="576">
        <f t="shared" ca="1" si="466"/>
        <v>1.0520859725271035</v>
      </c>
      <c r="AZ371" s="576">
        <f t="shared" ref="AZ371:BG371" ca="1" si="467">AZ368/AZ347</f>
        <v>1.0873460553972687</v>
      </c>
      <c r="BA371" s="576">
        <f t="shared" ca="1" si="467"/>
        <v>0.8022520187104597</v>
      </c>
      <c r="BB371" s="576">
        <f t="shared" ca="1" si="467"/>
        <v>0.91205733974786818</v>
      </c>
      <c r="BC371" s="576">
        <f t="shared" ca="1" si="467"/>
        <v>0.89701428973668917</v>
      </c>
      <c r="BD371" s="576">
        <f t="shared" ca="1" si="467"/>
        <v>0.96531302442684264</v>
      </c>
      <c r="BE371" s="576">
        <f t="shared" ca="1" si="467"/>
        <v>0.92090116786376841</v>
      </c>
      <c r="BF371" s="576">
        <f t="shared" ca="1" si="467"/>
        <v>0.91937661515666325</v>
      </c>
      <c r="BG371" s="576">
        <f t="shared" ca="1" si="467"/>
        <v>0.93642722378492615</v>
      </c>
      <c r="BI371" s="576">
        <f t="shared" ref="BI371:BP371" ca="1" si="468">BI368/BI347</f>
        <v>1.1056392650856108</v>
      </c>
      <c r="BJ371" s="576">
        <f t="shared" ca="1" si="468"/>
        <v>0.85651559650876463</v>
      </c>
      <c r="BK371" s="576">
        <f t="shared" ca="1" si="468"/>
        <v>0.94866539419619222</v>
      </c>
      <c r="BL371" s="576">
        <f t="shared" ca="1" si="468"/>
        <v>0.93687191111083001</v>
      </c>
      <c r="BM371" s="576">
        <f t="shared" ca="1" si="468"/>
        <v>0.99820768140532545</v>
      </c>
      <c r="BN371" s="576">
        <f t="shared" ca="1" si="468"/>
        <v>0.95775435748579563</v>
      </c>
      <c r="BO371" s="576">
        <f t="shared" ca="1" si="468"/>
        <v>0.9555957189496852</v>
      </c>
      <c r="BP371" s="576">
        <f t="shared" ca="1" si="468"/>
        <v>0.97157129051414326</v>
      </c>
    </row>
    <row r="372" spans="2:68" ht="13.2" customHeight="1">
      <c r="B372" s="6"/>
      <c r="G372" s="576"/>
      <c r="H372" s="576"/>
      <c r="I372" s="576"/>
      <c r="J372" s="576"/>
      <c r="K372" s="576"/>
      <c r="L372" s="576"/>
      <c r="M372" s="576"/>
      <c r="N372" s="576"/>
      <c r="O372" s="39">
        <f>ROW()</f>
        <v>372</v>
      </c>
      <c r="P372" s="12"/>
      <c r="Q372" s="12"/>
      <c r="R372" s="12"/>
      <c r="S372" s="12"/>
      <c r="T372" s="12"/>
      <c r="U372" s="12"/>
      <c r="V372" s="12"/>
      <c r="W372" s="12"/>
      <c r="Y372" s="12"/>
      <c r="Z372" s="12"/>
      <c r="AA372" s="12"/>
      <c r="AB372" s="12"/>
      <c r="AC372" s="12"/>
      <c r="AD372" s="12"/>
      <c r="AE372" s="12"/>
      <c r="AF372" s="12"/>
      <c r="AH372" s="12"/>
      <c r="AI372" s="12"/>
      <c r="AJ372" s="12"/>
      <c r="AK372" s="12"/>
      <c r="AL372" s="12"/>
      <c r="AM372" s="12"/>
      <c r="AN372" s="12"/>
      <c r="AO372" s="12"/>
      <c r="AQ372" s="12"/>
      <c r="AR372" s="12"/>
      <c r="AS372" s="12"/>
      <c r="AT372" s="12"/>
      <c r="AU372" s="12"/>
      <c r="AV372" s="12"/>
      <c r="AW372" s="12"/>
      <c r="AX372" s="12"/>
      <c r="AZ372" s="12"/>
      <c r="BA372" s="12"/>
      <c r="BB372" s="12"/>
      <c r="BC372" s="12"/>
      <c r="BD372" s="12"/>
      <c r="BE372" s="12"/>
      <c r="BF372" s="12"/>
      <c r="BG372" s="12"/>
      <c r="BI372" s="12"/>
      <c r="BJ372" s="12"/>
      <c r="BK372" s="12"/>
      <c r="BL372" s="12"/>
      <c r="BM372" s="12"/>
      <c r="BN372" s="12"/>
      <c r="BO372" s="12"/>
      <c r="BP372" s="12"/>
    </row>
    <row r="373" spans="2:68" ht="13.2" customHeight="1">
      <c r="B373" s="6" t="s">
        <v>1343</v>
      </c>
      <c r="G373" s="576"/>
      <c r="H373" s="576"/>
      <c r="I373" s="576"/>
      <c r="J373" s="576"/>
      <c r="K373" s="576"/>
      <c r="L373" s="576"/>
      <c r="M373" s="576"/>
      <c r="N373" s="576"/>
      <c r="O373" s="39">
        <f>ROW()</f>
        <v>373</v>
      </c>
      <c r="P373" s="12"/>
      <c r="Q373" s="12"/>
      <c r="R373" s="12"/>
      <c r="S373" s="12"/>
      <c r="T373" s="12"/>
      <c r="U373" s="12"/>
      <c r="V373" s="12"/>
      <c r="W373" s="12"/>
      <c r="Y373" s="12"/>
      <c r="Z373" s="12"/>
      <c r="AA373" s="12"/>
      <c r="AB373" s="12"/>
      <c r="AC373" s="12"/>
      <c r="AD373" s="12"/>
      <c r="AE373" s="12"/>
      <c r="AF373" s="12"/>
      <c r="AH373" s="12"/>
      <c r="AI373" s="12"/>
      <c r="AJ373" s="12"/>
      <c r="AK373" s="12"/>
      <c r="AL373" s="12"/>
      <c r="AM373" s="12"/>
      <c r="AN373" s="12"/>
      <c r="AO373" s="12"/>
      <c r="AQ373" s="12"/>
      <c r="AR373" s="12"/>
      <c r="AS373" s="12"/>
      <c r="AT373" s="12"/>
      <c r="AU373" s="12"/>
      <c r="AV373" s="12"/>
      <c r="AW373" s="12"/>
      <c r="AX373" s="12"/>
      <c r="AZ373" s="12"/>
      <c r="BA373" s="12"/>
      <c r="BB373" s="12"/>
      <c r="BC373" s="12"/>
      <c r="BD373" s="12"/>
      <c r="BE373" s="12"/>
      <c r="BF373" s="12"/>
      <c r="BG373" s="12"/>
      <c r="BI373" s="12"/>
      <c r="BJ373" s="12"/>
      <c r="BK373" s="12"/>
      <c r="BL373" s="12"/>
      <c r="BM373" s="12"/>
      <c r="BN373" s="12"/>
      <c r="BO373" s="12"/>
      <c r="BP373" s="12"/>
    </row>
    <row r="374" spans="2:68" s="1122" customFormat="1" ht="13.2" customHeight="1">
      <c r="B374" s="1123" t="s">
        <v>2295</v>
      </c>
      <c r="G374" s="1122">
        <f t="shared" ref="G374:M374" ca="1" si="469">P374+Y374+AH374+AQ374+AZ374+BI374</f>
        <v>-9755.9588505794545</v>
      </c>
      <c r="H374" s="1122">
        <f t="shared" ca="1" si="469"/>
        <v>-10613.84104536367</v>
      </c>
      <c r="I374" s="1122">
        <f t="shared" ca="1" si="469"/>
        <v>-42576.057366759786</v>
      </c>
      <c r="J374" s="1122">
        <f t="shared" ca="1" si="469"/>
        <v>-12578.310637071627</v>
      </c>
      <c r="K374" s="1122">
        <f t="shared" ca="1" si="469"/>
        <v>-29595.074252308332</v>
      </c>
      <c r="L374" s="1122">
        <f t="shared" ca="1" si="469"/>
        <v>-67896.589159573021</v>
      </c>
      <c r="M374" s="1122">
        <f t="shared" ca="1" si="469"/>
        <v>-26550.362103269596</v>
      </c>
      <c r="N374" s="1122">
        <f ca="1">SUM(G374:M374)</f>
        <v>-199566.19341492548</v>
      </c>
      <c r="O374" s="39">
        <f>ROW()</f>
        <v>374</v>
      </c>
      <c r="P374" s="1122">
        <f t="shared" ref="P374:V374" ca="1" si="470">P366*$I$85</f>
        <v>-134.58618657739493</v>
      </c>
      <c r="Q374" s="1122">
        <f t="shared" ca="1" si="470"/>
        <v>-5509.0184357122826</v>
      </c>
      <c r="R374" s="1122">
        <f t="shared" ca="1" si="470"/>
        <v>-28190.531849388168</v>
      </c>
      <c r="S374" s="1122">
        <f t="shared" ca="1" si="470"/>
        <v>-6842.3626726483635</v>
      </c>
      <c r="T374" s="1122">
        <f t="shared" ca="1" si="470"/>
        <v>-14109.121961526971</v>
      </c>
      <c r="U374" s="1122">
        <f t="shared" ca="1" si="470"/>
        <v>-21341.31109705921</v>
      </c>
      <c r="V374" s="1122">
        <f t="shared" ca="1" si="470"/>
        <v>-6005.3838011624593</v>
      </c>
      <c r="W374" s="1122">
        <f ca="1">SUM(P374:V374)</f>
        <v>-82132.316004074863</v>
      </c>
      <c r="Y374" s="1122">
        <f t="shared" ref="Y374:AE374" ca="1" si="471">Y366*$J$85</f>
        <v>-3581.0212945978246</v>
      </c>
      <c r="Z374" s="1122">
        <f t="shared" ca="1" si="471"/>
        <v>-919.78088431800165</v>
      </c>
      <c r="AA374" s="1122">
        <f t="shared" ca="1" si="471"/>
        <v>-4179.5133318303324</v>
      </c>
      <c r="AB374" s="1122">
        <f t="shared" ca="1" si="471"/>
        <v>-2544.2696649174659</v>
      </c>
      <c r="AC374" s="1122">
        <f t="shared" ca="1" si="471"/>
        <v>-6100.7749023737642</v>
      </c>
      <c r="AD374" s="1122">
        <f t="shared" ca="1" si="471"/>
        <v>-22053.635516819071</v>
      </c>
      <c r="AE374" s="1122">
        <f t="shared" ca="1" si="471"/>
        <v>-7810.7463349678765</v>
      </c>
      <c r="AF374" s="1122">
        <f ca="1">SUM(Y374:AE374)</f>
        <v>-47189.741929824333</v>
      </c>
      <c r="AH374" s="1122">
        <f t="shared" ref="AH374:AN374" si="472">AH366*$K$85</f>
        <v>-7422.0903939079844</v>
      </c>
      <c r="AI374" s="1122">
        <f t="shared" si="472"/>
        <v>-3777.2356651342307</v>
      </c>
      <c r="AJ374" s="1122">
        <f t="shared" si="472"/>
        <v>-9978.9526158598856</v>
      </c>
      <c r="AK374" s="1122">
        <f t="shared" si="472"/>
        <v>-3039.552929503252</v>
      </c>
      <c r="AL374" s="1122">
        <f t="shared" si="472"/>
        <v>-10173.169686678082</v>
      </c>
      <c r="AM374" s="1122">
        <f t="shared" si="472"/>
        <v>-24427.115314982559</v>
      </c>
      <c r="AN374" s="1122">
        <f t="shared" si="472"/>
        <v>-12690.265126933356</v>
      </c>
      <c r="AO374" s="1122">
        <f>SUM(AH374:AN374)</f>
        <v>-71508.381732999347</v>
      </c>
      <c r="AQ374" s="1122">
        <f t="shared" ref="AQ374:AW374" ca="1" si="473">AQ366*$L$85</f>
        <v>589.92420901831599</v>
      </c>
      <c r="AR374" s="1122">
        <f t="shared" ca="1" si="473"/>
        <v>237.69141772684898</v>
      </c>
      <c r="AS374" s="1122">
        <f t="shared" ca="1" si="473"/>
        <v>1371.1238677923184</v>
      </c>
      <c r="AT374" s="1122">
        <f t="shared" ca="1" si="473"/>
        <v>405.50026911274608</v>
      </c>
      <c r="AU374" s="1122">
        <f t="shared" ca="1" si="473"/>
        <v>1307.7172890449617</v>
      </c>
      <c r="AV374" s="1122">
        <f t="shared" ca="1" si="473"/>
        <v>2121.7220053226251</v>
      </c>
      <c r="AW374" s="1122">
        <f t="shared" ca="1" si="473"/>
        <v>737.49737050562658</v>
      </c>
      <c r="AX374" s="1122">
        <f ca="1">SUM(AQ374:AW374)</f>
        <v>6771.1764285234431</v>
      </c>
      <c r="AZ374" s="1122">
        <f t="shared" ref="AZ374:BF374" ca="1" si="474">AZ366*$L$85</f>
        <v>581.39158879349793</v>
      </c>
      <c r="BA374" s="1122">
        <f t="shared" ca="1" si="474"/>
        <v>-530.340493567458</v>
      </c>
      <c r="BB374" s="1122">
        <f t="shared" ca="1" si="474"/>
        <v>-1360.5218421149505</v>
      </c>
      <c r="BC374" s="1122">
        <f t="shared" ca="1" si="474"/>
        <v>-471.19138781669369</v>
      </c>
      <c r="BD374" s="1122">
        <f t="shared" ca="1" si="474"/>
        <v>-511.81089755025778</v>
      </c>
      <c r="BE374" s="1122">
        <f t="shared" ca="1" si="474"/>
        <v>-1893.5979761551575</v>
      </c>
      <c r="BF374" s="1122">
        <f t="shared" ca="1" si="474"/>
        <v>-670.88909442061708</v>
      </c>
      <c r="BG374" s="1122">
        <f ca="1">SUM(AZ374:BF374)</f>
        <v>-4856.9601028316365</v>
      </c>
      <c r="BI374" s="1122">
        <f t="shared" ref="BI374:BO374" ca="1" si="475">BI366*$L$85</f>
        <v>210.42322669193791</v>
      </c>
      <c r="BJ374" s="1122">
        <f t="shared" ca="1" si="475"/>
        <v>-115.15698435854461</v>
      </c>
      <c r="BK374" s="1122">
        <f t="shared" ca="1" si="475"/>
        <v>-237.6615953587733</v>
      </c>
      <c r="BL374" s="1122">
        <f t="shared" ca="1" si="475"/>
        <v>-86.434251298596507</v>
      </c>
      <c r="BM374" s="1122">
        <f t="shared" ca="1" si="475"/>
        <v>-7.9140932242116548</v>
      </c>
      <c r="BN374" s="1122">
        <f t="shared" ca="1" si="475"/>
        <v>-302.65125987964655</v>
      </c>
      <c r="BO374" s="1122">
        <f t="shared" ca="1" si="475"/>
        <v>-110.57511629091007</v>
      </c>
      <c r="BP374" s="1122">
        <f ca="1">SUM(BI374:BO374)</f>
        <v>-649.97007371874474</v>
      </c>
    </row>
    <row r="375" spans="2:68" ht="13.2" customHeight="1">
      <c r="B375" s="309" t="str">
        <f>CONCATENATE("Calculated as product of each period's changes in daily cordon entries in Row ",O366, " and each trip type's per-entry CBD miles in Row ",O85,".")</f>
        <v>Calculated as product of each period's changes in daily cordon entries in Row 366 and each trip type's per-entry CBD miles in Row 85.</v>
      </c>
      <c r="G375" s="1122"/>
      <c r="H375" s="1122"/>
      <c r="I375" s="1122"/>
      <c r="J375" s="1122"/>
      <c r="K375" s="1122"/>
      <c r="L375" s="1122"/>
      <c r="M375" s="1122"/>
      <c r="N375" s="1122"/>
      <c r="O375" s="39">
        <f>ROW()</f>
        <v>375</v>
      </c>
      <c r="P375" s="12"/>
      <c r="Q375" s="12"/>
      <c r="R375" s="12"/>
      <c r="S375" s="12"/>
      <c r="T375" s="12"/>
      <c r="U375" s="12"/>
      <c r="V375" s="12"/>
      <c r="W375" s="12"/>
      <c r="Y375" s="12"/>
      <c r="Z375" s="12"/>
      <c r="AA375" s="12"/>
      <c r="AB375" s="12"/>
      <c r="AC375" s="12"/>
      <c r="AD375" s="12"/>
      <c r="AE375" s="12"/>
      <c r="AF375" s="12"/>
    </row>
    <row r="376" spans="2:68" s="1122" customFormat="1" ht="13.2" customHeight="1">
      <c r="B376" s="1123" t="s">
        <v>2296</v>
      </c>
      <c r="G376" s="1122">
        <f t="shared" ref="G376:M376" ca="1" si="476">P376+Y376+AH376+AQ376+AZ376+BI376</f>
        <v>-20434.312518692397</v>
      </c>
      <c r="H376" s="1122">
        <f t="shared" ca="1" si="476"/>
        <v>-7524.3485129272703</v>
      </c>
      <c r="I376" s="1122">
        <f t="shared" ca="1" si="476"/>
        <v>-31464.070800139645</v>
      </c>
      <c r="J376" s="1122">
        <f t="shared" ca="1" si="476"/>
        <v>-9527.9636173782183</v>
      </c>
      <c r="K376" s="1122">
        <f t="shared" ca="1" si="476"/>
        <v>-33512.088945155534</v>
      </c>
      <c r="L376" s="1122">
        <f t="shared" ca="1" si="476"/>
        <v>-68357.687369669191</v>
      </c>
      <c r="M376" s="1122">
        <f t="shared" ca="1" si="476"/>
        <v>-28745.721650963245</v>
      </c>
      <c r="N376" s="1122">
        <f ca="1">SUM(G376:M376)</f>
        <v>-199566.19341492548</v>
      </c>
      <c r="O376" s="39">
        <f>ROW()</f>
        <v>376</v>
      </c>
      <c r="P376" s="1122">
        <f t="shared" ref="P376:V376" ca="1" si="477">$W$374*P141</f>
        <v>-8656.8599009572827</v>
      </c>
      <c r="Q376" s="1122">
        <f t="shared" ca="1" si="477"/>
        <v>-2361.6336238209328</v>
      </c>
      <c r="R376" s="1122">
        <f t="shared" ca="1" si="477"/>
        <v>-13618.034342847619</v>
      </c>
      <c r="S376" s="1122">
        <f t="shared" ca="1" si="477"/>
        <v>-4150.7491137143124</v>
      </c>
      <c r="T376" s="1122">
        <f t="shared" ca="1" si="477"/>
        <v>-14942.458069037395</v>
      </c>
      <c r="U376" s="1122">
        <f t="shared" ca="1" si="477"/>
        <v>-27983.341034230769</v>
      </c>
      <c r="V376" s="1122">
        <f t="shared" ca="1" si="477"/>
        <v>-10419.23991946655</v>
      </c>
      <c r="W376" s="1122">
        <f ca="1">SUM(P376:V376)</f>
        <v>-82132.316004074848</v>
      </c>
      <c r="X376" s="1134"/>
      <c r="Y376" s="1122">
        <f ca="1">$AF$374*Y141</f>
        <v>-4973.8641806782971</v>
      </c>
      <c r="Z376" s="1122">
        <f t="shared" ref="Z376:AE376" ca="1" si="478">$AF$374*Z141</f>
        <v>-1356.8944194314026</v>
      </c>
      <c r="AA376" s="1122">
        <f t="shared" ca="1" si="478"/>
        <v>-7824.3443932420087</v>
      </c>
      <c r="AB376" s="1122">
        <f t="shared" ca="1" si="478"/>
        <v>-2384.8442247982825</v>
      </c>
      <c r="AC376" s="1122">
        <f t="shared" ca="1" si="478"/>
        <v>-8585.3020392133094</v>
      </c>
      <c r="AD376" s="1122">
        <f t="shared" ca="1" si="478"/>
        <v>-16078.039753245212</v>
      </c>
      <c r="AE376" s="1122">
        <f t="shared" ca="1" si="478"/>
        <v>-5986.4529192158197</v>
      </c>
      <c r="AF376" s="1122">
        <f ca="1">SUM(Y376:AE376)</f>
        <v>-47189.741929824333</v>
      </c>
      <c r="AH376" s="1122">
        <f t="shared" ref="AH376:AO376" si="479">AH374</f>
        <v>-7422.0903939079844</v>
      </c>
      <c r="AI376" s="1122">
        <f t="shared" si="479"/>
        <v>-3777.2356651342307</v>
      </c>
      <c r="AJ376" s="1122">
        <f t="shared" si="479"/>
        <v>-9978.9526158598856</v>
      </c>
      <c r="AK376" s="1122">
        <f t="shared" si="479"/>
        <v>-3039.552929503252</v>
      </c>
      <c r="AL376" s="1122">
        <f t="shared" si="479"/>
        <v>-10173.169686678082</v>
      </c>
      <c r="AM376" s="1122">
        <f t="shared" si="479"/>
        <v>-24427.115314982559</v>
      </c>
      <c r="AN376" s="1122">
        <f t="shared" si="479"/>
        <v>-12690.265126933356</v>
      </c>
      <c r="AO376" s="1122">
        <f t="shared" si="479"/>
        <v>-71508.381732999347</v>
      </c>
      <c r="AQ376" s="1122">
        <f t="shared" ref="AQ376:AW376" ca="1" si="480">$AX$374*AQ141</f>
        <v>1198.9400272981966</v>
      </c>
      <c r="AR376" s="1122">
        <f t="shared" ca="1" si="480"/>
        <v>129.76153343825146</v>
      </c>
      <c r="AS376" s="1122">
        <f t="shared" ca="1" si="480"/>
        <v>870.34285505584899</v>
      </c>
      <c r="AT376" s="1122">
        <f t="shared" ca="1" si="480"/>
        <v>325.48827577632812</v>
      </c>
      <c r="AU376" s="1122">
        <f t="shared" ca="1" si="480"/>
        <v>1190.7250928541198</v>
      </c>
      <c r="AV376" s="1122">
        <f t="shared" ca="1" si="480"/>
        <v>2007.0775716524838</v>
      </c>
      <c r="AW376" s="1122">
        <f t="shared" ca="1" si="480"/>
        <v>1048.8410724482139</v>
      </c>
      <c r="AX376" s="1122">
        <f ca="1">SUM(AQ376:AW376)</f>
        <v>6771.1764285234422</v>
      </c>
      <c r="AZ376" s="1122">
        <f t="shared" ref="AZ376:BF376" ca="1" si="481">$BG$374*AZ141</f>
        <v>-511.93032414508446</v>
      </c>
      <c r="BA376" s="1122">
        <f t="shared" ca="1" si="481"/>
        <v>-139.65709049084754</v>
      </c>
      <c r="BB376" s="1122">
        <f t="shared" ca="1" si="481"/>
        <v>-805.31333706601413</v>
      </c>
      <c r="BC376" s="1122">
        <f t="shared" ca="1" si="481"/>
        <v>-245.45786388361412</v>
      </c>
      <c r="BD376" s="1122">
        <f t="shared" ca="1" si="481"/>
        <v>-883.6341918806794</v>
      </c>
      <c r="BE376" s="1122">
        <f t="shared" ca="1" si="481"/>
        <v>-1654.8172212804407</v>
      </c>
      <c r="BF376" s="1122">
        <f t="shared" ca="1" si="481"/>
        <v>-616.15007408495603</v>
      </c>
      <c r="BG376" s="1122">
        <f ca="1">SUM(AZ376:BF376)</f>
        <v>-4856.9601028316365</v>
      </c>
      <c r="BI376" s="1122">
        <f t="shared" ref="BI376:BO376" ca="1" si="482">$BP$374*BI141</f>
        <v>-68.507746301941495</v>
      </c>
      <c r="BJ376" s="1122">
        <f t="shared" ca="1" si="482"/>
        <v>-18.689247488106897</v>
      </c>
      <c r="BK376" s="1122">
        <f t="shared" ca="1" si="482"/>
        <v>-107.76896617996162</v>
      </c>
      <c r="BL376" s="1122">
        <f t="shared" ca="1" si="482"/>
        <v>-32.84776125508327</v>
      </c>
      <c r="BM376" s="1122">
        <f t="shared" ca="1" si="482"/>
        <v>-118.25005120018331</v>
      </c>
      <c r="BN376" s="1122">
        <f t="shared" ca="1" si="482"/>
        <v>-221.45161758269867</v>
      </c>
      <c r="BO376" s="1122">
        <f t="shared" ca="1" si="482"/>
        <v>-82.454683710769459</v>
      </c>
      <c r="BP376" s="1122">
        <f ca="1">SUM(BI376:BO376)</f>
        <v>-649.97007371874474</v>
      </c>
    </row>
    <row r="377" spans="2:68" ht="13.2" customHeight="1">
      <c r="B377" s="309" t="s">
        <v>2742</v>
      </c>
      <c r="N377" s="6"/>
      <c r="O377" s="39">
        <f>ROW()</f>
        <v>377</v>
      </c>
      <c r="P377" s="12"/>
      <c r="Q377" s="12"/>
      <c r="R377" s="12"/>
      <c r="S377" s="12"/>
      <c r="T377" s="12"/>
      <c r="U377" s="12"/>
      <c r="V377" s="12"/>
      <c r="W377" s="12"/>
      <c r="Y377" s="12"/>
      <c r="Z377" s="12"/>
      <c r="AA377" s="12"/>
      <c r="AB377" s="12"/>
      <c r="AC377" s="12"/>
      <c r="AD377" s="12"/>
      <c r="AE377" s="12"/>
      <c r="AF377" s="12"/>
      <c r="AH377" s="282" t="str">
        <f>CONCATENATE("Figures in preceding row are made equal to corresponding figues in row ",O374,", since thru-trips leave cordon shortly after entering.")</f>
        <v>Figures in preceding row are made equal to corresponding figues in row 374, since thru-trips leave cordon shortly after entering.</v>
      </c>
      <c r="AI377" s="12"/>
      <c r="AJ377" s="12"/>
      <c r="AK377" s="12"/>
      <c r="AL377" s="12"/>
      <c r="AM377" s="12"/>
      <c r="AN377" s="12"/>
      <c r="AO377" s="12"/>
      <c r="AQ377" s="1"/>
      <c r="AR377" s="1926"/>
      <c r="AS377" s="1927"/>
      <c r="AT377" s="3215" t="s">
        <v>5620</v>
      </c>
      <c r="AU377" s="1928">
        <f>Taxis!$L$302</f>
        <v>7.2289156626506026</v>
      </c>
      <c r="AV377" s="265" t="str">
        <f>CONCATENATE("(Taxi worksheet, Row ",O251, ")")</f>
        <v>(Taxi worksheet, Row 251)</v>
      </c>
      <c r="AW377" s="202"/>
      <c r="AX377" s="202"/>
    </row>
    <row r="378" spans="2:68" ht="13.2" customHeight="1">
      <c r="B378" s="319" t="str">
        <f>CONCATENATE("(i) total change in each trip type's cordon VMT due to change in number of inbound entries, shown in Row ",O374, ", and")</f>
        <v>(i) total change in each trip type's cordon VMT due to change in number of inbound entries, shown in Row 374, and</v>
      </c>
      <c r="N378" s="6"/>
      <c r="O378" s="39">
        <f>ROW()</f>
        <v>378</v>
      </c>
      <c r="P378" s="12"/>
      <c r="Q378" s="12"/>
      <c r="R378" s="12"/>
      <c r="S378" s="12"/>
      <c r="T378" s="12"/>
      <c r="U378" s="12"/>
      <c r="V378" s="12"/>
      <c r="W378" s="12"/>
      <c r="Y378" s="12"/>
      <c r="Z378" s="12"/>
      <c r="AA378" s="12"/>
      <c r="AB378" s="12"/>
      <c r="AC378" s="12"/>
      <c r="AD378" s="12"/>
      <c r="AE378" s="12"/>
      <c r="AF378" s="12"/>
      <c r="AH378" s="12"/>
      <c r="AI378" s="12"/>
      <c r="AJ378" s="12"/>
      <c r="AK378" s="12"/>
      <c r="AL378" s="12"/>
      <c r="AM378" s="12"/>
      <c r="AN378" s="12"/>
      <c r="AO378" s="12"/>
      <c r="AQ378" s="202"/>
      <c r="AR378" s="1930"/>
      <c r="AS378" s="1931"/>
      <c r="AT378" s="1929" t="s">
        <v>3171</v>
      </c>
      <c r="AU378" s="1932">
        <f>Taxis!$L$126</f>
        <v>3.19</v>
      </c>
      <c r="AV378" s="265" t="str">
        <f>CONCATENATE("(Taxi worksheet, Row ",O133, ")")</f>
        <v>(Taxi worksheet, Row 133)</v>
      </c>
      <c r="AW378" s="202"/>
      <c r="AX378" s="202"/>
    </row>
    <row r="379" spans="2:68" ht="13.2" customHeight="1">
      <c r="B379" s="319" t="str">
        <f>CONCATENATE("(ii) each period's share of 24-h traffic volume for that trip type, shown in row ",O141, ".")</f>
        <v>(ii) each period's share of 24-h traffic volume for that trip type, shown in row 141.</v>
      </c>
      <c r="N379" s="6"/>
      <c r="O379" s="39">
        <f>ROW()</f>
        <v>379</v>
      </c>
      <c r="P379" s="12"/>
      <c r="Q379" s="12"/>
      <c r="R379" s="12"/>
      <c r="S379" s="12"/>
      <c r="T379" s="12"/>
      <c r="U379" s="12"/>
      <c r="V379" s="12"/>
      <c r="W379" s="12"/>
      <c r="Y379" s="12"/>
      <c r="Z379" s="12"/>
      <c r="AA379" s="12"/>
      <c r="AB379" s="12"/>
      <c r="AC379" s="12"/>
      <c r="AD379" s="12"/>
      <c r="AE379" s="12"/>
      <c r="AF379" s="12"/>
      <c r="AH379" s="12"/>
      <c r="AI379" s="12"/>
      <c r="AJ379" s="12"/>
      <c r="AK379" s="12"/>
      <c r="AL379" s="12"/>
      <c r="AM379" s="12"/>
      <c r="AN379" s="12"/>
      <c r="AO379" s="12"/>
      <c r="AQ379" s="202" t="str">
        <f>CONCATENATE("Shown directly below: Addit'l change to in-cordon VMT beyond entries in Rows ",O374," and ",O376, " (to reflect in-cordon taxi driving).")</f>
        <v>Shown directly below: Addit'l change to in-cordon VMT beyond entries in Rows 374 and 376 (to reflect in-cordon taxi driving).</v>
      </c>
      <c r="AR379" s="202"/>
      <c r="AS379" s="202"/>
      <c r="AT379" s="202"/>
      <c r="AU379" s="202"/>
      <c r="AV379" s="202"/>
      <c r="AW379" s="202"/>
      <c r="AX379" s="202"/>
    </row>
    <row r="380" spans="2:68" ht="13.2" customHeight="1">
      <c r="B380" s="4149" t="s">
        <v>2822</v>
      </c>
      <c r="C380" s="4149"/>
      <c r="D380" s="4149"/>
      <c r="E380" s="4149"/>
      <c r="F380" s="4149"/>
      <c r="G380" s="4149"/>
      <c r="H380" s="4149"/>
      <c r="I380" s="4149"/>
      <c r="J380" s="4149"/>
      <c r="K380" s="4149"/>
      <c r="L380" s="4149"/>
      <c r="M380" s="4149"/>
      <c r="N380" s="4149"/>
      <c r="O380" s="39">
        <f>ROW()</f>
        <v>380</v>
      </c>
      <c r="P380" s="12"/>
      <c r="Q380" s="12"/>
      <c r="R380" s="12"/>
      <c r="S380" s="12"/>
      <c r="T380" s="12"/>
      <c r="U380" s="12"/>
      <c r="V380" s="12"/>
      <c r="W380" s="12"/>
      <c r="Y380" s="12"/>
      <c r="Z380" s="12"/>
      <c r="AA380" s="12"/>
      <c r="AB380" s="12"/>
      <c r="AC380" s="12"/>
      <c r="AD380" s="12"/>
      <c r="AE380" s="12"/>
      <c r="AF380" s="12"/>
      <c r="AH380" s="12"/>
      <c r="AI380" s="12"/>
      <c r="AJ380" s="12"/>
      <c r="AK380" s="12"/>
      <c r="AL380" s="12"/>
      <c r="AM380" s="12"/>
      <c r="AN380" s="12"/>
      <c r="AO380" s="12"/>
      <c r="AQ380" s="1552">
        <f t="shared" ref="AQ380:AW380" ca="1" si="483">(AQ147/$AX$147)*$AX$380</f>
        <v>8253.7680786111105</v>
      </c>
      <c r="AR380" s="1552">
        <f t="shared" ca="1" si="483"/>
        <v>1102.9046071398554</v>
      </c>
      <c r="AS380" s="1552">
        <f t="shared" ca="1" si="483"/>
        <v>7128.4332131314986</v>
      </c>
      <c r="AT380" s="1552">
        <f t="shared" ca="1" si="483"/>
        <v>2536.5404826967315</v>
      </c>
      <c r="AU380" s="1552">
        <f t="shared" ca="1" si="483"/>
        <v>9067.5066750727474</v>
      </c>
      <c r="AV380" s="1552">
        <f t="shared" ca="1" si="483"/>
        <v>15184.587545487351</v>
      </c>
      <c r="AW380" s="1552">
        <f t="shared" ca="1" si="483"/>
        <v>7487.4213787590534</v>
      </c>
      <c r="AX380" s="2008">
        <f ca="1">Taxis!L265</f>
        <v>50761.161980898702</v>
      </c>
    </row>
    <row r="381" spans="2:68" ht="13.2" customHeight="1">
      <c r="B381" s="4149"/>
      <c r="C381" s="4149"/>
      <c r="D381" s="4149"/>
      <c r="E381" s="4149"/>
      <c r="F381" s="4149"/>
      <c r="G381" s="4149"/>
      <c r="H381" s="4149"/>
      <c r="I381" s="4149"/>
      <c r="J381" s="4149"/>
      <c r="K381" s="4149"/>
      <c r="L381" s="4149"/>
      <c r="M381" s="4149"/>
      <c r="N381" s="4149"/>
      <c r="O381" s="39">
        <f>ROW()</f>
        <v>381</v>
      </c>
      <c r="P381" s="12"/>
      <c r="Q381" s="12"/>
      <c r="R381" s="12"/>
      <c r="S381" s="12"/>
      <c r="T381" s="12"/>
      <c r="U381" s="12"/>
      <c r="V381" s="12"/>
      <c r="W381" s="12"/>
      <c r="Y381" s="12"/>
      <c r="Z381" s="12"/>
      <c r="AA381" s="12"/>
      <c r="AB381" s="12"/>
      <c r="AC381" s="12"/>
      <c r="AD381" s="12"/>
      <c r="AE381" s="12"/>
      <c r="AF381" s="12"/>
      <c r="AH381" s="12"/>
      <c r="AI381" s="12"/>
      <c r="AJ381" s="12"/>
      <c r="AK381" s="12"/>
      <c r="AL381" s="12"/>
      <c r="AM381" s="12"/>
      <c r="AN381" s="12"/>
      <c r="AO381" s="12"/>
      <c r="AQ381" s="2009" t="str">
        <f>CONCATENATE("Figs. in Row ",O380, " start w/ last column, which is taken directly from 'Taxi' wksht, Row ",Taxis!O265, ". Other columns are prorated from figures in Row ",O147, ".")</f>
        <v>Figs. in Row 380 start w/ last column, which is taken directly from 'Taxi' wksht, Row 265. Other columns are prorated from figures in Row 147.</v>
      </c>
      <c r="AR381" s="2010"/>
      <c r="AS381" s="2010"/>
      <c r="AT381" s="2010"/>
      <c r="AU381" s="2010"/>
      <c r="AV381" s="2010"/>
      <c r="AW381" s="2010"/>
      <c r="AX381" s="2011"/>
    </row>
    <row r="382" spans="2:68" s="1122" customFormat="1" ht="13.2" customHeight="1">
      <c r="B382" s="1123" t="s">
        <v>2294</v>
      </c>
      <c r="C382" s="1193"/>
      <c r="D382" s="1193"/>
      <c r="E382" s="4349" t="str">
        <f>CONCATENATE("Differs slightly from Rows ",O374, " + ",O376, " due to Taxis.")</f>
        <v>Differs slightly from Rows 374 + 376 due to Taxis.</v>
      </c>
      <c r="F382" s="3679"/>
      <c r="G382" s="1549">
        <f t="shared" ref="G382:M382" ca="1" si="484">P382+Y382+AH382+AQ382+AZ382+BI382</f>
        <v>-21936.50329066069</v>
      </c>
      <c r="H382" s="1549">
        <f t="shared" ca="1" si="484"/>
        <v>-17035.284951151076</v>
      </c>
      <c r="I382" s="1549">
        <f t="shared" ca="1" si="484"/>
        <v>-66911.694953767888</v>
      </c>
      <c r="J382" s="1549">
        <f t="shared" ca="1" si="484"/>
        <v>-19569.733771753094</v>
      </c>
      <c r="K382" s="1549">
        <f t="shared" ca="1" si="484"/>
        <v>-54039.656522391051</v>
      </c>
      <c r="L382" s="1549">
        <f t="shared" ca="1" si="484"/>
        <v>-121069.68898375476</v>
      </c>
      <c r="M382" s="1549">
        <f t="shared" ca="1" si="484"/>
        <v>-47808.66237547373</v>
      </c>
      <c r="N382" s="1549">
        <f ca="1">SUM(G382:M382)</f>
        <v>-348371.22484895226</v>
      </c>
      <c r="O382" s="39">
        <f>ROW()</f>
        <v>382</v>
      </c>
      <c r="P382" s="1122">
        <f ca="1">P374+P376</f>
        <v>-8791.4460875346776</v>
      </c>
      <c r="Q382" s="1122">
        <f t="shared" ref="Q382:W382" ca="1" si="485">Q374+Q376</f>
        <v>-7870.6520595332149</v>
      </c>
      <c r="R382" s="1122">
        <f t="shared" ca="1" si="485"/>
        <v>-41808.566192235783</v>
      </c>
      <c r="S382" s="1122">
        <f t="shared" ca="1" si="485"/>
        <v>-10993.111786362675</v>
      </c>
      <c r="T382" s="1122">
        <f t="shared" ca="1" si="485"/>
        <v>-29051.580030564364</v>
      </c>
      <c r="U382" s="1122">
        <f t="shared" ca="1" si="485"/>
        <v>-49324.652131289979</v>
      </c>
      <c r="V382" s="1122">
        <f t="shared" ca="1" si="485"/>
        <v>-16424.62372062901</v>
      </c>
      <c r="W382" s="1122">
        <f t="shared" ca="1" si="485"/>
        <v>-164264.6320081497</v>
      </c>
      <c r="Y382" s="1122">
        <f t="shared" ref="Y382:AF382" ca="1" si="486">Y374+Y376</f>
        <v>-8554.8854752761217</v>
      </c>
      <c r="Z382" s="1122">
        <f t="shared" ca="1" si="486"/>
        <v>-2276.6753037494045</v>
      </c>
      <c r="AA382" s="1122">
        <f t="shared" ca="1" si="486"/>
        <v>-12003.857725072341</v>
      </c>
      <c r="AB382" s="1122">
        <f t="shared" ca="1" si="486"/>
        <v>-4929.1138897157489</v>
      </c>
      <c r="AC382" s="1122">
        <f t="shared" ca="1" si="486"/>
        <v>-14686.076941587075</v>
      </c>
      <c r="AD382" s="1122">
        <f t="shared" ca="1" si="486"/>
        <v>-38131.675270064283</v>
      </c>
      <c r="AE382" s="1122">
        <f t="shared" ca="1" si="486"/>
        <v>-13797.199254183695</v>
      </c>
      <c r="AF382" s="1122">
        <f t="shared" ca="1" si="486"/>
        <v>-94379.483859648666</v>
      </c>
      <c r="AH382" s="1122">
        <f t="shared" ref="AH382:AO382" si="487">AH374+AH376</f>
        <v>-14844.180787815969</v>
      </c>
      <c r="AI382" s="1122">
        <f t="shared" si="487"/>
        <v>-7554.4713302684613</v>
      </c>
      <c r="AJ382" s="1122">
        <f t="shared" si="487"/>
        <v>-19957.905231719771</v>
      </c>
      <c r="AK382" s="1122">
        <f t="shared" si="487"/>
        <v>-6079.105859006504</v>
      </c>
      <c r="AL382" s="1122">
        <f t="shared" si="487"/>
        <v>-20346.339373356164</v>
      </c>
      <c r="AM382" s="1122">
        <f t="shared" si="487"/>
        <v>-48854.230629965117</v>
      </c>
      <c r="AN382" s="1122">
        <f t="shared" si="487"/>
        <v>-25380.530253866713</v>
      </c>
      <c r="AO382" s="1122">
        <f t="shared" si="487"/>
        <v>-143016.76346599869</v>
      </c>
      <c r="AQ382" s="1399">
        <f t="shared" ref="AQ382:AX382" ca="1" si="488">AQ374+AQ376+AQ380</f>
        <v>10042.632314927623</v>
      </c>
      <c r="AR382" s="1399">
        <f t="shared" ca="1" si="488"/>
        <v>1470.357558304956</v>
      </c>
      <c r="AS382" s="1399">
        <f t="shared" ca="1" si="488"/>
        <v>9369.8999359796653</v>
      </c>
      <c r="AT382" s="1399">
        <f t="shared" ca="1" si="488"/>
        <v>3267.5290275858056</v>
      </c>
      <c r="AU382" s="1399">
        <f t="shared" ca="1" si="488"/>
        <v>11565.949056971829</v>
      </c>
      <c r="AV382" s="1399">
        <f t="shared" ca="1" si="488"/>
        <v>19313.38712246246</v>
      </c>
      <c r="AW382" s="1399">
        <f t="shared" ca="1" si="488"/>
        <v>9273.7598217128943</v>
      </c>
      <c r="AX382" s="1399">
        <f t="shared" ca="1" si="488"/>
        <v>64303.514837945586</v>
      </c>
      <c r="AZ382" s="1122">
        <f t="shared" ref="AZ382:BG382" ca="1" si="489">AZ374+AZ376</f>
        <v>69.461264648413476</v>
      </c>
      <c r="BA382" s="1122">
        <f t="shared" ca="1" si="489"/>
        <v>-669.99758405830551</v>
      </c>
      <c r="BB382" s="1122">
        <f t="shared" ca="1" si="489"/>
        <v>-2165.8351791809646</v>
      </c>
      <c r="BC382" s="1122">
        <f t="shared" ca="1" si="489"/>
        <v>-716.64925170030779</v>
      </c>
      <c r="BD382" s="1122">
        <f t="shared" ca="1" si="489"/>
        <v>-1395.4450894309371</v>
      </c>
      <c r="BE382" s="1122">
        <f t="shared" ca="1" si="489"/>
        <v>-3548.4151974355982</v>
      </c>
      <c r="BF382" s="1122">
        <f t="shared" ca="1" si="489"/>
        <v>-1287.0391685055731</v>
      </c>
      <c r="BG382" s="1122">
        <f t="shared" ca="1" si="489"/>
        <v>-9713.920205663273</v>
      </c>
      <c r="BI382" s="1122">
        <f t="shared" ref="BI382:BP382" ca="1" si="490">BI374+BI376</f>
        <v>141.91548038999642</v>
      </c>
      <c r="BJ382" s="1122">
        <f t="shared" ca="1" si="490"/>
        <v>-133.84623184665151</v>
      </c>
      <c r="BK382" s="1122">
        <f t="shared" ca="1" si="490"/>
        <v>-345.43056153873493</v>
      </c>
      <c r="BL382" s="1122">
        <f t="shared" ca="1" si="490"/>
        <v>-119.28201255367978</v>
      </c>
      <c r="BM382" s="1122">
        <f t="shared" ca="1" si="490"/>
        <v>-126.16414442439496</v>
      </c>
      <c r="BN382" s="1122">
        <f t="shared" ca="1" si="490"/>
        <v>-524.10287746234519</v>
      </c>
      <c r="BO382" s="1122">
        <f t="shared" ca="1" si="490"/>
        <v>-193.02980000167952</v>
      </c>
      <c r="BP382" s="1122">
        <f t="shared" ca="1" si="490"/>
        <v>-1299.9401474374895</v>
      </c>
    </row>
    <row r="383" spans="2:68" s="1122" customFormat="1" ht="13.2" customHeight="1">
      <c r="B383" s="1123" t="s">
        <v>1347</v>
      </c>
      <c r="E383" s="3683"/>
      <c r="F383" s="3685"/>
      <c r="G383" s="1122">
        <f t="shared" ref="G383:M383" ca="1" si="491">G147+G382</f>
        <v>424891.75106370461</v>
      </c>
      <c r="H383" s="1122">
        <f t="shared" ca="1" si="491"/>
        <v>71749.633393758981</v>
      </c>
      <c r="I383" s="1122">
        <f t="shared" ca="1" si="491"/>
        <v>462834.79320965294</v>
      </c>
      <c r="J383" s="1122">
        <f t="shared" ca="1" si="491"/>
        <v>152090.48549576986</v>
      </c>
      <c r="K383" s="1122">
        <f t="shared" ca="1" si="491"/>
        <v>564326.13204936427</v>
      </c>
      <c r="L383" s="1122">
        <f t="shared" ca="1" si="491"/>
        <v>990272.58332400629</v>
      </c>
      <c r="M383" s="1122">
        <f t="shared" ca="1" si="491"/>
        <v>419531.23415736505</v>
      </c>
      <c r="N383" s="1122">
        <f ca="1">SUM(G383:M383)</f>
        <v>3085696.6126936218</v>
      </c>
      <c r="O383" s="39">
        <f>ROW()</f>
        <v>383</v>
      </c>
      <c r="P383" s="1122">
        <f t="shared" ref="P383:V383" ca="1" si="492">P147+P382</f>
        <v>52674.990438536814</v>
      </c>
      <c r="Q383" s="1122">
        <f t="shared" ca="1" si="492"/>
        <v>19237.115998887177</v>
      </c>
      <c r="R383" s="1122">
        <f t="shared" ca="1" si="492"/>
        <v>121103.20523707273</v>
      </c>
      <c r="S383" s="1122">
        <f t="shared" ca="1" si="492"/>
        <v>32461.870134888213</v>
      </c>
      <c r="T383" s="1122">
        <f t="shared" ca="1" si="492"/>
        <v>112644.60743232549</v>
      </c>
      <c r="U383" s="1122">
        <f t="shared" ca="1" si="492"/>
        <v>178825.08939810094</v>
      </c>
      <c r="V383" s="1122">
        <f t="shared" ca="1" si="492"/>
        <v>63845.892443755831</v>
      </c>
      <c r="W383" s="1122">
        <f ca="1">SUM(P383:V383)</f>
        <v>580792.77108356729</v>
      </c>
      <c r="Y383" s="1122">
        <f t="shared" ref="Y383:AE383" ca="1" si="493">Y147+Y382</f>
        <v>49912.460906025211</v>
      </c>
      <c r="Z383" s="1122">
        <f t="shared" ca="1" si="493"/>
        <v>7073.9394756405809</v>
      </c>
      <c r="AA383" s="1122">
        <f t="shared" ca="1" si="493"/>
        <v>48183.634778445223</v>
      </c>
      <c r="AB383" s="1122">
        <f t="shared" ca="1" si="493"/>
        <v>19523.69033130147</v>
      </c>
      <c r="AC383" s="1122">
        <f t="shared" ca="1" si="493"/>
        <v>80567.58963475372</v>
      </c>
      <c r="AD383" s="1122">
        <f t="shared" ca="1" si="493"/>
        <v>166108.21092447877</v>
      </c>
      <c r="AE383" s="1122">
        <f t="shared" ca="1" si="493"/>
        <v>58279.301283703593</v>
      </c>
      <c r="AF383" s="1122">
        <f ca="1">SUM(Y383:AE383)</f>
        <v>429648.82733434858</v>
      </c>
      <c r="AH383" s="1122">
        <f t="shared" ref="AH383:AN383" si="494">AH147+AH382</f>
        <v>45823.47436439593</v>
      </c>
      <c r="AI383" s="1122">
        <f t="shared" si="494"/>
        <v>4156.6902188952608</v>
      </c>
      <c r="AJ383" s="1122">
        <f t="shared" si="494"/>
        <v>31065.393901346542</v>
      </c>
      <c r="AK383" s="1122">
        <f t="shared" si="494"/>
        <v>9621.4208185732823</v>
      </c>
      <c r="AL383" s="1122">
        <f t="shared" si="494"/>
        <v>45868.307659955943</v>
      </c>
      <c r="AM383" s="1122">
        <f t="shared" si="494"/>
        <v>89871.277904256072</v>
      </c>
      <c r="AN383" s="1122">
        <f t="shared" si="494"/>
        <v>37367.782777689514</v>
      </c>
      <c r="AO383" s="1122">
        <f>SUM(AH383:AN383)</f>
        <v>263774.34764511255</v>
      </c>
      <c r="AQ383" s="1122">
        <f t="shared" ref="AQ383:AW383" ca="1" si="495">AQ147+AQ382</f>
        <v>240050.42598557673</v>
      </c>
      <c r="AR383" s="1122">
        <f t="shared" ca="1" si="495"/>
        <v>32205.005406578308</v>
      </c>
      <c r="AS383" s="1122">
        <f t="shared" ca="1" si="495"/>
        <v>208017.98164423773</v>
      </c>
      <c r="AT383" s="1122">
        <f t="shared" ca="1" si="495"/>
        <v>73953.314528786039</v>
      </c>
      <c r="AU383" s="1122">
        <f t="shared" ca="1" si="495"/>
        <v>264250.20000315504</v>
      </c>
      <c r="AV383" s="1122">
        <f t="shared" ca="1" si="495"/>
        <v>442462.35930972925</v>
      </c>
      <c r="AW383" s="1122">
        <f t="shared" ca="1" si="495"/>
        <v>217925.7664214203</v>
      </c>
      <c r="AX383" s="1122">
        <f ca="1">SUM(AQ383:AW383)</f>
        <v>1478865.0532994834</v>
      </c>
      <c r="AZ383" s="1122">
        <f t="shared" ref="AZ383:BF383" ca="1" si="496">AZ147+AZ382</f>
        <v>29059.058331911951</v>
      </c>
      <c r="BA383" s="1122">
        <f t="shared" ca="1" si="496"/>
        <v>7238.505956295814</v>
      </c>
      <c r="BB383" s="1122">
        <f t="shared" ca="1" si="496"/>
        <v>43437.458967193554</v>
      </c>
      <c r="BC383" s="1122">
        <f t="shared" ca="1" si="496"/>
        <v>13183.141863155686</v>
      </c>
      <c r="BD383" s="1122">
        <f t="shared" ca="1" si="496"/>
        <v>48643.003444081078</v>
      </c>
      <c r="BE383" s="1122">
        <f t="shared" ca="1" si="496"/>
        <v>90160.595975133561</v>
      </c>
      <c r="BF383" s="1122">
        <f t="shared" ca="1" si="496"/>
        <v>33604.315256565103</v>
      </c>
      <c r="BG383" s="1122">
        <f ca="1">SUM(AZ383:BF383)</f>
        <v>265326.07979433675</v>
      </c>
      <c r="BI383" s="1122">
        <f t="shared" ref="BI383:BO383" ca="1" si="497">BI147+BI382</f>
        <v>7371.3410372578674</v>
      </c>
      <c r="BJ383" s="1122">
        <f t="shared" ca="1" si="497"/>
        <v>1838.3763374618297</v>
      </c>
      <c r="BK383" s="1122">
        <f t="shared" ca="1" si="497"/>
        <v>11027.118681357088</v>
      </c>
      <c r="BL383" s="1122">
        <f t="shared" ca="1" si="497"/>
        <v>3347.0478190651343</v>
      </c>
      <c r="BM383" s="1122">
        <f t="shared" ca="1" si="497"/>
        <v>12352.423875092933</v>
      </c>
      <c r="BN383" s="1122">
        <f t="shared" ca="1" si="497"/>
        <v>22845.049812307589</v>
      </c>
      <c r="BO383" s="1122">
        <f t="shared" ca="1" si="497"/>
        <v>8508.175974230604</v>
      </c>
      <c r="BP383" s="1122">
        <f ca="1">SUM(BI383:BO383)</f>
        <v>67289.533536773044</v>
      </c>
    </row>
    <row r="384" spans="2:68" ht="13.2" customHeight="1">
      <c r="B384" s="280"/>
      <c r="G384" s="39"/>
      <c r="H384" s="39"/>
      <c r="I384" s="39"/>
      <c r="J384" s="39"/>
      <c r="K384" s="39"/>
      <c r="L384" s="39"/>
      <c r="M384" s="39"/>
      <c r="N384" s="47"/>
      <c r="O384" s="39">
        <f>ROW()</f>
        <v>384</v>
      </c>
      <c r="P384" s="39"/>
      <c r="Q384" s="39"/>
      <c r="R384" s="39"/>
      <c r="S384" s="39"/>
      <c r="T384" s="39"/>
      <c r="U384" s="39"/>
      <c r="V384" s="39"/>
      <c r="W384" s="47"/>
      <c r="Y384" s="39"/>
      <c r="Z384" s="39"/>
      <c r="AA384" s="39"/>
      <c r="AB384" s="39"/>
      <c r="AC384" s="39"/>
      <c r="AD384" s="39"/>
      <c r="AE384" s="39"/>
      <c r="AF384" s="47"/>
      <c r="AH384" s="39"/>
      <c r="AI384" s="39"/>
      <c r="AJ384" s="39"/>
      <c r="AK384" s="39"/>
      <c r="AL384" s="39"/>
      <c r="AM384" s="39"/>
      <c r="AN384" s="39"/>
      <c r="AO384" s="47"/>
      <c r="AQ384" s="39"/>
      <c r="AR384" s="39"/>
      <c r="AS384" s="39"/>
      <c r="AT384" s="39"/>
      <c r="AU384" s="39"/>
      <c r="AV384" s="39"/>
      <c r="AW384" s="39"/>
      <c r="AX384" s="47"/>
      <c r="AZ384" s="39"/>
      <c r="BA384" s="39"/>
      <c r="BB384" s="39"/>
      <c r="BC384" s="39"/>
      <c r="BD384" s="39"/>
      <c r="BE384" s="39"/>
      <c r="BF384" s="39"/>
      <c r="BG384" s="47"/>
      <c r="BI384" s="39"/>
      <c r="BJ384" s="39"/>
      <c r="BK384" s="39"/>
      <c r="BL384" s="39"/>
      <c r="BM384" s="39"/>
      <c r="BN384" s="39"/>
      <c r="BO384" s="39"/>
      <c r="BP384" s="47"/>
    </row>
    <row r="385" spans="2:68" ht="13.2" customHeight="1">
      <c r="B385" s="6" t="s">
        <v>374</v>
      </c>
      <c r="G385" s="39"/>
      <c r="H385" s="39"/>
      <c r="N385" s="47"/>
      <c r="O385" s="39">
        <f>ROW()</f>
        <v>385</v>
      </c>
      <c r="P385" s="39"/>
      <c r="Q385" s="39"/>
      <c r="R385" s="39"/>
      <c r="S385" s="39"/>
      <c r="T385" s="39"/>
      <c r="U385" s="39"/>
      <c r="V385" s="39"/>
      <c r="W385" s="1575"/>
      <c r="Y385" s="39"/>
      <c r="Z385" s="39"/>
      <c r="AA385" s="39"/>
      <c r="AB385" s="39"/>
      <c r="AC385" s="39"/>
      <c r="AD385" s="39"/>
      <c r="AE385" s="39"/>
      <c r="AF385" s="1575"/>
      <c r="AG385" s="1575"/>
      <c r="AH385" s="39"/>
      <c r="AI385" s="39"/>
      <c r="AJ385" s="39"/>
      <c r="AK385" s="39"/>
      <c r="AL385" s="39"/>
      <c r="AM385" s="39"/>
      <c r="AN385" s="39"/>
      <c r="AO385" s="47"/>
      <c r="AQ385" s="39"/>
      <c r="AR385" s="39"/>
      <c r="AS385" s="39"/>
      <c r="AT385" s="39"/>
      <c r="AU385" s="39"/>
      <c r="AV385" s="39"/>
      <c r="AW385" s="39"/>
      <c r="AX385" s="47"/>
      <c r="AZ385" s="39"/>
      <c r="BA385" s="39"/>
      <c r="BB385" s="39"/>
      <c r="BC385" s="39"/>
      <c r="BD385" s="39"/>
      <c r="BE385" s="39"/>
      <c r="BF385" s="39"/>
      <c r="BG385" s="47"/>
      <c r="BI385" s="39"/>
      <c r="BJ385" s="39"/>
      <c r="BK385" s="39"/>
      <c r="BL385" s="39"/>
      <c r="BM385" s="39"/>
      <c r="BN385" s="39"/>
      <c r="BO385" s="39"/>
      <c r="BP385" s="47"/>
    </row>
    <row r="386" spans="2:68" ht="13.2" customHeight="1">
      <c r="B386" s="280" t="s">
        <v>1456</v>
      </c>
      <c r="M386" s="1558" t="s">
        <v>311</v>
      </c>
      <c r="N386" s="1122">
        <f ca="1">W386+AF386</f>
        <v>-5263.7117967149079</v>
      </c>
      <c r="O386" s="39">
        <f>ROW()</f>
        <v>386</v>
      </c>
      <c r="P386" s="1122"/>
      <c r="Q386" s="1122"/>
      <c r="R386" s="1122"/>
      <c r="S386" s="1122"/>
      <c r="T386" s="1122"/>
      <c r="U386" s="1122"/>
      <c r="V386" s="1563" t="str">
        <f>CONCATENATE("(from 'Taxis' worksheet, Row ",Taxis!O449, ")")</f>
        <v>(from 'Taxis' worksheet, Row 449)</v>
      </c>
      <c r="W386" s="1131">
        <f ca="1">Taxis!I449</f>
        <v>-2979.4595075744851</v>
      </c>
      <c r="Y386" s="1122"/>
      <c r="Z386" s="1122"/>
      <c r="AA386" s="1122"/>
      <c r="AB386" s="1122"/>
      <c r="AC386" s="1122"/>
      <c r="AD386" s="1122"/>
      <c r="AE386" s="1563" t="str">
        <f>CONCATENATE("(from 'Taxis' worksheet, Row ",Taxis!O449, ")")</f>
        <v>(from 'Taxis' worksheet, Row 449)</v>
      </c>
      <c r="AF386" s="1122">
        <f ca="1">Taxis!J449</f>
        <v>-2284.2522891404383</v>
      </c>
      <c r="AG386" s="1576"/>
      <c r="AH386" s="39"/>
      <c r="AI386" s="39"/>
      <c r="AJ386" s="39"/>
      <c r="AK386" s="39"/>
      <c r="AL386" s="39"/>
      <c r="AM386" s="39"/>
      <c r="AN386" s="39"/>
      <c r="AO386" s="47"/>
      <c r="AQ386" s="39"/>
      <c r="AR386" s="39"/>
      <c r="AS386" s="39"/>
      <c r="AT386" s="39"/>
      <c r="AU386" s="39"/>
      <c r="AV386" s="39"/>
      <c r="AW386" s="39"/>
      <c r="AX386" s="1122"/>
      <c r="AZ386" s="39"/>
      <c r="BA386" s="39"/>
      <c r="BB386" s="39"/>
      <c r="BC386" s="39"/>
      <c r="BD386" s="39"/>
      <c r="BE386" s="39"/>
      <c r="BF386" s="39"/>
      <c r="BG386" s="47"/>
      <c r="BI386" s="39"/>
      <c r="BJ386" s="39"/>
      <c r="BK386" s="39"/>
      <c r="BL386" s="39"/>
      <c r="BM386" s="39"/>
      <c r="BN386" s="39"/>
      <c r="BO386" s="39"/>
      <c r="BP386" s="47"/>
    </row>
    <row r="387" spans="2:68" ht="13.2" customHeight="1">
      <c r="B387" s="280" t="s">
        <v>1455</v>
      </c>
      <c r="N387" s="1122"/>
      <c r="O387" s="39">
        <f>ROW()</f>
        <v>387</v>
      </c>
      <c r="P387" s="1122">
        <f t="shared" ref="P387:V387" ca="1" si="498">P122/$W$122*$W$386</f>
        <v>-103.60884865086209</v>
      </c>
      <c r="Q387" s="1122">
        <f t="shared" ca="1" si="498"/>
        <v>-156.54723362165822</v>
      </c>
      <c r="R387" s="1122">
        <f t="shared" ca="1" si="498"/>
        <v>-963.24621453376051</v>
      </c>
      <c r="S387" s="1122">
        <f t="shared" ca="1" si="498"/>
        <v>-231.45956708739894</v>
      </c>
      <c r="T387" s="1122">
        <f t="shared" ca="1" si="498"/>
        <v>-631.60736865956119</v>
      </c>
      <c r="U387" s="1122">
        <f t="shared" ca="1" si="498"/>
        <v>-698.69941797636773</v>
      </c>
      <c r="V387" s="1122">
        <f t="shared" ca="1" si="498"/>
        <v>-194.29085704487625</v>
      </c>
      <c r="W387" s="1122">
        <f t="shared" ref="W387:W392" ca="1" si="499">SUM(P387:V387)</f>
        <v>-2979.4595075744851</v>
      </c>
      <c r="Y387" s="1122">
        <f t="shared" ref="Y387:AE387" ca="1" si="500">Y122/$AF$122*$AF$386</f>
        <v>-231.23284831985939</v>
      </c>
      <c r="Z387" s="1122">
        <f t="shared" ca="1" si="500"/>
        <v>-23.220808046932543</v>
      </c>
      <c r="AA387" s="1122">
        <f t="shared" ca="1" si="500"/>
        <v>-196.52706864372888</v>
      </c>
      <c r="AB387" s="1122">
        <f t="shared" ca="1" si="500"/>
        <v>-116.56745609409546</v>
      </c>
      <c r="AC387" s="1122">
        <f t="shared" ca="1" si="500"/>
        <v>-440.32462422552703</v>
      </c>
      <c r="AD387" s="1122">
        <f t="shared" ca="1" si="500"/>
        <v>-971.80274667913477</v>
      </c>
      <c r="AE387" s="1122">
        <f t="shared" ca="1" si="500"/>
        <v>-304.5767371311602</v>
      </c>
      <c r="AF387" s="1122">
        <f t="shared" ref="AF387:AF392" ca="1" si="501">SUM(Y387:AE387)</f>
        <v>-2284.2522891404383</v>
      </c>
      <c r="AH387" s="39"/>
      <c r="AI387" s="39"/>
      <c r="AJ387" s="39"/>
      <c r="AK387" s="39"/>
      <c r="AL387" s="39"/>
      <c r="AM387" s="39"/>
      <c r="AN387" s="39"/>
      <c r="AO387" s="47"/>
      <c r="AQ387" s="1122"/>
      <c r="AR387" s="1122"/>
      <c r="AS387" s="1122"/>
      <c r="AT387" s="1122"/>
      <c r="AU387" s="1122"/>
      <c r="AV387" s="1122"/>
      <c r="AW387" s="1122"/>
      <c r="AX387" s="1122"/>
      <c r="AZ387" s="39"/>
      <c r="BA387" s="39"/>
      <c r="BB387" s="39"/>
      <c r="BC387" s="39"/>
      <c r="BD387" s="39"/>
      <c r="BE387" s="39"/>
      <c r="BF387" s="39"/>
      <c r="BG387" s="47"/>
      <c r="BI387" s="39"/>
      <c r="BJ387" s="39"/>
      <c r="BK387" s="39"/>
      <c r="BL387" s="39"/>
      <c r="BM387" s="39"/>
      <c r="BN387" s="39"/>
      <c r="BO387" s="39"/>
      <c r="BP387" s="47"/>
    </row>
    <row r="388" spans="2:68" ht="13.2" customHeight="1">
      <c r="B388" s="280" t="s">
        <v>2659</v>
      </c>
      <c r="G388" s="39"/>
      <c r="I388" s="39"/>
      <c r="J388" s="39"/>
      <c r="K388" s="39"/>
      <c r="L388" s="39"/>
      <c r="M388" s="1558" t="str">
        <f>CONCATENATE("(algebra on a parameter in Row ",Taxis!O302," of Taxi worksheet)")</f>
        <v>(algebra on a parameter in Row 302 of Taxi worksheet)</v>
      </c>
      <c r="N388" s="39">
        <f>Taxis!L302/(1+Taxis!L302)</f>
        <v>0.87847730600292817</v>
      </c>
      <c r="O388" s="39">
        <f>ROW()</f>
        <v>388</v>
      </c>
      <c r="P388" s="1122">
        <f t="shared" ref="P388:V388" ca="1" si="502">$N$388*P387</f>
        <v>-91.018022240874444</v>
      </c>
      <c r="Q388" s="1122">
        <f t="shared" ca="1" si="502"/>
        <v>-137.52319205416535</v>
      </c>
      <c r="R388" s="1122">
        <f t="shared" ca="1" si="502"/>
        <v>-846.1899395611365</v>
      </c>
      <c r="S388" s="1122">
        <f t="shared" ca="1" si="502"/>
        <v>-203.33197694354223</v>
      </c>
      <c r="T388" s="1122">
        <f t="shared" ca="1" si="502"/>
        <v>-554.8527396716496</v>
      </c>
      <c r="U388" s="1122">
        <f t="shared" ca="1" si="502"/>
        <v>-613.79158240969343</v>
      </c>
      <c r="V388" s="1122">
        <f t="shared" ca="1" si="502"/>
        <v>-170.68010867778293</v>
      </c>
      <c r="W388" s="1122">
        <f t="shared" ca="1" si="499"/>
        <v>-2617.3875615588445</v>
      </c>
      <c r="Y388" s="1122">
        <f t="shared" ref="Y388:AE388" ca="1" si="503">$N$388*Y387</f>
        <v>-203.13280965141379</v>
      </c>
      <c r="Z388" s="1122">
        <f t="shared" ca="1" si="503"/>
        <v>-20.398952896280417</v>
      </c>
      <c r="AA388" s="1122">
        <f t="shared" ca="1" si="503"/>
        <v>-172.64456981879547</v>
      </c>
      <c r="AB388" s="1122">
        <f t="shared" ca="1" si="503"/>
        <v>-102.4018647971556</v>
      </c>
      <c r="AC388" s="1122">
        <f t="shared" ca="1" si="503"/>
        <v>-386.81518965639265</v>
      </c>
      <c r="AD388" s="1122">
        <f t="shared" ca="1" si="503"/>
        <v>-853.70665886893232</v>
      </c>
      <c r="AE388" s="1122">
        <f t="shared" ca="1" si="503"/>
        <v>-267.56375150614366</v>
      </c>
      <c r="AF388" s="1122">
        <f t="shared" ca="1" si="501"/>
        <v>-2006.6637971951138</v>
      </c>
      <c r="AH388" s="39"/>
      <c r="AI388" s="47" t="s">
        <v>312</v>
      </c>
      <c r="AJ388" s="39"/>
      <c r="AK388" s="39"/>
      <c r="AL388" s="39"/>
      <c r="AM388" s="39"/>
      <c r="AN388" s="39"/>
      <c r="AO388" s="47"/>
      <c r="AQ388" s="39"/>
      <c r="AR388" s="39"/>
      <c r="AS388" s="39"/>
      <c r="AT388" s="39"/>
      <c r="AU388" s="39"/>
      <c r="AV388" s="39"/>
      <c r="AW388" s="39"/>
      <c r="AX388" s="47"/>
      <c r="AZ388" s="39"/>
      <c r="BA388" s="47" t="s">
        <v>313</v>
      </c>
      <c r="BB388" s="39"/>
      <c r="BC388" s="39"/>
      <c r="BD388" s="39"/>
      <c r="BE388" s="39"/>
      <c r="BF388" s="39"/>
      <c r="BG388" s="47"/>
      <c r="BI388" s="39"/>
      <c r="BJ388" s="47" t="s">
        <v>314</v>
      </c>
      <c r="BK388" s="39"/>
      <c r="BL388" s="39"/>
      <c r="BM388" s="39"/>
      <c r="BN388" s="39"/>
      <c r="BO388" s="39"/>
      <c r="BP388" s="47"/>
    </row>
    <row r="389" spans="2:68" ht="13.2" customHeight="1">
      <c r="B389" s="280" t="s">
        <v>735</v>
      </c>
      <c r="G389" s="39"/>
      <c r="H389" s="39"/>
      <c r="I389" s="39"/>
      <c r="J389" s="39"/>
      <c r="K389" s="39"/>
      <c r="L389" s="39"/>
      <c r="M389" s="1558" t="str">
        <f>CONCATENATE("(product of number of trips and per-trip in-cordon miles shown in Row ",O378," of taxi block)")</f>
        <v>(product of number of trips and per-trip in-cordon miles shown in Row 378 of taxi block)</v>
      </c>
      <c r="N389" s="1122"/>
      <c r="O389" s="39">
        <f>ROW()</f>
        <v>389</v>
      </c>
      <c r="P389" s="1122">
        <f t="shared" ref="P389:V389" ca="1" si="504">P388*$AU$378</f>
        <v>-290.34749094838946</v>
      </c>
      <c r="Q389" s="1122">
        <f t="shared" ca="1" si="504"/>
        <v>-438.69898265278744</v>
      </c>
      <c r="R389" s="1122">
        <f t="shared" ca="1" si="504"/>
        <v>-2699.3459072000255</v>
      </c>
      <c r="S389" s="1122">
        <f t="shared" ca="1" si="504"/>
        <v>-648.62900644989975</v>
      </c>
      <c r="T389" s="1122">
        <f t="shared" ca="1" si="504"/>
        <v>-1769.9802395525621</v>
      </c>
      <c r="U389" s="1122">
        <f t="shared" ca="1" si="504"/>
        <v>-1957.995147886922</v>
      </c>
      <c r="V389" s="1122">
        <f t="shared" ca="1" si="504"/>
        <v>-544.46954668212754</v>
      </c>
      <c r="W389" s="1122">
        <f t="shared" ca="1" si="499"/>
        <v>-8349.4663213727126</v>
      </c>
      <c r="Y389" s="1122">
        <f t="shared" ref="Y389:AE389" ca="1" si="505">Y388*$AU$378</f>
        <v>-647.99366278800994</v>
      </c>
      <c r="Z389" s="1122">
        <f t="shared" ca="1" si="505"/>
        <v>-65.072659739134522</v>
      </c>
      <c r="AA389" s="1122">
        <f t="shared" ca="1" si="505"/>
        <v>-550.73617772195757</v>
      </c>
      <c r="AB389" s="1122">
        <f t="shared" ca="1" si="505"/>
        <v>-326.66194870292634</v>
      </c>
      <c r="AC389" s="1122">
        <f t="shared" ca="1" si="505"/>
        <v>-1233.9404550038926</v>
      </c>
      <c r="AD389" s="1122">
        <f t="shared" ca="1" si="505"/>
        <v>-2723.3242417918941</v>
      </c>
      <c r="AE389" s="1122">
        <f t="shared" ca="1" si="505"/>
        <v>-853.52836730459831</v>
      </c>
      <c r="AF389" s="1122">
        <f t="shared" ca="1" si="501"/>
        <v>-6401.2575130524128</v>
      </c>
      <c r="AH389" s="39"/>
      <c r="AJ389" s="39"/>
      <c r="AK389" s="39"/>
      <c r="AL389" s="39"/>
      <c r="AM389" s="39"/>
      <c r="AN389" s="39"/>
      <c r="AO389" s="47"/>
      <c r="AQ389" s="1122">
        <f t="shared" ref="AQ389:AW389" si="506">$AX$312*AQ147</f>
        <v>0</v>
      </c>
      <c r="AR389" s="1122">
        <f t="shared" si="506"/>
        <v>0</v>
      </c>
      <c r="AS389" s="1122">
        <f t="shared" si="506"/>
        <v>0</v>
      </c>
      <c r="AT389" s="1122">
        <f t="shared" si="506"/>
        <v>0</v>
      </c>
      <c r="AU389" s="1122">
        <f t="shared" si="506"/>
        <v>0</v>
      </c>
      <c r="AV389" s="1122">
        <f t="shared" si="506"/>
        <v>0</v>
      </c>
      <c r="AW389" s="1122">
        <f t="shared" si="506"/>
        <v>0</v>
      </c>
      <c r="AX389" s="1122">
        <f>SUM(AQ389:AW389)</f>
        <v>0</v>
      </c>
      <c r="AZ389" s="39"/>
      <c r="BB389" s="39"/>
      <c r="BC389" s="39"/>
      <c r="BD389" s="39"/>
      <c r="BE389" s="39"/>
      <c r="BF389" s="39"/>
      <c r="BG389" s="47"/>
      <c r="BI389" s="39"/>
      <c r="BK389" s="39"/>
      <c r="BL389" s="39"/>
      <c r="BM389" s="39"/>
      <c r="BN389" s="39"/>
      <c r="BO389" s="39"/>
      <c r="BP389" s="47"/>
    </row>
    <row r="390" spans="2:68" ht="13.2" customHeight="1">
      <c r="B390" s="280" t="s">
        <v>1549</v>
      </c>
      <c r="G390" s="39"/>
      <c r="I390" s="39"/>
      <c r="J390" s="39"/>
      <c r="K390" s="39"/>
      <c r="L390" s="39"/>
      <c r="M390" s="1558" t="str">
        <f>CONCATENATE("(complement of percentage in Row ",O388,")")</f>
        <v>(complement of percentage in Row 388)</v>
      </c>
      <c r="N390" s="39">
        <f>1-N388</f>
        <v>0.12152269399707183</v>
      </c>
      <c r="O390" s="39">
        <f>ROW()</f>
        <v>390</v>
      </c>
      <c r="P390" s="1122">
        <f t="shared" ref="P390:V390" ca="1" si="507">$N$390*P387</f>
        <v>-12.590826409987642</v>
      </c>
      <c r="Q390" s="1122">
        <f t="shared" ca="1" si="507"/>
        <v>-19.024041567492887</v>
      </c>
      <c r="R390" s="1122">
        <f t="shared" ca="1" si="507"/>
        <v>-117.05627497262398</v>
      </c>
      <c r="S390" s="1122">
        <f t="shared" ca="1" si="507"/>
        <v>-28.1275901438567</v>
      </c>
      <c r="T390" s="1122">
        <f t="shared" ca="1" si="507"/>
        <v>-76.754628987911588</v>
      </c>
      <c r="U390" s="1122">
        <f t="shared" ca="1" si="507"/>
        <v>-84.907835566674322</v>
      </c>
      <c r="V390" s="1122">
        <f t="shared" ca="1" si="507"/>
        <v>-23.610748367093322</v>
      </c>
      <c r="W390" s="1122">
        <f t="shared" ca="1" si="499"/>
        <v>-362.07194601564044</v>
      </c>
      <c r="Y390" s="1122">
        <f t="shared" ref="Y390:AE390" ca="1" si="508">$N$390*Y387</f>
        <v>-28.100038668445595</v>
      </c>
      <c r="Z390" s="1122">
        <f t="shared" ca="1" si="508"/>
        <v>-2.8218551506521266</v>
      </c>
      <c r="AA390" s="1122">
        <f t="shared" ca="1" si="508"/>
        <v>-23.882498824933396</v>
      </c>
      <c r="AB390" s="1122">
        <f t="shared" ca="1" si="508"/>
        <v>-14.165591296939869</v>
      </c>
      <c r="AC390" s="1122">
        <f t="shared" ca="1" si="508"/>
        <v>-53.509434569134363</v>
      </c>
      <c r="AD390" s="1122">
        <f t="shared" ca="1" si="508"/>
        <v>-118.09608781020241</v>
      </c>
      <c r="AE390" s="1122">
        <f t="shared" ca="1" si="508"/>
        <v>-37.012985625016569</v>
      </c>
      <c r="AF390" s="1122">
        <f t="shared" ca="1" si="501"/>
        <v>-277.58849194532434</v>
      </c>
      <c r="AH390" s="39"/>
      <c r="AI390" s="39"/>
      <c r="AJ390" s="39"/>
      <c r="AK390" s="39"/>
      <c r="AL390" s="39"/>
      <c r="AM390" s="39"/>
      <c r="AN390" s="39"/>
      <c r="AO390" s="47"/>
      <c r="AQ390" s="2196" t="str">
        <f>CONCATENATE("Figures are products of % increase in number of medallion taxis from Cell AX",O312, " and taxis' baseline cordon VMT for period in Row ",O147, ".")</f>
        <v>Figures are products of % increase in number of medallion taxis from Cell AX312 and taxis' baseline cordon VMT for period in Row 147.</v>
      </c>
      <c r="AR390" s="3628"/>
      <c r="AS390" s="39"/>
      <c r="AT390" s="39"/>
      <c r="AU390" s="39"/>
      <c r="AV390" s="39"/>
      <c r="AW390" s="39"/>
      <c r="AX390" s="47"/>
      <c r="AZ390" s="39"/>
      <c r="BA390" s="39"/>
      <c r="BB390" s="39"/>
      <c r="BC390" s="39"/>
      <c r="BD390" s="39"/>
      <c r="BE390" s="39"/>
      <c r="BF390" s="39"/>
      <c r="BG390" s="47"/>
      <c r="BI390" s="39"/>
      <c r="BJ390" s="39"/>
      <c r="BK390" s="39"/>
      <c r="BL390" s="39"/>
      <c r="BM390" s="39"/>
      <c r="BN390" s="39"/>
      <c r="BO390" s="39"/>
      <c r="BP390" s="47"/>
    </row>
    <row r="391" spans="2:68" ht="13.2" customHeight="1">
      <c r="B391" s="280" t="s">
        <v>735</v>
      </c>
      <c r="G391" s="39"/>
      <c r="H391" s="39"/>
      <c r="I391" s="39"/>
      <c r="J391" s="39"/>
      <c r="K391" s="39"/>
      <c r="L391" s="39"/>
      <c r="M391" s="1558" t="str">
        <f>CONCATENATE("(product of number of trips and per-trip in-cordon miles shown in Row ",O381,")")</f>
        <v>(product of number of trips and per-trip in-cordon miles shown in Row 381)</v>
      </c>
      <c r="N391" s="1122"/>
      <c r="O391" s="39">
        <f>ROW()</f>
        <v>391</v>
      </c>
      <c r="P391" s="1122">
        <f t="shared" ref="P391:V391" ca="1" si="509">P390*$AU$378</f>
        <v>-40.164736247860574</v>
      </c>
      <c r="Q391" s="1122">
        <f t="shared" ca="1" si="509"/>
        <v>-60.686692600302308</v>
      </c>
      <c r="R391" s="1122">
        <f t="shared" ca="1" si="509"/>
        <v>-373.40951716267051</v>
      </c>
      <c r="S391" s="1122">
        <f t="shared" ca="1" si="509"/>
        <v>-89.727012558902871</v>
      </c>
      <c r="T391" s="1122">
        <f t="shared" ca="1" si="509"/>
        <v>-244.84726647143796</v>
      </c>
      <c r="U391" s="1122">
        <f t="shared" ca="1" si="509"/>
        <v>-270.85599545769111</v>
      </c>
      <c r="V391" s="1122">
        <f t="shared" ca="1" si="509"/>
        <v>-75.318287291027701</v>
      </c>
      <c r="W391" s="1122">
        <f t="shared" ca="1" si="499"/>
        <v>-1155.009507789893</v>
      </c>
      <c r="Y391" s="1122">
        <f t="shared" ref="Y391:AE391" ca="1" si="510">Y390*$AU$378</f>
        <v>-89.639123352341443</v>
      </c>
      <c r="Z391" s="1122">
        <f t="shared" ca="1" si="510"/>
        <v>-9.0017179305802841</v>
      </c>
      <c r="AA391" s="1122">
        <f t="shared" ca="1" si="510"/>
        <v>-76.18517125153754</v>
      </c>
      <c r="AB391" s="1122">
        <f t="shared" ca="1" si="510"/>
        <v>-45.188236237238179</v>
      </c>
      <c r="AC391" s="1122">
        <f t="shared" ca="1" si="510"/>
        <v>-170.69509627553862</v>
      </c>
      <c r="AD391" s="1122">
        <f t="shared" ca="1" si="510"/>
        <v>-376.72652011454568</v>
      </c>
      <c r="AE391" s="1122">
        <f t="shared" ca="1" si="510"/>
        <v>-118.07142414380286</v>
      </c>
      <c r="AF391" s="1122">
        <f t="shared" ca="1" si="501"/>
        <v>-885.50728930558466</v>
      </c>
      <c r="AH391" s="39"/>
      <c r="AI391" s="39"/>
      <c r="AJ391" s="39"/>
      <c r="AK391" s="39"/>
      <c r="AL391" s="39"/>
      <c r="AM391" s="39"/>
      <c r="AN391" s="39"/>
      <c r="AO391" s="47"/>
      <c r="AQ391" s="39"/>
      <c r="AR391" s="39"/>
      <c r="AS391" s="39"/>
      <c r="AT391" s="39"/>
      <c r="AU391" s="39"/>
      <c r="AV391" s="39"/>
      <c r="AW391" s="39"/>
      <c r="AX391" s="47"/>
      <c r="AZ391" s="39"/>
      <c r="BA391" s="39"/>
      <c r="BB391" s="39"/>
      <c r="BC391" s="39"/>
      <c r="BD391" s="39"/>
      <c r="BE391" s="39"/>
      <c r="BF391" s="39"/>
      <c r="BG391" s="47"/>
      <c r="BI391" s="39"/>
      <c r="BJ391" s="39"/>
      <c r="BK391" s="39"/>
      <c r="BL391" s="39"/>
      <c r="BM391" s="39"/>
      <c r="BN391" s="39"/>
      <c r="BO391" s="39"/>
      <c r="BP391" s="47"/>
    </row>
    <row r="392" spans="2:68" ht="13.2" customHeight="1">
      <c r="B392" s="280" t="str">
        <f>CONCATENATE("Cordon VMT in period after tolls (sum of Rows ",O383, ", ",O389, " and ",O391,")")</f>
        <v>Cordon VMT in period after tolls (sum of Rows 383, 389 and 391)</v>
      </c>
      <c r="G392" s="1122">
        <f t="shared" ref="G392:M392" ca="1" si="511">P392+Y392+AH392+AQ392+AZ392+BI392</f>
        <v>423823.60605036799</v>
      </c>
      <c r="H392" s="1122">
        <f t="shared" ca="1" si="511"/>
        <v>71176.173340836176</v>
      </c>
      <c r="I392" s="1122">
        <f t="shared" ca="1" si="511"/>
        <v>459135.11643631675</v>
      </c>
      <c r="J392" s="1122">
        <f t="shared" ca="1" si="511"/>
        <v>150980.27929182089</v>
      </c>
      <c r="K392" s="1122">
        <f t="shared" ca="1" si="511"/>
        <v>560906.66899206082</v>
      </c>
      <c r="L392" s="1122">
        <f t="shared" ca="1" si="511"/>
        <v>984943.68141875532</v>
      </c>
      <c r="M392" s="1122">
        <f t="shared" ca="1" si="511"/>
        <v>417939.84653194348</v>
      </c>
      <c r="N392" s="1122">
        <f ca="1">SUM(G392:M392)</f>
        <v>3068905.372062101</v>
      </c>
      <c r="O392" s="39">
        <f>ROW()</f>
        <v>392</v>
      </c>
      <c r="P392" s="1122">
        <f t="shared" ref="P392:V392" ca="1" si="512">P383+P389+P391</f>
        <v>52344.47821134056</v>
      </c>
      <c r="Q392" s="1122">
        <f t="shared" ca="1" si="512"/>
        <v>18737.730323634089</v>
      </c>
      <c r="R392" s="1122">
        <f t="shared" ca="1" si="512"/>
        <v>118030.44981271004</v>
      </c>
      <c r="S392" s="1122">
        <f t="shared" ca="1" si="512"/>
        <v>31723.51411587941</v>
      </c>
      <c r="T392" s="1122">
        <f t="shared" ca="1" si="512"/>
        <v>110629.77992630149</v>
      </c>
      <c r="U392" s="1122">
        <f t="shared" ca="1" si="512"/>
        <v>176596.23825475635</v>
      </c>
      <c r="V392" s="1122">
        <f t="shared" ca="1" si="512"/>
        <v>63226.104609782677</v>
      </c>
      <c r="W392" s="1122">
        <f t="shared" ca="1" si="499"/>
        <v>571288.29525440466</v>
      </c>
      <c r="Y392" s="1122">
        <f t="shared" ref="Y392:AE392" ca="1" si="513">Y383+Y389+Y391</f>
        <v>49174.828119884864</v>
      </c>
      <c r="Z392" s="1122">
        <f t="shared" ca="1" si="513"/>
        <v>6999.8650979708655</v>
      </c>
      <c r="AA392" s="1122">
        <f t="shared" ca="1" si="513"/>
        <v>47556.713429471733</v>
      </c>
      <c r="AB392" s="1122">
        <f t="shared" ca="1" si="513"/>
        <v>19151.840146361305</v>
      </c>
      <c r="AC392" s="1122">
        <f t="shared" ca="1" si="513"/>
        <v>79162.954083474295</v>
      </c>
      <c r="AD392" s="1122">
        <f t="shared" ca="1" si="513"/>
        <v>163008.16016257234</v>
      </c>
      <c r="AE392" s="1122">
        <f t="shared" ca="1" si="513"/>
        <v>57307.70149225519</v>
      </c>
      <c r="AF392" s="1122">
        <f t="shared" ca="1" si="501"/>
        <v>422362.06253199058</v>
      </c>
      <c r="AH392" s="1122">
        <f t="shared" ref="AH392:AN392" si="514">AH383+AH389+AH391</f>
        <v>45823.47436439593</v>
      </c>
      <c r="AI392" s="1122">
        <f t="shared" si="514"/>
        <v>4156.6902188952608</v>
      </c>
      <c r="AJ392" s="1122">
        <f t="shared" si="514"/>
        <v>31065.393901346542</v>
      </c>
      <c r="AK392" s="1122">
        <f t="shared" si="514"/>
        <v>9621.4208185732823</v>
      </c>
      <c r="AL392" s="1122">
        <f t="shared" si="514"/>
        <v>45868.307659955943</v>
      </c>
      <c r="AM392" s="1122">
        <f t="shared" si="514"/>
        <v>89871.277904256072</v>
      </c>
      <c r="AN392" s="1122">
        <f t="shared" si="514"/>
        <v>37367.782777689514</v>
      </c>
      <c r="AO392" s="1122">
        <f>SUM(AH392:AN392)</f>
        <v>263774.34764511255</v>
      </c>
      <c r="AQ392" s="1122">
        <f t="shared" ref="AQ392:AW392" ca="1" si="515">AQ383+AQ389</f>
        <v>240050.42598557673</v>
      </c>
      <c r="AR392" s="1122">
        <f t="shared" ca="1" si="515"/>
        <v>32205.005406578308</v>
      </c>
      <c r="AS392" s="1122">
        <f t="shared" ca="1" si="515"/>
        <v>208017.98164423773</v>
      </c>
      <c r="AT392" s="1122">
        <f t="shared" ca="1" si="515"/>
        <v>73953.314528786039</v>
      </c>
      <c r="AU392" s="1122">
        <f t="shared" ca="1" si="515"/>
        <v>264250.20000315504</v>
      </c>
      <c r="AV392" s="1122">
        <f t="shared" ca="1" si="515"/>
        <v>442462.35930972925</v>
      </c>
      <c r="AW392" s="1122">
        <f t="shared" ca="1" si="515"/>
        <v>217925.7664214203</v>
      </c>
      <c r="AX392" s="1122">
        <f ca="1">SUM(AQ392:AW392)</f>
        <v>1478865.0532994834</v>
      </c>
      <c r="AZ392" s="1122">
        <f t="shared" ref="AZ392:BF392" ca="1" si="516">AZ383+AZ389+AZ391</f>
        <v>29059.058331911951</v>
      </c>
      <c r="BA392" s="1122">
        <f t="shared" ca="1" si="516"/>
        <v>7238.505956295814</v>
      </c>
      <c r="BB392" s="1122">
        <f t="shared" ca="1" si="516"/>
        <v>43437.458967193554</v>
      </c>
      <c r="BC392" s="1122">
        <f t="shared" ca="1" si="516"/>
        <v>13183.141863155686</v>
      </c>
      <c r="BD392" s="1122">
        <f t="shared" ca="1" si="516"/>
        <v>48643.003444081078</v>
      </c>
      <c r="BE392" s="1122">
        <f t="shared" ca="1" si="516"/>
        <v>90160.595975133561</v>
      </c>
      <c r="BF392" s="1122">
        <f t="shared" ca="1" si="516"/>
        <v>33604.315256565103</v>
      </c>
      <c r="BG392" s="1122">
        <f ca="1">SUM(AZ392:BF392)</f>
        <v>265326.07979433675</v>
      </c>
      <c r="BI392" s="1122">
        <f t="shared" ref="BI392:BO392" ca="1" si="517">BI383+BI389+BI391</f>
        <v>7371.3410372578674</v>
      </c>
      <c r="BJ392" s="1122">
        <f t="shared" ca="1" si="517"/>
        <v>1838.3763374618297</v>
      </c>
      <c r="BK392" s="1122">
        <f t="shared" ca="1" si="517"/>
        <v>11027.118681357088</v>
      </c>
      <c r="BL392" s="1122">
        <f t="shared" ca="1" si="517"/>
        <v>3347.0478190651343</v>
      </c>
      <c r="BM392" s="1122">
        <f t="shared" ca="1" si="517"/>
        <v>12352.423875092933</v>
      </c>
      <c r="BN392" s="1122">
        <f t="shared" ca="1" si="517"/>
        <v>22845.049812307589</v>
      </c>
      <c r="BO392" s="1122">
        <f t="shared" ca="1" si="517"/>
        <v>8508.175974230604</v>
      </c>
      <c r="BP392" s="1122">
        <f ca="1">SUM(BI392:BO392)</f>
        <v>67289.533536773044</v>
      </c>
    </row>
    <row r="393" spans="2:68" ht="13.2" customHeight="1">
      <c r="B393" s="6"/>
      <c r="G393" s="576"/>
      <c r="H393" s="576"/>
      <c r="I393" s="576"/>
      <c r="J393" s="576"/>
      <c r="K393" s="576"/>
      <c r="L393" s="576"/>
      <c r="M393" s="576"/>
      <c r="N393" s="576"/>
      <c r="O393" s="39">
        <f>ROW()</f>
        <v>393</v>
      </c>
      <c r="P393" s="12"/>
      <c r="Q393" s="12"/>
      <c r="R393" s="12"/>
      <c r="S393" s="12"/>
      <c r="T393" s="12"/>
      <c r="U393" s="12"/>
      <c r="V393" s="12"/>
      <c r="W393" s="12"/>
      <c r="Y393" s="12"/>
      <c r="Z393" s="12"/>
      <c r="AA393" s="12"/>
      <c r="AB393" s="12"/>
      <c r="AC393" s="12"/>
      <c r="AD393" s="12"/>
      <c r="AE393" s="12"/>
      <c r="AF393" s="12"/>
      <c r="AH393" s="12"/>
      <c r="AI393" s="12"/>
      <c r="AJ393" s="12"/>
      <c r="AK393" s="12"/>
      <c r="AL393" s="12"/>
      <c r="AM393" s="12"/>
      <c r="AN393" s="12"/>
      <c r="AO393" s="12"/>
      <c r="AQ393" s="2196" t="str">
        <f>CONCATENATE("Figures are sums of Rows ",O383, " and ",O389, ".")</f>
        <v>Figures are sums of Rows 383 and 389.</v>
      </c>
      <c r="AZ393" s="12"/>
      <c r="BA393" s="12"/>
      <c r="BB393" s="12"/>
      <c r="BC393" s="12"/>
      <c r="BD393" s="12"/>
      <c r="BE393" s="12"/>
      <c r="BF393" s="12"/>
      <c r="BG393" s="12"/>
      <c r="BI393" s="12"/>
      <c r="BJ393" s="12"/>
      <c r="BK393" s="12"/>
      <c r="BL393" s="12"/>
      <c r="BM393" s="12"/>
      <c r="BN393" s="12"/>
      <c r="BO393" s="12"/>
      <c r="BP393" s="12"/>
    </row>
    <row r="394" spans="2:68" ht="13.2" customHeight="1">
      <c r="B394" s="6" t="s">
        <v>375</v>
      </c>
      <c r="O394" s="39">
        <f>ROW()</f>
        <v>394</v>
      </c>
    </row>
    <row r="395" spans="2:68" ht="13.2" customHeight="1">
      <c r="B395" s="280" t="s">
        <v>2405</v>
      </c>
      <c r="G395" s="10">
        <f t="shared" ref="G395:M395" ca="1" si="518">G392/G118</f>
        <v>70637.267675061332</v>
      </c>
      <c r="H395" s="10">
        <f t="shared" ca="1" si="518"/>
        <v>71176.173340836176</v>
      </c>
      <c r="I395" s="10">
        <f t="shared" ca="1" si="518"/>
        <v>153045.03881210557</v>
      </c>
      <c r="J395" s="10">
        <f t="shared" ca="1" si="518"/>
        <v>150980.27929182089</v>
      </c>
      <c r="K395" s="10">
        <f t="shared" ca="1" si="518"/>
        <v>140226.6672480152</v>
      </c>
      <c r="L395" s="10">
        <f t="shared" ca="1" si="518"/>
        <v>164157.28023645922</v>
      </c>
      <c r="M395" s="10">
        <f t="shared" ca="1" si="518"/>
        <v>139313.28217731448</v>
      </c>
      <c r="O395" s="39">
        <f>ROW()</f>
        <v>395</v>
      </c>
      <c r="P395" s="10"/>
    </row>
    <row r="396" spans="2:68" ht="13.2" customHeight="1">
      <c r="B396" s="309" t="str">
        <f>CONCATENATE("Calculated as Cordon VMT in period, in Row ",O383, " divided by number of hours in period, in Row ",O118, ".")</f>
        <v>Calculated as Cordon VMT in period, in Row 383 divided by number of hours in period, in Row 118.</v>
      </c>
      <c r="G396" s="10"/>
      <c r="H396" s="10"/>
      <c r="I396" s="10"/>
      <c r="J396" s="10"/>
      <c r="K396" s="10"/>
      <c r="L396" s="10"/>
      <c r="M396" s="10"/>
      <c r="O396" s="39">
        <f>ROW()</f>
        <v>396</v>
      </c>
    </row>
    <row r="397" spans="2:68" ht="13.2" customHeight="1">
      <c r="B397" s="280" t="s">
        <v>315</v>
      </c>
      <c r="G397" s="39">
        <f t="shared" ref="G397:M397" ca="1" si="519">G395/G149</f>
        <v>0.94851568118216401</v>
      </c>
      <c r="H397" s="39">
        <f t="shared" ca="1" si="519"/>
        <v>0.80166963790327839</v>
      </c>
      <c r="I397" s="39">
        <f t="shared" ca="1" si="519"/>
        <v>0.86670723958566143</v>
      </c>
      <c r="J397" s="39">
        <f t="shared" ca="1" si="519"/>
        <v>0.8795298056594375</v>
      </c>
      <c r="K397" s="39">
        <f t="shared" ca="1" si="519"/>
        <v>0.90707907739784843</v>
      </c>
      <c r="L397" s="39">
        <f t="shared" ca="1" si="519"/>
        <v>0.88626493022124297</v>
      </c>
      <c r="M397" s="39">
        <f t="shared" ca="1" si="519"/>
        <v>0.89429524342477329</v>
      </c>
      <c r="N397" s="839">
        <f ca="1">N392/N147</f>
        <v>0.89366474899290749</v>
      </c>
      <c r="O397" s="39">
        <f>ROW()</f>
        <v>397</v>
      </c>
      <c r="P397" s="4147" t="s">
        <v>2680</v>
      </c>
      <c r="Q397" s="4147"/>
      <c r="R397" s="4147"/>
      <c r="S397" s="4147"/>
      <c r="T397" s="4147"/>
      <c r="U397" s="4147"/>
      <c r="V397" s="4147"/>
      <c r="W397" s="4147"/>
      <c r="Y397" s="4147" t="s">
        <v>2681</v>
      </c>
      <c r="Z397" s="4147"/>
      <c r="AA397" s="4147"/>
      <c r="AB397" s="4147"/>
      <c r="AC397" s="4147"/>
      <c r="AD397" s="4147"/>
      <c r="AE397" s="4147"/>
      <c r="AF397" s="4147"/>
      <c r="AH397" s="4263" t="s">
        <v>5482</v>
      </c>
      <c r="AI397" s="4264"/>
      <c r="AJ397" s="4264"/>
      <c r="AK397" s="4264"/>
      <c r="AL397" s="4264"/>
      <c r="AM397" s="4264"/>
      <c r="AN397" s="4264"/>
      <c r="AO397" s="4264"/>
      <c r="AQ397" s="4147" t="s">
        <v>713</v>
      </c>
      <c r="AR397" s="4147"/>
      <c r="AS397" s="4147"/>
      <c r="AT397" s="4147"/>
      <c r="AU397" s="4147"/>
      <c r="AV397" s="4147"/>
      <c r="AW397" s="4147"/>
      <c r="AX397" s="4147"/>
      <c r="AZ397" s="4147" t="s">
        <v>460</v>
      </c>
      <c r="BA397" s="4147"/>
      <c r="BB397" s="4147"/>
      <c r="BC397" s="4147"/>
      <c r="BD397" s="4147"/>
      <c r="BE397" s="4147"/>
      <c r="BF397" s="4147"/>
      <c r="BG397" s="4147"/>
      <c r="BI397" s="4147" t="s">
        <v>849</v>
      </c>
      <c r="BJ397" s="4147"/>
      <c r="BK397" s="4147"/>
      <c r="BL397" s="4147"/>
      <c r="BM397" s="4147"/>
      <c r="BN397" s="4147"/>
      <c r="BO397" s="4147"/>
      <c r="BP397" s="4147"/>
    </row>
    <row r="398" spans="2:68" ht="13.2" customHeight="1">
      <c r="B398" s="309" t="str">
        <f>CONCATENATE("Ratio of post-toll hourly VMT in period, in Row ",O394, " to pre-toll hourly VMT, in Row ",O149, ".")</f>
        <v>Ratio of post-toll hourly VMT in period, in Row 394 to pre-toll hourly VMT, in Row 149.</v>
      </c>
      <c r="G398" s="39"/>
      <c r="H398" s="39"/>
      <c r="I398" s="39"/>
      <c r="J398" s="39"/>
      <c r="K398" s="39"/>
      <c r="L398" s="39"/>
      <c r="M398" s="39"/>
      <c r="O398" s="39">
        <f>ROW()</f>
        <v>398</v>
      </c>
    </row>
    <row r="399" spans="2:68" ht="13.2" customHeight="1">
      <c r="B399" s="281" t="s">
        <v>2823</v>
      </c>
      <c r="G399" s="819">
        <f>'User Inputs'!J93*Cordon!F164</f>
        <v>0</v>
      </c>
      <c r="I399" s="39"/>
      <c r="J399" s="39"/>
      <c r="K399" s="39"/>
      <c r="L399" s="39"/>
      <c r="M399" s="39"/>
      <c r="O399" s="39">
        <f>ROW()</f>
        <v>399</v>
      </c>
    </row>
    <row r="400" spans="2:68" ht="13.2" customHeight="1">
      <c r="B400" s="309" t="s">
        <v>2236</v>
      </c>
      <c r="G400" s="882"/>
      <c r="H400" s="7"/>
      <c r="I400" s="39"/>
      <c r="J400" s="39"/>
      <c r="K400" s="39"/>
      <c r="L400" s="39"/>
      <c r="M400" s="39"/>
      <c r="O400" s="39">
        <f>ROW()</f>
        <v>400</v>
      </c>
      <c r="P400" s="880" t="s">
        <v>1472</v>
      </c>
      <c r="Q400" s="880" t="s">
        <v>615</v>
      </c>
      <c r="R400" s="880" t="s">
        <v>2445</v>
      </c>
      <c r="S400" s="880" t="s">
        <v>616</v>
      </c>
      <c r="T400" s="880" t="s">
        <v>1152</v>
      </c>
      <c r="U400" s="880" t="s">
        <v>1151</v>
      </c>
      <c r="V400" s="880" t="s">
        <v>617</v>
      </c>
      <c r="W400" s="880" t="s">
        <v>2684</v>
      </c>
      <c r="Y400" s="880" t="s">
        <v>1472</v>
      </c>
      <c r="Z400" s="880" t="s">
        <v>615</v>
      </c>
      <c r="AA400" s="880" t="s">
        <v>2445</v>
      </c>
      <c r="AB400" s="880" t="s">
        <v>616</v>
      </c>
      <c r="AC400" s="880" t="s">
        <v>1152</v>
      </c>
      <c r="AD400" s="880" t="s">
        <v>1151</v>
      </c>
      <c r="AE400" s="880" t="s">
        <v>617</v>
      </c>
      <c r="AF400" s="880" t="s">
        <v>2684</v>
      </c>
      <c r="AH400" s="880" t="s">
        <v>1472</v>
      </c>
      <c r="AI400" s="880" t="s">
        <v>615</v>
      </c>
      <c r="AJ400" s="880" t="s">
        <v>2445</v>
      </c>
      <c r="AK400" s="880" t="s">
        <v>616</v>
      </c>
      <c r="AL400" s="880" t="s">
        <v>1152</v>
      </c>
      <c r="AM400" s="880" t="s">
        <v>1151</v>
      </c>
      <c r="AN400" s="880" t="s">
        <v>617</v>
      </c>
      <c r="AO400" s="880" t="s">
        <v>2684</v>
      </c>
      <c r="AQ400" s="880" t="s">
        <v>1472</v>
      </c>
      <c r="AR400" s="880" t="s">
        <v>615</v>
      </c>
      <c r="AS400" s="880" t="s">
        <v>2445</v>
      </c>
      <c r="AT400" s="880" t="s">
        <v>616</v>
      </c>
      <c r="AU400" s="880" t="s">
        <v>1152</v>
      </c>
      <c r="AV400" s="880" t="s">
        <v>1151</v>
      </c>
      <c r="AW400" s="880" t="s">
        <v>617</v>
      </c>
      <c r="AX400" s="880" t="s">
        <v>2684</v>
      </c>
      <c r="AZ400" s="880" t="s">
        <v>1472</v>
      </c>
      <c r="BA400" s="880" t="s">
        <v>615</v>
      </c>
      <c r="BB400" s="880" t="s">
        <v>2445</v>
      </c>
      <c r="BC400" s="880" t="s">
        <v>616</v>
      </c>
      <c r="BD400" s="880" t="s">
        <v>1152</v>
      </c>
      <c r="BE400" s="880" t="s">
        <v>1151</v>
      </c>
      <c r="BF400" s="880" t="s">
        <v>617</v>
      </c>
      <c r="BG400" s="880" t="s">
        <v>2684</v>
      </c>
      <c r="BI400" s="880" t="s">
        <v>1472</v>
      </c>
      <c r="BJ400" s="880" t="s">
        <v>615</v>
      </c>
      <c r="BK400" s="880" t="s">
        <v>2445</v>
      </c>
      <c r="BL400" s="880" t="s">
        <v>616</v>
      </c>
      <c r="BM400" s="880" t="s">
        <v>1152</v>
      </c>
      <c r="BN400" s="880" t="s">
        <v>1151</v>
      </c>
      <c r="BO400" s="880" t="s">
        <v>617</v>
      </c>
      <c r="BP400" s="880" t="s">
        <v>2684</v>
      </c>
    </row>
    <row r="401" spans="2:68" ht="13.2" customHeight="1">
      <c r="B401" s="281" t="s">
        <v>1641</v>
      </c>
      <c r="G401" s="621">
        <f>1/(1-G399)</f>
        <v>1</v>
      </c>
      <c r="I401" s="39"/>
      <c r="J401" s="39"/>
      <c r="K401" s="39"/>
      <c r="L401" s="39"/>
      <c r="M401" s="39"/>
      <c r="O401" s="39">
        <f>ROW()</f>
        <v>401</v>
      </c>
      <c r="P401" s="298" t="s">
        <v>2678</v>
      </c>
      <c r="Q401" s="298" t="s">
        <v>665</v>
      </c>
      <c r="R401" s="298" t="s">
        <v>666</v>
      </c>
      <c r="S401" s="298" t="s">
        <v>667</v>
      </c>
      <c r="T401" s="298" t="s">
        <v>668</v>
      </c>
      <c r="U401" s="298" t="s">
        <v>434</v>
      </c>
      <c r="V401" s="298" t="s">
        <v>435</v>
      </c>
      <c r="W401" s="298"/>
      <c r="Y401" s="298" t="s">
        <v>2678</v>
      </c>
      <c r="Z401" s="298" t="s">
        <v>665</v>
      </c>
      <c r="AA401" s="298" t="s">
        <v>666</v>
      </c>
      <c r="AB401" s="298" t="s">
        <v>667</v>
      </c>
      <c r="AC401" s="298" t="s">
        <v>668</v>
      </c>
      <c r="AD401" s="298" t="s">
        <v>434</v>
      </c>
      <c r="AE401" s="298" t="s">
        <v>435</v>
      </c>
      <c r="AF401" s="298"/>
      <c r="AH401" s="298" t="s">
        <v>2678</v>
      </c>
      <c r="AI401" s="298" t="s">
        <v>665</v>
      </c>
      <c r="AJ401" s="298" t="s">
        <v>666</v>
      </c>
      <c r="AK401" s="298" t="s">
        <v>667</v>
      </c>
      <c r="AL401" s="298" t="s">
        <v>668</v>
      </c>
      <c r="AM401" s="298" t="s">
        <v>434</v>
      </c>
      <c r="AN401" s="298" t="s">
        <v>435</v>
      </c>
      <c r="AO401" s="298"/>
      <c r="AQ401" s="298" t="s">
        <v>2678</v>
      </c>
      <c r="AR401" s="298" t="s">
        <v>665</v>
      </c>
      <c r="AS401" s="298" t="s">
        <v>666</v>
      </c>
      <c r="AT401" s="298" t="s">
        <v>667</v>
      </c>
      <c r="AU401" s="298" t="s">
        <v>668</v>
      </c>
      <c r="AV401" s="298" t="s">
        <v>434</v>
      </c>
      <c r="AW401" s="298" t="s">
        <v>435</v>
      </c>
      <c r="AZ401" s="298" t="s">
        <v>2678</v>
      </c>
      <c r="BA401" s="298" t="s">
        <v>665</v>
      </c>
      <c r="BB401" s="298" t="s">
        <v>666</v>
      </c>
      <c r="BC401" s="298" t="s">
        <v>667</v>
      </c>
      <c r="BD401" s="298" t="s">
        <v>668</v>
      </c>
      <c r="BE401" s="298" t="s">
        <v>434</v>
      </c>
      <c r="BF401" s="298" t="s">
        <v>435</v>
      </c>
      <c r="BG401" s="298"/>
      <c r="BI401" s="298" t="s">
        <v>2678</v>
      </c>
      <c r="BJ401" s="298" t="s">
        <v>665</v>
      </c>
      <c r="BK401" s="298" t="s">
        <v>666</v>
      </c>
      <c r="BL401" s="298" t="s">
        <v>667</v>
      </c>
      <c r="BM401" s="298" t="s">
        <v>668</v>
      </c>
      <c r="BN401" s="298" t="s">
        <v>434</v>
      </c>
      <c r="BO401" s="298" t="s">
        <v>435</v>
      </c>
      <c r="BP401" s="298"/>
    </row>
    <row r="402" spans="2:68" ht="13.2" customHeight="1">
      <c r="B402" s="309" t="str">
        <f>CONCATENATE("Calculated as reciprocal of the complement of the traffic capacity being removed from service (see Row ", O399, ").")</f>
        <v>Calculated as reciprocal of the complement of the traffic capacity being removed from service (see Row 399).</v>
      </c>
      <c r="G402" s="621"/>
      <c r="H402" s="641"/>
      <c r="I402" s="39"/>
      <c r="J402" s="39"/>
      <c r="K402" s="39"/>
      <c r="L402" s="39"/>
      <c r="M402" s="39"/>
      <c r="O402" s="39">
        <f>ROW()</f>
        <v>402</v>
      </c>
    </row>
    <row r="403" spans="2:68" ht="13.2" customHeight="1">
      <c r="B403" s="280" t="s">
        <v>1828</v>
      </c>
      <c r="G403" s="21">
        <f t="shared" ref="G403:M403" ca="1" si="520">KSC/(1+0.1*(G395*$G$401/V_sub_k)^KSE)</f>
        <v>21.241085517067006</v>
      </c>
      <c r="H403" s="21">
        <f t="shared" ca="1" si="520"/>
        <v>21.218491663416749</v>
      </c>
      <c r="I403" s="21">
        <f t="shared" ca="1" si="520"/>
        <v>12.308853086843829</v>
      </c>
      <c r="J403" s="21">
        <f t="shared" ca="1" si="520"/>
        <v>12.602427670409124</v>
      </c>
      <c r="K403" s="21">
        <f t="shared" ca="1" si="520"/>
        <v>14.148956002200189</v>
      </c>
      <c r="L403" s="21">
        <f t="shared" ca="1" si="520"/>
        <v>10.773074746416661</v>
      </c>
      <c r="M403" s="21">
        <f t="shared" ca="1" si="520"/>
        <v>14.280443411997767</v>
      </c>
      <c r="O403" s="39">
        <f>ROW()</f>
        <v>403</v>
      </c>
      <c r="P403" s="21">
        <f t="shared" ref="P403:V403" ca="1" si="521">G403</f>
        <v>21.241085517067006</v>
      </c>
      <c r="Q403" s="21">
        <f t="shared" ca="1" si="521"/>
        <v>21.218491663416749</v>
      </c>
      <c r="R403" s="21">
        <f t="shared" ca="1" si="521"/>
        <v>12.308853086843829</v>
      </c>
      <c r="S403" s="21">
        <f t="shared" ca="1" si="521"/>
        <v>12.602427670409124</v>
      </c>
      <c r="T403" s="21">
        <f t="shared" ca="1" si="521"/>
        <v>14.148956002200189</v>
      </c>
      <c r="U403" s="21">
        <f t="shared" ca="1" si="521"/>
        <v>10.773074746416661</v>
      </c>
      <c r="V403" s="21">
        <f t="shared" ca="1" si="521"/>
        <v>14.280443411997767</v>
      </c>
      <c r="Y403" s="21">
        <f t="shared" ref="Y403:AE403" ca="1" si="522">P403</f>
        <v>21.241085517067006</v>
      </c>
      <c r="Z403" s="21">
        <f t="shared" ca="1" si="522"/>
        <v>21.218491663416749</v>
      </c>
      <c r="AA403" s="21">
        <f t="shared" ca="1" si="522"/>
        <v>12.308853086843829</v>
      </c>
      <c r="AB403" s="21">
        <f t="shared" ca="1" si="522"/>
        <v>12.602427670409124</v>
      </c>
      <c r="AC403" s="21">
        <f t="shared" ca="1" si="522"/>
        <v>14.148956002200189</v>
      </c>
      <c r="AD403" s="21">
        <f t="shared" ca="1" si="522"/>
        <v>10.773074746416661</v>
      </c>
      <c r="AE403" s="21">
        <f t="shared" ca="1" si="522"/>
        <v>14.280443411997767</v>
      </c>
      <c r="AH403" s="21">
        <f t="shared" ref="AH403:AN403" ca="1" si="523">Y403</f>
        <v>21.241085517067006</v>
      </c>
      <c r="AI403" s="21">
        <f t="shared" ca="1" si="523"/>
        <v>21.218491663416749</v>
      </c>
      <c r="AJ403" s="21">
        <f t="shared" ca="1" si="523"/>
        <v>12.308853086843829</v>
      </c>
      <c r="AK403" s="21">
        <f t="shared" ca="1" si="523"/>
        <v>12.602427670409124</v>
      </c>
      <c r="AL403" s="21">
        <f t="shared" ca="1" si="523"/>
        <v>14.148956002200189</v>
      </c>
      <c r="AM403" s="21">
        <f t="shared" ca="1" si="523"/>
        <v>10.773074746416661</v>
      </c>
      <c r="AN403" s="21">
        <f t="shared" ca="1" si="523"/>
        <v>14.280443411997767</v>
      </c>
      <c r="AQ403" s="21">
        <f t="shared" ref="AQ403:AW403" ca="1" si="524">$AU$181*G403</f>
        <v>20.179031241213654</v>
      </c>
      <c r="AR403" s="21">
        <f t="shared" ca="1" si="524"/>
        <v>20.157567080245911</v>
      </c>
      <c r="AS403" s="21">
        <f t="shared" ca="1" si="524"/>
        <v>11.693410432501636</v>
      </c>
      <c r="AT403" s="21">
        <f t="shared" ca="1" si="524"/>
        <v>11.972306286888667</v>
      </c>
      <c r="AU403" s="21">
        <f t="shared" ca="1" si="524"/>
        <v>13.441508202090178</v>
      </c>
      <c r="AV403" s="21">
        <f t="shared" ca="1" si="524"/>
        <v>10.234421009095827</v>
      </c>
      <c r="AW403" s="21">
        <f t="shared" ca="1" si="524"/>
        <v>13.566421241397878</v>
      </c>
      <c r="AZ403" s="21">
        <f t="shared" ref="AZ403:BF403" ca="1" si="525">AQ403</f>
        <v>20.179031241213654</v>
      </c>
      <c r="BA403" s="21">
        <f t="shared" ca="1" si="525"/>
        <v>20.157567080245911</v>
      </c>
      <c r="BB403" s="21">
        <f t="shared" ca="1" si="525"/>
        <v>11.693410432501636</v>
      </c>
      <c r="BC403" s="21">
        <f t="shared" ca="1" si="525"/>
        <v>11.972306286888667</v>
      </c>
      <c r="BD403" s="21">
        <f t="shared" ca="1" si="525"/>
        <v>13.441508202090178</v>
      </c>
      <c r="BE403" s="21">
        <f t="shared" ca="1" si="525"/>
        <v>10.234421009095827</v>
      </c>
      <c r="BF403" s="21">
        <f t="shared" ca="1" si="525"/>
        <v>13.566421241397878</v>
      </c>
      <c r="BI403" s="21">
        <f t="shared" ref="BI403:BO403" ca="1" si="526">AZ403</f>
        <v>20.179031241213654</v>
      </c>
      <c r="BJ403" s="21">
        <f t="shared" ca="1" si="526"/>
        <v>20.157567080245911</v>
      </c>
      <c r="BK403" s="21">
        <f t="shared" ca="1" si="526"/>
        <v>11.693410432501636</v>
      </c>
      <c r="BL403" s="21">
        <f t="shared" ca="1" si="526"/>
        <v>11.972306286888667</v>
      </c>
      <c r="BM403" s="21">
        <f t="shared" ca="1" si="526"/>
        <v>13.441508202090178</v>
      </c>
      <c r="BN403" s="21">
        <f t="shared" ca="1" si="526"/>
        <v>10.234421009095827</v>
      </c>
      <c r="BO403" s="21">
        <f t="shared" ca="1" si="526"/>
        <v>13.566421241397878</v>
      </c>
    </row>
    <row r="404" spans="2:68" ht="13.2" customHeight="1">
      <c r="B404" s="309" t="str">
        <f>CONCATENATE("Speeds are calculated with 'speed-volume' relationship discussed in Part B, above, in note beginning in Row ",O177, ".")</f>
        <v>Speeds are calculated with 'speed-volume' relationship discussed in Part B, above, in note beginning in Row 177.</v>
      </c>
      <c r="G404" s="10"/>
      <c r="O404" s="39">
        <f>ROW()</f>
        <v>404</v>
      </c>
    </row>
    <row r="405" spans="2:68" ht="13.2" customHeight="1">
      <c r="B405" s="309"/>
      <c r="G405" s="10"/>
      <c r="O405" s="39">
        <f>ROW()</f>
        <v>405</v>
      </c>
      <c r="AQ405" s="1"/>
      <c r="AR405" s="1"/>
      <c r="AS405" s="1"/>
      <c r="AT405" s="131" t="s">
        <v>1438</v>
      </c>
      <c r="AU405" s="1551">
        <f>Taxis!$L$128</f>
        <v>1.1200000000000001</v>
      </c>
      <c r="AV405" s="265" t="str">
        <f>CONCATENATE("(Taxi worksheet, Row ",O135, ")")</f>
        <v>(Taxi worksheet, Row 135)</v>
      </c>
      <c r="AW405" s="202"/>
      <c r="AX405" s="202"/>
    </row>
    <row r="406" spans="2:68" ht="13.2" customHeight="1">
      <c r="B406" s="6" t="s">
        <v>316</v>
      </c>
      <c r="G406" s="10"/>
      <c r="O406" s="39">
        <f>ROW()</f>
        <v>406</v>
      </c>
      <c r="AQ406" s="202"/>
      <c r="AR406" s="202"/>
      <c r="AS406" s="202"/>
      <c r="AT406" s="202"/>
      <c r="AU406" s="202"/>
      <c r="AV406" s="202"/>
      <c r="AW406" s="202"/>
      <c r="AX406" s="202"/>
    </row>
    <row r="407" spans="2:68" ht="13.2" customHeight="1">
      <c r="B407" s="1123" t="s">
        <v>2297</v>
      </c>
      <c r="G407" s="1122">
        <f t="shared" ref="G407:M409" ca="1" si="527">P407+Y407+AH407+AQ407+AZ407+BI407</f>
        <v>-160592.7980333445</v>
      </c>
      <c r="H407" s="1122">
        <f t="shared" ca="1" si="527"/>
        <v>-150370.32538605045</v>
      </c>
      <c r="I407" s="1122">
        <f t="shared" ca="1" si="527"/>
        <v>-602216.46716282563</v>
      </c>
      <c r="J407" s="1122">
        <f t="shared" ca="1" si="527"/>
        <v>-177549.54683048034</v>
      </c>
      <c r="K407" s="1122">
        <f t="shared" ca="1" si="527"/>
        <v>-433770.02986093838</v>
      </c>
      <c r="L407" s="1122">
        <f t="shared" ca="1" si="527"/>
        <v>-981837.17631993117</v>
      </c>
      <c r="M407" s="1122">
        <f t="shared" ca="1" si="527"/>
        <v>-390804.33042342024</v>
      </c>
      <c r="N407" s="1122">
        <f ca="1">SUM(G407:M407)</f>
        <v>-2897140.6740169907</v>
      </c>
      <c r="O407" s="39">
        <f>ROW()</f>
        <v>407</v>
      </c>
      <c r="P407" s="1122">
        <f t="shared" ref="P407:V407" ca="1" si="528">P366*$I$79</f>
        <v>-1819.6115659657116</v>
      </c>
      <c r="Q407" s="1122">
        <f t="shared" ca="1" si="528"/>
        <v>-74482.18808826906</v>
      </c>
      <c r="R407" s="1122">
        <f t="shared" ca="1" si="528"/>
        <v>-381137.31511646166</v>
      </c>
      <c r="S407" s="1122">
        <f t="shared" ca="1" si="528"/>
        <v>-92509.064817906008</v>
      </c>
      <c r="T407" s="1122">
        <f t="shared" ca="1" si="528"/>
        <v>-190755.99182722782</v>
      </c>
      <c r="U407" s="1122">
        <f t="shared" ca="1" si="528"/>
        <v>-288535.52873905184</v>
      </c>
      <c r="V407" s="1122">
        <f t="shared" ca="1" si="528"/>
        <v>-81193.071150540462</v>
      </c>
      <c r="W407" s="1122">
        <f ca="1">SUM(P407:V407)</f>
        <v>-1110432.7713054225</v>
      </c>
      <c r="Y407" s="1122">
        <f t="shared" ref="Y407:AE407" ca="1" si="529">Y366*$J$79</f>
        <v>-48415.57615478307</v>
      </c>
      <c r="Z407" s="1122">
        <f t="shared" ca="1" si="529"/>
        <v>-12435.480771251088</v>
      </c>
      <c r="AA407" s="1122">
        <f t="shared" ca="1" si="529"/>
        <v>-56507.216617902966</v>
      </c>
      <c r="AB407" s="1122">
        <f t="shared" ca="1" si="529"/>
        <v>-34398.645410442965</v>
      </c>
      <c r="AC407" s="1122">
        <f t="shared" ca="1" si="529"/>
        <v>-82482.763320802536</v>
      </c>
      <c r="AD407" s="1122">
        <f t="shared" ca="1" si="529"/>
        <v>-298166.18836227769</v>
      </c>
      <c r="AE407" s="1122">
        <f t="shared" ca="1" si="529"/>
        <v>-105601.6574313056</v>
      </c>
      <c r="AF407" s="1122">
        <f ca="1">SUM(Y407:AE407)</f>
        <v>-638007.528068766</v>
      </c>
      <c r="AH407" s="1122">
        <f t="shared" ref="AH407:AN407" si="530">AH366*$K$79</f>
        <v>-117594.15333684845</v>
      </c>
      <c r="AI407" s="1122">
        <f t="shared" si="530"/>
        <v>-59845.785543084858</v>
      </c>
      <c r="AJ407" s="1122">
        <f t="shared" si="530"/>
        <v>-158104.57994606855</v>
      </c>
      <c r="AK407" s="1122">
        <f t="shared" si="530"/>
        <v>-48158.084083811766</v>
      </c>
      <c r="AL407" s="1122">
        <f t="shared" si="530"/>
        <v>-161181.7173553858</v>
      </c>
      <c r="AM407" s="1122">
        <f t="shared" si="530"/>
        <v>-387018.45322237798</v>
      </c>
      <c r="AN407" s="1122">
        <f t="shared" si="530"/>
        <v>-201062.08682755131</v>
      </c>
      <c r="AO407" s="1122">
        <f>SUM(AH407:AN407)</f>
        <v>-1132964.8603151287</v>
      </c>
      <c r="AQ407" s="1399">
        <f t="shared" ref="AQ407:AW407" ca="1" si="531">AQ366*$L$79</f>
        <v>1769.7726270549479</v>
      </c>
      <c r="AR407" s="1399">
        <f t="shared" ca="1" si="531"/>
        <v>713.07425318054698</v>
      </c>
      <c r="AS407" s="1399">
        <f t="shared" ca="1" si="531"/>
        <v>4113.3716033769551</v>
      </c>
      <c r="AT407" s="1399">
        <f t="shared" ca="1" si="531"/>
        <v>1216.5008073382382</v>
      </c>
      <c r="AU407" s="1399">
        <f t="shared" ca="1" si="531"/>
        <v>3923.1518671348849</v>
      </c>
      <c r="AV407" s="1399">
        <f t="shared" ca="1" si="531"/>
        <v>6365.1660159678759</v>
      </c>
      <c r="AW407" s="1399">
        <f t="shared" ca="1" si="531"/>
        <v>2212.49211151688</v>
      </c>
      <c r="AX407" s="1399">
        <f ca="1">SUM(AQ407:AW407)</f>
        <v>20313.52928557033</v>
      </c>
      <c r="AZ407" s="1122">
        <f t="shared" ref="AZ407:BF407" ca="1" si="532">AZ366*$M$79</f>
        <v>3639.5696529554748</v>
      </c>
      <c r="BA407" s="1122">
        <f t="shared" ca="1" si="532"/>
        <v>-3319.9846769835744</v>
      </c>
      <c r="BB407" s="1122">
        <f t="shared" ca="1" si="532"/>
        <v>-8517.0031768440876</v>
      </c>
      <c r="BC407" s="1122">
        <f t="shared" ca="1" si="532"/>
        <v>-2949.7053429865368</v>
      </c>
      <c r="BD407" s="1122">
        <f t="shared" ca="1" si="532"/>
        <v>-3203.9875476035686</v>
      </c>
      <c r="BE407" s="1122">
        <f t="shared" ca="1" si="532"/>
        <v>-11854.113237541376</v>
      </c>
      <c r="BF407" s="1122">
        <f t="shared" ca="1" si="532"/>
        <v>-4199.8330137853654</v>
      </c>
      <c r="BG407" s="1122">
        <f ca="1">SUM(AZ407:BF407)</f>
        <v>-30405.057342789038</v>
      </c>
      <c r="BI407" s="1122">
        <f t="shared" ref="BI407:BO407" ca="1" si="533">BI366*$N$79</f>
        <v>1827.2007442423185</v>
      </c>
      <c r="BJ407" s="1122">
        <f t="shared" ca="1" si="533"/>
        <v>-999.9605596424185</v>
      </c>
      <c r="BK407" s="1122">
        <f t="shared" ca="1" si="533"/>
        <v>-2063.7239089253317</v>
      </c>
      <c r="BL407" s="1122">
        <f t="shared" ca="1" si="533"/>
        <v>-750.5479826713165</v>
      </c>
      <c r="BM407" s="1122">
        <f t="shared" ca="1" si="533"/>
        <v>-68.721677053518277</v>
      </c>
      <c r="BN407" s="1122">
        <f t="shared" ca="1" si="533"/>
        <v>-2628.058774650247</v>
      </c>
      <c r="BO407" s="1122">
        <f t="shared" ca="1" si="533"/>
        <v>-960.17411175442646</v>
      </c>
      <c r="BP407" s="1122">
        <f ca="1">SUM(BI407:BO407)</f>
        <v>-5643.9862704549396</v>
      </c>
    </row>
    <row r="408" spans="2:68" ht="13.2" customHeight="1">
      <c r="B408" s="309" t="str">
        <f>CONCATENATE("Calculated as product of each period's changes in daily cordon entries in Row ",O366, " and each trip type's per-entry non-CBD miles in Row ",O85,".")</f>
        <v>Calculated as product of each period's changes in daily cordon entries in Row 366 and each trip type's per-entry non-CBD miles in Row 85.</v>
      </c>
      <c r="G408" s="10"/>
      <c r="H408" s="10"/>
      <c r="I408" s="10"/>
      <c r="J408" s="10"/>
      <c r="K408" s="10"/>
      <c r="L408" s="10"/>
      <c r="M408" s="10"/>
      <c r="O408" s="39">
        <f>ROW()</f>
        <v>408</v>
      </c>
      <c r="AQ408" s="202"/>
      <c r="AR408" s="202"/>
      <c r="AS408" s="202"/>
      <c r="AT408" s="202"/>
      <c r="AU408" s="202"/>
      <c r="AV408" s="202"/>
      <c r="AW408" s="202"/>
      <c r="AX408" s="202"/>
    </row>
    <row r="409" spans="2:68" ht="13.2" customHeight="1">
      <c r="B409" s="1123" t="s">
        <v>2298</v>
      </c>
      <c r="G409" s="1122">
        <f t="shared" ca="1" si="527"/>
        <v>-302084.98241155472</v>
      </c>
      <c r="H409" s="1122">
        <f t="shared" ca="1" si="527"/>
        <v>-110767.72944313478</v>
      </c>
      <c r="I409" s="1122">
        <f t="shared" ca="1" si="527"/>
        <v>-451372.66863412416</v>
      </c>
      <c r="J409" s="1122">
        <f t="shared" ca="1" si="527"/>
        <v>-137364.97118424572</v>
      </c>
      <c r="K409" s="1122">
        <f t="shared" ca="1" si="527"/>
        <v>-482264.42190403875</v>
      </c>
      <c r="L409" s="1122">
        <f t="shared" ca="1" si="527"/>
        <v>-988991.44599949382</v>
      </c>
      <c r="M409" s="1122">
        <f t="shared" ca="1" si="527"/>
        <v>-424294.45444039867</v>
      </c>
      <c r="N409" s="1122">
        <f ca="1">SUM(G409:M409)</f>
        <v>-2897140.6740169907</v>
      </c>
      <c r="O409" s="39">
        <f>ROW()</f>
        <v>409</v>
      </c>
      <c r="P409" s="1122">
        <f t="shared" ref="P409:V409" ca="1" si="534">$W$407*P141</f>
        <v>-117041.15259754582</v>
      </c>
      <c r="Q409" s="1122">
        <f t="shared" ca="1" si="534"/>
        <v>-31929.39755378916</v>
      </c>
      <c r="R409" s="1122">
        <f t="shared" ca="1" si="534"/>
        <v>-184116.46414926922</v>
      </c>
      <c r="S409" s="1122">
        <f t="shared" ca="1" si="534"/>
        <v>-56118.323037507376</v>
      </c>
      <c r="T409" s="1122">
        <f t="shared" ca="1" si="534"/>
        <v>-202022.73515449208</v>
      </c>
      <c r="U409" s="1122">
        <f t="shared" ca="1" si="534"/>
        <v>-378336.0855608157</v>
      </c>
      <c r="V409" s="1122">
        <f t="shared" ca="1" si="534"/>
        <v>-140868.61325200312</v>
      </c>
      <c r="W409" s="1122">
        <f ca="1">SUM(P409:V409)</f>
        <v>-1110432.7713054225</v>
      </c>
      <c r="Y409" s="1122">
        <f t="shared" ref="Y409:AE409" ca="1" si="535">$AF407*Y141</f>
        <v>-67246.877416355288</v>
      </c>
      <c r="Z409" s="1122">
        <f t="shared" ca="1" si="535"/>
        <v>-18345.276303462826</v>
      </c>
      <c r="AA409" s="1122">
        <f t="shared" ca="1" si="535"/>
        <v>-105785.5038180673</v>
      </c>
      <c r="AB409" s="1122">
        <f t="shared" ca="1" si="535"/>
        <v>-32243.205969537048</v>
      </c>
      <c r="AC409" s="1122">
        <f t="shared" ca="1" si="535"/>
        <v>-116073.68694467048</v>
      </c>
      <c r="AD409" s="1122">
        <f t="shared" ca="1" si="535"/>
        <v>-217375.85287950558</v>
      </c>
      <c r="AE409" s="1122">
        <f t="shared" ca="1" si="535"/>
        <v>-80937.124737167454</v>
      </c>
      <c r="AF409" s="1122">
        <f ca="1">SUM(Y409:AE409)</f>
        <v>-638007.528068766</v>
      </c>
      <c r="AH409" s="1122">
        <f t="shared" ref="AH409:AN409" si="536">AH407</f>
        <v>-117594.15333684845</v>
      </c>
      <c r="AI409" s="1122">
        <f t="shared" si="536"/>
        <v>-59845.785543084858</v>
      </c>
      <c r="AJ409" s="1122">
        <f t="shared" si="536"/>
        <v>-158104.57994606855</v>
      </c>
      <c r="AK409" s="1122">
        <f t="shared" si="536"/>
        <v>-48158.084083811766</v>
      </c>
      <c r="AL409" s="1122">
        <f t="shared" si="536"/>
        <v>-161181.7173553858</v>
      </c>
      <c r="AM409" s="1122">
        <f t="shared" si="536"/>
        <v>-387018.45322237798</v>
      </c>
      <c r="AN409" s="1122">
        <f t="shared" si="536"/>
        <v>-201062.08682755131</v>
      </c>
      <c r="AO409" s="1122">
        <f>SUM(AH409:AN409)</f>
        <v>-1132964.8603151287</v>
      </c>
      <c r="AQ409" s="1399">
        <f t="shared" ref="AQ409:AW409" ca="1" si="537">$AX407*AQ141</f>
        <v>3596.8200818945897</v>
      </c>
      <c r="AR409" s="1399">
        <f t="shared" ca="1" si="537"/>
        <v>389.28460031475441</v>
      </c>
      <c r="AS409" s="1399">
        <f t="shared" ca="1" si="537"/>
        <v>2611.0285651675472</v>
      </c>
      <c r="AT409" s="1399">
        <f t="shared" ca="1" si="537"/>
        <v>976.46482732898437</v>
      </c>
      <c r="AU409" s="1399">
        <f t="shared" ca="1" si="537"/>
        <v>3572.1752785623594</v>
      </c>
      <c r="AV409" s="1399">
        <f t="shared" ca="1" si="537"/>
        <v>6021.2327149574512</v>
      </c>
      <c r="AW409" s="1399">
        <f t="shared" ca="1" si="537"/>
        <v>3146.523217344642</v>
      </c>
      <c r="AX409" s="1399">
        <f ca="1">SUM(AQ409:AW409)</f>
        <v>20313.529285570326</v>
      </c>
      <c r="AZ409" s="1122">
        <f t="shared" ref="AZ409:BF409" ca="1" si="538">$BG407*AZ141</f>
        <v>-3204.7351700643426</v>
      </c>
      <c r="BA409" s="1122">
        <f t="shared" ca="1" si="538"/>
        <v>-874.26739252514949</v>
      </c>
      <c r="BB409" s="1122">
        <f t="shared" ca="1" si="538"/>
        <v>-5041.3422540015736</v>
      </c>
      <c r="BC409" s="1122">
        <f t="shared" ca="1" si="538"/>
        <v>-1536.5908446043704</v>
      </c>
      <c r="BD409" s="1122">
        <f t="shared" ca="1" si="538"/>
        <v>-5531.6386598517702</v>
      </c>
      <c r="BE409" s="1122">
        <f t="shared" ca="1" si="538"/>
        <v>-10359.321764972452</v>
      </c>
      <c r="BF409" s="1122">
        <f t="shared" ca="1" si="538"/>
        <v>-3857.1612567693778</v>
      </c>
      <c r="BG409" s="1122">
        <f ca="1">SUM(AZ409:BF409)</f>
        <v>-30405.057342789038</v>
      </c>
      <c r="BI409" s="1122">
        <f t="shared" ref="BI409:BO409" ca="1" si="539">$BP407*BI141</f>
        <v>-594.88397263545733</v>
      </c>
      <c r="BJ409" s="1122">
        <f t="shared" ca="1" si="539"/>
        <v>-162.28725058756157</v>
      </c>
      <c r="BK409" s="1122">
        <f t="shared" ca="1" si="539"/>
        <v>-935.80703188501991</v>
      </c>
      <c r="BL409" s="1122">
        <f t="shared" ca="1" si="539"/>
        <v>-285.2320761141608</v>
      </c>
      <c r="BM409" s="1122">
        <f t="shared" ca="1" si="539"/>
        <v>-1026.8190682010177</v>
      </c>
      <c r="BN409" s="1122">
        <f t="shared" ca="1" si="539"/>
        <v>-1922.9652867797004</v>
      </c>
      <c r="BO409" s="1122">
        <f t="shared" ca="1" si="539"/>
        <v>-715.99158425202177</v>
      </c>
      <c r="BP409" s="1122">
        <f ca="1">SUM(BI409:BO409)</f>
        <v>-5643.9862704549396</v>
      </c>
    </row>
    <row r="410" spans="2:68" ht="13.2" customHeight="1">
      <c r="B410" s="309" t="s">
        <v>2742</v>
      </c>
      <c r="G410" s="10"/>
      <c r="O410" s="39">
        <f>ROW()</f>
        <v>410</v>
      </c>
      <c r="AH410" s="282" t="str">
        <f>CONCATENATE("Figures in preceding row are made equal to corresponding figues in row ",O407,", since thru-trips leave cordon shortly after entering.")</f>
        <v>Figures in preceding row are made equal to corresponding figues in row 407, since thru-trips leave cordon shortly after entering.</v>
      </c>
      <c r="AQ410" s="7" t="str">
        <f>CONCATENATE("Row ",O411, " is additional change to non-cordon VMT beyond entries in Rows ",O407," and ",O409,". It's product of Rows ",O366, ", ",O377, " and ",O405,".")</f>
        <v>Row 411 is additional change to non-cordon VMT beyond entries in Rows 407 and 409. It's product of Rows 366, 377 and 405.</v>
      </c>
      <c r="AR410" s="202"/>
      <c r="AS410" s="202"/>
      <c r="AT410" s="202"/>
      <c r="AU410" s="202"/>
      <c r="AV410" s="202"/>
      <c r="AW410" s="202"/>
      <c r="AX410" s="202"/>
    </row>
    <row r="411" spans="2:68" ht="13.2" customHeight="1">
      <c r="B411" s="319" t="str">
        <f>CONCATENATE("(i) total change in each trip type's non-cordon VMT due to change in number of inbound entries, shown in Row ",O407, ", and")</f>
        <v>(i) total change in each trip type's non-cordon VMT due to change in number of inbound entries, shown in Row 407, and</v>
      </c>
      <c r="G411" s="10"/>
      <c r="O411" s="39">
        <f>ROW()</f>
        <v>411</v>
      </c>
      <c r="AQ411" s="1552">
        <f t="shared" ref="AQ411:AW411" ca="1" si="540">AQ366*$AU$377*$AU$405</f>
        <v>2388.1269184355929</v>
      </c>
      <c r="AR411" s="1552">
        <f t="shared" ca="1" si="540"/>
        <v>962.22067899061778</v>
      </c>
      <c r="AS411" s="1552">
        <f t="shared" ca="1" si="540"/>
        <v>5550.5737298580607</v>
      </c>
      <c r="AT411" s="1552">
        <f t="shared" ca="1" si="540"/>
        <v>1641.5432580949723</v>
      </c>
      <c r="AU411" s="1552">
        <f t="shared" ca="1" si="540"/>
        <v>5293.8916761338214</v>
      </c>
      <c r="AV411" s="1552">
        <f t="shared" ca="1" si="540"/>
        <v>8589.1396841976166</v>
      </c>
      <c r="AW411" s="1552">
        <f t="shared" ca="1" si="540"/>
        <v>2985.5315239745851</v>
      </c>
      <c r="AX411" s="1552">
        <f ca="1">SUM(AQ411:AW411)</f>
        <v>27411.027469685265</v>
      </c>
    </row>
    <row r="412" spans="2:68" ht="13.2" customHeight="1">
      <c r="B412" s="319" t="str">
        <f>CONCATENATE("(ii) each period's share of 24-h traffic volume for that trip type, shown in row ",O141, ".")</f>
        <v>(ii) each period's share of 24-h traffic volume for that trip type, shown in row 141.</v>
      </c>
      <c r="G412" s="10"/>
      <c r="O412" s="39">
        <f>ROW()</f>
        <v>412</v>
      </c>
      <c r="AQ412" s="7" t="str">
        <f>CONCATENATE("Row ",O413," is sum of Rows ",O407,", ",O409," and ",O411,".")</f>
        <v>Row 413 is sum of Rows 407, 409 and 411.</v>
      </c>
      <c r="AR412" s="202"/>
      <c r="AS412" s="202"/>
      <c r="AT412" s="202"/>
      <c r="AU412" s="202"/>
      <c r="AV412" s="202"/>
      <c r="AW412" s="202"/>
      <c r="AX412" s="202"/>
    </row>
    <row r="413" spans="2:68" ht="13.2" customHeight="1">
      <c r="B413" s="1123" t="s">
        <v>2604</v>
      </c>
      <c r="G413" s="1122">
        <f t="shared" ref="G413:M413" ca="1" si="541">P413+Y413+AH413+AQ413+AZ413+BI413</f>
        <v>-460289.65352646372</v>
      </c>
      <c r="H413" s="1122">
        <f t="shared" ca="1" si="541"/>
        <v>-260175.83415019463</v>
      </c>
      <c r="I413" s="1122">
        <f t="shared" ca="1" si="541"/>
        <v>-1048038.5620670917</v>
      </c>
      <c r="J413" s="1122">
        <f t="shared" ca="1" si="541"/>
        <v>-313272.97475663113</v>
      </c>
      <c r="K413" s="1122">
        <f t="shared" ca="1" si="541"/>
        <v>-910740.56008884322</v>
      </c>
      <c r="L413" s="1122">
        <f t="shared" ca="1" si="541"/>
        <v>-1962239.482635228</v>
      </c>
      <c r="M413" s="1122">
        <f t="shared" ca="1" si="541"/>
        <v>-812113.25333984441</v>
      </c>
      <c r="N413" s="1122">
        <f ca="1">SUM(G413:M413)</f>
        <v>-5766870.320564297</v>
      </c>
      <c r="O413" s="39">
        <f>ROW()</f>
        <v>413</v>
      </c>
      <c r="P413" s="1122">
        <f t="shared" ref="P413:V413" ca="1" si="542">P407+P409</f>
        <v>-118860.76416351153</v>
      </c>
      <c r="Q413" s="1122">
        <f t="shared" ca="1" si="542"/>
        <v>-106411.58564205823</v>
      </c>
      <c r="R413" s="1122">
        <f t="shared" ca="1" si="542"/>
        <v>-565253.77926573087</v>
      </c>
      <c r="S413" s="1122">
        <f t="shared" ca="1" si="542"/>
        <v>-148627.38785541337</v>
      </c>
      <c r="T413" s="1122">
        <f t="shared" ca="1" si="542"/>
        <v>-392778.7269817199</v>
      </c>
      <c r="U413" s="1122">
        <f t="shared" ca="1" si="542"/>
        <v>-666871.61429986754</v>
      </c>
      <c r="V413" s="1122">
        <f t="shared" ca="1" si="542"/>
        <v>-222061.68440254359</v>
      </c>
      <c r="W413" s="1122">
        <f ca="1">SUM(P413:V413)</f>
        <v>-2220865.5426108451</v>
      </c>
      <c r="Y413" s="1122">
        <f t="shared" ref="Y413:AE413" ca="1" si="543">Y407+Y409</f>
        <v>-115662.45357113835</v>
      </c>
      <c r="Z413" s="1122">
        <f t="shared" ca="1" si="543"/>
        <v>-30780.757074713914</v>
      </c>
      <c r="AA413" s="1122">
        <f t="shared" ca="1" si="543"/>
        <v>-162292.72043597026</v>
      </c>
      <c r="AB413" s="1122">
        <f t="shared" ca="1" si="543"/>
        <v>-66641.851379980013</v>
      </c>
      <c r="AC413" s="1122">
        <f t="shared" ca="1" si="543"/>
        <v>-198556.45026547302</v>
      </c>
      <c r="AD413" s="1122">
        <f t="shared" ca="1" si="543"/>
        <v>-515542.0412417833</v>
      </c>
      <c r="AE413" s="1122">
        <f t="shared" ca="1" si="543"/>
        <v>-186538.78216847306</v>
      </c>
      <c r="AF413" s="1122">
        <f ca="1">SUM(Y413:AE413)</f>
        <v>-1276015.056137532</v>
      </c>
      <c r="AH413" s="1122">
        <f>AH407+AH409</f>
        <v>-235188.3066736969</v>
      </c>
      <c r="AI413" s="1122">
        <f t="shared" ref="AI413:AN413" si="544">AI407+AI409</f>
        <v>-119691.57108616972</v>
      </c>
      <c r="AJ413" s="1122">
        <f t="shared" si="544"/>
        <v>-316209.1598921371</v>
      </c>
      <c r="AK413" s="1122">
        <f t="shared" si="544"/>
        <v>-96316.168167623531</v>
      </c>
      <c r="AL413" s="1122">
        <f t="shared" si="544"/>
        <v>-322363.4347107716</v>
      </c>
      <c r="AM413" s="1122">
        <f t="shared" si="544"/>
        <v>-774036.90644475596</v>
      </c>
      <c r="AN413" s="1122">
        <f t="shared" si="544"/>
        <v>-402124.17365510261</v>
      </c>
      <c r="AO413" s="1122">
        <f>SUM(AH413:AN413)</f>
        <v>-2265929.7206302574</v>
      </c>
      <c r="AQ413" s="1399">
        <f t="shared" ref="AQ413:AW413" ca="1" si="545">AQ407+AQ409+AQ411</f>
        <v>7754.7196273851314</v>
      </c>
      <c r="AR413" s="1399">
        <f t="shared" ca="1" si="545"/>
        <v>2064.5795324859191</v>
      </c>
      <c r="AS413" s="1399">
        <f t="shared" ca="1" si="545"/>
        <v>12274.973898402563</v>
      </c>
      <c r="AT413" s="1399">
        <f t="shared" ca="1" si="545"/>
        <v>3834.508892762195</v>
      </c>
      <c r="AU413" s="1399">
        <f t="shared" ca="1" si="545"/>
        <v>12789.218821831066</v>
      </c>
      <c r="AV413" s="1399">
        <f t="shared" ca="1" si="545"/>
        <v>20975.538415122945</v>
      </c>
      <c r="AW413" s="1399">
        <f t="shared" ca="1" si="545"/>
        <v>8344.5468528361071</v>
      </c>
      <c r="AX413" s="1399">
        <f ca="1">SUM(AQ413:AW413)</f>
        <v>68038.086040825918</v>
      </c>
      <c r="AZ413" s="1122">
        <f t="shared" ref="AZ413:BF413" ca="1" si="546">AZ407+AZ409</f>
        <v>434.83448289113221</v>
      </c>
      <c r="BA413" s="1122">
        <f t="shared" ca="1" si="546"/>
        <v>-4194.2520695087242</v>
      </c>
      <c r="BB413" s="1122">
        <f t="shared" ca="1" si="546"/>
        <v>-13558.34543084566</v>
      </c>
      <c r="BC413" s="1122">
        <f t="shared" ca="1" si="546"/>
        <v>-4486.2961875909077</v>
      </c>
      <c r="BD413" s="1122">
        <f t="shared" ca="1" si="546"/>
        <v>-8735.6262074553379</v>
      </c>
      <c r="BE413" s="1122">
        <f t="shared" ca="1" si="546"/>
        <v>-22213.435002513826</v>
      </c>
      <c r="BF413" s="1122">
        <f t="shared" ca="1" si="546"/>
        <v>-8056.9942705547437</v>
      </c>
      <c r="BG413" s="1122">
        <f ca="1">SUM(AZ413:BF413)</f>
        <v>-60810.114685578068</v>
      </c>
      <c r="BI413" s="1122">
        <f t="shared" ref="BI413:BO413" ca="1" si="547">BI407+BI409</f>
        <v>1232.316771606861</v>
      </c>
      <c r="BJ413" s="1122">
        <f t="shared" ca="1" si="547"/>
        <v>-1162.2478102299801</v>
      </c>
      <c r="BK413" s="1122">
        <f t="shared" ca="1" si="547"/>
        <v>-2999.5309408103517</v>
      </c>
      <c r="BL413" s="1122">
        <f t="shared" ca="1" si="547"/>
        <v>-1035.7800587854772</v>
      </c>
      <c r="BM413" s="1122">
        <f t="shared" ca="1" si="547"/>
        <v>-1095.540745254536</v>
      </c>
      <c r="BN413" s="1122">
        <f t="shared" ca="1" si="547"/>
        <v>-4551.0240614299473</v>
      </c>
      <c r="BO413" s="1122">
        <f t="shared" ca="1" si="547"/>
        <v>-1676.1656960064483</v>
      </c>
      <c r="BP413" s="1122">
        <f ca="1">SUM(BI413:BO413)</f>
        <v>-11287.972540909879</v>
      </c>
    </row>
    <row r="414" spans="2:68" ht="13.2" customHeight="1">
      <c r="B414" s="1190" t="s">
        <v>1957</v>
      </c>
      <c r="G414" s="10">
        <f t="shared" ref="G414:M414" ca="1" si="548">G167+G413</f>
        <v>6994764.4184195334</v>
      </c>
      <c r="H414" s="10">
        <f t="shared" ca="1" si="548"/>
        <v>1706226.7612065931</v>
      </c>
      <c r="I414" s="10">
        <f t="shared" ca="1" si="548"/>
        <v>10032402.643012771</v>
      </c>
      <c r="J414" s="10">
        <f t="shared" ca="1" si="548"/>
        <v>3065718.534509114</v>
      </c>
      <c r="K414" s="10">
        <f t="shared" ca="1" si="548"/>
        <v>11387691.644588906</v>
      </c>
      <c r="L414" s="10">
        <f t="shared" ca="1" si="548"/>
        <v>21263495.565111257</v>
      </c>
      <c r="M414" s="10">
        <f t="shared" ca="1" si="548"/>
        <v>8002905.9594647111</v>
      </c>
      <c r="N414" s="1125">
        <f ca="1">SUM(G414:M414)</f>
        <v>62453205.526312888</v>
      </c>
      <c r="O414" s="39">
        <f>ROW()</f>
        <v>414</v>
      </c>
      <c r="P414" s="1179">
        <f t="shared" ref="P414:V414" ca="1" si="549">P167+P413</f>
        <v>1943197.566246368</v>
      </c>
      <c r="Q414" s="1179">
        <f t="shared" ca="1" si="549"/>
        <v>868914.49720969051</v>
      </c>
      <c r="R414" s="1179">
        <f t="shared" ca="1" si="549"/>
        <v>5322267.7277541859</v>
      </c>
      <c r="S414" s="1179">
        <f t="shared" ca="1" si="549"/>
        <v>1398343.421142865</v>
      </c>
      <c r="T414" s="1179">
        <f t="shared" ca="1" si="549"/>
        <v>4587784.1193976328</v>
      </c>
      <c r="U414" s="1179">
        <f t="shared" ca="1" si="549"/>
        <v>7174857.269765323</v>
      </c>
      <c r="V414" s="1179">
        <f t="shared" ca="1" si="549"/>
        <v>2510938.4996771584</v>
      </c>
      <c r="W414" s="1122">
        <f ca="1">SUM(P414:V414)</f>
        <v>23806303.101193227</v>
      </c>
      <c r="Y414" s="1179">
        <f t="shared" ref="Y414:AE414" ca="1" si="550">Y167+Y413</f>
        <v>1942922.7844177745</v>
      </c>
      <c r="Z414" s="1179">
        <f t="shared" ca="1" si="550"/>
        <v>267333.38093243173</v>
      </c>
      <c r="AA414" s="1179">
        <f t="shared" ca="1" si="550"/>
        <v>1807000.5970503043</v>
      </c>
      <c r="AB414" s="1179">
        <f t="shared" ca="1" si="550"/>
        <v>777438.95807389531</v>
      </c>
      <c r="AC414" s="1179">
        <f t="shared" ca="1" si="550"/>
        <v>3128532.6699234098</v>
      </c>
      <c r="AD414" s="1179">
        <f t="shared" ca="1" si="550"/>
        <v>6747435.5463937689</v>
      </c>
      <c r="AE414" s="1179">
        <f t="shared" ca="1" si="550"/>
        <v>2359257.1308879666</v>
      </c>
      <c r="AF414" s="1122">
        <f ca="1">SUM(Y414:AE414)</f>
        <v>17029921.06767955</v>
      </c>
      <c r="AH414" s="1179">
        <f t="shared" ref="AH414:AN414" si="551">AH167+AH413</f>
        <v>2603172.7376969564</v>
      </c>
      <c r="AI414" s="1179">
        <f t="shared" si="551"/>
        <v>428219.9089616274</v>
      </c>
      <c r="AJ414" s="1179">
        <f t="shared" si="551"/>
        <v>2070936.7459651823</v>
      </c>
      <c r="AK414" s="1179">
        <f t="shared" si="551"/>
        <v>638239.39007731888</v>
      </c>
      <c r="AL414" s="1179">
        <f t="shared" si="551"/>
        <v>2775515.8921656646</v>
      </c>
      <c r="AM414" s="1179">
        <f t="shared" si="551"/>
        <v>5716292.7147699855</v>
      </c>
      <c r="AN414" s="1179">
        <f t="shared" si="551"/>
        <v>2533581.3000754267</v>
      </c>
      <c r="AO414" s="1122">
        <f>SUM(AH414:AN414)</f>
        <v>16765958.689712161</v>
      </c>
      <c r="AQ414" s="1179">
        <f t="shared" ref="AQ414:AW414" ca="1" si="552">AQ167+AQ413</f>
        <v>82506.127551944228</v>
      </c>
      <c r="AR414" s="1179">
        <f t="shared" ca="1" si="552"/>
        <v>32183.309794859022</v>
      </c>
      <c r="AS414" s="1179">
        <f t="shared" ca="1" si="552"/>
        <v>186014.98658071074</v>
      </c>
      <c r="AT414" s="1179">
        <f t="shared" ca="1" si="552"/>
        <v>55216.899319503034</v>
      </c>
      <c r="AU414" s="1179">
        <f t="shared" ca="1" si="552"/>
        <v>178494.75697234872</v>
      </c>
      <c r="AV414" s="1179">
        <f t="shared" ca="1" si="552"/>
        <v>289826.52757237729</v>
      </c>
      <c r="AW414" s="1179">
        <f t="shared" ca="1" si="552"/>
        <v>101795.47824908289</v>
      </c>
      <c r="AX414" s="1122">
        <f ca="1">SUM(AQ414:AW414)</f>
        <v>926038.08604082593</v>
      </c>
      <c r="AZ414" s="1179">
        <f t="shared" ref="AZ414:BF414" ca="1" si="553">AZ167+AZ413</f>
        <v>298150.6475439982</v>
      </c>
      <c r="BA414" s="1179">
        <f t="shared" ca="1" si="553"/>
        <v>77024.074496056812</v>
      </c>
      <c r="BB414" s="1179">
        <f t="shared" ca="1" si="553"/>
        <v>454775.9250852603</v>
      </c>
      <c r="BC414" s="1179">
        <f t="shared" ca="1" si="553"/>
        <v>138261.0349856301</v>
      </c>
      <c r="BD414" s="1179">
        <f t="shared" ca="1" si="553"/>
        <v>505146.55555951985</v>
      </c>
      <c r="BE414" s="1179">
        <f t="shared" ca="1" si="553"/>
        <v>940154.35464497702</v>
      </c>
      <c r="BF414" s="1179">
        <f t="shared" ca="1" si="553"/>
        <v>350268.37076852948</v>
      </c>
      <c r="BG414" s="1122">
        <f ca="1">SUM(AZ414:BF414)</f>
        <v>2763780.9630839718</v>
      </c>
      <c r="BI414" s="1179">
        <f t="shared" ref="BI414:BO414" ca="1" si="554">BI167+BI413</f>
        <v>124814.55496249232</v>
      </c>
      <c r="BJ414" s="1179">
        <f t="shared" ca="1" si="554"/>
        <v>32551.589811927784</v>
      </c>
      <c r="BK414" s="1179">
        <f t="shared" ca="1" si="554"/>
        <v>191406.66057712692</v>
      </c>
      <c r="BL414" s="1179">
        <f t="shared" ca="1" si="554"/>
        <v>58218.830909901408</v>
      </c>
      <c r="BM414" s="1179">
        <f t="shared" ca="1" si="554"/>
        <v>212217.65057032829</v>
      </c>
      <c r="BN414" s="1179">
        <f t="shared" ca="1" si="554"/>
        <v>394929.15196483006</v>
      </c>
      <c r="BO414" s="1179">
        <f t="shared" ca="1" si="554"/>
        <v>147065.17980654817</v>
      </c>
      <c r="BP414" s="1122">
        <f ca="1">SUM(BI414:BO414)</f>
        <v>1161203.618603155</v>
      </c>
    </row>
    <row r="415" spans="2:68" ht="13.2" customHeight="1">
      <c r="B415" s="309" t="str">
        <f>CONCATENATE("Sum of baseline non-cordon VMT in period in Row ",O167, " and VMT change in Row ",O413, " directly above.")</f>
        <v>Sum of baseline non-cordon VMT in period in Row 167 and VMT change in Row 413 directly above.</v>
      </c>
      <c r="G415" s="10"/>
      <c r="O415" s="39">
        <f>ROW()</f>
        <v>415</v>
      </c>
    </row>
    <row r="416" spans="2:68" ht="13.2" customHeight="1">
      <c r="B416" s="309"/>
      <c r="G416" s="10"/>
      <c r="O416" s="39">
        <f>ROW()</f>
        <v>416</v>
      </c>
      <c r="P416" s="1179"/>
      <c r="Q416" s="1179"/>
      <c r="R416" s="1179"/>
      <c r="S416" s="1179"/>
      <c r="T416" s="1179"/>
      <c r="U416" s="1179"/>
      <c r="V416" s="1179"/>
      <c r="W416" s="1122"/>
      <c r="Y416" s="1179"/>
      <c r="Z416" s="1179"/>
      <c r="AA416" s="1179"/>
      <c r="AB416" s="1179"/>
      <c r="AC416" s="1179"/>
      <c r="AD416" s="1179"/>
      <c r="AE416" s="1179"/>
      <c r="AF416" s="1122"/>
      <c r="AH416" s="1179"/>
      <c r="AI416" s="1179"/>
      <c r="AJ416" s="1179"/>
      <c r="AK416" s="1179"/>
      <c r="AL416" s="1179"/>
      <c r="AM416" s="1179"/>
      <c r="AN416" s="1179"/>
      <c r="AO416" s="1122"/>
      <c r="AQ416" s="1179"/>
      <c r="AR416" s="1179"/>
      <c r="AS416" s="1179"/>
      <c r="AT416" s="1179"/>
      <c r="AU416" s="1179"/>
      <c r="AV416" s="1179"/>
      <c r="AW416" s="1179"/>
      <c r="AX416" s="1122"/>
      <c r="AZ416" s="1179"/>
      <c r="BA416" s="1179"/>
      <c r="BB416" s="1179"/>
      <c r="BC416" s="1179"/>
      <c r="BD416" s="1179"/>
      <c r="BE416" s="1179"/>
      <c r="BF416" s="1179"/>
      <c r="BG416" s="1122"/>
      <c r="BI416" s="1179"/>
      <c r="BJ416" s="1179"/>
      <c r="BK416" s="1179"/>
      <c r="BL416" s="1179"/>
      <c r="BM416" s="1179"/>
      <c r="BN416" s="1179"/>
      <c r="BO416" s="1179"/>
      <c r="BP416" s="1122"/>
    </row>
    <row r="417" spans="2:68" ht="13.2" customHeight="1">
      <c r="B417" s="6" t="s">
        <v>2402</v>
      </c>
      <c r="G417" s="39"/>
      <c r="H417" s="39"/>
      <c r="N417" s="47"/>
      <c r="O417" s="39">
        <f>ROW()</f>
        <v>417</v>
      </c>
      <c r="P417" s="1179"/>
      <c r="Q417" s="1179"/>
      <c r="R417" s="1179"/>
      <c r="S417" s="1179"/>
      <c r="T417" s="1179"/>
      <c r="U417" s="1179"/>
      <c r="V417" s="1179"/>
      <c r="W417" s="1122"/>
      <c r="Y417" s="1179"/>
      <c r="Z417" s="1179"/>
      <c r="AA417" s="1179"/>
      <c r="AB417" s="1179"/>
      <c r="AC417" s="1179"/>
      <c r="AD417" s="1179"/>
      <c r="AE417" s="1179"/>
      <c r="AF417" s="1122"/>
      <c r="AH417" s="1179"/>
      <c r="AI417" s="1179"/>
      <c r="AJ417" s="1179"/>
      <c r="AK417" s="1179"/>
      <c r="AL417" s="1179"/>
      <c r="AM417" s="1179"/>
      <c r="AN417" s="1179"/>
      <c r="AO417" s="1122"/>
      <c r="AQ417" s="1179"/>
      <c r="AR417" s="1179"/>
      <c r="AS417" s="1179"/>
      <c r="AT417" s="1179"/>
      <c r="AU417" s="1179"/>
      <c r="AV417" s="1179"/>
      <c r="AW417" s="1179"/>
      <c r="AX417" s="1122"/>
      <c r="AZ417" s="1179"/>
      <c r="BA417" s="1179"/>
      <c r="BB417" s="1179"/>
      <c r="BC417" s="1179"/>
      <c r="BD417" s="1179"/>
      <c r="BE417" s="1179"/>
      <c r="BF417" s="1179"/>
      <c r="BG417" s="1122"/>
      <c r="BI417" s="1179"/>
      <c r="BJ417" s="1179"/>
      <c r="BK417" s="1179"/>
      <c r="BL417" s="1179"/>
      <c r="BM417" s="1179"/>
      <c r="BN417" s="1179"/>
      <c r="BO417" s="1179"/>
      <c r="BP417" s="1122"/>
    </row>
    <row r="418" spans="2:68" ht="13.2" customHeight="1">
      <c r="B418" s="280" t="s">
        <v>2659</v>
      </c>
      <c r="G418" s="39"/>
      <c r="I418" s="39"/>
      <c r="J418" s="39"/>
      <c r="K418" s="39"/>
      <c r="L418" s="39"/>
      <c r="M418" s="1558" t="str">
        <f>CONCATENATE("(reproduces values from Row ",O388,")")</f>
        <v>(reproduces values from Row 388)</v>
      </c>
      <c r="N418" s="39">
        <f>N388</f>
        <v>0.87847730600292817</v>
      </c>
      <c r="O418" s="39">
        <f>ROW()</f>
        <v>418</v>
      </c>
      <c r="P418" s="1179">
        <f t="shared" ref="P418:V420" ca="1" si="555">P388</f>
        <v>-91.018022240874444</v>
      </c>
      <c r="Q418" s="1179">
        <f t="shared" ca="1" si="555"/>
        <v>-137.52319205416535</v>
      </c>
      <c r="R418" s="1179">
        <f t="shared" ca="1" si="555"/>
        <v>-846.1899395611365</v>
      </c>
      <c r="S418" s="1179">
        <f t="shared" ca="1" si="555"/>
        <v>-203.33197694354223</v>
      </c>
      <c r="T418" s="1179">
        <f t="shared" ca="1" si="555"/>
        <v>-554.8527396716496</v>
      </c>
      <c r="U418" s="1179">
        <f t="shared" ca="1" si="555"/>
        <v>-613.79158240969343</v>
      </c>
      <c r="V418" s="1179">
        <f t="shared" ca="1" si="555"/>
        <v>-170.68010867778293</v>
      </c>
      <c r="W418" s="1122">
        <f ca="1">SUM(P418:V418)</f>
        <v>-2617.3875615588445</v>
      </c>
      <c r="Y418" s="1179">
        <f t="shared" ref="Y418:AE418" ca="1" si="556">Y388</f>
        <v>-203.13280965141379</v>
      </c>
      <c r="Z418" s="1179">
        <f t="shared" ca="1" si="556"/>
        <v>-20.398952896280417</v>
      </c>
      <c r="AA418" s="1179">
        <f t="shared" ca="1" si="556"/>
        <v>-172.64456981879547</v>
      </c>
      <c r="AB418" s="1179">
        <f t="shared" ca="1" si="556"/>
        <v>-102.4018647971556</v>
      </c>
      <c r="AC418" s="1179">
        <f t="shared" ca="1" si="556"/>
        <v>-386.81518965639265</v>
      </c>
      <c r="AD418" s="1179">
        <f t="shared" ca="1" si="556"/>
        <v>-853.70665886893232</v>
      </c>
      <c r="AE418" s="1179">
        <f t="shared" ca="1" si="556"/>
        <v>-267.56375150614366</v>
      </c>
      <c r="AF418" s="1122">
        <f ca="1">SUM(Y418:AE418)</f>
        <v>-2006.6637971951138</v>
      </c>
      <c r="AH418" s="1179"/>
      <c r="AI418" s="1179"/>
      <c r="AJ418" s="1179"/>
      <c r="AK418" s="1179"/>
      <c r="AL418" s="1179"/>
      <c r="AM418" s="1179"/>
      <c r="AN418" s="1179"/>
      <c r="AO418" s="1122"/>
      <c r="AQ418" s="1179"/>
      <c r="AR418" s="1179"/>
      <c r="AS418" s="1179"/>
      <c r="AT418" s="1179"/>
      <c r="AU418" s="1179"/>
      <c r="AV418" s="1179"/>
      <c r="AW418" s="1179"/>
      <c r="AX418" s="1122"/>
      <c r="AZ418" s="1179"/>
      <c r="BA418" s="1179"/>
      <c r="BB418" s="1179"/>
      <c r="BC418" s="1179"/>
      <c r="BD418" s="1179"/>
      <c r="BE418" s="1179"/>
      <c r="BF418" s="1179"/>
      <c r="BG418" s="1122"/>
      <c r="BI418" s="1179"/>
      <c r="BJ418" s="1179"/>
      <c r="BK418" s="1179"/>
      <c r="BL418" s="1179"/>
      <c r="BM418" s="1179"/>
      <c r="BN418" s="1179"/>
      <c r="BO418" s="1179"/>
      <c r="BP418" s="1122"/>
    </row>
    <row r="419" spans="2:68" ht="13.2" customHeight="1">
      <c r="B419" s="280" t="s">
        <v>736</v>
      </c>
      <c r="G419" s="39"/>
      <c r="H419" s="39"/>
      <c r="I419" s="39"/>
      <c r="J419" s="39"/>
      <c r="K419" s="39"/>
      <c r="L419" s="39"/>
      <c r="M419" s="1558" t="str">
        <f>CONCATENATE("(product of number of trips and per-trip in-cordon miles shown in Row ",O405," of taxi block)")</f>
        <v>(product of number of trips and per-trip in-cordon miles shown in Row 405 of taxi block)</v>
      </c>
      <c r="N419" s="1122"/>
      <c r="O419" s="39">
        <f>ROW()</f>
        <v>419</v>
      </c>
      <c r="P419" s="1179">
        <f t="shared" ref="P419:V419" ca="1" si="557">P418*$AU$405</f>
        <v>-101.94018490977939</v>
      </c>
      <c r="Q419" s="1179">
        <f t="shared" ca="1" si="557"/>
        <v>-154.02597510066519</v>
      </c>
      <c r="R419" s="1179">
        <f t="shared" ca="1" si="557"/>
        <v>-947.73273230847292</v>
      </c>
      <c r="S419" s="1179">
        <f t="shared" ca="1" si="557"/>
        <v>-227.73181417676733</v>
      </c>
      <c r="T419" s="1179">
        <f t="shared" ca="1" si="557"/>
        <v>-621.43506843224759</v>
      </c>
      <c r="U419" s="1179">
        <f t="shared" ca="1" si="557"/>
        <v>-687.44657229885672</v>
      </c>
      <c r="V419" s="1179">
        <f t="shared" ca="1" si="557"/>
        <v>-191.16172171911688</v>
      </c>
      <c r="W419" s="1122">
        <f ca="1">SUM(P419:V419)</f>
        <v>-2931.4740689459059</v>
      </c>
      <c r="Y419" s="1179">
        <f t="shared" ref="Y419:AE419" ca="1" si="558">Y418*$AU$405</f>
        <v>-227.50874680958347</v>
      </c>
      <c r="Z419" s="1179">
        <f t="shared" ca="1" si="558"/>
        <v>-22.846827243834067</v>
      </c>
      <c r="AA419" s="1179">
        <f t="shared" ca="1" si="558"/>
        <v>-193.36191819705095</v>
      </c>
      <c r="AB419" s="1179">
        <f t="shared" ca="1" si="558"/>
        <v>-114.69008857281428</v>
      </c>
      <c r="AC419" s="1179">
        <f t="shared" ca="1" si="558"/>
        <v>-433.23301241515981</v>
      </c>
      <c r="AD419" s="1179">
        <f t="shared" ca="1" si="558"/>
        <v>-956.15145793320426</v>
      </c>
      <c r="AE419" s="1179">
        <f t="shared" ca="1" si="558"/>
        <v>-299.67140168688093</v>
      </c>
      <c r="AF419" s="1122">
        <f ca="1">SUM(Y419:AE419)</f>
        <v>-2247.4634528585275</v>
      </c>
      <c r="AH419" s="1179"/>
      <c r="AI419" s="1179"/>
      <c r="AJ419" s="1179"/>
      <c r="AK419" s="1179"/>
      <c r="AL419" s="1179"/>
      <c r="AM419" s="1179"/>
      <c r="AN419" s="1179"/>
      <c r="AO419" s="1122"/>
      <c r="AQ419" s="1122">
        <f t="shared" ref="AQ419:AW419" ca="1" si="559">(AQ158/$AX$158)*$AX$419</f>
        <v>1547.8600397267646</v>
      </c>
      <c r="AR419" s="1122">
        <f t="shared" ca="1" si="559"/>
        <v>623.66155119761925</v>
      </c>
      <c r="AS419" s="1122">
        <f t="shared" ca="1" si="559"/>
        <v>3597.5940841672423</v>
      </c>
      <c r="AT419" s="1122">
        <f t="shared" ca="1" si="559"/>
        <v>1063.9632228393282</v>
      </c>
      <c r="AU419" s="1122">
        <f t="shared" ca="1" si="559"/>
        <v>3431.2260863830147</v>
      </c>
      <c r="AV419" s="1122">
        <f t="shared" ca="1" si="559"/>
        <v>5567.0349804984253</v>
      </c>
      <c r="AW419" s="1122">
        <f t="shared" ca="1" si="559"/>
        <v>1935.0667285020356</v>
      </c>
      <c r="AX419" s="2008">
        <f ca="1">Taxis!L267</f>
        <v>17766.406693314551</v>
      </c>
      <c r="AZ419" s="1179"/>
      <c r="BA419" s="1179"/>
      <c r="BB419" s="1179"/>
      <c r="BC419" s="1179"/>
      <c r="BD419" s="1179"/>
      <c r="BE419" s="1179"/>
      <c r="BF419" s="1179"/>
      <c r="BG419" s="1122"/>
      <c r="BI419" s="1179"/>
      <c r="BJ419" s="1179"/>
      <c r="BK419" s="1179"/>
      <c r="BL419" s="1179"/>
      <c r="BM419" s="1179"/>
      <c r="BN419" s="1179"/>
      <c r="BO419" s="1179"/>
      <c r="BP419" s="1122"/>
    </row>
    <row r="420" spans="2:68" ht="13.2" customHeight="1">
      <c r="B420" s="280" t="s">
        <v>1549</v>
      </c>
      <c r="G420" s="39"/>
      <c r="I420" s="39"/>
      <c r="J420" s="39"/>
      <c r="K420" s="39"/>
      <c r="L420" s="39"/>
      <c r="M420" s="1558" t="str">
        <f>CONCATENATE("(complement of percentage in Row ",O418,")")</f>
        <v>(complement of percentage in Row 418)</v>
      </c>
      <c r="N420" s="39">
        <f>1-N418</f>
        <v>0.12152269399707183</v>
      </c>
      <c r="O420" s="39">
        <f>ROW()</f>
        <v>420</v>
      </c>
      <c r="P420" s="1179">
        <f t="shared" ca="1" si="555"/>
        <v>-12.590826409987642</v>
      </c>
      <c r="Q420" s="1179">
        <f t="shared" ca="1" si="555"/>
        <v>-19.024041567492887</v>
      </c>
      <c r="R420" s="1179">
        <f t="shared" ca="1" si="555"/>
        <v>-117.05627497262398</v>
      </c>
      <c r="S420" s="1179">
        <f t="shared" ca="1" si="555"/>
        <v>-28.1275901438567</v>
      </c>
      <c r="T420" s="1179">
        <f t="shared" ca="1" si="555"/>
        <v>-76.754628987911588</v>
      </c>
      <c r="U420" s="1179">
        <f t="shared" ca="1" si="555"/>
        <v>-84.907835566674322</v>
      </c>
      <c r="V420" s="1179">
        <f t="shared" ca="1" si="555"/>
        <v>-23.610748367093322</v>
      </c>
      <c r="W420" s="1122">
        <f ca="1">SUM(P420:V420)</f>
        <v>-362.07194601564044</v>
      </c>
      <c r="Y420" s="1179">
        <f t="shared" ref="Y420:AE420" ca="1" si="560">Y390</f>
        <v>-28.100038668445595</v>
      </c>
      <c r="Z420" s="1179">
        <f t="shared" ca="1" si="560"/>
        <v>-2.8218551506521266</v>
      </c>
      <c r="AA420" s="1179">
        <f t="shared" ca="1" si="560"/>
        <v>-23.882498824933396</v>
      </c>
      <c r="AB420" s="1179">
        <f t="shared" ca="1" si="560"/>
        <v>-14.165591296939869</v>
      </c>
      <c r="AC420" s="1179">
        <f t="shared" ca="1" si="560"/>
        <v>-53.509434569134363</v>
      </c>
      <c r="AD420" s="1179">
        <f t="shared" ca="1" si="560"/>
        <v>-118.09608781020241</v>
      </c>
      <c r="AE420" s="1179">
        <f t="shared" ca="1" si="560"/>
        <v>-37.012985625016569</v>
      </c>
      <c r="AF420" s="1122">
        <f ca="1">SUM(Y420:AE420)</f>
        <v>-277.58849194532434</v>
      </c>
      <c r="AH420" s="1179"/>
      <c r="AI420" s="1179"/>
      <c r="AJ420" s="1179"/>
      <c r="AK420" s="1179"/>
      <c r="AL420" s="1179"/>
      <c r="AM420" s="1179"/>
      <c r="AN420" s="1179"/>
      <c r="AO420" s="1122"/>
      <c r="AQ420" s="2009" t="str">
        <f>CONCATENATE("Figs. in Row ",O419, " start w/ last column, which is taken directly from 'Taxi' wksht, Row ",Taxis!O267, ". Other columns are prorated from figures in Row ",O158, ".")</f>
        <v>Figs. in Row 419 start w/ last column, which is taken directly from 'Taxi' wksht, Row 267. Other columns are prorated from figures in Row 158.</v>
      </c>
      <c r="AR420" s="2010"/>
      <c r="AS420" s="2010"/>
      <c r="AT420" s="2010"/>
      <c r="AU420" s="2010"/>
      <c r="AV420" s="2010"/>
      <c r="AW420" s="2010"/>
      <c r="AX420" s="2011"/>
      <c r="AZ420" s="1179"/>
      <c r="BA420" s="1179"/>
      <c r="BB420" s="1179"/>
      <c r="BC420" s="1179"/>
      <c r="BD420" s="1179"/>
      <c r="BE420" s="1179"/>
      <c r="BF420" s="1179"/>
      <c r="BG420" s="1122"/>
      <c r="BI420" s="1179"/>
      <c r="BJ420" s="1179"/>
      <c r="BK420" s="1179"/>
      <c r="BL420" s="1179"/>
      <c r="BM420" s="1179"/>
      <c r="BN420" s="1179"/>
      <c r="BO420" s="1179"/>
      <c r="BP420" s="1122"/>
    </row>
    <row r="421" spans="2:68" ht="13.2" customHeight="1">
      <c r="B421" s="280" t="s">
        <v>736</v>
      </c>
      <c r="G421" s="39"/>
      <c r="H421" s="39"/>
      <c r="I421" s="39"/>
      <c r="J421" s="39"/>
      <c r="K421" s="39"/>
      <c r="L421" s="39"/>
      <c r="M421" s="1558" t="str">
        <f>CONCATENATE("(product of number of trips and per-trip non-cordon miles for taxi trips shown in Row ",O85,")")</f>
        <v>(product of number of trips and per-trip non-cordon miles for taxi trips shown in Row 85)</v>
      </c>
      <c r="N421" s="1122"/>
      <c r="O421" s="39">
        <f>ROW()</f>
        <v>421</v>
      </c>
      <c r="P421" s="1179">
        <f t="shared" ref="P421:V421" ca="1" si="561">P420*$L$79</f>
        <v>-75.544958459925851</v>
      </c>
      <c r="Q421" s="1179">
        <f t="shared" ca="1" si="561"/>
        <v>-114.14424940495732</v>
      </c>
      <c r="R421" s="1179">
        <f t="shared" ca="1" si="561"/>
        <v>-702.33764983574383</v>
      </c>
      <c r="S421" s="1179">
        <f t="shared" ca="1" si="561"/>
        <v>-168.76554086314019</v>
      </c>
      <c r="T421" s="1179">
        <f t="shared" ca="1" si="561"/>
        <v>-460.52777392746953</v>
      </c>
      <c r="U421" s="1179">
        <f t="shared" ca="1" si="561"/>
        <v>-509.44701340004593</v>
      </c>
      <c r="V421" s="1179">
        <f t="shared" ca="1" si="561"/>
        <v>-141.66449020255993</v>
      </c>
      <c r="W421" s="1122">
        <f ca="1">SUM(P421:V421)</f>
        <v>-2172.4316760938427</v>
      </c>
      <c r="Y421" s="1179">
        <f t="shared" ref="Y421:AE421" ca="1" si="562">Y420*$L$79</f>
        <v>-168.60023201067358</v>
      </c>
      <c r="Z421" s="1179">
        <f t="shared" ca="1" si="562"/>
        <v>-16.931130903912759</v>
      </c>
      <c r="AA421" s="1179">
        <f t="shared" ca="1" si="562"/>
        <v>-143.29499294960038</v>
      </c>
      <c r="AB421" s="1179">
        <f t="shared" ca="1" si="562"/>
        <v>-84.993547781639222</v>
      </c>
      <c r="AC421" s="1179">
        <f t="shared" ca="1" si="562"/>
        <v>-321.05660741480619</v>
      </c>
      <c r="AD421" s="1179">
        <f t="shared" ca="1" si="562"/>
        <v>-708.57652686121446</v>
      </c>
      <c r="AE421" s="1179">
        <f t="shared" ca="1" si="562"/>
        <v>-222.07791375009941</v>
      </c>
      <c r="AF421" s="1122">
        <f ca="1">SUM(Y421:AE421)</f>
        <v>-1665.530951671946</v>
      </c>
      <c r="AH421" s="1179"/>
      <c r="AI421" s="1179"/>
      <c r="AJ421" s="1179"/>
      <c r="AK421" s="1179"/>
      <c r="AL421" s="1179"/>
      <c r="AM421" s="1179"/>
      <c r="AN421" s="1179"/>
      <c r="AO421" s="1122"/>
      <c r="AQ421" s="1179"/>
      <c r="AR421" s="1179"/>
      <c r="AS421" s="1179"/>
      <c r="AT421" s="1179"/>
      <c r="AU421" s="1179"/>
      <c r="AV421" s="1179"/>
      <c r="AW421" s="1179"/>
      <c r="AX421" s="1122"/>
      <c r="AZ421" s="1179"/>
      <c r="BA421" s="1179"/>
      <c r="BB421" s="1179"/>
      <c r="BC421" s="1179"/>
      <c r="BD421" s="1179"/>
      <c r="BE421" s="1179"/>
      <c r="BF421" s="1179"/>
      <c r="BG421" s="1122"/>
      <c r="BI421" s="1179"/>
      <c r="BJ421" s="1179"/>
      <c r="BK421" s="1179"/>
      <c r="BL421" s="1179"/>
      <c r="BM421" s="1179"/>
      <c r="BN421" s="1179"/>
      <c r="BO421" s="1179"/>
      <c r="BP421" s="1122"/>
    </row>
    <row r="422" spans="2:68" ht="13.2" customHeight="1">
      <c r="B422" s="280" t="str">
        <f>CONCATENATE("Non-Cordon VMT in period after tolls (sum of ",O414, ", ",O419, " and ",O421,")")</f>
        <v>Non-Cordon VMT in period after tolls (sum of 414, 419 and 421)</v>
      </c>
      <c r="G422" s="1122">
        <f t="shared" ref="G422:M422" ca="1" si="563">P422+Y422+AH422+AQ422+AZ422+BI422</f>
        <v>6995738.6843370711</v>
      </c>
      <c r="H422" s="1122">
        <f t="shared" ca="1" si="563"/>
        <v>1706542.4745751375</v>
      </c>
      <c r="I422" s="1122">
        <f t="shared" ca="1" si="563"/>
        <v>10034013.509803647</v>
      </c>
      <c r="J422" s="1122">
        <f t="shared" ca="1" si="563"/>
        <v>3066186.3167405589</v>
      </c>
      <c r="K422" s="1122">
        <f t="shared" ca="1" si="563"/>
        <v>11389286.618213097</v>
      </c>
      <c r="L422" s="1122">
        <f t="shared" ca="1" si="563"/>
        <v>21266200.978521265</v>
      </c>
      <c r="M422" s="1122">
        <f t="shared" ca="1" si="563"/>
        <v>8003986.4506658558</v>
      </c>
      <c r="N422" s="1125">
        <f ca="1">SUM(G422:M422)</f>
        <v>62461955.032856628</v>
      </c>
      <c r="O422" s="39">
        <f>ROW()</f>
        <v>422</v>
      </c>
      <c r="P422" s="1179">
        <f t="shared" ref="P422:V422" ca="1" si="564">P414+P419+P421</f>
        <v>1943020.0811029982</v>
      </c>
      <c r="Q422" s="1179">
        <f t="shared" ca="1" si="564"/>
        <v>868646.3269851848</v>
      </c>
      <c r="R422" s="1179">
        <f t="shared" ca="1" si="564"/>
        <v>5320617.6573720416</v>
      </c>
      <c r="S422" s="1179">
        <f t="shared" ca="1" si="564"/>
        <v>1397946.923787825</v>
      </c>
      <c r="T422" s="1179">
        <f t="shared" ca="1" si="564"/>
        <v>4586702.1565552726</v>
      </c>
      <c r="U422" s="1179">
        <f t="shared" ca="1" si="564"/>
        <v>7173660.3761796234</v>
      </c>
      <c r="V422" s="1179">
        <f t="shared" ca="1" si="564"/>
        <v>2510605.673465237</v>
      </c>
      <c r="W422" s="1122">
        <f ca="1">SUM(P422:V422)</f>
        <v>23801199.195448183</v>
      </c>
      <c r="Y422" s="1179">
        <f t="shared" ref="Y422:AE422" ca="1" si="565">Y414+Y419+Y421</f>
        <v>1942526.6754389543</v>
      </c>
      <c r="Z422" s="1179">
        <f t="shared" ca="1" si="565"/>
        <v>267293.60297428397</v>
      </c>
      <c r="AA422" s="1179">
        <f t="shared" ca="1" si="565"/>
        <v>1806663.9401391577</v>
      </c>
      <c r="AB422" s="1179">
        <f t="shared" ca="1" si="565"/>
        <v>777239.27443754091</v>
      </c>
      <c r="AC422" s="1179">
        <f t="shared" ca="1" si="565"/>
        <v>3127778.3803035798</v>
      </c>
      <c r="AD422" s="1179">
        <f t="shared" ca="1" si="565"/>
        <v>6745770.8184089744</v>
      </c>
      <c r="AE422" s="1179">
        <f t="shared" ca="1" si="565"/>
        <v>2358735.3815725297</v>
      </c>
      <c r="AF422" s="1122">
        <f ca="1">SUM(Y422:AE422)</f>
        <v>17026008.073275022</v>
      </c>
      <c r="AH422" s="1179">
        <f t="shared" ref="AH422:AN422" si="566">AH414+AH419+AH421</f>
        <v>2603172.7376969564</v>
      </c>
      <c r="AI422" s="1179">
        <f t="shared" si="566"/>
        <v>428219.9089616274</v>
      </c>
      <c r="AJ422" s="1179">
        <f t="shared" si="566"/>
        <v>2070936.7459651823</v>
      </c>
      <c r="AK422" s="1179">
        <f t="shared" si="566"/>
        <v>638239.39007731888</v>
      </c>
      <c r="AL422" s="1179">
        <f t="shared" si="566"/>
        <v>2775515.8921656646</v>
      </c>
      <c r="AM422" s="1179">
        <f t="shared" si="566"/>
        <v>5716292.7147699855</v>
      </c>
      <c r="AN422" s="1179">
        <f t="shared" si="566"/>
        <v>2533581.3000754267</v>
      </c>
      <c r="AO422" s="1122">
        <f>SUM(AH422:AN422)</f>
        <v>16765958.689712161</v>
      </c>
      <c r="AQ422" s="1179">
        <f t="shared" ref="AQ422:AW422" ca="1" si="567">AQ414+AQ419</f>
        <v>84053.987591670986</v>
      </c>
      <c r="AR422" s="1179">
        <f t="shared" ca="1" si="567"/>
        <v>32806.971346056642</v>
      </c>
      <c r="AS422" s="1179">
        <f t="shared" ca="1" si="567"/>
        <v>189612.58066487798</v>
      </c>
      <c r="AT422" s="1179">
        <f t="shared" ca="1" si="567"/>
        <v>56280.862542342365</v>
      </c>
      <c r="AU422" s="1179">
        <f t="shared" ca="1" si="567"/>
        <v>181925.98305873174</v>
      </c>
      <c r="AV422" s="1179">
        <f t="shared" ca="1" si="567"/>
        <v>295393.56255287572</v>
      </c>
      <c r="AW422" s="1179">
        <f t="shared" ca="1" si="567"/>
        <v>103730.54497758493</v>
      </c>
      <c r="AX422" s="1122">
        <f ca="1">SUM(AQ422:AW422)</f>
        <v>943804.49273414048</v>
      </c>
      <c r="AZ422" s="1179">
        <f t="shared" ref="AZ422:BF422" ca="1" si="568">AZ414+AZ419+AZ421</f>
        <v>298150.6475439982</v>
      </c>
      <c r="BA422" s="1179">
        <f t="shared" ca="1" si="568"/>
        <v>77024.074496056812</v>
      </c>
      <c r="BB422" s="1179">
        <f t="shared" ca="1" si="568"/>
        <v>454775.9250852603</v>
      </c>
      <c r="BC422" s="1179">
        <f t="shared" ca="1" si="568"/>
        <v>138261.0349856301</v>
      </c>
      <c r="BD422" s="1179">
        <f t="shared" ca="1" si="568"/>
        <v>505146.55555951985</v>
      </c>
      <c r="BE422" s="1179">
        <f t="shared" ca="1" si="568"/>
        <v>940154.35464497702</v>
      </c>
      <c r="BF422" s="1179">
        <f t="shared" ca="1" si="568"/>
        <v>350268.37076852948</v>
      </c>
      <c r="BG422" s="1122">
        <f ca="1">SUM(AZ422:BF422)</f>
        <v>2763780.9630839718</v>
      </c>
      <c r="BI422" s="1179">
        <f t="shared" ref="BI422:BO422" ca="1" si="569">BI414+BI419+BI421</f>
        <v>124814.55496249232</v>
      </c>
      <c r="BJ422" s="1179">
        <f t="shared" ca="1" si="569"/>
        <v>32551.589811927784</v>
      </c>
      <c r="BK422" s="1179">
        <f t="shared" ca="1" si="569"/>
        <v>191406.66057712692</v>
      </c>
      <c r="BL422" s="1179">
        <f t="shared" ca="1" si="569"/>
        <v>58218.830909901408</v>
      </c>
      <c r="BM422" s="1179">
        <f t="shared" ca="1" si="569"/>
        <v>212217.65057032829</v>
      </c>
      <c r="BN422" s="1179">
        <f t="shared" ca="1" si="569"/>
        <v>394929.15196483006</v>
      </c>
      <c r="BO422" s="1179">
        <f t="shared" ca="1" si="569"/>
        <v>147065.17980654817</v>
      </c>
      <c r="BP422" s="1122">
        <f ca="1">SUM(BI422:BO422)</f>
        <v>1161203.618603155</v>
      </c>
    </row>
    <row r="423" spans="2:68" ht="13.2" customHeight="1">
      <c r="B423" s="309"/>
      <c r="G423" s="10"/>
      <c r="O423" s="39">
        <f>ROW()</f>
        <v>423</v>
      </c>
      <c r="AQ423" s="1545"/>
      <c r="AR423" s="1545"/>
      <c r="AS423" s="1545"/>
      <c r="AT423" s="1545"/>
      <c r="AU423" s="1545"/>
      <c r="AV423" s="1545"/>
      <c r="AW423" s="1545"/>
      <c r="AX423" s="1545"/>
    </row>
    <row r="424" spans="2:68" ht="13.2" customHeight="1">
      <c r="B424" s="6" t="s">
        <v>2407</v>
      </c>
      <c r="G424" s="10"/>
      <c r="O424" s="39">
        <f>ROW()</f>
        <v>424</v>
      </c>
      <c r="AQ424" s="1546"/>
    </row>
    <row r="425" spans="2:68" ht="13.2" customHeight="1">
      <c r="B425" s="280" t="s">
        <v>1344</v>
      </c>
      <c r="G425" s="576">
        <f t="shared" ref="G425:N425" ca="1" si="570">G422/G167</f>
        <v>0.93838872486017655</v>
      </c>
      <c r="H425" s="576">
        <f t="shared" ca="1" si="570"/>
        <v>0.86784999094526682</v>
      </c>
      <c r="I425" s="576">
        <f t="shared" ca="1" si="570"/>
        <v>0.90556082777674252</v>
      </c>
      <c r="J425" s="576">
        <f t="shared" ca="1" si="570"/>
        <v>0.90742646388207149</v>
      </c>
      <c r="K425" s="576">
        <f t="shared" ca="1" si="570"/>
        <v>0.9260763021388323</v>
      </c>
      <c r="L425" s="576">
        <f t="shared" ca="1" si="570"/>
        <v>0.91563091264078855</v>
      </c>
      <c r="M425" s="576">
        <f t="shared" ca="1" si="570"/>
        <v>0.90799421503692168</v>
      </c>
      <c r="N425" s="839">
        <f t="shared" ca="1" si="570"/>
        <v>0.91559492213194105</v>
      </c>
      <c r="O425" s="39">
        <f>ROW()</f>
        <v>425</v>
      </c>
      <c r="P425" s="23">
        <f t="shared" ref="P425:W425" ca="1" si="571">G425</f>
        <v>0.93838872486017655</v>
      </c>
      <c r="Q425" s="23">
        <f t="shared" ca="1" si="571"/>
        <v>0.86784999094526682</v>
      </c>
      <c r="R425" s="23">
        <f t="shared" ca="1" si="571"/>
        <v>0.90556082777674252</v>
      </c>
      <c r="S425" s="23">
        <f t="shared" ca="1" si="571"/>
        <v>0.90742646388207149</v>
      </c>
      <c r="T425" s="23">
        <f t="shared" ca="1" si="571"/>
        <v>0.9260763021388323</v>
      </c>
      <c r="U425" s="23">
        <f t="shared" ca="1" si="571"/>
        <v>0.91563091264078855</v>
      </c>
      <c r="V425" s="23">
        <f t="shared" ca="1" si="571"/>
        <v>0.90799421503692168</v>
      </c>
      <c r="W425" s="48">
        <f t="shared" ca="1" si="571"/>
        <v>0.91559492213194105</v>
      </c>
      <c r="Y425" s="23">
        <f t="shared" ref="Y425:AF425" ca="1" si="572">P425</f>
        <v>0.93838872486017655</v>
      </c>
      <c r="Z425" s="23">
        <f t="shared" ca="1" si="572"/>
        <v>0.86784999094526682</v>
      </c>
      <c r="AA425" s="23">
        <f t="shared" ca="1" si="572"/>
        <v>0.90556082777674252</v>
      </c>
      <c r="AB425" s="23">
        <f t="shared" ca="1" si="572"/>
        <v>0.90742646388207149</v>
      </c>
      <c r="AC425" s="23">
        <f t="shared" ca="1" si="572"/>
        <v>0.9260763021388323</v>
      </c>
      <c r="AD425" s="23">
        <f t="shared" ca="1" si="572"/>
        <v>0.91563091264078855</v>
      </c>
      <c r="AE425" s="23">
        <f t="shared" ca="1" si="572"/>
        <v>0.90799421503692168</v>
      </c>
      <c r="AF425" s="48">
        <f t="shared" ca="1" si="572"/>
        <v>0.91559492213194105</v>
      </c>
      <c r="AH425" s="23">
        <f t="shared" ref="AH425:AO425" ca="1" si="573">Y425</f>
        <v>0.93838872486017655</v>
      </c>
      <c r="AI425" s="23">
        <f t="shared" ca="1" si="573"/>
        <v>0.86784999094526682</v>
      </c>
      <c r="AJ425" s="23">
        <f t="shared" ca="1" si="573"/>
        <v>0.90556082777674252</v>
      </c>
      <c r="AK425" s="23">
        <f t="shared" ca="1" si="573"/>
        <v>0.90742646388207149</v>
      </c>
      <c r="AL425" s="23">
        <f t="shared" ca="1" si="573"/>
        <v>0.9260763021388323</v>
      </c>
      <c r="AM425" s="23">
        <f t="shared" ca="1" si="573"/>
        <v>0.91563091264078855</v>
      </c>
      <c r="AN425" s="23">
        <f t="shared" ca="1" si="573"/>
        <v>0.90799421503692168</v>
      </c>
      <c r="AO425" s="48">
        <f t="shared" ca="1" si="573"/>
        <v>0.91559492213194105</v>
      </c>
      <c r="AQ425" s="23">
        <f t="shared" ref="AQ425:AX425" ca="1" si="574">AH425</f>
        <v>0.93838872486017655</v>
      </c>
      <c r="AR425" s="23">
        <f t="shared" ca="1" si="574"/>
        <v>0.86784999094526682</v>
      </c>
      <c r="AS425" s="23">
        <f t="shared" ca="1" si="574"/>
        <v>0.90556082777674252</v>
      </c>
      <c r="AT425" s="23">
        <f t="shared" ca="1" si="574"/>
        <v>0.90742646388207149</v>
      </c>
      <c r="AU425" s="23">
        <f t="shared" ca="1" si="574"/>
        <v>0.9260763021388323</v>
      </c>
      <c r="AV425" s="23">
        <f t="shared" ca="1" si="574"/>
        <v>0.91563091264078855</v>
      </c>
      <c r="AW425" s="23">
        <f t="shared" ca="1" si="574"/>
        <v>0.90799421503692168</v>
      </c>
      <c r="AX425" s="48">
        <f t="shared" ca="1" si="574"/>
        <v>0.91559492213194105</v>
      </c>
      <c r="AZ425" s="23">
        <f t="shared" ref="AZ425:BG425" ca="1" si="575">AQ425</f>
        <v>0.93838872486017655</v>
      </c>
      <c r="BA425" s="23">
        <f t="shared" ca="1" si="575"/>
        <v>0.86784999094526682</v>
      </c>
      <c r="BB425" s="23">
        <f t="shared" ca="1" si="575"/>
        <v>0.90556082777674252</v>
      </c>
      <c r="BC425" s="23">
        <f t="shared" ca="1" si="575"/>
        <v>0.90742646388207149</v>
      </c>
      <c r="BD425" s="23">
        <f t="shared" ca="1" si="575"/>
        <v>0.9260763021388323</v>
      </c>
      <c r="BE425" s="23">
        <f t="shared" ca="1" si="575"/>
        <v>0.91563091264078855</v>
      </c>
      <c r="BF425" s="23">
        <f t="shared" ca="1" si="575"/>
        <v>0.90799421503692168</v>
      </c>
      <c r="BG425" s="48">
        <f t="shared" ca="1" si="575"/>
        <v>0.91559492213194105</v>
      </c>
      <c r="BI425" s="23">
        <f t="shared" ref="BI425:BP425" ca="1" si="576">AZ425</f>
        <v>0.93838872486017655</v>
      </c>
      <c r="BJ425" s="23">
        <f t="shared" ca="1" si="576"/>
        <v>0.86784999094526682</v>
      </c>
      <c r="BK425" s="23">
        <f t="shared" ca="1" si="576"/>
        <v>0.90556082777674252</v>
      </c>
      <c r="BL425" s="23">
        <f t="shared" ca="1" si="576"/>
        <v>0.90742646388207149</v>
      </c>
      <c r="BM425" s="23">
        <f t="shared" ca="1" si="576"/>
        <v>0.9260763021388323</v>
      </c>
      <c r="BN425" s="23">
        <f t="shared" ca="1" si="576"/>
        <v>0.91563091264078855</v>
      </c>
      <c r="BO425" s="23">
        <f t="shared" ca="1" si="576"/>
        <v>0.90799421503692168</v>
      </c>
      <c r="BP425" s="48">
        <f t="shared" ca="1" si="576"/>
        <v>0.91559492213194105</v>
      </c>
    </row>
    <row r="426" spans="2:68" ht="13.2" customHeight="1">
      <c r="B426" s="309" t="str">
        <f>CONCATENATE("Ratio of new VMT in Row ",O414, " to old VMT in Row ",O167, ".")</f>
        <v>Ratio of new VMT in Row 414 to old VMT in Row 167.</v>
      </c>
      <c r="G426" s="23"/>
      <c r="H426" s="23"/>
      <c r="I426" s="23"/>
      <c r="J426" s="23"/>
      <c r="K426" s="23"/>
      <c r="L426" s="23"/>
      <c r="M426" s="23"/>
      <c r="O426" s="39">
        <f>ROW()</f>
        <v>426</v>
      </c>
    </row>
    <row r="427" spans="2:68" ht="13.2" customHeight="1">
      <c r="B427" s="280" t="s">
        <v>2534</v>
      </c>
      <c r="G427" s="824">
        <f ca="1">MIN('Speed-Vol., non-Cordon'!$X$57*(G200 / 'Speed-Vol., non-Cordon'!$X$57)^G$425,'Speed-Vol., non-Cordon'!$X$32)</f>
        <v>55</v>
      </c>
      <c r="H427" s="824">
        <f ca="1">MIN('Speed-Vol., non-Cordon'!$X$57*(H200 / 'Speed-Vol., non-Cordon'!$X$57)^H$425,'Speed-Vol., non-Cordon'!$X$32)</f>
        <v>51.015863007653323</v>
      </c>
      <c r="I427" s="824">
        <f ca="1">MIN('Speed-Vol., non-Cordon'!$X$57*(I200 / 'Speed-Vol., non-Cordon'!$X$57)^I$425,'Speed-Vol., non-Cordon'!$X$32)</f>
        <v>20.688902154945641</v>
      </c>
      <c r="J427" s="824">
        <f ca="1">MIN('Speed-Vol., non-Cordon'!$X$57*(J200 / 'Speed-Vol., non-Cordon'!$X$57)^J$425,'Speed-Vol., non-Cordon'!$X$32)</f>
        <v>24.119743342947906</v>
      </c>
      <c r="K427" s="824">
        <f ca="1">MIN('Speed-Vol., non-Cordon'!$X$57*(K200 / 'Speed-Vol., non-Cordon'!$X$57)^K$425,'Speed-Vol., non-Cordon'!$X$32)</f>
        <v>27.210851482318319</v>
      </c>
      <c r="L427" s="824">
        <f ca="1">MIN('Speed-Vol., non-Cordon'!$X$57*(L200 / 'Speed-Vol., non-Cordon'!$X$57)^L$425,'Speed-Vol., non-Cordon'!$X$32)</f>
        <v>18.5333834902058</v>
      </c>
      <c r="M427" s="824">
        <f ca="1">MIN('Speed-Vol., non-Cordon'!$X$57*(M200 / 'Speed-Vol., non-Cordon'!$X$57)^M$425,'Speed-Vol., non-Cordon'!$X$32)</f>
        <v>30.036608879288377</v>
      </c>
      <c r="O427" s="39">
        <f>ROW()</f>
        <v>427</v>
      </c>
      <c r="P427" s="21">
        <f t="shared" ref="P427:V427" ca="1" si="577">G427</f>
        <v>55</v>
      </c>
      <c r="Q427" s="21">
        <f t="shared" ca="1" si="577"/>
        <v>51.015863007653323</v>
      </c>
      <c r="R427" s="21">
        <f t="shared" ca="1" si="577"/>
        <v>20.688902154945641</v>
      </c>
      <c r="S427" s="21">
        <f t="shared" ca="1" si="577"/>
        <v>24.119743342947906</v>
      </c>
      <c r="T427" s="21">
        <f t="shared" ca="1" si="577"/>
        <v>27.210851482318319</v>
      </c>
      <c r="U427" s="21">
        <f t="shared" ca="1" si="577"/>
        <v>18.5333834902058</v>
      </c>
      <c r="V427" s="21">
        <f t="shared" ca="1" si="577"/>
        <v>30.036608879288377</v>
      </c>
      <c r="Y427" s="21">
        <f t="shared" ref="Y427:AE427" ca="1" si="578">P427</f>
        <v>55</v>
      </c>
      <c r="Z427" s="21">
        <f t="shared" ca="1" si="578"/>
        <v>51.015863007653323</v>
      </c>
      <c r="AA427" s="21">
        <f t="shared" ca="1" si="578"/>
        <v>20.688902154945641</v>
      </c>
      <c r="AB427" s="21">
        <f t="shared" ca="1" si="578"/>
        <v>24.119743342947906</v>
      </c>
      <c r="AC427" s="21">
        <f t="shared" ca="1" si="578"/>
        <v>27.210851482318319</v>
      </c>
      <c r="AD427" s="21">
        <f t="shared" ca="1" si="578"/>
        <v>18.5333834902058</v>
      </c>
      <c r="AE427" s="21">
        <f t="shared" ca="1" si="578"/>
        <v>30.036608879288377</v>
      </c>
      <c r="AH427" s="21">
        <f t="shared" ref="AH427:AN427" ca="1" si="579">Y427</f>
        <v>55</v>
      </c>
      <c r="AI427" s="21">
        <f t="shared" ca="1" si="579"/>
        <v>51.015863007653323</v>
      </c>
      <c r="AJ427" s="21">
        <f t="shared" ca="1" si="579"/>
        <v>20.688902154945641</v>
      </c>
      <c r="AK427" s="21">
        <f t="shared" ca="1" si="579"/>
        <v>24.119743342947906</v>
      </c>
      <c r="AL427" s="21">
        <f t="shared" ca="1" si="579"/>
        <v>27.210851482318319</v>
      </c>
      <c r="AM427" s="21">
        <f t="shared" ca="1" si="579"/>
        <v>18.5333834902058</v>
      </c>
      <c r="AN427" s="21">
        <f t="shared" ca="1" si="579"/>
        <v>30.036608879288377</v>
      </c>
      <c r="AQ427" s="21">
        <f t="shared" ref="AQ427:AW427" ca="1" si="580">$AV$181*G427</f>
        <v>54.45</v>
      </c>
      <c r="AR427" s="21">
        <f t="shared" ca="1" si="580"/>
        <v>50.505704377576791</v>
      </c>
      <c r="AS427" s="21">
        <f t="shared" ca="1" si="580"/>
        <v>20.482013133396183</v>
      </c>
      <c r="AT427" s="21">
        <f t="shared" ca="1" si="580"/>
        <v>23.878545909518426</v>
      </c>
      <c r="AU427" s="21">
        <f t="shared" ca="1" si="580"/>
        <v>26.938742967495134</v>
      </c>
      <c r="AV427" s="21">
        <f t="shared" ca="1" si="580"/>
        <v>18.348049655303743</v>
      </c>
      <c r="AW427" s="21">
        <f t="shared" ca="1" si="580"/>
        <v>29.736242790495492</v>
      </c>
      <c r="AZ427" s="21">
        <f t="shared" ref="AZ427:BF427" ca="1" si="581">AQ427</f>
        <v>54.45</v>
      </c>
      <c r="BA427" s="21">
        <f t="shared" ca="1" si="581"/>
        <v>50.505704377576791</v>
      </c>
      <c r="BB427" s="21">
        <f t="shared" ca="1" si="581"/>
        <v>20.482013133396183</v>
      </c>
      <c r="BC427" s="21">
        <f t="shared" ca="1" si="581"/>
        <v>23.878545909518426</v>
      </c>
      <c r="BD427" s="21">
        <f t="shared" ca="1" si="581"/>
        <v>26.938742967495134</v>
      </c>
      <c r="BE427" s="21">
        <f t="shared" ca="1" si="581"/>
        <v>18.348049655303743</v>
      </c>
      <c r="BF427" s="21">
        <f t="shared" ca="1" si="581"/>
        <v>29.736242790495492</v>
      </c>
      <c r="BI427" s="21">
        <f t="shared" ref="BI427:BO427" ca="1" si="582">AZ427</f>
        <v>54.45</v>
      </c>
      <c r="BJ427" s="21">
        <f t="shared" ca="1" si="582"/>
        <v>50.505704377576791</v>
      </c>
      <c r="BK427" s="21">
        <f t="shared" ca="1" si="582"/>
        <v>20.482013133396183</v>
      </c>
      <c r="BL427" s="21">
        <f t="shared" ca="1" si="582"/>
        <v>23.878545909518426</v>
      </c>
      <c r="BM427" s="21">
        <f t="shared" ca="1" si="582"/>
        <v>26.938742967495134</v>
      </c>
      <c r="BN427" s="21">
        <f t="shared" ca="1" si="582"/>
        <v>18.348049655303743</v>
      </c>
      <c r="BO427" s="21">
        <f t="shared" ca="1" si="582"/>
        <v>29.736242790495492</v>
      </c>
    </row>
    <row r="428" spans="2:68" ht="13.2" customHeight="1">
      <c r="B428" s="309" t="str">
        <f>CONCATENATE("Speeds are calculated with 'speed-volume' relationship discussed in Part B, above, in note beginning in Row ",O195, ".")</f>
        <v>Speeds are calculated with 'speed-volume' relationship discussed in Part B, above, in note beginning in Row 195.</v>
      </c>
      <c r="O428" s="39">
        <f>ROW()</f>
        <v>428</v>
      </c>
      <c r="W428" s="4360" t="s">
        <v>1878</v>
      </c>
      <c r="AF428" s="4360" t="s">
        <v>1878</v>
      </c>
      <c r="AO428" s="4360" t="s">
        <v>1878</v>
      </c>
      <c r="AX428" s="4360" t="s">
        <v>1878</v>
      </c>
      <c r="BG428" s="4360" t="s">
        <v>1878</v>
      </c>
      <c r="BP428" s="4360" t="s">
        <v>1878</v>
      </c>
    </row>
    <row r="429" spans="2:68" ht="13.2" customHeight="1">
      <c r="O429" s="39">
        <f>ROW()</f>
        <v>429</v>
      </c>
      <c r="W429" s="4361"/>
      <c r="AF429" s="4361"/>
      <c r="AO429" s="4361"/>
      <c r="AX429" s="4361"/>
      <c r="BG429" s="4361"/>
      <c r="BP429" s="4361"/>
    </row>
    <row r="430" spans="2:68" ht="13.2" customHeight="1">
      <c r="B430" s="6" t="s">
        <v>2406</v>
      </c>
      <c r="F430" s="606"/>
      <c r="O430" s="39">
        <f>ROW()</f>
        <v>430</v>
      </c>
      <c r="W430" s="4362"/>
      <c r="AF430" s="4362"/>
      <c r="AO430" s="4362"/>
      <c r="AX430" s="4362"/>
      <c r="BG430" s="4362"/>
      <c r="BP430" s="4362"/>
    </row>
    <row r="431" spans="2:68" ht="13.2" customHeight="1">
      <c r="B431" s="280" t="s">
        <v>2158</v>
      </c>
      <c r="C431" s="297"/>
      <c r="D431" s="297"/>
      <c r="E431" s="297"/>
      <c r="F431" s="297"/>
      <c r="G431" s="4286" t="s">
        <v>2351</v>
      </c>
      <c r="H431" s="3775"/>
      <c r="I431" s="3775"/>
      <c r="J431" s="3775"/>
      <c r="K431" s="3775"/>
      <c r="L431" s="3776"/>
      <c r="O431" s="39">
        <f>ROW()</f>
        <v>431</v>
      </c>
      <c r="P431" s="21">
        <f t="shared" ref="P431:V431" ca="1" si="583">($I$85)*60/P403</f>
        <v>3.5308929922502421</v>
      </c>
      <c r="Q431" s="21">
        <f t="shared" ca="1" si="583"/>
        <v>3.5346527542911588</v>
      </c>
      <c r="R431" s="21">
        <f t="shared" ca="1" si="583"/>
        <v>6.0931753324899827</v>
      </c>
      <c r="S431" s="21">
        <f t="shared" ca="1" si="583"/>
        <v>5.9512343146473468</v>
      </c>
      <c r="T431" s="21">
        <f t="shared" ca="1" si="583"/>
        <v>5.3007444498616971</v>
      </c>
      <c r="U431" s="21">
        <f t="shared" ca="1" si="583"/>
        <v>6.9618007639784079</v>
      </c>
      <c r="V431" s="21">
        <f t="shared" ca="1" si="583"/>
        <v>5.2519377610493851</v>
      </c>
      <c r="W431" s="613">
        <f ca="1">SUMPRODUCT(P$383:V$383,P431:V431)/W$383</f>
        <v>5.7893921557266586</v>
      </c>
      <c r="Y431" s="21">
        <f t="shared" ref="Y431:AE431" ca="1" si="584">($J$85)*60/Y403</f>
        <v>3.5308929922502421</v>
      </c>
      <c r="Z431" s="21">
        <f t="shared" ca="1" si="584"/>
        <v>3.5346527542911588</v>
      </c>
      <c r="AA431" s="21">
        <f t="shared" ca="1" si="584"/>
        <v>6.0931753324899827</v>
      </c>
      <c r="AB431" s="21">
        <f t="shared" ca="1" si="584"/>
        <v>5.9512343146473468</v>
      </c>
      <c r="AC431" s="21">
        <f t="shared" ca="1" si="584"/>
        <v>5.3007444498616971</v>
      </c>
      <c r="AD431" s="21">
        <f t="shared" ca="1" si="584"/>
        <v>6.9618007639784079</v>
      </c>
      <c r="AE431" s="21">
        <f t="shared" ca="1" si="584"/>
        <v>5.2519377610493851</v>
      </c>
      <c r="AF431" s="613">
        <f ca="1">SUMPRODUCT(Y$383:AE$383,Y431:AE431)/AF$383</f>
        <v>5.8200568606836596</v>
      </c>
      <c r="AH431" s="21">
        <f t="shared" ref="AH431:AN431" ca="1" si="585">($K$85)*60/AH403</f>
        <v>4.5195430300803094</v>
      </c>
      <c r="AI431" s="21">
        <f t="shared" ca="1" si="585"/>
        <v>4.5243555254926831</v>
      </c>
      <c r="AJ431" s="21">
        <f t="shared" ca="1" si="585"/>
        <v>7.7992644255871779</v>
      </c>
      <c r="AK431" s="21">
        <f t="shared" ca="1" si="585"/>
        <v>7.6175799227486038</v>
      </c>
      <c r="AL431" s="21">
        <f t="shared" ca="1" si="585"/>
        <v>6.7849528958229728</v>
      </c>
      <c r="AM431" s="21">
        <f t="shared" ca="1" si="585"/>
        <v>8.9111049778923608</v>
      </c>
      <c r="AN431" s="21">
        <f t="shared" ca="1" si="585"/>
        <v>6.7224803341432136</v>
      </c>
      <c r="AO431" s="613">
        <f ca="1">SUMPRODUCT(AH$383:AN$383,AH431:AN431)/AO$383</f>
        <v>7.2211629855573687</v>
      </c>
      <c r="AQ431" s="21">
        <f t="shared" ref="AQ431:AW431" ca="1" si="586">($L$85)*60/AQ403</f>
        <v>5.9467671448425135</v>
      </c>
      <c r="AR431" s="21">
        <f t="shared" ca="1" si="586"/>
        <v>5.9530993756482671</v>
      </c>
      <c r="AS431" s="21">
        <f t="shared" ca="1" si="586"/>
        <v>10.262190033667341</v>
      </c>
      <c r="AT431" s="21">
        <f t="shared" ca="1" si="586"/>
        <v>10.023131477300796</v>
      </c>
      <c r="AU431" s="21">
        <f t="shared" ca="1" si="586"/>
        <v>8.9275695997670699</v>
      </c>
      <c r="AV431" s="21">
        <f t="shared" ca="1" si="586"/>
        <v>11.725138128805739</v>
      </c>
      <c r="AW431" s="21">
        <f t="shared" ca="1" si="586"/>
        <v>8.8453688607147551</v>
      </c>
      <c r="AX431" s="613">
        <f ca="1">SUMPRODUCT(AQ$383:AW$383,AQ431:AW431)/AX$383</f>
        <v>9.446355856310312</v>
      </c>
      <c r="AZ431" s="21">
        <f t="shared" ref="AZ431:BF431" ca="1" si="587">($M$85)*60/AZ403</f>
        <v>8.9201507172637697</v>
      </c>
      <c r="BA431" s="21">
        <f t="shared" ca="1" si="587"/>
        <v>8.9296490634724002</v>
      </c>
      <c r="BB431" s="21">
        <f t="shared" ca="1" si="587"/>
        <v>15.39328505050101</v>
      </c>
      <c r="BC431" s="21">
        <f t="shared" ca="1" si="587"/>
        <v>15.034697215951192</v>
      </c>
      <c r="BD431" s="21">
        <f t="shared" ca="1" si="587"/>
        <v>13.391354399650606</v>
      </c>
      <c r="BE431" s="21">
        <f t="shared" ca="1" si="587"/>
        <v>17.587707193208608</v>
      </c>
      <c r="BF431" s="21">
        <f t="shared" ca="1" si="587"/>
        <v>13.268053291072132</v>
      </c>
      <c r="BG431" s="613">
        <f ca="1">SUMPRODUCT(AZ$383:BF$383,AZ431:BF431)/BG$383</f>
        <v>14.59968029215438</v>
      </c>
      <c r="BI431" s="21">
        <f t="shared" ref="BI431:BO431" ca="1" si="588">($N$85)*60/BI403</f>
        <v>5.9467671448425135</v>
      </c>
      <c r="BJ431" s="21">
        <f t="shared" ca="1" si="588"/>
        <v>5.9530993756482671</v>
      </c>
      <c r="BK431" s="21">
        <f t="shared" ca="1" si="588"/>
        <v>10.262190033667341</v>
      </c>
      <c r="BL431" s="21">
        <f t="shared" ca="1" si="588"/>
        <v>10.023131477300796</v>
      </c>
      <c r="BM431" s="21">
        <f t="shared" ca="1" si="588"/>
        <v>8.9275695997670699</v>
      </c>
      <c r="BN431" s="21">
        <f t="shared" ca="1" si="588"/>
        <v>11.725138128805739</v>
      </c>
      <c r="BO431" s="21">
        <f t="shared" ca="1" si="588"/>
        <v>8.8453688607147551</v>
      </c>
      <c r="BP431" s="613">
        <f ca="1">SUMPRODUCT(BI$383:BO$383,BI431:BO431)/BP$383</f>
        <v>9.7323667201416999</v>
      </c>
    </row>
    <row r="432" spans="2:68" ht="13.2" customHeight="1">
      <c r="B432" s="280" t="s">
        <v>2159</v>
      </c>
      <c r="C432" s="297"/>
      <c r="D432" s="297"/>
      <c r="E432" s="297"/>
      <c r="F432" s="297"/>
      <c r="G432" s="3738"/>
      <c r="H432" s="3739"/>
      <c r="I432" s="3739"/>
      <c r="J432" s="3739"/>
      <c r="K432" s="3739"/>
      <c r="L432" s="3922"/>
      <c r="O432" s="39">
        <f>ROW()</f>
        <v>432</v>
      </c>
      <c r="P432" s="21">
        <f t="shared" ref="P432:V432" ca="1" si="589">60*$I$85/(1/($P$135/$P403+$Q$135/$Q403+$R$135/$R403+$S$135/$S403+$T$135/$T403+$U$135/$U403+$V$135/$V403))</f>
        <v>5.7757161962256145</v>
      </c>
      <c r="Q432" s="21">
        <f t="shared" ca="1" si="589"/>
        <v>5.7757161962256145</v>
      </c>
      <c r="R432" s="21">
        <f t="shared" ca="1" si="589"/>
        <v>5.7757161962256145</v>
      </c>
      <c r="S432" s="21">
        <f t="shared" ca="1" si="589"/>
        <v>5.7757161962256145</v>
      </c>
      <c r="T432" s="21">
        <f t="shared" ca="1" si="589"/>
        <v>5.7757161962256145</v>
      </c>
      <c r="U432" s="21">
        <f t="shared" ca="1" si="589"/>
        <v>5.7757161962256145</v>
      </c>
      <c r="V432" s="21">
        <f t="shared" ca="1" si="589"/>
        <v>5.7757161962256145</v>
      </c>
      <c r="W432" s="613">
        <f ca="1">SUMPRODUCT(P$383:V$383,P432:V432)/W$383</f>
        <v>5.7757161962256136</v>
      </c>
      <c r="Y432" s="21">
        <f t="shared" ref="Y432:AE432" ca="1" si="590">60*$J$85/(1/($Y$135/$Y403+$Z$135/$Z403+$AA$135/$AA403+$AB$135/$AB403+$AC$135/$AC403+$AD$135/$AD403+$AE$135/$AE403))</f>
        <v>5.7757161962256154</v>
      </c>
      <c r="Z432" s="21">
        <f t="shared" ca="1" si="590"/>
        <v>5.7757161962256154</v>
      </c>
      <c r="AA432" s="21">
        <f t="shared" ca="1" si="590"/>
        <v>5.7757161962256154</v>
      </c>
      <c r="AB432" s="21">
        <f t="shared" ca="1" si="590"/>
        <v>5.7757161962256154</v>
      </c>
      <c r="AC432" s="21">
        <f t="shared" ca="1" si="590"/>
        <v>5.7757161962256154</v>
      </c>
      <c r="AD432" s="21">
        <f t="shared" ca="1" si="590"/>
        <v>5.7757161962256154</v>
      </c>
      <c r="AE432" s="21">
        <f t="shared" ca="1" si="590"/>
        <v>5.7757161962256154</v>
      </c>
      <c r="AF432" s="613">
        <f ca="1">SUMPRODUCT(Y$383:AE$383,Y432:AE432)/AF$383</f>
        <v>5.7757161962256163</v>
      </c>
      <c r="AH432" s="21">
        <f ca="1">AH431</f>
        <v>4.5195430300803094</v>
      </c>
      <c r="AI432" s="21">
        <f t="shared" ref="AI432:AN432" ca="1" si="591">AI431</f>
        <v>4.5243555254926831</v>
      </c>
      <c r="AJ432" s="21">
        <f t="shared" ca="1" si="591"/>
        <v>7.7992644255871779</v>
      </c>
      <c r="AK432" s="21">
        <f t="shared" ca="1" si="591"/>
        <v>7.6175799227486038</v>
      </c>
      <c r="AL432" s="21">
        <f t="shared" ca="1" si="591"/>
        <v>6.7849528958229728</v>
      </c>
      <c r="AM432" s="21">
        <f t="shared" ca="1" si="591"/>
        <v>8.9111049778923608</v>
      </c>
      <c r="AN432" s="21">
        <f t="shared" ca="1" si="591"/>
        <v>6.7224803341432136</v>
      </c>
      <c r="AO432" s="613">
        <f ca="1">SUMPRODUCT(AH$383:AN$383,AH432:AN432)/AO$383</f>
        <v>7.2211629855573687</v>
      </c>
      <c r="AQ432" s="21"/>
      <c r="AR432" s="21"/>
      <c r="AS432" s="21"/>
      <c r="AT432" s="21"/>
      <c r="AU432" s="21"/>
      <c r="AV432" s="21"/>
      <c r="AW432" s="21"/>
      <c r="AX432" s="613"/>
      <c r="AZ432" s="21">
        <f t="shared" ref="AZ432:BF432" ca="1" si="592">60*$M$85/(1/($AZ$135/$AZ403+$BA$135/$BA403+$BB$135/$BB403+$BC$135/$BC403+$BD$135/$BD403+$BE$135/$BE403+$BF$135/$BF403))</f>
        <v>14.591283022043662</v>
      </c>
      <c r="BA432" s="21">
        <f t="shared" ca="1" si="592"/>
        <v>14.591283022043662</v>
      </c>
      <c r="BB432" s="21">
        <f t="shared" ca="1" si="592"/>
        <v>14.591283022043662</v>
      </c>
      <c r="BC432" s="21">
        <f t="shared" ca="1" si="592"/>
        <v>14.591283022043662</v>
      </c>
      <c r="BD432" s="21">
        <f t="shared" ca="1" si="592"/>
        <v>14.591283022043662</v>
      </c>
      <c r="BE432" s="21">
        <f t="shared" ca="1" si="592"/>
        <v>14.591283022043662</v>
      </c>
      <c r="BF432" s="21">
        <f t="shared" ca="1" si="592"/>
        <v>14.591283022043662</v>
      </c>
      <c r="BG432" s="613">
        <f ca="1">SUMPRODUCT(AZ$383:BF$383,AZ432:BF432)/BG$383</f>
        <v>14.59128302204366</v>
      </c>
      <c r="BI432" s="21">
        <f t="shared" ref="BI432:BO432" ca="1" si="593">60*$N$85/(1/($BI$135/$BI403+$BJ$135/$BJ403+$BK$135/$BK403+$BL$135/$BL403+$BM$135/$BM403+$BN$135/$BN403+$BO$135/$BO403))</f>
        <v>9.7275220146957739</v>
      </c>
      <c r="BJ432" s="21">
        <f t="shared" ca="1" si="593"/>
        <v>9.7275220146957739</v>
      </c>
      <c r="BK432" s="21">
        <f t="shared" ca="1" si="593"/>
        <v>9.7275220146957739</v>
      </c>
      <c r="BL432" s="21">
        <f t="shared" ca="1" si="593"/>
        <v>9.7275220146957739</v>
      </c>
      <c r="BM432" s="21">
        <f t="shared" ca="1" si="593"/>
        <v>9.7275220146957739</v>
      </c>
      <c r="BN432" s="21">
        <f t="shared" ca="1" si="593"/>
        <v>9.7275220146957739</v>
      </c>
      <c r="BO432" s="21">
        <f t="shared" ca="1" si="593"/>
        <v>9.7275220146957739</v>
      </c>
      <c r="BP432" s="613">
        <f ca="1">SUMPRODUCT(BI$383:BO$383,BI432:BO432)/BP$383</f>
        <v>9.7275220146957722</v>
      </c>
    </row>
    <row r="433" spans="2:68" ht="13.2" customHeight="1">
      <c r="B433" s="280" t="s">
        <v>2160</v>
      </c>
      <c r="C433" s="297"/>
      <c r="D433" s="297"/>
      <c r="E433" s="297"/>
      <c r="F433" s="297"/>
      <c r="G433" s="3738"/>
      <c r="H433" s="3739"/>
      <c r="I433" s="3739"/>
      <c r="J433" s="3739"/>
      <c r="K433" s="3739"/>
      <c r="L433" s="3922"/>
      <c r="O433" s="39">
        <f>ROW()</f>
        <v>433</v>
      </c>
      <c r="P433" s="21">
        <f t="shared" ref="P433:V433" ca="1" si="594">($I$79)*60/P427</f>
        <v>18.436427705879503</v>
      </c>
      <c r="Q433" s="21">
        <f t="shared" ca="1" si="594"/>
        <v>19.876239742749299</v>
      </c>
      <c r="R433" s="21">
        <f t="shared" ca="1" si="594"/>
        <v>49.011954149581456</v>
      </c>
      <c r="S433" s="21">
        <f t="shared" ca="1" si="594"/>
        <v>42.040394435616804</v>
      </c>
      <c r="T433" s="21">
        <f t="shared" ca="1" si="594"/>
        <v>37.264674517159996</v>
      </c>
      <c r="U433" s="21">
        <f t="shared" ca="1" si="594"/>
        <v>54.712272282027492</v>
      </c>
      <c r="V433" s="21">
        <f t="shared" ca="1" si="594"/>
        <v>33.758921584605872</v>
      </c>
      <c r="W433" s="613">
        <f ca="1">SUMPRODUCT(P$383:V$383,P433:V433)/W$383</f>
        <v>42.684200070291119</v>
      </c>
      <c r="Y433" s="21">
        <f t="shared" ref="Y433:AE433" ca="1" si="595">($J$79)*60/Y427</f>
        <v>18.436427705879503</v>
      </c>
      <c r="Z433" s="21">
        <f t="shared" ca="1" si="595"/>
        <v>19.876239742749299</v>
      </c>
      <c r="AA433" s="21">
        <f t="shared" ca="1" si="595"/>
        <v>49.011954149581456</v>
      </c>
      <c r="AB433" s="21">
        <f t="shared" ca="1" si="595"/>
        <v>42.040394435616804</v>
      </c>
      <c r="AC433" s="21">
        <f t="shared" ca="1" si="595"/>
        <v>37.264674517159996</v>
      </c>
      <c r="AD433" s="21">
        <f t="shared" ca="1" si="595"/>
        <v>54.712272282027492</v>
      </c>
      <c r="AE433" s="21">
        <f t="shared" ca="1" si="595"/>
        <v>33.758921584605872</v>
      </c>
      <c r="AF433" s="613">
        <f ca="1">SUMPRODUCT(Y$383:AE$383,Y433:AE433)/AF$383</f>
        <v>42.59547891538935</v>
      </c>
      <c r="AH433" s="21">
        <f t="shared" ref="AH433:AN433" ca="1" si="596">($K$79)*60/AH427</f>
        <v>27.654641558819254</v>
      </c>
      <c r="AI433" s="21">
        <f t="shared" ca="1" si="596"/>
        <v>29.814359614123948</v>
      </c>
      <c r="AJ433" s="21">
        <f t="shared" ca="1" si="596"/>
        <v>73.517931224372177</v>
      </c>
      <c r="AK433" s="21">
        <f t="shared" ca="1" si="596"/>
        <v>63.060591653425213</v>
      </c>
      <c r="AL433" s="21">
        <f t="shared" ca="1" si="596"/>
        <v>55.89701177573999</v>
      </c>
      <c r="AM433" s="21">
        <f t="shared" ca="1" si="596"/>
        <v>82.068408423041234</v>
      </c>
      <c r="AN433" s="21">
        <f t="shared" ca="1" si="596"/>
        <v>50.638382376908801</v>
      </c>
      <c r="AO433" s="613">
        <f ca="1">SUMPRODUCT(AH$383:AN$383,AH433:AN433)/AO$383</f>
        <v>61.08818043854324</v>
      </c>
      <c r="AQ433" s="21">
        <f t="shared" ref="AQ433:AW433" ca="1" si="597">($L$79)*60/AQ427</f>
        <v>6.6115702479338836</v>
      </c>
      <c r="AR433" s="21">
        <f t="shared" ca="1" si="597"/>
        <v>7.1279077172880809</v>
      </c>
      <c r="AS433" s="21">
        <f t="shared" ca="1" si="597"/>
        <v>17.576397283576359</v>
      </c>
      <c r="AT433" s="21">
        <f t="shared" ca="1" si="597"/>
        <v>15.076294903555974</v>
      </c>
      <c r="AU433" s="21">
        <f t="shared" ca="1" si="597"/>
        <v>13.363652507260035</v>
      </c>
      <c r="AV433" s="21">
        <f t="shared" ca="1" si="597"/>
        <v>19.620614003294747</v>
      </c>
      <c r="AW433" s="21">
        <f t="shared" ca="1" si="597"/>
        <v>12.106438682800428</v>
      </c>
      <c r="AX433" s="613">
        <f ca="1">SUMPRODUCT(AQ$383:AW$383,AQ433:AW433)/AX$383</f>
        <v>14.496825872672957</v>
      </c>
      <c r="AZ433" s="21">
        <f t="shared" ref="AZ433:BF433" ca="1" si="598">($M$79)*60/AZ427</f>
        <v>13.796364273002007</v>
      </c>
      <c r="BA433" s="21">
        <f t="shared" ca="1" si="598"/>
        <v>14.873805720022347</v>
      </c>
      <c r="BB433" s="21">
        <f t="shared" ca="1" si="598"/>
        <v>36.676669904097395</v>
      </c>
      <c r="BC433" s="21">
        <f t="shared" ca="1" si="598"/>
        <v>31.45970602697011</v>
      </c>
      <c r="BD433" s="21">
        <f t="shared" ca="1" si="598"/>
        <v>27.88593497370638</v>
      </c>
      <c r="BE433" s="21">
        <f t="shared" ca="1" si="598"/>
        <v>40.942337129974561</v>
      </c>
      <c r="BF433" s="21">
        <f t="shared" ca="1" si="598"/>
        <v>25.262506765147446</v>
      </c>
      <c r="BG433" s="613">
        <f ca="1">SUMPRODUCT(AZ$383:BF$383,AZ433:BF433)/BG$383</f>
        <v>31.708993673984704</v>
      </c>
      <c r="BI433" s="21">
        <f t="shared" ref="BI433:BO433" ca="1" si="599">($N$79)*60/BI427</f>
        <v>19.137092211025102</v>
      </c>
      <c r="BJ433" s="21">
        <f t="shared" ca="1" si="599"/>
        <v>20.631623372684693</v>
      </c>
      <c r="BK433" s="21">
        <f t="shared" ca="1" si="599"/>
        <v>50.874621752453557</v>
      </c>
      <c r="BL433" s="21">
        <f t="shared" ca="1" si="599"/>
        <v>43.638112422706222</v>
      </c>
      <c r="BM433" s="21">
        <f t="shared" ca="1" si="599"/>
        <v>38.680894359014232</v>
      </c>
      <c r="BN433" s="21">
        <f t="shared" ca="1" si="599"/>
        <v>56.791576786969777</v>
      </c>
      <c r="BO433" s="21">
        <f t="shared" ca="1" si="599"/>
        <v>35.041907554755809</v>
      </c>
      <c r="BP433" s="613">
        <f ca="1">SUMPRODUCT(BI$383:BO$383,BI433:BO433)/BP$383</f>
        <v>43.980182746340901</v>
      </c>
    </row>
    <row r="434" spans="2:68" ht="13.2" customHeight="1">
      <c r="B434" s="280" t="s">
        <v>1138</v>
      </c>
      <c r="C434" s="297"/>
      <c r="D434" s="297"/>
      <c r="E434" s="297"/>
      <c r="F434" s="297"/>
      <c r="G434" s="3738"/>
      <c r="H434" s="3739"/>
      <c r="I434" s="3739"/>
      <c r="J434" s="3739"/>
      <c r="K434" s="3739"/>
      <c r="L434" s="3922"/>
      <c r="O434" s="39">
        <f>ROW()</f>
        <v>434</v>
      </c>
      <c r="P434" s="21">
        <f t="shared" ref="P434:V434" ca="1" si="600">60*$I$79/(1/($P$135/$P427+$Q$135/$Q427+$R$135/$R427+$S$135/$S427+$T$135/$T427+$U$135/$U427+$V$135/$V427))</f>
        <v>42.174290129751775</v>
      </c>
      <c r="Q434" s="21">
        <f t="shared" ca="1" si="600"/>
        <v>42.174290129751775</v>
      </c>
      <c r="R434" s="21">
        <f t="shared" ca="1" si="600"/>
        <v>42.174290129751775</v>
      </c>
      <c r="S434" s="21">
        <f t="shared" ca="1" si="600"/>
        <v>42.174290129751775</v>
      </c>
      <c r="T434" s="21">
        <f t="shared" ca="1" si="600"/>
        <v>42.174290129751775</v>
      </c>
      <c r="U434" s="21">
        <f t="shared" ca="1" si="600"/>
        <v>42.174290129751775</v>
      </c>
      <c r="V434" s="21">
        <f t="shared" ca="1" si="600"/>
        <v>42.174290129751775</v>
      </c>
      <c r="W434" s="613">
        <f ca="1">SUMPRODUCT(P$383:V$383,P434:V434)/W$383</f>
        <v>42.174290129751768</v>
      </c>
      <c r="Y434" s="21">
        <f t="shared" ref="Y434:AE434" ca="1" si="601">60*$J$79/(1/($Y$135/$Y427+$Z$135/$Z427+$AA$135/$AA427+$AB$135/$AB427+$AC$135/$AC427+$AD$135/$AD427+$AE$135/$AE427))</f>
        <v>42.174290129751775</v>
      </c>
      <c r="Z434" s="21">
        <f t="shared" ca="1" si="601"/>
        <v>42.174290129751775</v>
      </c>
      <c r="AA434" s="21">
        <f t="shared" ca="1" si="601"/>
        <v>42.174290129751775</v>
      </c>
      <c r="AB434" s="21">
        <f t="shared" ca="1" si="601"/>
        <v>42.174290129751775</v>
      </c>
      <c r="AC434" s="21">
        <f t="shared" ca="1" si="601"/>
        <v>42.174290129751775</v>
      </c>
      <c r="AD434" s="21">
        <f t="shared" ca="1" si="601"/>
        <v>42.174290129751775</v>
      </c>
      <c r="AE434" s="21">
        <f t="shared" ca="1" si="601"/>
        <v>42.174290129751775</v>
      </c>
      <c r="AF434" s="613">
        <f ca="1">SUMPRODUCT(Y$383:AE$383,Y434:AE434)/AF$383</f>
        <v>42.174290129751768</v>
      </c>
      <c r="AH434" s="21">
        <f t="shared" ref="AH434:AN434" ca="1" si="602">AH433</f>
        <v>27.654641558819254</v>
      </c>
      <c r="AI434" s="21">
        <f t="shared" ca="1" si="602"/>
        <v>29.814359614123948</v>
      </c>
      <c r="AJ434" s="21">
        <f t="shared" ca="1" si="602"/>
        <v>73.517931224372177</v>
      </c>
      <c r="AK434" s="21">
        <f t="shared" ca="1" si="602"/>
        <v>63.060591653425213</v>
      </c>
      <c r="AL434" s="21">
        <f t="shared" ca="1" si="602"/>
        <v>55.89701177573999</v>
      </c>
      <c r="AM434" s="21">
        <f t="shared" ca="1" si="602"/>
        <v>82.068408423041234</v>
      </c>
      <c r="AN434" s="21">
        <f t="shared" ca="1" si="602"/>
        <v>50.638382376908801</v>
      </c>
      <c r="AO434" s="613">
        <f ca="1">SUMPRODUCT(AH$383:AN$383,AH434:AN434)/AO$383</f>
        <v>61.08818043854324</v>
      </c>
      <c r="AX434" s="613"/>
      <c r="AZ434" s="21">
        <f t="shared" ref="AZ434:BF434" ca="1" si="603">60*$M$79/(1/($AZ$135/$AZ427+$BA$135/$BA427+$BB$135/$BB427+$BC$135/$BC427+$BD$135/$BD427+$BE$135/$BE427+$BF$135/$BF427))</f>
        <v>31.559902974032873</v>
      </c>
      <c r="BA434" s="21">
        <f t="shared" ca="1" si="603"/>
        <v>31.559902974032873</v>
      </c>
      <c r="BB434" s="21">
        <f t="shared" ca="1" si="603"/>
        <v>31.559902974032873</v>
      </c>
      <c r="BC434" s="21">
        <f t="shared" ca="1" si="603"/>
        <v>31.559902974032873</v>
      </c>
      <c r="BD434" s="21">
        <f t="shared" ca="1" si="603"/>
        <v>31.559902974032873</v>
      </c>
      <c r="BE434" s="21">
        <f t="shared" ca="1" si="603"/>
        <v>31.559902974032873</v>
      </c>
      <c r="BF434" s="21">
        <f t="shared" ca="1" si="603"/>
        <v>31.559902974032873</v>
      </c>
      <c r="BG434" s="613">
        <f ca="1">SUMPRODUCT(AZ$383:BF$383,AZ434:BF434)/BG$383</f>
        <v>31.559902974032877</v>
      </c>
      <c r="BI434" s="21">
        <f t="shared" ref="BI434:BO434" ca="1" si="604">60*$N$79/(1/($BI$135/$BI427+$BJ$135/$BJ427+$BK$135/$BK427+$BL$135/$BL427+$BM$135/$BM427+$BN$135/$BN427+$BO$135/$BO427))</f>
        <v>43.777096736055761</v>
      </c>
      <c r="BJ434" s="21">
        <f t="shared" ca="1" si="604"/>
        <v>43.777096736055761</v>
      </c>
      <c r="BK434" s="21">
        <f t="shared" ca="1" si="604"/>
        <v>43.777096736055761</v>
      </c>
      <c r="BL434" s="21">
        <f t="shared" ca="1" si="604"/>
        <v>43.777096736055761</v>
      </c>
      <c r="BM434" s="21">
        <f t="shared" ca="1" si="604"/>
        <v>43.777096736055761</v>
      </c>
      <c r="BN434" s="21">
        <f t="shared" ca="1" si="604"/>
        <v>43.777096736055761</v>
      </c>
      <c r="BO434" s="21">
        <f t="shared" ca="1" si="604"/>
        <v>43.777096736055761</v>
      </c>
      <c r="BP434" s="613">
        <f ca="1">SUMPRODUCT(BI$383:BO$383,BI434:BO434)/BP$383</f>
        <v>43.777096736055761</v>
      </c>
    </row>
    <row r="435" spans="2:68" ht="13.2" customHeight="1">
      <c r="B435" s="308" t="s">
        <v>2243</v>
      </c>
      <c r="C435" s="297"/>
      <c r="D435" s="297"/>
      <c r="E435" s="297"/>
      <c r="F435" s="297"/>
      <c r="G435" s="3738"/>
      <c r="H435" s="3739"/>
      <c r="I435" s="3739"/>
      <c r="J435" s="3739"/>
      <c r="K435" s="3739"/>
      <c r="L435" s="3922"/>
      <c r="O435" s="39">
        <f>ROW()</f>
        <v>435</v>
      </c>
      <c r="P435" s="21">
        <f t="shared" ref="P435:W435" ca="1" si="605">SUM(P431:P434)</f>
        <v>69.917327024107138</v>
      </c>
      <c r="Q435" s="21">
        <f t="shared" ca="1" si="605"/>
        <v>71.360898823017848</v>
      </c>
      <c r="R435" s="21">
        <f t="shared" ca="1" si="605"/>
        <v>103.05513580804882</v>
      </c>
      <c r="S435" s="21">
        <f t="shared" ca="1" si="605"/>
        <v>95.941635076241539</v>
      </c>
      <c r="T435" s="21">
        <f t="shared" ca="1" si="605"/>
        <v>90.515425292999083</v>
      </c>
      <c r="U435" s="21">
        <f t="shared" ca="1" si="605"/>
        <v>109.6240793719833</v>
      </c>
      <c r="V435" s="21">
        <f t="shared" ca="1" si="605"/>
        <v>86.960865671632646</v>
      </c>
      <c r="W435" s="613">
        <f t="shared" ca="1" si="605"/>
        <v>96.423598551995156</v>
      </c>
      <c r="Y435" s="21">
        <f t="shared" ref="Y435:AF435" ca="1" si="606">SUM(Y431:Y434)</f>
        <v>69.917327024107138</v>
      </c>
      <c r="Z435" s="21">
        <f t="shared" ca="1" si="606"/>
        <v>71.360898823017848</v>
      </c>
      <c r="AA435" s="21">
        <f t="shared" ca="1" si="606"/>
        <v>103.05513580804882</v>
      </c>
      <c r="AB435" s="21">
        <f t="shared" ca="1" si="606"/>
        <v>95.941635076241539</v>
      </c>
      <c r="AC435" s="21">
        <f t="shared" ca="1" si="606"/>
        <v>90.515425292999083</v>
      </c>
      <c r="AD435" s="21">
        <f t="shared" ca="1" si="606"/>
        <v>109.6240793719833</v>
      </c>
      <c r="AE435" s="21">
        <f t="shared" ca="1" si="606"/>
        <v>86.960865671632646</v>
      </c>
      <c r="AF435" s="613">
        <f t="shared" ca="1" si="606"/>
        <v>96.365542102050398</v>
      </c>
      <c r="AH435" s="21">
        <f t="shared" ref="AH435:AO435" ca="1" si="607">SUM(AH431:AH434)</f>
        <v>64.348369177799128</v>
      </c>
      <c r="AI435" s="21">
        <f t="shared" ca="1" si="607"/>
        <v>68.677430279233263</v>
      </c>
      <c r="AJ435" s="21">
        <f t="shared" ca="1" si="607"/>
        <v>162.63439129991872</v>
      </c>
      <c r="AK435" s="21">
        <f t="shared" ca="1" si="607"/>
        <v>141.35634315234762</v>
      </c>
      <c r="AL435" s="21">
        <f t="shared" ca="1" si="607"/>
        <v>125.36392934312593</v>
      </c>
      <c r="AM435" s="21">
        <f t="shared" ca="1" si="607"/>
        <v>181.9590268018672</v>
      </c>
      <c r="AN435" s="21">
        <f t="shared" ca="1" si="607"/>
        <v>114.72172542210402</v>
      </c>
      <c r="AO435" s="613">
        <f t="shared" ca="1" si="607"/>
        <v>136.61868684820121</v>
      </c>
      <c r="AQ435" s="21">
        <f t="shared" ref="AQ435:AX435" ca="1" si="608">AQ431+AQ433</f>
        <v>12.558337392776398</v>
      </c>
      <c r="AR435" s="21">
        <f t="shared" ca="1" si="608"/>
        <v>13.081007092936348</v>
      </c>
      <c r="AS435" s="21">
        <f t="shared" ca="1" si="608"/>
        <v>27.8385873172437</v>
      </c>
      <c r="AT435" s="21">
        <f t="shared" ca="1" si="608"/>
        <v>25.099426380856769</v>
      </c>
      <c r="AU435" s="21">
        <f t="shared" ca="1" si="608"/>
        <v>22.291222107027103</v>
      </c>
      <c r="AV435" s="21">
        <f t="shared" ca="1" si="608"/>
        <v>31.345752132100486</v>
      </c>
      <c r="AW435" s="21">
        <f t="shared" ca="1" si="608"/>
        <v>20.951807543515184</v>
      </c>
      <c r="AX435" s="613">
        <f t="shared" ca="1" si="608"/>
        <v>23.943181728983269</v>
      </c>
      <c r="AZ435" s="21">
        <f t="shared" ref="AZ435:BG435" ca="1" si="609">SUM(AZ431:AZ434)</f>
        <v>68.867700986342314</v>
      </c>
      <c r="BA435" s="21">
        <f t="shared" ca="1" si="609"/>
        <v>69.954640779571292</v>
      </c>
      <c r="BB435" s="21">
        <f t="shared" ca="1" si="609"/>
        <v>98.221140950674936</v>
      </c>
      <c r="BC435" s="21">
        <f t="shared" ca="1" si="609"/>
        <v>92.645589238997843</v>
      </c>
      <c r="BD435" s="21">
        <f t="shared" ca="1" si="609"/>
        <v>87.428475369433528</v>
      </c>
      <c r="BE435" s="21">
        <f t="shared" ca="1" si="609"/>
        <v>104.6812303192597</v>
      </c>
      <c r="BF435" s="21">
        <f t="shared" ca="1" si="609"/>
        <v>84.68174605229612</v>
      </c>
      <c r="BG435" s="613">
        <f t="shared" ca="1" si="609"/>
        <v>92.459859962215617</v>
      </c>
      <c r="BI435" s="21">
        <f t="shared" ref="BI435:BP435" ca="1" si="610">SUM(BI431:BI434)</f>
        <v>78.588478106619149</v>
      </c>
      <c r="BJ435" s="21">
        <f t="shared" ca="1" si="610"/>
        <v>80.089341499084497</v>
      </c>
      <c r="BK435" s="21">
        <f t="shared" ca="1" si="610"/>
        <v>114.64143053687243</v>
      </c>
      <c r="BL435" s="21">
        <f t="shared" ca="1" si="610"/>
        <v>107.16586265075856</v>
      </c>
      <c r="BM435" s="21">
        <f t="shared" ca="1" si="610"/>
        <v>101.11308270953285</v>
      </c>
      <c r="BN435" s="21">
        <f t="shared" ca="1" si="610"/>
        <v>122.02133366652706</v>
      </c>
      <c r="BO435" s="21">
        <f t="shared" ca="1" si="610"/>
        <v>97.391895166222099</v>
      </c>
      <c r="BP435" s="613">
        <f t="shared" ca="1" si="610"/>
        <v>107.21716821723413</v>
      </c>
    </row>
    <row r="436" spans="2:68" ht="13.2" customHeight="1">
      <c r="B436" s="280" t="s">
        <v>1298</v>
      </c>
      <c r="C436" s="297"/>
      <c r="D436" s="297"/>
      <c r="E436" s="297"/>
      <c r="F436" s="297"/>
      <c r="G436" s="3741"/>
      <c r="H436" s="3742"/>
      <c r="I436" s="3742"/>
      <c r="J436" s="3742"/>
      <c r="K436" s="3742"/>
      <c r="L436" s="3777"/>
      <c r="O436" s="39">
        <f>ROW()</f>
        <v>436</v>
      </c>
      <c r="P436" s="117">
        <f t="shared" ref="P436:W436" ca="1" si="611">P435/P217</f>
        <v>0.88787475800486271</v>
      </c>
      <c r="Q436" s="117">
        <f t="shared" ca="1" si="611"/>
        <v>0.85564953819922218</v>
      </c>
      <c r="R436" s="117">
        <f t="shared" ca="1" si="611"/>
        <v>0.82899319281329742</v>
      </c>
      <c r="S436" s="117">
        <f t="shared" ca="1" si="611"/>
        <v>0.83897627945018549</v>
      </c>
      <c r="T436" s="117">
        <f t="shared" ca="1" si="611"/>
        <v>0.86049404068239987</v>
      </c>
      <c r="U436" s="117">
        <f t="shared" ca="1" si="611"/>
        <v>0.8341715459243968</v>
      </c>
      <c r="V436" s="117">
        <f t="shared" ca="1" si="611"/>
        <v>0.85070502219235145</v>
      </c>
      <c r="W436" s="640">
        <f t="shared" ca="1" si="611"/>
        <v>0.84107645083486537</v>
      </c>
      <c r="X436" s="117"/>
      <c r="Y436" s="117">
        <f t="shared" ref="Y436:AF436" ca="1" si="612">Y435/Y217</f>
        <v>0.88787475800486271</v>
      </c>
      <c r="Z436" s="117">
        <f t="shared" ca="1" si="612"/>
        <v>0.85564953819922218</v>
      </c>
      <c r="AA436" s="117">
        <f t="shared" ca="1" si="612"/>
        <v>0.82899319281329731</v>
      </c>
      <c r="AB436" s="117">
        <f t="shared" ca="1" si="612"/>
        <v>0.83897627945018527</v>
      </c>
      <c r="AC436" s="117">
        <f t="shared" ca="1" si="612"/>
        <v>0.86049404068239976</v>
      </c>
      <c r="AD436" s="117">
        <f t="shared" ca="1" si="612"/>
        <v>0.8341715459243968</v>
      </c>
      <c r="AE436" s="117">
        <f t="shared" ca="1" si="612"/>
        <v>0.85070502219235145</v>
      </c>
      <c r="AF436" s="640">
        <f t="shared" ca="1" si="612"/>
        <v>0.84317692598930849</v>
      </c>
      <c r="AG436" s="117"/>
      <c r="AH436" s="117">
        <f t="shared" ref="AH436:AO436" ca="1" si="613">AH435/AH217</f>
        <v>0.99886042302714761</v>
      </c>
      <c r="AI436" s="117">
        <f t="shared" ca="1" si="613"/>
        <v>0.87696334149824706</v>
      </c>
      <c r="AJ436" s="117">
        <f t="shared" ca="1" si="613"/>
        <v>0.81686678803069079</v>
      </c>
      <c r="AK436" s="117">
        <f t="shared" ca="1" si="613"/>
        <v>0.8342308849182718</v>
      </c>
      <c r="AL436" s="117">
        <f t="shared" ca="1" si="613"/>
        <v>0.8792025067536049</v>
      </c>
      <c r="AM436" s="117">
        <f t="shared" ca="1" si="613"/>
        <v>0.82722222997631478</v>
      </c>
      <c r="AN436" s="117">
        <f t="shared" ca="1" si="613"/>
        <v>0.85839918739929555</v>
      </c>
      <c r="AO436" s="640">
        <f t="shared" ca="1" si="613"/>
        <v>0.8422226241351688</v>
      </c>
      <c r="AP436" s="117"/>
      <c r="AQ436" s="117">
        <f t="shared" ref="AQ436:AX436" ca="1" si="614">AQ435/AQ217</f>
        <v>0.9961688107138903</v>
      </c>
      <c r="AR436" s="117">
        <f t="shared" ca="1" si="614"/>
        <v>0.90346416723218959</v>
      </c>
      <c r="AS436" s="117">
        <f t="shared" ca="1" si="614"/>
        <v>0.79417335295550595</v>
      </c>
      <c r="AT436" s="117">
        <f t="shared" ca="1" si="614"/>
        <v>0.81469730808188145</v>
      </c>
      <c r="AU436" s="117">
        <f t="shared" ca="1" si="614"/>
        <v>0.87095167212122115</v>
      </c>
      <c r="AV436" s="117">
        <f t="shared" ca="1" si="614"/>
        <v>0.80520895183378827</v>
      </c>
      <c r="AW436" s="117">
        <f t="shared" ca="1" si="614"/>
        <v>0.8501452231041674</v>
      </c>
      <c r="AX436" s="640">
        <f t="shared" ca="1" si="614"/>
        <v>0.83487766018419196</v>
      </c>
      <c r="AY436" s="117"/>
      <c r="AZ436" s="117">
        <f t="shared" ref="AZ436:BG436" ca="1" si="615">AZ435/AZ217</f>
        <v>0.90315152370714402</v>
      </c>
      <c r="BA436" s="117">
        <f t="shared" ca="1" si="615"/>
        <v>0.87493197316186566</v>
      </c>
      <c r="BB436" s="117">
        <f t="shared" ca="1" si="615"/>
        <v>0.83483953117956522</v>
      </c>
      <c r="BC436" s="117">
        <f t="shared" ca="1" si="615"/>
        <v>0.84660699507019355</v>
      </c>
      <c r="BD436" s="117">
        <f t="shared" ca="1" si="615"/>
        <v>0.87228550735285371</v>
      </c>
      <c r="BE436" s="117">
        <f t="shared" ca="1" si="615"/>
        <v>0.84029330330284324</v>
      </c>
      <c r="BF436" s="117">
        <f t="shared" ca="1" si="615"/>
        <v>0.86256225340041626</v>
      </c>
      <c r="BG436" s="640">
        <f t="shared" ca="1" si="615"/>
        <v>0.85210206462458316</v>
      </c>
      <c r="BH436" s="117"/>
      <c r="BI436" s="117">
        <f t="shared" ref="BI436:BP436" ca="1" si="616">BI435/BI217</f>
        <v>0.90225676456569437</v>
      </c>
      <c r="BJ436" s="117">
        <f t="shared" ca="1" si="616"/>
        <v>0.87080729511596799</v>
      </c>
      <c r="BK436" s="117">
        <f t="shared" ca="1" si="616"/>
        <v>0.83946950508964491</v>
      </c>
      <c r="BL436" s="117">
        <f t="shared" ca="1" si="616"/>
        <v>0.85025314459634072</v>
      </c>
      <c r="BM436" s="117">
        <f t="shared" ca="1" si="616"/>
        <v>0.8732525977208121</v>
      </c>
      <c r="BN436" s="117">
        <f t="shared" ca="1" si="616"/>
        <v>0.84480761645186686</v>
      </c>
      <c r="BO436" s="117">
        <f t="shared" ca="1" si="616"/>
        <v>0.86348862645534485</v>
      </c>
      <c r="BP436" s="640">
        <f t="shared" ca="1" si="616"/>
        <v>0.85484292850805188</v>
      </c>
    </row>
    <row r="437" spans="2:68" ht="13.2" customHeight="1">
      <c r="O437" s="39">
        <f>ROW()</f>
        <v>437</v>
      </c>
    </row>
    <row r="438" spans="2:68" ht="13.2" customHeight="1">
      <c r="B438" s="6" t="s">
        <v>373</v>
      </c>
      <c r="G438" s="880" t="s">
        <v>1472</v>
      </c>
      <c r="H438" s="880" t="s">
        <v>1087</v>
      </c>
      <c r="I438" s="880" t="s">
        <v>2445</v>
      </c>
      <c r="J438" s="880" t="s">
        <v>1088</v>
      </c>
      <c r="K438" s="880" t="s">
        <v>1089</v>
      </c>
      <c r="L438" s="880" t="s">
        <v>1151</v>
      </c>
      <c r="M438" s="880" t="s">
        <v>1090</v>
      </c>
      <c r="N438" s="880" t="s">
        <v>2684</v>
      </c>
      <c r="O438" s="39">
        <f>ROW()</f>
        <v>438</v>
      </c>
    </row>
    <row r="439" spans="2:68" ht="13.2" customHeight="1">
      <c r="G439" s="298" t="s">
        <v>1091</v>
      </c>
      <c r="H439" s="298" t="s">
        <v>1092</v>
      </c>
      <c r="I439" s="298" t="s">
        <v>1093</v>
      </c>
      <c r="J439" s="298" t="s">
        <v>1094</v>
      </c>
      <c r="K439" s="298" t="s">
        <v>1095</v>
      </c>
      <c r="L439" s="298" t="s">
        <v>1096</v>
      </c>
      <c r="M439" s="298" t="s">
        <v>1097</v>
      </c>
      <c r="N439" s="298"/>
      <c r="O439" s="39">
        <f>ROW()</f>
        <v>439</v>
      </c>
    </row>
    <row r="440" spans="2:68" ht="13.2" customHeight="1">
      <c r="B440" s="280" t="s">
        <v>1842</v>
      </c>
      <c r="O440" s="39">
        <f>ROW()</f>
        <v>440</v>
      </c>
      <c r="P440" s="117">
        <f ca="1">P436^Elasticities!$G$52</f>
        <v>1.1262849754250173</v>
      </c>
      <c r="Q440" s="117">
        <f ca="1">Q436^Elasticities!$G$52</f>
        <v>1.1687027870132134</v>
      </c>
      <c r="R440" s="117">
        <f ca="1">R436^Elasticities!$G$52</f>
        <v>1.2062825227869103</v>
      </c>
      <c r="S440" s="117">
        <f ca="1">S436^Elasticities!$G$52</f>
        <v>1.1919288119270068</v>
      </c>
      <c r="T440" s="117">
        <f ca="1">T436^Elasticities!$G$52</f>
        <v>1.1621230975719103</v>
      </c>
      <c r="U440" s="117">
        <f ca="1">U436^Elasticities!$G$52</f>
        <v>1.1987941867422947</v>
      </c>
      <c r="V440" s="117">
        <f ca="1">V436^Elasticities!$G$52</f>
        <v>1.1754955876749154</v>
      </c>
      <c r="Y440" s="117">
        <f ca="1">Y436^Elasticities!$H$52</f>
        <v>1.1262849754250173</v>
      </c>
      <c r="Z440" s="117">
        <f ca="1">Z436^Elasticities!$H$52</f>
        <v>1.1687027870132134</v>
      </c>
      <c r="AA440" s="117">
        <f ca="1">AA436^Elasticities!$H$52</f>
        <v>1.2062825227869105</v>
      </c>
      <c r="AB440" s="117">
        <f ca="1">AB436^Elasticities!$H$52</f>
        <v>1.1919288119270071</v>
      </c>
      <c r="AC440" s="117">
        <f ca="1">AC436^Elasticities!$H$52</f>
        <v>1.1621230975719106</v>
      </c>
      <c r="AD440" s="117">
        <f ca="1">AD436^Elasticities!$H$52</f>
        <v>1.1987941867422947</v>
      </c>
      <c r="AE440" s="117">
        <f ca="1">AE436^Elasticities!$H$52</f>
        <v>1.1754955876749154</v>
      </c>
      <c r="AH440" s="117">
        <f ca="1">AH436^Elasticities!$I$52</f>
        <v>1.0011408770901131</v>
      </c>
      <c r="AI440" s="117">
        <f ca="1">AI436^Elasticities!$I$52</f>
        <v>1.1402985195385147</v>
      </c>
      <c r="AJ440" s="117">
        <f ca="1">AJ436^Elasticities!$I$52</f>
        <v>1.2241898124060206</v>
      </c>
      <c r="AK440" s="117">
        <f ca="1">AK436^Elasticities!$I$52</f>
        <v>1.1987089162947597</v>
      </c>
      <c r="AL440" s="117">
        <f ca="1">AL436^Elasticities!$I$52</f>
        <v>1.1373943913017623</v>
      </c>
      <c r="AM440" s="117">
        <f ca="1">AM436^Elasticities!$I$52</f>
        <v>1.2088649987423963</v>
      </c>
      <c r="AN440" s="117">
        <f ca="1">AN436^Elasticities!$I$52</f>
        <v>1.1649591643134174</v>
      </c>
      <c r="AQ440" s="117">
        <f ca="1">AQ436^Elasticities!$G$54</f>
        <v>1.0030755575245132</v>
      </c>
      <c r="AR440" s="117">
        <f ca="1">AR436^Elasticities!$G$54</f>
        <v>1.0846041305192042</v>
      </c>
      <c r="AS440" s="117">
        <f ca="1">AS436^Elasticities!$G$54</f>
        <v>1.2024520059684447</v>
      </c>
      <c r="AT440" s="117">
        <f ca="1">AT436^Elasticities!$G$54</f>
        <v>1.1781564764204857</v>
      </c>
      <c r="AU440" s="117">
        <f ca="1">AU436^Elasticities!$G$54</f>
        <v>1.1168754740144247</v>
      </c>
      <c r="AV440" s="117">
        <f ca="1">AV436^Elasticities!$G$54</f>
        <v>1.1892499023265983</v>
      </c>
      <c r="AW440" s="117">
        <f ca="1">AW436^Elasticities!$G$54</f>
        <v>1.1386899952775222</v>
      </c>
      <c r="AZ440" s="117">
        <f ca="1">AZ436^(Elasticities!$J$64*Elasticities!$G$52)</f>
        <v>1.0345380305368241</v>
      </c>
      <c r="BA440" s="117">
        <f ca="1">BA436^(Elasticities!$J$64*Elasticities!$G$52)</f>
        <v>1.0455430130841237</v>
      </c>
      <c r="BB440" s="117">
        <f ca="1">BB436^(Elasticities!$J$64*Elasticities!$G$52)</f>
        <v>1.0620191099304552</v>
      </c>
      <c r="BC440" s="117">
        <f ca="1">BC436^(Elasticities!$J$64*Elasticities!$G$52)</f>
        <v>1.0570756020638277</v>
      </c>
      <c r="BD440" s="117">
        <f ca="1">BD436^(Elasticities!$J$64*Elasticities!$G$52)</f>
        <v>1.0465993187003717</v>
      </c>
      <c r="BE440" s="117">
        <f ca="1">BE436^(Elasticities!$J$64*Elasticities!$G$52)</f>
        <v>1.0597165066855112</v>
      </c>
      <c r="BF440" s="117">
        <f ca="1">BF436^(Elasticities!$J$64*Elasticities!$G$52)</f>
        <v>1.0505172391675557</v>
      </c>
      <c r="BI440" s="117">
        <f ca="1">BI436^Elasticities!$G$50</f>
        <v>1.0527734565456623</v>
      </c>
      <c r="BJ440" s="117">
        <f ca="1">BJ436^Elasticities!$G$50</f>
        <v>1.0716154605095476</v>
      </c>
      <c r="BK440" s="117">
        <f ca="1">BK436^Elasticities!$G$50</f>
        <v>1.0914341486236478</v>
      </c>
      <c r="BL440" s="117">
        <f ca="1">BL436^Elasticities!$G$50</f>
        <v>1.0844908111218101</v>
      </c>
      <c r="BM440" s="117">
        <f ca="1">BM436^Elasticities!$G$50</f>
        <v>1.0701140271899452</v>
      </c>
      <c r="BN440" s="117">
        <f ca="1">BN436^Elasticities!$G$50</f>
        <v>1.0879804452889161</v>
      </c>
      <c r="BO440" s="117">
        <f ca="1">BO436^Elasticities!$G$50</f>
        <v>1.0761472227150743</v>
      </c>
    </row>
    <row r="441" spans="2:68" ht="13.2" customHeight="1">
      <c r="B441" s="308"/>
      <c r="O441" s="39">
        <f>ROW()</f>
        <v>441</v>
      </c>
      <c r="P441" s="215" t="s">
        <v>3301</v>
      </c>
      <c r="Y441" s="215" t="s">
        <v>3302</v>
      </c>
      <c r="AH441" s="215" t="s">
        <v>3303</v>
      </c>
      <c r="AQ441" s="215" t="s">
        <v>3304</v>
      </c>
      <c r="AZ441" s="215" t="s">
        <v>3305</v>
      </c>
      <c r="BI441" s="215" t="s">
        <v>3306</v>
      </c>
    </row>
    <row r="442" spans="2:68" ht="13.2" customHeight="1">
      <c r="B442" s="280" t="s">
        <v>2431</v>
      </c>
      <c r="O442" s="39">
        <f>ROW()</f>
        <v>442</v>
      </c>
      <c r="P442" s="117">
        <f ca="1">(P184/P403)^Elasticities!$G$52</f>
        <v>1.0081217923684407</v>
      </c>
      <c r="Q442" s="117">
        <f ca="1">(Q184/Q403)^Elasticities!$G$52</f>
        <v>1.0504829813260048</v>
      </c>
      <c r="R442" s="117">
        <f ca="1">(R184/R403)^Elasticities!$G$52</f>
        <v>1.340154890156348</v>
      </c>
      <c r="S442" s="117">
        <f ca="1">(S184/S403)^Elasticities!$G$52</f>
        <v>1.2866609715200161</v>
      </c>
      <c r="T442" s="117">
        <f ca="1">(T184/T403)^Elasticities!$G$52</f>
        <v>1.1702721297356926</v>
      </c>
      <c r="U442" s="117">
        <f ca="1">(U184/U403)^Elasticities!$G$52</f>
        <v>1.3168344889718915</v>
      </c>
      <c r="V442" s="117">
        <f ca="1">(V184/V403)^Elasticities!$G$52</f>
        <v>1.1976986694581022</v>
      </c>
      <c r="Y442" s="117">
        <f ca="1">(Y184/Y403)^Elasticities!$H$52</f>
        <v>1.0081217923684407</v>
      </c>
      <c r="Z442" s="117">
        <f ca="1">(Z184/Z403)^Elasticities!$H$52</f>
        <v>1.0504829813260048</v>
      </c>
      <c r="AA442" s="117">
        <f ca="1">(AA184/AA403)^Elasticities!$H$52</f>
        <v>1.340154890156348</v>
      </c>
      <c r="AB442" s="117">
        <f ca="1">(AB184/AB403)^Elasticities!$H$52</f>
        <v>1.2866609715200161</v>
      </c>
      <c r="AC442" s="117">
        <f ca="1">(AC184/AC403)^Elasticities!$H$52</f>
        <v>1.1702721297356926</v>
      </c>
      <c r="AD442" s="117">
        <f ca="1">(AD184/AD403)^Elasticities!$H$52</f>
        <v>1.3168344889718915</v>
      </c>
      <c r="AE442" s="117">
        <f ca="1">(AE184/AE403)^Elasticities!$H$52</f>
        <v>1.1976986694581022</v>
      </c>
      <c r="AH442" s="117">
        <f ca="1">(AH184/AH403)^Elasticities!$I$52</f>
        <v>1.0081217923684407</v>
      </c>
      <c r="AI442" s="117">
        <f ca="1">(AI184/AI403)^Elasticities!$I$52</f>
        <v>1.0504829813260048</v>
      </c>
      <c r="AJ442" s="117">
        <f ca="1">(AJ184/AJ403)^Elasticities!$I$52</f>
        <v>1.340154890156348</v>
      </c>
      <c r="AK442" s="117">
        <f ca="1">(AK184/AK403)^Elasticities!$I$52</f>
        <v>1.2866609715200161</v>
      </c>
      <c r="AL442" s="117">
        <f ca="1">(AL184/AL403)^Elasticities!$I$52</f>
        <v>1.1702721297356926</v>
      </c>
      <c r="AM442" s="117">
        <f ca="1">(AM184/AM403)^Elasticities!$I$52</f>
        <v>1.3168344889718915</v>
      </c>
      <c r="AN442" s="117">
        <f ca="1">(AN184/AN403)^Elasticities!$I$52</f>
        <v>1.1976986694581022</v>
      </c>
      <c r="AQ442" s="117">
        <f ca="1">(AQ184/AQ403)^Elasticities!$G$54</f>
        <v>1.0064921738814074</v>
      </c>
      <c r="AR442" s="117">
        <f ca="1">(AR184/AR403)^Elasticities!$G$54</f>
        <v>1.0401865088426474</v>
      </c>
      <c r="AS442" s="117">
        <f ca="1">(AS184/AS403)^Elasticities!$G$54</f>
        <v>1.2639328351461721</v>
      </c>
      <c r="AT442" s="117">
        <f ca="1">(AT184/AT403)^Elasticities!$G$54</f>
        <v>1.2234079606761392</v>
      </c>
      <c r="AU442" s="117">
        <f ca="1">(AU184/AU403)^Elasticities!$G$54</f>
        <v>1.1340429155911089</v>
      </c>
      <c r="AV442" s="117">
        <f ca="1">(AV184/AV403)^Elasticities!$G$54</f>
        <v>1.246306769709109</v>
      </c>
      <c r="AW442" s="117">
        <f ca="1">(AW184/AW403)^Elasticities!$G$54</f>
        <v>1.1552555235834512</v>
      </c>
      <c r="AZ442" s="117">
        <f ca="1">(AZ184/AZ403)^(Elasticities!$J$64*Elasticities!$G$52)</f>
        <v>0.98570176922050601</v>
      </c>
      <c r="BA442" s="117">
        <f ca="1">(BA184/BA403)^(Elasticities!$J$64*Elasticities!$G$52)</f>
        <v>0.9993191472980385</v>
      </c>
      <c r="BB442" s="117">
        <f ca="1">(BB184/BB403)^(Elasticities!$J$64*Elasticities!$G$52)</f>
        <v>1.083825921234703</v>
      </c>
      <c r="BC442" s="117">
        <f ca="1">(BC184/BC403)^(Elasticities!$J$64*Elasticities!$G$52)</f>
        <v>1.0692089308095813</v>
      </c>
      <c r="BD442" s="117">
        <f ca="1">(BD184/BD403)^(Elasticities!$J$64*Elasticities!$G$52)</f>
        <v>1.0359452955966661</v>
      </c>
      <c r="BE442" s="117">
        <f ca="1">(BE184/BE403)^(Elasticities!$J$64*Elasticities!$G$52)</f>
        <v>1.0775024490620122</v>
      </c>
      <c r="BF442" s="117">
        <f ca="1">(BF184/BF403)^(Elasticities!$J$64*Elasticities!$G$52)</f>
        <v>1.0439757019788618</v>
      </c>
      <c r="BI442" s="117">
        <f ca="1">(BI184/BI403)^Elasticities!$G$50</f>
        <v>0.97862950228879708</v>
      </c>
      <c r="BJ442" s="117">
        <f ca="1">(BJ184/BJ403)^Elasticities!$G$50</f>
        <v>0.99897889480193947</v>
      </c>
      <c r="BK442" s="117">
        <f ca="1">(BK184/BK403)^Elasticities!$G$50</f>
        <v>1.1283382230734411</v>
      </c>
      <c r="BL442" s="117">
        <f ca="1">(BL184/BL403)^Elasticities!$G$50</f>
        <v>1.1055894007017322</v>
      </c>
      <c r="BM442" s="117">
        <f ca="1">(BM184/BM403)^Elasticities!$G$50</f>
        <v>1.054399603209764</v>
      </c>
      <c r="BN442" s="117">
        <f ca="1">(BN184/BN403)^Elasticities!$G$50</f>
        <v>1.1184778784237517</v>
      </c>
      <c r="BO442" s="117">
        <f ca="1">(BO184/BO403)^Elasticities!$G$50</f>
        <v>1.0666835219432225</v>
      </c>
    </row>
    <row r="443" spans="2:68" ht="13.2" customHeight="1">
      <c r="B443" s="281"/>
      <c r="O443" s="39">
        <f>ROW()</f>
        <v>443</v>
      </c>
      <c r="P443" s="309" t="s">
        <v>529</v>
      </c>
      <c r="Y443" s="309" t="s">
        <v>530</v>
      </c>
      <c r="AH443" s="309" t="s">
        <v>2922</v>
      </c>
      <c r="AQ443" s="215" t="s">
        <v>3299</v>
      </c>
      <c r="AZ443" s="309" t="s">
        <v>2398</v>
      </c>
      <c r="BI443" s="309" t="s">
        <v>2878</v>
      </c>
    </row>
    <row r="444" spans="2:68" ht="13.2" customHeight="1">
      <c r="B444" s="280" t="s">
        <v>2432</v>
      </c>
      <c r="G444" s="633">
        <f t="shared" ref="G444:M444" ca="1" si="617">($I$76*$I$79*P444+$J$76*$J$79*Y444+$K$76*$K$79*AH444+$L$76*$L$79*AQ444+$M$76*$M$79*AZ444+$N$76*$N$79*BI444)/SUMPRODUCT($I$76:$N$76,$I$79:$N$79)</f>
        <v>0.99978003338219157</v>
      </c>
      <c r="H444" s="633">
        <f t="shared" ca="1" si="617"/>
        <v>1.1470174886172053</v>
      </c>
      <c r="I444" s="633">
        <f t="shared" ca="1" si="617"/>
        <v>1.2023618559702609</v>
      </c>
      <c r="J444" s="633">
        <f t="shared" ca="1" si="617"/>
        <v>1.1796386493815576</v>
      </c>
      <c r="K444" s="633">
        <f t="shared" ca="1" si="617"/>
        <v>1.1274071735361975</v>
      </c>
      <c r="L444" s="633">
        <f t="shared" ca="1" si="617"/>
        <v>1.1882857536376459</v>
      </c>
      <c r="M444" s="633">
        <f t="shared" ca="1" si="617"/>
        <v>1.1534031093108228</v>
      </c>
      <c r="O444" s="39">
        <f>ROW()</f>
        <v>444</v>
      </c>
      <c r="P444" s="117">
        <f ca="1">(P200/P427)^Elasticities!$G$52</f>
        <v>1</v>
      </c>
      <c r="Q444" s="117">
        <f ca="1">(Q200/Q427)^Elasticities!$G$52</f>
        <v>1.1539281071548917</v>
      </c>
      <c r="R444" s="117">
        <f ca="1">(R200/R427)^Elasticities!$G$52</f>
        <v>1.2118874762215559</v>
      </c>
      <c r="S444" s="117">
        <f ca="1">(S200/S427)^Elasticities!$G$52</f>
        <v>1.1880845026557223</v>
      </c>
      <c r="T444" s="117">
        <f ca="1">(T200/T427)^Elasticities!$G$52</f>
        <v>1.1334035892980636</v>
      </c>
      <c r="U444" s="117">
        <f ca="1">(U200/U427)^Elasticities!$G$52</f>
        <v>1.1971415173159619</v>
      </c>
      <c r="V444" s="117">
        <f ca="1">(V200/V427)^Elasticities!$G$52</f>
        <v>1.1606128430220584</v>
      </c>
      <c r="Y444" s="117">
        <f ca="1">(Y200/Y427)^Elasticities!$H$52</f>
        <v>1</v>
      </c>
      <c r="Z444" s="117">
        <f ca="1">(Z200/Z427)^Elasticities!$H$52</f>
        <v>1.1539281071548917</v>
      </c>
      <c r="AA444" s="117">
        <f ca="1">(AA200/AA427)^Elasticities!$H$52</f>
        <v>1.2118874762215559</v>
      </c>
      <c r="AB444" s="117">
        <f ca="1">(AB200/AB427)^Elasticities!$H$52</f>
        <v>1.1880845026557223</v>
      </c>
      <c r="AC444" s="117">
        <f ca="1">(AC200/AC427)^Elasticities!$H$52</f>
        <v>1.1334035892980636</v>
      </c>
      <c r="AD444" s="117">
        <f ca="1">(AD200/AD427)^Elasticities!$H$52</f>
        <v>1.1971415173159619</v>
      </c>
      <c r="AE444" s="117">
        <f ca="1">(AE200/AE427)^Elasticities!$H$52</f>
        <v>1.1606128430220584</v>
      </c>
      <c r="AH444" s="117">
        <f ca="1">(AH200/AH427)^Elasticities!$H$52</f>
        <v>1</v>
      </c>
      <c r="AI444" s="117">
        <f ca="1">(AI200/AI427)^Elasticities!$H$52</f>
        <v>1.1539281071548917</v>
      </c>
      <c r="AJ444" s="117">
        <f ca="1">(AJ200/AJ427)^Elasticities!$H$52</f>
        <v>1.2118874762215559</v>
      </c>
      <c r="AK444" s="117">
        <f ca="1">(AK200/AK427)^Elasticities!$H$52</f>
        <v>1.1880845026557223</v>
      </c>
      <c r="AL444" s="117">
        <f ca="1">(AL200/AL427)^Elasticities!$H$52</f>
        <v>1.1334035892980636</v>
      </c>
      <c r="AM444" s="117">
        <f ca="1">(AM200/AM427)^Elasticities!$H$52</f>
        <v>1.1971415173159619</v>
      </c>
      <c r="AN444" s="117">
        <f ca="1">(AN200/AN427)^Elasticities!$H$52</f>
        <v>1.1606128430220584</v>
      </c>
      <c r="AQ444" s="117">
        <f ca="1">(AQ200/AQ427)^Elasticities!$G$54</f>
        <v>1</v>
      </c>
      <c r="AR444" s="117">
        <f ca="1">(AR200/AR427)^Elasticities!$G$54</f>
        <v>1.1213546841862385</v>
      </c>
      <c r="AS444" s="117">
        <f ca="1">(AS200/AS427)^Elasticities!$G$54</f>
        <v>1.1661914095023425</v>
      </c>
      <c r="AT444" s="117">
        <f ca="1">(AT200/AT427)^Elasticities!$G$54</f>
        <v>1.1478307754348462</v>
      </c>
      <c r="AU444" s="117">
        <f ca="1">(AU200/AU427)^Elasticities!$G$54</f>
        <v>1.1053699831100576</v>
      </c>
      <c r="AV444" s="117">
        <f ca="1">(AV200/AV427)^Elasticities!$G$54</f>
        <v>1.1548255770177689</v>
      </c>
      <c r="AW444" s="117">
        <f ca="1">(AW200/AW427)^Elasticities!$G$54</f>
        <v>1.126548510340126</v>
      </c>
      <c r="AZ444" s="117">
        <f ca="1">(AZ200/AZ427)^(Elasticities!$J$64*Elasticities!$G$52)</f>
        <v>0.99665549341259629</v>
      </c>
      <c r="BA444" s="117">
        <f ca="1">(BA200/BA427)^(Elasticities!$J$64*Elasticities!$G$52)</f>
        <v>1.0453730881179122</v>
      </c>
      <c r="BB444" s="117">
        <f ca="1">(BB200/BB427)^(Elasticities!$J$64*Elasticities!$G$52)</f>
        <v>1.0625902598910899</v>
      </c>
      <c r="BC444" s="117">
        <f ca="1">(BC200/BC427)^(Elasticities!$J$64*Elasticities!$G$52)</f>
        <v>1.0555873454719076</v>
      </c>
      <c r="BD444" s="117">
        <f ca="1">(BD200/BD427)^(Elasticities!$J$64*Elasticities!$G$52)</f>
        <v>1.0391380782078352</v>
      </c>
      <c r="BE444" s="117">
        <f ca="1">(BE200/BE427)^(Elasticities!$J$64*Elasticities!$G$52)</f>
        <v>1.0582628786777533</v>
      </c>
      <c r="BF444" s="117">
        <f ca="1">(BF200/BF427)^(Elasticities!$J$64*Elasticities!$G$52)</f>
        <v>1.047387827228756</v>
      </c>
      <c r="BI444" s="117">
        <f ca="1">(BI200/BI427)^Elasticities!$G$50</f>
        <v>0.99498743710661997</v>
      </c>
      <c r="BJ444" s="117">
        <f ca="1">(BJ200/BJ427)^Elasticities!$G$50</f>
        <v>1.0688259100916961</v>
      </c>
      <c r="BK444" s="117">
        <f ca="1">(BK200/BK427)^Elasticities!$G$50</f>
        <v>1.0953394914177705</v>
      </c>
      <c r="BL444" s="117">
        <f ca="1">(BL200/BL427)^Elasticities!$G$50</f>
        <v>1.0845292331833039</v>
      </c>
      <c r="BM444" s="117">
        <f ca="1">(BM200/BM427)^Elasticities!$G$50</f>
        <v>1.0592778452347065</v>
      </c>
      <c r="BN444" s="117">
        <f ca="1">(BN200/BN427)^Elasticities!$G$50</f>
        <v>1.0886551805520435</v>
      </c>
      <c r="BO444" s="117">
        <f ca="1">(BO200/BO427)^Elasticities!$G$50</f>
        <v>1.0719173077210002</v>
      </c>
    </row>
    <row r="445" spans="2:68" ht="13.2" customHeight="1">
      <c r="B445" s="280"/>
      <c r="G445" s="633"/>
      <c r="H445" s="633"/>
      <c r="I445" s="633"/>
      <c r="J445" s="633"/>
      <c r="K445" s="633"/>
      <c r="L445" s="633"/>
      <c r="M445" s="633"/>
      <c r="O445" s="39">
        <f>ROW()</f>
        <v>445</v>
      </c>
      <c r="P445" s="309" t="s">
        <v>2879</v>
      </c>
      <c r="Q445" s="117"/>
      <c r="R445" s="117"/>
      <c r="S445" s="117"/>
      <c r="T445" s="117"/>
      <c r="U445" s="117"/>
      <c r="V445" s="117"/>
      <c r="Y445" s="309" t="s">
        <v>2842</v>
      </c>
      <c r="Z445" s="117"/>
      <c r="AA445" s="117"/>
      <c r="AB445" s="117"/>
      <c r="AC445" s="117"/>
      <c r="AD445" s="117"/>
      <c r="AE445" s="117"/>
      <c r="AH445" s="309" t="s">
        <v>2808</v>
      </c>
      <c r="AI445" s="117"/>
      <c r="AJ445" s="117"/>
      <c r="AK445" s="117"/>
      <c r="AL445" s="117"/>
      <c r="AM445" s="117"/>
      <c r="AN445" s="117"/>
      <c r="AQ445" s="215" t="s">
        <v>3300</v>
      </c>
      <c r="AZ445" s="309" t="s">
        <v>2903</v>
      </c>
      <c r="BA445" s="117"/>
      <c r="BB445" s="117"/>
      <c r="BC445" s="117"/>
      <c r="BD445" s="117"/>
      <c r="BE445" s="117"/>
      <c r="BF445" s="117"/>
      <c r="BI445" s="309" t="s">
        <v>91</v>
      </c>
      <c r="BJ445" s="117"/>
      <c r="BK445" s="117"/>
      <c r="BL445" s="117"/>
      <c r="BM445" s="117"/>
      <c r="BN445" s="117"/>
      <c r="BO445" s="117"/>
    </row>
    <row r="446" spans="2:68" ht="13.2" customHeight="1">
      <c r="B446" s="4288" t="s">
        <v>895</v>
      </c>
      <c r="C446" s="4289"/>
      <c r="D446" s="4289"/>
      <c r="E446" s="4289"/>
      <c r="F446" s="4289"/>
      <c r="G446" s="4289"/>
      <c r="H446" s="4289"/>
      <c r="I446" s="4289"/>
      <c r="J446" s="4289"/>
      <c r="K446" s="4289"/>
      <c r="L446" s="4289"/>
      <c r="M446" s="4289"/>
      <c r="N446" s="4290"/>
      <c r="O446" s="39">
        <f>ROW()</f>
        <v>446</v>
      </c>
      <c r="AQ446" s="309"/>
      <c r="AR446" s="621"/>
    </row>
    <row r="447" spans="2:68" ht="13.2" customHeight="1">
      <c r="B447" s="4155"/>
      <c r="C447" s="4291"/>
      <c r="D447" s="4291"/>
      <c r="E447" s="4291"/>
      <c r="F447" s="4291"/>
      <c r="G447" s="4291"/>
      <c r="H447" s="4291"/>
      <c r="I447" s="4291"/>
      <c r="J447" s="4291"/>
      <c r="K447" s="4291"/>
      <c r="L447" s="4291"/>
      <c r="M447" s="4291"/>
      <c r="N447" s="4292"/>
      <c r="O447" s="39">
        <f>ROW()</f>
        <v>447</v>
      </c>
      <c r="P447" s="117"/>
      <c r="Q447" s="117"/>
      <c r="R447" s="117"/>
      <c r="S447" s="117"/>
      <c r="T447" s="117"/>
      <c r="U447" s="117"/>
      <c r="V447" s="117"/>
      <c r="Y447" s="117"/>
      <c r="Z447" s="117"/>
      <c r="AA447" s="117"/>
      <c r="AB447" s="117"/>
      <c r="AC447" s="117"/>
      <c r="AD447" s="117"/>
      <c r="AE447" s="117"/>
      <c r="AH447" s="117"/>
      <c r="AI447" s="117"/>
      <c r="AJ447" s="117"/>
      <c r="AK447" s="117"/>
      <c r="AL447" s="117"/>
      <c r="AM447" s="117"/>
      <c r="AN447" s="117"/>
      <c r="AQ447" s="117"/>
      <c r="AR447" s="117"/>
      <c r="AS447" s="117"/>
      <c r="AT447" s="117"/>
      <c r="AU447" s="117"/>
      <c r="AZ447" s="117"/>
      <c r="BA447" s="117"/>
      <c r="BB447" s="117"/>
      <c r="BC447" s="117"/>
      <c r="BD447" s="117"/>
      <c r="BE447" s="117"/>
      <c r="BF447" s="117"/>
      <c r="BI447" s="117"/>
      <c r="BJ447" s="117"/>
      <c r="BK447" s="117"/>
      <c r="BL447" s="117"/>
      <c r="BM447" s="117"/>
      <c r="BN447" s="117"/>
      <c r="BO447" s="117"/>
    </row>
    <row r="448" spans="2:68" ht="13.2" customHeight="1">
      <c r="B448" s="4155"/>
      <c r="C448" s="4291"/>
      <c r="D448" s="4291"/>
      <c r="E448" s="4291"/>
      <c r="F448" s="4291"/>
      <c r="G448" s="4291"/>
      <c r="H448" s="4291"/>
      <c r="I448" s="4291"/>
      <c r="J448" s="4291"/>
      <c r="K448" s="4291"/>
      <c r="L448" s="4291"/>
      <c r="M448" s="4291"/>
      <c r="N448" s="4292"/>
      <c r="O448" s="39">
        <f>ROW()</f>
        <v>448</v>
      </c>
      <c r="P448" s="117"/>
      <c r="Q448" s="117"/>
      <c r="R448" s="117"/>
      <c r="S448" s="117"/>
      <c r="T448" s="117"/>
      <c r="U448" s="117"/>
      <c r="V448" s="117"/>
      <c r="Y448" s="117"/>
      <c r="Z448" s="117"/>
      <c r="AA448" s="117"/>
      <c r="AB448" s="117"/>
      <c r="AC448" s="117"/>
      <c r="AD448" s="117"/>
      <c r="AE448" s="117"/>
      <c r="AH448" s="117"/>
      <c r="AI448" s="117"/>
      <c r="AJ448" s="117"/>
      <c r="AK448" s="117"/>
      <c r="AL448" s="117"/>
      <c r="AM448" s="117"/>
      <c r="AN448" s="117"/>
      <c r="AQ448" s="117"/>
      <c r="AR448" s="117"/>
      <c r="AS448" s="117"/>
      <c r="AT448" s="117"/>
      <c r="AU448" s="117"/>
      <c r="AV448" s="117"/>
      <c r="AW448" s="117"/>
      <c r="AZ448" s="117"/>
      <c r="BA448" s="117"/>
      <c r="BB448" s="117"/>
      <c r="BC448" s="117"/>
      <c r="BD448" s="117"/>
      <c r="BE448" s="117"/>
      <c r="BF448" s="117"/>
      <c r="BI448" s="117"/>
      <c r="BJ448" s="117"/>
      <c r="BK448" s="117"/>
      <c r="BL448" s="117"/>
      <c r="BM448" s="117"/>
      <c r="BN448" s="117"/>
      <c r="BO448" s="117"/>
    </row>
    <row r="449" spans="2:68" ht="13.2" customHeight="1">
      <c r="B449" s="4155"/>
      <c r="C449" s="4291"/>
      <c r="D449" s="4291"/>
      <c r="E449" s="4291"/>
      <c r="F449" s="4291"/>
      <c r="G449" s="4291"/>
      <c r="H449" s="4291"/>
      <c r="I449" s="4291"/>
      <c r="J449" s="4291"/>
      <c r="K449" s="4291"/>
      <c r="L449" s="4291"/>
      <c r="M449" s="4291"/>
      <c r="N449" s="4292"/>
      <c r="O449" s="39">
        <f>ROW()</f>
        <v>449</v>
      </c>
      <c r="P449" s="117"/>
      <c r="Q449" s="117"/>
      <c r="R449" s="117"/>
      <c r="S449" s="117"/>
      <c r="T449" s="117"/>
      <c r="U449" s="117"/>
      <c r="V449" s="117"/>
      <c r="Y449" s="117"/>
      <c r="Z449" s="117"/>
      <c r="AA449" s="117"/>
      <c r="AB449" s="117"/>
      <c r="AC449" s="117"/>
      <c r="AD449" s="117"/>
      <c r="AE449" s="117"/>
      <c r="AH449" s="117"/>
      <c r="AI449" s="117"/>
      <c r="AJ449" s="117"/>
      <c r="AK449" s="117"/>
      <c r="AL449" s="117"/>
      <c r="AM449" s="117"/>
      <c r="AN449" s="117"/>
      <c r="AQ449" s="117"/>
      <c r="AR449" s="117"/>
      <c r="AS449" s="117"/>
      <c r="AT449" s="117"/>
      <c r="AU449" s="117"/>
      <c r="AV449" s="117"/>
      <c r="AW449" s="117"/>
      <c r="AZ449" s="117"/>
      <c r="BA449" s="117"/>
      <c r="BB449" s="117"/>
      <c r="BC449" s="117"/>
      <c r="BD449" s="117"/>
      <c r="BE449" s="117"/>
      <c r="BF449" s="117"/>
      <c r="BI449" s="117"/>
      <c r="BJ449" s="117"/>
      <c r="BK449" s="117"/>
      <c r="BL449" s="117"/>
      <c r="BM449" s="117"/>
      <c r="BN449" s="117"/>
      <c r="BO449" s="117"/>
    </row>
    <row r="450" spans="2:68" ht="13.2" customHeight="1">
      <c r="B450" s="4155"/>
      <c r="C450" s="4291"/>
      <c r="D450" s="4291"/>
      <c r="E450" s="4291"/>
      <c r="F450" s="4291"/>
      <c r="G450" s="4291"/>
      <c r="H450" s="4291"/>
      <c r="I450" s="4291"/>
      <c r="J450" s="4291"/>
      <c r="K450" s="4291"/>
      <c r="L450" s="4291"/>
      <c r="M450" s="4291"/>
      <c r="N450" s="4292"/>
      <c r="O450" s="39">
        <f>ROW()</f>
        <v>450</v>
      </c>
      <c r="P450" s="117"/>
      <c r="Q450" s="117"/>
      <c r="R450" s="117"/>
      <c r="S450" s="117"/>
      <c r="T450" s="117"/>
      <c r="U450" s="117"/>
      <c r="V450" s="117"/>
      <c r="Y450" s="117"/>
      <c r="Z450" s="117"/>
      <c r="AA450" s="117"/>
      <c r="AB450" s="117"/>
      <c r="AC450" s="117"/>
      <c r="AD450" s="117"/>
      <c r="AE450" s="117"/>
      <c r="AH450" s="117"/>
      <c r="AI450" s="117"/>
      <c r="AJ450" s="117"/>
      <c r="AK450" s="117"/>
      <c r="AL450" s="117"/>
      <c r="AM450" s="117"/>
      <c r="AN450" s="117"/>
      <c r="AQ450" s="117"/>
      <c r="AR450" s="117"/>
      <c r="AS450" s="117"/>
      <c r="AT450" s="117"/>
      <c r="AU450" s="117"/>
      <c r="AV450" s="117"/>
      <c r="AW450" s="117"/>
      <c r="AZ450" s="117"/>
      <c r="BA450" s="117"/>
      <c r="BB450" s="117"/>
      <c r="BC450" s="117"/>
      <c r="BD450" s="117"/>
      <c r="BE450" s="117"/>
      <c r="BF450" s="117"/>
      <c r="BI450" s="117"/>
      <c r="BJ450" s="117"/>
      <c r="BK450" s="117"/>
      <c r="BL450" s="117"/>
      <c r="BM450" s="117"/>
      <c r="BN450" s="117"/>
      <c r="BO450" s="117"/>
    </row>
    <row r="451" spans="2:68" ht="13.2" customHeight="1">
      <c r="B451" s="4293"/>
      <c r="C451" s="4294"/>
      <c r="D451" s="4294"/>
      <c r="E451" s="4294"/>
      <c r="F451" s="4294"/>
      <c r="G451" s="4294"/>
      <c r="H451" s="4294"/>
      <c r="I451" s="4294"/>
      <c r="J451" s="4294"/>
      <c r="K451" s="4294"/>
      <c r="L451" s="4294"/>
      <c r="M451" s="4294"/>
      <c r="N451" s="4295"/>
      <c r="O451" s="39">
        <f>ROW()</f>
        <v>451</v>
      </c>
      <c r="P451" s="117"/>
      <c r="Q451" s="117"/>
      <c r="R451" s="117"/>
      <c r="S451" s="117"/>
      <c r="T451" s="117"/>
      <c r="U451" s="117"/>
      <c r="V451" s="117"/>
      <c r="Y451" s="117"/>
      <c r="Z451" s="117"/>
      <c r="AA451" s="117"/>
      <c r="AB451" s="117"/>
      <c r="AC451" s="117"/>
      <c r="AD451" s="117"/>
      <c r="AE451" s="117"/>
      <c r="AH451" s="117"/>
      <c r="AI451" s="117"/>
      <c r="AJ451" s="117"/>
      <c r="AK451" s="117"/>
      <c r="AL451" s="117"/>
      <c r="AM451" s="117"/>
      <c r="AN451" s="117"/>
      <c r="AQ451" s="117"/>
      <c r="AR451" s="117"/>
      <c r="AS451" s="117"/>
      <c r="AT451" s="117"/>
      <c r="AU451" s="117"/>
      <c r="AV451" s="117"/>
      <c r="AW451" s="117"/>
      <c r="AZ451" s="117"/>
      <c r="BA451" s="117"/>
      <c r="BB451" s="117"/>
      <c r="BC451" s="117"/>
      <c r="BD451" s="117"/>
      <c r="BE451" s="117"/>
      <c r="BF451" s="117"/>
      <c r="BI451" s="117"/>
      <c r="BJ451" s="117"/>
      <c r="BK451" s="117"/>
      <c r="BL451" s="117"/>
      <c r="BM451" s="117"/>
      <c r="BN451" s="117"/>
      <c r="BO451" s="117"/>
    </row>
    <row r="452" spans="2:68" ht="13.2" customHeight="1">
      <c r="B452" s="280"/>
      <c r="C452" s="280"/>
      <c r="D452" s="280"/>
      <c r="E452" s="280"/>
      <c r="F452" s="280"/>
      <c r="G452" s="280"/>
      <c r="H452" s="280"/>
      <c r="I452" s="280"/>
      <c r="J452" s="280"/>
      <c r="K452" s="280"/>
      <c r="L452" s="280"/>
      <c r="M452" s="280"/>
      <c r="N452" s="280"/>
      <c r="O452" s="39">
        <f>ROW()</f>
        <v>452</v>
      </c>
      <c r="P452" s="117"/>
      <c r="Q452" s="117"/>
      <c r="R452" s="117"/>
      <c r="S452" s="117"/>
      <c r="T452" s="117"/>
      <c r="U452" s="117"/>
      <c r="V452" s="117"/>
      <c r="Y452" s="117"/>
      <c r="Z452" s="117"/>
      <c r="AA452" s="117"/>
      <c r="AB452" s="117"/>
      <c r="AC452" s="117"/>
      <c r="AD452" s="117"/>
      <c r="AE452" s="117"/>
      <c r="AH452" s="117"/>
      <c r="AI452" s="117"/>
      <c r="AJ452" s="117"/>
      <c r="AK452" s="117"/>
      <c r="AL452" s="117"/>
      <c r="AM452" s="117"/>
      <c r="AN452" s="117"/>
      <c r="AQ452" s="117"/>
      <c r="AR452" s="117"/>
      <c r="AS452" s="117"/>
      <c r="AT452" s="117"/>
      <c r="AU452" s="117"/>
      <c r="AV452" s="117"/>
      <c r="AW452" s="117"/>
      <c r="AZ452" s="117"/>
      <c r="BA452" s="117"/>
      <c r="BB452" s="117"/>
      <c r="BC452" s="117"/>
      <c r="BD452" s="117"/>
      <c r="BE452" s="117"/>
      <c r="BF452" s="117"/>
      <c r="BI452" s="117"/>
      <c r="BJ452" s="117"/>
      <c r="BK452" s="117"/>
      <c r="BL452" s="117"/>
      <c r="BM452" s="117"/>
      <c r="BN452" s="117"/>
      <c r="BO452" s="117"/>
    </row>
    <row r="453" spans="2:68" ht="13.2" customHeight="1">
      <c r="B453" s="24" t="s">
        <v>224</v>
      </c>
      <c r="C453" s="284"/>
      <c r="D453" s="284"/>
      <c r="E453" s="284"/>
      <c r="F453" s="284"/>
      <c r="G453" s="284"/>
      <c r="H453" s="284"/>
      <c r="I453" s="54"/>
      <c r="J453" s="284"/>
      <c r="K453" s="284"/>
      <c r="L453" s="284"/>
      <c r="M453" s="284"/>
      <c r="O453" s="39">
        <f>ROW()</f>
        <v>453</v>
      </c>
      <c r="P453" s="4147" t="s">
        <v>2680</v>
      </c>
      <c r="Q453" s="4147"/>
      <c r="R453" s="4147"/>
      <c r="S453" s="4147"/>
      <c r="T453" s="4147"/>
      <c r="U453" s="4147"/>
      <c r="V453" s="4147"/>
      <c r="W453" s="4147"/>
      <c r="Y453" s="4147" t="s">
        <v>2681</v>
      </c>
      <c r="Z453" s="4147"/>
      <c r="AA453" s="4147"/>
      <c r="AB453" s="4147"/>
      <c r="AC453" s="4147"/>
      <c r="AD453" s="4147"/>
      <c r="AE453" s="4147"/>
      <c r="AF453" s="4147"/>
      <c r="AH453" s="4263" t="s">
        <v>5482</v>
      </c>
      <c r="AI453" s="4264"/>
      <c r="AJ453" s="4264"/>
      <c r="AK453" s="4264"/>
      <c r="AL453" s="4264"/>
      <c r="AM453" s="4264"/>
      <c r="AN453" s="4264"/>
      <c r="AO453" s="4264"/>
      <c r="AQ453" s="4147" t="s">
        <v>713</v>
      </c>
      <c r="AR453" s="4147"/>
      <c r="AS453" s="4147"/>
      <c r="AT453" s="4147"/>
      <c r="AU453" s="4147"/>
      <c r="AV453" s="4147"/>
      <c r="AW453" s="4147"/>
      <c r="AX453" s="4147"/>
      <c r="AZ453" s="4147" t="s">
        <v>460</v>
      </c>
      <c r="BA453" s="4147"/>
      <c r="BB453" s="4147"/>
      <c r="BC453" s="4147"/>
      <c r="BD453" s="4147"/>
      <c r="BE453" s="4147"/>
      <c r="BF453" s="4147"/>
      <c r="BG453" s="4147"/>
      <c r="BI453" s="4147" t="s">
        <v>849</v>
      </c>
      <c r="BJ453" s="4147"/>
      <c r="BK453" s="4147"/>
      <c r="BL453" s="4147"/>
      <c r="BM453" s="4147"/>
      <c r="BN453" s="4147"/>
      <c r="BO453" s="4147"/>
      <c r="BP453" s="4147"/>
    </row>
    <row r="454" spans="2:68" ht="13.2" customHeight="1">
      <c r="O454" s="39">
        <f>ROW()</f>
        <v>454</v>
      </c>
    </row>
    <row r="455" spans="2:68" ht="13.2" customHeight="1">
      <c r="B455" s="308" t="s">
        <v>112</v>
      </c>
      <c r="C455" s="280"/>
      <c r="D455" s="280"/>
      <c r="E455" s="280"/>
      <c r="F455" s="280"/>
      <c r="G455" s="280"/>
      <c r="H455" s="280"/>
      <c r="I455" s="280"/>
      <c r="J455" s="280"/>
      <c r="K455" s="280"/>
      <c r="L455" s="280"/>
      <c r="M455" s="280"/>
      <c r="O455" s="39">
        <f>ROW()</f>
        <v>455</v>
      </c>
    </row>
    <row r="456" spans="2:68" ht="13.2" customHeight="1">
      <c r="B456" s="280" t="s">
        <v>1299</v>
      </c>
      <c r="G456" s="1122">
        <f t="shared" ref="G456:M456" ca="1" si="618">P456+Y456+AH456+AQ456+AZ456+BI456</f>
        <v>52895.966814329891</v>
      </c>
      <c r="H456" s="1122">
        <f t="shared" ca="1" si="618"/>
        <v>16353.493639173485</v>
      </c>
      <c r="I456" s="1122">
        <f t="shared" ca="1" si="618"/>
        <v>106527.23931570798</v>
      </c>
      <c r="J456" s="1122">
        <f t="shared" ca="1" si="618"/>
        <v>31574.146306527837</v>
      </c>
      <c r="K456" s="1122">
        <f t="shared" ca="1" si="618"/>
        <v>110321.83102879925</v>
      </c>
      <c r="L456" s="1122">
        <f t="shared" ca="1" si="618"/>
        <v>164993.29427427254</v>
      </c>
      <c r="M456" s="1122">
        <f t="shared" ca="1" si="618"/>
        <v>55749.567986522234</v>
      </c>
      <c r="N456" s="186">
        <f ca="1">SUM(G456:M456)</f>
        <v>538415.53936533316</v>
      </c>
      <c r="O456" s="39">
        <f>ROW()</f>
        <v>456</v>
      </c>
      <c r="P456" s="10">
        <f t="shared" ref="P456:V456" ca="1" si="619">P368</f>
        <v>8960.4485502075677</v>
      </c>
      <c r="Q456" s="10">
        <f t="shared" ca="1" si="619"/>
        <v>9294.2087030292041</v>
      </c>
      <c r="R456" s="10">
        <f t="shared" ca="1" si="619"/>
        <v>61753.403299126803</v>
      </c>
      <c r="S456" s="10">
        <f t="shared" ca="1" si="619"/>
        <v>14784.05672699599</v>
      </c>
      <c r="T456" s="10">
        <f t="shared" ca="1" si="619"/>
        <v>43992.631771909888</v>
      </c>
      <c r="U456" s="10">
        <f t="shared" ca="1" si="619"/>
        <v>44078.952148549972</v>
      </c>
      <c r="V456" s="10">
        <f t="shared" ca="1" si="619"/>
        <v>12200.53707902162</v>
      </c>
      <c r="W456" s="10">
        <f ca="1">SUM(P456:V456)</f>
        <v>195064.23827884102</v>
      </c>
      <c r="Y456" s="10">
        <f t="shared" ref="Y456:AE456" ca="1" si="620">Y368</f>
        <v>15701.606581710677</v>
      </c>
      <c r="Z456" s="10">
        <f t="shared" ca="1" si="620"/>
        <v>1128.6481045617113</v>
      </c>
      <c r="AA456" s="10">
        <f t="shared" ca="1" si="620"/>
        <v>12436.175101287314</v>
      </c>
      <c r="AB456" s="10">
        <f t="shared" ca="1" si="620"/>
        <v>7324.1574669854754</v>
      </c>
      <c r="AC456" s="10">
        <f t="shared" ca="1" si="620"/>
        <v>30474.449921941177</v>
      </c>
      <c r="AD456" s="10">
        <f t="shared" ca="1" si="620"/>
        <v>60386.236660382056</v>
      </c>
      <c r="AE456" s="10">
        <f t="shared" ca="1" si="620"/>
        <v>18206.841537171164</v>
      </c>
      <c r="AF456" s="10">
        <f ca="1">SUM(Y456:AE456)</f>
        <v>145658.11537403957</v>
      </c>
      <c r="AH456" s="10">
        <f t="shared" ref="AH456:AN456" si="621">AH368</f>
        <v>17556.011961615437</v>
      </c>
      <c r="AI456" s="10">
        <f t="shared" si="621"/>
        <v>2110.5799480857399</v>
      </c>
      <c r="AJ456" s="10">
        <f t="shared" si="621"/>
        <v>9238.9622850893466</v>
      </c>
      <c r="AK456" s="10">
        <f t="shared" si="621"/>
        <v>2677.1410158373301</v>
      </c>
      <c r="AL456" s="10">
        <f t="shared" si="621"/>
        <v>13321.956590804512</v>
      </c>
      <c r="AM456" s="10">
        <f t="shared" si="621"/>
        <v>24646.006156852909</v>
      </c>
      <c r="AN456" s="10">
        <f t="shared" si="621"/>
        <v>12878.825680812384</v>
      </c>
      <c r="AO456" s="10">
        <f>SUM(AH456:AN456)</f>
        <v>82429.483639097656</v>
      </c>
      <c r="AQ456" s="10">
        <f t="shared" ref="AQ456:AW456" ca="1" si="622">AQ368</f>
        <v>5957.9475533393934</v>
      </c>
      <c r="AR456" s="10">
        <f t="shared" ca="1" si="622"/>
        <v>2400.5676984371444</v>
      </c>
      <c r="AS456" s="10">
        <f t="shared" ca="1" si="622"/>
        <v>13847.684106798293</v>
      </c>
      <c r="AT456" s="10">
        <f t="shared" ca="1" si="622"/>
        <v>4095.3554699155275</v>
      </c>
      <c r="AU456" s="10">
        <f t="shared" ca="1" si="622"/>
        <v>13207.308504410181</v>
      </c>
      <c r="AV456" s="10">
        <f t="shared" ca="1" si="622"/>
        <v>21428.360181241187</v>
      </c>
      <c r="AW456" s="10">
        <f t="shared" ca="1" si="622"/>
        <v>7448.3647001199943</v>
      </c>
      <c r="AX456" s="10">
        <f ca="1">SUM(AQ456:AW456)</f>
        <v>68385.588214261719</v>
      </c>
      <c r="AZ456" s="10">
        <f t="shared" ref="AZ456:BF456" ca="1" si="623">AZ368</f>
        <v>3618.7887812477488</v>
      </c>
      <c r="BA456" s="10">
        <f t="shared" ca="1" si="623"/>
        <v>1075.780214781134</v>
      </c>
      <c r="BB456" s="10">
        <f t="shared" ca="1" si="623"/>
        <v>7055.0170328634713</v>
      </c>
      <c r="BC456" s="10">
        <f t="shared" ca="1" si="623"/>
        <v>2052.058518564264</v>
      </c>
      <c r="BD456" s="10">
        <f t="shared" ca="1" si="623"/>
        <v>7121.6604688819507</v>
      </c>
      <c r="BE456" s="10">
        <f t="shared" ca="1" si="623"/>
        <v>11023.023606103208</v>
      </c>
      <c r="BF456" s="10">
        <f t="shared" ca="1" si="623"/>
        <v>3825.1913261424038</v>
      </c>
      <c r="BG456" s="10">
        <f ca="1">SUM(AZ456:BF456)</f>
        <v>35771.51994858418</v>
      </c>
      <c r="BI456" s="10">
        <f t="shared" ref="BI456:BO456" ca="1" si="624">BI368</f>
        <v>1101.1633862090678</v>
      </c>
      <c r="BJ456" s="10">
        <f t="shared" ca="1" si="624"/>
        <v>343.70897027855113</v>
      </c>
      <c r="BK456" s="10">
        <f t="shared" ca="1" si="624"/>
        <v>2195.9974905427539</v>
      </c>
      <c r="BL456" s="10">
        <f t="shared" ca="1" si="624"/>
        <v>641.37710822925101</v>
      </c>
      <c r="BM456" s="10">
        <f t="shared" ca="1" si="624"/>
        <v>2203.8237708515449</v>
      </c>
      <c r="BN456" s="10">
        <f t="shared" ca="1" si="624"/>
        <v>3430.7155211432123</v>
      </c>
      <c r="BO456" s="10">
        <f t="shared" ca="1" si="624"/>
        <v>1189.8076632546679</v>
      </c>
      <c r="BP456" s="10">
        <f ca="1">SUM(BI456:BO456)</f>
        <v>11106.593910509047</v>
      </c>
    </row>
    <row r="457" spans="2:68" ht="13.2" customHeight="1">
      <c r="B457" s="309" t="str">
        <f>CONCATENATE("Above row repeats figures in Row ",O368,".")</f>
        <v>Above row repeats figures in Row 368.</v>
      </c>
      <c r="G457" s="1126" t="s">
        <v>857</v>
      </c>
      <c r="H457" s="1122"/>
      <c r="I457" s="1122"/>
      <c r="J457" s="1122"/>
      <c r="K457" s="1122"/>
      <c r="L457" s="1122"/>
      <c r="M457" s="1122"/>
      <c r="O457" s="39">
        <f>ROW()</f>
        <v>457</v>
      </c>
    </row>
    <row r="458" spans="2:68" ht="13.2" customHeight="1">
      <c r="B458" s="280" t="s">
        <v>1300</v>
      </c>
      <c r="G458" s="1122">
        <f t="shared" ref="G458:M460" ca="1" si="625">P458+Y458+AH458+AQ458+AZ458+BI458</f>
        <v>56227.284135801441</v>
      </c>
      <c r="H458" s="1122">
        <f t="shared" ca="1" si="625"/>
        <v>18633.902479082073</v>
      </c>
      <c r="I458" s="1122">
        <f t="shared" ca="1" si="625"/>
        <v>126643.48754109199</v>
      </c>
      <c r="J458" s="1122">
        <f t="shared" ca="1" si="625"/>
        <v>37067.844903315425</v>
      </c>
      <c r="K458" s="1122">
        <f t="shared" ca="1" si="625"/>
        <v>125869.11841397634</v>
      </c>
      <c r="L458" s="1122">
        <f t="shared" ca="1" si="625"/>
        <v>194909.63321694813</v>
      </c>
      <c r="M458" s="1122">
        <f t="shared" ca="1" si="625"/>
        <v>64269.007991089646</v>
      </c>
      <c r="N458" s="617">
        <f ca="1">SUM(G458:M458)</f>
        <v>623620.278681305</v>
      </c>
      <c r="O458" s="39">
        <f>ROW()</f>
        <v>458</v>
      </c>
      <c r="P458" s="10">
        <f t="shared" ref="P458:V458" ca="1" si="626">P456*P440</f>
        <v>10092.018575167662</v>
      </c>
      <c r="Q458" s="10">
        <f t="shared" ca="1" si="626"/>
        <v>10862.167614312695</v>
      </c>
      <c r="R458" s="10">
        <f t="shared" ca="1" si="626"/>
        <v>74492.051122348188</v>
      </c>
      <c r="S458" s="10">
        <f t="shared" ca="1" si="626"/>
        <v>17621.543170069803</v>
      </c>
      <c r="T458" s="10">
        <f t="shared" ca="1" si="626"/>
        <v>51124.853505112354</v>
      </c>
      <c r="U458" s="10">
        <f t="shared" ca="1" si="626"/>
        <v>52841.591593373487</v>
      </c>
      <c r="V458" s="10">
        <f t="shared" ca="1" si="626"/>
        <v>14341.677503654115</v>
      </c>
      <c r="W458" s="10">
        <f ca="1">SUM(P458:V458)</f>
        <v>231375.90308403829</v>
      </c>
      <c r="Y458" s="10">
        <f t="shared" ref="Y458:AE458" ca="1" si="627">Y456*Y440</f>
        <v>17684.483583015299</v>
      </c>
      <c r="Z458" s="10">
        <f t="shared" ca="1" si="627"/>
        <v>1319.0541853584527</v>
      </c>
      <c r="AA458" s="10">
        <f t="shared" ca="1" si="627"/>
        <v>15001.540675000622</v>
      </c>
      <c r="AB458" s="10">
        <f t="shared" ca="1" si="627"/>
        <v>8729.8743079903143</v>
      </c>
      <c r="AC458" s="10">
        <f t="shared" ca="1" si="627"/>
        <v>35415.062140086346</v>
      </c>
      <c r="AD458" s="10">
        <f t="shared" ca="1" si="627"/>
        <v>72390.669467710439</v>
      </c>
      <c r="AE458" s="10">
        <f t="shared" ca="1" si="627"/>
        <v>21402.061892441077</v>
      </c>
      <c r="AF458" s="10">
        <f ca="1">SUM(Y458:AE458)</f>
        <v>171942.74625160254</v>
      </c>
      <c r="AH458" s="10">
        <f t="shared" ref="AH458:AN458" ca="1" si="628">AH456*AH440</f>
        <v>17576.041213456196</v>
      </c>
      <c r="AI458" s="10">
        <f t="shared" ca="1" si="628"/>
        <v>2406.6911901698445</v>
      </c>
      <c r="AJ458" s="10">
        <f t="shared" ca="1" si="628"/>
        <v>11310.243506609828</v>
      </c>
      <c r="AK458" s="10">
        <f t="shared" ca="1" si="628"/>
        <v>3209.1128058626182</v>
      </c>
      <c r="AL458" s="10">
        <f t="shared" ca="1" si="628"/>
        <v>15152.318707546598</v>
      </c>
      <c r="AM458" s="10">
        <f t="shared" ca="1" si="628"/>
        <v>29793.694201809081</v>
      </c>
      <c r="AN458" s="10">
        <f t="shared" ca="1" si="628"/>
        <v>15003.306002457373</v>
      </c>
      <c r="AO458" s="10">
        <f ca="1">SUM(AH458:AN458)</f>
        <v>94451.40762791154</v>
      </c>
      <c r="AQ458" s="10">
        <f ca="1">AQ456*(1+(AQ440-1)*Taxis!$L$243)</f>
        <v>5971.6905611606398</v>
      </c>
      <c r="AR458" s="10">
        <f ca="1">AR456*(1+(AR440-1)*Taxis!$L$243)</f>
        <v>2552.8911555962159</v>
      </c>
      <c r="AS458" s="10">
        <f ca="1">AS456*(1+(AS440-1)*Taxis!$L$243)</f>
        <v>15950.302675877292</v>
      </c>
      <c r="AT458" s="10">
        <f ca="1">AT456*(1+(AT440-1)*Taxis!$L$243)</f>
        <v>4642.5660450726618</v>
      </c>
      <c r="AU458" s="10">
        <f ca="1">AU456*(1+(AU440-1)*Taxis!$L$243)</f>
        <v>14365.016335840943</v>
      </c>
      <c r="AV458" s="10">
        <f ca="1">AV456*(1+(AV440-1)*Taxis!$L$243)</f>
        <v>24469.846484730482</v>
      </c>
      <c r="AW458" s="10">
        <f ca="1">AW456*(1+(AW440-1)*Taxis!$L$243)</f>
        <v>8223.1249489336733</v>
      </c>
      <c r="AX458" s="10">
        <f ca="1">SUM(AQ458:AW458)</f>
        <v>76175.438207211919</v>
      </c>
      <c r="AZ458" s="10">
        <f t="shared" ref="AZ458:BF458" ca="1" si="629">AZ456*AZ440</f>
        <v>3743.7746186808004</v>
      </c>
      <c r="BA458" s="10">
        <f t="shared" ca="1" si="629"/>
        <v>1124.7744871785526</v>
      </c>
      <c r="BB458" s="10">
        <f t="shared" ca="1" si="629"/>
        <v>7492.5629097858646</v>
      </c>
      <c r="BC458" s="10">
        <f t="shared" ca="1" si="629"/>
        <v>2169.1809939815257</v>
      </c>
      <c r="BD458" s="10">
        <f t="shared" ca="1" si="629"/>
        <v>7453.5249947472194</v>
      </c>
      <c r="BE458" s="10">
        <f t="shared" ca="1" si="629"/>
        <v>11681.280068971619</v>
      </c>
      <c r="BF458" s="10">
        <f t="shared" ca="1" si="629"/>
        <v>4018.4294312267989</v>
      </c>
      <c r="BG458" s="10">
        <f ca="1">SUM(AZ458:BF458)</f>
        <v>37683.527504572376</v>
      </c>
      <c r="BI458" s="10">
        <f t="shared" ref="BI458:BO458" ca="1" si="630">BI456*BI440</f>
        <v>1159.2755843208465</v>
      </c>
      <c r="BJ458" s="10">
        <f t="shared" ca="1" si="630"/>
        <v>368.32384646631198</v>
      </c>
      <c r="BK458" s="10">
        <f t="shared" ca="1" si="630"/>
        <v>2396.7866514701977</v>
      </c>
      <c r="BL458" s="10">
        <f t="shared" ca="1" si="630"/>
        <v>695.56758033850144</v>
      </c>
      <c r="BM458" s="10">
        <f t="shared" ca="1" si="630"/>
        <v>2358.3427306428775</v>
      </c>
      <c r="BN458" s="10">
        <f t="shared" ca="1" si="630"/>
        <v>3732.5514003529879</v>
      </c>
      <c r="BO458" s="10">
        <f t="shared" ca="1" si="630"/>
        <v>1280.4082123766232</v>
      </c>
      <c r="BP458" s="10">
        <f ca="1">SUM(BI458:BO458)</f>
        <v>11991.256005968346</v>
      </c>
    </row>
    <row r="459" spans="2:68" ht="13.2" customHeight="1">
      <c r="B459" s="309" t="str">
        <f>CONCATENATE("Each figure in above row is product of figures in Rows ",O440," and ",O456,".")</f>
        <v>Each figure in above row is product of figures in Rows 440 and 456.</v>
      </c>
      <c r="G459" s="1122"/>
      <c r="H459" s="1122"/>
      <c r="I459" s="1122"/>
      <c r="J459" s="1122"/>
      <c r="K459" s="1122"/>
      <c r="L459" s="1122"/>
      <c r="M459" s="1122"/>
      <c r="N459" s="617"/>
      <c r="O459" s="39">
        <f>ROW()</f>
        <v>459</v>
      </c>
      <c r="P459" s="309" t="str">
        <f>CONCATENATE("Figures in Row ",O458, " are product of figures in Row ",O456, " and rebound factors in Row ",O440, ".")</f>
        <v>Figures in Row 458 are product of figures in Row 456 and rebound factors in Row 440.</v>
      </c>
      <c r="Q459" s="10"/>
      <c r="R459" s="10"/>
      <c r="S459" s="10"/>
      <c r="T459" s="10"/>
      <c r="U459" s="10"/>
      <c r="V459" s="10"/>
      <c r="W459" s="10"/>
      <c r="Y459" s="10"/>
      <c r="Z459" s="10"/>
      <c r="AA459" s="10"/>
      <c r="AB459" s="10"/>
      <c r="AC459" s="10"/>
      <c r="AD459" s="10"/>
      <c r="AE459" s="10"/>
      <c r="AF459" s="10"/>
      <c r="AH459" s="10"/>
      <c r="AI459" s="10"/>
      <c r="AJ459" s="10"/>
      <c r="AK459" s="10"/>
      <c r="AL459" s="10"/>
      <c r="AM459" s="10"/>
      <c r="AN459" s="10"/>
      <c r="AO459" s="10"/>
      <c r="AQ459" s="2012" t="str">
        <f>CONCATENATE("Row ",O458, " figs. apply to Row ",O456, " the fractional chng from Row ",O440, " factored by % of taxi-trip chngs not absorbed by cruising, from Row ",Taxis!$O$243, " of 'Taxis'.")</f>
        <v>Row 458 figs. apply to Row 456 the fractional chng from Row 440 factored by % of taxi-trip chngs not absorbed by cruising, from Row 243 of 'Taxis'.</v>
      </c>
      <c r="AR459" s="10"/>
      <c r="AS459" s="10"/>
      <c r="AT459" s="10"/>
      <c r="AU459" s="10"/>
      <c r="AV459" s="10"/>
      <c r="AW459" s="10"/>
      <c r="AX459" s="10"/>
      <c r="AZ459" s="10"/>
      <c r="BA459" s="10"/>
      <c r="BB459" s="10"/>
      <c r="BC459" s="10"/>
      <c r="BD459" s="10"/>
      <c r="BE459" s="10"/>
      <c r="BF459" s="10"/>
      <c r="BG459" s="10"/>
      <c r="BI459" s="10"/>
      <c r="BJ459" s="10"/>
      <c r="BK459" s="10"/>
      <c r="BL459" s="10"/>
      <c r="BM459" s="10"/>
      <c r="BN459" s="10"/>
      <c r="BO459" s="10"/>
      <c r="BP459" s="10"/>
    </row>
    <row r="460" spans="2:68" ht="13.2" customHeight="1">
      <c r="B460" s="280" t="s">
        <v>522</v>
      </c>
      <c r="G460" s="1122">
        <f t="shared" ca="1" si="625"/>
        <v>88335.54978626399</v>
      </c>
      <c r="H460" s="1122">
        <f t="shared" ca="1" si="625"/>
        <v>28293.986619521398</v>
      </c>
      <c r="I460" s="1122">
        <f t="shared" ca="1" si="625"/>
        <v>189135.24674131433</v>
      </c>
      <c r="J460" s="1122">
        <f t="shared" ca="1" si="625"/>
        <v>55257.662569722241</v>
      </c>
      <c r="K460" s="1122">
        <f t="shared" ca="1" si="625"/>
        <v>188225.89760578223</v>
      </c>
      <c r="L460" s="1122">
        <f t="shared" ca="1" si="625"/>
        <v>295658.87302633125</v>
      </c>
      <c r="M460" s="1122">
        <f t="shared" ca="1" si="625"/>
        <v>99747.318465351767</v>
      </c>
      <c r="N460" s="186">
        <f ca="1">SUM(G460:M460)</f>
        <v>944654.53481428721</v>
      </c>
      <c r="O460" s="39">
        <f>ROW()</f>
        <v>460</v>
      </c>
      <c r="P460" s="10">
        <f t="shared" ref="P460:V460" ca="1" si="631">P458*$I$85</f>
        <v>12615.023218959577</v>
      </c>
      <c r="Q460" s="10">
        <f t="shared" ca="1" si="631"/>
        <v>13577.709517890869</v>
      </c>
      <c r="R460" s="10">
        <f t="shared" ca="1" si="631"/>
        <v>93115.063902935231</v>
      </c>
      <c r="S460" s="10">
        <f t="shared" ca="1" si="631"/>
        <v>22026.928962587255</v>
      </c>
      <c r="T460" s="10">
        <f t="shared" ca="1" si="631"/>
        <v>63906.066881390441</v>
      </c>
      <c r="U460" s="10">
        <f t="shared" ca="1" si="631"/>
        <v>66051.989491716857</v>
      </c>
      <c r="V460" s="10">
        <f t="shared" ca="1" si="631"/>
        <v>17927.096879567645</v>
      </c>
      <c r="W460" s="10">
        <f ca="1">SUM(P460:V460)</f>
        <v>289219.87885504786</v>
      </c>
      <c r="Y460" s="10">
        <f t="shared" ref="Y460:AE460" ca="1" si="632">Y458*$J$85</f>
        <v>22105.604478769124</v>
      </c>
      <c r="Z460" s="10">
        <f t="shared" ca="1" si="632"/>
        <v>1648.8177316980659</v>
      </c>
      <c r="AA460" s="10">
        <f t="shared" ca="1" si="632"/>
        <v>18751.925843750778</v>
      </c>
      <c r="AB460" s="10">
        <f t="shared" ca="1" si="632"/>
        <v>10912.342884987893</v>
      </c>
      <c r="AC460" s="10">
        <f t="shared" ca="1" si="632"/>
        <v>44268.827675107932</v>
      </c>
      <c r="AD460" s="10">
        <f t="shared" ca="1" si="632"/>
        <v>90488.336834638045</v>
      </c>
      <c r="AE460" s="10">
        <f t="shared" ca="1" si="632"/>
        <v>26752.577365551348</v>
      </c>
      <c r="AF460" s="10">
        <f ca="1">SUM(Y460:AE460)</f>
        <v>214928.43281450318</v>
      </c>
      <c r="AH460" s="10">
        <f t="shared" ref="AH460:AN460" ca="1" si="633">AH458*$K$85</f>
        <v>28121.665941529915</v>
      </c>
      <c r="AI460" s="10">
        <f t="shared" ca="1" si="633"/>
        <v>3850.7059042717515</v>
      </c>
      <c r="AJ460" s="10">
        <f t="shared" ca="1" si="633"/>
        <v>18096.389610575727</v>
      </c>
      <c r="AK460" s="10">
        <f t="shared" ca="1" si="633"/>
        <v>5134.5804893801896</v>
      </c>
      <c r="AL460" s="10">
        <f t="shared" ca="1" si="633"/>
        <v>24243.709932074558</v>
      </c>
      <c r="AM460" s="10">
        <f t="shared" ca="1" si="633"/>
        <v>47669.910722894536</v>
      </c>
      <c r="AN460" s="10">
        <f t="shared" ca="1" si="633"/>
        <v>24005.2896039318</v>
      </c>
      <c r="AO460" s="10">
        <f ca="1">SUM(AH460:AN460)</f>
        <v>151122.25220465846</v>
      </c>
      <c r="AQ460" s="10">
        <f t="shared" ref="AQ460:AW460" ca="1" si="634">AQ458*$L$85</f>
        <v>11943.38112232128</v>
      </c>
      <c r="AR460" s="10">
        <f t="shared" ca="1" si="634"/>
        <v>5105.7823111924317</v>
      </c>
      <c r="AS460" s="10">
        <f t="shared" ca="1" si="634"/>
        <v>31900.605351754584</v>
      </c>
      <c r="AT460" s="10">
        <f t="shared" ca="1" si="634"/>
        <v>9285.1320901453237</v>
      </c>
      <c r="AU460" s="10">
        <f t="shared" ca="1" si="634"/>
        <v>28730.032671681885</v>
      </c>
      <c r="AV460" s="10">
        <f t="shared" ca="1" si="634"/>
        <v>48939.692969460964</v>
      </c>
      <c r="AW460" s="10">
        <f t="shared" ca="1" si="634"/>
        <v>16446.249897867347</v>
      </c>
      <c r="AX460" s="10">
        <f ca="1">SUM(AQ460:AW460)</f>
        <v>152350.87641442384</v>
      </c>
      <c r="AZ460" s="10">
        <f t="shared" ref="AZ460:BF460" ca="1" si="635">AZ458*$M$85</f>
        <v>11231.323856042402</v>
      </c>
      <c r="BA460" s="10">
        <f t="shared" ca="1" si="635"/>
        <v>3374.3234615356578</v>
      </c>
      <c r="BB460" s="10">
        <f t="shared" ca="1" si="635"/>
        <v>22477.688729357593</v>
      </c>
      <c r="BC460" s="10">
        <f t="shared" ca="1" si="635"/>
        <v>6507.5429819445771</v>
      </c>
      <c r="BD460" s="10">
        <f t="shared" ca="1" si="635"/>
        <v>22360.574984241659</v>
      </c>
      <c r="BE460" s="10">
        <f t="shared" ca="1" si="635"/>
        <v>35043.840206914858</v>
      </c>
      <c r="BF460" s="10">
        <f t="shared" ca="1" si="635"/>
        <v>12055.288293680396</v>
      </c>
      <c r="BG460" s="10">
        <f ca="1">SUM(AZ460:BF460)</f>
        <v>113050.58251371715</v>
      </c>
      <c r="BI460" s="10">
        <f t="shared" ref="BI460:BO460" ca="1" si="636">BI458*$N$85</f>
        <v>2318.551168641693</v>
      </c>
      <c r="BJ460" s="10">
        <f t="shared" ca="1" si="636"/>
        <v>736.64769293262395</v>
      </c>
      <c r="BK460" s="10">
        <f t="shared" ca="1" si="636"/>
        <v>4793.5733029403955</v>
      </c>
      <c r="BL460" s="10">
        <f t="shared" ca="1" si="636"/>
        <v>1391.1351606770029</v>
      </c>
      <c r="BM460" s="10">
        <f t="shared" ca="1" si="636"/>
        <v>4716.6854612857551</v>
      </c>
      <c r="BN460" s="10">
        <f t="shared" ca="1" si="636"/>
        <v>7465.1028007059758</v>
      </c>
      <c r="BO460" s="10">
        <f t="shared" ca="1" si="636"/>
        <v>2560.8164247532463</v>
      </c>
      <c r="BP460" s="10">
        <f ca="1">SUM(BI460:BO460)</f>
        <v>23982.512011936691</v>
      </c>
    </row>
    <row r="461" spans="2:68" ht="13.2" customHeight="1">
      <c r="B461" s="280"/>
      <c r="G461" s="1122"/>
      <c r="H461" s="1122"/>
      <c r="I461" s="1122"/>
      <c r="J461" s="1122"/>
      <c r="K461" s="1122"/>
      <c r="L461" s="1122"/>
      <c r="M461" s="1122"/>
      <c r="N461" s="186"/>
      <c r="O461" s="39">
        <f>ROW()</f>
        <v>461</v>
      </c>
      <c r="P461" s="309" t="str">
        <f>CONCATENATE("Figures in Row ",O460, " are product of trips in Row ",O458, " and CBD miles for that trip type in Row ",O85, ".")</f>
        <v>Figures in Row 460 are product of trips in Row 458 and CBD miles for that trip type in Row 85.</v>
      </c>
      <c r="Q461" s="10"/>
      <c r="R461" s="10"/>
      <c r="S461" s="10"/>
      <c r="T461" s="10"/>
      <c r="U461" s="10"/>
      <c r="V461" s="10"/>
      <c r="W461" s="10"/>
      <c r="Y461" s="10"/>
      <c r="Z461" s="10"/>
      <c r="AA461" s="10"/>
      <c r="AB461" s="10"/>
      <c r="AC461" s="10"/>
      <c r="AD461" s="10"/>
      <c r="AE461" s="10"/>
      <c r="AF461" s="10"/>
      <c r="AH461" s="10"/>
      <c r="AI461" s="10"/>
      <c r="AJ461" s="10"/>
      <c r="AK461" s="10"/>
      <c r="AL461" s="10"/>
      <c r="AM461" s="10"/>
      <c r="AN461" s="10"/>
      <c r="AO461" s="10"/>
      <c r="AQ461" s="265"/>
      <c r="AR461" s="282"/>
      <c r="AS461" s="282"/>
      <c r="AT461" s="282"/>
      <c r="AU461" s="282"/>
      <c r="AV461" s="282"/>
      <c r="AW461" s="282"/>
      <c r="AX461" s="10"/>
      <c r="AZ461" s="10"/>
      <c r="BA461" s="10"/>
      <c r="BB461" s="10"/>
      <c r="BC461" s="10"/>
      <c r="BD461" s="10"/>
      <c r="BE461" s="10"/>
      <c r="BF461" s="10"/>
      <c r="BG461" s="10"/>
      <c r="BI461" s="10"/>
      <c r="BJ461" s="10"/>
      <c r="BK461" s="10"/>
      <c r="BL461" s="10"/>
      <c r="BM461" s="10"/>
      <c r="BN461" s="10"/>
      <c r="BO461" s="10"/>
      <c r="BP461" s="10"/>
    </row>
    <row r="462" spans="2:68" ht="13.2" customHeight="1">
      <c r="B462" s="308" t="s">
        <v>1010</v>
      </c>
      <c r="G462" s="1122"/>
      <c r="H462" s="1122"/>
      <c r="I462" s="1122"/>
      <c r="J462" s="1122"/>
      <c r="K462" s="1122"/>
      <c r="L462" s="1122"/>
      <c r="M462" s="1122"/>
      <c r="N462" s="186"/>
      <c r="O462" s="39">
        <f>ROW()</f>
        <v>462</v>
      </c>
      <c r="P462" s="10"/>
      <c r="Q462" s="10"/>
      <c r="R462" s="10"/>
      <c r="S462" s="10"/>
      <c r="T462" s="10"/>
      <c r="U462" s="10"/>
      <c r="V462" s="10"/>
      <c r="W462" s="10"/>
      <c r="Y462" s="10"/>
      <c r="Z462" s="10"/>
      <c r="AA462" s="10"/>
      <c r="AB462" s="10"/>
      <c r="AC462" s="10"/>
      <c r="AD462" s="10"/>
      <c r="AE462" s="10"/>
      <c r="AF462" s="10"/>
      <c r="AH462" s="10"/>
      <c r="AI462" s="10"/>
      <c r="AJ462" s="10"/>
      <c r="AK462" s="10"/>
      <c r="AL462" s="10"/>
      <c r="AM462" s="10"/>
      <c r="AN462" s="10"/>
      <c r="AO462" s="10"/>
      <c r="AQ462" s="10"/>
      <c r="AR462" s="10"/>
      <c r="AS462" s="10"/>
      <c r="AT462" s="10"/>
      <c r="AU462" s="10"/>
      <c r="AV462" s="10"/>
      <c r="AW462" s="10"/>
      <c r="AX462" s="10"/>
      <c r="AZ462" s="10"/>
      <c r="BA462" s="10"/>
      <c r="BB462" s="10"/>
      <c r="BC462" s="10"/>
      <c r="BD462" s="10"/>
      <c r="BE462" s="10"/>
      <c r="BF462" s="10"/>
      <c r="BG462" s="10"/>
      <c r="BI462" s="10"/>
      <c r="BJ462" s="10"/>
      <c r="BK462" s="10"/>
      <c r="BL462" s="10"/>
      <c r="BM462" s="10"/>
      <c r="BN462" s="10"/>
      <c r="BO462" s="10"/>
      <c r="BP462" s="10"/>
    </row>
    <row r="463" spans="2:68" ht="13.2" customHeight="1">
      <c r="B463" s="280" t="s">
        <v>1301</v>
      </c>
      <c r="G463" s="1122">
        <f t="shared" ref="G463:M463" ca="1" si="637">P463+Y463+AH463+AQ463+AZ463+BI463</f>
        <v>64091.21333930688</v>
      </c>
      <c r="H463" s="1122">
        <f t="shared" ca="1" si="637"/>
        <v>12931.405139882034</v>
      </c>
      <c r="I463" s="1122">
        <f t="shared" ca="1" si="637"/>
        <v>74536.964009294185</v>
      </c>
      <c r="J463" s="1122">
        <f t="shared" ca="1" si="637"/>
        <v>23455.16165712685</v>
      </c>
      <c r="K463" s="1122">
        <f t="shared" ca="1" si="637"/>
        <v>93456.963154478915</v>
      </c>
      <c r="L463" s="1122">
        <f t="shared" ca="1" si="637"/>
        <v>194434.55185249375</v>
      </c>
      <c r="M463" s="1122">
        <f t="shared" ca="1" si="637"/>
        <v>75509.280212750542</v>
      </c>
      <c r="N463" s="186">
        <f ca="1">SUM(G463:M463)</f>
        <v>538415.53936533316</v>
      </c>
      <c r="O463" s="39">
        <f>ROW()</f>
        <v>463</v>
      </c>
      <c r="P463" s="10">
        <f t="shared" ref="P463:W463" ca="1" si="638">P$135*$W456</f>
        <v>24125.52898263387</v>
      </c>
      <c r="Q463" s="10">
        <f t="shared" ca="1" si="638"/>
        <v>4370.3380580815656</v>
      </c>
      <c r="R463" s="10">
        <f t="shared" ca="1" si="638"/>
        <v>25186.284675860596</v>
      </c>
      <c r="S463" s="10">
        <f t="shared" ca="1" si="638"/>
        <v>8034.3940591151868</v>
      </c>
      <c r="T463" s="10">
        <f t="shared" ca="1" si="638"/>
        <v>33303.915459260679</v>
      </c>
      <c r="U463" s="10">
        <f t="shared" ca="1" si="638"/>
        <v>71798.235225715194</v>
      </c>
      <c r="V463" s="10">
        <f t="shared" ca="1" si="638"/>
        <v>28245.541818173919</v>
      </c>
      <c r="W463" s="10">
        <f t="shared" ca="1" si="638"/>
        <v>195064.23827884102</v>
      </c>
      <c r="Y463" s="10">
        <f t="shared" ref="Y463:AE463" ca="1" si="639">Y$135*$AF456</f>
        <v>18014.983756217291</v>
      </c>
      <c r="Z463" s="10">
        <f t="shared" ca="1" si="639"/>
        <v>3263.4131745749687</v>
      </c>
      <c r="AA463" s="10">
        <f t="shared" ca="1" si="639"/>
        <v>18807.069873647084</v>
      </c>
      <c r="AB463" s="10">
        <f t="shared" ca="1" si="639"/>
        <v>5999.4323262381413</v>
      </c>
      <c r="AC463" s="10">
        <f t="shared" ca="1" si="639"/>
        <v>24868.656618840869</v>
      </c>
      <c r="AD463" s="10">
        <f t="shared" ca="1" si="639"/>
        <v>53613.085219701468</v>
      </c>
      <c r="AE463" s="10">
        <f t="shared" ca="1" si="639"/>
        <v>21091.47440481975</v>
      </c>
      <c r="AF463" s="10">
        <f ca="1">SUM(Y463:AE463)</f>
        <v>145658.11537403957</v>
      </c>
      <c r="AH463" s="10">
        <f t="shared" ref="AH463:AN463" si="640">AH$135*$AO456</f>
        <v>10194.87177201516</v>
      </c>
      <c r="AI463" s="10">
        <f t="shared" si="640"/>
        <v>1846.8003804008224</v>
      </c>
      <c r="AJ463" s="10">
        <f t="shared" si="640"/>
        <v>10643.12176817756</v>
      </c>
      <c r="AK463" s="10">
        <f t="shared" si="640"/>
        <v>3395.1428487839676</v>
      </c>
      <c r="AL463" s="10">
        <f t="shared" si="640"/>
        <v>14073.43846667972</v>
      </c>
      <c r="AM463" s="10">
        <f t="shared" si="640"/>
        <v>30340.217705072515</v>
      </c>
      <c r="AN463" s="10">
        <f t="shared" si="640"/>
        <v>11935.89069796792</v>
      </c>
      <c r="AO463" s="10">
        <f>SUM(AH463:AN463)</f>
        <v>82429.483639097656</v>
      </c>
      <c r="AQ463" s="10">
        <f t="shared" ref="AQ463:AW463" ca="1" si="641">AQ456</f>
        <v>5957.9475533393934</v>
      </c>
      <c r="AR463" s="10">
        <f t="shared" ca="1" si="641"/>
        <v>2400.5676984371444</v>
      </c>
      <c r="AS463" s="10">
        <f t="shared" ca="1" si="641"/>
        <v>13847.684106798293</v>
      </c>
      <c r="AT463" s="10">
        <f t="shared" ca="1" si="641"/>
        <v>4095.3554699155275</v>
      </c>
      <c r="AU463" s="10">
        <f t="shared" ca="1" si="641"/>
        <v>13207.308504410181</v>
      </c>
      <c r="AV463" s="10">
        <f t="shared" ca="1" si="641"/>
        <v>21428.360181241187</v>
      </c>
      <c r="AW463" s="10">
        <f t="shared" ca="1" si="641"/>
        <v>7448.3647001199943</v>
      </c>
      <c r="AX463" s="10">
        <f ca="1">SUM(AQ463:AW463)</f>
        <v>68385.588214261719</v>
      </c>
      <c r="AZ463" s="10">
        <f t="shared" ref="AZ463:BF463" ca="1" si="642">AZ$135*$BG456</f>
        <v>4424.2186516975999</v>
      </c>
      <c r="BA463" s="10">
        <f t="shared" ca="1" si="642"/>
        <v>801.44693054010793</v>
      </c>
      <c r="BB463" s="10">
        <f t="shared" ca="1" si="642"/>
        <v>4618.7435106653029</v>
      </c>
      <c r="BC463" s="10">
        <f t="shared" ca="1" si="642"/>
        <v>1473.3735404107656</v>
      </c>
      <c r="BD463" s="10">
        <f t="shared" ca="1" si="642"/>
        <v>6107.3812746440799</v>
      </c>
      <c r="BE463" s="10">
        <f t="shared" ca="1" si="642"/>
        <v>13166.59591892197</v>
      </c>
      <c r="BF463" s="10">
        <f t="shared" ca="1" si="642"/>
        <v>5179.7601217043557</v>
      </c>
      <c r="BG463" s="10">
        <f ca="1">SUM(AZ463:BF463)</f>
        <v>35771.51994858418</v>
      </c>
      <c r="BI463" s="10">
        <f t="shared" ref="BI463:BO463" ca="1" si="643">BI$135*$BP456</f>
        <v>1373.662623403565</v>
      </c>
      <c r="BJ463" s="10">
        <f t="shared" ca="1" si="643"/>
        <v>248.83889784742675</v>
      </c>
      <c r="BK463" s="10">
        <f t="shared" ca="1" si="643"/>
        <v>1434.0600741453479</v>
      </c>
      <c r="BL463" s="10">
        <f t="shared" ca="1" si="643"/>
        <v>457.46341266326448</v>
      </c>
      <c r="BM463" s="10">
        <f t="shared" ca="1" si="643"/>
        <v>1896.2628306433951</v>
      </c>
      <c r="BN463" s="10">
        <f t="shared" ca="1" si="643"/>
        <v>4088.0576018414317</v>
      </c>
      <c r="BO463" s="10">
        <f t="shared" ca="1" si="643"/>
        <v>1608.2484699646145</v>
      </c>
      <c r="BP463" s="10">
        <f ca="1">SUM(BI463:BO463)</f>
        <v>11106.593910509046</v>
      </c>
    </row>
    <row r="464" spans="2:68" ht="13.2" customHeight="1">
      <c r="B464" s="309" t="str">
        <f>CONCATENATE("Each fig. in column blocks to right is product of period's % of total exits in Row ",$O$135," times 24-h entries for trip type in Row ",O456,"; except taxicabs, where each fig. is corresp. # of entries for period.")</f>
        <v>Each fig. in column blocks to right is product of period's % of total exits in Row 135 times 24-h entries for trip type in Row 456; except taxicabs, where each fig. is corresp. # of entries for period.</v>
      </c>
      <c r="G464" s="1122"/>
      <c r="H464" s="1122"/>
      <c r="I464" s="1122"/>
      <c r="J464" s="1122"/>
      <c r="K464" s="1122"/>
      <c r="L464" s="1122"/>
      <c r="M464" s="1122"/>
      <c r="O464" s="39">
        <f>ROW()</f>
        <v>464</v>
      </c>
    </row>
    <row r="465" spans="2:68" ht="13.2" customHeight="1">
      <c r="B465" s="280" t="s">
        <v>1047</v>
      </c>
      <c r="G465" s="1122"/>
      <c r="H465" s="1122"/>
      <c r="I465" s="1122"/>
      <c r="J465" s="1122"/>
      <c r="K465" s="1122"/>
      <c r="L465" s="1122"/>
      <c r="M465" s="1122"/>
      <c r="N465" s="186"/>
      <c r="O465" s="39">
        <f>ROW()</f>
        <v>465</v>
      </c>
      <c r="P465" s="10">
        <f t="shared" ref="P465:V465" ca="1" si="644">P463*$W458/$W456</f>
        <v>28616.55270587109</v>
      </c>
      <c r="Q465" s="10">
        <f t="shared" ca="1" si="644"/>
        <v>5183.886723130071</v>
      </c>
      <c r="R465" s="10">
        <f t="shared" ca="1" si="644"/>
        <v>29874.770555731535</v>
      </c>
      <c r="S465" s="10">
        <f t="shared" ca="1" si="644"/>
        <v>9530.0153301470327</v>
      </c>
      <c r="T465" s="10">
        <f t="shared" ca="1" si="644"/>
        <v>39503.517321333413</v>
      </c>
      <c r="U465" s="10">
        <f t="shared" ca="1" si="644"/>
        <v>85163.644867815019</v>
      </c>
      <c r="V465" s="10">
        <f t="shared" ca="1" si="644"/>
        <v>33503.515580010135</v>
      </c>
      <c r="W465" s="10">
        <f ca="1">SUM(P465:V465)</f>
        <v>231375.90308403829</v>
      </c>
      <c r="Y465" s="10">
        <f t="shared" ref="Y465:AE465" ca="1" si="645">Y463*$AF458/$AF456</f>
        <v>21265.864746140207</v>
      </c>
      <c r="Z465" s="10">
        <f t="shared" ca="1" si="645"/>
        <v>3852.3100614693813</v>
      </c>
      <c r="AA465" s="10">
        <f t="shared" ca="1" si="645"/>
        <v>22200.886196533917</v>
      </c>
      <c r="AB465" s="10">
        <f t="shared" ca="1" si="645"/>
        <v>7082.0555893851661</v>
      </c>
      <c r="AC465" s="10">
        <f t="shared" ca="1" si="645"/>
        <v>29356.312236027283</v>
      </c>
      <c r="AD465" s="10">
        <f t="shared" ca="1" si="645"/>
        <v>63287.796110944677</v>
      </c>
      <c r="AE465" s="10">
        <f t="shared" ca="1" si="645"/>
        <v>24897.521311101918</v>
      </c>
      <c r="AF465" s="10">
        <f ca="1">SUM(Y465:AE465)</f>
        <v>171942.74625160254</v>
      </c>
      <c r="AH465" s="10">
        <f t="shared" ref="AH465:AN465" ca="1" si="646">AH463*$AO458/$AO456</f>
        <v>11681.742344388094</v>
      </c>
      <c r="AI465" s="10">
        <f t="shared" ca="1" si="646"/>
        <v>2116.1468910850217</v>
      </c>
      <c r="AJ465" s="10">
        <f t="shared" ca="1" si="646"/>
        <v>12195.367339203214</v>
      </c>
      <c r="AK465" s="10">
        <f t="shared" ca="1" si="646"/>
        <v>3890.307290647414</v>
      </c>
      <c r="AL465" s="10">
        <f t="shared" ca="1" si="646"/>
        <v>16125.978407951699</v>
      </c>
      <c r="AM465" s="10">
        <f t="shared" ca="1" si="646"/>
        <v>34765.185264634434</v>
      </c>
      <c r="AN465" s="10">
        <f t="shared" ca="1" si="646"/>
        <v>13676.680090001671</v>
      </c>
      <c r="AO465" s="10">
        <f ca="1">SUM(AH465:AN465)</f>
        <v>94451.40762791154</v>
      </c>
      <c r="AQ465" s="10">
        <f t="shared" ref="AQ465:AW465" ca="1" si="647">AQ463*$AX458/$AX456</f>
        <v>6636.6215096262749</v>
      </c>
      <c r="AR465" s="10">
        <f t="shared" ca="1" si="647"/>
        <v>2674.0180372739928</v>
      </c>
      <c r="AS465" s="10">
        <f t="shared" ca="1" si="647"/>
        <v>15425.083450118162</v>
      </c>
      <c r="AT465" s="10">
        <f t="shared" ca="1" si="647"/>
        <v>4561.8602644417642</v>
      </c>
      <c r="AU465" s="10">
        <f t="shared" ca="1" si="647"/>
        <v>14711.762216757057</v>
      </c>
      <c r="AV465" s="10">
        <f t="shared" ca="1" si="647"/>
        <v>23869.279617128472</v>
      </c>
      <c r="AW465" s="10">
        <f t="shared" ca="1" si="647"/>
        <v>8296.8131118661986</v>
      </c>
      <c r="AX465" s="10">
        <f ca="1">SUM(AQ465:AW465)</f>
        <v>76175.438207211919</v>
      </c>
      <c r="AZ465" s="10">
        <f t="shared" ref="AZ465:BF465" ca="1" si="648">AZ463*$BG458/$BG456</f>
        <v>4660.6955893158047</v>
      </c>
      <c r="BA465" s="10">
        <f t="shared" ca="1" si="648"/>
        <v>844.28471291890469</v>
      </c>
      <c r="BB465" s="10">
        <f t="shared" ca="1" si="648"/>
        <v>4865.6179097474987</v>
      </c>
      <c r="BC465" s="10">
        <f t="shared" ca="1" si="648"/>
        <v>1552.1261722840434</v>
      </c>
      <c r="BD465" s="10">
        <f t="shared" ca="1" si="648"/>
        <v>6433.824186804497</v>
      </c>
      <c r="BE465" s="10">
        <f t="shared" ca="1" si="648"/>
        <v>13870.357764093958</v>
      </c>
      <c r="BF465" s="10">
        <f t="shared" ca="1" si="648"/>
        <v>5456.621169407671</v>
      </c>
      <c r="BG465" s="10">
        <f ca="1">SUM(AZ465:BF465)</f>
        <v>37683.527504572376</v>
      </c>
      <c r="BI465" s="10">
        <f t="shared" ref="BI465:BO465" ca="1" si="649">BI463*$BP458/$BP456</f>
        <v>1483.077558771326</v>
      </c>
      <c r="BJ465" s="10">
        <f t="shared" ca="1" si="649"/>
        <v>268.6594065087898</v>
      </c>
      <c r="BK465" s="10">
        <f t="shared" ca="1" si="649"/>
        <v>1548.2857855047537</v>
      </c>
      <c r="BL465" s="10">
        <f t="shared" ca="1" si="649"/>
        <v>493.90127511718185</v>
      </c>
      <c r="BM465" s="10">
        <f t="shared" ca="1" si="649"/>
        <v>2047.3039025341454</v>
      </c>
      <c r="BN465" s="10">
        <f t="shared" ca="1" si="649"/>
        <v>4413.6794471653502</v>
      </c>
      <c r="BO465" s="10">
        <f t="shared" ca="1" si="649"/>
        <v>1736.3486303667964</v>
      </c>
      <c r="BP465" s="10">
        <f ca="1">SUM(BI465:BO465)</f>
        <v>11991.256005968342</v>
      </c>
    </row>
    <row r="466" spans="2:68" ht="13.2" customHeight="1">
      <c r="B466" s="309" t="str">
        <f>CONCATENATE("Each fig. in column blocks to right prorates pre-toll # of exits, in Row ",O463,", by ratio of (i) sum of post-tolls entries for trip type, in Row ",O458," , to (ii) sum of pre-tolls entries for trip type, in Row ",O456,".")</f>
        <v>Each fig. in column blocks to right prorates pre-toll # of exits, in Row 463, by ratio of (i) sum of post-tolls entries for trip type, in Row 458 , to (ii) sum of pre-tolls entries for trip type, in Row 456.</v>
      </c>
      <c r="C466" s="309"/>
      <c r="D466" s="309"/>
      <c r="E466" s="309"/>
      <c r="F466" s="309"/>
      <c r="G466" s="1122"/>
      <c r="H466" s="1122"/>
      <c r="I466" s="1122"/>
      <c r="J466" s="1122"/>
      <c r="K466" s="1122"/>
      <c r="L466" s="1122"/>
      <c r="M466" s="1122"/>
      <c r="O466" s="39">
        <f>ROW()</f>
        <v>466</v>
      </c>
    </row>
    <row r="467" spans="2:68" ht="13.2" customHeight="1">
      <c r="B467" s="280" t="s">
        <v>1010</v>
      </c>
      <c r="G467" s="1122">
        <f t="shared" ref="G467:M467" ca="1" si="650">P467+Y467+AH467+AQ467+AZ467+BI467</f>
        <v>107946.98371596457</v>
      </c>
      <c r="H467" s="1122">
        <f t="shared" ca="1" si="650"/>
        <v>21762.281014170632</v>
      </c>
      <c r="I467" s="1122">
        <f t="shared" ca="1" si="650"/>
        <v>125438.20915848621</v>
      </c>
      <c r="J467" s="1122">
        <f t="shared" ca="1" si="650"/>
        <v>39476.551778200257</v>
      </c>
      <c r="K467" s="1122">
        <f t="shared" ca="1" si="650"/>
        <v>157340.07609004094</v>
      </c>
      <c r="L467" s="1122">
        <f t="shared" ca="1" si="650"/>
        <v>327430.94925917004</v>
      </c>
      <c r="M467" s="1122">
        <f t="shared" ca="1" si="650"/>
        <v>127171.76469464865</v>
      </c>
      <c r="N467" s="186">
        <f ca="1">SUM(G467:M467)</f>
        <v>906566.81571068137</v>
      </c>
      <c r="O467" s="39">
        <f>ROW()</f>
        <v>467</v>
      </c>
      <c r="P467" s="10">
        <f t="shared" ref="P467:V467" ca="1" si="651">P465*$I$85</f>
        <v>35770.690882338866</v>
      </c>
      <c r="Q467" s="10">
        <f t="shared" ca="1" si="651"/>
        <v>6479.858403912589</v>
      </c>
      <c r="R467" s="10">
        <f t="shared" ca="1" si="651"/>
        <v>37343.463194664422</v>
      </c>
      <c r="S467" s="10">
        <f t="shared" ca="1" si="651"/>
        <v>11912.519162683791</v>
      </c>
      <c r="T467" s="10">
        <f t="shared" ca="1" si="651"/>
        <v>49379.396651666764</v>
      </c>
      <c r="U467" s="10">
        <f t="shared" ca="1" si="651"/>
        <v>106454.55608476877</v>
      </c>
      <c r="V467" s="10">
        <f t="shared" ca="1" si="651"/>
        <v>41879.394475012668</v>
      </c>
      <c r="W467" s="10">
        <f ca="1">SUM(P467:V467)</f>
        <v>289219.87885504786</v>
      </c>
      <c r="Y467" s="10">
        <f t="shared" ref="Y467:AE467" ca="1" si="652">Y465*$J$85</f>
        <v>26582.330932675257</v>
      </c>
      <c r="Z467" s="10">
        <f t="shared" ca="1" si="652"/>
        <v>4815.387576836727</v>
      </c>
      <c r="AA467" s="10">
        <f t="shared" ca="1" si="652"/>
        <v>27751.107745667396</v>
      </c>
      <c r="AB467" s="10">
        <f t="shared" ca="1" si="652"/>
        <v>8852.5694867314578</v>
      </c>
      <c r="AC467" s="10">
        <f t="shared" ca="1" si="652"/>
        <v>36695.3902950341</v>
      </c>
      <c r="AD467" s="10">
        <f t="shared" ca="1" si="652"/>
        <v>79109.745138680853</v>
      </c>
      <c r="AE467" s="10">
        <f t="shared" ca="1" si="652"/>
        <v>31121.901638877396</v>
      </c>
      <c r="AF467" s="10">
        <f ca="1">SUM(Y467:AE467)</f>
        <v>214928.43281450321</v>
      </c>
      <c r="AH467" s="10">
        <f t="shared" ref="AH467:AO467" ca="1" si="653">AH465*$K$85</f>
        <v>18690.787751020951</v>
      </c>
      <c r="AI467" s="10">
        <f t="shared" ca="1" si="653"/>
        <v>3385.8350257360348</v>
      </c>
      <c r="AJ467" s="10">
        <f t="shared" ca="1" si="653"/>
        <v>19512.587742725143</v>
      </c>
      <c r="AK467" s="10">
        <f t="shared" ca="1" si="653"/>
        <v>6224.4916650358628</v>
      </c>
      <c r="AL467" s="10">
        <f t="shared" ca="1" si="653"/>
        <v>25801.56545272272</v>
      </c>
      <c r="AM467" s="10">
        <f t="shared" ca="1" si="653"/>
        <v>55624.2964234151</v>
      </c>
      <c r="AN467" s="10">
        <f t="shared" ca="1" si="653"/>
        <v>21882.688144002677</v>
      </c>
      <c r="AO467" s="10">
        <f t="shared" ca="1" si="653"/>
        <v>151122.25220465846</v>
      </c>
      <c r="AQ467" s="10">
        <f ca="1">AQ465*$L$85*Taxis!$L$130</f>
        <v>9954.9322644394124</v>
      </c>
      <c r="AR467" s="10">
        <f ca="1">AR465*$L$85*Taxis!$L$130</f>
        <v>4011.0270559109895</v>
      </c>
      <c r="AS467" s="10">
        <f ca="1">AS465*$L$85*Taxis!$L$130</f>
        <v>23137.625175177243</v>
      </c>
      <c r="AT467" s="10">
        <f ca="1">AT465*$L$85*Taxis!$L$130</f>
        <v>6842.7903966626463</v>
      </c>
      <c r="AU467" s="10">
        <f ca="1">AU465*$L$85*Taxis!$L$130</f>
        <v>22067.643325135585</v>
      </c>
      <c r="AV467" s="10">
        <f ca="1">AV465*$L$85*Taxis!$L$130</f>
        <v>35803.919425692708</v>
      </c>
      <c r="AW467" s="10">
        <f ca="1">AW465*$L$85*Taxis!$L$130</f>
        <v>12445.219667799298</v>
      </c>
      <c r="AX467" s="10">
        <f ca="1">SUM(AQ467:AW467)</f>
        <v>114263.15731081789</v>
      </c>
      <c r="AZ467" s="10">
        <f t="shared" ref="AZ467:BF467" ca="1" si="654">AZ465*$M$85</f>
        <v>13982.086767947414</v>
      </c>
      <c r="BA467" s="10">
        <f t="shared" ca="1" si="654"/>
        <v>2532.8541387567138</v>
      </c>
      <c r="BB467" s="10">
        <f t="shared" ca="1" si="654"/>
        <v>14596.853729242495</v>
      </c>
      <c r="BC467" s="10">
        <f t="shared" ca="1" si="654"/>
        <v>4656.3785168521299</v>
      </c>
      <c r="BD467" s="10">
        <f t="shared" ca="1" si="654"/>
        <v>19301.472560413491</v>
      </c>
      <c r="BE467" s="10">
        <f t="shared" ca="1" si="654"/>
        <v>41611.073292281872</v>
      </c>
      <c r="BF467" s="10">
        <f t="shared" ca="1" si="654"/>
        <v>16369.863508223014</v>
      </c>
      <c r="BG467" s="10">
        <f ca="1">SUM(AZ467:BF467)</f>
        <v>113050.58251371713</v>
      </c>
      <c r="BI467" s="10">
        <f t="shared" ref="BI467:BO467" ca="1" si="655">BI465*$N$85</f>
        <v>2966.1551175426521</v>
      </c>
      <c r="BJ467" s="10">
        <f t="shared" ca="1" si="655"/>
        <v>537.3188130175796</v>
      </c>
      <c r="BK467" s="10">
        <f t="shared" ca="1" si="655"/>
        <v>3096.5715710095074</v>
      </c>
      <c r="BL467" s="10">
        <f t="shared" ca="1" si="655"/>
        <v>987.80255023436371</v>
      </c>
      <c r="BM467" s="10">
        <f t="shared" ca="1" si="655"/>
        <v>4094.6078050682909</v>
      </c>
      <c r="BN467" s="10">
        <f t="shared" ca="1" si="655"/>
        <v>8827.3588943307004</v>
      </c>
      <c r="BO467" s="10">
        <f t="shared" ca="1" si="655"/>
        <v>3472.6972607335929</v>
      </c>
      <c r="BP467" s="10">
        <f ca="1">SUM(BI467:BO467)</f>
        <v>23982.512011936684</v>
      </c>
    </row>
    <row r="468" spans="2:68" ht="13.2" customHeight="1">
      <c r="B468" s="309" t="str">
        <f>CONCATENATE("Figures in Row ",O467, " are product of trips in Row ",O465, " and CBD miles for that trip type in Row ",O85, " (see column blocks to right).")</f>
        <v>Figures in Row 467 are product of trips in Row 465 and CBD miles for that trip type in Row 85 (see column blocks to right).</v>
      </c>
      <c r="G468" s="1122"/>
      <c r="H468" s="1122"/>
      <c r="I468" s="1122"/>
      <c r="J468" s="1122"/>
      <c r="K468" s="1122"/>
      <c r="L468" s="1122"/>
      <c r="M468" s="1122"/>
      <c r="N468" s="186"/>
      <c r="O468" s="39">
        <f>ROW()</f>
        <v>468</v>
      </c>
      <c r="P468" s="10"/>
      <c r="Q468" s="10"/>
      <c r="R468" s="10"/>
      <c r="S468" s="10"/>
      <c r="T468" s="10"/>
      <c r="U468" s="10"/>
      <c r="V468" s="10"/>
      <c r="W468" s="10"/>
      <c r="Y468" s="10"/>
      <c r="Z468" s="10"/>
      <c r="AA468" s="10"/>
      <c r="AB468" s="10"/>
      <c r="AC468" s="10"/>
      <c r="AD468" s="10"/>
      <c r="AE468" s="10"/>
      <c r="AF468" s="10"/>
      <c r="AH468" s="10"/>
      <c r="AI468" s="10"/>
      <c r="AJ468" s="10"/>
      <c r="AK468" s="10"/>
      <c r="AL468" s="10"/>
      <c r="AM468" s="10"/>
      <c r="AN468" s="10"/>
      <c r="AO468" s="10"/>
      <c r="AQ468"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468" s="10"/>
      <c r="AS468" s="10"/>
      <c r="AT468" s="10"/>
      <c r="AU468" s="10"/>
      <c r="AV468" s="10"/>
      <c r="AW468" s="10"/>
      <c r="AX468" s="10"/>
      <c r="AZ468" s="10"/>
      <c r="BA468" s="10"/>
      <c r="BB468" s="10"/>
      <c r="BC468" s="10"/>
      <c r="BD468" s="10"/>
      <c r="BE468" s="10"/>
      <c r="BF468" s="10"/>
      <c r="BG468" s="10"/>
      <c r="BI468" s="10"/>
      <c r="BJ468" s="10"/>
      <c r="BK468" s="10"/>
      <c r="BL468" s="10"/>
      <c r="BM468" s="10"/>
      <c r="BN468" s="10"/>
      <c r="BO468" s="10"/>
      <c r="BP468" s="10"/>
    </row>
    <row r="469" spans="2:68" ht="13.2" customHeight="1">
      <c r="B469" s="280"/>
      <c r="G469" s="1122"/>
      <c r="H469" s="1122"/>
      <c r="I469" s="1122"/>
      <c r="J469" s="1122"/>
      <c r="K469" s="1122"/>
      <c r="L469" s="1122"/>
      <c r="M469" s="1122"/>
      <c r="N469" s="186"/>
      <c r="O469" s="39">
        <f>ROW()</f>
        <v>469</v>
      </c>
      <c r="P469" s="10"/>
      <c r="Q469" s="10"/>
      <c r="R469" s="10"/>
      <c r="S469" s="10"/>
      <c r="T469" s="10"/>
      <c r="U469" s="10"/>
      <c r="V469" s="10"/>
      <c r="W469" s="10"/>
      <c r="Y469" s="10"/>
      <c r="Z469" s="10"/>
      <c r="AA469" s="10"/>
      <c r="AB469" s="10"/>
      <c r="AC469" s="10"/>
      <c r="AD469" s="10"/>
      <c r="AE469" s="10"/>
      <c r="AF469" s="10"/>
      <c r="AH469" s="10"/>
      <c r="AI469" s="10"/>
      <c r="AJ469" s="10"/>
      <c r="AK469" s="10"/>
      <c r="AL469" s="10"/>
      <c r="AM469" s="10"/>
      <c r="AN469" s="10"/>
      <c r="AO469" s="10"/>
      <c r="AQ469" s="282"/>
      <c r="AR469" s="10"/>
      <c r="AS469" s="10"/>
      <c r="AT469" s="10"/>
      <c r="AU469" s="10"/>
      <c r="AV469" s="10"/>
      <c r="AW469" s="10"/>
      <c r="AX469" s="10"/>
      <c r="AZ469" s="10"/>
      <c r="BA469" s="10"/>
      <c r="BB469" s="10"/>
      <c r="BC469" s="10"/>
      <c r="BD469" s="10"/>
      <c r="BE469" s="10"/>
      <c r="BF469" s="10"/>
      <c r="BG469" s="10"/>
      <c r="BI469" s="10"/>
      <c r="BJ469" s="10"/>
      <c r="BK469" s="10"/>
      <c r="BL469" s="10"/>
      <c r="BM469" s="10"/>
      <c r="BN469" s="10"/>
      <c r="BO469" s="10"/>
      <c r="BP469" s="10"/>
    </row>
    <row r="470" spans="2:68" ht="13.2" customHeight="1">
      <c r="B470" s="308" t="s">
        <v>2760</v>
      </c>
      <c r="G470" s="1122"/>
      <c r="H470" s="1122"/>
      <c r="I470" s="1122"/>
      <c r="J470" s="1122"/>
      <c r="K470" s="1122"/>
      <c r="L470" s="1122"/>
      <c r="M470" s="1122"/>
      <c r="O470" s="39">
        <f>ROW()</f>
        <v>470</v>
      </c>
      <c r="P470" s="309" t="str">
        <f>CONCATENATE("Figs. in Row ",O471, " repeat figs. for same column in Row ",$O$143, "; figs. in Row ",O472, " multiply those figs. by intra-cordon rebound factor in Row ",O442,".")</f>
        <v>Figs. in Row 471 repeat figs. for same column in Row 143; figs. in Row 472 multiply those figs. by intra-cordon rebound factor in Row 442.</v>
      </c>
      <c r="AQ470" s="265" t="str">
        <f>CONCATENATE("Row ",O472, " figures are set equal to ",O471, " figures, since rebound effects are presumed accounted for by taxi time-elasticity.")</f>
        <v>Row 472 figures are set equal to 471 figures, since rebound effects are presumed accounted for by taxi time-elasticity.</v>
      </c>
    </row>
    <row r="471" spans="2:68" s="1122" customFormat="1" ht="13.2" customHeight="1">
      <c r="B471" s="1194" t="s">
        <v>1048</v>
      </c>
      <c r="G471" s="1122">
        <f t="shared" ref="G471:M473" si="656">P471+Y471+AH471+AQ471+AZ471+BI471</f>
        <v>234149.17670502764</v>
      </c>
      <c r="H471" s="1122">
        <f t="shared" si="656"/>
        <v>29285.525609529766</v>
      </c>
      <c r="I471" s="1122">
        <f t="shared" si="656"/>
        <v>190274.81298526376</v>
      </c>
      <c r="J471" s="1122">
        <f t="shared" si="656"/>
        <v>68550.769632835931</v>
      </c>
      <c r="K471" s="1122">
        <f t="shared" si="656"/>
        <v>250107.28571256585</v>
      </c>
      <c r="L471" s="1122">
        <f t="shared" si="656"/>
        <v>429319.46194820711</v>
      </c>
      <c r="M471" s="1122">
        <f t="shared" si="656"/>
        <v>212713.3780485593</v>
      </c>
      <c r="N471" s="1127">
        <f>SUM(G471:M471)</f>
        <v>1414400.4106419892</v>
      </c>
      <c r="O471" s="39">
        <f>ROW()</f>
        <v>471</v>
      </c>
      <c r="P471" s="1122">
        <f>P143</f>
        <v>9816.2603201400798</v>
      </c>
      <c r="Q471" s="1122">
        <f t="shared" ref="Q471:V471" si="657">Q143</f>
        <v>2677.9237156949393</v>
      </c>
      <c r="R471" s="1122">
        <f t="shared" si="657"/>
        <v>15441.877503783762</v>
      </c>
      <c r="S471" s="1122">
        <f t="shared" si="657"/>
        <v>4706.6527921174766</v>
      </c>
      <c r="T471" s="1122">
        <f t="shared" si="657"/>
        <v>16943.679337149591</v>
      </c>
      <c r="U471" s="1122">
        <f t="shared" si="657"/>
        <v>31731.108434467278</v>
      </c>
      <c r="V471" s="1122">
        <f t="shared" si="657"/>
        <v>11814.673283111471</v>
      </c>
      <c r="W471" s="1122">
        <f>SUM(P471:V471)</f>
        <v>93132.175386464602</v>
      </c>
      <c r="Y471" s="1122">
        <f t="shared" ref="Y471:AE471" si="658">Y143</f>
        <v>6904.1637549777151</v>
      </c>
      <c r="Z471" s="1122">
        <f t="shared" si="658"/>
        <v>1883.4895625743152</v>
      </c>
      <c r="AA471" s="1122">
        <f t="shared" si="658"/>
        <v>10860.882606351683</v>
      </c>
      <c r="AB471" s="1122">
        <f t="shared" si="658"/>
        <v>3310.3748835929837</v>
      </c>
      <c r="AC471" s="1122">
        <f t="shared" si="658"/>
        <v>11917.159176748857</v>
      </c>
      <c r="AD471" s="1122">
        <f t="shared" si="658"/>
        <v>22317.742359484451</v>
      </c>
      <c r="AE471" s="1122">
        <f t="shared" si="658"/>
        <v>8309.7265555196445</v>
      </c>
      <c r="AF471" s="1122">
        <f>SUM(Y471:AE471)</f>
        <v>65503.538899249645</v>
      </c>
      <c r="AH471" s="1122">
        <f t="shared" ref="AH471:AN471" si="659">AH143</f>
        <v>0</v>
      </c>
      <c r="AI471" s="1122">
        <f t="shared" si="659"/>
        <v>0</v>
      </c>
      <c r="AJ471" s="1122">
        <f t="shared" si="659"/>
        <v>0</v>
      </c>
      <c r="AK471" s="1122">
        <f t="shared" si="659"/>
        <v>0</v>
      </c>
      <c r="AL471" s="1122">
        <f t="shared" si="659"/>
        <v>0</v>
      </c>
      <c r="AM471" s="1122">
        <f t="shared" si="659"/>
        <v>0</v>
      </c>
      <c r="AN471" s="1122">
        <f t="shared" si="659"/>
        <v>0</v>
      </c>
      <c r="AO471" s="1122">
        <f>SUM(AH471:AN471)</f>
        <v>0</v>
      </c>
      <c r="AQ471" s="1122">
        <f t="shared" ref="AQ471:AW471" si="660">AQ143</f>
        <v>210187.34459974329</v>
      </c>
      <c r="AR471" s="1122">
        <f t="shared" si="660"/>
        <v>22748.620884765332</v>
      </c>
      <c r="AS471" s="1122">
        <f t="shared" si="660"/>
        <v>152580.65410310062</v>
      </c>
      <c r="AT471" s="1122">
        <f t="shared" si="660"/>
        <v>57061.666827443201</v>
      </c>
      <c r="AU471" s="1122">
        <f t="shared" si="660"/>
        <v>208747.17643657626</v>
      </c>
      <c r="AV471" s="1122">
        <f t="shared" si="660"/>
        <v>351862.72506223724</v>
      </c>
      <c r="AW471" s="1122">
        <f t="shared" si="660"/>
        <v>183873.35054767228</v>
      </c>
      <c r="AX471" s="1122">
        <f>SUM(AQ471:AW471)</f>
        <v>1187061.5384615383</v>
      </c>
      <c r="AZ471" s="1122">
        <f t="shared" ref="AZ471:BF471" si="661">AZ143</f>
        <v>4831.5995112105902</v>
      </c>
      <c r="BA471" s="1122">
        <f t="shared" si="661"/>
        <v>1318.0839233923532</v>
      </c>
      <c r="BB471" s="1122">
        <f t="shared" si="661"/>
        <v>7600.549024395752</v>
      </c>
      <c r="BC471" s="1122">
        <f t="shared" si="661"/>
        <v>2316.631852475999</v>
      </c>
      <c r="BD471" s="1122">
        <f t="shared" si="661"/>
        <v>8339.7414222520019</v>
      </c>
      <c r="BE471" s="1122">
        <f t="shared" si="661"/>
        <v>15618.168528761524</v>
      </c>
      <c r="BF471" s="1122">
        <f t="shared" si="661"/>
        <v>5815.2257375117779</v>
      </c>
      <c r="BG471" s="1122">
        <f>SUM(AZ471:BF471)</f>
        <v>45840</v>
      </c>
      <c r="BI471" s="1122">
        <f t="shared" ref="BI471:BO471" si="662">BI143</f>
        <v>2409.808518955957</v>
      </c>
      <c r="BJ471" s="1122">
        <f t="shared" si="662"/>
        <v>657.4075231028271</v>
      </c>
      <c r="BK471" s="1122">
        <f t="shared" si="662"/>
        <v>3790.8497476319408</v>
      </c>
      <c r="BL471" s="1122">
        <f t="shared" si="662"/>
        <v>1155.4432772062712</v>
      </c>
      <c r="BM471" s="1122">
        <f t="shared" si="662"/>
        <v>4159.5293398391086</v>
      </c>
      <c r="BN471" s="1122">
        <f t="shared" si="662"/>
        <v>7789.7175632566441</v>
      </c>
      <c r="BO471" s="1122">
        <f t="shared" si="662"/>
        <v>2900.4019247440947</v>
      </c>
      <c r="BP471" s="1122">
        <f>SUM(BI471:BO471)</f>
        <v>22863.157894736843</v>
      </c>
    </row>
    <row r="472" spans="2:68" s="1122" customFormat="1" ht="13.2" customHeight="1">
      <c r="B472" s="1194" t="s">
        <v>1049</v>
      </c>
      <c r="D472" s="4359" t="s">
        <v>896</v>
      </c>
      <c r="E472" s="4151"/>
      <c r="F472" s="4152"/>
      <c r="G472" s="1122">
        <f t="shared" ca="1" si="656"/>
        <v>234164.39438539388</v>
      </c>
      <c r="H472" s="1122">
        <f t="shared" ca="1" si="656"/>
        <v>29514.230647637083</v>
      </c>
      <c r="I472" s="1122">
        <f t="shared" ca="1" si="656"/>
        <v>200345.45940574462</v>
      </c>
      <c r="J472" s="1122">
        <f t="shared" ca="1" si="656"/>
        <v>71131.272751832294</v>
      </c>
      <c r="K472" s="1122">
        <f t="shared" ca="1" si="656"/>
        <v>255547.53336853447</v>
      </c>
      <c r="L472" s="1122">
        <f t="shared" ca="1" si="656"/>
        <v>448577.35749028396</v>
      </c>
      <c r="M472" s="1122">
        <f t="shared" ca="1" si="656"/>
        <v>217141.08276966494</v>
      </c>
      <c r="N472" s="1127">
        <f ca="1">SUM(G472:M472)</f>
        <v>1456421.3308190913</v>
      </c>
      <c r="O472" s="39">
        <f>ROW()</f>
        <v>472</v>
      </c>
      <c r="P472" s="1122">
        <f t="shared" ref="P472:V472" ca="1" si="663">P471*P442</f>
        <v>9895.9859482948214</v>
      </c>
      <c r="Q472" s="1122">
        <f t="shared" ca="1" si="663"/>
        <v>2813.1132886268324</v>
      </c>
      <c r="R472" s="1122">
        <f t="shared" ca="1" si="663"/>
        <v>20694.507649891111</v>
      </c>
      <c r="S472" s="1122">
        <f t="shared" ca="1" si="663"/>
        <v>6055.8664541132694</v>
      </c>
      <c r="T472" s="1122">
        <f t="shared" ca="1" si="663"/>
        <v>19828.715703444701</v>
      </c>
      <c r="U472" s="1122">
        <f t="shared" ca="1" si="663"/>
        <v>41784.617959813397</v>
      </c>
      <c r="V472" s="1122">
        <f t="shared" ca="1" si="663"/>
        <v>14150.418471264797</v>
      </c>
      <c r="W472" s="1122">
        <f ca="1">SUM(P472:V472)</f>
        <v>115223.22547544893</v>
      </c>
      <c r="Y472" s="1122">
        <f t="shared" ref="Y472:AE472" ca="1" si="664">Y471*Y442</f>
        <v>6960.237939473358</v>
      </c>
      <c r="Z472" s="1122">
        <f t="shared" ca="1" si="664"/>
        <v>1978.5737309894794</v>
      </c>
      <c r="AA472" s="1122">
        <f t="shared" ca="1" si="664"/>
        <v>14555.264936316231</v>
      </c>
      <c r="AB472" s="1122">
        <f t="shared" ca="1" si="664"/>
        <v>4259.3301638192088</v>
      </c>
      <c r="AC472" s="1122">
        <f t="shared" ca="1" si="664"/>
        <v>13946.319250173139</v>
      </c>
      <c r="AD472" s="1122">
        <f t="shared" ca="1" si="664"/>
        <v>29388.772854958042</v>
      </c>
      <c r="AE472" s="1122">
        <f t="shared" ca="1" si="664"/>
        <v>9952.5484391065365</v>
      </c>
      <c r="AF472" s="1122">
        <f ca="1">SUM(Y472:AE472)</f>
        <v>81041.047314835989</v>
      </c>
      <c r="AH472" s="1122">
        <f t="shared" ref="AH472:AN472" ca="1" si="665">AH471*AH442</f>
        <v>0</v>
      </c>
      <c r="AI472" s="1122">
        <f t="shared" ca="1" si="665"/>
        <v>0</v>
      </c>
      <c r="AJ472" s="1122">
        <f t="shared" ca="1" si="665"/>
        <v>0</v>
      </c>
      <c r="AK472" s="1122">
        <f t="shared" ca="1" si="665"/>
        <v>0</v>
      </c>
      <c r="AL472" s="1122">
        <f t="shared" ca="1" si="665"/>
        <v>0</v>
      </c>
      <c r="AM472" s="1122">
        <f t="shared" ca="1" si="665"/>
        <v>0</v>
      </c>
      <c r="AN472" s="1122">
        <f t="shared" ca="1" si="665"/>
        <v>0</v>
      </c>
      <c r="AO472" s="1122">
        <f ca="1">SUM(AH472:AN472)</f>
        <v>0</v>
      </c>
      <c r="AQ472" s="1122">
        <f t="shared" ref="AQ472:AW472" si="666">AQ471</f>
        <v>210187.34459974329</v>
      </c>
      <c r="AR472" s="1122">
        <f t="shared" si="666"/>
        <v>22748.620884765332</v>
      </c>
      <c r="AS472" s="1122">
        <f t="shared" si="666"/>
        <v>152580.65410310062</v>
      </c>
      <c r="AT472" s="1122">
        <f t="shared" si="666"/>
        <v>57061.666827443201</v>
      </c>
      <c r="AU472" s="1122">
        <f t="shared" si="666"/>
        <v>208747.17643657626</v>
      </c>
      <c r="AV472" s="1122">
        <f t="shared" si="666"/>
        <v>351862.72506223724</v>
      </c>
      <c r="AW472" s="1122">
        <f t="shared" si="666"/>
        <v>183873.35054767228</v>
      </c>
      <c r="AX472" s="1122">
        <f>SUM(AQ472:AW472)</f>
        <v>1187061.5384615383</v>
      </c>
      <c r="AZ472" s="1122">
        <f t="shared" ref="AZ472:BF472" ca="1" si="667">AZ471*AZ442</f>
        <v>4762.5161863652111</v>
      </c>
      <c r="BA472" s="1122">
        <f t="shared" ca="1" si="667"/>
        <v>1317.1865023916996</v>
      </c>
      <c r="BB472" s="1122">
        <f t="shared" ca="1" si="667"/>
        <v>8237.6720482552482</v>
      </c>
      <c r="BC472" s="1122">
        <f t="shared" ca="1" si="667"/>
        <v>2476.9634660652828</v>
      </c>
      <c r="BD472" s="1122">
        <f t="shared" ca="1" si="667"/>
        <v>8639.5158928746114</v>
      </c>
      <c r="BE472" s="1122">
        <f t="shared" ca="1" si="667"/>
        <v>16828.614839603786</v>
      </c>
      <c r="BF472" s="1122">
        <f t="shared" ca="1" si="667"/>
        <v>6070.9543714844031</v>
      </c>
      <c r="BG472" s="1122">
        <f ca="1">SUM(AZ472:BF472)</f>
        <v>48333.423307040241</v>
      </c>
      <c r="BI472" s="1122">
        <f t="shared" ref="BI472:BO472" ca="1" si="668">BI471*BI442</f>
        <v>2358.3097115171713</v>
      </c>
      <c r="BJ472" s="1122">
        <f t="shared" ca="1" si="668"/>
        <v>656.73624086374275</v>
      </c>
      <c r="BK472" s="1122">
        <f t="shared" ca="1" si="668"/>
        <v>4277.3606681814272</v>
      </c>
      <c r="BL472" s="1122">
        <f t="shared" ca="1" si="668"/>
        <v>1277.4458403913268</v>
      </c>
      <c r="BM472" s="1122">
        <f t="shared" ca="1" si="668"/>
        <v>4385.8060854657278</v>
      </c>
      <c r="BN472" s="1122">
        <f t="shared" ca="1" si="668"/>
        <v>8712.6267736715272</v>
      </c>
      <c r="BO472" s="1122">
        <f t="shared" ca="1" si="668"/>
        <v>3093.810940136932</v>
      </c>
      <c r="BP472" s="1122">
        <f ca="1">SUM(BI472:BO472)</f>
        <v>24762.096260227856</v>
      </c>
    </row>
    <row r="473" spans="2:68" ht="13.2" customHeight="1">
      <c r="B473" s="957" t="s">
        <v>1880</v>
      </c>
      <c r="D473" s="4164"/>
      <c r="E473" s="4165"/>
      <c r="F473" s="4166"/>
      <c r="G473" s="1122">
        <f t="shared" ca="1" si="656"/>
        <v>15.217680366219611</v>
      </c>
      <c r="H473" s="1122">
        <f t="shared" ca="1" si="656"/>
        <v>228.7050381073193</v>
      </c>
      <c r="I473" s="1122">
        <f t="shared" ca="1" si="656"/>
        <v>10070.64642048088</v>
      </c>
      <c r="J473" s="1122">
        <f t="shared" ca="1" si="656"/>
        <v>2580.5031189963574</v>
      </c>
      <c r="K473" s="1122">
        <f t="shared" ca="1" si="656"/>
        <v>5440.2476559686202</v>
      </c>
      <c r="L473" s="1122">
        <f t="shared" ca="1" si="656"/>
        <v>19257.895542076858</v>
      </c>
      <c r="M473" s="1122">
        <f t="shared" ca="1" si="656"/>
        <v>4427.7047211056797</v>
      </c>
      <c r="N473" s="186">
        <f ca="1">W473+AF473+AO473+AX473+BG473+BP473</f>
        <v>42020.920177101922</v>
      </c>
      <c r="O473" s="39">
        <f>ROW()</f>
        <v>473</v>
      </c>
      <c r="P473" s="10">
        <f t="shared" ref="P473:W473" ca="1" si="669">P472-P471</f>
        <v>79.725628154741571</v>
      </c>
      <c r="Q473" s="10">
        <f t="shared" ca="1" si="669"/>
        <v>135.18957293189305</v>
      </c>
      <c r="R473" s="10">
        <f t="shared" ca="1" si="669"/>
        <v>5252.630146107349</v>
      </c>
      <c r="S473" s="10">
        <f t="shared" ca="1" si="669"/>
        <v>1349.2136619957928</v>
      </c>
      <c r="T473" s="10">
        <f t="shared" ca="1" si="669"/>
        <v>2885.0363662951095</v>
      </c>
      <c r="U473" s="10">
        <f t="shared" ca="1" si="669"/>
        <v>10053.509525346119</v>
      </c>
      <c r="V473" s="10">
        <f t="shared" ca="1" si="669"/>
        <v>2335.7451881533252</v>
      </c>
      <c r="W473" s="138">
        <f t="shared" ca="1" si="669"/>
        <v>22091.050088984324</v>
      </c>
      <c r="Y473" s="10">
        <f t="shared" ref="Y473:AF473" ca="1" si="670">Y472-Y471</f>
        <v>56.074184495642839</v>
      </c>
      <c r="Z473" s="10">
        <f t="shared" ca="1" si="670"/>
        <v>95.084168415164186</v>
      </c>
      <c r="AA473" s="10">
        <f t="shared" ca="1" si="670"/>
        <v>3694.3823299645483</v>
      </c>
      <c r="AB473" s="10">
        <f t="shared" ca="1" si="670"/>
        <v>948.95528022622511</v>
      </c>
      <c r="AC473" s="10">
        <f t="shared" ca="1" si="670"/>
        <v>2029.160073424282</v>
      </c>
      <c r="AD473" s="10">
        <f t="shared" ca="1" si="670"/>
        <v>7071.0304954735911</v>
      </c>
      <c r="AE473" s="10">
        <f t="shared" ca="1" si="670"/>
        <v>1642.821883586892</v>
      </c>
      <c r="AF473" s="138">
        <f t="shared" ca="1" si="670"/>
        <v>15537.508415586344</v>
      </c>
      <c r="AH473" s="10">
        <f t="shared" ref="AH473:AO473" ca="1" si="671">AH472-AH471</f>
        <v>0</v>
      </c>
      <c r="AI473" s="10">
        <f t="shared" ca="1" si="671"/>
        <v>0</v>
      </c>
      <c r="AJ473" s="10">
        <f t="shared" ca="1" si="671"/>
        <v>0</v>
      </c>
      <c r="AK473" s="10">
        <f t="shared" ca="1" si="671"/>
        <v>0</v>
      </c>
      <c r="AL473" s="10">
        <f t="shared" ca="1" si="671"/>
        <v>0</v>
      </c>
      <c r="AM473" s="10">
        <f t="shared" ca="1" si="671"/>
        <v>0</v>
      </c>
      <c r="AN473" s="10">
        <f t="shared" ca="1" si="671"/>
        <v>0</v>
      </c>
      <c r="AO473" s="138">
        <f t="shared" ca="1" si="671"/>
        <v>0</v>
      </c>
      <c r="AQ473" s="10">
        <f t="shared" ref="AQ473:AX473" si="672">AQ472-AQ471</f>
        <v>0</v>
      </c>
      <c r="AR473" s="10">
        <f t="shared" si="672"/>
        <v>0</v>
      </c>
      <c r="AS473" s="10">
        <f t="shared" si="672"/>
        <v>0</v>
      </c>
      <c r="AT473" s="10">
        <f t="shared" si="672"/>
        <v>0</v>
      </c>
      <c r="AU473" s="10">
        <f t="shared" si="672"/>
        <v>0</v>
      </c>
      <c r="AV473" s="10">
        <f t="shared" si="672"/>
        <v>0</v>
      </c>
      <c r="AW473" s="10">
        <f t="shared" si="672"/>
        <v>0</v>
      </c>
      <c r="AX473" s="138">
        <f t="shared" si="672"/>
        <v>0</v>
      </c>
      <c r="AZ473" s="10">
        <f t="shared" ref="AZ473:BG473" ca="1" si="673">AZ472-AZ471</f>
        <v>-69.083324845379138</v>
      </c>
      <c r="BA473" s="10">
        <f t="shared" ca="1" si="673"/>
        <v>-0.89742100065359409</v>
      </c>
      <c r="BB473" s="10">
        <f t="shared" ca="1" si="673"/>
        <v>637.12302385949624</v>
      </c>
      <c r="BC473" s="10">
        <f t="shared" ca="1" si="673"/>
        <v>160.33161358928373</v>
      </c>
      <c r="BD473" s="10">
        <f t="shared" ca="1" si="673"/>
        <v>299.77447062260944</v>
      </c>
      <c r="BE473" s="10">
        <f t="shared" ca="1" si="673"/>
        <v>1210.4463108422624</v>
      </c>
      <c r="BF473" s="10">
        <f t="shared" ca="1" si="673"/>
        <v>255.72863397262518</v>
      </c>
      <c r="BG473" s="138">
        <f t="shared" ca="1" si="673"/>
        <v>2493.4233070402406</v>
      </c>
      <c r="BI473" s="10">
        <f t="shared" ref="BI473:BP473" ca="1" si="674">BI472-BI471</f>
        <v>-51.498807438785661</v>
      </c>
      <c r="BJ473" s="10">
        <f t="shared" ca="1" si="674"/>
        <v>-0.67128223908434848</v>
      </c>
      <c r="BK473" s="10">
        <f t="shared" ca="1" si="674"/>
        <v>486.5109205494864</v>
      </c>
      <c r="BL473" s="10">
        <f t="shared" ca="1" si="674"/>
        <v>122.00256318505558</v>
      </c>
      <c r="BM473" s="10">
        <f t="shared" ca="1" si="674"/>
        <v>226.27674562661923</v>
      </c>
      <c r="BN473" s="10">
        <f t="shared" ca="1" si="674"/>
        <v>922.90921041488309</v>
      </c>
      <c r="BO473" s="10">
        <f t="shared" ca="1" si="674"/>
        <v>193.40901539283732</v>
      </c>
      <c r="BP473" s="138">
        <f t="shared" ca="1" si="674"/>
        <v>1898.9383654910125</v>
      </c>
    </row>
    <row r="474" spans="2:68" ht="13.2" customHeight="1">
      <c r="G474" s="1122"/>
      <c r="H474" s="1122"/>
      <c r="I474" s="1122"/>
      <c r="J474" s="1122"/>
      <c r="K474" s="1122"/>
      <c r="L474" s="1122"/>
      <c r="M474" s="1122"/>
      <c r="N474" s="186"/>
      <c r="O474" s="39">
        <f>ROW()</f>
        <v>474</v>
      </c>
      <c r="P474" s="309" t="str">
        <f>CONCATENATE("Figs. in Row ",O475, " repeat figs. for same column in Row ",O383, ".")</f>
        <v>Figs. in Row 475 repeat figs. for same column in Row 383.</v>
      </c>
      <c r="AQ474" s="265" t="str">
        <f>CONCATENATE("Row ",O476, " figures are set equal to ",O475, " figures, since rebound effects are presumed accounted for by taxi time-elasticity.")</f>
        <v>Row 476 figures are set equal to 475 figures, since rebound effects are presumed accounted for by taxi time-elasticity.</v>
      </c>
    </row>
    <row r="475" spans="2:68" ht="13.2" customHeight="1">
      <c r="B475" s="308" t="s">
        <v>1050</v>
      </c>
      <c r="G475" s="1122">
        <f t="shared" ref="G475:N476" ca="1" si="675">P475+Y475+AH475+AQ475+AZ475+BI475</f>
        <v>424891.75106370461</v>
      </c>
      <c r="H475" s="1122">
        <f t="shared" ca="1" si="675"/>
        <v>71749.633393758981</v>
      </c>
      <c r="I475" s="1122">
        <f t="shared" ca="1" si="675"/>
        <v>462834.79320965288</v>
      </c>
      <c r="J475" s="1122">
        <f t="shared" ca="1" si="675"/>
        <v>152090.48549576983</v>
      </c>
      <c r="K475" s="1122">
        <f t="shared" ca="1" si="675"/>
        <v>564326.13204936415</v>
      </c>
      <c r="L475" s="1122">
        <f t="shared" ca="1" si="675"/>
        <v>990272.58332400629</v>
      </c>
      <c r="M475" s="1122">
        <f t="shared" ca="1" si="675"/>
        <v>419531.23415736505</v>
      </c>
      <c r="N475" s="186">
        <f t="shared" ca="1" si="675"/>
        <v>3085696.6126936218</v>
      </c>
      <c r="O475" s="39">
        <f>ROW()</f>
        <v>475</v>
      </c>
      <c r="P475" s="10">
        <f ca="1">P383</f>
        <v>52674.990438536814</v>
      </c>
      <c r="Q475" s="10">
        <f t="shared" ref="Q475:V475" ca="1" si="676">Q383</f>
        <v>19237.115998887177</v>
      </c>
      <c r="R475" s="10">
        <f t="shared" ca="1" si="676"/>
        <v>121103.20523707273</v>
      </c>
      <c r="S475" s="10">
        <f t="shared" ca="1" si="676"/>
        <v>32461.870134888213</v>
      </c>
      <c r="T475" s="10">
        <f t="shared" ca="1" si="676"/>
        <v>112644.60743232549</v>
      </c>
      <c r="U475" s="10">
        <f t="shared" ca="1" si="676"/>
        <v>178825.08939810094</v>
      </c>
      <c r="V475" s="10">
        <f t="shared" ca="1" si="676"/>
        <v>63845.892443755831</v>
      </c>
      <c r="W475" s="10">
        <f ca="1">SUM(P475:V475)</f>
        <v>580792.77108356729</v>
      </c>
      <c r="Y475" s="10">
        <f ca="1">Y383</f>
        <v>49912.460906025211</v>
      </c>
      <c r="Z475" s="10">
        <f t="shared" ref="Z475:AE475" ca="1" si="677">Z383</f>
        <v>7073.9394756405809</v>
      </c>
      <c r="AA475" s="10">
        <f t="shared" ca="1" si="677"/>
        <v>48183.634778445223</v>
      </c>
      <c r="AB475" s="10">
        <f t="shared" ca="1" si="677"/>
        <v>19523.69033130147</v>
      </c>
      <c r="AC475" s="10">
        <f t="shared" ca="1" si="677"/>
        <v>80567.58963475372</v>
      </c>
      <c r="AD475" s="10">
        <f t="shared" ca="1" si="677"/>
        <v>166108.21092447877</v>
      </c>
      <c r="AE475" s="10">
        <f t="shared" ca="1" si="677"/>
        <v>58279.301283703593</v>
      </c>
      <c r="AF475" s="10">
        <f ca="1">SUM(Y475:AE475)</f>
        <v>429648.82733434858</v>
      </c>
      <c r="AH475" s="10">
        <f>AH383</f>
        <v>45823.47436439593</v>
      </c>
      <c r="AI475" s="10">
        <f t="shared" ref="AI475:AN475" si="678">AI383</f>
        <v>4156.6902188952608</v>
      </c>
      <c r="AJ475" s="10">
        <f t="shared" si="678"/>
        <v>31065.393901346542</v>
      </c>
      <c r="AK475" s="10">
        <f t="shared" si="678"/>
        <v>9621.4208185732823</v>
      </c>
      <c r="AL475" s="10">
        <f t="shared" si="678"/>
        <v>45868.307659955943</v>
      </c>
      <c r="AM475" s="10">
        <f t="shared" si="678"/>
        <v>89871.277904256072</v>
      </c>
      <c r="AN475" s="10">
        <f t="shared" si="678"/>
        <v>37367.782777689514</v>
      </c>
      <c r="AO475" s="10">
        <f>SUM(AH475:AN475)</f>
        <v>263774.34764511255</v>
      </c>
      <c r="AQ475" s="1122">
        <f t="shared" ref="AQ475:AW475" ca="1" si="679">AQ383*(1+$AX$312)</f>
        <v>240050.42598557673</v>
      </c>
      <c r="AR475" s="1122">
        <f t="shared" ca="1" si="679"/>
        <v>32205.005406578308</v>
      </c>
      <c r="AS475" s="1122">
        <f t="shared" ca="1" si="679"/>
        <v>208017.98164423773</v>
      </c>
      <c r="AT475" s="1122">
        <f t="shared" ca="1" si="679"/>
        <v>73953.314528786039</v>
      </c>
      <c r="AU475" s="1122">
        <f t="shared" ca="1" si="679"/>
        <v>264250.20000315504</v>
      </c>
      <c r="AV475" s="1122">
        <f t="shared" ca="1" si="679"/>
        <v>442462.35930972925</v>
      </c>
      <c r="AW475" s="1122">
        <f t="shared" ca="1" si="679"/>
        <v>217925.7664214203</v>
      </c>
      <c r="AX475" s="10">
        <f ca="1">SUM(AQ475:AW475)</f>
        <v>1478865.0532994834</v>
      </c>
      <c r="AZ475" s="10">
        <f ca="1">AZ383</f>
        <v>29059.058331911951</v>
      </c>
      <c r="BA475" s="10">
        <f t="shared" ref="BA475:BF475" ca="1" si="680">BA383</f>
        <v>7238.505956295814</v>
      </c>
      <c r="BB475" s="10">
        <f t="shared" ca="1" si="680"/>
        <v>43437.458967193554</v>
      </c>
      <c r="BC475" s="10">
        <f t="shared" ca="1" si="680"/>
        <v>13183.141863155686</v>
      </c>
      <c r="BD475" s="10">
        <f t="shared" ca="1" si="680"/>
        <v>48643.003444081078</v>
      </c>
      <c r="BE475" s="10">
        <f t="shared" ca="1" si="680"/>
        <v>90160.595975133561</v>
      </c>
      <c r="BF475" s="10">
        <f t="shared" ca="1" si="680"/>
        <v>33604.315256565103</v>
      </c>
      <c r="BG475" s="10">
        <f ca="1">SUM(AZ475:BF475)</f>
        <v>265326.07979433675</v>
      </c>
      <c r="BI475" s="10">
        <f ca="1">BI383</f>
        <v>7371.3410372578674</v>
      </c>
      <c r="BJ475" s="10">
        <f t="shared" ref="BJ475:BO475" ca="1" si="681">BJ383</f>
        <v>1838.3763374618297</v>
      </c>
      <c r="BK475" s="10">
        <f t="shared" ca="1" si="681"/>
        <v>11027.118681357088</v>
      </c>
      <c r="BL475" s="10">
        <f t="shared" ca="1" si="681"/>
        <v>3347.0478190651343</v>
      </c>
      <c r="BM475" s="10">
        <f t="shared" ca="1" si="681"/>
        <v>12352.423875092933</v>
      </c>
      <c r="BN475" s="10">
        <f t="shared" ca="1" si="681"/>
        <v>22845.049812307589</v>
      </c>
      <c r="BO475" s="10">
        <f t="shared" ca="1" si="681"/>
        <v>8508.175974230604</v>
      </c>
      <c r="BP475" s="10">
        <f ca="1">SUM(BI475:BO475)</f>
        <v>67289.533536773044</v>
      </c>
    </row>
    <row r="476" spans="2:68" ht="13.2" customHeight="1">
      <c r="B476" s="308" t="s">
        <v>540</v>
      </c>
      <c r="G476" s="1122">
        <f t="shared" ca="1" si="675"/>
        <v>438411.69588669523</v>
      </c>
      <c r="H476" s="1122">
        <f t="shared" ca="1" si="675"/>
        <v>79910.073436038685</v>
      </c>
      <c r="I476" s="1122">
        <f t="shared" ca="1" si="675"/>
        <v>515318.0123197505</v>
      </c>
      <c r="J476" s="1122">
        <f t="shared" ca="1" si="675"/>
        <v>166629.21231428965</v>
      </c>
      <c r="K476" s="1122">
        <f t="shared" ca="1" si="675"/>
        <v>605818.85463411896</v>
      </c>
      <c r="L476" s="1122">
        <f t="shared" ca="1" si="675"/>
        <v>1077523.2016281234</v>
      </c>
      <c r="M476" s="1122">
        <f t="shared" ca="1" si="675"/>
        <v>449221.11223774683</v>
      </c>
      <c r="N476" s="186">
        <f t="shared" ca="1" si="675"/>
        <v>3332832.1624567634</v>
      </c>
      <c r="O476" s="39">
        <f>ROW()</f>
        <v>476</v>
      </c>
      <c r="P476" s="10">
        <f t="shared" ref="P476:V476" ca="1" si="682">P460+P467+P472</f>
        <v>58281.700049593266</v>
      </c>
      <c r="Q476" s="10">
        <f t="shared" ca="1" si="682"/>
        <v>22870.681210430288</v>
      </c>
      <c r="R476" s="10">
        <f t="shared" ca="1" si="682"/>
        <v>151153.03474749078</v>
      </c>
      <c r="S476" s="10">
        <f t="shared" ca="1" si="682"/>
        <v>39995.314579384314</v>
      </c>
      <c r="T476" s="10">
        <f t="shared" ca="1" si="682"/>
        <v>133114.17923650192</v>
      </c>
      <c r="U476" s="10">
        <f t="shared" ca="1" si="682"/>
        <v>214291.16353629902</v>
      </c>
      <c r="V476" s="10">
        <f t="shared" ca="1" si="682"/>
        <v>73956.909825845112</v>
      </c>
      <c r="W476" s="10">
        <f ca="1">SUM(P476:V476)</f>
        <v>693662.98318554473</v>
      </c>
      <c r="Y476" s="10">
        <f t="shared" ref="Y476:AE476" ca="1" si="683">Y460+Y467+Y472</f>
        <v>55648.173350917743</v>
      </c>
      <c r="Z476" s="10">
        <f t="shared" ca="1" si="683"/>
        <v>8442.7790395242719</v>
      </c>
      <c r="AA476" s="10">
        <f t="shared" ca="1" si="683"/>
        <v>61058.298525734412</v>
      </c>
      <c r="AB476" s="10">
        <f t="shared" ca="1" si="683"/>
        <v>24024.24253553856</v>
      </c>
      <c r="AC476" s="10">
        <f t="shared" ca="1" si="683"/>
        <v>94910.537220315164</v>
      </c>
      <c r="AD476" s="10">
        <f t="shared" ca="1" si="683"/>
        <v>198986.85482827693</v>
      </c>
      <c r="AE476" s="10">
        <f t="shared" ca="1" si="683"/>
        <v>67827.027443535277</v>
      </c>
      <c r="AF476" s="10">
        <f ca="1">SUM(Y476:AE476)</f>
        <v>510897.91294384236</v>
      </c>
      <c r="AH476" s="10">
        <f t="shared" ref="AH476:AN476" ca="1" si="684">AH460+AH467+AH472</f>
        <v>46812.453692550866</v>
      </c>
      <c r="AI476" s="10">
        <f t="shared" ca="1" si="684"/>
        <v>7236.5409300077863</v>
      </c>
      <c r="AJ476" s="10">
        <f t="shared" ca="1" si="684"/>
        <v>37608.97735330087</v>
      </c>
      <c r="AK476" s="10">
        <f t="shared" ca="1" si="684"/>
        <v>11359.072154416051</v>
      </c>
      <c r="AL476" s="10">
        <f t="shared" ca="1" si="684"/>
        <v>50045.275384797278</v>
      </c>
      <c r="AM476" s="10">
        <f t="shared" ca="1" si="684"/>
        <v>103294.20714630964</v>
      </c>
      <c r="AN476" s="10">
        <f t="shared" ca="1" si="684"/>
        <v>45887.977747934478</v>
      </c>
      <c r="AO476" s="10">
        <f ca="1">SUM(AH476:AN476)</f>
        <v>302244.50440931699</v>
      </c>
      <c r="AQ476" s="1122">
        <f t="shared" ref="AQ476:AW476" ca="1" si="685">AQ475</f>
        <v>240050.42598557673</v>
      </c>
      <c r="AR476" s="1122">
        <f t="shared" ca="1" si="685"/>
        <v>32205.005406578308</v>
      </c>
      <c r="AS476" s="1122">
        <f t="shared" ca="1" si="685"/>
        <v>208017.98164423773</v>
      </c>
      <c r="AT476" s="1122">
        <f t="shared" ca="1" si="685"/>
        <v>73953.314528786039</v>
      </c>
      <c r="AU476" s="1122">
        <f t="shared" ca="1" si="685"/>
        <v>264250.20000315504</v>
      </c>
      <c r="AV476" s="1122">
        <f t="shared" ca="1" si="685"/>
        <v>442462.35930972925</v>
      </c>
      <c r="AW476" s="1122">
        <f t="shared" ca="1" si="685"/>
        <v>217925.7664214203</v>
      </c>
      <c r="AX476" s="10">
        <f ca="1">SUM(AQ476:AW476)</f>
        <v>1478865.0532994834</v>
      </c>
      <c r="AZ476" s="10">
        <f t="shared" ref="AZ476:BF476" ca="1" si="686">AZ460+AZ467+AZ472</f>
        <v>29975.926810355028</v>
      </c>
      <c r="BA476" s="10">
        <f t="shared" ca="1" si="686"/>
        <v>7224.3641026840714</v>
      </c>
      <c r="BB476" s="10">
        <f t="shared" ca="1" si="686"/>
        <v>45312.214506855336</v>
      </c>
      <c r="BC476" s="10">
        <f t="shared" ca="1" si="686"/>
        <v>13640.884964861989</v>
      </c>
      <c r="BD476" s="10">
        <f t="shared" ca="1" si="686"/>
        <v>50301.56343752976</v>
      </c>
      <c r="BE476" s="10">
        <f t="shared" ca="1" si="686"/>
        <v>93483.528338800519</v>
      </c>
      <c r="BF476" s="10">
        <f t="shared" ca="1" si="686"/>
        <v>34496.106173387816</v>
      </c>
      <c r="BG476" s="10">
        <f ca="1">SUM(AZ476:BF476)</f>
        <v>274434.58833447448</v>
      </c>
      <c r="BI476" s="10">
        <f t="shared" ref="BI476:BO476" ca="1" si="687">BI460+BI467+BI472</f>
        <v>7643.0159977015164</v>
      </c>
      <c r="BJ476" s="10">
        <f t="shared" ca="1" si="687"/>
        <v>1930.7027468139463</v>
      </c>
      <c r="BK476" s="10">
        <f t="shared" ca="1" si="687"/>
        <v>12167.50554213133</v>
      </c>
      <c r="BL476" s="10">
        <f t="shared" ca="1" si="687"/>
        <v>3656.3835513026934</v>
      </c>
      <c r="BM476" s="10">
        <f t="shared" ca="1" si="687"/>
        <v>13197.099351819772</v>
      </c>
      <c r="BN476" s="10">
        <f t="shared" ca="1" si="687"/>
        <v>25005.088468708203</v>
      </c>
      <c r="BO476" s="10">
        <f t="shared" ca="1" si="687"/>
        <v>9127.3246256237726</v>
      </c>
      <c r="BP476" s="10">
        <f ca="1">SUM(BI476:BO476)</f>
        <v>72727.120284101242</v>
      </c>
    </row>
    <row r="477" spans="2:68" ht="13.2" customHeight="1">
      <c r="B477" s="309" t="s">
        <v>1660</v>
      </c>
      <c r="N477" s="6"/>
      <c r="O477" s="39">
        <f>ROW()</f>
        <v>477</v>
      </c>
      <c r="P477" s="10"/>
      <c r="Q477" s="10"/>
      <c r="R477" s="10"/>
      <c r="S477" s="10"/>
      <c r="T477" s="10"/>
      <c r="U477" s="10"/>
      <c r="V477" s="10"/>
      <c r="W477" s="10"/>
      <c r="Y477" s="10"/>
      <c r="Z477" s="10"/>
      <c r="AA477" s="10"/>
      <c r="AB477" s="10"/>
      <c r="AC477" s="10"/>
      <c r="AD477" s="10"/>
      <c r="AE477" s="10"/>
      <c r="AF477" s="10"/>
      <c r="AH477" s="10"/>
      <c r="AI477" s="10"/>
      <c r="AJ477" s="10"/>
      <c r="AK477" s="10"/>
      <c r="AL477" s="10"/>
      <c r="AM477" s="10"/>
      <c r="AN477" s="10"/>
      <c r="AO477" s="10"/>
      <c r="AQ477" s="1933"/>
      <c r="AR477" s="1933"/>
      <c r="AS477" s="1933"/>
      <c r="AT477" s="1933"/>
      <c r="AU477" s="1933"/>
      <c r="AV477" s="1933"/>
      <c r="AW477" s="1933"/>
      <c r="AX477" s="1933"/>
      <c r="AZ477" s="10"/>
      <c r="BA477" s="10"/>
      <c r="BB477" s="10"/>
      <c r="BC477" s="10"/>
      <c r="BD477" s="10"/>
      <c r="BE477" s="10"/>
      <c r="BF477" s="10"/>
      <c r="BG477" s="10"/>
      <c r="BI477" s="10"/>
      <c r="BJ477" s="10"/>
      <c r="BK477" s="10"/>
      <c r="BL477" s="10"/>
      <c r="BM477" s="10"/>
      <c r="BN477" s="10"/>
      <c r="BO477" s="10"/>
      <c r="BP477" s="10"/>
    </row>
    <row r="478" spans="2:68" ht="13.2" customHeight="1">
      <c r="B478" s="308" t="s">
        <v>714</v>
      </c>
      <c r="G478" s="10">
        <f t="shared" ref="G478:M478" ca="1" si="688">G476/G$118</f>
        <v>73068.615981115872</v>
      </c>
      <c r="H478" s="10">
        <f t="shared" ca="1" si="688"/>
        <v>79910.073436038685</v>
      </c>
      <c r="I478" s="10">
        <f t="shared" ca="1" si="688"/>
        <v>171772.67077325017</v>
      </c>
      <c r="J478" s="10">
        <f t="shared" ca="1" si="688"/>
        <v>166629.21231428965</v>
      </c>
      <c r="K478" s="10">
        <f t="shared" ca="1" si="688"/>
        <v>151454.71365852974</v>
      </c>
      <c r="L478" s="10">
        <f t="shared" ca="1" si="688"/>
        <v>179587.20027135391</v>
      </c>
      <c r="M478" s="10">
        <f t="shared" ca="1" si="688"/>
        <v>149740.3707459156</v>
      </c>
      <c r="N478" s="186"/>
      <c r="O478" s="39">
        <f>ROW()</f>
        <v>478</v>
      </c>
      <c r="P478" s="309" t="str">
        <f>CONCATENATE("Figures in Row ",O476," are sums of figures in Rows ",O460,", ",O467," and ",O472, " -- inbound, oubound and intra-cordon VMT.")</f>
        <v>Figures in Row 476 are sums of figures in Rows 460, 467 and 472 -- inbound, oubound and intra-cordon VMT.</v>
      </c>
      <c r="Q478" s="10"/>
      <c r="R478" s="10"/>
      <c r="S478" s="10"/>
      <c r="T478" s="10"/>
      <c r="U478" s="10"/>
      <c r="V478" s="10"/>
      <c r="W478" s="10"/>
      <c r="Y478" s="10"/>
      <c r="Z478" s="10"/>
      <c r="AA478" s="10"/>
      <c r="AB478" s="10"/>
      <c r="AC478" s="10"/>
      <c r="AD478" s="10"/>
      <c r="AE478" s="10"/>
      <c r="AF478" s="10"/>
      <c r="AH478" s="10"/>
      <c r="AI478" s="10"/>
      <c r="AJ478" s="10"/>
      <c r="AK478" s="10"/>
      <c r="AL478" s="10"/>
      <c r="AM478" s="10"/>
      <c r="AN478" s="10"/>
      <c r="AO478" s="10"/>
      <c r="AQ478" s="10"/>
      <c r="AR478" s="10"/>
      <c r="AS478" s="10"/>
      <c r="AT478" s="10"/>
      <c r="AU478" s="10"/>
      <c r="AV478" s="10"/>
      <c r="AW478" s="10"/>
      <c r="AX478" s="10"/>
      <c r="AZ478" s="10"/>
      <c r="BA478" s="10"/>
      <c r="BB478" s="10"/>
      <c r="BC478" s="10"/>
      <c r="BD478" s="10"/>
      <c r="BE478" s="10"/>
      <c r="BF478" s="10"/>
      <c r="BG478" s="10"/>
      <c r="BI478" s="10"/>
      <c r="BJ478" s="10"/>
      <c r="BK478" s="10"/>
      <c r="BL478" s="10"/>
      <c r="BM478" s="10"/>
      <c r="BN478" s="10"/>
      <c r="BO478" s="10"/>
      <c r="BP478" s="10"/>
    </row>
    <row r="479" spans="2:68" ht="13.2" customHeight="1">
      <c r="B479" t="s">
        <v>533</v>
      </c>
      <c r="O479" s="39">
        <f>ROW()</f>
        <v>479</v>
      </c>
    </row>
    <row r="480" spans="2:68" ht="13.2" customHeight="1">
      <c r="B480" s="308" t="s">
        <v>1106</v>
      </c>
      <c r="C480" s="280"/>
      <c r="D480" s="280"/>
      <c r="E480" s="280"/>
      <c r="F480" s="280"/>
      <c r="G480" s="616"/>
      <c r="H480" s="616"/>
      <c r="I480" s="616"/>
      <c r="J480" s="616"/>
      <c r="K480" s="616"/>
      <c r="L480" s="616"/>
      <c r="M480" s="616"/>
      <c r="N480" s="280"/>
      <c r="O480" s="39">
        <f>ROW()</f>
        <v>480</v>
      </c>
    </row>
    <row r="481" spans="2:68" ht="13.2" customHeight="1">
      <c r="B481" s="280" t="s">
        <v>2034</v>
      </c>
      <c r="E481" s="280"/>
      <c r="F481" s="280"/>
      <c r="G481" s="21">
        <f t="shared" ref="G481:M481" ca="1" si="689">KSC/(1+0.1*(G478*$G$401/V_sub_k)^KSE)</f>
        <v>21.135401278977685</v>
      </c>
      <c r="H481" s="21">
        <f t="shared" ca="1" si="689"/>
        <v>20.783782432126564</v>
      </c>
      <c r="I481" s="21">
        <f t="shared" ca="1" si="689"/>
        <v>9.7804442061639296</v>
      </c>
      <c r="J481" s="21">
        <f t="shared" ca="1" si="689"/>
        <v>10.444701562058285</v>
      </c>
      <c r="K481" s="21">
        <f t="shared" ca="1" si="689"/>
        <v>12.534807989662374</v>
      </c>
      <c r="L481" s="21">
        <f t="shared" ca="1" si="689"/>
        <v>8.8256550010959138</v>
      </c>
      <c r="M481" s="21">
        <f t="shared" ca="1" si="689"/>
        <v>12.77955460703812</v>
      </c>
      <c r="O481" s="39">
        <f>ROW()</f>
        <v>481</v>
      </c>
      <c r="P481" s="21">
        <f t="shared" ref="P481:V482" ca="1" si="690">G481</f>
        <v>21.135401278977685</v>
      </c>
      <c r="Q481" s="21">
        <f t="shared" ca="1" si="690"/>
        <v>20.783782432126564</v>
      </c>
      <c r="R481" s="21">
        <f t="shared" ca="1" si="690"/>
        <v>9.7804442061639296</v>
      </c>
      <c r="S481" s="21">
        <f t="shared" ca="1" si="690"/>
        <v>10.444701562058285</v>
      </c>
      <c r="T481" s="21">
        <f t="shared" ca="1" si="690"/>
        <v>12.534807989662374</v>
      </c>
      <c r="U481" s="21">
        <f t="shared" ca="1" si="690"/>
        <v>8.8256550010959138</v>
      </c>
      <c r="V481" s="21">
        <f t="shared" ca="1" si="690"/>
        <v>12.77955460703812</v>
      </c>
      <c r="Y481" s="21">
        <f t="shared" ref="Y481:AE482" ca="1" si="691">G481</f>
        <v>21.135401278977685</v>
      </c>
      <c r="Z481" s="21">
        <f t="shared" ca="1" si="691"/>
        <v>20.783782432126564</v>
      </c>
      <c r="AA481" s="21">
        <f t="shared" ca="1" si="691"/>
        <v>9.7804442061639296</v>
      </c>
      <c r="AB481" s="21">
        <f t="shared" ca="1" si="691"/>
        <v>10.444701562058285</v>
      </c>
      <c r="AC481" s="21">
        <f t="shared" ca="1" si="691"/>
        <v>12.534807989662374</v>
      </c>
      <c r="AD481" s="21">
        <f t="shared" ca="1" si="691"/>
        <v>8.8256550010959138</v>
      </c>
      <c r="AE481" s="21">
        <f t="shared" ca="1" si="691"/>
        <v>12.77955460703812</v>
      </c>
      <c r="AH481" s="21">
        <f t="shared" ref="AH481:AN482" ca="1" si="692">P481</f>
        <v>21.135401278977685</v>
      </c>
      <c r="AI481" s="21">
        <f t="shared" ca="1" si="692"/>
        <v>20.783782432126564</v>
      </c>
      <c r="AJ481" s="21">
        <f t="shared" ca="1" si="692"/>
        <v>9.7804442061639296</v>
      </c>
      <c r="AK481" s="21">
        <f t="shared" ca="1" si="692"/>
        <v>10.444701562058285</v>
      </c>
      <c r="AL481" s="21">
        <f t="shared" ca="1" si="692"/>
        <v>12.534807989662374</v>
      </c>
      <c r="AM481" s="21">
        <f t="shared" ca="1" si="692"/>
        <v>8.8256550010959138</v>
      </c>
      <c r="AN481" s="21">
        <f t="shared" ca="1" si="692"/>
        <v>12.77955460703812</v>
      </c>
      <c r="AQ481" s="21">
        <f t="shared" ref="AQ481:AW481" ca="1" si="693">G481*$AU$181</f>
        <v>20.0786312150288</v>
      </c>
      <c r="AR481" s="21">
        <f t="shared" ca="1" si="693"/>
        <v>19.744593310520234</v>
      </c>
      <c r="AS481" s="21">
        <f t="shared" ca="1" si="693"/>
        <v>9.2914219958557336</v>
      </c>
      <c r="AT481" s="21">
        <f t="shared" ca="1" si="693"/>
        <v>9.92246648395537</v>
      </c>
      <c r="AU481" s="21">
        <f t="shared" ca="1" si="693"/>
        <v>11.908067590179256</v>
      </c>
      <c r="AV481" s="21">
        <f t="shared" ca="1" si="693"/>
        <v>8.3843722510411176</v>
      </c>
      <c r="AW481" s="21">
        <f t="shared" ca="1" si="693"/>
        <v>12.140576876686215</v>
      </c>
      <c r="AZ481" s="21">
        <f t="shared" ref="AZ481:BF482" ca="1" si="694">G481</f>
        <v>21.135401278977685</v>
      </c>
      <c r="BA481" s="21">
        <f t="shared" ca="1" si="694"/>
        <v>20.783782432126564</v>
      </c>
      <c r="BB481" s="21">
        <f t="shared" ca="1" si="694"/>
        <v>9.7804442061639296</v>
      </c>
      <c r="BC481" s="21">
        <f t="shared" ca="1" si="694"/>
        <v>10.444701562058285</v>
      </c>
      <c r="BD481" s="21">
        <f t="shared" ca="1" si="694"/>
        <v>12.534807989662374</v>
      </c>
      <c r="BE481" s="21">
        <f t="shared" ca="1" si="694"/>
        <v>8.8256550010959138</v>
      </c>
      <c r="BF481" s="21">
        <f t="shared" ca="1" si="694"/>
        <v>12.77955460703812</v>
      </c>
      <c r="BG481" s="21"/>
      <c r="BI481" s="21">
        <f t="shared" ref="BI481:BO482" ca="1" si="695">G481</f>
        <v>21.135401278977685</v>
      </c>
      <c r="BJ481" s="21">
        <f t="shared" ca="1" si="695"/>
        <v>20.783782432126564</v>
      </c>
      <c r="BK481" s="21">
        <f t="shared" ca="1" si="695"/>
        <v>9.7804442061639296</v>
      </c>
      <c r="BL481" s="21">
        <f t="shared" ca="1" si="695"/>
        <v>10.444701562058285</v>
      </c>
      <c r="BM481" s="21">
        <f t="shared" ca="1" si="695"/>
        <v>12.534807989662374</v>
      </c>
      <c r="BN481" s="21">
        <f t="shared" ca="1" si="695"/>
        <v>8.8256550010959138</v>
      </c>
      <c r="BO481" s="21">
        <f t="shared" ca="1" si="695"/>
        <v>12.77955460703812</v>
      </c>
      <c r="BP481" s="21"/>
    </row>
    <row r="482" spans="2:68" ht="13.2" customHeight="1">
      <c r="B482" s="280" t="s">
        <v>1428</v>
      </c>
      <c r="E482" s="280"/>
      <c r="F482" s="280"/>
      <c r="G482" s="824">
        <f ca="1">MIN('Speed-Vol., non-Cordon'!$X$57*(G427 / 'Speed-Vol., non-Cordon'!$X$57)^G444,'Speed-Vol., non-Cordon'!$X$32)</f>
        <v>55</v>
      </c>
      <c r="H482" s="824">
        <f ca="1">MIN('Speed-Vol., non-Cordon'!$X$57*(H427 / 'Speed-Vol., non-Cordon'!$X$57)^H444,'Speed-Vol., non-Cordon'!$X$32)</f>
        <v>44.429605413538894</v>
      </c>
      <c r="I482" s="824">
        <f ca="1">MIN('Speed-Vol., non-Cordon'!$X$57*(I427 / 'Speed-Vol., non-Cordon'!$X$57)^I444,'Speed-Vol., non-Cordon'!$X$32)</f>
        <v>14.249057636669203</v>
      </c>
      <c r="J482" s="824">
        <f ca="1">MIN('Speed-Vol., non-Cordon'!$X$57*(J427 / 'Speed-Vol., non-Cordon'!$X$57)^J444,'Speed-Vol., non-Cordon'!$X$32)</f>
        <v>17.806442037064571</v>
      </c>
      <c r="K482" s="824">
        <f ca="1">MIN('Speed-Vol., non-Cordon'!$X$57*(K427 / 'Speed-Vol., non-Cordon'!$X$57)^K444,'Speed-Vol., non-Cordon'!$X$32)</f>
        <v>22.28124855330524</v>
      </c>
      <c r="L482" s="824">
        <f ca="1">MIN('Speed-Vol., non-Cordon'!$X$57*(L427 / 'Speed-Vol., non-Cordon'!$X$57)^L444,'Speed-Vol., non-Cordon'!$X$32)</f>
        <v>12.831333223712221</v>
      </c>
      <c r="M482" s="824">
        <f ca="1">MIN('Speed-Vol., non-Cordon'!$X$57*(M427 / 'Speed-Vol., non-Cordon'!$X$57)^M444,'Speed-Vol., non-Cordon'!$X$32)</f>
        <v>23.972845003748059</v>
      </c>
      <c r="O482" s="39">
        <f>ROW()</f>
        <v>482</v>
      </c>
      <c r="P482" s="21">
        <f t="shared" ca="1" si="690"/>
        <v>55</v>
      </c>
      <c r="Q482" s="21">
        <f t="shared" ca="1" si="690"/>
        <v>44.429605413538894</v>
      </c>
      <c r="R482" s="21">
        <f t="shared" ca="1" si="690"/>
        <v>14.249057636669203</v>
      </c>
      <c r="S482" s="21">
        <f t="shared" ca="1" si="690"/>
        <v>17.806442037064571</v>
      </c>
      <c r="T482" s="21">
        <f t="shared" ca="1" si="690"/>
        <v>22.28124855330524</v>
      </c>
      <c r="U482" s="21">
        <f t="shared" ca="1" si="690"/>
        <v>12.831333223712221</v>
      </c>
      <c r="V482" s="21">
        <f t="shared" ca="1" si="690"/>
        <v>23.972845003748059</v>
      </c>
      <c r="W482" s="4272" t="s">
        <v>1878</v>
      </c>
      <c r="Y482" s="21">
        <f t="shared" ca="1" si="691"/>
        <v>55</v>
      </c>
      <c r="Z482" s="21">
        <f t="shared" ca="1" si="691"/>
        <v>44.429605413538894</v>
      </c>
      <c r="AA482" s="21">
        <f t="shared" ca="1" si="691"/>
        <v>14.249057636669203</v>
      </c>
      <c r="AB482" s="21">
        <f t="shared" ca="1" si="691"/>
        <v>17.806442037064571</v>
      </c>
      <c r="AC482" s="21">
        <f t="shared" ca="1" si="691"/>
        <v>22.28124855330524</v>
      </c>
      <c r="AD482" s="21">
        <f t="shared" ca="1" si="691"/>
        <v>12.831333223712221</v>
      </c>
      <c r="AE482" s="21">
        <f t="shared" ca="1" si="691"/>
        <v>23.972845003748059</v>
      </c>
      <c r="AF482" s="4272" t="s">
        <v>1878</v>
      </c>
      <c r="AH482" s="21">
        <f t="shared" ca="1" si="692"/>
        <v>55</v>
      </c>
      <c r="AI482" s="21">
        <f t="shared" ca="1" si="692"/>
        <v>44.429605413538894</v>
      </c>
      <c r="AJ482" s="21">
        <f t="shared" ca="1" si="692"/>
        <v>14.249057636669203</v>
      </c>
      <c r="AK482" s="21">
        <f t="shared" ca="1" si="692"/>
        <v>17.806442037064571</v>
      </c>
      <c r="AL482" s="21">
        <f t="shared" ca="1" si="692"/>
        <v>22.28124855330524</v>
      </c>
      <c r="AM482" s="21">
        <f t="shared" ca="1" si="692"/>
        <v>12.831333223712221</v>
      </c>
      <c r="AN482" s="21">
        <f t="shared" ca="1" si="692"/>
        <v>23.972845003748059</v>
      </c>
      <c r="AO482" s="4272" t="s">
        <v>1878</v>
      </c>
      <c r="AQ482" s="21">
        <f t="shared" ref="AQ482:AW482" ca="1" si="696">G482*$AV$181</f>
        <v>54.45</v>
      </c>
      <c r="AR482" s="21">
        <f t="shared" ca="1" si="696"/>
        <v>43.985309359403502</v>
      </c>
      <c r="AS482" s="21">
        <f t="shared" ca="1" si="696"/>
        <v>14.106567060302512</v>
      </c>
      <c r="AT482" s="21">
        <f t="shared" ca="1" si="696"/>
        <v>17.628377616693925</v>
      </c>
      <c r="AU482" s="21">
        <f t="shared" ca="1" si="696"/>
        <v>22.058436067772188</v>
      </c>
      <c r="AV482" s="21">
        <f t="shared" ca="1" si="696"/>
        <v>12.703019891475099</v>
      </c>
      <c r="AW482" s="21">
        <f t="shared" ca="1" si="696"/>
        <v>23.733116553710577</v>
      </c>
      <c r="AX482" s="4272" t="s">
        <v>1878</v>
      </c>
      <c r="AZ482" s="21">
        <f t="shared" ca="1" si="694"/>
        <v>55</v>
      </c>
      <c r="BA482" s="21">
        <f t="shared" ca="1" si="694"/>
        <v>44.429605413538894</v>
      </c>
      <c r="BB482" s="21">
        <f t="shared" ca="1" si="694"/>
        <v>14.249057636669203</v>
      </c>
      <c r="BC482" s="21">
        <f t="shared" ca="1" si="694"/>
        <v>17.806442037064571</v>
      </c>
      <c r="BD482" s="21">
        <f t="shared" ca="1" si="694"/>
        <v>22.28124855330524</v>
      </c>
      <c r="BE482" s="21">
        <f t="shared" ca="1" si="694"/>
        <v>12.831333223712221</v>
      </c>
      <c r="BF482" s="21">
        <f t="shared" ca="1" si="694"/>
        <v>23.972845003748059</v>
      </c>
      <c r="BG482" s="4272" t="s">
        <v>1878</v>
      </c>
      <c r="BI482" s="21">
        <f t="shared" ca="1" si="695"/>
        <v>55</v>
      </c>
      <c r="BJ482" s="21">
        <f t="shared" ca="1" si="695"/>
        <v>44.429605413538894</v>
      </c>
      <c r="BK482" s="21">
        <f t="shared" ca="1" si="695"/>
        <v>14.249057636669203</v>
      </c>
      <c r="BL482" s="21">
        <f t="shared" ca="1" si="695"/>
        <v>17.806442037064571</v>
      </c>
      <c r="BM482" s="21">
        <f t="shared" ca="1" si="695"/>
        <v>22.28124855330524</v>
      </c>
      <c r="BN482" s="21">
        <f t="shared" ca="1" si="695"/>
        <v>12.831333223712221</v>
      </c>
      <c r="BO482" s="21">
        <f t="shared" ca="1" si="695"/>
        <v>23.972845003748059</v>
      </c>
      <c r="BP482" s="4272" t="s">
        <v>1878</v>
      </c>
    </row>
    <row r="483" spans="2:68" ht="13.2" customHeight="1">
      <c r="O483" s="39">
        <f>ROW()</f>
        <v>483</v>
      </c>
      <c r="W483" s="4273"/>
      <c r="AF483" s="4273"/>
      <c r="AO483" s="4273"/>
      <c r="AX483" s="4273"/>
      <c r="BG483" s="4273"/>
      <c r="BP483" s="4273"/>
    </row>
    <row r="484" spans="2:68" ht="13.2" customHeight="1">
      <c r="B484" s="308" t="s">
        <v>2606</v>
      </c>
      <c r="F484" s="606"/>
      <c r="O484" s="39">
        <f>ROW()</f>
        <v>484</v>
      </c>
      <c r="W484" s="4273"/>
      <c r="AF484" s="4340"/>
      <c r="AO484" s="4340"/>
      <c r="AX484" s="4340"/>
      <c r="BG484" s="4340"/>
      <c r="BP484" s="4340"/>
    </row>
    <row r="485" spans="2:68" ht="13.2" customHeight="1">
      <c r="B485" s="280" t="s">
        <v>2158</v>
      </c>
      <c r="C485" s="297"/>
      <c r="D485" s="297"/>
      <c r="E485" s="297"/>
      <c r="F485" s="297"/>
      <c r="G485" s="4286" t="s">
        <v>2351</v>
      </c>
      <c r="H485" s="3775"/>
      <c r="I485" s="3775"/>
      <c r="J485" s="3775"/>
      <c r="K485" s="3775"/>
      <c r="L485" s="3776"/>
      <c r="O485" s="39">
        <f>ROW()</f>
        <v>485</v>
      </c>
      <c r="P485" s="21">
        <f t="shared" ref="P485:V485" ca="1" si="697">($I$85)*60/P481</f>
        <v>3.5485486653427634</v>
      </c>
      <c r="Q485" s="21">
        <f t="shared" ca="1" si="697"/>
        <v>3.608582809453809</v>
      </c>
      <c r="R485" s="21">
        <f t="shared" ca="1" si="697"/>
        <v>7.6683633605038866</v>
      </c>
      <c r="S485" s="21">
        <f t="shared" ca="1" si="697"/>
        <v>7.1806742925472475</v>
      </c>
      <c r="T485" s="21">
        <f t="shared" ca="1" si="697"/>
        <v>5.983338561057618</v>
      </c>
      <c r="U485" s="21">
        <f t="shared" ca="1" si="697"/>
        <v>8.4979528421048602</v>
      </c>
      <c r="V485" s="21">
        <f t="shared" ca="1" si="697"/>
        <v>5.8687491314208273</v>
      </c>
      <c r="W485" s="883">
        <f ca="1">SUMPRODUCT(P$476:V$476,P485:V485)/W$476</f>
        <v>6.9012964319786212</v>
      </c>
      <c r="Y485" s="21">
        <f t="shared" ref="Y485:AE485" ca="1" si="698">($J$85)*60/Y481</f>
        <v>3.5485486653427634</v>
      </c>
      <c r="Z485" s="21">
        <f t="shared" ca="1" si="698"/>
        <v>3.608582809453809</v>
      </c>
      <c r="AA485" s="21">
        <f t="shared" ca="1" si="698"/>
        <v>7.6683633605038866</v>
      </c>
      <c r="AB485" s="21">
        <f t="shared" ca="1" si="698"/>
        <v>7.1806742925472475</v>
      </c>
      <c r="AC485" s="21">
        <f t="shared" ca="1" si="698"/>
        <v>5.983338561057618</v>
      </c>
      <c r="AD485" s="21">
        <f t="shared" ca="1" si="698"/>
        <v>8.4979528421048602</v>
      </c>
      <c r="AE485" s="21">
        <f t="shared" ca="1" si="698"/>
        <v>5.8687491314208273</v>
      </c>
      <c r="AF485" s="613">
        <f ca="1">SUMPRODUCT(Y$476:AE$476,Y485:AE485)/AF$476</f>
        <v>6.9007656978540499</v>
      </c>
      <c r="AH485" s="21">
        <f t="shared" ref="AH485:AN485" ca="1" si="699">($K$85)*60/AH481</f>
        <v>4.5421422916387373</v>
      </c>
      <c r="AI485" s="21">
        <f t="shared" ca="1" si="699"/>
        <v>4.6189859961008759</v>
      </c>
      <c r="AJ485" s="21">
        <f t="shared" ca="1" si="699"/>
        <v>9.815505101444975</v>
      </c>
      <c r="AK485" s="21">
        <f t="shared" ca="1" si="699"/>
        <v>9.1912630944604761</v>
      </c>
      <c r="AL485" s="21">
        <f t="shared" ca="1" si="699"/>
        <v>7.6586733581537505</v>
      </c>
      <c r="AM485" s="21">
        <f t="shared" ca="1" si="699"/>
        <v>10.877379637894222</v>
      </c>
      <c r="AN485" s="21">
        <f t="shared" ca="1" si="699"/>
        <v>7.5119988882186588</v>
      </c>
      <c r="AO485" s="613">
        <f ca="1">SUMPRODUCT(AH$476:AN$476,AH485:AN485)/AO$476</f>
        <v>8.5069232353010875</v>
      </c>
      <c r="AQ485" s="21">
        <f t="shared" ref="AQ485:AW485" ca="1" si="700">($L$85)*60/AQ481</f>
        <v>5.9765030153141279</v>
      </c>
      <c r="AR485" s="21">
        <f t="shared" ca="1" si="700"/>
        <v>6.0776131527643109</v>
      </c>
      <c r="AS485" s="21">
        <f t="shared" ca="1" si="700"/>
        <v>12.915138291374966</v>
      </c>
      <c r="AT485" s="21">
        <f t="shared" ca="1" si="700"/>
        <v>12.09376722955326</v>
      </c>
      <c r="AU485" s="21">
        <f t="shared" ca="1" si="700"/>
        <v>10.077201787044409</v>
      </c>
      <c r="AV485" s="21">
        <f t="shared" ca="1" si="700"/>
        <v>14.312341628808188</v>
      </c>
      <c r="AW485" s="21">
        <f t="shared" ca="1" si="700"/>
        <v>9.8842090634456028</v>
      </c>
      <c r="AX485" s="613">
        <f ca="1">SUMPRODUCT(AQ$476:AW$476,AQ485:AW485)/AX$476</f>
        <v>11.063176901850062</v>
      </c>
      <c r="AZ485" s="21">
        <f t="shared" ref="AZ485:BF485" ca="1" si="701">($M$85)*60/AZ481</f>
        <v>8.5165167968226321</v>
      </c>
      <c r="BA485" s="21">
        <f t="shared" ca="1" si="701"/>
        <v>8.6605987426891424</v>
      </c>
      <c r="BB485" s="21">
        <f t="shared" ca="1" si="701"/>
        <v>18.404072065209327</v>
      </c>
      <c r="BC485" s="21">
        <f t="shared" ca="1" si="701"/>
        <v>17.233618302113392</v>
      </c>
      <c r="BD485" s="21">
        <f t="shared" ca="1" si="701"/>
        <v>14.360012546538282</v>
      </c>
      <c r="BE485" s="21">
        <f t="shared" ca="1" si="701"/>
        <v>20.395086821051667</v>
      </c>
      <c r="BF485" s="21">
        <f t="shared" ca="1" si="701"/>
        <v>14.084997915409986</v>
      </c>
      <c r="BG485" s="613">
        <f ca="1">SUMPRODUCT(AZ$476:BF$476,AZ485:BF485)/BG$476</f>
        <v>16.403479745737769</v>
      </c>
      <c r="BI485" s="21">
        <f t="shared" ref="BI485:BO485" ca="1" si="702">($N$85)*60/BI481</f>
        <v>5.6776778645484214</v>
      </c>
      <c r="BJ485" s="21">
        <f t="shared" ca="1" si="702"/>
        <v>5.7737324951260947</v>
      </c>
      <c r="BK485" s="21">
        <f t="shared" ca="1" si="702"/>
        <v>12.269381376806219</v>
      </c>
      <c r="BL485" s="21">
        <f t="shared" ca="1" si="702"/>
        <v>11.489078868075595</v>
      </c>
      <c r="BM485" s="21">
        <f t="shared" ca="1" si="702"/>
        <v>9.5733416976921877</v>
      </c>
      <c r="BN485" s="21">
        <f t="shared" ca="1" si="702"/>
        <v>13.596724547367778</v>
      </c>
      <c r="BO485" s="21">
        <f t="shared" ca="1" si="702"/>
        <v>9.3899986102733237</v>
      </c>
      <c r="BP485" s="613">
        <f ca="1">SUMPRODUCT(BI$476:BO$476,BI485:BO485)/BP$476</f>
        <v>10.9707546918973</v>
      </c>
    </row>
    <row r="486" spans="2:68" ht="13.2" customHeight="1">
      <c r="B486" s="280" t="s">
        <v>2159</v>
      </c>
      <c r="C486" s="297"/>
      <c r="D486" s="297"/>
      <c r="E486" s="297"/>
      <c r="F486" s="297"/>
      <c r="G486" s="3738"/>
      <c r="H486" s="3739"/>
      <c r="I486" s="3739"/>
      <c r="J486" s="3739"/>
      <c r="K486" s="3739"/>
      <c r="L486" s="3922"/>
      <c r="O486" s="39">
        <f>ROW()</f>
        <v>486</v>
      </c>
      <c r="P486" s="21">
        <f t="shared" ref="P486:V486" ca="1" si="703">60*$I$85/(1/($P$135/$P481+$Q$135/$Q481+$R$135/$R481+$S$135/$S481+$T$135/$T481+$U$135/$U481+$V$135/$V481))</f>
        <v>6.8048552587199724</v>
      </c>
      <c r="Q486" s="21">
        <f t="shared" ca="1" si="703"/>
        <v>6.8048552587199724</v>
      </c>
      <c r="R486" s="21">
        <f t="shared" ca="1" si="703"/>
        <v>6.8048552587199724</v>
      </c>
      <c r="S486" s="21">
        <f t="shared" ca="1" si="703"/>
        <v>6.8048552587199724</v>
      </c>
      <c r="T486" s="21">
        <f t="shared" ca="1" si="703"/>
        <v>6.8048552587199724</v>
      </c>
      <c r="U486" s="21">
        <f t="shared" ca="1" si="703"/>
        <v>6.8048552587199724</v>
      </c>
      <c r="V486" s="21">
        <f t="shared" ca="1" si="703"/>
        <v>6.8048552587199724</v>
      </c>
      <c r="W486" s="613">
        <f ca="1">SUMPRODUCT(P$383:V$383,P486:V486)/W$383</f>
        <v>6.8048552587199707</v>
      </c>
      <c r="Y486" s="21">
        <f t="shared" ref="Y486:AE486" ca="1" si="704">60*$J$85/(1/($Y$135/$Y481+$Z$135/$Z481+$AA$135/$AA481+$AB$135/$AB481+$AC$135/$AC481+$AD$135/$AD481+$AE$135/$AE481))</f>
        <v>6.8048552587199733</v>
      </c>
      <c r="Z486" s="21">
        <f t="shared" ca="1" si="704"/>
        <v>6.8048552587199733</v>
      </c>
      <c r="AA486" s="21">
        <f t="shared" ca="1" si="704"/>
        <v>6.8048552587199733</v>
      </c>
      <c r="AB486" s="21">
        <f t="shared" ca="1" si="704"/>
        <v>6.8048552587199733</v>
      </c>
      <c r="AC486" s="21">
        <f t="shared" ca="1" si="704"/>
        <v>6.8048552587199733</v>
      </c>
      <c r="AD486" s="21">
        <f t="shared" ca="1" si="704"/>
        <v>6.8048552587199733</v>
      </c>
      <c r="AE486" s="21">
        <f t="shared" ca="1" si="704"/>
        <v>6.8048552587199733</v>
      </c>
      <c r="AF486" s="613">
        <f ca="1">SUMPRODUCT(Y$383:AE$383,Y486:AE486)/AF$383</f>
        <v>6.8048552587199733</v>
      </c>
      <c r="AH486" s="21">
        <f ca="1">AH485</f>
        <v>4.5421422916387373</v>
      </c>
      <c r="AI486" s="21">
        <f t="shared" ref="AI486:AN486" ca="1" si="705">AI485</f>
        <v>4.6189859961008759</v>
      </c>
      <c r="AJ486" s="21">
        <f t="shared" ca="1" si="705"/>
        <v>9.815505101444975</v>
      </c>
      <c r="AK486" s="21">
        <f t="shared" ca="1" si="705"/>
        <v>9.1912630944604761</v>
      </c>
      <c r="AL486" s="21">
        <f t="shared" ca="1" si="705"/>
        <v>7.6586733581537505</v>
      </c>
      <c r="AM486" s="21">
        <f t="shared" ca="1" si="705"/>
        <v>10.877379637894222</v>
      </c>
      <c r="AN486" s="21">
        <f t="shared" ca="1" si="705"/>
        <v>7.5119988882186588</v>
      </c>
      <c r="AO486" s="613">
        <f ca="1">SUMPRODUCT(AH$383:AN$383,AH486:AN486)/AO$383</f>
        <v>8.45515545364049</v>
      </c>
      <c r="AQ486" s="21"/>
      <c r="AR486" s="21"/>
      <c r="AS486" s="21"/>
      <c r="AT486" s="21"/>
      <c r="AU486" s="21"/>
      <c r="AV486" s="21"/>
      <c r="AW486" s="21"/>
      <c r="AX486" s="613"/>
      <c r="AZ486" s="21">
        <f t="shared" ref="AZ486:BF486" ca="1" si="706">60*$M$85/(1/($AZ$135/$AZ481+$BA$135/$BA481+$BB$135/$BB481+$BC$135/$BC481+$BD$135/$BD481+$BE$135/$BE481+$BF$135/$BF481))</f>
        <v>16.331652620927937</v>
      </c>
      <c r="BA486" s="21">
        <f t="shared" ca="1" si="706"/>
        <v>16.331652620927937</v>
      </c>
      <c r="BB486" s="21">
        <f t="shared" ca="1" si="706"/>
        <v>16.331652620927937</v>
      </c>
      <c r="BC486" s="21">
        <f t="shared" ca="1" si="706"/>
        <v>16.331652620927937</v>
      </c>
      <c r="BD486" s="21">
        <f t="shared" ca="1" si="706"/>
        <v>16.331652620927937</v>
      </c>
      <c r="BE486" s="21">
        <f t="shared" ca="1" si="706"/>
        <v>16.331652620927937</v>
      </c>
      <c r="BF486" s="21">
        <f t="shared" ca="1" si="706"/>
        <v>16.331652620927937</v>
      </c>
      <c r="BG486" s="613">
        <f ca="1">SUMPRODUCT(AZ$383:BF$383,AZ486:BF486)/BG$383</f>
        <v>16.331652620927937</v>
      </c>
      <c r="BI486" s="21">
        <f t="shared" ref="BI486:BO486" ca="1" si="707">60*$N$85/(1/($BI$135/$BI481+$BJ$135/$BJ481+$BK$135/$BK481+$BL$135/$BL481+$BM$135/$BM481+$BN$135/$BN481+$BO$135/$BO481))</f>
        <v>10.887768413951955</v>
      </c>
      <c r="BJ486" s="21">
        <f t="shared" ca="1" si="707"/>
        <v>10.887768413951955</v>
      </c>
      <c r="BK486" s="21">
        <f t="shared" ca="1" si="707"/>
        <v>10.887768413951955</v>
      </c>
      <c r="BL486" s="21">
        <f t="shared" ca="1" si="707"/>
        <v>10.887768413951955</v>
      </c>
      <c r="BM486" s="21">
        <f t="shared" ca="1" si="707"/>
        <v>10.887768413951955</v>
      </c>
      <c r="BN486" s="21">
        <f t="shared" ca="1" si="707"/>
        <v>10.887768413951955</v>
      </c>
      <c r="BO486" s="21">
        <f t="shared" ca="1" si="707"/>
        <v>10.887768413951955</v>
      </c>
      <c r="BP486" s="613">
        <f ca="1">SUMPRODUCT(BI$383:BO$383,BI486:BO486)/BP$383</f>
        <v>10.887768413951957</v>
      </c>
    </row>
    <row r="487" spans="2:68" ht="13.2" customHeight="1">
      <c r="B487" s="280" t="s">
        <v>2160</v>
      </c>
      <c r="C487" s="297"/>
      <c r="D487" s="297"/>
      <c r="E487" s="297"/>
      <c r="F487" s="297"/>
      <c r="G487" s="3738"/>
      <c r="H487" s="3739"/>
      <c r="I487" s="3739"/>
      <c r="J487" s="3739"/>
      <c r="K487" s="3739"/>
      <c r="L487" s="3922"/>
      <c r="O487" s="39">
        <f>ROW()</f>
        <v>487</v>
      </c>
      <c r="P487" s="21">
        <f t="shared" ref="P487:V487" ca="1" si="708">($I$79)*60/P482</f>
        <v>18.436427705879503</v>
      </c>
      <c r="Q487" s="21">
        <f t="shared" ca="1" si="708"/>
        <v>22.82269928767764</v>
      </c>
      <c r="R487" s="21">
        <f t="shared" ca="1" si="708"/>
        <v>71.162848075923819</v>
      </c>
      <c r="S487" s="21">
        <f t="shared" ca="1" si="708"/>
        <v>56.945880693779145</v>
      </c>
      <c r="T487" s="21">
        <f t="shared" ca="1" si="708"/>
        <v>45.509277516360441</v>
      </c>
      <c r="U487" s="21">
        <f t="shared" ca="1" si="708"/>
        <v>79.02557794614053</v>
      </c>
      <c r="V487" s="21">
        <f t="shared" ca="1" si="708"/>
        <v>42.298005249891588</v>
      </c>
      <c r="W487" s="613">
        <f ca="1">SUMPRODUCT(P$476:V$476,P487:V487)/W$476</f>
        <v>58.747792240530792</v>
      </c>
      <c r="Y487" s="21">
        <f t="shared" ref="Y487:AE487" ca="1" si="709">($J$79)*60/Y482</f>
        <v>18.436427705879503</v>
      </c>
      <c r="Z487" s="21">
        <f t="shared" ca="1" si="709"/>
        <v>22.82269928767764</v>
      </c>
      <c r="AA487" s="21">
        <f t="shared" ca="1" si="709"/>
        <v>71.162848075923819</v>
      </c>
      <c r="AB487" s="21">
        <f t="shared" ca="1" si="709"/>
        <v>56.945880693779145</v>
      </c>
      <c r="AC487" s="21">
        <f t="shared" ca="1" si="709"/>
        <v>45.509277516360441</v>
      </c>
      <c r="AD487" s="21">
        <f t="shared" ca="1" si="709"/>
        <v>79.02557794614053</v>
      </c>
      <c r="AE487" s="21">
        <f t="shared" ca="1" si="709"/>
        <v>42.298005249891588</v>
      </c>
      <c r="AF487" s="613">
        <f ca="1">SUMPRODUCT(Y$476:AE$476,Y487:AE487)/AF$476</f>
        <v>58.416981150039533</v>
      </c>
      <c r="AH487" s="21">
        <f t="shared" ref="AH487:AN487" ca="1" si="710">($K$79)*60/AH482</f>
        <v>27.654641558819254</v>
      </c>
      <c r="AI487" s="21">
        <f t="shared" ca="1" si="710"/>
        <v>34.234048931516462</v>
      </c>
      <c r="AJ487" s="21">
        <f t="shared" ca="1" si="710"/>
        <v>106.74427211388574</v>
      </c>
      <c r="AK487" s="21">
        <f t="shared" ca="1" si="710"/>
        <v>85.418821040668718</v>
      </c>
      <c r="AL487" s="21">
        <f t="shared" ca="1" si="710"/>
        <v>68.263916274540662</v>
      </c>
      <c r="AM487" s="21">
        <f t="shared" ca="1" si="710"/>
        <v>118.53836691921079</v>
      </c>
      <c r="AN487" s="21">
        <f t="shared" ca="1" si="710"/>
        <v>63.447007874837382</v>
      </c>
      <c r="AO487" s="613">
        <f ca="1">SUMPRODUCT(AH$476:AN$476,AH487:AN487)/AO$476</f>
        <v>83.042724758383244</v>
      </c>
      <c r="AQ487" s="21">
        <f t="shared" ref="AQ487:AW487" ca="1" si="711">($L$79)*60/AQ482</f>
        <v>6.6115702479338836</v>
      </c>
      <c r="AR487" s="21">
        <f t="shared" ca="1" si="711"/>
        <v>8.1845508248775474</v>
      </c>
      <c r="AS487" s="21">
        <f t="shared" ca="1" si="711"/>
        <v>25.52002896672721</v>
      </c>
      <c r="AT487" s="21">
        <f t="shared" ca="1" si="711"/>
        <v>20.421618360335273</v>
      </c>
      <c r="AU487" s="21">
        <f t="shared" ca="1" si="711"/>
        <v>16.320286664654667</v>
      </c>
      <c r="AV487" s="21">
        <f t="shared" ca="1" si="711"/>
        <v>28.339717884059464</v>
      </c>
      <c r="AW487" s="21">
        <f t="shared" ca="1" si="711"/>
        <v>15.168677876134876</v>
      </c>
      <c r="AX487" s="613">
        <f ca="1">SUMPRODUCT(AQ$476:AW$476,AQ487:AW487)/AX$476</f>
        <v>19.492723951250852</v>
      </c>
      <c r="AZ487" s="21">
        <f t="shared" ref="AZ487:BF487" ca="1" si="712">($M$79)*60/AZ482</f>
        <v>13.658400630271988</v>
      </c>
      <c r="BA487" s="21">
        <f t="shared" ca="1" si="712"/>
        <v>16.907915964431339</v>
      </c>
      <c r="BB487" s="21">
        <f t="shared" ca="1" si="712"/>
        <v>52.720120433210582</v>
      </c>
      <c r="BC487" s="21">
        <f t="shared" ca="1" si="712"/>
        <v>42.187655068951564</v>
      </c>
      <c r="BD487" s="21">
        <f t="shared" ca="1" si="712"/>
        <v>33.714988317094253</v>
      </c>
      <c r="BE487" s="21">
        <f t="shared" ca="1" si="712"/>
        <v>58.545127117166935</v>
      </c>
      <c r="BF487" s="21">
        <f t="shared" ca="1" si="712"/>
        <v>31.33595676889874</v>
      </c>
      <c r="BG487" s="613">
        <f ca="1">SUMPRODUCT(AZ$476:BF$476,AZ487:BF487)/BG$476</f>
        <v>42.800015665034401</v>
      </c>
      <c r="BI487" s="21">
        <f t="shared" ref="BI487:BO487" ca="1" si="713">($N$79)*60/BI482</f>
        <v>18.945721288914854</v>
      </c>
      <c r="BJ487" s="21">
        <f t="shared" ca="1" si="713"/>
        <v>23.45316059396708</v>
      </c>
      <c r="BK487" s="21">
        <f t="shared" ca="1" si="713"/>
        <v>73.128672608407925</v>
      </c>
      <c r="BL487" s="21">
        <f t="shared" ca="1" si="713"/>
        <v>58.518971320679128</v>
      </c>
      <c r="BM487" s="21">
        <f t="shared" ca="1" si="713"/>
        <v>46.766439878690846</v>
      </c>
      <c r="BN487" s="21">
        <f t="shared" ca="1" si="713"/>
        <v>81.208604961227294</v>
      </c>
      <c r="BO487" s="21">
        <f t="shared" ca="1" si="713"/>
        <v>43.466458433590255</v>
      </c>
      <c r="BP487" s="613">
        <f ca="1">SUMPRODUCT(BI$476:BO$476,BI487:BO487)/BP$476</f>
        <v>59.652946937744069</v>
      </c>
    </row>
    <row r="488" spans="2:68" ht="13.2" customHeight="1">
      <c r="B488" s="280" t="s">
        <v>1138</v>
      </c>
      <c r="C488" s="297"/>
      <c r="D488" s="297"/>
      <c r="E488" s="297"/>
      <c r="F488" s="297"/>
      <c r="G488" s="3738"/>
      <c r="H488" s="3739"/>
      <c r="I488" s="3739"/>
      <c r="J488" s="3739"/>
      <c r="K488" s="3739"/>
      <c r="L488" s="3922"/>
      <c r="O488" s="39">
        <f>ROW()</f>
        <v>488</v>
      </c>
      <c r="P488" s="21">
        <f t="shared" ref="P488:V488" ca="1" si="714">60*$I$79/(1/($P$135/$P482+$Q$135/$Q482+$R$135/$R482+$S$135/$S482+$T$135/$T482+$U$135/$U482+$V$135/$V482))</f>
        <v>57.30752708825792</v>
      </c>
      <c r="Q488" s="21">
        <f t="shared" ca="1" si="714"/>
        <v>57.30752708825792</v>
      </c>
      <c r="R488" s="21">
        <f t="shared" ca="1" si="714"/>
        <v>57.30752708825792</v>
      </c>
      <c r="S488" s="21">
        <f t="shared" ca="1" si="714"/>
        <v>57.30752708825792</v>
      </c>
      <c r="T488" s="21">
        <f t="shared" ca="1" si="714"/>
        <v>57.30752708825792</v>
      </c>
      <c r="U488" s="21">
        <f t="shared" ca="1" si="714"/>
        <v>57.30752708825792</v>
      </c>
      <c r="V488" s="21">
        <f t="shared" ca="1" si="714"/>
        <v>57.30752708825792</v>
      </c>
      <c r="W488" s="613">
        <f ca="1">SUMPRODUCT(P$476:V$476,P488:V488)/W$476</f>
        <v>57.307527088257913</v>
      </c>
      <c r="Y488" s="21">
        <f t="shared" ref="Y488:AE488" ca="1" si="715">60*$J$79/(1/($Y$135/$Y482+$Z$135/$Z482+$AA$135/$AA482+$AB$135/$AB482+$AC$135/$AC482+$AD$135/$AD482+$AE$135/$AE482))</f>
        <v>57.30752708825792</v>
      </c>
      <c r="Z488" s="21">
        <f t="shared" ca="1" si="715"/>
        <v>57.30752708825792</v>
      </c>
      <c r="AA488" s="21">
        <f t="shared" ca="1" si="715"/>
        <v>57.30752708825792</v>
      </c>
      <c r="AB488" s="21">
        <f t="shared" ca="1" si="715"/>
        <v>57.30752708825792</v>
      </c>
      <c r="AC488" s="21">
        <f t="shared" ca="1" si="715"/>
        <v>57.30752708825792</v>
      </c>
      <c r="AD488" s="21">
        <f t="shared" ca="1" si="715"/>
        <v>57.30752708825792</v>
      </c>
      <c r="AE488" s="21">
        <f t="shared" ca="1" si="715"/>
        <v>57.30752708825792</v>
      </c>
      <c r="AF488" s="613">
        <f ca="1">SUMPRODUCT(Y$476:AE$476,Y488:AE488)/AF$476</f>
        <v>57.307527088257928</v>
      </c>
      <c r="AH488" s="21">
        <f ca="1">AH487</f>
        <v>27.654641558819254</v>
      </c>
      <c r="AI488" s="21">
        <f t="shared" ref="AI488:AN488" ca="1" si="716">AI487</f>
        <v>34.234048931516462</v>
      </c>
      <c r="AJ488" s="21">
        <f t="shared" ca="1" si="716"/>
        <v>106.74427211388574</v>
      </c>
      <c r="AK488" s="21">
        <f t="shared" ca="1" si="716"/>
        <v>85.418821040668718</v>
      </c>
      <c r="AL488" s="21">
        <f t="shared" ca="1" si="716"/>
        <v>68.263916274540662</v>
      </c>
      <c r="AM488" s="21">
        <f t="shared" ca="1" si="716"/>
        <v>118.53836691921079</v>
      </c>
      <c r="AN488" s="21">
        <f t="shared" ca="1" si="716"/>
        <v>63.447007874837382</v>
      </c>
      <c r="AO488" s="613">
        <f ca="1">SUMPRODUCT(AH$476:AN$476,AH488:AN488)/AO$476</f>
        <v>83.042724758383244</v>
      </c>
      <c r="AX488" s="613"/>
      <c r="AZ488" s="21">
        <f t="shared" ref="AZ488:BF488" ca="1" si="717">60*$M$79/(1/($AZ$135/$AZ482+$BA$135/$BA482+$BB$135/$BB482+$BC$135/$BC482+$BD$135/$BD482+$BE$135/$BE482+$BF$135/$BF482))</f>
        <v>42.455576350725103</v>
      </c>
      <c r="BA488" s="21">
        <f t="shared" ca="1" si="717"/>
        <v>42.455576350725103</v>
      </c>
      <c r="BB488" s="21">
        <f t="shared" ca="1" si="717"/>
        <v>42.455576350725103</v>
      </c>
      <c r="BC488" s="21">
        <f t="shared" ca="1" si="717"/>
        <v>42.455576350725103</v>
      </c>
      <c r="BD488" s="21">
        <f t="shared" ca="1" si="717"/>
        <v>42.455576350725103</v>
      </c>
      <c r="BE488" s="21">
        <f t="shared" ca="1" si="717"/>
        <v>42.455576350725103</v>
      </c>
      <c r="BF488" s="21">
        <f t="shared" ca="1" si="717"/>
        <v>42.455576350725103</v>
      </c>
      <c r="BG488" s="613">
        <f ca="1">SUMPRODUCT(AZ$476:BF$476,AZ488:BF488)/BG$476</f>
        <v>42.45557635072511</v>
      </c>
      <c r="BI488" s="21">
        <f t="shared" ref="BI488:BO488" ca="1" si="718">60*$N$79/(1/($BI$135/$BI482+$BJ$135/$BJ482+$BK$135/$BK482+$BL$135/$BL482+$BM$135/$BM482+$BN$135/$BN482+$BO$135/$BO482))</f>
        <v>58.890607947049574</v>
      </c>
      <c r="BJ488" s="21">
        <f t="shared" ca="1" si="718"/>
        <v>58.890607947049574</v>
      </c>
      <c r="BK488" s="21">
        <f t="shared" ca="1" si="718"/>
        <v>58.890607947049574</v>
      </c>
      <c r="BL488" s="21">
        <f t="shared" ca="1" si="718"/>
        <v>58.890607947049574</v>
      </c>
      <c r="BM488" s="21">
        <f t="shared" ca="1" si="718"/>
        <v>58.890607947049574</v>
      </c>
      <c r="BN488" s="21">
        <f t="shared" ca="1" si="718"/>
        <v>58.890607947049574</v>
      </c>
      <c r="BO488" s="21">
        <f t="shared" ca="1" si="718"/>
        <v>58.890607947049574</v>
      </c>
      <c r="BP488" s="613">
        <f ca="1">SUMPRODUCT(BI$476:BO$476,BI488:BO488)/BP$476</f>
        <v>58.89060794704956</v>
      </c>
    </row>
    <row r="489" spans="2:68" ht="13.2" customHeight="1">
      <c r="B489" s="308" t="s">
        <v>2243</v>
      </c>
      <c r="C489" s="297"/>
      <c r="D489" s="297"/>
      <c r="E489" s="297"/>
      <c r="F489" s="297"/>
      <c r="G489" s="3741"/>
      <c r="H489" s="3742"/>
      <c r="I489" s="3742"/>
      <c r="J489" s="3742"/>
      <c r="K489" s="3742"/>
      <c r="L489" s="3777"/>
      <c r="O489" s="39">
        <f>ROW()</f>
        <v>489</v>
      </c>
      <c r="P489" s="21">
        <f t="shared" ref="P489:W489" ca="1" si="719">SUM(P485:P488)</f>
        <v>86.097358718200155</v>
      </c>
      <c r="Q489" s="21">
        <f t="shared" ca="1" si="719"/>
        <v>90.543664444109339</v>
      </c>
      <c r="R489" s="21">
        <f t="shared" ca="1" si="719"/>
        <v>142.94359378340559</v>
      </c>
      <c r="S489" s="21">
        <f t="shared" ca="1" si="719"/>
        <v>128.23893733330428</v>
      </c>
      <c r="T489" s="21">
        <f t="shared" ca="1" si="719"/>
        <v>115.60499842439594</v>
      </c>
      <c r="U489" s="21">
        <f t="shared" ca="1" si="719"/>
        <v>151.63591313522329</v>
      </c>
      <c r="V489" s="21">
        <f t="shared" ca="1" si="719"/>
        <v>112.2791367282903</v>
      </c>
      <c r="W489" s="614">
        <f t="shared" ca="1" si="719"/>
        <v>129.76147101948732</v>
      </c>
      <c r="Y489" s="21">
        <f t="shared" ref="Y489:AF489" ca="1" si="720">SUM(Y485:Y488)</f>
        <v>86.097358718200155</v>
      </c>
      <c r="Z489" s="21">
        <f t="shared" ca="1" si="720"/>
        <v>90.543664444109339</v>
      </c>
      <c r="AA489" s="21">
        <f t="shared" ca="1" si="720"/>
        <v>142.94359378340559</v>
      </c>
      <c r="AB489" s="21">
        <f t="shared" ca="1" si="720"/>
        <v>128.23893733330428</v>
      </c>
      <c r="AC489" s="21">
        <f t="shared" ca="1" si="720"/>
        <v>115.60499842439594</v>
      </c>
      <c r="AD489" s="21">
        <f t="shared" ca="1" si="720"/>
        <v>151.63591313522329</v>
      </c>
      <c r="AE489" s="21">
        <f t="shared" ca="1" si="720"/>
        <v>112.27913672829031</v>
      </c>
      <c r="AF489" s="614">
        <f t="shared" ca="1" si="720"/>
        <v>129.43012919487148</v>
      </c>
      <c r="AH489" s="21">
        <f t="shared" ref="AH489:AO489" ca="1" si="721">SUM(AH485:AH488)</f>
        <v>64.39356770091598</v>
      </c>
      <c r="AI489" s="21">
        <f t="shared" ca="1" si="721"/>
        <v>77.706069855234674</v>
      </c>
      <c r="AJ489" s="21">
        <f t="shared" ca="1" si="721"/>
        <v>233.11955443066142</v>
      </c>
      <c r="AK489" s="21">
        <f t="shared" ca="1" si="721"/>
        <v>189.2201682702584</v>
      </c>
      <c r="AL489" s="21">
        <f t="shared" ca="1" si="721"/>
        <v>151.84517926538882</v>
      </c>
      <c r="AM489" s="21">
        <f t="shared" ca="1" si="721"/>
        <v>258.83149311420999</v>
      </c>
      <c r="AN489" s="21">
        <f t="shared" ca="1" si="721"/>
        <v>141.91801352611208</v>
      </c>
      <c r="AO489" s="614">
        <f t="shared" ca="1" si="721"/>
        <v>183.04752820570806</v>
      </c>
      <c r="AQ489" s="21">
        <f t="shared" ref="AQ489:AX489" ca="1" si="722">AQ485+AQ487</f>
        <v>12.588073263248011</v>
      </c>
      <c r="AR489" s="21">
        <f t="shared" ca="1" si="722"/>
        <v>14.262163977641858</v>
      </c>
      <c r="AS489" s="21">
        <f t="shared" ca="1" si="722"/>
        <v>38.435167258102176</v>
      </c>
      <c r="AT489" s="21">
        <f t="shared" ca="1" si="722"/>
        <v>32.515385589888531</v>
      </c>
      <c r="AU489" s="21">
        <f t="shared" ca="1" si="722"/>
        <v>26.397488451699076</v>
      </c>
      <c r="AV489" s="21">
        <f t="shared" ca="1" si="722"/>
        <v>42.652059512867652</v>
      </c>
      <c r="AW489" s="21">
        <f t="shared" ca="1" si="722"/>
        <v>25.052886939580478</v>
      </c>
      <c r="AX489" s="614">
        <f t="shared" ca="1" si="722"/>
        <v>30.555900853100916</v>
      </c>
      <c r="AZ489" s="21">
        <f t="shared" ref="AZ489:BG489" ca="1" si="723">SUM(AZ485:AZ488)</f>
        <v>80.962146398747649</v>
      </c>
      <c r="BA489" s="21">
        <f t="shared" ca="1" si="723"/>
        <v>84.355743678773521</v>
      </c>
      <c r="BB489" s="21">
        <f t="shared" ca="1" si="723"/>
        <v>129.91142147007295</v>
      </c>
      <c r="BC489" s="21">
        <f t="shared" ca="1" si="723"/>
        <v>118.20850234271799</v>
      </c>
      <c r="BD489" s="21">
        <f t="shared" ca="1" si="723"/>
        <v>106.86222983528558</v>
      </c>
      <c r="BE489" s="21">
        <f t="shared" ca="1" si="723"/>
        <v>137.72744290987163</v>
      </c>
      <c r="BF489" s="21">
        <f t="shared" ca="1" si="723"/>
        <v>104.20818365596176</v>
      </c>
      <c r="BG489" s="614">
        <f t="shared" ca="1" si="723"/>
        <v>117.99072438242523</v>
      </c>
      <c r="BI489" s="21">
        <f t="shared" ref="BI489:BP489" ca="1" si="724">SUM(BI485:BI488)</f>
        <v>94.401775514464802</v>
      </c>
      <c r="BJ489" s="21">
        <f t="shared" ca="1" si="724"/>
        <v>99.005269450094701</v>
      </c>
      <c r="BK489" s="21">
        <f t="shared" ca="1" si="724"/>
        <v>155.17643034621568</v>
      </c>
      <c r="BL489" s="21">
        <f t="shared" ca="1" si="724"/>
        <v>139.78642654975624</v>
      </c>
      <c r="BM489" s="21">
        <f t="shared" ca="1" si="724"/>
        <v>126.11815793738457</v>
      </c>
      <c r="BN489" s="21">
        <f t="shared" ca="1" si="724"/>
        <v>164.5837058695966</v>
      </c>
      <c r="BO489" s="21">
        <f t="shared" ca="1" si="724"/>
        <v>122.63483340486511</v>
      </c>
      <c r="BP489" s="614">
        <f t="shared" ca="1" si="724"/>
        <v>140.40207799064291</v>
      </c>
    </row>
    <row r="490" spans="2:68" ht="13.2" customHeight="1">
      <c r="B490" s="308"/>
      <c r="C490" s="297"/>
      <c r="D490" s="297"/>
      <c r="E490" s="297"/>
      <c r="F490" s="297"/>
      <c r="G490" s="280"/>
      <c r="O490" s="39">
        <f>ROW()</f>
        <v>490</v>
      </c>
      <c r="P490" s="21"/>
      <c r="Q490" s="21"/>
      <c r="R490" s="21"/>
      <c r="S490" s="21"/>
      <c r="T490" s="21"/>
      <c r="U490" s="21"/>
      <c r="V490" s="21"/>
      <c r="W490" s="634"/>
      <c r="Y490" s="21"/>
      <c r="Z490" s="21"/>
      <c r="AA490" s="21"/>
      <c r="AB490" s="21"/>
      <c r="AC490" s="21"/>
      <c r="AD490" s="21"/>
      <c r="AE490" s="21"/>
      <c r="AF490" s="634"/>
      <c r="AH490" s="21"/>
      <c r="AI490" s="21"/>
      <c r="AJ490" s="21"/>
      <c r="AK490" s="21"/>
      <c r="AL490" s="21"/>
      <c r="AM490" s="21"/>
      <c r="AN490" s="21"/>
      <c r="AO490" s="634"/>
      <c r="AQ490" s="21"/>
      <c r="AR490" s="21"/>
      <c r="AS490" s="21"/>
      <c r="AT490" s="21"/>
      <c r="AU490" s="21"/>
      <c r="AV490" s="21"/>
      <c r="AW490" s="21"/>
      <c r="AX490" s="634"/>
      <c r="AZ490" s="21"/>
      <c r="BA490" s="21"/>
      <c r="BB490" s="21"/>
      <c r="BC490" s="21"/>
      <c r="BD490" s="21"/>
      <c r="BE490" s="21"/>
      <c r="BF490" s="21"/>
      <c r="BG490" s="634"/>
      <c r="BI490" s="21"/>
      <c r="BJ490" s="21"/>
      <c r="BK490" s="21"/>
      <c r="BL490" s="21"/>
      <c r="BM490" s="21"/>
      <c r="BN490" s="21"/>
      <c r="BO490" s="21"/>
      <c r="BP490" s="634"/>
    </row>
    <row r="491" spans="2:68" ht="13.2" customHeight="1">
      <c r="B491" s="308" t="s">
        <v>715</v>
      </c>
      <c r="C491" s="297"/>
      <c r="D491" s="297"/>
      <c r="E491" s="297"/>
      <c r="F491" s="297"/>
      <c r="G491" s="280"/>
      <c r="O491" s="39">
        <f>ROW()</f>
        <v>491</v>
      </c>
      <c r="P491" s="21">
        <f t="shared" ref="P491:W491" ca="1" si="725">AVERAGE(P489,P435)</f>
        <v>78.007342871153639</v>
      </c>
      <c r="Q491" s="21">
        <f t="shared" ca="1" si="725"/>
        <v>80.952281633563587</v>
      </c>
      <c r="R491" s="21">
        <f t="shared" ca="1" si="725"/>
        <v>122.9993647957272</v>
      </c>
      <c r="S491" s="21">
        <f t="shared" ca="1" si="725"/>
        <v>112.09028620477291</v>
      </c>
      <c r="T491" s="21">
        <f t="shared" ca="1" si="725"/>
        <v>103.06021185869751</v>
      </c>
      <c r="U491" s="21">
        <f t="shared" ca="1" si="725"/>
        <v>130.62999625360328</v>
      </c>
      <c r="V491" s="21">
        <f t="shared" ca="1" si="725"/>
        <v>99.620001199961479</v>
      </c>
      <c r="W491" s="21">
        <f t="shared" ca="1" si="725"/>
        <v>113.09253478574124</v>
      </c>
      <c r="Y491" s="21">
        <f t="shared" ref="Y491:AF491" ca="1" si="726">AVERAGE(Y489,Y435)</f>
        <v>78.007342871153639</v>
      </c>
      <c r="Z491" s="21">
        <f t="shared" ca="1" si="726"/>
        <v>80.952281633563587</v>
      </c>
      <c r="AA491" s="21">
        <f t="shared" ca="1" si="726"/>
        <v>122.9993647957272</v>
      </c>
      <c r="AB491" s="21">
        <f t="shared" ca="1" si="726"/>
        <v>112.09028620477291</v>
      </c>
      <c r="AC491" s="21">
        <f t="shared" ca="1" si="726"/>
        <v>103.06021185869751</v>
      </c>
      <c r="AD491" s="21">
        <f t="shared" ca="1" si="726"/>
        <v>130.62999625360328</v>
      </c>
      <c r="AE491" s="21">
        <f t="shared" ca="1" si="726"/>
        <v>99.620001199961479</v>
      </c>
      <c r="AF491" s="21">
        <f t="shared" ca="1" si="726"/>
        <v>112.89783564846094</v>
      </c>
      <c r="AH491" s="21">
        <f t="shared" ref="AH491:AO491" ca="1" si="727">AVERAGE(AH489,AH435)</f>
        <v>64.370968439357554</v>
      </c>
      <c r="AI491" s="21">
        <f t="shared" ca="1" si="727"/>
        <v>73.191750067233968</v>
      </c>
      <c r="AJ491" s="21">
        <f t="shared" ca="1" si="727"/>
        <v>197.87697286529007</v>
      </c>
      <c r="AK491" s="21">
        <f t="shared" ca="1" si="727"/>
        <v>165.28825571130301</v>
      </c>
      <c r="AL491" s="21">
        <f t="shared" ca="1" si="727"/>
        <v>138.60455430425736</v>
      </c>
      <c r="AM491" s="21">
        <f t="shared" ca="1" si="727"/>
        <v>220.39525995803859</v>
      </c>
      <c r="AN491" s="21">
        <f t="shared" ca="1" si="727"/>
        <v>128.31986947410803</v>
      </c>
      <c r="AO491" s="21">
        <f t="shared" ca="1" si="727"/>
        <v>159.83310752695462</v>
      </c>
      <c r="AQ491" s="21">
        <f t="shared" ref="AQ491:AX491" ca="1" si="728">AVERAGE(AQ489,AQ435)</f>
        <v>12.573205328012204</v>
      </c>
      <c r="AR491" s="21">
        <f t="shared" ca="1" si="728"/>
        <v>13.671585535289104</v>
      </c>
      <c r="AS491" s="21">
        <f t="shared" ca="1" si="728"/>
        <v>33.136877287672938</v>
      </c>
      <c r="AT491" s="21">
        <f t="shared" ca="1" si="728"/>
        <v>28.80740598537265</v>
      </c>
      <c r="AU491" s="21">
        <f t="shared" ca="1" si="728"/>
        <v>24.344355279363089</v>
      </c>
      <c r="AV491" s="21">
        <f t="shared" ca="1" si="728"/>
        <v>36.998905822484069</v>
      </c>
      <c r="AW491" s="21">
        <f t="shared" ca="1" si="728"/>
        <v>23.002347241547831</v>
      </c>
      <c r="AX491" s="21">
        <f t="shared" ca="1" si="728"/>
        <v>27.249541291042092</v>
      </c>
      <c r="AZ491" s="21">
        <f t="shared" ref="AZ491:BG491" ca="1" si="729">AVERAGE(AZ489,AZ435)</f>
        <v>74.914923692544988</v>
      </c>
      <c r="BA491" s="21">
        <f t="shared" ca="1" si="729"/>
        <v>77.1551922291724</v>
      </c>
      <c r="BB491" s="21">
        <f t="shared" ca="1" si="729"/>
        <v>114.06628121037394</v>
      </c>
      <c r="BC491" s="21">
        <f t="shared" ca="1" si="729"/>
        <v>105.42704579085792</v>
      </c>
      <c r="BD491" s="21">
        <f t="shared" ca="1" si="729"/>
        <v>97.145352602359551</v>
      </c>
      <c r="BE491" s="21">
        <f t="shared" ca="1" si="729"/>
        <v>121.20433661456566</v>
      </c>
      <c r="BF491" s="21">
        <f t="shared" ca="1" si="729"/>
        <v>94.444964854128941</v>
      </c>
      <c r="BG491" s="21">
        <f t="shared" ca="1" si="729"/>
        <v>105.22529217232042</v>
      </c>
      <c r="BI491" s="21">
        <f t="shared" ref="BI491:BP491" ca="1" si="730">AVERAGE(BI489,BI435)</f>
        <v>86.495126810541976</v>
      </c>
      <c r="BJ491" s="21">
        <f t="shared" ca="1" si="730"/>
        <v>89.547305474589592</v>
      </c>
      <c r="BK491" s="21">
        <f t="shared" ca="1" si="730"/>
        <v>134.90893044154404</v>
      </c>
      <c r="BL491" s="21">
        <f t="shared" ca="1" si="730"/>
        <v>123.4761446002574</v>
      </c>
      <c r="BM491" s="21">
        <f t="shared" ca="1" si="730"/>
        <v>113.6156203234587</v>
      </c>
      <c r="BN491" s="21">
        <f t="shared" ca="1" si="730"/>
        <v>143.30251976806181</v>
      </c>
      <c r="BO491" s="21">
        <f t="shared" ca="1" si="730"/>
        <v>110.0133642855436</v>
      </c>
      <c r="BP491" s="21">
        <f t="shared" ca="1" si="730"/>
        <v>123.80962310393852</v>
      </c>
    </row>
    <row r="492" spans="2:68" ht="13.2" customHeight="1">
      <c r="B492" s="309" t="s">
        <v>30</v>
      </c>
      <c r="C492" s="297"/>
      <c r="D492" s="297"/>
      <c r="E492" s="297"/>
      <c r="F492" s="297"/>
      <c r="G492" s="280"/>
      <c r="O492" s="39">
        <f>ROW()</f>
        <v>492</v>
      </c>
      <c r="P492" s="21"/>
      <c r="Q492" s="21"/>
      <c r="R492" s="21"/>
      <c r="S492" s="21"/>
      <c r="T492" s="21"/>
      <c r="U492" s="21"/>
      <c r="V492" s="21"/>
      <c r="W492" s="21"/>
      <c r="Y492" s="21"/>
      <c r="Z492" s="21"/>
      <c r="AA492" s="21"/>
      <c r="AB492" s="21"/>
      <c r="AC492" s="21"/>
      <c r="AD492" s="21"/>
      <c r="AE492" s="21"/>
      <c r="AF492" s="21"/>
      <c r="AH492" s="21"/>
      <c r="AI492" s="21"/>
      <c r="AJ492" s="21"/>
      <c r="AK492" s="21"/>
      <c r="AL492" s="21"/>
      <c r="AM492" s="21"/>
      <c r="AN492" s="21"/>
      <c r="AO492" s="21"/>
      <c r="AQ492" s="21"/>
      <c r="AR492" s="21"/>
      <c r="AS492" s="21"/>
      <c r="AT492" s="21"/>
      <c r="AU492" s="21"/>
      <c r="AV492" s="21"/>
      <c r="AW492" s="21"/>
      <c r="AX492" s="21"/>
      <c r="AZ492" s="21"/>
      <c r="BA492" s="21"/>
      <c r="BB492" s="21"/>
      <c r="BC492" s="21"/>
      <c r="BD492" s="21"/>
      <c r="BE492" s="21"/>
      <c r="BF492" s="21"/>
      <c r="BG492" s="21"/>
      <c r="BI492" s="21"/>
      <c r="BJ492" s="21"/>
      <c r="BK492" s="21"/>
      <c r="BL492" s="21"/>
      <c r="BM492" s="21"/>
      <c r="BN492" s="21"/>
      <c r="BO492" s="21"/>
      <c r="BP492" s="21"/>
    </row>
    <row r="493" spans="2:68" ht="13.2" customHeight="1">
      <c r="B493" s="308" t="s">
        <v>1345</v>
      </c>
      <c r="G493" s="4285" t="s">
        <v>2351</v>
      </c>
      <c r="H493" s="3970"/>
      <c r="I493" s="3970"/>
      <c r="J493" s="3970"/>
      <c r="K493" s="3970"/>
      <c r="L493" s="3971"/>
      <c r="O493" s="39">
        <f>ROW()</f>
        <v>493</v>
      </c>
      <c r="P493" s="117">
        <f t="shared" ref="P493:W493" ca="1" si="731">P491/P435</f>
        <v>1.1157083113926409</v>
      </c>
      <c r="Q493" s="117">
        <f t="shared" ca="1" si="731"/>
        <v>1.1344066984684893</v>
      </c>
      <c r="R493" s="117">
        <f t="shared" ca="1" si="731"/>
        <v>1.1935296948696146</v>
      </c>
      <c r="S493" s="117">
        <f t="shared" ca="1" si="731"/>
        <v>1.1683174475367091</v>
      </c>
      <c r="T493" s="117">
        <f t="shared" ca="1" si="731"/>
        <v>1.138592803658502</v>
      </c>
      <c r="U493" s="117">
        <f t="shared" ca="1" si="731"/>
        <v>1.1916177267071169</v>
      </c>
      <c r="V493" s="117">
        <f t="shared" ca="1" si="731"/>
        <v>1.1455727864546585</v>
      </c>
      <c r="W493" s="117">
        <f t="shared" ca="1" si="731"/>
        <v>1.172871957529749</v>
      </c>
      <c r="Y493" s="117">
        <f t="shared" ref="Y493:AF493" ca="1" si="732">Y491/Y435</f>
        <v>1.1157083113926409</v>
      </c>
      <c r="Z493" s="117">
        <f t="shared" ca="1" si="732"/>
        <v>1.1344066984684893</v>
      </c>
      <c r="AA493" s="117">
        <f t="shared" ca="1" si="732"/>
        <v>1.1935296948696146</v>
      </c>
      <c r="AB493" s="117">
        <f t="shared" ca="1" si="732"/>
        <v>1.1683174475367091</v>
      </c>
      <c r="AC493" s="117">
        <f t="shared" ca="1" si="732"/>
        <v>1.138592803658502</v>
      </c>
      <c r="AD493" s="117">
        <f t="shared" ca="1" si="732"/>
        <v>1.1916177267071169</v>
      </c>
      <c r="AE493" s="117">
        <f t="shared" ca="1" si="732"/>
        <v>1.1455727864546585</v>
      </c>
      <c r="AF493" s="117">
        <f t="shared" ca="1" si="732"/>
        <v>1.1715581439774703</v>
      </c>
      <c r="AH493" s="117">
        <f t="shared" ref="AH493:AO493" ca="1" si="733">AH491/AH435</f>
        <v>1.0003512017763183</v>
      </c>
      <c r="AI493" s="117">
        <f t="shared" ca="1" si="733"/>
        <v>1.0657322175516191</v>
      </c>
      <c r="AJ493" s="117">
        <f t="shared" ca="1" si="733"/>
        <v>1.2166982105302655</v>
      </c>
      <c r="AK493" s="117">
        <f t="shared" ca="1" si="733"/>
        <v>1.1693020067246833</v>
      </c>
      <c r="AL493" s="117">
        <f t="shared" ca="1" si="733"/>
        <v>1.1056175012263003</v>
      </c>
      <c r="AM493" s="117">
        <f t="shared" ca="1" si="733"/>
        <v>1.2112356492103253</v>
      </c>
      <c r="AN493" s="117">
        <f t="shared" ca="1" si="733"/>
        <v>1.1185315510377078</v>
      </c>
      <c r="AO493" s="117">
        <f t="shared" ca="1" si="733"/>
        <v>1.1699212692956658</v>
      </c>
      <c r="AQ493" s="117">
        <f t="shared" ref="AQ493:AX493" ca="1" si="734">AQ491/AQ435</f>
        <v>1.0011839095232749</v>
      </c>
      <c r="AR493" s="117">
        <f t="shared" ca="1" si="734"/>
        <v>1.0451477809129592</v>
      </c>
      <c r="AS493" s="117">
        <f t="shared" ca="1" si="734"/>
        <v>1.1903217972252271</v>
      </c>
      <c r="AT493" s="117">
        <f t="shared" ca="1" si="734"/>
        <v>1.1477316472596339</v>
      </c>
      <c r="AU493" s="117">
        <f t="shared" ca="1" si="734"/>
        <v>1.0921050071852614</v>
      </c>
      <c r="AV493" s="117">
        <f t="shared" ca="1" si="734"/>
        <v>1.1803483185396058</v>
      </c>
      <c r="AW493" s="117">
        <f t="shared" ca="1" si="734"/>
        <v>1.0978693458201085</v>
      </c>
      <c r="AX493" s="117">
        <f t="shared" ca="1" si="734"/>
        <v>1.1380919043878144</v>
      </c>
      <c r="AZ493" s="117">
        <f t="shared" ref="AZ493:BG493" ca="1" si="735">AZ491/AZ435</f>
        <v>1.0878092722654114</v>
      </c>
      <c r="BA493" s="117">
        <f t="shared" ca="1" si="735"/>
        <v>1.1029317193163812</v>
      </c>
      <c r="BB493" s="117">
        <f t="shared" ca="1" si="735"/>
        <v>1.1613210771768185</v>
      </c>
      <c r="BC493" s="117">
        <f t="shared" ca="1" si="735"/>
        <v>1.1379607670138268</v>
      </c>
      <c r="BD493" s="117">
        <f t="shared" ca="1" si="735"/>
        <v>1.1111408747764027</v>
      </c>
      <c r="BE493" s="117">
        <f t="shared" ca="1" si="735"/>
        <v>1.1578421102323055</v>
      </c>
      <c r="BF493" s="117">
        <f t="shared" ca="1" si="735"/>
        <v>1.1152930738556506</v>
      </c>
      <c r="BG493" s="117">
        <f t="shared" ca="1" si="735"/>
        <v>1.1380645851650812</v>
      </c>
      <c r="BI493" s="117">
        <f t="shared" ref="BI493:BP493" ca="1" si="736">BI491/BI435</f>
        <v>1.1006082430200017</v>
      </c>
      <c r="BJ493" s="117">
        <f t="shared" ca="1" si="736"/>
        <v>1.1180926674945031</v>
      </c>
      <c r="BK493" s="117">
        <f t="shared" ca="1" si="736"/>
        <v>1.1767903611264945</v>
      </c>
      <c r="BL493" s="117">
        <f t="shared" ca="1" si="736"/>
        <v>1.1521966188304966</v>
      </c>
      <c r="BM493" s="117">
        <f t="shared" ca="1" si="736"/>
        <v>1.1236490598337492</v>
      </c>
      <c r="BN493" s="117">
        <f t="shared" ca="1" si="736"/>
        <v>1.1744054540470297</v>
      </c>
      <c r="BO493" s="117">
        <f t="shared" ca="1" si="736"/>
        <v>1.1295946556721173</v>
      </c>
      <c r="BP493" s="117">
        <f t="shared" ca="1" si="736"/>
        <v>1.1547555784451069</v>
      </c>
    </row>
    <row r="494" spans="2:68" ht="13.2" customHeight="1">
      <c r="B494" s="280"/>
      <c r="G494" s="280"/>
      <c r="O494" s="39">
        <f>ROW()</f>
        <v>494</v>
      </c>
      <c r="P494" s="117"/>
      <c r="Q494" s="117"/>
      <c r="R494" s="117"/>
      <c r="S494" s="117"/>
      <c r="T494" s="117"/>
      <c r="U494" s="117"/>
      <c r="V494" s="117"/>
      <c r="W494" s="117"/>
      <c r="Y494" s="117"/>
      <c r="Z494" s="117"/>
      <c r="AA494" s="117"/>
      <c r="AB494" s="117"/>
      <c r="AC494" s="117"/>
      <c r="AD494" s="117"/>
      <c r="AE494" s="117"/>
      <c r="AF494" s="117"/>
      <c r="AH494" s="117"/>
      <c r="AI494" s="117"/>
      <c r="AJ494" s="117"/>
      <c r="AK494" s="117"/>
      <c r="AL494" s="117"/>
      <c r="AM494" s="117"/>
      <c r="AN494" s="117"/>
      <c r="AO494" s="117"/>
      <c r="AQ494" s="117"/>
      <c r="AR494" s="117"/>
      <c r="AS494" s="117"/>
      <c r="AT494" s="117"/>
      <c r="AU494" s="117"/>
      <c r="AV494" s="117"/>
      <c r="AW494" s="117"/>
      <c r="AX494" s="117"/>
      <c r="AZ494" s="117"/>
      <c r="BA494" s="117"/>
      <c r="BB494" s="117"/>
      <c r="BC494" s="117"/>
      <c r="BD494" s="117"/>
      <c r="BE494" s="117"/>
      <c r="BF494" s="117"/>
      <c r="BG494" s="117"/>
      <c r="BI494" s="117"/>
      <c r="BJ494" s="117"/>
      <c r="BK494" s="117"/>
      <c r="BL494" s="117"/>
      <c r="BM494" s="117"/>
      <c r="BN494" s="117"/>
      <c r="BO494" s="117"/>
      <c r="BP494" s="117"/>
    </row>
    <row r="495" spans="2:68" ht="13.2" customHeight="1">
      <c r="B495" s="308" t="s">
        <v>2377</v>
      </c>
      <c r="G495" s="280"/>
      <c r="O495" s="39">
        <f>ROW()</f>
        <v>495</v>
      </c>
      <c r="P495" s="117"/>
      <c r="Q495" s="117"/>
      <c r="R495" s="117"/>
      <c r="S495" s="117"/>
      <c r="T495" s="117"/>
      <c r="U495" s="117"/>
      <c r="V495" s="117"/>
      <c r="W495" s="117"/>
      <c r="Y495" s="117"/>
      <c r="Z495" s="117"/>
      <c r="AA495" s="117"/>
      <c r="AB495" s="117"/>
      <c r="AC495" s="117"/>
      <c r="AD495" s="117"/>
      <c r="AE495" s="117"/>
      <c r="AF495" s="117"/>
      <c r="AH495" s="117"/>
      <c r="AI495" s="117"/>
      <c r="AJ495" s="117"/>
      <c r="AK495" s="117"/>
      <c r="AL495" s="117"/>
      <c r="AM495" s="117"/>
      <c r="AN495" s="117"/>
      <c r="AO495" s="117"/>
      <c r="AQ495" s="117"/>
      <c r="AR495" s="117"/>
      <c r="AS495" s="117"/>
      <c r="AT495" s="117"/>
      <c r="AU495" s="117"/>
      <c r="AV495" s="117"/>
      <c r="AW495" s="117"/>
      <c r="AX495" s="117"/>
      <c r="AZ495" s="117"/>
      <c r="BA495" s="117"/>
      <c r="BB495" s="117"/>
      <c r="BC495" s="117"/>
      <c r="BD495" s="117"/>
      <c r="BE495" s="117"/>
      <c r="BF495" s="117"/>
      <c r="BG495" s="117"/>
      <c r="BI495" s="117"/>
      <c r="BJ495" s="117"/>
      <c r="BK495" s="117"/>
      <c r="BL495" s="117"/>
      <c r="BM495" s="117"/>
      <c r="BN495" s="117"/>
      <c r="BO495" s="117"/>
      <c r="BP495" s="117"/>
    </row>
    <row r="496" spans="2:68" ht="13.2" customHeight="1">
      <c r="B496" s="280" t="s">
        <v>2533</v>
      </c>
      <c r="G496" s="21">
        <f t="shared" ref="G496:M496" ca="1" si="737">AVERAGE(G481,G403)</f>
        <v>21.188243398022344</v>
      </c>
      <c r="H496" s="21">
        <f t="shared" ca="1" si="737"/>
        <v>21.001137047771657</v>
      </c>
      <c r="I496" s="21">
        <f t="shared" ca="1" si="737"/>
        <v>11.04464864650388</v>
      </c>
      <c r="J496" s="21">
        <f t="shared" ca="1" si="737"/>
        <v>11.523564616233704</v>
      </c>
      <c r="K496" s="21">
        <f t="shared" ca="1" si="737"/>
        <v>13.341881995931281</v>
      </c>
      <c r="L496" s="21">
        <f t="shared" ca="1" si="737"/>
        <v>9.7993648737562875</v>
      </c>
      <c r="M496" s="21">
        <f t="shared" ca="1" si="737"/>
        <v>13.529999009517944</v>
      </c>
      <c r="O496" s="39">
        <f>ROW()</f>
        <v>496</v>
      </c>
      <c r="P496" s="21">
        <f t="shared" ref="P496:V497" ca="1" si="738">G496</f>
        <v>21.188243398022344</v>
      </c>
      <c r="Q496" s="21">
        <f t="shared" ca="1" si="738"/>
        <v>21.001137047771657</v>
      </c>
      <c r="R496" s="21">
        <f t="shared" ca="1" si="738"/>
        <v>11.04464864650388</v>
      </c>
      <c r="S496" s="21">
        <f t="shared" ca="1" si="738"/>
        <v>11.523564616233704</v>
      </c>
      <c r="T496" s="21">
        <f t="shared" ca="1" si="738"/>
        <v>13.341881995931281</v>
      </c>
      <c r="U496" s="21">
        <f t="shared" ca="1" si="738"/>
        <v>9.7993648737562875</v>
      </c>
      <c r="V496" s="21">
        <f t="shared" ca="1" si="738"/>
        <v>13.529999009517944</v>
      </c>
      <c r="Y496" s="21">
        <f t="shared" ref="Y496:AE497" ca="1" si="739">G496</f>
        <v>21.188243398022344</v>
      </c>
      <c r="Z496" s="21">
        <f t="shared" ca="1" si="739"/>
        <v>21.001137047771657</v>
      </c>
      <c r="AA496" s="21">
        <f t="shared" ca="1" si="739"/>
        <v>11.04464864650388</v>
      </c>
      <c r="AB496" s="21">
        <f t="shared" ca="1" si="739"/>
        <v>11.523564616233704</v>
      </c>
      <c r="AC496" s="21">
        <f t="shared" ca="1" si="739"/>
        <v>13.341881995931281</v>
      </c>
      <c r="AD496" s="21">
        <f t="shared" ca="1" si="739"/>
        <v>9.7993648737562875</v>
      </c>
      <c r="AE496" s="21">
        <f t="shared" ca="1" si="739"/>
        <v>13.529999009517944</v>
      </c>
      <c r="AH496" s="21">
        <f t="shared" ref="AH496:AN497" ca="1" si="740">P496</f>
        <v>21.188243398022344</v>
      </c>
      <c r="AI496" s="21">
        <f t="shared" ca="1" si="740"/>
        <v>21.001137047771657</v>
      </c>
      <c r="AJ496" s="21">
        <f t="shared" ca="1" si="740"/>
        <v>11.04464864650388</v>
      </c>
      <c r="AK496" s="21">
        <f t="shared" ca="1" si="740"/>
        <v>11.523564616233704</v>
      </c>
      <c r="AL496" s="21">
        <f t="shared" ca="1" si="740"/>
        <v>13.341881995931281</v>
      </c>
      <c r="AM496" s="21">
        <f t="shared" ca="1" si="740"/>
        <v>9.7993648737562875</v>
      </c>
      <c r="AN496" s="21">
        <f t="shared" ca="1" si="740"/>
        <v>13.529999009517944</v>
      </c>
      <c r="AQ496" s="21">
        <f t="shared" ref="AQ496:AW496" ca="1" si="741">G496*$AU$181</f>
        <v>20.128831228121225</v>
      </c>
      <c r="AR496" s="21">
        <f t="shared" ca="1" si="741"/>
        <v>19.951080195383074</v>
      </c>
      <c r="AS496" s="21">
        <f t="shared" ca="1" si="741"/>
        <v>10.492416214178686</v>
      </c>
      <c r="AT496" s="21">
        <f t="shared" ca="1" si="741"/>
        <v>10.947386385422019</v>
      </c>
      <c r="AU496" s="21">
        <f t="shared" ca="1" si="741"/>
        <v>12.674787896134717</v>
      </c>
      <c r="AV496" s="21">
        <f t="shared" ca="1" si="741"/>
        <v>9.3093966300684734</v>
      </c>
      <c r="AW496" s="21">
        <f t="shared" ca="1" si="741"/>
        <v>12.853499059042045</v>
      </c>
      <c r="AZ496" s="21">
        <f t="shared" ref="AZ496:BF497" ca="1" si="742">G496</f>
        <v>21.188243398022344</v>
      </c>
      <c r="BA496" s="21">
        <f t="shared" ca="1" si="742"/>
        <v>21.001137047771657</v>
      </c>
      <c r="BB496" s="21">
        <f t="shared" ca="1" si="742"/>
        <v>11.04464864650388</v>
      </c>
      <c r="BC496" s="21">
        <f t="shared" ca="1" si="742"/>
        <v>11.523564616233704</v>
      </c>
      <c r="BD496" s="21">
        <f t="shared" ca="1" si="742"/>
        <v>13.341881995931281</v>
      </c>
      <c r="BE496" s="21">
        <f t="shared" ca="1" si="742"/>
        <v>9.7993648737562875</v>
      </c>
      <c r="BF496" s="21">
        <f t="shared" ca="1" si="742"/>
        <v>13.529999009517944</v>
      </c>
      <c r="BG496" s="21"/>
      <c r="BI496" s="21">
        <f t="shared" ref="BI496:BO497" ca="1" si="743">G496</f>
        <v>21.188243398022344</v>
      </c>
      <c r="BJ496" s="21">
        <f t="shared" ca="1" si="743"/>
        <v>21.001137047771657</v>
      </c>
      <c r="BK496" s="21">
        <f t="shared" ca="1" si="743"/>
        <v>11.04464864650388</v>
      </c>
      <c r="BL496" s="21">
        <f t="shared" ca="1" si="743"/>
        <v>11.523564616233704</v>
      </c>
      <c r="BM496" s="21">
        <f t="shared" ca="1" si="743"/>
        <v>13.341881995931281</v>
      </c>
      <c r="BN496" s="21">
        <f t="shared" ca="1" si="743"/>
        <v>9.7993648737562875</v>
      </c>
      <c r="BO496" s="21">
        <f t="shared" ca="1" si="743"/>
        <v>13.529999009517944</v>
      </c>
      <c r="BP496" s="21"/>
    </row>
    <row r="497" spans="2:68" ht="13.2" customHeight="1">
      <c r="B497" s="280" t="s">
        <v>2534</v>
      </c>
      <c r="G497" s="21">
        <f t="shared" ref="G497:M497" ca="1" si="744">AVERAGE(G482,G427)</f>
        <v>55</v>
      </c>
      <c r="H497" s="21">
        <f t="shared" ca="1" si="744"/>
        <v>47.722734210596109</v>
      </c>
      <c r="I497" s="21">
        <f t="shared" ca="1" si="744"/>
        <v>17.468979895807422</v>
      </c>
      <c r="J497" s="21">
        <f t="shared" ca="1" si="744"/>
        <v>20.963092690006238</v>
      </c>
      <c r="K497" s="21">
        <f t="shared" ca="1" si="744"/>
        <v>24.746050017811779</v>
      </c>
      <c r="L497" s="21">
        <f t="shared" ca="1" si="744"/>
        <v>15.682358356959011</v>
      </c>
      <c r="M497" s="21">
        <f t="shared" ca="1" si="744"/>
        <v>27.004726941518218</v>
      </c>
      <c r="O497" s="39">
        <f>ROW()</f>
        <v>497</v>
      </c>
      <c r="P497" s="21">
        <f t="shared" ca="1" si="738"/>
        <v>55</v>
      </c>
      <c r="Q497" s="21">
        <f t="shared" ca="1" si="738"/>
        <v>47.722734210596109</v>
      </c>
      <c r="R497" s="21">
        <f t="shared" ca="1" si="738"/>
        <v>17.468979895807422</v>
      </c>
      <c r="S497" s="21">
        <f t="shared" ca="1" si="738"/>
        <v>20.963092690006238</v>
      </c>
      <c r="T497" s="21">
        <f t="shared" ca="1" si="738"/>
        <v>24.746050017811779</v>
      </c>
      <c r="U497" s="21">
        <f t="shared" ca="1" si="738"/>
        <v>15.682358356959011</v>
      </c>
      <c r="V497" s="21">
        <f t="shared" ca="1" si="738"/>
        <v>27.004726941518218</v>
      </c>
      <c r="Y497" s="21">
        <f t="shared" ca="1" si="739"/>
        <v>55</v>
      </c>
      <c r="Z497" s="21">
        <f t="shared" ca="1" si="739"/>
        <v>47.722734210596109</v>
      </c>
      <c r="AA497" s="21">
        <f t="shared" ca="1" si="739"/>
        <v>17.468979895807422</v>
      </c>
      <c r="AB497" s="21">
        <f t="shared" ca="1" si="739"/>
        <v>20.963092690006238</v>
      </c>
      <c r="AC497" s="21">
        <f t="shared" ca="1" si="739"/>
        <v>24.746050017811779</v>
      </c>
      <c r="AD497" s="21">
        <f t="shared" ca="1" si="739"/>
        <v>15.682358356959011</v>
      </c>
      <c r="AE497" s="21">
        <f t="shared" ca="1" si="739"/>
        <v>27.004726941518218</v>
      </c>
      <c r="AH497" s="21">
        <f t="shared" ca="1" si="740"/>
        <v>55</v>
      </c>
      <c r="AI497" s="21">
        <f t="shared" ca="1" si="740"/>
        <v>47.722734210596109</v>
      </c>
      <c r="AJ497" s="21">
        <f t="shared" ca="1" si="740"/>
        <v>17.468979895807422</v>
      </c>
      <c r="AK497" s="21">
        <f t="shared" ca="1" si="740"/>
        <v>20.963092690006238</v>
      </c>
      <c r="AL497" s="21">
        <f t="shared" ca="1" si="740"/>
        <v>24.746050017811779</v>
      </c>
      <c r="AM497" s="21">
        <f t="shared" ca="1" si="740"/>
        <v>15.682358356959011</v>
      </c>
      <c r="AN497" s="21">
        <f t="shared" ca="1" si="740"/>
        <v>27.004726941518218</v>
      </c>
      <c r="AQ497" s="21">
        <f t="shared" ref="AQ497:AW497" ca="1" si="745">G497*$AV$181</f>
        <v>54.45</v>
      </c>
      <c r="AR497" s="21">
        <f t="shared" ca="1" si="745"/>
        <v>47.245506868490146</v>
      </c>
      <c r="AS497" s="21">
        <f t="shared" ca="1" si="745"/>
        <v>17.294290096849348</v>
      </c>
      <c r="AT497" s="21">
        <f t="shared" ca="1" si="745"/>
        <v>20.753461763106177</v>
      </c>
      <c r="AU497" s="21">
        <f t="shared" ca="1" si="745"/>
        <v>24.498589517633661</v>
      </c>
      <c r="AV497" s="21">
        <f t="shared" ca="1" si="745"/>
        <v>15.52553477338942</v>
      </c>
      <c r="AW497" s="21">
        <f t="shared" ca="1" si="745"/>
        <v>26.734679672103034</v>
      </c>
      <c r="AZ497" s="21">
        <f t="shared" ca="1" si="742"/>
        <v>55</v>
      </c>
      <c r="BA497" s="21">
        <f t="shared" ca="1" si="742"/>
        <v>47.722734210596109</v>
      </c>
      <c r="BB497" s="21">
        <f t="shared" ca="1" si="742"/>
        <v>17.468979895807422</v>
      </c>
      <c r="BC497" s="21">
        <f t="shared" ca="1" si="742"/>
        <v>20.963092690006238</v>
      </c>
      <c r="BD497" s="21">
        <f t="shared" ca="1" si="742"/>
        <v>24.746050017811779</v>
      </c>
      <c r="BE497" s="21">
        <f t="shared" ca="1" si="742"/>
        <v>15.682358356959011</v>
      </c>
      <c r="BF497" s="21">
        <f t="shared" ca="1" si="742"/>
        <v>27.004726941518218</v>
      </c>
      <c r="BG497" s="21"/>
      <c r="BI497" s="21">
        <f t="shared" ca="1" si="743"/>
        <v>55</v>
      </c>
      <c r="BJ497" s="21">
        <f t="shared" ca="1" si="743"/>
        <v>47.722734210596109</v>
      </c>
      <c r="BK497" s="21">
        <f t="shared" ca="1" si="743"/>
        <v>17.468979895807422</v>
      </c>
      <c r="BL497" s="21">
        <f t="shared" ca="1" si="743"/>
        <v>20.963092690006238</v>
      </c>
      <c r="BM497" s="21">
        <f t="shared" ca="1" si="743"/>
        <v>24.746050017811779</v>
      </c>
      <c r="BN497" s="21">
        <f t="shared" ca="1" si="743"/>
        <v>15.682358356959011</v>
      </c>
      <c r="BO497" s="21">
        <f t="shared" ca="1" si="743"/>
        <v>27.004726941518218</v>
      </c>
      <c r="BP497" s="21"/>
    </row>
    <row r="498" spans="2:68" ht="13.2" customHeight="1">
      <c r="B498" s="280"/>
      <c r="G498" s="280"/>
      <c r="O498" s="39">
        <f>ROW()</f>
        <v>498</v>
      </c>
      <c r="P498" s="117"/>
      <c r="Q498" s="117"/>
      <c r="R498" s="117"/>
      <c r="S498" s="117"/>
      <c r="T498" s="117"/>
      <c r="U498" s="117"/>
      <c r="V498" s="117"/>
      <c r="W498" s="117"/>
      <c r="Y498" s="117"/>
      <c r="Z498" s="117"/>
      <c r="AA498" s="117"/>
      <c r="AB498" s="117"/>
      <c r="AC498" s="117"/>
      <c r="AD498" s="117"/>
      <c r="AE498" s="117"/>
      <c r="AF498" s="117"/>
      <c r="AH498" s="117"/>
      <c r="AI498" s="117"/>
      <c r="AJ498" s="117"/>
      <c r="AK498" s="117"/>
      <c r="AL498" s="117"/>
      <c r="AM498" s="117"/>
      <c r="AN498" s="117"/>
      <c r="AO498" s="117"/>
      <c r="AQ498" s="117"/>
      <c r="AR498" s="117"/>
      <c r="AS498" s="117"/>
      <c r="AT498" s="117"/>
      <c r="AU498" s="117"/>
      <c r="AV498" s="117"/>
      <c r="AW498" s="117"/>
      <c r="AX498" s="117"/>
      <c r="AZ498" s="117"/>
      <c r="BA498" s="117"/>
      <c r="BB498" s="117"/>
      <c r="BC498" s="117"/>
      <c r="BD498" s="117"/>
      <c r="BE498" s="117"/>
      <c r="BF498" s="117"/>
      <c r="BG498" s="117"/>
      <c r="BI498" s="117"/>
      <c r="BJ498" s="117"/>
      <c r="BK498" s="117"/>
      <c r="BL498" s="117"/>
      <c r="BM498" s="117"/>
      <c r="BN498" s="117"/>
      <c r="BO498" s="117"/>
      <c r="BP498" s="117"/>
    </row>
    <row r="499" spans="2:68" ht="13.2" customHeight="1">
      <c r="B499" s="6" t="s">
        <v>399</v>
      </c>
      <c r="O499" s="39">
        <f>ROW()</f>
        <v>499</v>
      </c>
      <c r="P499" s="117">
        <f ca="1">P493^Elasticities!$G$52</f>
        <v>0.89629161115756828</v>
      </c>
      <c r="Q499" s="117">
        <f ca="1">Q493^Elasticities!$G$52</f>
        <v>0.88151806697726165</v>
      </c>
      <c r="R499" s="117">
        <f ca="1">R493^Elasticities!$G$52</f>
        <v>0.83785095946795318</v>
      </c>
      <c r="S499" s="117">
        <f ca="1">S493^Elasticities!$G$52</f>
        <v>0.85593175220348627</v>
      </c>
      <c r="T499" s="117">
        <f ca="1">T493^Elasticities!$G$52</f>
        <v>0.87827711257863339</v>
      </c>
      <c r="U499" s="117">
        <f ca="1">U493^Elasticities!$G$52</f>
        <v>0.83919530365108963</v>
      </c>
      <c r="V499" s="117">
        <f ca="1">V493^Elasticities!$G$52</f>
        <v>0.87292576414530576</v>
      </c>
      <c r="Y499" s="117">
        <f ca="1">Y493^Elasticities!$H$52</f>
        <v>0.89629161115756828</v>
      </c>
      <c r="Z499" s="117">
        <f ca="1">Z493^Elasticities!$H$52</f>
        <v>0.88151806697726165</v>
      </c>
      <c r="AA499" s="117">
        <f ca="1">AA493^Elasticities!$H$52</f>
        <v>0.83785095946795318</v>
      </c>
      <c r="AB499" s="117">
        <f ca="1">AB493^Elasticities!$H$52</f>
        <v>0.85593175220348627</v>
      </c>
      <c r="AC499" s="117">
        <f ca="1">AC493^Elasticities!$H$52</f>
        <v>0.87827711257863339</v>
      </c>
      <c r="AD499" s="117">
        <f ca="1">AD493^Elasticities!$H$52</f>
        <v>0.83919530365108963</v>
      </c>
      <c r="AE499" s="117">
        <f ca="1">AE493^Elasticities!$H$52</f>
        <v>0.87292576414530576</v>
      </c>
      <c r="AH499" s="638">
        <f ca="1">AH493^Elasticities!$I$52</f>
        <v>0.99964892152306639</v>
      </c>
      <c r="AI499" s="117">
        <f ca="1">AI493^Elasticities!$I$52</f>
        <v>0.93832201328901332</v>
      </c>
      <c r="AJ499" s="117">
        <f ca="1">AJ493^Elasticities!$I$52</f>
        <v>0.82189649934980724</v>
      </c>
      <c r="AK499" s="117">
        <f ca="1">AK493^Elasticities!$I$52</f>
        <v>0.85521105261855068</v>
      </c>
      <c r="AL499" s="117">
        <f ca="1">AL493^Elasticities!$I$52</f>
        <v>0.90447193436323658</v>
      </c>
      <c r="AM499" s="117">
        <f ca="1">AM493^Elasticities!$I$52</f>
        <v>0.82560317693089524</v>
      </c>
      <c r="AN499" s="117">
        <f ca="1">AN493^Elasticities!$I$52</f>
        <v>0.89402931823627041</v>
      </c>
      <c r="AQ499" s="638">
        <f ca="1">P493^Elasticities!$G$54</f>
        <v>0.91613497910634978</v>
      </c>
      <c r="AR499" s="638">
        <f ca="1">Q493^Elasticities!$G$54</f>
        <v>0.9040344369834088</v>
      </c>
      <c r="AS499" s="638">
        <f ca="1">R493^Elasticities!$G$54</f>
        <v>0.86802736563890004</v>
      </c>
      <c r="AT499" s="638">
        <f ca="1">S493^Elasticities!$G$54</f>
        <v>0.8829809014248553</v>
      </c>
      <c r="AU499" s="638">
        <f ca="1">T493^Elasticities!$G$54</f>
        <v>0.90137446819520262</v>
      </c>
      <c r="AV499" s="638">
        <f ca="1">U493^Elasticities!$G$54</f>
        <v>0.86914139711329408</v>
      </c>
      <c r="AW499" s="638">
        <f ca="1">V493^Elasticities!$G$54</f>
        <v>0.89697811996303223</v>
      </c>
      <c r="AZ499" s="117">
        <f ca="1">AZ493^(Elasticities!$J$64*Elasticities!$G$52)</f>
        <v>0.9723346173027867</v>
      </c>
      <c r="BA499" s="117">
        <f ca="1">BA493^(Elasticities!$J$64*Elasticities!$G$52)</f>
        <v>0.96787021322109412</v>
      </c>
      <c r="BB499" s="117">
        <f ca="1">BB493^(Elasticities!$J$64*Elasticities!$G$52)</f>
        <v>0.951369513892526</v>
      </c>
      <c r="BC499" s="117">
        <f ca="1">BC493^(Elasticities!$J$64*Elasticities!$G$52)</f>
        <v>0.95783544356406658</v>
      </c>
      <c r="BD499" s="117">
        <f ca="1">BD493^(Elasticities!$J$64*Elasticities!$G$52)</f>
        <v>0.96548076380871539</v>
      </c>
      <c r="BE499" s="117">
        <f ca="1">BE493^(Elasticities!$J$64*Elasticities!$G$52)</f>
        <v>0.9523214207823445</v>
      </c>
      <c r="BF499" s="117">
        <f ca="1">BF493^(Elasticities!$J$64*Elasticities!$G$52)</f>
        <v>0.96428112289242773</v>
      </c>
      <c r="BI499" s="117">
        <f ca="1">BI493^Elasticities!$G$50</f>
        <v>0.95319909080505372</v>
      </c>
      <c r="BJ499" s="117">
        <f ca="1">BJ493^Elasticities!$G$50</f>
        <v>0.94571679189271551</v>
      </c>
      <c r="BK499" s="117">
        <f ca="1">BK493^Elasticities!$G$50</f>
        <v>0.92182917444948143</v>
      </c>
      <c r="BL499" s="117">
        <f ca="1">BL493^Elasticities!$G$50</f>
        <v>0.93161549178232739</v>
      </c>
      <c r="BM499" s="117">
        <f ca="1">BM493^Elasticities!$G$50</f>
        <v>0.94337563129830748</v>
      </c>
      <c r="BN499" s="117">
        <f ca="1">BN493^Elasticities!$G$50</f>
        <v>0.92276469544739759</v>
      </c>
      <c r="BO499" s="117">
        <f ca="1">BO493^Elasticities!$G$50</f>
        <v>0.94088963762504429</v>
      </c>
    </row>
    <row r="500" spans="2:68" ht="13.2" customHeight="1">
      <c r="B500" s="6"/>
      <c r="O500" s="39">
        <f>ROW()</f>
        <v>500</v>
      </c>
      <c r="P500" s="309" t="s">
        <v>31</v>
      </c>
      <c r="Y500" s="309" t="s">
        <v>32</v>
      </c>
      <c r="AH500" s="309" t="s">
        <v>1637</v>
      </c>
      <c r="AQ500" s="215" t="s">
        <v>3304</v>
      </c>
      <c r="AZ500" s="215" t="s">
        <v>3305</v>
      </c>
      <c r="BI500" s="215" t="s">
        <v>3306</v>
      </c>
    </row>
    <row r="501" spans="2:68" ht="13.2" customHeight="1">
      <c r="B501" s="6" t="s">
        <v>400</v>
      </c>
      <c r="O501" s="39">
        <f>ROW()</f>
        <v>501</v>
      </c>
      <c r="P501" s="117">
        <f ca="1">(P403/P496)^Elasticities!$G$52</f>
        <v>0.99751226842892726</v>
      </c>
      <c r="Q501" s="117">
        <f ca="1">(Q403/Q496)^Elasticities!$G$52</f>
        <v>0.98975635878869572</v>
      </c>
      <c r="R501" s="117">
        <f ca="1">(R403/R496)^Elasticities!$G$52</f>
        <v>0.89729307585195084</v>
      </c>
      <c r="S501" s="117">
        <f ca="1">(S403/S496)^Elasticities!$G$52</f>
        <v>0.91439244228248007</v>
      </c>
      <c r="T501" s="117">
        <f ca="1">(T403/T496)^Elasticities!$G$52</f>
        <v>0.94295875920856587</v>
      </c>
      <c r="U501" s="117">
        <f ca="1">(U403/U496)^Elasticities!$G$52</f>
        <v>0.90961634486159593</v>
      </c>
      <c r="V501" s="117">
        <f ca="1">(V403/V496)^Elasticities!$G$52</f>
        <v>0.94744950273397421</v>
      </c>
      <c r="Y501" s="117">
        <f ca="1">(Y403/Y496)^Elasticities!$H$52</f>
        <v>0.99751226842892726</v>
      </c>
      <c r="Z501" s="117">
        <f ca="1">(Z403/Z496)^Elasticities!$H$52</f>
        <v>0.98975635878869572</v>
      </c>
      <c r="AA501" s="117">
        <f ca="1">(AA403/AA496)^Elasticities!$H$52</f>
        <v>0.89729307585195084</v>
      </c>
      <c r="AB501" s="117">
        <f ca="1">(AB403/AB496)^Elasticities!$H$52</f>
        <v>0.91439244228248007</v>
      </c>
      <c r="AC501" s="117">
        <f ca="1">(AC403/AC496)^Elasticities!$H$52</f>
        <v>0.94295875920856587</v>
      </c>
      <c r="AD501" s="117">
        <f ca="1">(AD403/AD496)^Elasticities!$H$52</f>
        <v>0.90961634486159593</v>
      </c>
      <c r="AE501" s="117">
        <f ca="1">(AE403/AE496)^Elasticities!$H$52</f>
        <v>0.94744950273397421</v>
      </c>
      <c r="AH501" s="117">
        <f ca="1">(AH403/AH496)^Elasticities!$I$52</f>
        <v>0.99751226842892726</v>
      </c>
      <c r="AI501" s="117">
        <f ca="1">(AI403/AI496)^Elasticities!$I$52</f>
        <v>0.98975635878869572</v>
      </c>
      <c r="AJ501" s="117">
        <f ca="1">(AJ403/AJ496)^Elasticities!$I$52</f>
        <v>0.89729307585195084</v>
      </c>
      <c r="AK501" s="117">
        <f ca="1">(AK403/AK496)^Elasticities!$I$52</f>
        <v>0.91439244228248007</v>
      </c>
      <c r="AL501" s="117">
        <f ca="1">(AL403/AL496)^Elasticities!$I$52</f>
        <v>0.94295875920856587</v>
      </c>
      <c r="AM501" s="117">
        <f ca="1">(AM403/AM496)^Elasticities!$I$52</f>
        <v>0.90961634486159593</v>
      </c>
      <c r="AN501" s="117">
        <f ca="1">(AN403/AN496)^Elasticities!$I$52</f>
        <v>0.94744950273397421</v>
      </c>
      <c r="AQ501" s="117">
        <f ca="1">(P403/P496)^Elasticities!$G$54</f>
        <v>0.99800931914512203</v>
      </c>
      <c r="AR501" s="117">
        <f ca="1">(Q403/Q496)^Elasticities!$G$54</f>
        <v>0.99179665786466131</v>
      </c>
      <c r="AS501" s="117">
        <f ca="1">(R403/R496)^Elasticities!$G$54</f>
        <v>0.91695379687293221</v>
      </c>
      <c r="AT501" s="117">
        <f ca="1">(S403/S496)^Elasticities!$G$54</f>
        <v>0.93090658470238985</v>
      </c>
      <c r="AU501" s="117">
        <f ca="1">(T403/T496)^Elasticities!$G$54</f>
        <v>0.95410057865676068</v>
      </c>
      <c r="AV501" s="117">
        <f ca="1">(U403/U496)^Elasticities!$G$54</f>
        <v>0.92701466477250949</v>
      </c>
      <c r="AW501" s="117">
        <f ca="1">(V403/V496)^Elasticities!$G$54</f>
        <v>0.95773389502389228</v>
      </c>
      <c r="AZ501" s="117">
        <f ca="1">(AZ403/AZ496)^(Elasticities!$J$64*Elasticities!$G$52)</f>
        <v>1.0164005237439575</v>
      </c>
      <c r="BA501" s="117">
        <f ca="1">(BA403/BA496)^(Elasticities!$J$64*Elasticities!$G$52)</f>
        <v>1.0137594098975182</v>
      </c>
      <c r="BB501" s="117">
        <f ca="1">(BB403/BB496)^(Elasticities!$J$64*Elasticities!$G$52)</f>
        <v>0.98115337867835484</v>
      </c>
      <c r="BC501" s="117">
        <f ca="1">(BC403/BC496)^(Elasticities!$J$64*Elasticities!$G$52)</f>
        <v>0.98734668911424062</v>
      </c>
      <c r="BD501" s="117">
        <f ca="1">(BD403/BD496)^(Elasticities!$J$64*Elasticities!$G$52)</f>
        <v>0.99752326001936298</v>
      </c>
      <c r="BE501" s="117">
        <f ca="1">(BE403/BE496)^(Elasticities!$J$64*Elasticities!$G$52)</f>
        <v>0.98562463556842783</v>
      </c>
      <c r="BF501" s="117">
        <f ca="1">(BF403/BF496)^(Elasticities!$J$64*Elasticities!$G$52)</f>
        <v>0.99910428661566497</v>
      </c>
      <c r="BI501" s="117">
        <f ca="1">(BI403/BI496)^Elasticities!$G$50</f>
        <v>1.0247013780295764</v>
      </c>
      <c r="BJ501" s="117">
        <f ca="1">(BJ403/BJ496)^Elasticities!$G$50</f>
        <v>1.0207099483814894</v>
      </c>
      <c r="BK501" s="117">
        <f ca="1">(BK403/BK496)^Elasticities!$G$50</f>
        <v>0.97186368756764441</v>
      </c>
      <c r="BL501" s="117">
        <f ca="1">(BL403/BL496)^Elasticities!$G$50</f>
        <v>0.98108020074678259</v>
      </c>
      <c r="BM501" s="117">
        <f ca="1">(BM403/BM496)^Elasticities!$G$50</f>
        <v>0.99628719131983445</v>
      </c>
      <c r="BN501" s="117">
        <f ca="1">(BN403/BN496)^Elasticities!$G$50</f>
        <v>0.97851463419204709</v>
      </c>
      <c r="BO501" s="117">
        <f ca="1">(BO403/BO496)^Elasticities!$G$50</f>
        <v>0.99865673083185225</v>
      </c>
    </row>
    <row r="502" spans="2:68" ht="13.2" customHeight="1">
      <c r="O502" s="39">
        <f>ROW()</f>
        <v>502</v>
      </c>
      <c r="P502" s="309" t="s">
        <v>529</v>
      </c>
      <c r="Y502" s="309" t="s">
        <v>530</v>
      </c>
      <c r="AH502" s="309" t="s">
        <v>2922</v>
      </c>
      <c r="AQ502" s="215" t="s">
        <v>3299</v>
      </c>
      <c r="AZ502" s="309" t="s">
        <v>2398</v>
      </c>
      <c r="BI502" s="309" t="s">
        <v>2878</v>
      </c>
    </row>
    <row r="503" spans="2:68" ht="13.2" customHeight="1">
      <c r="B503" s="6" t="s">
        <v>2164</v>
      </c>
      <c r="G503" s="633">
        <f t="shared" ref="G503:M503" ca="1" si="746">($I$76*$I$79*P503+$J$76*$J$79*Y503+$K$76*$K$79*AH503+$L$76*$L$79*AQ503+$M$76*$M$79*AZ503+$N$76*$N$79*BI503)/SUMPRODUCT($I$76:$N$76,$I$79:$N$79)</f>
        <v>1.0002208466723652</v>
      </c>
      <c r="H503" s="633">
        <f t="shared" ca="1" si="746"/>
        <v>0.93833901083539595</v>
      </c>
      <c r="I503" s="633">
        <f t="shared" ca="1" si="746"/>
        <v>0.85087346674219055</v>
      </c>
      <c r="J503" s="633">
        <f t="shared" ca="1" si="746"/>
        <v>0.87466922936094116</v>
      </c>
      <c r="K503" s="633">
        <f t="shared" ca="1" si="746"/>
        <v>0.91336119670375282</v>
      </c>
      <c r="L503" s="633">
        <f t="shared" ca="1" si="746"/>
        <v>0.8526070132957001</v>
      </c>
      <c r="M503" s="633">
        <f t="shared" ca="1" si="746"/>
        <v>0.90341808449153349</v>
      </c>
      <c r="O503" s="39">
        <f>ROW()</f>
        <v>503</v>
      </c>
      <c r="P503" s="117">
        <f ca="1">(P427/P497)^Elasticities!$G$52</f>
        <v>1</v>
      </c>
      <c r="Q503" s="117">
        <f ca="1">(Q427/Q497)^Elasticities!$G$52</f>
        <v>0.93544892504193877</v>
      </c>
      <c r="R503" s="117">
        <f ca="1">(R427/R497)^Elasticities!$G$52</f>
        <v>0.84436475966567892</v>
      </c>
      <c r="S503" s="117">
        <f ca="1">(S427/S497)^Elasticities!$G$52</f>
        <v>0.8691258605840595</v>
      </c>
      <c r="T503" s="117">
        <f ca="1">(T427/T497)^Elasticities!$G$52</f>
        <v>0.90941843675460965</v>
      </c>
      <c r="U503" s="117">
        <f ca="1">(U427/U497)^Elasticities!$G$52</f>
        <v>0.84616812495390004</v>
      </c>
      <c r="V503" s="117">
        <f ca="1">(V427/V497)^Elasticities!$G$52</f>
        <v>0.89906044487396242</v>
      </c>
      <c r="Y503" s="117">
        <f ca="1">(Y427/Y497)^Elasticities!$H$52</f>
        <v>1</v>
      </c>
      <c r="Z503" s="117">
        <f ca="1">(Z427/Z497)^Elasticities!$H$52</f>
        <v>0.93544892504193877</v>
      </c>
      <c r="AA503" s="117">
        <f ca="1">(AA427/AA497)^Elasticities!$H$52</f>
        <v>0.84436475966567892</v>
      </c>
      <c r="AB503" s="117">
        <f ca="1">(AB427/AB497)^Elasticities!$H$52</f>
        <v>0.8691258605840595</v>
      </c>
      <c r="AC503" s="117">
        <f ca="1">(AC427/AC497)^Elasticities!$H$52</f>
        <v>0.90941843675460965</v>
      </c>
      <c r="AD503" s="117">
        <f ca="1">(AD427/AD497)^Elasticities!$H$52</f>
        <v>0.84616812495390004</v>
      </c>
      <c r="AE503" s="117">
        <f ca="1">(AE427/AE497)^Elasticities!$H$52</f>
        <v>0.89906044487396242</v>
      </c>
      <c r="AH503" s="117">
        <f ca="1">(AH427/AH497)^Elasticities!$I$52</f>
        <v>1</v>
      </c>
      <c r="AI503" s="117">
        <f ca="1">(AI427/AI497)^Elasticities!$I$52</f>
        <v>0.93544892504193877</v>
      </c>
      <c r="AJ503" s="117">
        <f ca="1">(AJ427/AJ497)^Elasticities!$I$52</f>
        <v>0.84436475966567892</v>
      </c>
      <c r="AK503" s="117">
        <f ca="1">(AK427/AK497)^Elasticities!$I$52</f>
        <v>0.8691258605840595</v>
      </c>
      <c r="AL503" s="117">
        <f ca="1">(AL427/AL497)^Elasticities!$I$52</f>
        <v>0.90941843675460965</v>
      </c>
      <c r="AM503" s="117">
        <f ca="1">(AM427/AM497)^Elasticities!$I$52</f>
        <v>0.84616812495390004</v>
      </c>
      <c r="AN503" s="117">
        <f ca="1">(AN427/AN497)^Elasticities!$I$52</f>
        <v>0.89906044487396242</v>
      </c>
      <c r="AQ503" s="117">
        <f ca="1">(P427/P497)^Elasticities!$G$54</f>
        <v>1</v>
      </c>
      <c r="AR503" s="117">
        <f ca="1">(Q427/Q497)^Elasticities!$G$54</f>
        <v>0.94801686675582941</v>
      </c>
      <c r="AS503" s="117">
        <f ca="1">(R427/R497)^Elasticities!$G$54</f>
        <v>0.87342190470165648</v>
      </c>
      <c r="AT503" s="117">
        <f ca="1">(S427/S497)^Elasticities!$G$54</f>
        <v>0.89385307378438617</v>
      </c>
      <c r="AU503" s="117">
        <f ca="1">(T427/T497)^Elasticities!$G$54</f>
        <v>0.92685330644994568</v>
      </c>
      <c r="AV503" s="117">
        <f ca="1">(U427/U497)^Elasticities!$G$54</f>
        <v>0.87491392587828909</v>
      </c>
      <c r="AW503" s="117">
        <f ca="1">(V427/V497)^Elasticities!$G$54</f>
        <v>0.9183983877889258</v>
      </c>
      <c r="AZ503" s="117">
        <f ca="1">(AZ427/AZ497)^(Elasticities!$J$64*Elasticities!$G$52)</f>
        <v>1.0033557298479858</v>
      </c>
      <c r="BA503" s="117">
        <f ca="1">(BA427/BA497)^(Elasticities!$J$64*Elasticities!$G$52)</f>
        <v>0.98128455183510876</v>
      </c>
      <c r="BB503" s="117">
        <f ca="1">(BB427/BB497)^(Elasticities!$J$64*Elasticities!$G$52)</f>
        <v>0.94834196354502565</v>
      </c>
      <c r="BC503" s="117">
        <f ca="1">(BC427/BC497)^(Elasticities!$J$64*Elasticities!$G$52)</f>
        <v>0.95752287789900892</v>
      </c>
      <c r="BD503" s="117">
        <f ca="1">(BD427/BD497)^(Elasticities!$J$64*Elasticities!$G$52)</f>
        <v>0.97209681445269525</v>
      </c>
      <c r="BE503" s="117">
        <f ca="1">(BE427/BE497)^(Elasticities!$J$64*Elasticities!$G$52)</f>
        <v>0.94901662887485017</v>
      </c>
      <c r="BF503" s="117">
        <f ca="1">(BF427/BF497)^(Elasticities!$J$64*Elasticities!$G$52)</f>
        <v>0.96839208707932134</v>
      </c>
      <c r="BI503" s="117">
        <f ca="1">(BI427/BI497)^Elasticities!$G$50</f>
        <v>1.0050378152592121</v>
      </c>
      <c r="BJ503" s="117">
        <f ca="1">(BJ427/BJ497)^Elasticities!$G$50</f>
        <v>0.97205859086927804</v>
      </c>
      <c r="BK503" s="117">
        <f ca="1">(BK427/BK497)^Elasticities!$G$50</f>
        <v>0.92352243970138537</v>
      </c>
      <c r="BL503" s="117">
        <f ca="1">(BL427/BL497)^Elasticities!$G$50</f>
        <v>0.93696579963244564</v>
      </c>
      <c r="BM503" s="117">
        <f ca="1">(BM427/BM497)^Elasticities!$G$50</f>
        <v>0.95843856431714647</v>
      </c>
      <c r="BN503" s="117">
        <f ca="1">(BN427/BN497)^Elasticities!$G$50</f>
        <v>0.92450812745546596</v>
      </c>
      <c r="BO503" s="117">
        <f ca="1">(BO427/BO497)^Elasticities!$G$50</f>
        <v>0.95296477558672288</v>
      </c>
    </row>
    <row r="504" spans="2:68" ht="13.2" customHeight="1">
      <c r="O504" s="39">
        <f>ROW()</f>
        <v>504</v>
      </c>
      <c r="P504" s="309" t="s">
        <v>2879</v>
      </c>
      <c r="Y504" s="309" t="s">
        <v>2842</v>
      </c>
      <c r="AH504" s="309" t="s">
        <v>2808</v>
      </c>
      <c r="AQ504" s="215" t="s">
        <v>3300</v>
      </c>
      <c r="AZ504" s="309" t="s">
        <v>2903</v>
      </c>
      <c r="BI504" s="309" t="s">
        <v>91</v>
      </c>
    </row>
    <row r="505" spans="2:68" ht="13.2" customHeight="1">
      <c r="B505" s="24" t="s">
        <v>225</v>
      </c>
      <c r="I505" s="309" t="s">
        <v>2523</v>
      </c>
      <c r="J505" s="309"/>
      <c r="K505" s="309"/>
      <c r="L505" s="309"/>
      <c r="M505" s="309"/>
      <c r="N505" s="309"/>
      <c r="O505" s="39">
        <f>ROW()</f>
        <v>505</v>
      </c>
      <c r="P505" s="880" t="s">
        <v>1472</v>
      </c>
      <c r="Q505" s="880" t="s">
        <v>615</v>
      </c>
      <c r="R505" s="880" t="s">
        <v>2445</v>
      </c>
      <c r="S505" s="880" t="s">
        <v>616</v>
      </c>
      <c r="T505" s="880" t="s">
        <v>1152</v>
      </c>
      <c r="U505" s="880" t="s">
        <v>1151</v>
      </c>
      <c r="V505" s="880" t="s">
        <v>617</v>
      </c>
      <c r="W505" s="880" t="s">
        <v>2684</v>
      </c>
      <c r="Y505" s="880" t="s">
        <v>1472</v>
      </c>
      <c r="Z505" s="880" t="s">
        <v>615</v>
      </c>
      <c r="AA505" s="880" t="s">
        <v>2445</v>
      </c>
      <c r="AB505" s="880" t="s">
        <v>616</v>
      </c>
      <c r="AC505" s="880" t="s">
        <v>1152</v>
      </c>
      <c r="AD505" s="880" t="s">
        <v>1151</v>
      </c>
      <c r="AE505" s="880" t="s">
        <v>617</v>
      </c>
      <c r="AF505" s="880" t="s">
        <v>2684</v>
      </c>
      <c r="AH505" s="880" t="s">
        <v>1472</v>
      </c>
      <c r="AI505" s="880" t="s">
        <v>615</v>
      </c>
      <c r="AJ505" s="880" t="s">
        <v>2445</v>
      </c>
      <c r="AK505" s="880" t="s">
        <v>616</v>
      </c>
      <c r="AL505" s="880" t="s">
        <v>1152</v>
      </c>
      <c r="AM505" s="880" t="s">
        <v>1151</v>
      </c>
      <c r="AN505" s="880" t="s">
        <v>617</v>
      </c>
      <c r="AO505" s="880" t="s">
        <v>2684</v>
      </c>
      <c r="AQ505" s="880" t="s">
        <v>1472</v>
      </c>
      <c r="AR505" s="880" t="s">
        <v>615</v>
      </c>
      <c r="AS505" s="880" t="s">
        <v>2445</v>
      </c>
      <c r="AT505" s="880" t="s">
        <v>616</v>
      </c>
      <c r="AU505" s="880" t="s">
        <v>1152</v>
      </c>
      <c r="AV505" s="880" t="s">
        <v>1151</v>
      </c>
      <c r="AW505" s="880" t="s">
        <v>617</v>
      </c>
      <c r="AX505" s="880" t="s">
        <v>2684</v>
      </c>
      <c r="AZ505" s="880" t="s">
        <v>1472</v>
      </c>
      <c r="BA505" s="880" t="s">
        <v>615</v>
      </c>
      <c r="BB505" s="880" t="s">
        <v>2445</v>
      </c>
      <c r="BC505" s="880" t="s">
        <v>616</v>
      </c>
      <c r="BD505" s="880" t="s">
        <v>1152</v>
      </c>
      <c r="BE505" s="880" t="s">
        <v>1151</v>
      </c>
      <c r="BF505" s="880" t="s">
        <v>617</v>
      </c>
      <c r="BG505" s="880" t="s">
        <v>2684</v>
      </c>
      <c r="BI505" s="880" t="s">
        <v>1472</v>
      </c>
      <c r="BJ505" s="880" t="s">
        <v>615</v>
      </c>
      <c r="BK505" s="880" t="s">
        <v>2445</v>
      </c>
      <c r="BL505" s="880" t="s">
        <v>616</v>
      </c>
      <c r="BM505" s="880" t="s">
        <v>1152</v>
      </c>
      <c r="BN505" s="880" t="s">
        <v>1151</v>
      </c>
      <c r="BO505" s="880" t="s">
        <v>617</v>
      </c>
      <c r="BP505" s="880" t="s">
        <v>2684</v>
      </c>
    </row>
    <row r="506" spans="2:68" ht="13.2" customHeight="1">
      <c r="H506" s="309"/>
      <c r="I506" s="309"/>
      <c r="J506" s="309"/>
      <c r="K506" s="309"/>
      <c r="L506" s="309"/>
      <c r="M506" s="309"/>
      <c r="N506" s="309"/>
      <c r="O506" s="39">
        <f>ROW()</f>
        <v>506</v>
      </c>
      <c r="P506" s="298" t="s">
        <v>2678</v>
      </c>
      <c r="Q506" s="298" t="s">
        <v>665</v>
      </c>
      <c r="R506" s="298" t="s">
        <v>666</v>
      </c>
      <c r="S506" s="298" t="s">
        <v>667</v>
      </c>
      <c r="T506" s="298" t="s">
        <v>668</v>
      </c>
      <c r="U506" s="298" t="s">
        <v>434</v>
      </c>
      <c r="V506" s="298" t="s">
        <v>435</v>
      </c>
      <c r="W506" s="298"/>
      <c r="Y506" s="298" t="s">
        <v>2678</v>
      </c>
      <c r="Z506" s="298" t="s">
        <v>665</v>
      </c>
      <c r="AA506" s="298" t="s">
        <v>666</v>
      </c>
      <c r="AB506" s="298" t="s">
        <v>667</v>
      </c>
      <c r="AC506" s="298" t="s">
        <v>668</v>
      </c>
      <c r="AD506" s="298" t="s">
        <v>434</v>
      </c>
      <c r="AE506" s="298" t="s">
        <v>435</v>
      </c>
      <c r="AF506" s="298"/>
      <c r="AH506" s="298" t="s">
        <v>2678</v>
      </c>
      <c r="AI506" s="298" t="s">
        <v>665</v>
      </c>
      <c r="AJ506" s="298" t="s">
        <v>666</v>
      </c>
      <c r="AK506" s="298" t="s">
        <v>667</v>
      </c>
      <c r="AL506" s="298" t="s">
        <v>668</v>
      </c>
      <c r="AM506" s="298" t="s">
        <v>434</v>
      </c>
      <c r="AN506" s="298" t="s">
        <v>435</v>
      </c>
      <c r="AO506" s="298"/>
      <c r="AQ506" s="298" t="s">
        <v>2678</v>
      </c>
      <c r="AR506" s="298" t="s">
        <v>665</v>
      </c>
      <c r="AS506" s="298" t="s">
        <v>666</v>
      </c>
      <c r="AT506" s="298" t="s">
        <v>667</v>
      </c>
      <c r="AU506" s="298" t="s">
        <v>668</v>
      </c>
      <c r="AV506" s="298" t="s">
        <v>434</v>
      </c>
      <c r="AW506" s="298" t="s">
        <v>435</v>
      </c>
      <c r="AX506" s="298"/>
      <c r="AZ506" s="298" t="s">
        <v>2678</v>
      </c>
      <c r="BA506" s="298" t="s">
        <v>665</v>
      </c>
      <c r="BB506" s="298" t="s">
        <v>666</v>
      </c>
      <c r="BC506" s="298" t="s">
        <v>667</v>
      </c>
      <c r="BD506" s="298" t="s">
        <v>668</v>
      </c>
      <c r="BE506" s="298" t="s">
        <v>434</v>
      </c>
      <c r="BF506" s="298" t="s">
        <v>435</v>
      </c>
      <c r="BG506" s="298"/>
      <c r="BI506" s="298" t="s">
        <v>2678</v>
      </c>
      <c r="BJ506" s="298" t="s">
        <v>665</v>
      </c>
      <c r="BK506" s="298" t="s">
        <v>666</v>
      </c>
      <c r="BL506" s="298" t="s">
        <v>667</v>
      </c>
      <c r="BM506" s="298" t="s">
        <v>668</v>
      </c>
      <c r="BN506" s="298" t="s">
        <v>434</v>
      </c>
      <c r="BO506" s="298" t="s">
        <v>435</v>
      </c>
      <c r="BP506" s="298"/>
    </row>
    <row r="507" spans="2:68" ht="13.2" customHeight="1">
      <c r="I507" s="196"/>
      <c r="J507" s="196"/>
      <c r="K507" s="196"/>
      <c r="L507" s="196"/>
      <c r="M507" s="196"/>
      <c r="N507" s="196"/>
      <c r="O507" s="39">
        <f>ROW()</f>
        <v>507</v>
      </c>
      <c r="AH507" s="606"/>
    </row>
    <row r="508" spans="2:68" ht="13.2" customHeight="1">
      <c r="B508" s="308" t="s">
        <v>112</v>
      </c>
      <c r="O508" s="39">
        <f>ROW()</f>
        <v>508</v>
      </c>
    </row>
    <row r="509" spans="2:68" ht="13.2" customHeight="1">
      <c r="B509" s="280" t="s">
        <v>2469</v>
      </c>
      <c r="G509" s="1122">
        <f t="shared" ref="G509:M509" ca="1" si="747">P509+Y509+AH509+AQ509+AZ509+BI509</f>
        <v>56227.284135801441</v>
      </c>
      <c r="H509" s="1122">
        <f t="shared" ca="1" si="747"/>
        <v>18633.902479082073</v>
      </c>
      <c r="I509" s="1122">
        <f t="shared" ca="1" si="747"/>
        <v>126643.48754109199</v>
      </c>
      <c r="J509" s="1122">
        <f t="shared" ca="1" si="747"/>
        <v>37067.844903315425</v>
      </c>
      <c r="K509" s="1122">
        <f t="shared" ca="1" si="747"/>
        <v>125869.11841397634</v>
      </c>
      <c r="L509" s="1122">
        <f t="shared" ca="1" si="747"/>
        <v>194909.63321694813</v>
      </c>
      <c r="M509" s="1122">
        <f t="shared" ca="1" si="747"/>
        <v>64269.007991089646</v>
      </c>
      <c r="N509" s="186">
        <f ca="1">SUM(G509:M509)</f>
        <v>623620.278681305</v>
      </c>
      <c r="O509" s="39">
        <f>ROW()</f>
        <v>509</v>
      </c>
      <c r="P509" s="10">
        <f t="shared" ref="P509:V509" ca="1" si="748">P458</f>
        <v>10092.018575167662</v>
      </c>
      <c r="Q509" s="10">
        <f t="shared" ca="1" si="748"/>
        <v>10862.167614312695</v>
      </c>
      <c r="R509" s="10">
        <f t="shared" ca="1" si="748"/>
        <v>74492.051122348188</v>
      </c>
      <c r="S509" s="10">
        <f t="shared" ca="1" si="748"/>
        <v>17621.543170069803</v>
      </c>
      <c r="T509" s="10">
        <f t="shared" ca="1" si="748"/>
        <v>51124.853505112354</v>
      </c>
      <c r="U509" s="10">
        <f t="shared" ca="1" si="748"/>
        <v>52841.591593373487</v>
      </c>
      <c r="V509" s="10">
        <f t="shared" ca="1" si="748"/>
        <v>14341.677503654115</v>
      </c>
      <c r="W509" s="10">
        <f ca="1">SUM(P509:V509)</f>
        <v>231375.90308403829</v>
      </c>
      <c r="Y509" s="10">
        <f t="shared" ref="Y509:AE509" ca="1" si="749">Y458</f>
        <v>17684.483583015299</v>
      </c>
      <c r="Z509" s="10">
        <f t="shared" ca="1" si="749"/>
        <v>1319.0541853584527</v>
      </c>
      <c r="AA509" s="10">
        <f t="shared" ca="1" si="749"/>
        <v>15001.540675000622</v>
      </c>
      <c r="AB509" s="10">
        <f t="shared" ca="1" si="749"/>
        <v>8729.8743079903143</v>
      </c>
      <c r="AC509" s="10">
        <f t="shared" ca="1" si="749"/>
        <v>35415.062140086346</v>
      </c>
      <c r="AD509" s="10">
        <f t="shared" ca="1" si="749"/>
        <v>72390.669467710439</v>
      </c>
      <c r="AE509" s="10">
        <f t="shared" ca="1" si="749"/>
        <v>21402.061892441077</v>
      </c>
      <c r="AF509" s="10">
        <f ca="1">SUM(Y509:AE509)</f>
        <v>171942.74625160254</v>
      </c>
      <c r="AH509" s="10">
        <f t="shared" ref="AH509:AN509" ca="1" si="750">AH458</f>
        <v>17576.041213456196</v>
      </c>
      <c r="AI509" s="10">
        <f t="shared" ca="1" si="750"/>
        <v>2406.6911901698445</v>
      </c>
      <c r="AJ509" s="10">
        <f t="shared" ca="1" si="750"/>
        <v>11310.243506609828</v>
      </c>
      <c r="AK509" s="10">
        <f t="shared" ca="1" si="750"/>
        <v>3209.1128058626182</v>
      </c>
      <c r="AL509" s="10">
        <f t="shared" ca="1" si="750"/>
        <v>15152.318707546598</v>
      </c>
      <c r="AM509" s="10">
        <f t="shared" ca="1" si="750"/>
        <v>29793.694201809081</v>
      </c>
      <c r="AN509" s="10">
        <f t="shared" ca="1" si="750"/>
        <v>15003.306002457373</v>
      </c>
      <c r="AO509" s="10">
        <f ca="1">SUM(AH509:AN509)</f>
        <v>94451.40762791154</v>
      </c>
      <c r="AQ509" s="10">
        <f t="shared" ref="AQ509:AW509" ca="1" si="751">AQ458</f>
        <v>5971.6905611606398</v>
      </c>
      <c r="AR509" s="10">
        <f t="shared" ca="1" si="751"/>
        <v>2552.8911555962159</v>
      </c>
      <c r="AS509" s="10">
        <f t="shared" ca="1" si="751"/>
        <v>15950.302675877292</v>
      </c>
      <c r="AT509" s="10">
        <f t="shared" ca="1" si="751"/>
        <v>4642.5660450726618</v>
      </c>
      <c r="AU509" s="10">
        <f t="shared" ca="1" si="751"/>
        <v>14365.016335840943</v>
      </c>
      <c r="AV509" s="10">
        <f t="shared" ca="1" si="751"/>
        <v>24469.846484730482</v>
      </c>
      <c r="AW509" s="10">
        <f t="shared" ca="1" si="751"/>
        <v>8223.1249489336733</v>
      </c>
      <c r="AX509" s="10">
        <f ca="1">SUM(AQ509:AW509)</f>
        <v>76175.438207211919</v>
      </c>
      <c r="AZ509" s="10">
        <f t="shared" ref="AZ509:BF509" ca="1" si="752">AZ458</f>
        <v>3743.7746186808004</v>
      </c>
      <c r="BA509" s="10">
        <f t="shared" ca="1" si="752"/>
        <v>1124.7744871785526</v>
      </c>
      <c r="BB509" s="10">
        <f t="shared" ca="1" si="752"/>
        <v>7492.5629097858646</v>
      </c>
      <c r="BC509" s="10">
        <f t="shared" ca="1" si="752"/>
        <v>2169.1809939815257</v>
      </c>
      <c r="BD509" s="10">
        <f t="shared" ca="1" si="752"/>
        <v>7453.5249947472194</v>
      </c>
      <c r="BE509" s="10">
        <f t="shared" ca="1" si="752"/>
        <v>11681.280068971619</v>
      </c>
      <c r="BF509" s="10">
        <f t="shared" ca="1" si="752"/>
        <v>4018.4294312267989</v>
      </c>
      <c r="BG509" s="10">
        <f ca="1">SUM(AZ509:BF509)</f>
        <v>37683.527504572376</v>
      </c>
      <c r="BI509" s="10">
        <f t="shared" ref="BI509:BO509" ca="1" si="753">BI458</f>
        <v>1159.2755843208465</v>
      </c>
      <c r="BJ509" s="10">
        <f t="shared" ca="1" si="753"/>
        <v>368.32384646631198</v>
      </c>
      <c r="BK509" s="10">
        <f t="shared" ca="1" si="753"/>
        <v>2396.7866514701977</v>
      </c>
      <c r="BL509" s="10">
        <f t="shared" ca="1" si="753"/>
        <v>695.56758033850144</v>
      </c>
      <c r="BM509" s="10">
        <f t="shared" ca="1" si="753"/>
        <v>2358.3427306428775</v>
      </c>
      <c r="BN509" s="10">
        <f t="shared" ca="1" si="753"/>
        <v>3732.5514003529879</v>
      </c>
      <c r="BO509" s="10">
        <f t="shared" ca="1" si="753"/>
        <v>1280.4082123766232</v>
      </c>
      <c r="BP509" s="10">
        <f ca="1">SUM(BI509:BO509)</f>
        <v>11991.256005968346</v>
      </c>
    </row>
    <row r="510" spans="2:68" ht="13.2" customHeight="1">
      <c r="B510" s="309" t="str">
        <f>CONCATENATE("Above row repeats figures in Row ",O458,".")</f>
        <v>Above row repeats figures in Row 458.</v>
      </c>
      <c r="G510" s="1126" t="s">
        <v>1240</v>
      </c>
      <c r="H510" s="1122"/>
      <c r="I510" s="1122"/>
      <c r="J510" s="1122"/>
      <c r="K510" s="1122"/>
      <c r="L510" s="1122"/>
      <c r="M510" s="1122"/>
      <c r="O510" s="39">
        <f>ROW()</f>
        <v>510</v>
      </c>
      <c r="P510" s="309" t="str">
        <f>CONCATENATE("Figures in Row ",O511, " are product of figures in Row ",O509, " and rebound factors in Row ",O499, ".")</f>
        <v>Figures in Row 511 are product of figures in Row 509 and rebound factors in Row 499.</v>
      </c>
      <c r="AQ510" s="265" t="str">
        <f>CONCATENATE("Row ",O511, " figures are set equal to ",O509, " figures, since rebound effects are presumed accounted for by taxi time-elasticity.")</f>
        <v>Row 511 figures are set equal to 509 figures, since rebound effects are presumed accounted for by taxi time-elasticity.</v>
      </c>
    </row>
    <row r="511" spans="2:68" ht="13.2" customHeight="1">
      <c r="B511" s="280" t="s">
        <v>1300</v>
      </c>
      <c r="G511" s="1122">
        <f t="shared" ref="G511:M512" ca="1" si="754">P511+Y511+AH511+AQ511+AZ511+BI511</f>
        <v>53182.629170606582</v>
      </c>
      <c r="H511" s="1122">
        <f t="shared" ca="1" si="754"/>
        <v>16986.075341977561</v>
      </c>
      <c r="I511" s="1122">
        <f t="shared" ca="1" si="754"/>
        <v>109566.0677679443</v>
      </c>
      <c r="J511" s="1122">
        <f t="shared" ca="1" si="754"/>
        <v>32667.769693753602</v>
      </c>
      <c r="K511" s="1122">
        <f t="shared" ca="1" si="754"/>
        <v>113496.92865034138</v>
      </c>
      <c r="L511" s="1122">
        <f t="shared" ca="1" si="754"/>
        <v>168730.5403063485</v>
      </c>
      <c r="M511" s="1122">
        <f t="shared" ca="1" si="754"/>
        <v>57917.76987451037</v>
      </c>
      <c r="N511" s="617">
        <f ca="1">SUM(G511:M511)</f>
        <v>552547.7808054823</v>
      </c>
      <c r="O511" s="39">
        <f>ROW()</f>
        <v>511</v>
      </c>
      <c r="P511" s="10">
        <f t="shared" ref="P511:V511" ca="1" si="755">P509*P499</f>
        <v>9045.3915885691295</v>
      </c>
      <c r="Q511" s="10">
        <f t="shared" ca="1" si="755"/>
        <v>9575.1969985519409</v>
      </c>
      <c r="R511" s="10">
        <f t="shared" ca="1" si="755"/>
        <v>62413.236505595247</v>
      </c>
      <c r="S511" s="10">
        <f t="shared" ca="1" si="755"/>
        <v>15082.838322087222</v>
      </c>
      <c r="T511" s="10">
        <f t="shared" ca="1" si="755"/>
        <v>44901.788717475705</v>
      </c>
      <c r="U511" s="10">
        <f t="shared" ca="1" si="755"/>
        <v>44344.415502607932</v>
      </c>
      <c r="V511" s="10">
        <f t="shared" ca="1" si="755"/>
        <v>12519.219794002809</v>
      </c>
      <c r="W511" s="10">
        <f ca="1">SUM(P511:V511)</f>
        <v>197882.08742888996</v>
      </c>
      <c r="Y511" s="10">
        <f t="shared" ref="Y511:AE511" ca="1" si="756">Y509*Y499</f>
        <v>15850.454283110348</v>
      </c>
      <c r="Z511" s="10">
        <f t="shared" ca="1" si="756"/>
        <v>1162.7700957154498</v>
      </c>
      <c r="AA511" s="10">
        <f t="shared" ca="1" si="756"/>
        <v>12569.055248046798</v>
      </c>
      <c r="AB511" s="10">
        <f t="shared" ca="1" si="756"/>
        <v>7472.1766129543466</v>
      </c>
      <c r="AC511" s="10">
        <f t="shared" ca="1" si="756"/>
        <v>31104.238518187911</v>
      </c>
      <c r="AD511" s="10">
        <f t="shared" ca="1" si="756"/>
        <v>60749.909845460927</v>
      </c>
      <c r="AE511" s="10">
        <f t="shared" ca="1" si="756"/>
        <v>18682.411231744256</v>
      </c>
      <c r="AF511" s="10">
        <f ca="1">SUM(Y511:AE511)</f>
        <v>147591.01583522002</v>
      </c>
      <c r="AH511" s="10">
        <f t="shared" ref="AH511:AN511" ca="1" si="757">AH509*AH499</f>
        <v>17569.870643676451</v>
      </c>
      <c r="AI511" s="10">
        <f t="shared" ca="1" si="757"/>
        <v>2258.2513229251003</v>
      </c>
      <c r="AJ511" s="10">
        <f t="shared" ca="1" si="757"/>
        <v>9295.8495448765061</v>
      </c>
      <c r="AK511" s="10">
        <f t="shared" ca="1" si="757"/>
        <v>2744.4687406734406</v>
      </c>
      <c r="AL511" s="10">
        <f t="shared" ca="1" si="757"/>
        <v>13704.847011502929</v>
      </c>
      <c r="AM511" s="10">
        <f t="shared" ca="1" si="757"/>
        <v>24597.768585521171</v>
      </c>
      <c r="AN511" s="10">
        <f t="shared" ca="1" si="757"/>
        <v>13413.39543666711</v>
      </c>
      <c r="AO511" s="4">
        <f ca="1">SUM(AH511:AN511)</f>
        <v>83584.451285842704</v>
      </c>
      <c r="AQ511" s="10">
        <f t="shared" ref="AQ511:AW511" ca="1" si="758">AQ509</f>
        <v>5971.6905611606398</v>
      </c>
      <c r="AR511" s="10">
        <f t="shared" ca="1" si="758"/>
        <v>2552.8911555962159</v>
      </c>
      <c r="AS511" s="10">
        <f t="shared" ca="1" si="758"/>
        <v>15950.302675877292</v>
      </c>
      <c r="AT511" s="10">
        <f t="shared" ca="1" si="758"/>
        <v>4642.5660450726618</v>
      </c>
      <c r="AU511" s="10">
        <f t="shared" ca="1" si="758"/>
        <v>14365.016335840943</v>
      </c>
      <c r="AV511" s="10">
        <f t="shared" ca="1" si="758"/>
        <v>24469.846484730482</v>
      </c>
      <c r="AW511" s="10">
        <f t="shared" ca="1" si="758"/>
        <v>8223.1249489336733</v>
      </c>
      <c r="AX511" s="10">
        <f ca="1">SUM(AQ511:AW511)</f>
        <v>76175.438207211919</v>
      </c>
      <c r="AZ511" s="10">
        <f t="shared" ref="AZ511:BF511" ca="1" si="759">AZ509*AZ499</f>
        <v>3640.2016611228823</v>
      </c>
      <c r="BA511" s="10">
        <f t="shared" ca="1" si="759"/>
        <v>1088.6357227311526</v>
      </c>
      <c r="BB511" s="10">
        <f t="shared" ca="1" si="759"/>
        <v>7128.1959332921479</v>
      </c>
      <c r="BC511" s="10">
        <f t="shared" ca="1" si="759"/>
        <v>2077.7184395410377</v>
      </c>
      <c r="BD511" s="10">
        <f t="shared" ca="1" si="759"/>
        <v>7196.2350049958968</v>
      </c>
      <c r="BE511" s="10">
        <f t="shared" ca="1" si="759"/>
        <v>11124.333231839535</v>
      </c>
      <c r="BF511" s="10">
        <f t="shared" ca="1" si="759"/>
        <v>3874.8956442073572</v>
      </c>
      <c r="BG511" s="10">
        <f ca="1">SUM(AZ511:BF511)</f>
        <v>36130.215637730005</v>
      </c>
      <c r="BI511" s="10">
        <f t="shared" ref="BI511:BO511" ca="1" si="760">BI509*BI499</f>
        <v>1105.0204329671283</v>
      </c>
      <c r="BJ511" s="10">
        <f t="shared" ca="1" si="760"/>
        <v>348.33004645770569</v>
      </c>
      <c r="BK511" s="10">
        <f t="shared" ca="1" si="760"/>
        <v>2209.4278602563095</v>
      </c>
      <c r="BL511" s="10">
        <f t="shared" ca="1" si="760"/>
        <v>648.00153342489659</v>
      </c>
      <c r="BM511" s="10">
        <f t="shared" ca="1" si="760"/>
        <v>2224.8030623379991</v>
      </c>
      <c r="BN511" s="10">
        <f t="shared" ca="1" si="760"/>
        <v>3444.2666561884821</v>
      </c>
      <c r="BO511" s="10">
        <f t="shared" ca="1" si="760"/>
        <v>1204.7228189551718</v>
      </c>
      <c r="BP511" s="10">
        <f ca="1">SUM(BI511:BO511)</f>
        <v>11184.572410587693</v>
      </c>
    </row>
    <row r="512" spans="2:68" ht="13.2" customHeight="1">
      <c r="B512" s="280" t="s">
        <v>112</v>
      </c>
      <c r="G512" s="1122">
        <f t="shared" ca="1" si="754"/>
        <v>84305.62734110585</v>
      </c>
      <c r="H512" s="1122">
        <f t="shared" ca="1" si="754"/>
        <v>26104.010556815698</v>
      </c>
      <c r="I512" s="1122">
        <f t="shared" ca="1" si="754"/>
        <v>166305.27283599859</v>
      </c>
      <c r="J512" s="1122">
        <f t="shared" ca="1" si="754"/>
        <v>49399.209129497693</v>
      </c>
      <c r="K512" s="1122">
        <f t="shared" ca="1" si="754"/>
        <v>171703.63307432976</v>
      </c>
      <c r="L512" s="1122">
        <f t="shared" ca="1" si="754"/>
        <v>259925.56239927647</v>
      </c>
      <c r="M512" s="1122">
        <f t="shared" ca="1" si="754"/>
        <v>90943.853949250974</v>
      </c>
      <c r="N512" s="186">
        <f ca="1">SUM(G512:M512)</f>
        <v>848687.16928627517</v>
      </c>
      <c r="O512" s="39">
        <f>ROW()</f>
        <v>512</v>
      </c>
      <c r="P512" s="10">
        <f t="shared" ref="P512:V512" ca="1" si="761">P511*$I$85</f>
        <v>11306.739485711412</v>
      </c>
      <c r="Q512" s="10">
        <f t="shared" ca="1" si="761"/>
        <v>11968.996248189926</v>
      </c>
      <c r="R512" s="10">
        <f t="shared" ca="1" si="761"/>
        <v>78016.545631994057</v>
      </c>
      <c r="S512" s="10">
        <f t="shared" ca="1" si="761"/>
        <v>18853.547902609029</v>
      </c>
      <c r="T512" s="10">
        <f t="shared" ca="1" si="761"/>
        <v>56127.235896844635</v>
      </c>
      <c r="U512" s="10">
        <f t="shared" ca="1" si="761"/>
        <v>55430.519378259916</v>
      </c>
      <c r="V512" s="10">
        <f t="shared" ca="1" si="761"/>
        <v>15649.024742503512</v>
      </c>
      <c r="W512" s="10">
        <f ca="1">SUM(P512:V512)</f>
        <v>247352.60928611248</v>
      </c>
      <c r="Y512" s="10">
        <f t="shared" ref="Y512:AE512" ca="1" si="762">Y511*$J$85</f>
        <v>19813.067853887937</v>
      </c>
      <c r="Z512" s="10">
        <f t="shared" ca="1" si="762"/>
        <v>1453.4626196443123</v>
      </c>
      <c r="AA512" s="10">
        <f t="shared" ca="1" si="762"/>
        <v>15711.319060058497</v>
      </c>
      <c r="AB512" s="10">
        <f t="shared" ca="1" si="762"/>
        <v>9340.2207661929333</v>
      </c>
      <c r="AC512" s="10">
        <f t="shared" ca="1" si="762"/>
        <v>38880.298147734888</v>
      </c>
      <c r="AD512" s="10">
        <f t="shared" ca="1" si="762"/>
        <v>75937.38730682616</v>
      </c>
      <c r="AE512" s="10">
        <f t="shared" ca="1" si="762"/>
        <v>23353.014039680318</v>
      </c>
      <c r="AF512" s="10">
        <f ca="1">SUM(Y512:AE512)</f>
        <v>184488.76979402505</v>
      </c>
      <c r="AH512" s="10">
        <f t="shared" ref="AH512:AN512" ca="1" si="763">AH511*$K$85</f>
        <v>28111.793029882323</v>
      </c>
      <c r="AI512" s="10">
        <f t="shared" ca="1" si="763"/>
        <v>3613.2021166801605</v>
      </c>
      <c r="AJ512" s="10">
        <f t="shared" ca="1" si="763"/>
        <v>14873.35927180241</v>
      </c>
      <c r="AK512" s="10">
        <f t="shared" ca="1" si="763"/>
        <v>4391.1499850775053</v>
      </c>
      <c r="AL512" s="10">
        <f t="shared" ca="1" si="763"/>
        <v>21927.755218404687</v>
      </c>
      <c r="AM512" s="10">
        <f t="shared" ca="1" si="763"/>
        <v>39356.429736833874</v>
      </c>
      <c r="AN512" s="10">
        <f t="shared" ca="1" si="763"/>
        <v>21461.432698667377</v>
      </c>
      <c r="AO512" s="10">
        <f ca="1">SUM(AH512:AN512)</f>
        <v>133735.12205734834</v>
      </c>
      <c r="AQ512" s="10">
        <f t="shared" ref="AQ512:AW512" ca="1" si="764">AQ511*$L$85</f>
        <v>11943.38112232128</v>
      </c>
      <c r="AR512" s="10">
        <f t="shared" ca="1" si="764"/>
        <v>5105.7823111924317</v>
      </c>
      <c r="AS512" s="10">
        <f t="shared" ca="1" si="764"/>
        <v>31900.605351754584</v>
      </c>
      <c r="AT512" s="10">
        <f t="shared" ca="1" si="764"/>
        <v>9285.1320901453237</v>
      </c>
      <c r="AU512" s="10">
        <f t="shared" ca="1" si="764"/>
        <v>28730.032671681885</v>
      </c>
      <c r="AV512" s="10">
        <f t="shared" ca="1" si="764"/>
        <v>48939.692969460964</v>
      </c>
      <c r="AW512" s="10">
        <f t="shared" ca="1" si="764"/>
        <v>16446.249897867347</v>
      </c>
      <c r="AX512" s="10">
        <f ca="1">SUM(AQ512:AW512)</f>
        <v>152350.87641442384</v>
      </c>
      <c r="AZ512" s="10">
        <f t="shared" ref="AZ512:BF512" ca="1" si="765">AZ511*$M$85</f>
        <v>10920.604983368647</v>
      </c>
      <c r="BA512" s="10">
        <f t="shared" ca="1" si="765"/>
        <v>3265.9071681934574</v>
      </c>
      <c r="BB512" s="10">
        <f t="shared" ca="1" si="765"/>
        <v>21384.587799876444</v>
      </c>
      <c r="BC512" s="10">
        <f t="shared" ca="1" si="765"/>
        <v>6233.1553186231131</v>
      </c>
      <c r="BD512" s="10">
        <f t="shared" ca="1" si="765"/>
        <v>21588.705014987689</v>
      </c>
      <c r="BE512" s="10">
        <f t="shared" ca="1" si="765"/>
        <v>33372.999695518607</v>
      </c>
      <c r="BF512" s="10">
        <f t="shared" ca="1" si="765"/>
        <v>11624.686932622071</v>
      </c>
      <c r="BG512" s="10">
        <f ca="1">SUM(AZ512:BF512)</f>
        <v>108390.64691319002</v>
      </c>
      <c r="BI512" s="10">
        <f t="shared" ref="BI512:BO512" ca="1" si="766">BI511*$N$85</f>
        <v>2210.0408659342565</v>
      </c>
      <c r="BJ512" s="10">
        <f t="shared" ca="1" si="766"/>
        <v>696.66009291541138</v>
      </c>
      <c r="BK512" s="10">
        <f t="shared" ca="1" si="766"/>
        <v>4418.855720512619</v>
      </c>
      <c r="BL512" s="10">
        <f t="shared" ca="1" si="766"/>
        <v>1296.0030668497932</v>
      </c>
      <c r="BM512" s="10">
        <f t="shared" ca="1" si="766"/>
        <v>4449.6061246759982</v>
      </c>
      <c r="BN512" s="10">
        <f t="shared" ca="1" si="766"/>
        <v>6888.5333123769642</v>
      </c>
      <c r="BO512" s="10">
        <f t="shared" ca="1" si="766"/>
        <v>2409.4456379103435</v>
      </c>
      <c r="BP512" s="10">
        <f ca="1">SUM(BI512:BO512)</f>
        <v>22369.144821175385</v>
      </c>
    </row>
    <row r="513" spans="2:68" ht="13.2" customHeight="1">
      <c r="G513" s="1122"/>
      <c r="H513" s="1122"/>
      <c r="I513" s="1122"/>
      <c r="J513" s="1122"/>
      <c r="K513" s="1122"/>
      <c r="L513" s="1122"/>
      <c r="M513" s="1122"/>
      <c r="N513" s="186"/>
      <c r="O513" s="39">
        <f>ROW()</f>
        <v>513</v>
      </c>
      <c r="P513" s="309" t="str">
        <f>CONCATENATE("Figures in Row ",O512, " are product of trips in Row ",O511, " and CBD miles for that trip type in Row ",O85, ".")</f>
        <v>Figures in Row 512 are product of trips in Row 511 and CBD miles for that trip type in Row 85.</v>
      </c>
    </row>
    <row r="514" spans="2:68" ht="13.2" customHeight="1">
      <c r="B514" s="308" t="s">
        <v>1010</v>
      </c>
      <c r="G514" s="1122"/>
      <c r="H514" s="1122"/>
      <c r="I514" s="1122"/>
      <c r="J514" s="1122"/>
      <c r="K514" s="1122"/>
      <c r="L514" s="1122"/>
      <c r="M514" s="1122"/>
      <c r="N514" s="186"/>
      <c r="O514" s="39">
        <f>ROW()</f>
        <v>514</v>
      </c>
      <c r="P514" s="10"/>
      <c r="Q514" s="10"/>
      <c r="R514" s="10"/>
      <c r="S514" s="10"/>
      <c r="T514" s="10"/>
      <c r="U514" s="10"/>
      <c r="V514" s="10"/>
      <c r="W514" s="10"/>
      <c r="Y514" s="10"/>
      <c r="Z514" s="10"/>
      <c r="AA514" s="10"/>
      <c r="AB514" s="10"/>
      <c r="AC514" s="10"/>
      <c r="AD514" s="10"/>
      <c r="AE514" s="10"/>
      <c r="AF514" s="10"/>
      <c r="AH514" s="10"/>
      <c r="AI514" s="10"/>
      <c r="AJ514" s="10"/>
      <c r="AK514" s="10"/>
      <c r="AL514" s="10"/>
      <c r="AM514" s="10"/>
      <c r="AN514" s="10"/>
      <c r="AO514" s="10"/>
      <c r="AQ514" s="10"/>
      <c r="AR514" s="10"/>
      <c r="AS514" s="10"/>
      <c r="AT514" s="10"/>
      <c r="AU514" s="10"/>
      <c r="AV514" s="10"/>
      <c r="AW514" s="10"/>
      <c r="AX514" s="10"/>
      <c r="AZ514" s="10"/>
      <c r="BA514" s="10"/>
      <c r="BB514" s="10"/>
      <c r="BC514" s="10"/>
      <c r="BD514" s="10"/>
      <c r="BE514" s="10"/>
      <c r="BF514" s="10"/>
      <c r="BG514" s="10"/>
      <c r="BI514" s="10"/>
      <c r="BJ514" s="10"/>
      <c r="BK514" s="10"/>
      <c r="BL514" s="10"/>
      <c r="BM514" s="10"/>
      <c r="BN514" s="10"/>
      <c r="BO514" s="10"/>
      <c r="BP514" s="10"/>
    </row>
    <row r="515" spans="2:68" ht="13.2" customHeight="1">
      <c r="B515" s="280" t="s">
        <v>1301</v>
      </c>
      <c r="G515" s="1122">
        <f t="shared" ref="G515:M515" ca="1" si="767">P515+Y515+AH515+AQ515+AZ515+BI515</f>
        <v>73679.623505647163</v>
      </c>
      <c r="H515" s="1122">
        <f t="shared" ca="1" si="767"/>
        <v>14818.178950708383</v>
      </c>
      <c r="I515" s="1122">
        <f t="shared" ca="1" si="767"/>
        <v>86635.230462598192</v>
      </c>
      <c r="J515" s="1122">
        <f t="shared" ca="1" si="767"/>
        <v>27190.9717026535</v>
      </c>
      <c r="K515" s="1122">
        <f t="shared" ca="1" si="767"/>
        <v>107831.95239049198</v>
      </c>
      <c r="L515" s="1122">
        <f t="shared" ca="1" si="767"/>
        <v>225970.50993938389</v>
      </c>
      <c r="M515" s="1122">
        <f t="shared" ca="1" si="767"/>
        <v>87493.811729821871</v>
      </c>
      <c r="N515" s="186">
        <f ca="1">SUM(G515:M515)</f>
        <v>623620.278681305</v>
      </c>
      <c r="O515" s="39">
        <f>ROW()</f>
        <v>515</v>
      </c>
      <c r="P515" s="10">
        <f t="shared" ref="P515:W515" ca="1" si="768">P$135*$W509</f>
        <v>28616.552705871094</v>
      </c>
      <c r="Q515" s="10">
        <f t="shared" ca="1" si="768"/>
        <v>5183.8867231300701</v>
      </c>
      <c r="R515" s="10">
        <f t="shared" ca="1" si="768"/>
        <v>29874.770555731535</v>
      </c>
      <c r="S515" s="10">
        <f t="shared" ca="1" si="768"/>
        <v>9530.0153301470327</v>
      </c>
      <c r="T515" s="10">
        <f t="shared" ca="1" si="768"/>
        <v>39503.517321333406</v>
      </c>
      <c r="U515" s="10">
        <f t="shared" ca="1" si="768"/>
        <v>85163.644867815005</v>
      </c>
      <c r="V515" s="10">
        <f t="shared" ca="1" si="768"/>
        <v>33503.515580010135</v>
      </c>
      <c r="W515" s="10">
        <f t="shared" ca="1" si="768"/>
        <v>231375.90308403829</v>
      </c>
      <c r="Y515" s="10">
        <f t="shared" ref="Y515:AE515" ca="1" si="769">Y$135*$AF509</f>
        <v>21265.864746140211</v>
      </c>
      <c r="Z515" s="10">
        <f t="shared" ca="1" si="769"/>
        <v>3852.3100614693808</v>
      </c>
      <c r="AA515" s="10">
        <f t="shared" ca="1" si="769"/>
        <v>22200.886196533913</v>
      </c>
      <c r="AB515" s="10">
        <f t="shared" ca="1" si="769"/>
        <v>7082.0555893851651</v>
      </c>
      <c r="AC515" s="10">
        <f t="shared" ca="1" si="769"/>
        <v>29356.312236027286</v>
      </c>
      <c r="AD515" s="10">
        <f t="shared" ca="1" si="769"/>
        <v>63287.796110944677</v>
      </c>
      <c r="AE515" s="10">
        <f t="shared" ca="1" si="769"/>
        <v>24897.521311101915</v>
      </c>
      <c r="AF515" s="10">
        <f ca="1">SUM(Y515:AE515)</f>
        <v>171942.74625160254</v>
      </c>
      <c r="AH515" s="10">
        <f t="shared" ref="AH515:AN515" ca="1" si="770">AH$135*$AO509</f>
        <v>11681.742344388094</v>
      </c>
      <c r="AI515" s="10">
        <f t="shared" ca="1" si="770"/>
        <v>2116.1468910850217</v>
      </c>
      <c r="AJ515" s="10">
        <f t="shared" ca="1" si="770"/>
        <v>12195.367339203216</v>
      </c>
      <c r="AK515" s="10">
        <f t="shared" ca="1" si="770"/>
        <v>3890.307290647414</v>
      </c>
      <c r="AL515" s="10">
        <f t="shared" ca="1" si="770"/>
        <v>16125.978407951698</v>
      </c>
      <c r="AM515" s="10">
        <f t="shared" ca="1" si="770"/>
        <v>34765.185264634434</v>
      </c>
      <c r="AN515" s="10">
        <f t="shared" ca="1" si="770"/>
        <v>13676.680090001671</v>
      </c>
      <c r="AO515" s="10">
        <f ca="1">SUM(AH515:AN515)</f>
        <v>94451.40762791154</v>
      </c>
      <c r="AQ515" s="10">
        <f t="shared" ref="AQ515:AW515" ca="1" si="771">AQ509</f>
        <v>5971.6905611606398</v>
      </c>
      <c r="AR515" s="10">
        <f t="shared" ca="1" si="771"/>
        <v>2552.8911555962159</v>
      </c>
      <c r="AS515" s="10">
        <f t="shared" ca="1" si="771"/>
        <v>15950.302675877292</v>
      </c>
      <c r="AT515" s="10">
        <f t="shared" ca="1" si="771"/>
        <v>4642.5660450726618</v>
      </c>
      <c r="AU515" s="10">
        <f t="shared" ca="1" si="771"/>
        <v>14365.016335840943</v>
      </c>
      <c r="AV515" s="10">
        <f t="shared" ca="1" si="771"/>
        <v>24469.846484730482</v>
      </c>
      <c r="AW515" s="10">
        <f t="shared" ca="1" si="771"/>
        <v>8223.1249489336733</v>
      </c>
      <c r="AX515" s="10">
        <f ca="1">SUM(AQ515:AW515)</f>
        <v>76175.438207211919</v>
      </c>
      <c r="AZ515" s="10">
        <f t="shared" ref="AZ515:BF515" ca="1" si="772">AZ$135*$BG509</f>
        <v>4660.6955893158056</v>
      </c>
      <c r="BA515" s="10">
        <f t="shared" ca="1" si="772"/>
        <v>844.28471291890457</v>
      </c>
      <c r="BB515" s="10">
        <f t="shared" ca="1" si="772"/>
        <v>4865.6179097474987</v>
      </c>
      <c r="BC515" s="10">
        <f t="shared" ca="1" si="772"/>
        <v>1552.1261722840434</v>
      </c>
      <c r="BD515" s="10">
        <f t="shared" ca="1" si="772"/>
        <v>6433.8241868044979</v>
      </c>
      <c r="BE515" s="10">
        <f t="shared" ca="1" si="772"/>
        <v>13870.357764093957</v>
      </c>
      <c r="BF515" s="10">
        <f t="shared" ca="1" si="772"/>
        <v>5456.621169407671</v>
      </c>
      <c r="BG515" s="10">
        <f ca="1">SUM(AZ515:BF515)</f>
        <v>37683.527504572376</v>
      </c>
      <c r="BI515" s="10">
        <f t="shared" ref="BI515:BO515" ca="1" si="773">BI$135*$BP509</f>
        <v>1483.077558771326</v>
      </c>
      <c r="BJ515" s="10">
        <f t="shared" ca="1" si="773"/>
        <v>268.6594065087898</v>
      </c>
      <c r="BK515" s="10">
        <f t="shared" ca="1" si="773"/>
        <v>1548.2857855047537</v>
      </c>
      <c r="BL515" s="10">
        <f t="shared" ca="1" si="773"/>
        <v>493.90127511718191</v>
      </c>
      <c r="BM515" s="10">
        <f t="shared" ca="1" si="773"/>
        <v>2047.3039025341452</v>
      </c>
      <c r="BN515" s="10">
        <f t="shared" ca="1" si="773"/>
        <v>4413.6794471653502</v>
      </c>
      <c r="BO515" s="10">
        <f t="shared" ca="1" si="773"/>
        <v>1736.3486303667964</v>
      </c>
      <c r="BP515" s="10">
        <f ca="1">SUM(BI515:BO515)</f>
        <v>11991.256005968342</v>
      </c>
    </row>
    <row r="516" spans="2:68" ht="13.2" customHeight="1">
      <c r="B516" s="309" t="str">
        <f>CONCATENATE("Each fig. in column blocks to right is product of period's % of total exits in Row ",$O$135," times 24-h entries for trip type in Row ",O509,"; except taxicabs, where each fig. is corresp. # of entries for period.")</f>
        <v>Each fig. in column blocks to right is product of period's % of total exits in Row 135 times 24-h entries for trip type in Row 509; except taxicabs, where each fig. is corresp. # of entries for period.</v>
      </c>
      <c r="G516" s="1122"/>
      <c r="H516" s="1122"/>
      <c r="I516" s="1122"/>
      <c r="J516" s="1122"/>
      <c r="K516" s="1122"/>
      <c r="L516" s="1122"/>
      <c r="M516" s="1122"/>
      <c r="O516" s="39">
        <f>ROW()</f>
        <v>516</v>
      </c>
    </row>
    <row r="517" spans="2:68" ht="13.2" customHeight="1">
      <c r="B517" s="280" t="s">
        <v>1047</v>
      </c>
      <c r="G517" s="1122"/>
      <c r="H517" s="1122"/>
      <c r="I517" s="1122"/>
      <c r="J517" s="1122"/>
      <c r="K517" s="1122"/>
      <c r="L517" s="1122"/>
      <c r="M517" s="1122"/>
      <c r="N517" s="186"/>
      <c r="O517" s="39">
        <f>ROW()</f>
        <v>517</v>
      </c>
      <c r="P517" s="10">
        <f t="shared" ref="P517:V517" ca="1" si="774">P515*$W511/$W509</f>
        <v>24474.040334268797</v>
      </c>
      <c r="Q517" s="10">
        <f t="shared" ca="1" si="774"/>
        <v>4433.4708675142592</v>
      </c>
      <c r="R517" s="10">
        <f t="shared" ca="1" si="774"/>
        <v>25550.119438669924</v>
      </c>
      <c r="S517" s="10">
        <f t="shared" ca="1" si="774"/>
        <v>8150.4569042086732</v>
      </c>
      <c r="T517" s="10">
        <f t="shared" ca="1" si="774"/>
        <v>33785.015484043433</v>
      </c>
      <c r="U517" s="10">
        <f t="shared" ca="1" si="774"/>
        <v>72835.414556436939</v>
      </c>
      <c r="V517" s="10">
        <f t="shared" ca="1" si="774"/>
        <v>28653.569843747926</v>
      </c>
      <c r="W517" s="10">
        <f ca="1">SUM(P517:V517)</f>
        <v>197882.08742888994</v>
      </c>
      <c r="Y517" s="10">
        <f t="shared" ref="Y517:AE517" ca="1" si="775">Y515*$AF511/$AF509</f>
        <v>18254.044726635126</v>
      </c>
      <c r="Z517" s="10">
        <f t="shared" ca="1" si="775"/>
        <v>3306.7190543329225</v>
      </c>
      <c r="AA517" s="10">
        <f t="shared" ca="1" si="775"/>
        <v>19056.641920758058</v>
      </c>
      <c r="AB517" s="10">
        <f t="shared" ca="1" si="775"/>
        <v>6079.0455045387671</v>
      </c>
      <c r="AC517" s="10">
        <f t="shared" ca="1" si="775"/>
        <v>25198.666640761443</v>
      </c>
      <c r="AD517" s="10">
        <f t="shared" ca="1" si="775"/>
        <v>54324.537217280573</v>
      </c>
      <c r="AE517" s="10">
        <f t="shared" ca="1" si="775"/>
        <v>21371.360770913139</v>
      </c>
      <c r="AF517" s="10">
        <f ca="1">SUM(Y517:AE517)</f>
        <v>147591.01583522002</v>
      </c>
      <c r="AH517" s="10">
        <f t="shared" ref="AH517:AN517" ca="1" si="776">AH515*$AO511/$AO509</f>
        <v>10337.718075783669</v>
      </c>
      <c r="AI517" s="10">
        <f t="shared" ca="1" si="776"/>
        <v>1872.6769793456649</v>
      </c>
      <c r="AJ517" s="10">
        <f t="shared" ca="1" si="776"/>
        <v>10792.248764489139</v>
      </c>
      <c r="AK517" s="10">
        <f t="shared" ca="1" si="776"/>
        <v>3442.7141785231165</v>
      </c>
      <c r="AL517" s="10">
        <f t="shared" ca="1" si="776"/>
        <v>14270.629634085777</v>
      </c>
      <c r="AM517" s="10">
        <f t="shared" ca="1" si="776"/>
        <v>30765.332218684965</v>
      </c>
      <c r="AN517" s="10">
        <f t="shared" ca="1" si="776"/>
        <v>12103.131434930385</v>
      </c>
      <c r="AO517" s="10">
        <f ca="1">SUM(AH517:AN517)</f>
        <v>83584.451285842719</v>
      </c>
      <c r="AQ517" s="10">
        <f t="shared" ref="AQ517:AW517" ca="1" si="777">AQ515*$AX511/$AX509</f>
        <v>5971.6905611606398</v>
      </c>
      <c r="AR517" s="10">
        <f t="shared" ca="1" si="777"/>
        <v>2552.8911555962159</v>
      </c>
      <c r="AS517" s="10">
        <f t="shared" ca="1" si="777"/>
        <v>15950.30267587729</v>
      </c>
      <c r="AT517" s="10">
        <f t="shared" ca="1" si="777"/>
        <v>4642.5660450726618</v>
      </c>
      <c r="AU517" s="10">
        <f t="shared" ca="1" si="777"/>
        <v>14365.016335840945</v>
      </c>
      <c r="AV517" s="10">
        <f t="shared" ca="1" si="777"/>
        <v>24469.846484730482</v>
      </c>
      <c r="AW517" s="10">
        <f t="shared" ca="1" si="777"/>
        <v>8223.1249489336733</v>
      </c>
      <c r="AX517" s="10">
        <f ca="1">SUM(AQ517:AW517)</f>
        <v>76175.438207211919</v>
      </c>
      <c r="AZ517" s="10">
        <f t="shared" ref="AZ517:BF517" ca="1" si="778">AZ515*$BG511/$BG509</f>
        <v>4468.58210509526</v>
      </c>
      <c r="BA517" s="10">
        <f t="shared" ca="1" si="778"/>
        <v>809.48336733331905</v>
      </c>
      <c r="BB517" s="10">
        <f t="shared" ca="1" si="778"/>
        <v>4665.0575445371423</v>
      </c>
      <c r="BC517" s="10">
        <f t="shared" ca="1" si="778"/>
        <v>1488.1476606663905</v>
      </c>
      <c r="BD517" s="10">
        <f t="shared" ca="1" si="778"/>
        <v>6168.6224893963054</v>
      </c>
      <c r="BE517" s="10">
        <f t="shared" ca="1" si="778"/>
        <v>13298.622771670487</v>
      </c>
      <c r="BF517" s="10">
        <f t="shared" ca="1" si="778"/>
        <v>5231.6996990311045</v>
      </c>
      <c r="BG517" s="10">
        <f ca="1">SUM(AZ517:BF517)</f>
        <v>36130.215637730005</v>
      </c>
      <c r="BI517" s="10">
        <f t="shared" ref="BI517:BO517" ca="1" si="779">BI515*$BP511/$BP509</f>
        <v>1383.3069978940875</v>
      </c>
      <c r="BJ517" s="10">
        <f t="shared" ca="1" si="779"/>
        <v>250.58597567990296</v>
      </c>
      <c r="BK517" s="10">
        <f t="shared" ca="1" si="779"/>
        <v>1444.128494266364</v>
      </c>
      <c r="BL517" s="10">
        <f t="shared" ca="1" si="779"/>
        <v>460.67522638831542</v>
      </c>
      <c r="BM517" s="10">
        <f t="shared" ca="1" si="779"/>
        <v>1909.5763390402892</v>
      </c>
      <c r="BN517" s="10">
        <f t="shared" ca="1" si="779"/>
        <v>4116.7595245546645</v>
      </c>
      <c r="BO517" s="10">
        <f t="shared" ca="1" si="779"/>
        <v>1619.5398527640664</v>
      </c>
      <c r="BP517" s="10">
        <f ca="1">SUM(BI517:BO517)</f>
        <v>11184.572410587689</v>
      </c>
    </row>
    <row r="518" spans="2:68" ht="13.2" customHeight="1">
      <c r="B518" s="309" t="str">
        <f>CONCATENATE("Each fig. in column blocks to right prorates pre-toll # of exits, in Row ",O515,", by ratio of (i) sum of post-tolls entries for trip type, in Row ",O511,", to (ii) sum of pre-tolls entries for trip type, in Row ",O509,".")</f>
        <v>Each fig. in column blocks to right prorates pre-toll # of exits, in Row 515, by ratio of (i) sum of post-tolls entries for trip type, in Row 511, to (ii) sum of pre-tolls entries for trip type, in Row 509.</v>
      </c>
      <c r="G518" s="1122"/>
      <c r="H518" s="1122"/>
      <c r="I518" s="1122"/>
      <c r="J518" s="1122"/>
      <c r="K518" s="1122"/>
      <c r="L518" s="1122"/>
      <c r="M518" s="1122"/>
      <c r="O518" s="39">
        <f>ROW()</f>
        <v>518</v>
      </c>
    </row>
    <row r="519" spans="2:68" ht="13.2" customHeight="1">
      <c r="B519" s="280" t="s">
        <v>1010</v>
      </c>
      <c r="G519" s="1122">
        <f t="shared" ref="G519:M519" ca="1" si="780">P519+Y519+AH519+AQ519+AZ519+BI519</f>
        <v>95080.351400198677</v>
      </c>
      <c r="H519" s="1122">
        <f t="shared" ca="1" si="780"/>
        <v>19430.479356016127</v>
      </c>
      <c r="I519" s="1122">
        <f t="shared" ca="1" si="780"/>
        <v>113834.93335842769</v>
      </c>
      <c r="J519" s="1122">
        <f t="shared" ca="1" si="780"/>
        <v>35644.863198956082</v>
      </c>
      <c r="K519" s="1122">
        <f t="shared" ca="1" si="780"/>
        <v>140435.15472057424</v>
      </c>
      <c r="L519" s="1122">
        <f t="shared" ca="1" si="780"/>
        <v>293008.62835825927</v>
      </c>
      <c r="M519" s="1122">
        <f t="shared" ca="1" si="780"/>
        <v>113165.03979023689</v>
      </c>
      <c r="N519" s="186">
        <f ca="1">SUM(G519:M519)</f>
        <v>810599.45018266886</v>
      </c>
      <c r="O519" s="39">
        <f>ROW()</f>
        <v>519</v>
      </c>
      <c r="P519" s="10">
        <f t="shared" ref="P519:V519" ca="1" si="781">P517*$I$85</f>
        <v>30592.550417835995</v>
      </c>
      <c r="Q519" s="10">
        <f t="shared" ca="1" si="781"/>
        <v>5541.8385843928245</v>
      </c>
      <c r="R519" s="10">
        <f t="shared" ca="1" si="781"/>
        <v>31937.649298337405</v>
      </c>
      <c r="S519" s="10">
        <f t="shared" ca="1" si="781"/>
        <v>10188.071130260842</v>
      </c>
      <c r="T519" s="10">
        <f t="shared" ca="1" si="781"/>
        <v>42231.26935505429</v>
      </c>
      <c r="U519" s="10">
        <f t="shared" ca="1" si="781"/>
        <v>91044.268195546174</v>
      </c>
      <c r="V519" s="10">
        <f t="shared" ca="1" si="781"/>
        <v>35816.962304684908</v>
      </c>
      <c r="W519" s="10">
        <f ca="1">SUM(P519:V519)</f>
        <v>247352.60928611245</v>
      </c>
      <c r="Y519" s="10">
        <f t="shared" ref="Y519:AE519" ca="1" si="782">Y517*$J$85</f>
        <v>22817.555908293907</v>
      </c>
      <c r="Z519" s="10">
        <f t="shared" ca="1" si="782"/>
        <v>4133.3988179161533</v>
      </c>
      <c r="AA519" s="10">
        <f t="shared" ca="1" si="782"/>
        <v>23820.802400947574</v>
      </c>
      <c r="AB519" s="10">
        <f t="shared" ca="1" si="782"/>
        <v>7598.8068806734591</v>
      </c>
      <c r="AC519" s="10">
        <f t="shared" ca="1" si="782"/>
        <v>31498.333300951803</v>
      </c>
      <c r="AD519" s="10">
        <f t="shared" ca="1" si="782"/>
        <v>67905.671521600714</v>
      </c>
      <c r="AE519" s="10">
        <f t="shared" ca="1" si="782"/>
        <v>26714.200963641422</v>
      </c>
      <c r="AF519" s="10">
        <f ca="1">SUM(Y519:AE519)</f>
        <v>184488.76979402502</v>
      </c>
      <c r="AH519" s="10">
        <f t="shared" ref="AH519:AN519" ca="1" si="783">AH517*$K$85</f>
        <v>16540.34892125387</v>
      </c>
      <c r="AI519" s="10">
        <f t="shared" ca="1" si="783"/>
        <v>2996.2831669530642</v>
      </c>
      <c r="AJ519" s="10">
        <f t="shared" ca="1" si="783"/>
        <v>17267.598023182622</v>
      </c>
      <c r="AK519" s="10">
        <f t="shared" ca="1" si="783"/>
        <v>5508.342685636987</v>
      </c>
      <c r="AL519" s="10">
        <f t="shared" ca="1" si="783"/>
        <v>22833.007414537245</v>
      </c>
      <c r="AM519" s="10">
        <f t="shared" ca="1" si="783"/>
        <v>49224.531549895946</v>
      </c>
      <c r="AN519" s="10">
        <f t="shared" ca="1" si="783"/>
        <v>19365.010295888616</v>
      </c>
      <c r="AO519" s="10">
        <f ca="1">SUM(AH519:AN519)</f>
        <v>133735.12205734834</v>
      </c>
      <c r="AQ519" s="10">
        <f ca="1">AQ517*$L$85*Taxis!$L$130</f>
        <v>8957.5358417409589</v>
      </c>
      <c r="AR519" s="10">
        <f ca="1">AR517*$L$85*Taxis!$L$130</f>
        <v>3829.3367333943238</v>
      </c>
      <c r="AS519" s="10">
        <f ca="1">AS517*$L$85*Taxis!$L$130</f>
        <v>23925.454013815935</v>
      </c>
      <c r="AT519" s="10">
        <f ca="1">AT517*$L$85*Taxis!$L$130</f>
        <v>6963.8490676089932</v>
      </c>
      <c r="AU519" s="10">
        <f ca="1">AU517*$L$85*Taxis!$L$130</f>
        <v>21547.524503761415</v>
      </c>
      <c r="AV519" s="10">
        <f ca="1">AV517*$L$85*Taxis!$L$130</f>
        <v>36704.769727095721</v>
      </c>
      <c r="AW519" s="10">
        <f ca="1">AW517*$L$85*Taxis!$L$130</f>
        <v>12334.68742340051</v>
      </c>
      <c r="AX519" s="10">
        <f ca="1">SUM(AQ519:AW519)</f>
        <v>114263.15731081786</v>
      </c>
      <c r="AZ519" s="10">
        <f t="shared" ref="AZ519:BF519" ca="1" si="784">AZ517*$M$85</f>
        <v>13405.74631528578</v>
      </c>
      <c r="BA519" s="10">
        <f t="shared" ca="1" si="784"/>
        <v>2428.450101999957</v>
      </c>
      <c r="BB519" s="10">
        <f t="shared" ca="1" si="784"/>
        <v>13995.172633611426</v>
      </c>
      <c r="BC519" s="10">
        <f t="shared" ca="1" si="784"/>
        <v>4464.442981999171</v>
      </c>
      <c r="BD519" s="10">
        <f t="shared" ca="1" si="784"/>
        <v>18505.867468188917</v>
      </c>
      <c r="BE519" s="10">
        <f t="shared" ca="1" si="784"/>
        <v>39895.868315011459</v>
      </c>
      <c r="BF519" s="10">
        <f t="shared" ca="1" si="784"/>
        <v>15695.099097093313</v>
      </c>
      <c r="BG519" s="10">
        <f ca="1">SUM(AZ519:BF519)</f>
        <v>108390.64691319002</v>
      </c>
      <c r="BI519" s="10">
        <f t="shared" ref="BI519:BO519" ca="1" si="785">BI517*$N$85</f>
        <v>2766.6139957881751</v>
      </c>
      <c r="BJ519" s="10">
        <f t="shared" ca="1" si="785"/>
        <v>501.17195135980592</v>
      </c>
      <c r="BK519" s="10">
        <f t="shared" ca="1" si="785"/>
        <v>2888.256988532728</v>
      </c>
      <c r="BL519" s="10">
        <f t="shared" ca="1" si="785"/>
        <v>921.35045277663085</v>
      </c>
      <c r="BM519" s="10">
        <f t="shared" ca="1" si="785"/>
        <v>3819.1526780805784</v>
      </c>
      <c r="BN519" s="10">
        <f t="shared" ca="1" si="785"/>
        <v>8233.519049109329</v>
      </c>
      <c r="BO519" s="10">
        <f t="shared" ca="1" si="785"/>
        <v>3239.0797055281328</v>
      </c>
      <c r="BP519" s="10">
        <f ca="1">SUM(BI519:BO519)</f>
        <v>22369.144821175378</v>
      </c>
    </row>
    <row r="520" spans="2:68" ht="13.2" customHeight="1">
      <c r="B520" s="309" t="str">
        <f>CONCATENATE("Figures in Row ",O519, " are product of trips in Row ",O517, " and CBD miles for that trip type in Row ",O85, " (see column blocks to right).")</f>
        <v>Figures in Row 519 are product of trips in Row 517 and CBD miles for that trip type in Row 85 (see column blocks to right).</v>
      </c>
      <c r="G520" s="1122"/>
      <c r="H520" s="1122"/>
      <c r="I520" s="1122"/>
      <c r="J520" s="1122"/>
      <c r="K520" s="1122"/>
      <c r="L520" s="1122"/>
      <c r="M520" s="1122"/>
      <c r="O520" s="39">
        <f>ROW()</f>
        <v>520</v>
      </c>
      <c r="AQ520"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row>
    <row r="521" spans="2:68" ht="13.2" customHeight="1">
      <c r="G521" s="1122"/>
      <c r="H521" s="1122"/>
      <c r="I521" s="1122"/>
      <c r="J521" s="1122"/>
      <c r="K521" s="1122"/>
      <c r="L521" s="1122"/>
      <c r="M521" s="1122"/>
      <c r="N521" s="186"/>
      <c r="O521" s="39">
        <f>ROW()</f>
        <v>521</v>
      </c>
    </row>
    <row r="522" spans="2:68" ht="13.2" customHeight="1">
      <c r="B522" s="308" t="s">
        <v>2760</v>
      </c>
      <c r="G522" s="1122"/>
      <c r="H522" s="1122"/>
      <c r="I522" s="1122"/>
      <c r="J522" s="1122"/>
      <c r="K522" s="1122"/>
      <c r="L522" s="1122"/>
      <c r="M522" s="1122"/>
      <c r="O522" s="39">
        <f>ROW()</f>
        <v>522</v>
      </c>
      <c r="P522" s="309" t="str">
        <f>CONCATENATE("Figs. in Row ",O523, " repeat figs. for same column in Row ",O472, "; figs. in Row ",O524, " multiply those figs. by intra-cordon rebound factor in Row ",O501,".")</f>
        <v>Figs. in Row 523 repeat figs. for same column in Row 472; figs. in Row 524 multiply those figs. by intra-cordon rebound factor in Row 501.</v>
      </c>
      <c r="AQ522" s="265" t="str">
        <f>CONCATENATE("Row ",O524, " figures are set equal to ",O523, " figures, since rebound effects are presumed accounted for by taxi time-elasticity.")</f>
        <v>Row 524 figures are set equal to 523 figures, since rebound effects are presumed accounted for by taxi time-elasticity.</v>
      </c>
    </row>
    <row r="523" spans="2:68" s="1122" customFormat="1" ht="13.2" customHeight="1">
      <c r="B523" s="1123" t="s">
        <v>1112</v>
      </c>
      <c r="G523" s="1122">
        <f t="shared" ref="G523:M525" ca="1" si="786">P523+Y523+AH523+AQ523+AZ523+BI523</f>
        <v>234164.39438539388</v>
      </c>
      <c r="H523" s="1122">
        <f t="shared" ca="1" si="786"/>
        <v>29514.230647637083</v>
      </c>
      <c r="I523" s="1122">
        <f t="shared" ca="1" si="786"/>
        <v>200345.45940574462</v>
      </c>
      <c r="J523" s="1122">
        <f t="shared" ca="1" si="786"/>
        <v>71131.272751832294</v>
      </c>
      <c r="K523" s="1122">
        <f t="shared" ca="1" si="786"/>
        <v>255547.53336853447</v>
      </c>
      <c r="L523" s="1122">
        <f t="shared" ca="1" si="786"/>
        <v>448577.35749028396</v>
      </c>
      <c r="M523" s="1122">
        <f t="shared" ca="1" si="786"/>
        <v>217141.08276966494</v>
      </c>
      <c r="N523" s="1127">
        <f ca="1">SUM(G523:M523)</f>
        <v>1456421.3308190913</v>
      </c>
      <c r="O523" s="39">
        <f>ROW()</f>
        <v>523</v>
      </c>
      <c r="P523" s="1122">
        <f ca="1">P472</f>
        <v>9895.9859482948214</v>
      </c>
      <c r="Q523" s="1122">
        <f t="shared" ref="Q523:V523" ca="1" si="787">Q472</f>
        <v>2813.1132886268324</v>
      </c>
      <c r="R523" s="1122">
        <f t="shared" ca="1" si="787"/>
        <v>20694.507649891111</v>
      </c>
      <c r="S523" s="1122">
        <f t="shared" ca="1" si="787"/>
        <v>6055.8664541132694</v>
      </c>
      <c r="T523" s="1122">
        <f t="shared" ca="1" si="787"/>
        <v>19828.715703444701</v>
      </c>
      <c r="U523" s="1122">
        <f t="shared" ca="1" si="787"/>
        <v>41784.617959813397</v>
      </c>
      <c r="V523" s="1122">
        <f t="shared" ca="1" si="787"/>
        <v>14150.418471264797</v>
      </c>
      <c r="W523" s="1122">
        <f ca="1">SUM(P523:V523)</f>
        <v>115223.22547544893</v>
      </c>
      <c r="Y523" s="1122">
        <f ca="1">Y472</f>
        <v>6960.237939473358</v>
      </c>
      <c r="Z523" s="1122">
        <f t="shared" ref="Z523:AE523" ca="1" si="788">Z472</f>
        <v>1978.5737309894794</v>
      </c>
      <c r="AA523" s="1122">
        <f t="shared" ca="1" si="788"/>
        <v>14555.264936316231</v>
      </c>
      <c r="AB523" s="1122">
        <f t="shared" ca="1" si="788"/>
        <v>4259.3301638192088</v>
      </c>
      <c r="AC523" s="1122">
        <f t="shared" ca="1" si="788"/>
        <v>13946.319250173139</v>
      </c>
      <c r="AD523" s="1122">
        <f t="shared" ca="1" si="788"/>
        <v>29388.772854958042</v>
      </c>
      <c r="AE523" s="1122">
        <f t="shared" ca="1" si="788"/>
        <v>9952.5484391065365</v>
      </c>
      <c r="AF523" s="1122">
        <f ca="1">SUM(Y523:AE523)</f>
        <v>81041.047314835989</v>
      </c>
      <c r="AH523" s="1122">
        <f ca="1">AH472</f>
        <v>0</v>
      </c>
      <c r="AI523" s="1122">
        <f t="shared" ref="AI523:AN523" ca="1" si="789">AI472</f>
        <v>0</v>
      </c>
      <c r="AJ523" s="1122">
        <f t="shared" ca="1" si="789"/>
        <v>0</v>
      </c>
      <c r="AK523" s="1122">
        <f t="shared" ca="1" si="789"/>
        <v>0</v>
      </c>
      <c r="AL523" s="1122">
        <f t="shared" ca="1" si="789"/>
        <v>0</v>
      </c>
      <c r="AM523" s="1122">
        <f t="shared" ca="1" si="789"/>
        <v>0</v>
      </c>
      <c r="AN523" s="1122">
        <f t="shared" ca="1" si="789"/>
        <v>0</v>
      </c>
      <c r="AO523" s="1122">
        <f ca="1">SUM(AH523:AN523)</f>
        <v>0</v>
      </c>
      <c r="AQ523" s="1122">
        <f>AQ472</f>
        <v>210187.34459974329</v>
      </c>
      <c r="AR523" s="1122">
        <f t="shared" ref="AR523:AW523" si="790">AR472</f>
        <v>22748.620884765332</v>
      </c>
      <c r="AS523" s="1122">
        <f t="shared" si="790"/>
        <v>152580.65410310062</v>
      </c>
      <c r="AT523" s="1122">
        <f t="shared" si="790"/>
        <v>57061.666827443201</v>
      </c>
      <c r="AU523" s="1122">
        <f t="shared" si="790"/>
        <v>208747.17643657626</v>
      </c>
      <c r="AV523" s="1122">
        <f t="shared" si="790"/>
        <v>351862.72506223724</v>
      </c>
      <c r="AW523" s="1122">
        <f t="shared" si="790"/>
        <v>183873.35054767228</v>
      </c>
      <c r="AX523" s="1122">
        <f>SUM(AQ523:AW523)</f>
        <v>1187061.5384615383</v>
      </c>
      <c r="AZ523" s="1122">
        <f ca="1">AZ472</f>
        <v>4762.5161863652111</v>
      </c>
      <c r="BA523" s="1122">
        <f t="shared" ref="BA523:BF523" ca="1" si="791">BA472</f>
        <v>1317.1865023916996</v>
      </c>
      <c r="BB523" s="1122">
        <f t="shared" ca="1" si="791"/>
        <v>8237.6720482552482</v>
      </c>
      <c r="BC523" s="1122">
        <f t="shared" ca="1" si="791"/>
        <v>2476.9634660652828</v>
      </c>
      <c r="BD523" s="1122">
        <f t="shared" ca="1" si="791"/>
        <v>8639.5158928746114</v>
      </c>
      <c r="BE523" s="1122">
        <f t="shared" ca="1" si="791"/>
        <v>16828.614839603786</v>
      </c>
      <c r="BF523" s="1122">
        <f t="shared" ca="1" si="791"/>
        <v>6070.9543714844031</v>
      </c>
      <c r="BG523" s="1122">
        <f ca="1">SUM(AZ523:BF523)</f>
        <v>48333.423307040241</v>
      </c>
      <c r="BI523" s="1122">
        <f ca="1">BI472</f>
        <v>2358.3097115171713</v>
      </c>
      <c r="BJ523" s="1122">
        <f t="shared" ref="BJ523:BO523" ca="1" si="792">BJ472</f>
        <v>656.73624086374275</v>
      </c>
      <c r="BK523" s="1122">
        <f t="shared" ca="1" si="792"/>
        <v>4277.3606681814272</v>
      </c>
      <c r="BL523" s="1122">
        <f t="shared" ca="1" si="792"/>
        <v>1277.4458403913268</v>
      </c>
      <c r="BM523" s="1122">
        <f t="shared" ca="1" si="792"/>
        <v>4385.8060854657278</v>
      </c>
      <c r="BN523" s="1122">
        <f t="shared" ca="1" si="792"/>
        <v>8712.6267736715272</v>
      </c>
      <c r="BO523" s="1122">
        <f t="shared" ca="1" si="792"/>
        <v>3093.810940136932</v>
      </c>
      <c r="BP523" s="1122">
        <f ca="1">SUM(BI523:BO523)</f>
        <v>24762.096260227856</v>
      </c>
    </row>
    <row r="524" spans="2:68" s="1122" customFormat="1" ht="13.2" customHeight="1">
      <c r="B524" s="1123" t="s">
        <v>114</v>
      </c>
      <c r="G524" s="1122">
        <f t="shared" ca="1" si="786"/>
        <v>234258.82188454966</v>
      </c>
      <c r="H524" s="1122">
        <f t="shared" ca="1" si="786"/>
        <v>29496.871007657701</v>
      </c>
      <c r="I524" s="1122">
        <f t="shared" ca="1" si="786"/>
        <v>196449.46224468586</v>
      </c>
      <c r="J524" s="1122">
        <f t="shared" ca="1" si="786"/>
        <v>70192.703154349219</v>
      </c>
      <c r="K524" s="1122">
        <f t="shared" ca="1" si="786"/>
        <v>253583.28197367716</v>
      </c>
      <c r="L524" s="1122">
        <f t="shared" ca="1" si="786"/>
        <v>441715.33483527252</v>
      </c>
      <c r="M524" s="1122">
        <f t="shared" ca="1" si="786"/>
        <v>215864.86621700419</v>
      </c>
      <c r="N524" s="1127">
        <f ca="1">SUM(G524:M524)</f>
        <v>1441561.3413171961</v>
      </c>
      <c r="O524" s="39">
        <f>ROW()</f>
        <v>524</v>
      </c>
      <c r="P524" s="1122">
        <f t="shared" ref="P524:V524" ca="1" si="793">P523*P501</f>
        <v>9871.367391624357</v>
      </c>
      <c r="Q524" s="1122">
        <f t="shared" ca="1" si="793"/>
        <v>2784.2967654113868</v>
      </c>
      <c r="R524" s="1122">
        <f t="shared" ca="1" si="793"/>
        <v>18569.038422412523</v>
      </c>
      <c r="S524" s="1122">
        <f t="shared" ca="1" si="793"/>
        <v>5537.4385171131753</v>
      </c>
      <c r="T524" s="1122">
        <f t="shared" ca="1" si="793"/>
        <v>18697.661156419621</v>
      </c>
      <c r="U524" s="1122">
        <f t="shared" ca="1" si="793"/>
        <v>38007.971460043656</v>
      </c>
      <c r="V524" s="1122">
        <f t="shared" ca="1" si="793"/>
        <v>13406.806944077474</v>
      </c>
      <c r="W524" s="1122">
        <f ca="1">SUM(P524:V524)</f>
        <v>106874.58065710218</v>
      </c>
      <c r="Y524" s="1122">
        <f t="shared" ref="Y524:AE524" ca="1" si="794">Y523*Y501</f>
        <v>6942.9227358091521</v>
      </c>
      <c r="Z524" s="1122">
        <f t="shared" ca="1" si="794"/>
        <v>1958.3059315791115</v>
      </c>
      <c r="AA524" s="1122">
        <f t="shared" ca="1" si="794"/>
        <v>13060.33844454724</v>
      </c>
      <c r="AB524" s="1122">
        <f t="shared" ca="1" si="794"/>
        <v>3894.6993109820824</v>
      </c>
      <c r="AC524" s="1122">
        <f t="shared" ca="1" si="794"/>
        <v>13150.8038956698</v>
      </c>
      <c r="AD524" s="1122">
        <f t="shared" ca="1" si="794"/>
        <v>26732.508144294625</v>
      </c>
      <c r="AE524" s="1122">
        <f t="shared" ca="1" si="794"/>
        <v>9429.5370695672791</v>
      </c>
      <c r="AF524" s="1122">
        <f ca="1">SUM(Y524:AE524)</f>
        <v>75169.115532449287</v>
      </c>
      <c r="AH524" s="1122">
        <f t="shared" ref="AH524:AN524" ca="1" si="795">AH523*AH501</f>
        <v>0</v>
      </c>
      <c r="AI524" s="1122">
        <f t="shared" ca="1" si="795"/>
        <v>0</v>
      </c>
      <c r="AJ524" s="1122">
        <f t="shared" ca="1" si="795"/>
        <v>0</v>
      </c>
      <c r="AK524" s="1122">
        <f t="shared" ca="1" si="795"/>
        <v>0</v>
      </c>
      <c r="AL524" s="1122">
        <f t="shared" ca="1" si="795"/>
        <v>0</v>
      </c>
      <c r="AM524" s="1122">
        <f t="shared" ca="1" si="795"/>
        <v>0</v>
      </c>
      <c r="AN524" s="1122">
        <f t="shared" ca="1" si="795"/>
        <v>0</v>
      </c>
      <c r="AO524" s="1122">
        <f ca="1">SUM(AH524:AN524)</f>
        <v>0</v>
      </c>
      <c r="AQ524" s="1122">
        <f t="shared" ref="AQ524:AX524" si="796">AQ523</f>
        <v>210187.34459974329</v>
      </c>
      <c r="AR524" s="1122">
        <f t="shared" si="796"/>
        <v>22748.620884765332</v>
      </c>
      <c r="AS524" s="1122">
        <f t="shared" si="796"/>
        <v>152580.65410310062</v>
      </c>
      <c r="AT524" s="1122">
        <f t="shared" si="796"/>
        <v>57061.666827443201</v>
      </c>
      <c r="AU524" s="1122">
        <f t="shared" si="796"/>
        <v>208747.17643657626</v>
      </c>
      <c r="AV524" s="1122">
        <f t="shared" si="796"/>
        <v>351862.72506223724</v>
      </c>
      <c r="AW524" s="1122">
        <f t="shared" si="796"/>
        <v>183873.35054767228</v>
      </c>
      <c r="AX524" s="1122">
        <f t="shared" si="796"/>
        <v>1187061.5384615383</v>
      </c>
      <c r="AZ524" s="1122">
        <f t="shared" ref="AZ524:BF524" ca="1" si="797">AZ523*AZ501</f>
        <v>4840.6239461606756</v>
      </c>
      <c r="BA524" s="1122">
        <f t="shared" ca="1" si="797"/>
        <v>1335.3102113895854</v>
      </c>
      <c r="BB524" s="1122">
        <f t="shared" ca="1" si="797"/>
        <v>8082.4197625898805</v>
      </c>
      <c r="BC524" s="1122">
        <f t="shared" ca="1" si="797"/>
        <v>2445.6216772764906</v>
      </c>
      <c r="BD524" s="1122">
        <f t="shared" ca="1" si="797"/>
        <v>8618.1180584493795</v>
      </c>
      <c r="BE524" s="1122">
        <f t="shared" ca="1" si="797"/>
        <v>16586.697368405919</v>
      </c>
      <c r="BF524" s="1122">
        <f t="shared" ca="1" si="797"/>
        <v>6065.5165363981769</v>
      </c>
      <c r="BG524" s="1122">
        <f ca="1">SUM(AZ524:BF524)</f>
        <v>47974.30756067011</v>
      </c>
      <c r="BI524" s="1122">
        <f t="shared" ref="BI524:BO524" ca="1" si="798">BI523*BI501</f>
        <v>2416.5632112121784</v>
      </c>
      <c r="BJ524" s="1122">
        <f t="shared" ca="1" si="798"/>
        <v>670.33721451228428</v>
      </c>
      <c r="BK524" s="1122">
        <f t="shared" ca="1" si="798"/>
        <v>4157.0115120356049</v>
      </c>
      <c r="BL524" s="1122">
        <f t="shared" ca="1" si="798"/>
        <v>1253.2768215342653</v>
      </c>
      <c r="BM524" s="1122">
        <f t="shared" ca="1" si="798"/>
        <v>4369.5224265620882</v>
      </c>
      <c r="BN524" s="1122">
        <f t="shared" ca="1" si="798"/>
        <v>8525.4328002910297</v>
      </c>
      <c r="BO524" s="1122">
        <f t="shared" ca="1" si="798"/>
        <v>3089.6551192889679</v>
      </c>
      <c r="BP524" s="1122">
        <f ca="1">SUM(BI524:BO524)</f>
        <v>24481.799105436417</v>
      </c>
    </row>
    <row r="525" spans="2:68" ht="13.2" customHeight="1">
      <c r="B525" s="323" t="s">
        <v>450</v>
      </c>
      <c r="G525" s="1122">
        <f t="shared" ca="1" si="786"/>
        <v>94.427499155801343</v>
      </c>
      <c r="H525" s="1122">
        <f t="shared" ca="1" si="786"/>
        <v>-17.359639979386088</v>
      </c>
      <c r="I525" s="1122">
        <f t="shared" ca="1" si="786"/>
        <v>-3895.9971610587691</v>
      </c>
      <c r="J525" s="1122">
        <f t="shared" ca="1" si="786"/>
        <v>-938.5695974830769</v>
      </c>
      <c r="K525" s="1122">
        <f t="shared" ca="1" si="786"/>
        <v>-1964.2513948572905</v>
      </c>
      <c r="L525" s="1122">
        <f t="shared" ca="1" si="786"/>
        <v>-6862.0226550115221</v>
      </c>
      <c r="M525" s="1122">
        <f t="shared" ca="1" si="786"/>
        <v>-1276.21655266077</v>
      </c>
      <c r="N525" s="1127">
        <f ca="1">W525+AF525+AO525+AX525+BG525+BP525</f>
        <v>-14859.989501895016</v>
      </c>
      <c r="O525" s="39">
        <f>ROW()</f>
        <v>525</v>
      </c>
      <c r="P525" s="1122">
        <f t="shared" ref="P525:W525" ca="1" si="799">P524-P523</f>
        <v>-24.618556670464386</v>
      </c>
      <c r="Q525" s="1122">
        <f t="shared" ca="1" si="799"/>
        <v>-28.816523215445613</v>
      </c>
      <c r="R525" s="1122">
        <f t="shared" ca="1" si="799"/>
        <v>-2125.4692274785884</v>
      </c>
      <c r="S525" s="1122">
        <f t="shared" ca="1" si="799"/>
        <v>-518.42793700009406</v>
      </c>
      <c r="T525" s="1122">
        <f t="shared" ca="1" si="799"/>
        <v>-1131.05454702508</v>
      </c>
      <c r="U525" s="1122">
        <f t="shared" ca="1" si="799"/>
        <v>-3776.6464997697403</v>
      </c>
      <c r="V525" s="1122">
        <f t="shared" ca="1" si="799"/>
        <v>-743.61152718732228</v>
      </c>
      <c r="W525" s="1127">
        <f t="shared" ca="1" si="799"/>
        <v>-8348.6448183467437</v>
      </c>
      <c r="Y525" s="1122">
        <f t="shared" ref="Y525:AF525" ca="1" si="800">Y524-Y523</f>
        <v>-17.31520366420591</v>
      </c>
      <c r="Z525" s="1122">
        <f t="shared" ca="1" si="800"/>
        <v>-20.267799410367843</v>
      </c>
      <c r="AA525" s="1122">
        <f t="shared" ca="1" si="800"/>
        <v>-1494.9264917689907</v>
      </c>
      <c r="AB525" s="1122">
        <f t="shared" ca="1" si="800"/>
        <v>-364.63085283712644</v>
      </c>
      <c r="AC525" s="1122">
        <f t="shared" ca="1" si="800"/>
        <v>-795.51535450333904</v>
      </c>
      <c r="AD525" s="1122">
        <f t="shared" ca="1" si="800"/>
        <v>-2656.2647106634176</v>
      </c>
      <c r="AE525" s="1122">
        <f t="shared" ca="1" si="800"/>
        <v>-523.01136953925743</v>
      </c>
      <c r="AF525" s="1127">
        <f t="shared" ca="1" si="800"/>
        <v>-5871.9317823867023</v>
      </c>
      <c r="AH525" s="10">
        <f t="shared" ref="AH525:AO525" ca="1" si="801">AH524-AH523</f>
        <v>0</v>
      </c>
      <c r="AI525" s="10">
        <f t="shared" ca="1" si="801"/>
        <v>0</v>
      </c>
      <c r="AJ525" s="10">
        <f t="shared" ca="1" si="801"/>
        <v>0</v>
      </c>
      <c r="AK525" s="10">
        <f t="shared" ca="1" si="801"/>
        <v>0</v>
      </c>
      <c r="AL525" s="10">
        <f t="shared" ca="1" si="801"/>
        <v>0</v>
      </c>
      <c r="AM525" s="10">
        <f t="shared" ca="1" si="801"/>
        <v>0</v>
      </c>
      <c r="AN525" s="10">
        <f t="shared" ca="1" si="801"/>
        <v>0</v>
      </c>
      <c r="AO525" s="138">
        <f t="shared" ca="1" si="801"/>
        <v>0</v>
      </c>
      <c r="AQ525" s="1122">
        <f t="shared" ref="AQ525:AX525" si="802">AQ524-AQ523</f>
        <v>0</v>
      </c>
      <c r="AR525" s="1122">
        <f t="shared" si="802"/>
        <v>0</v>
      </c>
      <c r="AS525" s="1122">
        <f t="shared" si="802"/>
        <v>0</v>
      </c>
      <c r="AT525" s="1122">
        <f t="shared" si="802"/>
        <v>0</v>
      </c>
      <c r="AU525" s="1122">
        <f t="shared" si="802"/>
        <v>0</v>
      </c>
      <c r="AV525" s="1122">
        <f t="shared" si="802"/>
        <v>0</v>
      </c>
      <c r="AW525" s="1122">
        <f t="shared" si="802"/>
        <v>0</v>
      </c>
      <c r="AX525" s="1127">
        <f t="shared" si="802"/>
        <v>0</v>
      </c>
      <c r="AZ525" s="1122">
        <f t="shared" ref="AZ525:BG525" ca="1" si="803">AZ524-AZ523</f>
        <v>78.107759795464517</v>
      </c>
      <c r="BA525" s="1122">
        <f t="shared" ca="1" si="803"/>
        <v>18.123708997885842</v>
      </c>
      <c r="BB525" s="1122">
        <f t="shared" ca="1" si="803"/>
        <v>-155.25228566536771</v>
      </c>
      <c r="BC525" s="1122">
        <f t="shared" ca="1" si="803"/>
        <v>-31.341788788792201</v>
      </c>
      <c r="BD525" s="1122">
        <f t="shared" ca="1" si="803"/>
        <v>-21.397834425231849</v>
      </c>
      <c r="BE525" s="1122">
        <f t="shared" ca="1" si="803"/>
        <v>-241.91747119786669</v>
      </c>
      <c r="BF525" s="1122">
        <f t="shared" ca="1" si="803"/>
        <v>-5.4378350862261868</v>
      </c>
      <c r="BG525" s="1127">
        <f t="shared" ca="1" si="803"/>
        <v>-359.11574637013109</v>
      </c>
      <c r="BI525" s="1122">
        <f t="shared" ref="BI525:BP525" ca="1" si="804">BI524-BI523</f>
        <v>58.253499695007122</v>
      </c>
      <c r="BJ525" s="1122">
        <f t="shared" ca="1" si="804"/>
        <v>13.600973648541526</v>
      </c>
      <c r="BK525" s="1122">
        <f t="shared" ca="1" si="804"/>
        <v>-120.34915614582223</v>
      </c>
      <c r="BL525" s="1122">
        <f t="shared" ca="1" si="804"/>
        <v>-24.169018857061474</v>
      </c>
      <c r="BM525" s="1122">
        <f t="shared" ca="1" si="804"/>
        <v>-16.283658903639662</v>
      </c>
      <c r="BN525" s="1122">
        <f t="shared" ca="1" si="804"/>
        <v>-187.19397338049748</v>
      </c>
      <c r="BO525" s="1122">
        <f t="shared" ca="1" si="804"/>
        <v>-4.1558208479641507</v>
      </c>
      <c r="BP525" s="1127">
        <f t="shared" ca="1" si="804"/>
        <v>-280.29715479143852</v>
      </c>
    </row>
    <row r="526" spans="2:68" ht="13.2" customHeight="1">
      <c r="G526" s="1122"/>
      <c r="H526" s="1122"/>
      <c r="I526" s="1122"/>
      <c r="J526" s="1122"/>
      <c r="K526" s="1122"/>
      <c r="L526" s="1122"/>
      <c r="M526" s="1122"/>
      <c r="N526" s="1122"/>
      <c r="O526" s="39">
        <f>ROW()</f>
        <v>526</v>
      </c>
      <c r="P526" s="309" t="str">
        <f>CONCATENATE("Figs. in Row ",O527, " repeat figs. for same column in Row ",O476, ".")</f>
        <v>Figs. in Row 527 repeat figs. for same column in Row 476.</v>
      </c>
      <c r="AQ526" s="265" t="str">
        <f>CONCATENATE("Row ",O528, " figures are set equal to ",O527, " figures, since rebound effects are presumed accounted for by taxi time-elasticity.")</f>
        <v>Row 528 figures are set equal to 527 figures, since rebound effects are presumed accounted for by taxi time-elasticity.</v>
      </c>
    </row>
    <row r="527" spans="2:68" ht="13.2" customHeight="1">
      <c r="B527" s="308" t="s">
        <v>2470</v>
      </c>
      <c r="G527" s="1122">
        <f t="shared" ref="G527:N528" ca="1" si="805">P527+Y527+AH527+AQ527+AZ527+BI527</f>
        <v>438411.69588669523</v>
      </c>
      <c r="H527" s="1122">
        <f t="shared" ca="1" si="805"/>
        <v>79910.073436038685</v>
      </c>
      <c r="I527" s="1122">
        <f t="shared" ca="1" si="805"/>
        <v>515318.0123197505</v>
      </c>
      <c r="J527" s="1122">
        <f t="shared" ca="1" si="805"/>
        <v>166629.21231428965</v>
      </c>
      <c r="K527" s="1122">
        <f t="shared" ca="1" si="805"/>
        <v>605818.85463411896</v>
      </c>
      <c r="L527" s="1122">
        <f t="shared" ca="1" si="805"/>
        <v>1077523.2016281234</v>
      </c>
      <c r="M527" s="1122">
        <f t="shared" ca="1" si="805"/>
        <v>449221.11223774683</v>
      </c>
      <c r="N527" s="1127">
        <f t="shared" ca="1" si="805"/>
        <v>3332832.1624567634</v>
      </c>
      <c r="O527" s="39">
        <f>ROW()</f>
        <v>527</v>
      </c>
      <c r="P527" s="10">
        <f ca="1">P476</f>
        <v>58281.700049593266</v>
      </c>
      <c r="Q527" s="10">
        <f t="shared" ref="Q527:V527" ca="1" si="806">Q476</f>
        <v>22870.681210430288</v>
      </c>
      <c r="R527" s="10">
        <f t="shared" ca="1" si="806"/>
        <v>151153.03474749078</v>
      </c>
      <c r="S527" s="10">
        <f t="shared" ca="1" si="806"/>
        <v>39995.314579384314</v>
      </c>
      <c r="T527" s="10">
        <f t="shared" ca="1" si="806"/>
        <v>133114.17923650192</v>
      </c>
      <c r="U527" s="10">
        <f t="shared" ca="1" si="806"/>
        <v>214291.16353629902</v>
      </c>
      <c r="V527" s="10">
        <f t="shared" ca="1" si="806"/>
        <v>73956.909825845112</v>
      </c>
      <c r="W527" s="10">
        <f ca="1">SUM(P527:V527)</f>
        <v>693662.98318554473</v>
      </c>
      <c r="Y527" s="10">
        <f ca="1">Y476</f>
        <v>55648.173350917743</v>
      </c>
      <c r="Z527" s="10">
        <f t="shared" ref="Z527:AE527" ca="1" si="807">Z476</f>
        <v>8442.7790395242719</v>
      </c>
      <c r="AA527" s="10">
        <f t="shared" ca="1" si="807"/>
        <v>61058.298525734412</v>
      </c>
      <c r="AB527" s="10">
        <f t="shared" ca="1" si="807"/>
        <v>24024.24253553856</v>
      </c>
      <c r="AC527" s="10">
        <f t="shared" ca="1" si="807"/>
        <v>94910.537220315164</v>
      </c>
      <c r="AD527" s="10">
        <f t="shared" ca="1" si="807"/>
        <v>198986.85482827693</v>
      </c>
      <c r="AE527" s="10">
        <f t="shared" ca="1" si="807"/>
        <v>67827.027443535277</v>
      </c>
      <c r="AF527" s="10">
        <f ca="1">SUM(Y527:AE527)</f>
        <v>510897.91294384236</v>
      </c>
      <c r="AH527" s="10">
        <f ca="1">AH476</f>
        <v>46812.453692550866</v>
      </c>
      <c r="AI527" s="10">
        <f t="shared" ref="AI527:AN527" ca="1" si="808">AI476</f>
        <v>7236.5409300077863</v>
      </c>
      <c r="AJ527" s="10">
        <f t="shared" ca="1" si="808"/>
        <v>37608.97735330087</v>
      </c>
      <c r="AK527" s="10">
        <f t="shared" ca="1" si="808"/>
        <v>11359.072154416051</v>
      </c>
      <c r="AL527" s="10">
        <f t="shared" ca="1" si="808"/>
        <v>50045.275384797278</v>
      </c>
      <c r="AM527" s="10">
        <f t="shared" ca="1" si="808"/>
        <v>103294.20714630964</v>
      </c>
      <c r="AN527" s="10">
        <f t="shared" ca="1" si="808"/>
        <v>45887.977747934478</v>
      </c>
      <c r="AO527" s="10">
        <f ca="1">SUM(AH527:AN527)</f>
        <v>302244.50440931699</v>
      </c>
      <c r="AQ527" s="1122">
        <f ca="1">AQ476</f>
        <v>240050.42598557673</v>
      </c>
      <c r="AR527" s="1122">
        <f t="shared" ref="AR527:AW527" ca="1" si="809">AR476</f>
        <v>32205.005406578308</v>
      </c>
      <c r="AS527" s="1122">
        <f t="shared" ca="1" si="809"/>
        <v>208017.98164423773</v>
      </c>
      <c r="AT527" s="1122">
        <f t="shared" ca="1" si="809"/>
        <v>73953.314528786039</v>
      </c>
      <c r="AU527" s="1122">
        <f t="shared" ca="1" si="809"/>
        <v>264250.20000315504</v>
      </c>
      <c r="AV527" s="1122">
        <f t="shared" ca="1" si="809"/>
        <v>442462.35930972925</v>
      </c>
      <c r="AW527" s="1122">
        <f t="shared" ca="1" si="809"/>
        <v>217925.7664214203</v>
      </c>
      <c r="AX527" s="10">
        <f ca="1">SUM(AQ527:AW527)</f>
        <v>1478865.0532994834</v>
      </c>
      <c r="AZ527" s="10">
        <f ca="1">AZ476</f>
        <v>29975.926810355028</v>
      </c>
      <c r="BA527" s="10">
        <f t="shared" ref="BA527:BF527" ca="1" si="810">BA476</f>
        <v>7224.3641026840714</v>
      </c>
      <c r="BB527" s="10">
        <f t="shared" ca="1" si="810"/>
        <v>45312.214506855336</v>
      </c>
      <c r="BC527" s="10">
        <f t="shared" ca="1" si="810"/>
        <v>13640.884964861989</v>
      </c>
      <c r="BD527" s="10">
        <f t="shared" ca="1" si="810"/>
        <v>50301.56343752976</v>
      </c>
      <c r="BE527" s="10">
        <f t="shared" ca="1" si="810"/>
        <v>93483.528338800519</v>
      </c>
      <c r="BF527" s="10">
        <f t="shared" ca="1" si="810"/>
        <v>34496.106173387816</v>
      </c>
      <c r="BG527" s="10">
        <f ca="1">SUM(AZ527:BF527)</f>
        <v>274434.58833447448</v>
      </c>
      <c r="BI527" s="10">
        <f ca="1">BI476</f>
        <v>7643.0159977015164</v>
      </c>
      <c r="BJ527" s="10">
        <f t="shared" ref="BJ527:BO527" ca="1" si="811">BJ476</f>
        <v>1930.7027468139463</v>
      </c>
      <c r="BK527" s="10">
        <f t="shared" ca="1" si="811"/>
        <v>12167.50554213133</v>
      </c>
      <c r="BL527" s="10">
        <f t="shared" ca="1" si="811"/>
        <v>3656.3835513026934</v>
      </c>
      <c r="BM527" s="10">
        <f t="shared" ca="1" si="811"/>
        <v>13197.099351819772</v>
      </c>
      <c r="BN527" s="10">
        <f t="shared" ca="1" si="811"/>
        <v>25005.088468708203</v>
      </c>
      <c r="BO527" s="10">
        <f t="shared" ca="1" si="811"/>
        <v>9127.3246256237726</v>
      </c>
      <c r="BP527" s="10">
        <f ca="1">SUM(BI527:BO527)</f>
        <v>72727.120284101242</v>
      </c>
    </row>
    <row r="528" spans="2:68" ht="13.2" customHeight="1">
      <c r="B528" s="308" t="s">
        <v>2385</v>
      </c>
      <c r="G528" s="1122">
        <f t="shared" ca="1" si="805"/>
        <v>422606.96504762542</v>
      </c>
      <c r="H528" s="1122">
        <f t="shared" ca="1" si="805"/>
        <v>75552.62639771575</v>
      </c>
      <c r="I528" s="1122">
        <f t="shared" ca="1" si="805"/>
        <v>476200.93661467882</v>
      </c>
      <c r="J528" s="1122">
        <f t="shared" ca="1" si="805"/>
        <v>155879.44202639154</v>
      </c>
      <c r="K528" s="1122">
        <f t="shared" ca="1" si="805"/>
        <v>570947.53615971678</v>
      </c>
      <c r="L528" s="1122">
        <f t="shared" ca="1" si="805"/>
        <v>999604.69714374375</v>
      </c>
      <c r="M528" s="1122">
        <f t="shared" ca="1" si="805"/>
        <v>425245.23850897222</v>
      </c>
      <c r="N528" s="1127">
        <f t="shared" ca="1" si="805"/>
        <v>3126037.4418988442</v>
      </c>
      <c r="O528" s="39">
        <f>ROW()</f>
        <v>528</v>
      </c>
      <c r="P528" s="10">
        <f t="shared" ref="P528:V528" ca="1" si="812">P512+P519+P524</f>
        <v>51770.657295171768</v>
      </c>
      <c r="Q528" s="10">
        <f t="shared" ca="1" si="812"/>
        <v>20295.131597994136</v>
      </c>
      <c r="R528" s="10">
        <f t="shared" ca="1" si="812"/>
        <v>128523.23335274399</v>
      </c>
      <c r="S528" s="10">
        <f t="shared" ca="1" si="812"/>
        <v>34579.057549983045</v>
      </c>
      <c r="T528" s="10">
        <f t="shared" ca="1" si="812"/>
        <v>117056.16640831855</v>
      </c>
      <c r="U528" s="10">
        <f t="shared" ca="1" si="812"/>
        <v>184482.75903384975</v>
      </c>
      <c r="V528" s="10">
        <f t="shared" ca="1" si="812"/>
        <v>64872.793991265891</v>
      </c>
      <c r="W528" s="10">
        <f ca="1">SUM(P528:V528)</f>
        <v>601579.79922932724</v>
      </c>
      <c r="Y528" s="10">
        <f t="shared" ref="Y528:AE528" ca="1" si="813">Y512+Y519+Y524</f>
        <v>49573.546497990996</v>
      </c>
      <c r="Z528" s="10">
        <f t="shared" ca="1" si="813"/>
        <v>7545.1673691395772</v>
      </c>
      <c r="AA528" s="10">
        <f t="shared" ca="1" si="813"/>
        <v>52592.459905553311</v>
      </c>
      <c r="AB528" s="10">
        <f t="shared" ca="1" si="813"/>
        <v>20833.726957848477</v>
      </c>
      <c r="AC528" s="10">
        <f t="shared" ca="1" si="813"/>
        <v>83529.435344356491</v>
      </c>
      <c r="AD528" s="10">
        <f t="shared" ca="1" si="813"/>
        <v>170575.56697272148</v>
      </c>
      <c r="AE528" s="10">
        <f t="shared" ca="1" si="813"/>
        <v>59496.752072889023</v>
      </c>
      <c r="AF528" s="10">
        <f ca="1">SUM(Y528:AE528)</f>
        <v>444146.65512049932</v>
      </c>
      <c r="AH528" s="10">
        <f t="shared" ref="AH528:AN528" ca="1" si="814">AH512+AH519+AH524</f>
        <v>44652.141951136189</v>
      </c>
      <c r="AI528" s="10">
        <f t="shared" ca="1" si="814"/>
        <v>6609.4852836332248</v>
      </c>
      <c r="AJ528" s="10">
        <f t="shared" ca="1" si="814"/>
        <v>32140.957294985034</v>
      </c>
      <c r="AK528" s="10">
        <f t="shared" ca="1" si="814"/>
        <v>9899.4926707144914</v>
      </c>
      <c r="AL528" s="10">
        <f t="shared" ca="1" si="814"/>
        <v>44760.762632941929</v>
      </c>
      <c r="AM528" s="10">
        <f t="shared" ca="1" si="814"/>
        <v>88580.961286729813</v>
      </c>
      <c r="AN528" s="10">
        <f t="shared" ca="1" si="814"/>
        <v>40826.442994555997</v>
      </c>
      <c r="AO528" s="10">
        <f ca="1">SUM(AH528:AN528)</f>
        <v>267470.24411469669</v>
      </c>
      <c r="AQ528" s="1122">
        <f t="shared" ref="AQ528:AW528" ca="1" si="815">AQ527</f>
        <v>240050.42598557673</v>
      </c>
      <c r="AR528" s="1122">
        <f t="shared" ca="1" si="815"/>
        <v>32205.005406578308</v>
      </c>
      <c r="AS528" s="1122">
        <f t="shared" ca="1" si="815"/>
        <v>208017.98164423773</v>
      </c>
      <c r="AT528" s="1122">
        <f t="shared" ca="1" si="815"/>
        <v>73953.314528786039</v>
      </c>
      <c r="AU528" s="1122">
        <f t="shared" ca="1" si="815"/>
        <v>264250.20000315504</v>
      </c>
      <c r="AV528" s="1122">
        <f t="shared" ca="1" si="815"/>
        <v>442462.35930972925</v>
      </c>
      <c r="AW528" s="1122">
        <f t="shared" ca="1" si="815"/>
        <v>217925.7664214203</v>
      </c>
      <c r="AX528" s="10">
        <f ca="1">SUM(AQ528:AW528)</f>
        <v>1478865.0532994834</v>
      </c>
      <c r="AZ528" s="10">
        <f t="shared" ref="AZ528:BF528" ca="1" si="816">AZ512+AZ519+AZ524</f>
        <v>29166.975244815101</v>
      </c>
      <c r="BA528" s="10">
        <f t="shared" ca="1" si="816"/>
        <v>7029.6674815830002</v>
      </c>
      <c r="BB528" s="10">
        <f t="shared" ca="1" si="816"/>
        <v>43462.180196077752</v>
      </c>
      <c r="BC528" s="10">
        <f t="shared" ca="1" si="816"/>
        <v>13143.219977898776</v>
      </c>
      <c r="BD528" s="10">
        <f t="shared" ca="1" si="816"/>
        <v>48712.690541625983</v>
      </c>
      <c r="BE528" s="10">
        <f t="shared" ca="1" si="816"/>
        <v>89855.565378935993</v>
      </c>
      <c r="BF528" s="10">
        <f t="shared" ca="1" si="816"/>
        <v>33385.302566113562</v>
      </c>
      <c r="BG528" s="10">
        <f ca="1">SUM(AZ528:BF528)</f>
        <v>264755.60138705012</v>
      </c>
      <c r="BI528" s="10">
        <f t="shared" ref="BI528:BO528" ca="1" si="817">BI512+BI519+BI524</f>
        <v>7393.2180729346101</v>
      </c>
      <c r="BJ528" s="10">
        <f t="shared" ca="1" si="817"/>
        <v>1868.1692587875018</v>
      </c>
      <c r="BK528" s="10">
        <f t="shared" ca="1" si="817"/>
        <v>11464.124221080951</v>
      </c>
      <c r="BL528" s="10">
        <f t="shared" ca="1" si="817"/>
        <v>3470.6303411606891</v>
      </c>
      <c r="BM528" s="10">
        <f t="shared" ca="1" si="817"/>
        <v>12638.281229318665</v>
      </c>
      <c r="BN528" s="10">
        <f t="shared" ca="1" si="817"/>
        <v>23647.485161777324</v>
      </c>
      <c r="BO528" s="10">
        <f t="shared" ca="1" si="817"/>
        <v>8738.1804627274432</v>
      </c>
      <c r="BP528" s="10">
        <f ca="1">SUM(BI528:BO528)</f>
        <v>69220.088747787187</v>
      </c>
    </row>
    <row r="529" spans="2:254" ht="13.2" customHeight="1">
      <c r="B529" s="308" t="s">
        <v>555</v>
      </c>
      <c r="G529" s="10">
        <f t="shared" ref="G529:M529" ca="1" si="818">G528/G$118</f>
        <v>70434.494174604231</v>
      </c>
      <c r="H529" s="10">
        <f t="shared" ca="1" si="818"/>
        <v>75552.62639771575</v>
      </c>
      <c r="I529" s="10">
        <f t="shared" ca="1" si="818"/>
        <v>158733.64553822626</v>
      </c>
      <c r="J529" s="10">
        <f t="shared" ca="1" si="818"/>
        <v>155879.44202639154</v>
      </c>
      <c r="K529" s="10">
        <f t="shared" ca="1" si="818"/>
        <v>142736.88403992919</v>
      </c>
      <c r="L529" s="10">
        <f t="shared" ca="1" si="818"/>
        <v>166600.78285729061</v>
      </c>
      <c r="M529" s="10">
        <f t="shared" ca="1" si="818"/>
        <v>141748.41283632407</v>
      </c>
      <c r="N529" s="6"/>
      <c r="O529" s="39">
        <f>ROW()</f>
        <v>529</v>
      </c>
      <c r="P529" s="10"/>
      <c r="Q529" s="10"/>
      <c r="R529" s="10"/>
      <c r="S529" s="10"/>
      <c r="T529" s="10"/>
      <c r="U529" s="10"/>
      <c r="V529" s="10"/>
      <c r="W529" s="10"/>
      <c r="Y529" s="10"/>
      <c r="Z529" s="10"/>
      <c r="AA529" s="10"/>
      <c r="AB529" s="10"/>
      <c r="AC529" s="10"/>
      <c r="AD529" s="10"/>
      <c r="AE529" s="10"/>
      <c r="AF529" s="10"/>
      <c r="AH529" s="10"/>
      <c r="AI529" s="10"/>
      <c r="AJ529" s="10"/>
      <c r="AK529" s="10"/>
      <c r="AL529" s="10"/>
      <c r="AM529" s="10"/>
      <c r="AN529" s="10"/>
      <c r="AO529" s="10"/>
      <c r="AQ529" s="10"/>
      <c r="AR529" s="10"/>
      <c r="AS529" s="10"/>
      <c r="AT529" s="10"/>
      <c r="AU529" s="10"/>
      <c r="AV529" s="10"/>
      <c r="AW529" s="10"/>
      <c r="AX529" s="10"/>
      <c r="AZ529" s="10"/>
      <c r="BA529" s="10"/>
      <c r="BB529" s="10"/>
      <c r="BC529" s="10"/>
      <c r="BD529" s="10"/>
      <c r="BE529" s="10"/>
      <c r="BF529" s="10"/>
      <c r="BG529" s="10"/>
      <c r="BI529" s="10"/>
      <c r="BJ529" s="10"/>
      <c r="BK529" s="10"/>
      <c r="BL529" s="10"/>
      <c r="BM529" s="10"/>
      <c r="BN529" s="10"/>
      <c r="BO529" s="10"/>
      <c r="BP529" s="10"/>
    </row>
    <row r="530" spans="2:254" ht="13.2" customHeight="1">
      <c r="B530" s="280" t="s">
        <v>456</v>
      </c>
      <c r="G530" s="612">
        <f t="shared" ref="G530:M530" ca="1" si="819">G528/G527</f>
        <v>0.96395002462900892</v>
      </c>
      <c r="H530" s="612">
        <f t="shared" ca="1" si="819"/>
        <v>0.945470616519822</v>
      </c>
      <c r="I530" s="612">
        <f t="shared" ca="1" si="819"/>
        <v>0.92409138673615809</v>
      </c>
      <c r="J530" s="612">
        <f t="shared" ca="1" si="819"/>
        <v>0.93548688048994488</v>
      </c>
      <c r="K530" s="612">
        <f t="shared" ca="1" si="819"/>
        <v>0.9424393641636285</v>
      </c>
      <c r="L530" s="612">
        <f t="shared" ca="1" si="819"/>
        <v>0.92768739980109405</v>
      </c>
      <c r="M530" s="612">
        <f t="shared" ca="1" si="819"/>
        <v>0.94662790088083493</v>
      </c>
      <c r="N530" s="186"/>
      <c r="O530" s="39">
        <f>ROW()</f>
        <v>530</v>
      </c>
      <c r="P530" s="309" t="str">
        <f>CONCATENATE("Figures in Row ",O528," are sums of figures in Rows ",O512,", ",O519," and ",O524, " -- inbound, oubound and intra-cordon VMT.")</f>
        <v>Figures in Row 528 are sums of figures in Rows 512, 519 and 524 -- inbound, oubound and intra-cordon VMT.</v>
      </c>
      <c r="Q530" s="10"/>
      <c r="R530" s="10"/>
      <c r="S530" s="10"/>
      <c r="T530" s="10"/>
      <c r="U530" s="10"/>
      <c r="V530" s="10"/>
      <c r="W530" s="10"/>
      <c r="Y530" s="10"/>
      <c r="Z530" s="10"/>
      <c r="AA530" s="10"/>
      <c r="AB530" s="10"/>
      <c r="AC530" s="10"/>
      <c r="AD530" s="10"/>
      <c r="AE530" s="10"/>
      <c r="AF530" s="10"/>
      <c r="AH530" s="10"/>
      <c r="AI530" s="10"/>
      <c r="AJ530" s="10"/>
      <c r="AK530" s="10"/>
      <c r="AL530" s="10"/>
      <c r="AM530" s="10"/>
      <c r="AN530" s="10"/>
      <c r="AO530" s="10"/>
      <c r="AQ530" s="10"/>
      <c r="AR530" s="10"/>
      <c r="AS530" s="10"/>
      <c r="AT530" s="10"/>
      <c r="AU530" s="10"/>
      <c r="AV530" s="10"/>
      <c r="AW530" s="10"/>
      <c r="AX530" s="10"/>
      <c r="AZ530" s="10"/>
      <c r="BA530" s="10"/>
      <c r="BB530" s="10"/>
      <c r="BC530" s="10"/>
      <c r="BD530" s="10"/>
      <c r="BE530" s="10"/>
      <c r="BF530" s="10"/>
      <c r="BG530" s="10"/>
      <c r="BI530" s="10"/>
      <c r="BJ530" s="10"/>
      <c r="BK530" s="10"/>
      <c r="BL530" s="10"/>
      <c r="BM530" s="10"/>
      <c r="BN530" s="10"/>
      <c r="BO530" s="10"/>
      <c r="BP530" s="10"/>
    </row>
    <row r="531" spans="2:254" ht="13.2" customHeight="1">
      <c r="O531" s="39">
        <f>ROW()</f>
        <v>531</v>
      </c>
    </row>
    <row r="532" spans="2:254" ht="13.2" customHeight="1">
      <c r="B532" s="308" t="s">
        <v>587</v>
      </c>
      <c r="C532" s="280"/>
      <c r="D532" s="280"/>
      <c r="E532" s="280"/>
      <c r="F532" s="280"/>
      <c r="G532" s="280"/>
      <c r="H532" s="280"/>
      <c r="I532" s="280"/>
      <c r="J532" s="280"/>
      <c r="K532" s="280"/>
      <c r="L532" s="280"/>
      <c r="M532" s="280"/>
      <c r="N532" s="280"/>
      <c r="O532" s="39">
        <f>ROW()</f>
        <v>532</v>
      </c>
    </row>
    <row r="533" spans="2:254" ht="13.2" customHeight="1">
      <c r="B533" s="280" t="s">
        <v>2034</v>
      </c>
      <c r="E533" s="280"/>
      <c r="F533" s="280"/>
      <c r="G533" s="21">
        <f t="shared" ref="G533:M533" ca="1" si="820">KSC/(1+0.1*(G529*$G$401/V_sub_k)^KSE)</f>
        <v>21.249466307678762</v>
      </c>
      <c r="H533" s="21">
        <f t="shared" ca="1" si="820"/>
        <v>21.017224776324184</v>
      </c>
      <c r="I533" s="21">
        <f t="shared" ca="1" si="820"/>
        <v>11.511815121438772</v>
      </c>
      <c r="J533" s="21">
        <f t="shared" ca="1" si="820"/>
        <v>11.9092889717689</v>
      </c>
      <c r="K533" s="21">
        <f t="shared" ca="1" si="820"/>
        <v>13.787078622685193</v>
      </c>
      <c r="L533" s="21">
        <f t="shared" ca="1" si="820"/>
        <v>10.448445912184372</v>
      </c>
      <c r="M533" s="21">
        <f t="shared" ca="1" si="820"/>
        <v>13.929635653157375</v>
      </c>
      <c r="O533" s="39">
        <f>ROW()</f>
        <v>533</v>
      </c>
      <c r="P533" s="21">
        <f t="shared" ref="P533:V533" ca="1" si="821">G533</f>
        <v>21.249466307678762</v>
      </c>
      <c r="Q533" s="21">
        <f t="shared" ca="1" si="821"/>
        <v>21.017224776324184</v>
      </c>
      <c r="R533" s="21">
        <f t="shared" ca="1" si="821"/>
        <v>11.511815121438772</v>
      </c>
      <c r="S533" s="21">
        <f t="shared" ca="1" si="821"/>
        <v>11.9092889717689</v>
      </c>
      <c r="T533" s="21">
        <f t="shared" ca="1" si="821"/>
        <v>13.787078622685193</v>
      </c>
      <c r="U533" s="21">
        <f t="shared" ca="1" si="821"/>
        <v>10.448445912184372</v>
      </c>
      <c r="V533" s="21">
        <f t="shared" ca="1" si="821"/>
        <v>13.929635653157375</v>
      </c>
      <c r="Y533" s="21">
        <f t="shared" ref="Y533:AE533" ca="1" si="822">G533</f>
        <v>21.249466307678762</v>
      </c>
      <c r="Z533" s="21">
        <f t="shared" ca="1" si="822"/>
        <v>21.017224776324184</v>
      </c>
      <c r="AA533" s="21">
        <f t="shared" ca="1" si="822"/>
        <v>11.511815121438772</v>
      </c>
      <c r="AB533" s="21">
        <f t="shared" ca="1" si="822"/>
        <v>11.9092889717689</v>
      </c>
      <c r="AC533" s="21">
        <f t="shared" ca="1" si="822"/>
        <v>13.787078622685193</v>
      </c>
      <c r="AD533" s="21">
        <f t="shared" ca="1" si="822"/>
        <v>10.448445912184372</v>
      </c>
      <c r="AE533" s="21">
        <f t="shared" ca="1" si="822"/>
        <v>13.929635653157375</v>
      </c>
      <c r="AH533" s="21">
        <f t="shared" ref="AH533:AN534" ca="1" si="823">P533</f>
        <v>21.249466307678762</v>
      </c>
      <c r="AI533" s="21">
        <f t="shared" ca="1" si="823"/>
        <v>21.017224776324184</v>
      </c>
      <c r="AJ533" s="21">
        <f t="shared" ca="1" si="823"/>
        <v>11.511815121438772</v>
      </c>
      <c r="AK533" s="21">
        <f t="shared" ca="1" si="823"/>
        <v>11.9092889717689</v>
      </c>
      <c r="AL533" s="21">
        <f t="shared" ca="1" si="823"/>
        <v>13.787078622685193</v>
      </c>
      <c r="AM533" s="21">
        <f t="shared" ca="1" si="823"/>
        <v>10.448445912184372</v>
      </c>
      <c r="AN533" s="21">
        <f t="shared" ca="1" si="823"/>
        <v>13.929635653157375</v>
      </c>
      <c r="AQ533" s="21">
        <f t="shared" ref="AQ533:AW533" ca="1" si="824">G533*$AU$181</f>
        <v>20.186992992294822</v>
      </c>
      <c r="AR533" s="21">
        <f t="shared" ca="1" si="824"/>
        <v>19.966363537507974</v>
      </c>
      <c r="AS533" s="21">
        <f t="shared" ca="1" si="824"/>
        <v>10.936224365366833</v>
      </c>
      <c r="AT533" s="21">
        <f t="shared" ca="1" si="824"/>
        <v>11.313824523180454</v>
      </c>
      <c r="AU533" s="21">
        <f t="shared" ca="1" si="824"/>
        <v>13.097724691550933</v>
      </c>
      <c r="AV533" s="21">
        <f t="shared" ca="1" si="824"/>
        <v>9.9260236165751525</v>
      </c>
      <c r="AW533" s="21">
        <f t="shared" ca="1" si="824"/>
        <v>13.233153870499505</v>
      </c>
      <c r="AZ533" s="21">
        <f t="shared" ref="AZ533:BF533" ca="1" si="825">G533</f>
        <v>21.249466307678762</v>
      </c>
      <c r="BA533" s="21">
        <f t="shared" ca="1" si="825"/>
        <v>21.017224776324184</v>
      </c>
      <c r="BB533" s="21">
        <f t="shared" ca="1" si="825"/>
        <v>11.511815121438772</v>
      </c>
      <c r="BC533" s="21">
        <f t="shared" ca="1" si="825"/>
        <v>11.9092889717689</v>
      </c>
      <c r="BD533" s="21">
        <f t="shared" ca="1" si="825"/>
        <v>13.787078622685193</v>
      </c>
      <c r="BE533" s="21">
        <f t="shared" ca="1" si="825"/>
        <v>10.448445912184372</v>
      </c>
      <c r="BF533" s="21">
        <f t="shared" ca="1" si="825"/>
        <v>13.929635653157375</v>
      </c>
      <c r="BG533" s="21"/>
      <c r="BI533" s="21">
        <f t="shared" ref="BI533:BO533" ca="1" si="826">G533</f>
        <v>21.249466307678762</v>
      </c>
      <c r="BJ533" s="21">
        <f t="shared" ca="1" si="826"/>
        <v>21.017224776324184</v>
      </c>
      <c r="BK533" s="21">
        <f t="shared" ca="1" si="826"/>
        <v>11.511815121438772</v>
      </c>
      <c r="BL533" s="21">
        <f t="shared" ca="1" si="826"/>
        <v>11.9092889717689</v>
      </c>
      <c r="BM533" s="21">
        <f t="shared" ca="1" si="826"/>
        <v>13.787078622685193</v>
      </c>
      <c r="BN533" s="21">
        <f t="shared" ca="1" si="826"/>
        <v>10.448445912184372</v>
      </c>
      <c r="BO533" s="21">
        <f t="shared" ca="1" si="826"/>
        <v>13.929635653157375</v>
      </c>
      <c r="BP533" s="21"/>
    </row>
    <row r="534" spans="2:254" ht="13.2" customHeight="1">
      <c r="B534" s="280" t="s">
        <v>1428</v>
      </c>
      <c r="E534" s="280"/>
      <c r="G534" s="824">
        <f ca="1">MIN('Speed-Vol., non-Cordon'!$X$57*(G482 / 'Speed-Vol., non-Cordon'!$X$57)^G503,'Speed-Vol., non-Cordon'!$X$32)</f>
        <v>54.989493789343051</v>
      </c>
      <c r="H534" s="824">
        <f ca="1">MIN('Speed-Vol., non-Cordon'!$X$57*(H482 / 'Speed-Vol., non-Cordon'!$X$57)^H503,'Speed-Vol., non-Cordon'!$X$32)</f>
        <v>47.484584559495175</v>
      </c>
      <c r="I534" s="824">
        <f ca="1">MIN('Speed-Vol., non-Cordon'!$X$57*(I482 / 'Speed-Vol., non-Cordon'!$X$57)^I503,'Speed-Vol., non-Cordon'!$X$32)</f>
        <v>19.828239748041408</v>
      </c>
      <c r="J534" s="824">
        <f ca="1">MIN('Speed-Vol., non-Cordon'!$X$57*(J482 / 'Speed-Vol., non-Cordon'!$X$57)^J503,'Speed-Vol., non-Cordon'!$X$32)</f>
        <v>22.858442890624545</v>
      </c>
      <c r="K534" s="824">
        <f ca="1">MIN('Speed-Vol., non-Cordon'!$X$57*(K482 / 'Speed-Vol., non-Cordon'!$X$57)^K503,'Speed-Vol., non-Cordon'!$X$32)</f>
        <v>25.970904964430215</v>
      </c>
      <c r="L534" s="824">
        <f ca="1">MIN('Speed-Vol., non-Cordon'!$X$57*(L482 / 'Speed-Vol., non-Cordon'!$X$57)^L503,'Speed-Vol., non-Cordon'!$X$32)</f>
        <v>18.063844343494729</v>
      </c>
      <c r="M534" s="824">
        <f ca="1">MIN('Speed-Vol., non-Cordon'!$X$57*(M482 / 'Speed-Vol., non-Cordon'!$X$57)^M503,'Speed-Vol., non-Cordon'!$X$32)</f>
        <v>28.238075624897075</v>
      </c>
      <c r="O534" s="39">
        <f>ROW()</f>
        <v>534</v>
      </c>
      <c r="P534" s="21">
        <f t="shared" ref="P534:V534" ca="1" si="827">G534</f>
        <v>54.989493789343051</v>
      </c>
      <c r="Q534" s="21">
        <f t="shared" ca="1" si="827"/>
        <v>47.484584559495175</v>
      </c>
      <c r="R534" s="21">
        <f t="shared" ca="1" si="827"/>
        <v>19.828239748041408</v>
      </c>
      <c r="S534" s="21">
        <f t="shared" ca="1" si="827"/>
        <v>22.858442890624545</v>
      </c>
      <c r="T534" s="21">
        <f t="shared" ca="1" si="827"/>
        <v>25.970904964430215</v>
      </c>
      <c r="U534" s="21">
        <f t="shared" ca="1" si="827"/>
        <v>18.063844343494729</v>
      </c>
      <c r="V534" s="21">
        <f t="shared" ca="1" si="827"/>
        <v>28.238075624897075</v>
      </c>
      <c r="W534" s="4272" t="s">
        <v>1878</v>
      </c>
      <c r="Y534" s="21">
        <f t="shared" ref="Y534:AE534" ca="1" si="828">G534</f>
        <v>54.989493789343051</v>
      </c>
      <c r="Z534" s="21">
        <f t="shared" ca="1" si="828"/>
        <v>47.484584559495175</v>
      </c>
      <c r="AA534" s="21">
        <f t="shared" ca="1" si="828"/>
        <v>19.828239748041408</v>
      </c>
      <c r="AB534" s="21">
        <f t="shared" ca="1" si="828"/>
        <v>22.858442890624545</v>
      </c>
      <c r="AC534" s="21">
        <f t="shared" ca="1" si="828"/>
        <v>25.970904964430215</v>
      </c>
      <c r="AD534" s="21">
        <f t="shared" ca="1" si="828"/>
        <v>18.063844343494729</v>
      </c>
      <c r="AE534" s="21">
        <f t="shared" ca="1" si="828"/>
        <v>28.238075624897075</v>
      </c>
      <c r="AF534" s="4272" t="s">
        <v>1878</v>
      </c>
      <c r="AH534" s="21">
        <f t="shared" ca="1" si="823"/>
        <v>54.989493789343051</v>
      </c>
      <c r="AI534" s="21">
        <f t="shared" ca="1" si="823"/>
        <v>47.484584559495175</v>
      </c>
      <c r="AJ534" s="21">
        <f t="shared" ca="1" si="823"/>
        <v>19.828239748041408</v>
      </c>
      <c r="AK534" s="21">
        <f t="shared" ca="1" si="823"/>
        <v>22.858442890624545</v>
      </c>
      <c r="AL534" s="21">
        <f t="shared" ca="1" si="823"/>
        <v>25.970904964430215</v>
      </c>
      <c r="AM534" s="21">
        <f t="shared" ca="1" si="823"/>
        <v>18.063844343494729</v>
      </c>
      <c r="AN534" s="21">
        <f t="shared" ca="1" si="823"/>
        <v>28.238075624897075</v>
      </c>
      <c r="AO534" s="4272" t="s">
        <v>1878</v>
      </c>
      <c r="AQ534" s="21">
        <f t="shared" ref="AQ534:AW534" ca="1" si="829">G534*$AV$181</f>
        <v>54.439598851449617</v>
      </c>
      <c r="AR534" s="21">
        <f t="shared" ca="1" si="829"/>
        <v>47.009738713900227</v>
      </c>
      <c r="AS534" s="21">
        <f t="shared" ca="1" si="829"/>
        <v>19.629957350560993</v>
      </c>
      <c r="AT534" s="21">
        <f t="shared" ca="1" si="829"/>
        <v>22.6298584617183</v>
      </c>
      <c r="AU534" s="21">
        <f t="shared" ca="1" si="829"/>
        <v>25.711195914785911</v>
      </c>
      <c r="AV534" s="21">
        <f t="shared" ca="1" si="829"/>
        <v>17.883205900059782</v>
      </c>
      <c r="AW534" s="21">
        <f t="shared" ca="1" si="829"/>
        <v>27.955694868648102</v>
      </c>
      <c r="AX534" s="4272" t="s">
        <v>1878</v>
      </c>
      <c r="AZ534" s="21">
        <f t="shared" ref="AZ534:BF534" ca="1" si="830">G534</f>
        <v>54.989493789343051</v>
      </c>
      <c r="BA534" s="21">
        <f t="shared" ca="1" si="830"/>
        <v>47.484584559495175</v>
      </c>
      <c r="BB534" s="21">
        <f t="shared" ca="1" si="830"/>
        <v>19.828239748041408</v>
      </c>
      <c r="BC534" s="21">
        <f t="shared" ca="1" si="830"/>
        <v>22.858442890624545</v>
      </c>
      <c r="BD534" s="21">
        <f t="shared" ca="1" si="830"/>
        <v>25.970904964430215</v>
      </c>
      <c r="BE534" s="21">
        <f t="shared" ca="1" si="830"/>
        <v>18.063844343494729</v>
      </c>
      <c r="BF534" s="21">
        <f t="shared" ca="1" si="830"/>
        <v>28.238075624897075</v>
      </c>
      <c r="BG534" s="4272" t="s">
        <v>1878</v>
      </c>
      <c r="BI534" s="21">
        <f t="shared" ref="BI534:BO534" ca="1" si="831">G534</f>
        <v>54.989493789343051</v>
      </c>
      <c r="BJ534" s="21">
        <f t="shared" ca="1" si="831"/>
        <v>47.484584559495175</v>
      </c>
      <c r="BK534" s="21">
        <f t="shared" ca="1" si="831"/>
        <v>19.828239748041408</v>
      </c>
      <c r="BL534" s="21">
        <f t="shared" ca="1" si="831"/>
        <v>22.858442890624545</v>
      </c>
      <c r="BM534" s="21">
        <f t="shared" ca="1" si="831"/>
        <v>25.970904964430215</v>
      </c>
      <c r="BN534" s="21">
        <f t="shared" ca="1" si="831"/>
        <v>18.063844343494729</v>
      </c>
      <c r="BO534" s="21">
        <f t="shared" ca="1" si="831"/>
        <v>28.238075624897075</v>
      </c>
      <c r="BP534" s="4272" t="s">
        <v>1878</v>
      </c>
    </row>
    <row r="535" spans="2:254" ht="13.2" customHeight="1">
      <c r="O535" s="39">
        <f>ROW()</f>
        <v>535</v>
      </c>
      <c r="W535" s="4273"/>
      <c r="AF535" s="4273"/>
      <c r="AO535" s="4273"/>
      <c r="AX535" s="4273"/>
      <c r="BG535" s="4273"/>
      <c r="BP535" s="4273"/>
    </row>
    <row r="536" spans="2:254" ht="13.2" customHeight="1">
      <c r="B536" s="308" t="s">
        <v>2606</v>
      </c>
      <c r="F536" s="606"/>
      <c r="O536" s="39">
        <f>ROW()</f>
        <v>536</v>
      </c>
      <c r="W536" s="4273"/>
      <c r="AF536" s="4340"/>
      <c r="AO536" s="4340"/>
      <c r="AX536" s="4340"/>
      <c r="BG536" s="4340"/>
      <c r="BP536" s="4340"/>
    </row>
    <row r="537" spans="2:254" ht="13.2" customHeight="1">
      <c r="B537" s="280" t="s">
        <v>2158</v>
      </c>
      <c r="C537" s="297"/>
      <c r="D537" s="297"/>
      <c r="E537" s="297"/>
      <c r="F537" s="297"/>
      <c r="G537" s="4286" t="s">
        <v>2351</v>
      </c>
      <c r="H537" s="3775"/>
      <c r="I537" s="3775"/>
      <c r="J537" s="3775"/>
      <c r="K537" s="3775"/>
      <c r="L537" s="3776"/>
      <c r="O537" s="39">
        <f>ROW()</f>
        <v>537</v>
      </c>
      <c r="P537" s="21">
        <f t="shared" ref="P537:V537" ca="1" si="832">($I$85)*60/P533</f>
        <v>3.5295004078713168</v>
      </c>
      <c r="Q537" s="21">
        <f t="shared" ca="1" si="832"/>
        <v>3.5685015884917015</v>
      </c>
      <c r="R537" s="21">
        <f t="shared" ca="1" si="832"/>
        <v>6.5150455604803295</v>
      </c>
      <c r="S537" s="21">
        <f t="shared" ca="1" si="832"/>
        <v>6.2976051868241942</v>
      </c>
      <c r="T537" s="21">
        <f t="shared" ca="1" si="832"/>
        <v>5.4398761371096676</v>
      </c>
      <c r="U537" s="21">
        <f t="shared" ca="1" si="832"/>
        <v>7.1781009951479335</v>
      </c>
      <c r="V537" s="21">
        <f t="shared" ca="1" si="832"/>
        <v>5.3842039998368554</v>
      </c>
      <c r="W537" s="883">
        <f ca="1">SUMPRODUCT(P$476:V$476,P537:V537)/W$476</f>
        <v>6.0324543868673572</v>
      </c>
      <c r="Y537" s="21">
        <f t="shared" ref="Y537:AE537" ca="1" si="833">($J$85)*60/Y533</f>
        <v>3.5295004078713168</v>
      </c>
      <c r="Z537" s="21">
        <f t="shared" ca="1" si="833"/>
        <v>3.5685015884917015</v>
      </c>
      <c r="AA537" s="21">
        <f t="shared" ca="1" si="833"/>
        <v>6.5150455604803295</v>
      </c>
      <c r="AB537" s="21">
        <f t="shared" ca="1" si="833"/>
        <v>6.2976051868241942</v>
      </c>
      <c r="AC537" s="21">
        <f t="shared" ca="1" si="833"/>
        <v>5.4398761371096676</v>
      </c>
      <c r="AD537" s="21">
        <f t="shared" ca="1" si="833"/>
        <v>7.1781009951479335</v>
      </c>
      <c r="AE537" s="21">
        <f t="shared" ca="1" si="833"/>
        <v>5.3842039998368554</v>
      </c>
      <c r="AF537" s="613">
        <f ca="1">SUMPRODUCT(Y$476:AE$476,Y537:AE537)/AF$476</f>
        <v>6.0393180195708247</v>
      </c>
      <c r="AH537" s="21">
        <f t="shared" ref="AH537:AN537" ca="1" si="834">($K$85)*60/AH533</f>
        <v>4.5177605220752861</v>
      </c>
      <c r="AI537" s="21">
        <f t="shared" ca="1" si="834"/>
        <v>4.5676820332693779</v>
      </c>
      <c r="AJ537" s="21">
        <f t="shared" ca="1" si="834"/>
        <v>8.3392583174148225</v>
      </c>
      <c r="AK537" s="21">
        <f t="shared" ca="1" si="834"/>
        <v>8.0609346391349685</v>
      </c>
      <c r="AL537" s="21">
        <f t="shared" ca="1" si="834"/>
        <v>6.9630414555003739</v>
      </c>
      <c r="AM537" s="21">
        <f t="shared" ca="1" si="834"/>
        <v>9.1879692737893546</v>
      </c>
      <c r="AN537" s="21">
        <f t="shared" ca="1" si="834"/>
        <v>6.8917811197911742</v>
      </c>
      <c r="AO537" s="613">
        <f ca="1">SUMPRODUCT(AH$476:AN$476,AH537:AN537)/AO$476</f>
        <v>7.4890315054459045</v>
      </c>
      <c r="AQ537" s="21">
        <f t="shared" ref="AQ537:AW537" ca="1" si="835">($L$85)*60/AQ533</f>
        <v>5.9444217395727446</v>
      </c>
      <c r="AR537" s="21">
        <f t="shared" ca="1" si="835"/>
        <v>6.0101079385123404</v>
      </c>
      <c r="AS537" s="21">
        <f t="shared" ca="1" si="835"/>
        <v>10.972708312387924</v>
      </c>
      <c r="AT537" s="21">
        <f t="shared" ca="1" si="835"/>
        <v>10.606492946230222</v>
      </c>
      <c r="AU537" s="21">
        <f t="shared" ca="1" si="835"/>
        <v>9.1618966519741765</v>
      </c>
      <c r="AV537" s="21">
        <f t="shared" ca="1" si="835"/>
        <v>12.089433254985995</v>
      </c>
      <c r="AW537" s="21">
        <f t="shared" ca="1" si="835"/>
        <v>9.06813305235681</v>
      </c>
      <c r="AX537" s="613">
        <f ca="1">SUMPRODUCT(AQ$476:AW$476,AQ537:AW537)/AX$476</f>
        <v>9.7600213564749048</v>
      </c>
      <c r="AZ537" s="21">
        <f t="shared" ref="AZ537:BF537" ca="1" si="836">($M$85)*60/AZ533</f>
        <v>8.4708009788911607</v>
      </c>
      <c r="BA537" s="21">
        <f t="shared" ca="1" si="836"/>
        <v>8.5644038123800836</v>
      </c>
      <c r="BB537" s="21">
        <f t="shared" ca="1" si="836"/>
        <v>15.636109345152791</v>
      </c>
      <c r="BC537" s="21">
        <f t="shared" ca="1" si="836"/>
        <v>15.114252448378066</v>
      </c>
      <c r="BD537" s="21">
        <f t="shared" ca="1" si="836"/>
        <v>13.055702729063201</v>
      </c>
      <c r="BE537" s="21">
        <f t="shared" ca="1" si="836"/>
        <v>17.22744238835504</v>
      </c>
      <c r="BF537" s="21">
        <f t="shared" ca="1" si="836"/>
        <v>12.922089599608451</v>
      </c>
      <c r="BG537" s="613">
        <f ca="1">SUMPRODUCT(AZ$476:BF$476,AZ537:BF537)/BG$476</f>
        <v>14.369315317783816</v>
      </c>
      <c r="BI537" s="21">
        <f t="shared" ref="BI537:BO537" ca="1" si="837">($N$85)*60/BI533</f>
        <v>5.6472006525941074</v>
      </c>
      <c r="BJ537" s="21">
        <f t="shared" ca="1" si="837"/>
        <v>5.7096025415867224</v>
      </c>
      <c r="BK537" s="21">
        <f t="shared" ca="1" si="837"/>
        <v>10.424072896768527</v>
      </c>
      <c r="BL537" s="21">
        <f t="shared" ca="1" si="837"/>
        <v>10.076168298918711</v>
      </c>
      <c r="BM537" s="21">
        <f t="shared" ca="1" si="837"/>
        <v>8.7038018193754674</v>
      </c>
      <c r="BN537" s="21">
        <f t="shared" ca="1" si="837"/>
        <v>11.484961592236694</v>
      </c>
      <c r="BO537" s="21">
        <f t="shared" ca="1" si="837"/>
        <v>8.6147263997389683</v>
      </c>
      <c r="BP537" s="613">
        <f ca="1">SUMPRODUCT(BI$476:BO$476,BI537:BO537)/BP$476</f>
        <v>9.6049356927184437</v>
      </c>
    </row>
    <row r="538" spans="2:254" ht="13.2" customHeight="1">
      <c r="B538" s="280" t="s">
        <v>2159</v>
      </c>
      <c r="C538" s="297"/>
      <c r="D538" s="297"/>
      <c r="E538" s="297"/>
      <c r="F538" s="297"/>
      <c r="G538" s="3738"/>
      <c r="H538" s="3739"/>
      <c r="I538" s="3739"/>
      <c r="J538" s="3739"/>
      <c r="K538" s="3739"/>
      <c r="L538" s="3922"/>
      <c r="O538" s="39">
        <f>ROW()</f>
        <v>538</v>
      </c>
      <c r="P538" s="21">
        <f t="shared" ref="P538:V538" ca="1" si="838">60*$I$85/(1/($P$135/$P533+$Q$135/$Q533+$R$135/$R533+$S$135/$S533+$T$135/$T533+$U$135/$U533+$V$135/$V533))</f>
        <v>5.9675611724515694</v>
      </c>
      <c r="Q538" s="21">
        <f t="shared" ca="1" si="838"/>
        <v>5.9675611724515694</v>
      </c>
      <c r="R538" s="21">
        <f t="shared" ca="1" si="838"/>
        <v>5.9675611724515694</v>
      </c>
      <c r="S538" s="21">
        <f t="shared" ca="1" si="838"/>
        <v>5.9675611724515694</v>
      </c>
      <c r="T538" s="21">
        <f t="shared" ca="1" si="838"/>
        <v>5.9675611724515694</v>
      </c>
      <c r="U538" s="21">
        <f t="shared" ca="1" si="838"/>
        <v>5.9675611724515694</v>
      </c>
      <c r="V538" s="21">
        <f t="shared" ca="1" si="838"/>
        <v>5.9675611724515694</v>
      </c>
      <c r="W538" s="613">
        <f ca="1">SUMPRODUCT(P$383:V$383,P538:V538)/W$383</f>
        <v>5.9675611724515685</v>
      </c>
      <c r="Y538" s="21">
        <f t="shared" ref="Y538:AE538" ca="1" si="839">60*$J$85/(1/($Y$135/$Y533+$Z$135/$Z533+$AA$135/$AA533+$AB$135/$AB533+$AC$135/$AC533+$AD$135/$AD533+$AE$135/$AE533))</f>
        <v>5.9675611724515694</v>
      </c>
      <c r="Z538" s="21">
        <f t="shared" ca="1" si="839"/>
        <v>5.9675611724515694</v>
      </c>
      <c r="AA538" s="21">
        <f t="shared" ca="1" si="839"/>
        <v>5.9675611724515694</v>
      </c>
      <c r="AB538" s="21">
        <f t="shared" ca="1" si="839"/>
        <v>5.9675611724515694</v>
      </c>
      <c r="AC538" s="21">
        <f t="shared" ca="1" si="839"/>
        <v>5.9675611724515694</v>
      </c>
      <c r="AD538" s="21">
        <f t="shared" ca="1" si="839"/>
        <v>5.9675611724515694</v>
      </c>
      <c r="AE538" s="21">
        <f t="shared" ca="1" si="839"/>
        <v>5.9675611724515694</v>
      </c>
      <c r="AF538" s="613">
        <f ca="1">SUMPRODUCT(Y$383:AE$383,Y538:AE538)/AF$383</f>
        <v>5.9675611724515694</v>
      </c>
      <c r="AH538" s="21">
        <f ca="1">AH537</f>
        <v>4.5177605220752861</v>
      </c>
      <c r="AI538" s="21">
        <f t="shared" ref="AI538:AN538" ca="1" si="840">AI537</f>
        <v>4.5676820332693779</v>
      </c>
      <c r="AJ538" s="21">
        <f t="shared" ca="1" si="840"/>
        <v>8.3392583174148225</v>
      </c>
      <c r="AK538" s="21">
        <f t="shared" ca="1" si="840"/>
        <v>8.0609346391349685</v>
      </c>
      <c r="AL538" s="21">
        <f t="shared" ca="1" si="840"/>
        <v>6.9630414555003739</v>
      </c>
      <c r="AM538" s="21">
        <f t="shared" ca="1" si="840"/>
        <v>9.1879692737893546</v>
      </c>
      <c r="AN538" s="21">
        <f t="shared" ca="1" si="840"/>
        <v>6.8917811197911742</v>
      </c>
      <c r="AO538" s="613">
        <f ca="1">SUMPRODUCT(AH$383:AN$383,AH538:AN538)/AO$383</f>
        <v>7.4505878855152394</v>
      </c>
      <c r="AQ538" s="21"/>
      <c r="AR538" s="21"/>
      <c r="AS538" s="21"/>
      <c r="AT538" s="21"/>
      <c r="AU538" s="21"/>
      <c r="AV538" s="21"/>
      <c r="AW538" s="21"/>
      <c r="AX538" s="613"/>
      <c r="AZ538" s="21">
        <f t="shared" ref="AZ538:BF538" ca="1" si="841">60*$M$85/(1/($AZ$135/$AZ533+$BA$135/$BA533+$BB$135/$BB533+$BC$135/$BC533+$BD$135/$BD533+$BE$135/$BE533+$BF$135/$BF533))</f>
        <v>14.322146813883766</v>
      </c>
      <c r="BA538" s="21">
        <f t="shared" ca="1" si="841"/>
        <v>14.322146813883766</v>
      </c>
      <c r="BB538" s="21">
        <f t="shared" ca="1" si="841"/>
        <v>14.322146813883766</v>
      </c>
      <c r="BC538" s="21">
        <f t="shared" ca="1" si="841"/>
        <v>14.322146813883766</v>
      </c>
      <c r="BD538" s="21">
        <f t="shared" ca="1" si="841"/>
        <v>14.322146813883766</v>
      </c>
      <c r="BE538" s="21">
        <f t="shared" ca="1" si="841"/>
        <v>14.322146813883766</v>
      </c>
      <c r="BF538" s="21">
        <f t="shared" ca="1" si="841"/>
        <v>14.322146813883766</v>
      </c>
      <c r="BG538" s="613">
        <f ca="1">SUMPRODUCT(AZ$383:BF$383,AZ538:BF538)/BG$383</f>
        <v>14.322146813883764</v>
      </c>
      <c r="BI538" s="21">
        <f t="shared" ref="BI538:BO538" ca="1" si="842">60*$N$85/(1/($BI$135/$BI533+$BJ$135/$BJ533+$BK$135/$BK533+$BL$135/$BL533+$BM$135/$BM533+$BN$135/$BN533+$BO$135/$BO533))</f>
        <v>9.5480978759225081</v>
      </c>
      <c r="BJ538" s="21">
        <f t="shared" ca="1" si="842"/>
        <v>9.5480978759225081</v>
      </c>
      <c r="BK538" s="21">
        <f t="shared" ca="1" si="842"/>
        <v>9.5480978759225081</v>
      </c>
      <c r="BL538" s="21">
        <f t="shared" ca="1" si="842"/>
        <v>9.5480978759225081</v>
      </c>
      <c r="BM538" s="21">
        <f t="shared" ca="1" si="842"/>
        <v>9.5480978759225081</v>
      </c>
      <c r="BN538" s="21">
        <f t="shared" ca="1" si="842"/>
        <v>9.5480978759225081</v>
      </c>
      <c r="BO538" s="21">
        <f t="shared" ca="1" si="842"/>
        <v>9.5480978759225081</v>
      </c>
      <c r="BP538" s="613">
        <f ca="1">SUMPRODUCT(BI$383:BO$383,BI538:BO538)/BP$383</f>
        <v>9.5480978759225081</v>
      </c>
    </row>
    <row r="539" spans="2:254" ht="13.2" customHeight="1">
      <c r="B539" s="280" t="s">
        <v>2160</v>
      </c>
      <c r="C539" s="297"/>
      <c r="D539" s="297"/>
      <c r="E539" s="297"/>
      <c r="F539" s="297"/>
      <c r="G539" s="3738"/>
      <c r="H539" s="3739"/>
      <c r="I539" s="3739"/>
      <c r="J539" s="3739"/>
      <c r="K539" s="3739"/>
      <c r="L539" s="3922"/>
      <c r="O539" s="39">
        <f>ROW()</f>
        <v>539</v>
      </c>
      <c r="P539" s="21">
        <f t="shared" ref="P539:V539" ca="1" si="843">($I$79)*60/P534</f>
        <v>18.439950142255835</v>
      </c>
      <c r="Q539" s="21">
        <f t="shared" ca="1" si="843"/>
        <v>21.354372860794232</v>
      </c>
      <c r="R539" s="21">
        <f t="shared" ca="1" si="843"/>
        <v>51.139361673470475</v>
      </c>
      <c r="S539" s="21">
        <f t="shared" ca="1" si="843"/>
        <v>44.360131119835337</v>
      </c>
      <c r="T539" s="21">
        <f t="shared" ca="1" si="843"/>
        <v>39.043827129326189</v>
      </c>
      <c r="U539" s="21">
        <f t="shared" ca="1" si="843"/>
        <v>56.134425460134253</v>
      </c>
      <c r="V539" s="21">
        <f t="shared" ca="1" si="843"/>
        <v>35.909087336296437</v>
      </c>
      <c r="W539" s="613">
        <f ca="1">SUMPRODUCT(P$476:V$476,P539:V539)/W$476</f>
        <v>44.617187368105171</v>
      </c>
      <c r="Y539" s="21">
        <f t="shared" ref="Y539:AE539" ca="1" si="844">($J$79)*60/Y534</f>
        <v>18.439950142255835</v>
      </c>
      <c r="Z539" s="21">
        <f t="shared" ca="1" si="844"/>
        <v>21.354372860794232</v>
      </c>
      <c r="AA539" s="21">
        <f t="shared" ca="1" si="844"/>
        <v>51.139361673470475</v>
      </c>
      <c r="AB539" s="21">
        <f t="shared" ca="1" si="844"/>
        <v>44.360131119835337</v>
      </c>
      <c r="AC539" s="21">
        <f t="shared" ca="1" si="844"/>
        <v>39.043827129326189</v>
      </c>
      <c r="AD539" s="21">
        <f t="shared" ca="1" si="844"/>
        <v>56.134425460134253</v>
      </c>
      <c r="AE539" s="21">
        <f t="shared" ca="1" si="844"/>
        <v>35.909087336296437</v>
      </c>
      <c r="AF539" s="613">
        <f ca="1">SUMPRODUCT(Y$476:AE$476,Y539:AE539)/AF$476</f>
        <v>44.443185632485346</v>
      </c>
      <c r="AH539" s="21">
        <f t="shared" ref="AH539:AN539" ca="1" si="845">($K$79)*60/AH534</f>
        <v>27.659925213383751</v>
      </c>
      <c r="AI539" s="21">
        <f t="shared" ca="1" si="845"/>
        <v>32.03155929119135</v>
      </c>
      <c r="AJ539" s="21">
        <f t="shared" ca="1" si="845"/>
        <v>76.70904251020572</v>
      </c>
      <c r="AK539" s="21">
        <f t="shared" ca="1" si="845"/>
        <v>66.540196679753009</v>
      </c>
      <c r="AL539" s="21">
        <f t="shared" ca="1" si="845"/>
        <v>58.565740693989284</v>
      </c>
      <c r="AM539" s="21">
        <f t="shared" ca="1" si="845"/>
        <v>84.201638190201379</v>
      </c>
      <c r="AN539" s="21">
        <f t="shared" ca="1" si="845"/>
        <v>53.863631004444656</v>
      </c>
      <c r="AO539" s="613">
        <f ca="1">SUMPRODUCT(AH$476:AN$476,AH539:AN539)/AO$476</f>
        <v>63.748333200963437</v>
      </c>
      <c r="AQ539" s="21">
        <f t="shared" ref="AQ539:AW539" ca="1" si="846">($L$79)*60/AQ534</f>
        <v>6.612833444683142</v>
      </c>
      <c r="AR539" s="21">
        <f t="shared" ca="1" si="846"/>
        <v>7.6579876818918002</v>
      </c>
      <c r="AS539" s="21">
        <f t="shared" ca="1" si="846"/>
        <v>18.339316462636724</v>
      </c>
      <c r="AT539" s="21">
        <f t="shared" ca="1" si="846"/>
        <v>15.908186107703344</v>
      </c>
      <c r="AU539" s="21">
        <f t="shared" ca="1" si="846"/>
        <v>14.001682426330561</v>
      </c>
      <c r="AV539" s="21">
        <f t="shared" ca="1" si="846"/>
        <v>20.130618749896325</v>
      </c>
      <c r="AW539" s="21">
        <f t="shared" ca="1" si="846"/>
        <v>12.877519292276103</v>
      </c>
      <c r="AX539" s="613">
        <f ca="1">SUMPRODUCT(AQ$476:AW$476,AQ539:AW539)/AX$476</f>
        <v>15.037708387189431</v>
      </c>
      <c r="AZ539" s="21">
        <f t="shared" ref="AZ539:BF539" ca="1" si="847">($M$79)*60/AZ534</f>
        <v>13.661010183922516</v>
      </c>
      <c r="BA539" s="21">
        <f t="shared" ca="1" si="847"/>
        <v>15.820124396871121</v>
      </c>
      <c r="BB539" s="21">
        <f t="shared" ca="1" si="847"/>
        <v>37.885966894220275</v>
      </c>
      <c r="BC539" s="21">
        <f t="shared" ca="1" si="847"/>
        <v>32.863657347940837</v>
      </c>
      <c r="BD539" s="21">
        <f t="shared" ca="1" si="847"/>
        <v>28.925138946595059</v>
      </c>
      <c r="BE539" s="21">
        <f t="shared" ca="1" si="847"/>
        <v>41.586498442979043</v>
      </c>
      <c r="BF539" s="21">
        <f t="shared" ca="1" si="847"/>
        <v>26.602805539716993</v>
      </c>
      <c r="BG539" s="613">
        <f ca="1">SUMPRODUCT(AZ$476:BF$476,AZ539:BF539)/BG$476</f>
        <v>32.609241365772363</v>
      </c>
      <c r="BI539" s="21">
        <f t="shared" ref="BI539:BO539" ca="1" si="848">($N$79)*60/BI534</f>
        <v>18.949341030163456</v>
      </c>
      <c r="BJ539" s="21">
        <f t="shared" ca="1" si="848"/>
        <v>21.944272663578609</v>
      </c>
      <c r="BK539" s="21">
        <f t="shared" ca="1" si="848"/>
        <v>52.552051222461387</v>
      </c>
      <c r="BL539" s="21">
        <f t="shared" ca="1" si="848"/>
        <v>45.585549106571129</v>
      </c>
      <c r="BM539" s="21">
        <f t="shared" ca="1" si="848"/>
        <v>40.122385889804825</v>
      </c>
      <c r="BN539" s="21">
        <f t="shared" ca="1" si="848"/>
        <v>57.685100196602065</v>
      </c>
      <c r="BO539" s="21">
        <f t="shared" ca="1" si="848"/>
        <v>36.901051074868171</v>
      </c>
      <c r="BP539" s="613">
        <f ca="1">SUMPRODUCT(BI$476:BO$476,BI539:BO539)/BP$476</f>
        <v>45.403030072248271</v>
      </c>
    </row>
    <row r="540" spans="2:254" ht="13.2" customHeight="1">
      <c r="B540" s="280" t="s">
        <v>1138</v>
      </c>
      <c r="C540" s="297"/>
      <c r="D540" s="297"/>
      <c r="E540" s="297"/>
      <c r="F540" s="297"/>
      <c r="G540" s="3738"/>
      <c r="H540" s="3739"/>
      <c r="I540" s="3739"/>
      <c r="J540" s="3739"/>
      <c r="K540" s="3739"/>
      <c r="L540" s="3922"/>
      <c r="O540" s="39">
        <f>ROW()</f>
        <v>540</v>
      </c>
      <c r="P540" s="21">
        <f t="shared" ref="P540:V540" ca="1" si="849">60*$I$79/(1/($P$135/$P534+$Q$135/$Q534+$R$135/$R534+$S$135/$S534+$T$135/$T534+$U$135/$U534+$V$135/$V534))</f>
        <v>43.71664114251378</v>
      </c>
      <c r="Q540" s="21">
        <f t="shared" ca="1" si="849"/>
        <v>43.71664114251378</v>
      </c>
      <c r="R540" s="21">
        <f t="shared" ca="1" si="849"/>
        <v>43.71664114251378</v>
      </c>
      <c r="S540" s="21">
        <f t="shared" ca="1" si="849"/>
        <v>43.71664114251378</v>
      </c>
      <c r="T540" s="21">
        <f t="shared" ca="1" si="849"/>
        <v>43.71664114251378</v>
      </c>
      <c r="U540" s="21">
        <f t="shared" ca="1" si="849"/>
        <v>43.71664114251378</v>
      </c>
      <c r="V540" s="21">
        <f t="shared" ca="1" si="849"/>
        <v>43.71664114251378</v>
      </c>
      <c r="W540" s="613">
        <f ca="1">SUMPRODUCT(P$476:V$476,P540:V540)/W$476</f>
        <v>43.71664114251378</v>
      </c>
      <c r="Y540" s="21">
        <f t="shared" ref="Y540:AE540" ca="1" si="850">60*$J$79/(1/($Y$135/$Y534+$Z$135/$Z534+$AA$135/$AA534+$AB$135/$AB534+$AC$135/$AC534+$AD$135/$AD534+$AE$135/$AE534))</f>
        <v>43.71664114251378</v>
      </c>
      <c r="Z540" s="21">
        <f t="shared" ca="1" si="850"/>
        <v>43.71664114251378</v>
      </c>
      <c r="AA540" s="21">
        <f t="shared" ca="1" si="850"/>
        <v>43.71664114251378</v>
      </c>
      <c r="AB540" s="21">
        <f t="shared" ca="1" si="850"/>
        <v>43.71664114251378</v>
      </c>
      <c r="AC540" s="21">
        <f t="shared" ca="1" si="850"/>
        <v>43.71664114251378</v>
      </c>
      <c r="AD540" s="21">
        <f t="shared" ca="1" si="850"/>
        <v>43.71664114251378</v>
      </c>
      <c r="AE540" s="21">
        <f t="shared" ca="1" si="850"/>
        <v>43.71664114251378</v>
      </c>
      <c r="AF540" s="613">
        <f ca="1">SUMPRODUCT(Y$476:AE$476,Y540:AE540)/AF$476</f>
        <v>43.71664114251378</v>
      </c>
      <c r="AH540" s="21">
        <f ca="1">AH539</f>
        <v>27.659925213383751</v>
      </c>
      <c r="AI540" s="21">
        <f t="shared" ref="AI540:AN540" ca="1" si="851">AI539</f>
        <v>32.03155929119135</v>
      </c>
      <c r="AJ540" s="21">
        <f t="shared" ca="1" si="851"/>
        <v>76.70904251020572</v>
      </c>
      <c r="AK540" s="21">
        <f t="shared" ca="1" si="851"/>
        <v>66.540196679753009</v>
      </c>
      <c r="AL540" s="21">
        <f t="shared" ca="1" si="851"/>
        <v>58.565740693989284</v>
      </c>
      <c r="AM540" s="21">
        <f t="shared" ca="1" si="851"/>
        <v>84.201638190201379</v>
      </c>
      <c r="AN540" s="21">
        <f t="shared" ca="1" si="851"/>
        <v>53.863631004444656</v>
      </c>
      <c r="AO540" s="613">
        <f ca="1">SUMPRODUCT(AH$476:AN$476,AH540:AN540)/AO$476</f>
        <v>63.748333200963437</v>
      </c>
      <c r="AX540" s="613"/>
      <c r="AZ540" s="21">
        <f t="shared" ref="AZ540:BF540" ca="1" si="852">60*$M$79/(1/($AZ$135/$AZ534+$BA$135/$BA534+$BB$135/$BB534+$BC$135/$BC534+$BD$135/$BD534+$BE$135/$BE534+$BF$135/$BF534))</f>
        <v>32.386935715527223</v>
      </c>
      <c r="BA540" s="21">
        <f t="shared" ca="1" si="852"/>
        <v>32.386935715527223</v>
      </c>
      <c r="BB540" s="21">
        <f t="shared" ca="1" si="852"/>
        <v>32.386935715527223</v>
      </c>
      <c r="BC540" s="21">
        <f t="shared" ca="1" si="852"/>
        <v>32.386935715527223</v>
      </c>
      <c r="BD540" s="21">
        <f t="shared" ca="1" si="852"/>
        <v>32.386935715527223</v>
      </c>
      <c r="BE540" s="21">
        <f t="shared" ca="1" si="852"/>
        <v>32.386935715527223</v>
      </c>
      <c r="BF540" s="21">
        <f t="shared" ca="1" si="852"/>
        <v>32.386935715527223</v>
      </c>
      <c r="BG540" s="613">
        <f ca="1">SUMPRODUCT(AZ$476:BF$476,AZ540:BF540)/BG$476</f>
        <v>32.38693571552723</v>
      </c>
      <c r="BI540" s="21">
        <f t="shared" ref="BI540:BO540" ca="1" si="853">60*$N$79/(1/($BI$135/$BI534+$BJ$135/$BJ534+$BK$135/$BK534+$BL$135/$BL534+$BM$135/$BM534+$BN$135/$BN534+$BO$135/$BO534))</f>
        <v>44.924283163025201</v>
      </c>
      <c r="BJ540" s="21">
        <f t="shared" ca="1" si="853"/>
        <v>44.924283163025201</v>
      </c>
      <c r="BK540" s="21">
        <f t="shared" ca="1" si="853"/>
        <v>44.924283163025201</v>
      </c>
      <c r="BL540" s="21">
        <f t="shared" ca="1" si="853"/>
        <v>44.924283163025201</v>
      </c>
      <c r="BM540" s="21">
        <f t="shared" ca="1" si="853"/>
        <v>44.924283163025201</v>
      </c>
      <c r="BN540" s="21">
        <f t="shared" ca="1" si="853"/>
        <v>44.924283163025201</v>
      </c>
      <c r="BO540" s="21">
        <f t="shared" ca="1" si="853"/>
        <v>44.924283163025201</v>
      </c>
      <c r="BP540" s="613">
        <f ca="1">SUMPRODUCT(BI$476:BO$476,BI540:BO540)/BP$476</f>
        <v>44.924283163025194</v>
      </c>
    </row>
    <row r="541" spans="2:254" ht="13.2" customHeight="1">
      <c r="B541" s="308" t="s">
        <v>2243</v>
      </c>
      <c r="C541" s="297"/>
      <c r="D541" s="297"/>
      <c r="E541" s="297"/>
      <c r="F541" s="297"/>
      <c r="G541" s="3741"/>
      <c r="H541" s="3742"/>
      <c r="I541" s="3742"/>
      <c r="J541" s="3742"/>
      <c r="K541" s="3742"/>
      <c r="L541" s="3777"/>
      <c r="O541" s="39">
        <f>ROW()</f>
        <v>541</v>
      </c>
      <c r="P541" s="21">
        <f t="shared" ref="P541:W541" ca="1" si="854">SUM(P537:P540)</f>
        <v>71.653652865092496</v>
      </c>
      <c r="Q541" s="21">
        <f t="shared" ca="1" si="854"/>
        <v>74.607076764251275</v>
      </c>
      <c r="R541" s="21">
        <f t="shared" ca="1" si="854"/>
        <v>107.33860954891615</v>
      </c>
      <c r="S541" s="21">
        <f t="shared" ca="1" si="854"/>
        <v>100.34193862162488</v>
      </c>
      <c r="T541" s="21">
        <f t="shared" ca="1" si="854"/>
        <v>94.167905581401214</v>
      </c>
      <c r="U541" s="21">
        <f t="shared" ca="1" si="854"/>
        <v>112.99672877024754</v>
      </c>
      <c r="V541" s="21">
        <f t="shared" ca="1" si="854"/>
        <v>90.977493651098641</v>
      </c>
      <c r="W541" s="614">
        <f t="shared" ca="1" si="854"/>
        <v>100.33384406993787</v>
      </c>
      <c r="Y541" s="21">
        <f t="shared" ref="Y541:AF541" ca="1" si="855">SUM(Y537:Y540)</f>
        <v>71.653652865092496</v>
      </c>
      <c r="Z541" s="21">
        <f t="shared" ca="1" si="855"/>
        <v>74.607076764251275</v>
      </c>
      <c r="AA541" s="21">
        <f t="shared" ca="1" si="855"/>
        <v>107.33860954891615</v>
      </c>
      <c r="AB541" s="21">
        <f t="shared" ca="1" si="855"/>
        <v>100.34193862162488</v>
      </c>
      <c r="AC541" s="21">
        <f t="shared" ca="1" si="855"/>
        <v>94.167905581401214</v>
      </c>
      <c r="AD541" s="21">
        <f t="shared" ca="1" si="855"/>
        <v>112.99672877024754</v>
      </c>
      <c r="AE541" s="21">
        <f t="shared" ca="1" si="855"/>
        <v>90.977493651098641</v>
      </c>
      <c r="AF541" s="614">
        <f t="shared" ca="1" si="855"/>
        <v>100.16670596702153</v>
      </c>
      <c r="AH541" s="21">
        <f t="shared" ref="AH541:AO541" ca="1" si="856">SUM(AH537:AH540)</f>
        <v>64.355371470918072</v>
      </c>
      <c r="AI541" s="21">
        <f t="shared" ca="1" si="856"/>
        <v>73.198482648921456</v>
      </c>
      <c r="AJ541" s="21">
        <f t="shared" ca="1" si="856"/>
        <v>170.0966016552411</v>
      </c>
      <c r="AK541" s="21">
        <f t="shared" ca="1" si="856"/>
        <v>149.20226263777596</v>
      </c>
      <c r="AL541" s="21">
        <f t="shared" ca="1" si="856"/>
        <v>131.05756429897932</v>
      </c>
      <c r="AM541" s="21">
        <f t="shared" ca="1" si="856"/>
        <v>186.77921492798146</v>
      </c>
      <c r="AN541" s="21">
        <f t="shared" ca="1" si="856"/>
        <v>121.51082424847166</v>
      </c>
      <c r="AO541" s="614">
        <f t="shared" ca="1" si="856"/>
        <v>142.43628579288801</v>
      </c>
      <c r="AQ541" s="21">
        <f t="shared" ref="AQ541:AX541" ca="1" si="857">AQ537+AQ539</f>
        <v>12.557255184255887</v>
      </c>
      <c r="AR541" s="21">
        <f t="shared" ca="1" si="857"/>
        <v>13.668095620404141</v>
      </c>
      <c r="AS541" s="21">
        <f t="shared" ca="1" si="857"/>
        <v>29.312024775024646</v>
      </c>
      <c r="AT541" s="21">
        <f t="shared" ca="1" si="857"/>
        <v>26.514679053933566</v>
      </c>
      <c r="AU541" s="21">
        <f t="shared" ca="1" si="857"/>
        <v>23.163579078304736</v>
      </c>
      <c r="AV541" s="21">
        <f t="shared" ca="1" si="857"/>
        <v>32.220052004882319</v>
      </c>
      <c r="AW541" s="21">
        <f t="shared" ca="1" si="857"/>
        <v>21.945652344632911</v>
      </c>
      <c r="AX541" s="614">
        <f t="shared" ca="1" si="857"/>
        <v>24.797729743664334</v>
      </c>
      <c r="AZ541" s="21">
        <f t="shared" ref="AZ541:BG541" ca="1" si="858">SUM(AZ537:AZ540)</f>
        <v>68.840893692224654</v>
      </c>
      <c r="BA541" s="21">
        <f t="shared" ca="1" si="858"/>
        <v>71.093610738662193</v>
      </c>
      <c r="BB541" s="21">
        <f t="shared" ca="1" si="858"/>
        <v>100.23115876878404</v>
      </c>
      <c r="BC541" s="21">
        <f t="shared" ca="1" si="858"/>
        <v>94.686992325729889</v>
      </c>
      <c r="BD541" s="21">
        <f t="shared" ca="1" si="858"/>
        <v>88.689924205069246</v>
      </c>
      <c r="BE541" s="21">
        <f t="shared" ca="1" si="858"/>
        <v>105.52302336074507</v>
      </c>
      <c r="BF541" s="21">
        <f t="shared" ca="1" si="858"/>
        <v>86.233977668736429</v>
      </c>
      <c r="BG541" s="614">
        <f t="shared" ca="1" si="858"/>
        <v>93.68763921296717</v>
      </c>
      <c r="BI541" s="21">
        <f t="shared" ref="BI541:BP541" ca="1" si="859">SUM(BI537:BI540)</f>
        <v>79.068922721705263</v>
      </c>
      <c r="BJ541" s="21">
        <f t="shared" ca="1" si="859"/>
        <v>82.126256244113051</v>
      </c>
      <c r="BK541" s="21">
        <f t="shared" ca="1" si="859"/>
        <v>117.44850515817762</v>
      </c>
      <c r="BL541" s="21">
        <f t="shared" ca="1" si="859"/>
        <v>110.13409844443754</v>
      </c>
      <c r="BM541" s="21">
        <f t="shared" ca="1" si="859"/>
        <v>103.29856874812799</v>
      </c>
      <c r="BN541" s="21">
        <f t="shared" ca="1" si="859"/>
        <v>123.64244282778645</v>
      </c>
      <c r="BO541" s="21">
        <f t="shared" ca="1" si="859"/>
        <v>99.988158513554851</v>
      </c>
      <c r="BP541" s="614">
        <f t="shared" ca="1" si="859"/>
        <v>109.48034680391441</v>
      </c>
    </row>
    <row r="542" spans="2:254" ht="13.2" customHeight="1">
      <c r="B542" s="308"/>
      <c r="C542" s="297"/>
      <c r="D542" s="297"/>
      <c r="E542" s="297"/>
      <c r="F542" s="297"/>
      <c r="G542" s="280"/>
      <c r="O542" s="39">
        <f>ROW()</f>
        <v>542</v>
      </c>
      <c r="P542" s="21"/>
      <c r="Q542" s="21"/>
      <c r="R542" s="21"/>
      <c r="S542" s="21"/>
      <c r="T542" s="21"/>
      <c r="U542" s="21"/>
      <c r="V542" s="21"/>
      <c r="W542" s="634"/>
      <c r="Y542" s="21"/>
      <c r="Z542" s="21"/>
      <c r="AA542" s="21"/>
      <c r="AB542" s="21"/>
      <c r="AC542" s="21"/>
      <c r="AD542" s="21"/>
      <c r="AE542" s="21"/>
      <c r="AF542" s="634"/>
      <c r="AH542" s="21"/>
      <c r="AI542" s="21"/>
      <c r="AJ542" s="21"/>
      <c r="AK542" s="21"/>
      <c r="AL542" s="21"/>
      <c r="AM542" s="21"/>
      <c r="AN542" s="21"/>
      <c r="AO542" s="634"/>
      <c r="AQ542" s="21"/>
      <c r="AR542" s="21"/>
      <c r="AS542" s="21"/>
      <c r="AT542" s="21"/>
      <c r="AU542" s="21"/>
      <c r="AV542" s="21"/>
      <c r="AW542" s="21"/>
      <c r="AX542" s="634"/>
      <c r="AZ542" s="21"/>
      <c r="BA542" s="21"/>
      <c r="BB542" s="21"/>
      <c r="BC542" s="21"/>
      <c r="BD542" s="21"/>
      <c r="BE542" s="21"/>
      <c r="BF542" s="21"/>
      <c r="BG542" s="634"/>
      <c r="BI542" s="21"/>
      <c r="BJ542" s="21"/>
      <c r="BK542" s="21"/>
      <c r="BL542" s="21"/>
      <c r="BM542" s="21"/>
      <c r="BN542" s="21"/>
      <c r="BO542" s="21"/>
      <c r="BP542" s="634"/>
    </row>
    <row r="543" spans="2:254" ht="13.2" customHeight="1">
      <c r="B543" s="308" t="s">
        <v>1345</v>
      </c>
      <c r="G543" s="4285" t="s">
        <v>2351</v>
      </c>
      <c r="H543" s="3970"/>
      <c r="I543" s="3970"/>
      <c r="J543" s="3970"/>
      <c r="K543" s="3970"/>
      <c r="L543" s="3971"/>
      <c r="O543" s="39">
        <f>ROW()</f>
        <v>543</v>
      </c>
      <c r="P543" s="117">
        <f t="shared" ref="P543:W543" ca="1" si="860">P541/P491</f>
        <v>0.91855010346198218</v>
      </c>
      <c r="Q543" s="117">
        <f t="shared" ca="1" si="860"/>
        <v>0.92161796133141316</v>
      </c>
      <c r="R543" s="117">
        <f t="shared" ca="1" si="860"/>
        <v>0.87267612907741554</v>
      </c>
      <c r="S543" s="117">
        <f t="shared" ca="1" si="860"/>
        <v>0.89518853077343841</v>
      </c>
      <c r="T543" s="117">
        <f t="shared" ca="1" si="860"/>
        <v>0.91371736854676522</v>
      </c>
      <c r="U543" s="117">
        <f t="shared" ca="1" si="860"/>
        <v>0.86501364166678263</v>
      </c>
      <c r="V543" s="117">
        <f t="shared" ca="1" si="860"/>
        <v>0.91324525753101293</v>
      </c>
      <c r="W543" s="117">
        <f t="shared" ca="1" si="860"/>
        <v>0.88718361702675363</v>
      </c>
      <c r="Y543" s="117">
        <f t="shared" ref="Y543:AF543" ca="1" si="861">Y541/Y491</f>
        <v>0.91855010346198218</v>
      </c>
      <c r="Z543" s="117">
        <f t="shared" ca="1" si="861"/>
        <v>0.92161796133141316</v>
      </c>
      <c r="AA543" s="117">
        <f t="shared" ca="1" si="861"/>
        <v>0.87267612907741554</v>
      </c>
      <c r="AB543" s="117">
        <f t="shared" ca="1" si="861"/>
        <v>0.89518853077343841</v>
      </c>
      <c r="AC543" s="117">
        <f t="shared" ca="1" si="861"/>
        <v>0.91371736854676522</v>
      </c>
      <c r="AD543" s="117">
        <f t="shared" ca="1" si="861"/>
        <v>0.86501364166678263</v>
      </c>
      <c r="AE543" s="117">
        <f t="shared" ca="1" si="861"/>
        <v>0.91324525753101293</v>
      </c>
      <c r="AF543" s="117">
        <f t="shared" ca="1" si="861"/>
        <v>0.88723318203298995</v>
      </c>
      <c r="AH543" s="117">
        <f t="shared" ref="AH543:AO543" ca="1" si="862">AH541/AH491</f>
        <v>0.99975770182090429</v>
      </c>
      <c r="AI543" s="117">
        <f t="shared" ca="1" si="862"/>
        <v>1.0000919855268018</v>
      </c>
      <c r="AJ543" s="117">
        <f t="shared" ca="1" si="862"/>
        <v>0.85960786236121989</v>
      </c>
      <c r="AK543" s="117">
        <f t="shared" ca="1" si="862"/>
        <v>0.90267915282726874</v>
      </c>
      <c r="AL543" s="117">
        <f t="shared" ca="1" si="862"/>
        <v>0.94555020184465732</v>
      </c>
      <c r="AM543" s="117">
        <f t="shared" ca="1" si="862"/>
        <v>0.84747382935342008</v>
      </c>
      <c r="AN543" s="117">
        <f t="shared" ca="1" si="862"/>
        <v>0.94693693772023146</v>
      </c>
      <c r="AO543" s="117">
        <f t="shared" ca="1" si="862"/>
        <v>0.89115633173100406</v>
      </c>
      <c r="AQ543" s="117">
        <f t="shared" ref="AQ543:AX543" ca="1" si="863">AQ541/AQ491</f>
        <v>0.99873141785724429</v>
      </c>
      <c r="AR543" s="117">
        <f t="shared" ca="1" si="863"/>
        <v>0.9997447322495292</v>
      </c>
      <c r="AS543" s="117">
        <f t="shared" ca="1" si="863"/>
        <v>0.88457414138805546</v>
      </c>
      <c r="AT543" s="117">
        <f t="shared" ca="1" si="863"/>
        <v>0.92041189225426101</v>
      </c>
      <c r="AU543" s="117">
        <f t="shared" ca="1" si="863"/>
        <v>0.95149692043562528</v>
      </c>
      <c r="AV543" s="117">
        <f t="shared" ca="1" si="863"/>
        <v>0.87083796908670574</v>
      </c>
      <c r="AW543" s="117">
        <f t="shared" ca="1" si="863"/>
        <v>0.95406143182612813</v>
      </c>
      <c r="AX543" s="117">
        <f t="shared" ca="1" si="863"/>
        <v>0.91002374971413713</v>
      </c>
      <c r="AZ543" s="117">
        <f t="shared" ref="AZ543:BG543" ca="1" si="864">AZ541/AZ491</f>
        <v>0.91892096125935474</v>
      </c>
      <c r="BA543" s="117">
        <f t="shared" ca="1" si="864"/>
        <v>0.92143650588665993</v>
      </c>
      <c r="BB543" s="117">
        <f t="shared" ca="1" si="864"/>
        <v>0.87870979666573323</v>
      </c>
      <c r="BC543" s="117">
        <f t="shared" ca="1" si="864"/>
        <v>0.89812810000923549</v>
      </c>
      <c r="BD543" s="117">
        <f t="shared" ca="1" si="864"/>
        <v>0.91296106122646437</v>
      </c>
      <c r="BE543" s="117">
        <f t="shared" ca="1" si="864"/>
        <v>0.87062085654832833</v>
      </c>
      <c r="BF543" s="117">
        <f t="shared" ca="1" si="864"/>
        <v>0.91306061473923517</v>
      </c>
      <c r="BG543" s="117">
        <f t="shared" ca="1" si="864"/>
        <v>0.89035285413644838</v>
      </c>
      <c r="BI543" s="117">
        <f t="shared" ref="BI543:BP543" ca="1" si="865">BI541/BI491</f>
        <v>0.91414309264956639</v>
      </c>
      <c r="BJ543" s="117">
        <f t="shared" ca="1" si="865"/>
        <v>0.91712705154950336</v>
      </c>
      <c r="BK543" s="117">
        <f t="shared" ca="1" si="865"/>
        <v>0.87057620851177075</v>
      </c>
      <c r="BL543" s="117">
        <f t="shared" ca="1" si="865"/>
        <v>0.8919463658424589</v>
      </c>
      <c r="BM543" s="117">
        <f t="shared" ca="1" si="865"/>
        <v>0.90919337019013302</v>
      </c>
      <c r="BN543" s="117">
        <f t="shared" ca="1" si="865"/>
        <v>0.86280717902172543</v>
      </c>
      <c r="BO543" s="117">
        <f t="shared" ca="1" si="865"/>
        <v>0.90887283706761324</v>
      </c>
      <c r="BP543" s="117">
        <f t="shared" ca="1" si="865"/>
        <v>0.88426363039652711</v>
      </c>
      <c r="IT543" s="117"/>
    </row>
    <row r="544" spans="2:254" ht="13.2" customHeight="1">
      <c r="B544" s="280"/>
      <c r="G544" s="280"/>
      <c r="O544" s="39">
        <f>ROW()</f>
        <v>544</v>
      </c>
      <c r="P544" s="117"/>
      <c r="Q544" s="117"/>
      <c r="R544" s="117"/>
      <c r="S544" s="117"/>
      <c r="T544" s="117"/>
      <c r="U544" s="117"/>
      <c r="V544" s="117"/>
      <c r="W544" s="117"/>
      <c r="Y544" s="117"/>
      <c r="Z544" s="117"/>
      <c r="AA544" s="117"/>
      <c r="AB544" s="117"/>
      <c r="AC544" s="117"/>
      <c r="AD544" s="117"/>
      <c r="AE544" s="117"/>
      <c r="AF544" s="117"/>
      <c r="AH544" s="117"/>
      <c r="AI544" s="117"/>
      <c r="AJ544" s="117"/>
      <c r="AK544" s="117"/>
      <c r="AL544" s="117"/>
      <c r="AM544" s="117"/>
      <c r="AN544" s="117"/>
      <c r="AO544" s="117"/>
      <c r="AQ544" s="117"/>
      <c r="AR544" s="117"/>
      <c r="AS544" s="117"/>
      <c r="AT544" s="117"/>
      <c r="AU544" s="117"/>
      <c r="AV544" s="117"/>
      <c r="AW544" s="117"/>
      <c r="AX544" s="117"/>
      <c r="AZ544" s="117"/>
      <c r="BA544" s="117"/>
      <c r="BB544" s="117"/>
      <c r="BC544" s="117"/>
      <c r="BD544" s="117"/>
      <c r="BE544" s="117"/>
      <c r="BF544" s="117"/>
      <c r="BG544" s="117"/>
      <c r="BI544" s="117"/>
      <c r="BJ544" s="117"/>
      <c r="BK544" s="117"/>
      <c r="BL544" s="117"/>
      <c r="BM544" s="117"/>
      <c r="BN544" s="117"/>
      <c r="BO544" s="117"/>
      <c r="BP544" s="117"/>
    </row>
    <row r="545" spans="2:68" ht="13.2" customHeight="1">
      <c r="B545" s="308" t="s">
        <v>1571</v>
      </c>
      <c r="G545" s="280"/>
      <c r="O545" s="39">
        <f>ROW()</f>
        <v>545</v>
      </c>
      <c r="P545" s="117"/>
      <c r="Q545" s="117"/>
      <c r="R545" s="117"/>
      <c r="S545" s="117"/>
      <c r="T545" s="117"/>
      <c r="U545" s="117"/>
      <c r="V545" s="117"/>
      <c r="W545" s="117"/>
      <c r="Y545" s="117"/>
      <c r="Z545" s="117"/>
      <c r="AA545" s="117"/>
      <c r="AB545" s="117"/>
      <c r="AC545" s="117"/>
      <c r="AD545" s="117"/>
      <c r="AE545" s="117"/>
      <c r="AF545" s="117"/>
      <c r="AH545" s="117"/>
      <c r="AI545" s="117"/>
      <c r="AJ545" s="117"/>
      <c r="AK545" s="117"/>
      <c r="AL545" s="117"/>
      <c r="AM545" s="117"/>
      <c r="AN545" s="117"/>
      <c r="AO545" s="117"/>
      <c r="AQ545" s="117"/>
      <c r="AR545" s="117"/>
      <c r="AS545" s="117"/>
      <c r="AT545" s="117"/>
      <c r="AU545" s="117"/>
      <c r="AV545" s="117"/>
      <c r="AW545" s="117"/>
      <c r="AX545" s="117"/>
      <c r="AZ545" s="117"/>
      <c r="BA545" s="117"/>
      <c r="BB545" s="117"/>
      <c r="BC545" s="117"/>
      <c r="BD545" s="117"/>
      <c r="BE545" s="117"/>
      <c r="BF545" s="117"/>
      <c r="BG545" s="117"/>
      <c r="BI545" s="117"/>
      <c r="BJ545" s="117"/>
      <c r="BK545" s="117"/>
      <c r="BL545" s="117"/>
      <c r="BM545" s="117"/>
      <c r="BN545" s="117"/>
      <c r="BO545" s="117"/>
      <c r="BP545" s="117"/>
    </row>
    <row r="546" spans="2:68" ht="13.2" customHeight="1">
      <c r="B546" s="280" t="s">
        <v>2533</v>
      </c>
      <c r="G546" s="21">
        <f t="shared" ref="G546:M546" ca="1" si="866">AVERAGE(G$533,G$481,G$403)</f>
        <v>21.208651034574483</v>
      </c>
      <c r="H546" s="21">
        <f t="shared" ca="1" si="866"/>
        <v>21.006499623955833</v>
      </c>
      <c r="I546" s="21">
        <f t="shared" ca="1" si="866"/>
        <v>11.200370804815512</v>
      </c>
      <c r="J546" s="21">
        <f t="shared" ca="1" si="866"/>
        <v>11.652139401412105</v>
      </c>
      <c r="K546" s="21">
        <f t="shared" ca="1" si="866"/>
        <v>13.490280871515919</v>
      </c>
      <c r="L546" s="21">
        <f t="shared" ca="1" si="866"/>
        <v>10.015725219898982</v>
      </c>
      <c r="M546" s="21">
        <f t="shared" ca="1" si="866"/>
        <v>13.663211224064421</v>
      </c>
      <c r="O546" s="39">
        <f>ROW()</f>
        <v>546</v>
      </c>
      <c r="P546" s="21">
        <f t="shared" ref="P546:V547" ca="1" si="867">G546</f>
        <v>21.208651034574483</v>
      </c>
      <c r="Q546" s="21">
        <f t="shared" ca="1" si="867"/>
        <v>21.006499623955833</v>
      </c>
      <c r="R546" s="21">
        <f t="shared" ca="1" si="867"/>
        <v>11.200370804815512</v>
      </c>
      <c r="S546" s="21">
        <f t="shared" ca="1" si="867"/>
        <v>11.652139401412105</v>
      </c>
      <c r="T546" s="21">
        <f t="shared" ca="1" si="867"/>
        <v>13.490280871515919</v>
      </c>
      <c r="U546" s="21">
        <f t="shared" ca="1" si="867"/>
        <v>10.015725219898982</v>
      </c>
      <c r="V546" s="21">
        <f t="shared" ca="1" si="867"/>
        <v>13.663211224064421</v>
      </c>
      <c r="Y546" s="21">
        <f t="shared" ref="Y546:AE547" ca="1" si="868">G546</f>
        <v>21.208651034574483</v>
      </c>
      <c r="Z546" s="21">
        <f t="shared" ca="1" si="868"/>
        <v>21.006499623955833</v>
      </c>
      <c r="AA546" s="21">
        <f t="shared" ca="1" si="868"/>
        <v>11.200370804815512</v>
      </c>
      <c r="AB546" s="21">
        <f t="shared" ca="1" si="868"/>
        <v>11.652139401412105</v>
      </c>
      <c r="AC546" s="21">
        <f t="shared" ca="1" si="868"/>
        <v>13.490280871515919</v>
      </c>
      <c r="AD546" s="21">
        <f t="shared" ca="1" si="868"/>
        <v>10.015725219898982</v>
      </c>
      <c r="AE546" s="21">
        <f t="shared" ca="1" si="868"/>
        <v>13.663211224064421</v>
      </c>
      <c r="AH546" s="21">
        <f t="shared" ref="AH546:AN547" ca="1" si="869">P546</f>
        <v>21.208651034574483</v>
      </c>
      <c r="AI546" s="21">
        <f t="shared" ca="1" si="869"/>
        <v>21.006499623955833</v>
      </c>
      <c r="AJ546" s="21">
        <f t="shared" ca="1" si="869"/>
        <v>11.200370804815512</v>
      </c>
      <c r="AK546" s="21">
        <f t="shared" ca="1" si="869"/>
        <v>11.652139401412105</v>
      </c>
      <c r="AL546" s="21">
        <f t="shared" ca="1" si="869"/>
        <v>13.490280871515919</v>
      </c>
      <c r="AM546" s="21">
        <f t="shared" ca="1" si="869"/>
        <v>10.015725219898982</v>
      </c>
      <c r="AN546" s="21">
        <f t="shared" ca="1" si="869"/>
        <v>13.663211224064421</v>
      </c>
      <c r="AQ546" s="21">
        <f t="shared" ref="AQ546:AW546" ca="1" si="870">G546*$AU$181</f>
        <v>20.14821848284576</v>
      </c>
      <c r="AR546" s="21">
        <f t="shared" ca="1" si="870"/>
        <v>19.95617464275804</v>
      </c>
      <c r="AS546" s="21">
        <f t="shared" ca="1" si="870"/>
        <v>10.640352264574735</v>
      </c>
      <c r="AT546" s="21">
        <f t="shared" ca="1" si="870"/>
        <v>11.0695324313415</v>
      </c>
      <c r="AU546" s="21">
        <f t="shared" ca="1" si="870"/>
        <v>12.815766827940124</v>
      </c>
      <c r="AV546" s="21">
        <f t="shared" ca="1" si="870"/>
        <v>9.5149389589040325</v>
      </c>
      <c r="AW546" s="21">
        <f t="shared" ca="1" si="870"/>
        <v>12.980050662861199</v>
      </c>
      <c r="AZ546" s="21">
        <f t="shared" ref="AZ546:BF547" ca="1" si="871">G546</f>
        <v>21.208651034574483</v>
      </c>
      <c r="BA546" s="21">
        <f t="shared" ca="1" si="871"/>
        <v>21.006499623955833</v>
      </c>
      <c r="BB546" s="21">
        <f t="shared" ca="1" si="871"/>
        <v>11.200370804815512</v>
      </c>
      <c r="BC546" s="21">
        <f t="shared" ca="1" si="871"/>
        <v>11.652139401412105</v>
      </c>
      <c r="BD546" s="21">
        <f t="shared" ca="1" si="871"/>
        <v>13.490280871515919</v>
      </c>
      <c r="BE546" s="21">
        <f t="shared" ca="1" si="871"/>
        <v>10.015725219898982</v>
      </c>
      <c r="BF546" s="21">
        <f t="shared" ca="1" si="871"/>
        <v>13.663211224064421</v>
      </c>
      <c r="BG546" s="21"/>
      <c r="BI546" s="21">
        <f t="shared" ref="BI546:BO547" ca="1" si="872">G546</f>
        <v>21.208651034574483</v>
      </c>
      <c r="BJ546" s="21">
        <f t="shared" ca="1" si="872"/>
        <v>21.006499623955833</v>
      </c>
      <c r="BK546" s="21">
        <f t="shared" ca="1" si="872"/>
        <v>11.200370804815512</v>
      </c>
      <c r="BL546" s="21">
        <f t="shared" ca="1" si="872"/>
        <v>11.652139401412105</v>
      </c>
      <c r="BM546" s="21">
        <f t="shared" ca="1" si="872"/>
        <v>13.490280871515919</v>
      </c>
      <c r="BN546" s="21">
        <f t="shared" ca="1" si="872"/>
        <v>10.015725219898982</v>
      </c>
      <c r="BO546" s="21">
        <f t="shared" ca="1" si="872"/>
        <v>13.663211224064421</v>
      </c>
      <c r="BP546" s="21"/>
    </row>
    <row r="547" spans="2:68" ht="13.2" customHeight="1">
      <c r="B547" s="280" t="s">
        <v>2534</v>
      </c>
      <c r="G547" s="21">
        <f t="shared" ref="G547:M547" ca="1" si="873">AVERAGE(G$534,G$482,G$427)</f>
        <v>54.996497929781015</v>
      </c>
      <c r="H547" s="21">
        <f t="shared" ca="1" si="873"/>
        <v>47.643350993562457</v>
      </c>
      <c r="I547" s="21">
        <f t="shared" ca="1" si="873"/>
        <v>18.255399846552084</v>
      </c>
      <c r="J547" s="21">
        <f t="shared" ca="1" si="873"/>
        <v>21.594876090212342</v>
      </c>
      <c r="K547" s="21">
        <f t="shared" ca="1" si="873"/>
        <v>25.154335000017923</v>
      </c>
      <c r="L547" s="21">
        <f t="shared" ca="1" si="873"/>
        <v>16.476187019137583</v>
      </c>
      <c r="M547" s="21">
        <f t="shared" ca="1" si="873"/>
        <v>27.41584316931117</v>
      </c>
      <c r="O547" s="39">
        <f>ROW()</f>
        <v>547</v>
      </c>
      <c r="P547" s="21">
        <f t="shared" ca="1" si="867"/>
        <v>54.996497929781015</v>
      </c>
      <c r="Q547" s="21">
        <f t="shared" ca="1" si="867"/>
        <v>47.643350993562457</v>
      </c>
      <c r="R547" s="21">
        <f t="shared" ca="1" si="867"/>
        <v>18.255399846552084</v>
      </c>
      <c r="S547" s="21">
        <f t="shared" ca="1" si="867"/>
        <v>21.594876090212342</v>
      </c>
      <c r="T547" s="21">
        <f t="shared" ca="1" si="867"/>
        <v>25.154335000017923</v>
      </c>
      <c r="U547" s="21">
        <f t="shared" ca="1" si="867"/>
        <v>16.476187019137583</v>
      </c>
      <c r="V547" s="21">
        <f t="shared" ca="1" si="867"/>
        <v>27.41584316931117</v>
      </c>
      <c r="Y547" s="21">
        <f t="shared" ca="1" si="868"/>
        <v>54.996497929781015</v>
      </c>
      <c r="Z547" s="21">
        <f t="shared" ca="1" si="868"/>
        <v>47.643350993562457</v>
      </c>
      <c r="AA547" s="21">
        <f t="shared" ca="1" si="868"/>
        <v>18.255399846552084</v>
      </c>
      <c r="AB547" s="21">
        <f t="shared" ca="1" si="868"/>
        <v>21.594876090212342</v>
      </c>
      <c r="AC547" s="21">
        <f t="shared" ca="1" si="868"/>
        <v>25.154335000017923</v>
      </c>
      <c r="AD547" s="21">
        <f t="shared" ca="1" si="868"/>
        <v>16.476187019137583</v>
      </c>
      <c r="AE547" s="21">
        <f t="shared" ca="1" si="868"/>
        <v>27.41584316931117</v>
      </c>
      <c r="AH547" s="21">
        <f t="shared" ca="1" si="869"/>
        <v>54.996497929781015</v>
      </c>
      <c r="AI547" s="21">
        <f t="shared" ca="1" si="869"/>
        <v>47.643350993562457</v>
      </c>
      <c r="AJ547" s="21">
        <f t="shared" ca="1" si="869"/>
        <v>18.255399846552084</v>
      </c>
      <c r="AK547" s="21">
        <f t="shared" ca="1" si="869"/>
        <v>21.594876090212342</v>
      </c>
      <c r="AL547" s="21">
        <f t="shared" ca="1" si="869"/>
        <v>25.154335000017923</v>
      </c>
      <c r="AM547" s="21">
        <f t="shared" ca="1" si="869"/>
        <v>16.476187019137583</v>
      </c>
      <c r="AN547" s="21">
        <f t="shared" ca="1" si="869"/>
        <v>27.41584316931117</v>
      </c>
      <c r="AQ547" s="21">
        <f t="shared" ref="AQ547:AW547" ca="1" si="874">G547*$AV$181</f>
        <v>54.446532950483203</v>
      </c>
      <c r="AR547" s="21">
        <f t="shared" ca="1" si="874"/>
        <v>47.166917483626833</v>
      </c>
      <c r="AS547" s="21">
        <f t="shared" ca="1" si="874"/>
        <v>18.072845848086562</v>
      </c>
      <c r="AT547" s="21">
        <f t="shared" ca="1" si="874"/>
        <v>21.378927329310219</v>
      </c>
      <c r="AU547" s="21">
        <f t="shared" ca="1" si="874"/>
        <v>24.902791650017743</v>
      </c>
      <c r="AV547" s="21">
        <f t="shared" ca="1" si="874"/>
        <v>16.311425148946206</v>
      </c>
      <c r="AW547" s="21">
        <f t="shared" ca="1" si="874"/>
        <v>27.141684737618057</v>
      </c>
      <c r="AZ547" s="21">
        <f t="shared" ca="1" si="871"/>
        <v>54.996497929781015</v>
      </c>
      <c r="BA547" s="21">
        <f t="shared" ca="1" si="871"/>
        <v>47.643350993562457</v>
      </c>
      <c r="BB547" s="21">
        <f t="shared" ca="1" si="871"/>
        <v>18.255399846552084</v>
      </c>
      <c r="BC547" s="21">
        <f t="shared" ca="1" si="871"/>
        <v>21.594876090212342</v>
      </c>
      <c r="BD547" s="21">
        <f t="shared" ca="1" si="871"/>
        <v>25.154335000017923</v>
      </c>
      <c r="BE547" s="21">
        <f t="shared" ca="1" si="871"/>
        <v>16.476187019137583</v>
      </c>
      <c r="BF547" s="21">
        <f t="shared" ca="1" si="871"/>
        <v>27.41584316931117</v>
      </c>
      <c r="BG547" s="21"/>
      <c r="BI547" s="21">
        <f t="shared" ca="1" si="872"/>
        <v>54.996497929781015</v>
      </c>
      <c r="BJ547" s="21">
        <f t="shared" ca="1" si="872"/>
        <v>47.643350993562457</v>
      </c>
      <c r="BK547" s="21">
        <f t="shared" ca="1" si="872"/>
        <v>18.255399846552084</v>
      </c>
      <c r="BL547" s="21">
        <f t="shared" ca="1" si="872"/>
        <v>21.594876090212342</v>
      </c>
      <c r="BM547" s="21">
        <f t="shared" ca="1" si="872"/>
        <v>25.154335000017923</v>
      </c>
      <c r="BN547" s="21">
        <f t="shared" ca="1" si="872"/>
        <v>16.476187019137583</v>
      </c>
      <c r="BO547" s="21">
        <f t="shared" ca="1" si="872"/>
        <v>27.41584316931117</v>
      </c>
      <c r="BP547" s="21"/>
    </row>
    <row r="548" spans="2:68" ht="13.2" customHeight="1">
      <c r="B548" s="280"/>
      <c r="G548" s="280"/>
      <c r="O548" s="39">
        <f>ROW()</f>
        <v>548</v>
      </c>
      <c r="P548" s="117"/>
      <c r="Q548" s="117"/>
      <c r="R548" s="117"/>
      <c r="S548" s="117"/>
      <c r="T548" s="117"/>
      <c r="U548" s="117"/>
      <c r="V548" s="117"/>
      <c r="W548" s="117"/>
      <c r="Y548" s="117"/>
      <c r="Z548" s="117"/>
      <c r="AA548" s="117"/>
      <c r="AB548" s="117"/>
      <c r="AC548" s="117"/>
      <c r="AD548" s="117"/>
      <c r="AE548" s="117"/>
      <c r="AF548" s="117"/>
      <c r="AH548" s="117"/>
      <c r="AI548" s="117"/>
      <c r="AJ548" s="117"/>
      <c r="AK548" s="117"/>
      <c r="AL548" s="117"/>
      <c r="AM548" s="117"/>
      <c r="AN548" s="117"/>
      <c r="AO548" s="117"/>
      <c r="AQ548" s="117"/>
      <c r="AR548" s="117"/>
      <c r="AS548" s="117"/>
      <c r="AT548" s="117"/>
      <c r="AU548" s="117"/>
      <c r="AV548" s="117"/>
      <c r="AW548" s="117"/>
      <c r="AX548" s="117"/>
      <c r="AZ548" s="117"/>
      <c r="BA548" s="117"/>
      <c r="BB548" s="117"/>
      <c r="BC548" s="117"/>
      <c r="BD548" s="117"/>
      <c r="BE548" s="117"/>
      <c r="BF548" s="117"/>
      <c r="BG548" s="117"/>
      <c r="BI548" s="117"/>
      <c r="BJ548" s="117"/>
      <c r="BK548" s="117"/>
      <c r="BL548" s="117"/>
      <c r="BM548" s="117"/>
      <c r="BN548" s="117"/>
      <c r="BO548" s="117"/>
      <c r="BP548" s="117"/>
    </row>
    <row r="549" spans="2:68" ht="13.2" customHeight="1">
      <c r="B549" s="6" t="s">
        <v>1643</v>
      </c>
      <c r="G549" s="880" t="s">
        <v>1472</v>
      </c>
      <c r="H549" s="880" t="s">
        <v>1087</v>
      </c>
      <c r="I549" s="880" t="s">
        <v>2445</v>
      </c>
      <c r="J549" s="880" t="s">
        <v>1088</v>
      </c>
      <c r="K549" s="880" t="s">
        <v>1089</v>
      </c>
      <c r="L549" s="880" t="s">
        <v>1151</v>
      </c>
      <c r="M549" s="880" t="s">
        <v>1090</v>
      </c>
      <c r="N549" s="880" t="s">
        <v>2684</v>
      </c>
      <c r="O549" s="39">
        <f>ROW()</f>
        <v>549</v>
      </c>
      <c r="P549" s="117">
        <f ca="1">P543^Elasticities!$G$52</f>
        <v>1.0886722414281333</v>
      </c>
      <c r="Q549" s="117">
        <f ca="1">Q543^Elasticities!$G$52</f>
        <v>1.0850482976214486</v>
      </c>
      <c r="R549" s="117">
        <f ca="1">R543^Elasticities!$G$52</f>
        <v>1.1459004855067938</v>
      </c>
      <c r="S549" s="117">
        <f ca="1">S543^Elasticities!$G$52</f>
        <v>1.1170831234131262</v>
      </c>
      <c r="T549" s="117">
        <f ca="1">T543^Elasticities!$G$52</f>
        <v>1.0944303287026975</v>
      </c>
      <c r="U549" s="117">
        <f ca="1">U543^Elasticities!$G$52</f>
        <v>1.1560511324111769</v>
      </c>
      <c r="V549" s="117">
        <f ca="1">V543^Elasticities!$G$52</f>
        <v>1.0949961051027313</v>
      </c>
      <c r="Y549" s="117">
        <f ca="1">Y543^Elasticities!$H$52</f>
        <v>1.0886722414281333</v>
      </c>
      <c r="Z549" s="117">
        <f ca="1">Z543^Elasticities!$H$52</f>
        <v>1.0850482976214486</v>
      </c>
      <c r="AA549" s="117">
        <f ca="1">AA543^Elasticities!$H$52</f>
        <v>1.1459004855067938</v>
      </c>
      <c r="AB549" s="117">
        <f ca="1">AB543^Elasticities!$H$52</f>
        <v>1.1170831234131262</v>
      </c>
      <c r="AC549" s="117">
        <f ca="1">AC543^Elasticities!$H$52</f>
        <v>1.0944303287026975</v>
      </c>
      <c r="AD549" s="117">
        <f ca="1">AD543^Elasticities!$H$52</f>
        <v>1.1560511324111769</v>
      </c>
      <c r="AE549" s="117">
        <f ca="1">AE543^Elasticities!$H$52</f>
        <v>1.0949961051027313</v>
      </c>
      <c r="AH549" s="638">
        <f ca="1">AH543^Elasticities!$I$52</f>
        <v>1.0002423569017318</v>
      </c>
      <c r="AI549" s="117">
        <f ca="1">AI543^Elasticities!$I$52</f>
        <v>0.99990802293375713</v>
      </c>
      <c r="AJ549" s="117">
        <f ca="1">AJ543^Elasticities!$I$52</f>
        <v>1.1633211418671101</v>
      </c>
      <c r="AK549" s="117">
        <f ca="1">AK543^Elasticities!$I$52</f>
        <v>1.1078133319772745</v>
      </c>
      <c r="AL549" s="117">
        <f ca="1">AL543^Elasticities!$I$52</f>
        <v>1.0575853064693101</v>
      </c>
      <c r="AM549" s="117">
        <f ca="1">AM543^Elasticities!$I$52</f>
        <v>1.179977440439606</v>
      </c>
      <c r="AN549" s="117">
        <f ca="1">AN543^Elasticities!$I$52</f>
        <v>1.0560365322822012</v>
      </c>
      <c r="AQ549" s="638">
        <f ca="1">AQ543^Elasticities!$G$54</f>
        <v>1.0010160257842382</v>
      </c>
      <c r="AR549" s="638">
        <f ca="1">AR543^Elasticities!$G$54</f>
        <v>1.0002042611279267</v>
      </c>
      <c r="AS549" s="638">
        <f ca="1">AS543^Elasticities!$G$54</f>
        <v>1.1030942184178056</v>
      </c>
      <c r="AT549" s="638">
        <f ca="1">AT543^Elasticities!$G$54</f>
        <v>1.0685976700116007</v>
      </c>
      <c r="AU549" s="638">
        <f ca="1">AU543^Elasticities!$G$54</f>
        <v>1.0405766836993382</v>
      </c>
      <c r="AV549" s="638">
        <f ca="1">AV543^Elasticities!$G$54</f>
        <v>1.1169921344973737</v>
      </c>
      <c r="AW549" s="638">
        <f ca="1">AW543^Elasticities!$G$54</f>
        <v>1.0383384304786527</v>
      </c>
      <c r="AZ549" s="117">
        <f ca="1">AZ543^(Elasticities!$J$64*Elasticities!$G$52)</f>
        <v>1.0285860119605825</v>
      </c>
      <c r="BA549" s="117">
        <f ca="1">BA543^(Elasticities!$J$64*Elasticities!$G$52)</f>
        <v>1.0276491370621998</v>
      </c>
      <c r="BB549" s="117">
        <f ca="1">BB543^(Elasticities!$J$64*Elasticities!$G$52)</f>
        <v>1.044042498317433</v>
      </c>
      <c r="BC549" s="117">
        <f ca="1">BC543^(Elasticities!$J$64*Elasticities!$G$52)</f>
        <v>1.0364632435383472</v>
      </c>
      <c r="BD549" s="117">
        <f ca="1">BD543^(Elasticities!$J$64*Elasticities!$G$52)</f>
        <v>1.0308193961164454</v>
      </c>
      <c r="BE549" s="117">
        <f ca="1">BE543^(Elasticities!$J$64*Elasticities!$G$52)</f>
        <v>1.0472659361571588</v>
      </c>
      <c r="BF549" s="117">
        <f ca="1">BF543^(Elasticities!$J$64*Elasticities!$G$52)</f>
        <v>1.0307819303957715</v>
      </c>
      <c r="BI549" s="117">
        <f ca="1">BI543^Elasticities!$G$50</f>
        <v>1.0459066130981598</v>
      </c>
      <c r="BJ549" s="117">
        <f ca="1">BJ543^Elasticities!$G$50</f>
        <v>1.0442037492205698</v>
      </c>
      <c r="BK549" s="117">
        <f ca="1">BK543^Elasticities!$G$50</f>
        <v>1.0717576764030843</v>
      </c>
      <c r="BL549" s="117">
        <f ca="1">BL543^Elasticities!$G$50</f>
        <v>1.0588407081736892</v>
      </c>
      <c r="BM549" s="117">
        <f ca="1">BM543^Elasticities!$G$50</f>
        <v>1.0487497490066784</v>
      </c>
      <c r="BN549" s="117">
        <f ca="1">BN543^Elasticities!$G$50</f>
        <v>1.076572110824527</v>
      </c>
      <c r="BO549" s="117">
        <f ca="1">BO543^Elasticities!$G$50</f>
        <v>1.0489346645333171</v>
      </c>
    </row>
    <row r="550" spans="2:68" ht="13.2" customHeight="1">
      <c r="B550" s="6"/>
      <c r="G550" s="298" t="s">
        <v>1091</v>
      </c>
      <c r="H550" s="298" t="s">
        <v>1092</v>
      </c>
      <c r="I550" s="298" t="s">
        <v>1093</v>
      </c>
      <c r="J550" s="298" t="s">
        <v>1094</v>
      </c>
      <c r="K550" s="298" t="s">
        <v>1095</v>
      </c>
      <c r="L550" s="298" t="s">
        <v>1096</v>
      </c>
      <c r="M550" s="298" t="s">
        <v>1097</v>
      </c>
      <c r="N550" s="298"/>
      <c r="O550" s="39">
        <f>ROW()</f>
        <v>550</v>
      </c>
      <c r="P550" s="309"/>
      <c r="Y550" s="309"/>
      <c r="AH550" s="309"/>
      <c r="AQ550" s="215" t="s">
        <v>3304</v>
      </c>
      <c r="AZ550" s="309"/>
      <c r="BI550" s="309"/>
    </row>
    <row r="551" spans="2:68" ht="13.2" customHeight="1">
      <c r="B551" s="6" t="s">
        <v>1921</v>
      </c>
      <c r="O551" s="39">
        <f>ROW()</f>
        <v>551</v>
      </c>
      <c r="P551" s="117">
        <f ca="1">(P496/P546)^Elasticities!$G$52</f>
        <v>1.000963158491659</v>
      </c>
      <c r="Q551" s="117">
        <f ca="1">(Q496/Q546)^Elasticities!$G$52</f>
        <v>1.0002553469448809</v>
      </c>
      <c r="R551" s="117">
        <f ca="1">(R496/R546)^Elasticities!$G$52</f>
        <v>1.014099331114614</v>
      </c>
      <c r="S551" s="117">
        <f ca="1">(S496/S546)^Elasticities!$G$52</f>
        <v>1.0111575531929826</v>
      </c>
      <c r="T551" s="117">
        <f ca="1">(T496/T546)^Elasticities!$G$52</f>
        <v>1.0111227842990886</v>
      </c>
      <c r="U551" s="117">
        <f ca="1">(U496/U546)^Elasticities!$G$52</f>
        <v>1.0220790172557133</v>
      </c>
      <c r="V551" s="117">
        <f ca="1">(V496/V546)^Elasticities!$G$52</f>
        <v>1.0098456928528055</v>
      </c>
      <c r="Y551" s="117">
        <f ca="1">(Y496/Y546)^Elasticities!$H$52</f>
        <v>1.000963158491659</v>
      </c>
      <c r="Z551" s="117">
        <f ca="1">(Z496/Z546)^Elasticities!$H$52</f>
        <v>1.0002553469448809</v>
      </c>
      <c r="AA551" s="117">
        <f ca="1">(AA496/AA546)^Elasticities!$H$52</f>
        <v>1.014099331114614</v>
      </c>
      <c r="AB551" s="117">
        <f ca="1">(AB496/AB546)^Elasticities!$H$52</f>
        <v>1.0111575531929826</v>
      </c>
      <c r="AC551" s="117">
        <f ca="1">(AC496/AC546)^Elasticities!$H$52</f>
        <v>1.0111227842990886</v>
      </c>
      <c r="AD551" s="117">
        <f ca="1">(AD496/AD546)^Elasticities!$H$52</f>
        <v>1.0220790172557133</v>
      </c>
      <c r="AE551" s="117">
        <f ca="1">(AE496/AE546)^Elasticities!$H$52</f>
        <v>1.0098456928528055</v>
      </c>
      <c r="AH551" s="117">
        <f ca="1">(AH496/AH546)^Elasticities!$I$52</f>
        <v>1.000963158491659</v>
      </c>
      <c r="AI551" s="117">
        <f ca="1">(AI496/AI546)^Elasticities!$I$52</f>
        <v>1.0002553469448809</v>
      </c>
      <c r="AJ551" s="117">
        <f ca="1">(AJ496/AJ546)^Elasticities!$I$52</f>
        <v>1.014099331114614</v>
      </c>
      <c r="AK551" s="117">
        <f ca="1">(AK496/AK546)^Elasticities!$I$52</f>
        <v>1.0111575531929826</v>
      </c>
      <c r="AL551" s="117">
        <f ca="1">(AL496/AL546)^Elasticities!$I$52</f>
        <v>1.0111227842990886</v>
      </c>
      <c r="AM551" s="117">
        <f ca="1">(AM496/AM546)^Elasticities!$I$52</f>
        <v>1.0220790172557133</v>
      </c>
      <c r="AN551" s="117">
        <f ca="1">(AN496/AN546)^Elasticities!$I$52</f>
        <v>1.0098456928528055</v>
      </c>
      <c r="AQ551" s="117">
        <f ca="1">(AQ496/AQ546)^Elasticities!$G$54</f>
        <v>1.0007704526079615</v>
      </c>
      <c r="AR551" s="117">
        <f ca="1">(AR496/AR546)^Elasticities!$G$54</f>
        <v>1.0002042723402724</v>
      </c>
      <c r="AS551" s="117">
        <f ca="1">(AS496/AS546)^Elasticities!$G$54</f>
        <v>1.0112636506016666</v>
      </c>
      <c r="AT551" s="117">
        <f ca="1">(AT496/AT546)^Elasticities!$G$54</f>
        <v>1.0089161274525698</v>
      </c>
      <c r="AU551" s="117">
        <f ca="1">(AU496/AU546)^Elasticities!$G$54</f>
        <v>1.0088883738995897</v>
      </c>
      <c r="AV551" s="117">
        <f ca="1">(AV496/AV546)^Elasticities!$G$54</f>
        <v>1.0176245554607359</v>
      </c>
      <c r="AW551" s="117">
        <f ca="1">(AW496/AW546)^Elasticities!$G$54</f>
        <v>1.0078688296458658</v>
      </c>
      <c r="AZ551" s="117">
        <f ca="1">(AZ496/AZ546)^(Elasticities!$J$64*Elasticities!$G$52)</f>
        <v>1.0003209498107517</v>
      </c>
      <c r="BA551" s="117">
        <f ca="1">(BA496/BA546)^(Elasticities!$J$64*Elasticities!$G$52)</f>
        <v>1.0000851084046476</v>
      </c>
      <c r="BB551" s="117">
        <f ca="1">(BB496/BB546)^(Elasticities!$J$64*Elasticities!$G$52)</f>
        <v>1.0046778605380848</v>
      </c>
      <c r="BC551" s="117">
        <f ca="1">(BC496/BC546)^(Elasticities!$J$64*Elasticities!$G$52)</f>
        <v>1.0037054371741319</v>
      </c>
      <c r="BD551" s="117">
        <f ca="1">(BD496/BD546)^(Elasticities!$J$64*Elasticities!$G$52)</f>
        <v>1.0036939328252357</v>
      </c>
      <c r="BE551" s="117">
        <f ca="1">(BE496/BE546)^(Elasticities!$J$64*Elasticities!$G$52)</f>
        <v>1.0073061624084274</v>
      </c>
      <c r="BF551" s="117">
        <f ca="1">(BF496/BF546)^(Elasticities!$J$64*Elasticities!$G$52)</f>
        <v>1.0032711852964185</v>
      </c>
      <c r="BI551" s="117">
        <f ca="1">(BI496/BI546)^Elasticities!$G$50</f>
        <v>1.0004814633423544</v>
      </c>
      <c r="BJ551" s="117">
        <f ca="1">(BJ496/BJ546)^Elasticities!$G$50</f>
        <v>1.0001276653232232</v>
      </c>
      <c r="BK551" s="117">
        <f ca="1">(BK496/BK546)^Elasticities!$G$50</f>
        <v>1.0070249903128592</v>
      </c>
      <c r="BL551" s="117">
        <f ca="1">(BL496/BL546)^Elasticities!$G$50</f>
        <v>1.0055633014350627</v>
      </c>
      <c r="BM551" s="117">
        <f ca="1">(BM496/BM546)^Elasticities!$G$50</f>
        <v>1.005546013019339</v>
      </c>
      <c r="BN551" s="117">
        <f ca="1">(BN496/BN546)^Elasticities!$G$50</f>
        <v>1.01097923680742</v>
      </c>
      <c r="BO551" s="117">
        <f ca="1">(BO496/BO546)^Elasticities!$G$50</f>
        <v>1.0049107885045345</v>
      </c>
    </row>
    <row r="552" spans="2:68" ht="13.2" customHeight="1">
      <c r="O552" s="39">
        <f>ROW()</f>
        <v>552</v>
      </c>
      <c r="P552" s="309" t="s">
        <v>529</v>
      </c>
      <c r="Y552" s="309" t="s">
        <v>530</v>
      </c>
      <c r="AH552" s="309" t="s">
        <v>2922</v>
      </c>
      <c r="AQ552" s="215" t="s">
        <v>3299</v>
      </c>
      <c r="AZ552" s="215" t="s">
        <v>3305</v>
      </c>
      <c r="BI552" s="215" t="s">
        <v>3306</v>
      </c>
    </row>
    <row r="553" spans="2:68" ht="13.2" customHeight="1">
      <c r="B553" s="6" t="s">
        <v>2164</v>
      </c>
      <c r="G553" s="633">
        <f t="shared" ref="G553:M553" ca="1" si="875">($I$76*$I$79*P553+$J$76*$J$79*Y553+$K$76*$K$79*AH553+$L$76*$L$79*AQ553+$M$76*$M$79*AZ553+$N$76*$N$79*BI553)/SUMPRODUCT($I$76:$N$76,$I$79:$N$79)</f>
        <v>0.99993900393780066</v>
      </c>
      <c r="H553" s="633">
        <f t="shared" ca="1" si="875"/>
        <v>0.99840650856911806</v>
      </c>
      <c r="I553" s="633">
        <f t="shared" ca="1" si="875"/>
        <v>1.0431063813324997</v>
      </c>
      <c r="J553" s="633">
        <f t="shared" ca="1" si="875"/>
        <v>1.0288620806606972</v>
      </c>
      <c r="K553" s="633">
        <f t="shared" ca="1" si="875"/>
        <v>1.0158025884640607</v>
      </c>
      <c r="L553" s="633">
        <f t="shared" ca="1" si="875"/>
        <v>1.0484671579418654</v>
      </c>
      <c r="M553" s="633">
        <f t="shared" ca="1" si="875"/>
        <v>1.0145814531727719</v>
      </c>
      <c r="O553" s="39">
        <f>ROW()</f>
        <v>553</v>
      </c>
      <c r="P553" s="117">
        <f ca="1">(P497/P547)^Elasticities!$G$52</f>
        <v>0.99993632599601845</v>
      </c>
      <c r="Q553" s="117">
        <f ca="1">(Q497/Q547)^Elasticities!$G$52</f>
        <v>0.99833657441580481</v>
      </c>
      <c r="R553" s="117">
        <f ca="1">(R497/R547)^Elasticities!$G$52</f>
        <v>1.0450180809317551</v>
      </c>
      <c r="S553" s="117">
        <f ca="1">(S497/S547)^Elasticities!$G$52</f>
        <v>1.0301378908898922</v>
      </c>
      <c r="T553" s="117">
        <f ca="1">(T497/T547)^Elasticities!$G$52</f>
        <v>1.0164989960786577</v>
      </c>
      <c r="U553" s="117">
        <f ca="1">(U497/U547)^Elasticities!$G$52</f>
        <v>1.0506192145409248</v>
      </c>
      <c r="V553" s="117">
        <f ca="1">(V497/V547)^Elasticities!$G$52</f>
        <v>1.0152238616847811</v>
      </c>
      <c r="Y553" s="117">
        <f ca="1">(Y497/Y547)^Elasticities!$H$52</f>
        <v>0.99993632599601845</v>
      </c>
      <c r="Z553" s="117">
        <f ca="1">(Z497/Z547)^Elasticities!$H$52</f>
        <v>0.99833657441580481</v>
      </c>
      <c r="AA553" s="117">
        <f ca="1">(AA497/AA547)^Elasticities!$H$52</f>
        <v>1.0450180809317551</v>
      </c>
      <c r="AB553" s="117">
        <f ca="1">(AB497/AB547)^Elasticities!$H$52</f>
        <v>1.0301378908898922</v>
      </c>
      <c r="AC553" s="117">
        <f ca="1">(AC497/AC547)^Elasticities!$H$52</f>
        <v>1.0164989960786577</v>
      </c>
      <c r="AD553" s="117">
        <f ca="1">(AD497/AD547)^Elasticities!$H$52</f>
        <v>1.0506192145409248</v>
      </c>
      <c r="AE553" s="117">
        <f ca="1">(AE497/AE547)^Elasticities!$H$52</f>
        <v>1.0152238616847811</v>
      </c>
      <c r="AH553" s="117">
        <f ca="1">(AH497/AH547)^Elasticities!$I$52</f>
        <v>0.99993632599601845</v>
      </c>
      <c r="AI553" s="117">
        <f ca="1">(AI497/AI547)^Elasticities!$I$52</f>
        <v>0.99833657441580481</v>
      </c>
      <c r="AJ553" s="117">
        <f ca="1">(AJ497/AJ547)^Elasticities!$I$52</f>
        <v>1.0450180809317551</v>
      </c>
      <c r="AK553" s="117">
        <f ca="1">(AK497/AK547)^Elasticities!$I$52</f>
        <v>1.0301378908898922</v>
      </c>
      <c r="AL553" s="117">
        <f ca="1">(AL497/AL547)^Elasticities!$I$52</f>
        <v>1.0164989960786577</v>
      </c>
      <c r="AM553" s="117">
        <f ca="1">(AM497/AM547)^Elasticities!$I$52</f>
        <v>1.0506192145409248</v>
      </c>
      <c r="AN553" s="117">
        <f ca="1">(AN497/AN547)^Elasticities!$I$52</f>
        <v>1.0152238616847811</v>
      </c>
      <c r="AQ553" s="117">
        <f ca="1">(AQ497/AQ547)^Elasticities!$G$54</f>
        <v>0.99994906047245624</v>
      </c>
      <c r="AR553" s="117">
        <f ca="1">(AR497/AR547)^Elasticities!$G$54</f>
        <v>0.99866903802644946</v>
      </c>
      <c r="AS553" s="117">
        <f ca="1">(AS497/AS547)^Elasticities!$G$54</f>
        <v>1.0358551837850181</v>
      </c>
      <c r="AT553" s="117">
        <f ca="1">(AT497/AT547)^Elasticities!$G$54</f>
        <v>1.0240385110375163</v>
      </c>
      <c r="AU553" s="117">
        <f ca="1">(AU497/AU547)^Elasticities!$G$54</f>
        <v>1.0131775619443797</v>
      </c>
      <c r="AV553" s="117">
        <f ca="1">(AV497/AV547)^Elasticities!$G$54</f>
        <v>1.0402944257662514</v>
      </c>
      <c r="AW553" s="117">
        <f ca="1">(AW497/AW547)^Elasticities!$G$54</f>
        <v>1.0121606600423148</v>
      </c>
      <c r="AZ553" s="117">
        <f ca="1">(AZ497/AZ547)^(Elasticities!$J$64*Elasticities!$G$52)</f>
        <v>0.99997877488150366</v>
      </c>
      <c r="BA553" s="117">
        <f ca="1">(BA497/BA547)^(Elasticities!$J$64*Elasticities!$G$52)</f>
        <v>0.99944521707809553</v>
      </c>
      <c r="BB553" s="117">
        <f ca="1">(BB497/BB547)^(Elasticities!$J$64*Elasticities!$G$52)</f>
        <v>1.0147863142847393</v>
      </c>
      <c r="BC553" s="117">
        <f ca="1">(BC497/BC547)^(Elasticities!$J$64*Elasticities!$G$52)</f>
        <v>1.0099466987817383</v>
      </c>
      <c r="BD553" s="117">
        <f ca="1">(BD497/BD547)^(Elasticities!$J$64*Elasticities!$G$52)</f>
        <v>1.0054696932685039</v>
      </c>
      <c r="BE553" s="117">
        <f ca="1">(BE497/BE547)^(Elasticities!$J$64*Elasticities!$G$52)</f>
        <v>1.0165961167276933</v>
      </c>
      <c r="BF553" s="117">
        <f ca="1">(BF497/BF547)^(Elasticities!$J$64*Elasticities!$G$52)</f>
        <v>1.0050490844024282</v>
      </c>
      <c r="BI553" s="117">
        <f ca="1">(BI497/BI547)^Elasticities!$G$50</f>
        <v>0.99996816249119569</v>
      </c>
      <c r="BJ553" s="117">
        <f ca="1">(BJ497/BJ547)^Elasticities!$G$50</f>
        <v>0.99916794104685169</v>
      </c>
      <c r="BK553" s="117">
        <f ca="1">(BK497/BK547)^Elasticities!$G$50</f>
        <v>1.0222612586475901</v>
      </c>
      <c r="BL553" s="117">
        <f ca="1">(BL497/BL547)^Elasticities!$G$50</f>
        <v>1.0149570882012167</v>
      </c>
      <c r="BM553" s="117">
        <f ca="1">(BM497/BM547)^Elasticities!$G$50</f>
        <v>1.0082157487753589</v>
      </c>
      <c r="BN553" s="117">
        <f ca="1">(BN497/BN547)^Elasticities!$G$50</f>
        <v>1.0249971778209561</v>
      </c>
      <c r="BO553" s="117">
        <f ca="1">(BO497/BO547)^Elasticities!$G$50</f>
        <v>1.0075831785439755</v>
      </c>
    </row>
    <row r="554" spans="2:68" ht="13.2" customHeight="1">
      <c r="B554" s="43"/>
      <c r="O554" s="39">
        <f>ROW()</f>
        <v>554</v>
      </c>
      <c r="P554" s="309" t="s">
        <v>2879</v>
      </c>
      <c r="Y554" s="309" t="s">
        <v>2842</v>
      </c>
      <c r="AH554" s="309" t="s">
        <v>2808</v>
      </c>
      <c r="AQ554" s="215" t="s">
        <v>3300</v>
      </c>
      <c r="AZ554" s="309" t="s">
        <v>2903</v>
      </c>
      <c r="BI554" s="309" t="s">
        <v>91</v>
      </c>
    </row>
    <row r="555" spans="2:68" ht="13.2" customHeight="1">
      <c r="B555" s="24" t="s">
        <v>226</v>
      </c>
      <c r="I555" s="4348" t="s">
        <v>1424</v>
      </c>
      <c r="J555" s="4348"/>
      <c r="K555" s="4348"/>
      <c r="L555" s="4348"/>
      <c r="M555" s="4348"/>
      <c r="N555" s="6"/>
      <c r="O555" s="39">
        <f>ROW()</f>
        <v>555</v>
      </c>
      <c r="P555" s="880" t="s">
        <v>1472</v>
      </c>
      <c r="Q555" s="880" t="s">
        <v>615</v>
      </c>
      <c r="R555" s="880" t="s">
        <v>2445</v>
      </c>
      <c r="S555" s="880" t="s">
        <v>616</v>
      </c>
      <c r="T555" s="880" t="s">
        <v>1152</v>
      </c>
      <c r="U555" s="880" t="s">
        <v>1151</v>
      </c>
      <c r="V555" s="880" t="s">
        <v>617</v>
      </c>
      <c r="W555" s="880" t="s">
        <v>2684</v>
      </c>
      <c r="Y555" s="880" t="s">
        <v>1472</v>
      </c>
      <c r="Z555" s="880" t="s">
        <v>615</v>
      </c>
      <c r="AA555" s="880" t="s">
        <v>2445</v>
      </c>
      <c r="AB555" s="880" t="s">
        <v>616</v>
      </c>
      <c r="AC555" s="880" t="s">
        <v>1152</v>
      </c>
      <c r="AD555" s="880" t="s">
        <v>1151</v>
      </c>
      <c r="AE555" s="880" t="s">
        <v>617</v>
      </c>
      <c r="AF555" s="880" t="s">
        <v>2684</v>
      </c>
      <c r="AH555" s="880" t="s">
        <v>1472</v>
      </c>
      <c r="AI555" s="880" t="s">
        <v>615</v>
      </c>
      <c r="AJ555" s="880" t="s">
        <v>2445</v>
      </c>
      <c r="AK555" s="880" t="s">
        <v>616</v>
      </c>
      <c r="AL555" s="880" t="s">
        <v>1152</v>
      </c>
      <c r="AM555" s="880" t="s">
        <v>1151</v>
      </c>
      <c r="AN555" s="880" t="s">
        <v>617</v>
      </c>
      <c r="AO555" s="880" t="s">
        <v>2684</v>
      </c>
      <c r="AQ555" s="880" t="s">
        <v>1472</v>
      </c>
      <c r="AR555" s="880" t="s">
        <v>615</v>
      </c>
      <c r="AS555" s="880" t="s">
        <v>2445</v>
      </c>
      <c r="AT555" s="880" t="s">
        <v>616</v>
      </c>
      <c r="AU555" s="880" t="s">
        <v>1152</v>
      </c>
      <c r="AV555" s="880" t="s">
        <v>1151</v>
      </c>
      <c r="AW555" s="880" t="s">
        <v>617</v>
      </c>
      <c r="AX555" s="880" t="s">
        <v>2684</v>
      </c>
      <c r="AZ555" s="880" t="s">
        <v>1472</v>
      </c>
      <c r="BA555" s="880" t="s">
        <v>615</v>
      </c>
      <c r="BB555" s="880" t="s">
        <v>2445</v>
      </c>
      <c r="BC555" s="880" t="s">
        <v>616</v>
      </c>
      <c r="BD555" s="880" t="s">
        <v>1152</v>
      </c>
      <c r="BE555" s="880" t="s">
        <v>1151</v>
      </c>
      <c r="BF555" s="880" t="s">
        <v>617</v>
      </c>
      <c r="BG555" s="880" t="s">
        <v>2684</v>
      </c>
      <c r="BI555" s="880" t="s">
        <v>1472</v>
      </c>
      <c r="BJ555" s="880" t="s">
        <v>615</v>
      </c>
      <c r="BK555" s="880" t="s">
        <v>2445</v>
      </c>
      <c r="BL555" s="880" t="s">
        <v>616</v>
      </c>
      <c r="BM555" s="880" t="s">
        <v>1152</v>
      </c>
      <c r="BN555" s="880" t="s">
        <v>1151</v>
      </c>
      <c r="BO555" s="880" t="s">
        <v>617</v>
      </c>
      <c r="BP555" s="880" t="s">
        <v>2684</v>
      </c>
    </row>
    <row r="556" spans="2:68" ht="13.2" customHeight="1">
      <c r="H556" s="6"/>
      <c r="I556" s="4348"/>
      <c r="J556" s="4348"/>
      <c r="K556" s="4348"/>
      <c r="L556" s="4348"/>
      <c r="M556" s="4348"/>
      <c r="N556" s="6"/>
      <c r="O556" s="39">
        <f>ROW()</f>
        <v>556</v>
      </c>
      <c r="P556" s="298" t="s">
        <v>2678</v>
      </c>
      <c r="Q556" s="298" t="s">
        <v>665</v>
      </c>
      <c r="R556" s="298" t="s">
        <v>666</v>
      </c>
      <c r="S556" s="298" t="s">
        <v>667</v>
      </c>
      <c r="T556" s="298" t="s">
        <v>668</v>
      </c>
      <c r="U556" s="298" t="s">
        <v>434</v>
      </c>
      <c r="V556" s="298" t="s">
        <v>435</v>
      </c>
      <c r="W556" s="298"/>
      <c r="Y556" s="298" t="s">
        <v>2678</v>
      </c>
      <c r="Z556" s="298" t="s">
        <v>665</v>
      </c>
      <c r="AA556" s="298" t="s">
        <v>666</v>
      </c>
      <c r="AB556" s="298" t="s">
        <v>667</v>
      </c>
      <c r="AC556" s="298" t="s">
        <v>668</v>
      </c>
      <c r="AD556" s="298" t="s">
        <v>434</v>
      </c>
      <c r="AE556" s="298" t="s">
        <v>435</v>
      </c>
      <c r="AF556" s="298"/>
      <c r="AH556" s="298" t="s">
        <v>2678</v>
      </c>
      <c r="AI556" s="298" t="s">
        <v>665</v>
      </c>
      <c r="AJ556" s="298" t="s">
        <v>666</v>
      </c>
      <c r="AK556" s="298" t="s">
        <v>667</v>
      </c>
      <c r="AL556" s="298" t="s">
        <v>668</v>
      </c>
      <c r="AM556" s="298" t="s">
        <v>434</v>
      </c>
      <c r="AN556" s="298" t="s">
        <v>435</v>
      </c>
      <c r="AO556" s="298"/>
      <c r="AQ556" s="298" t="s">
        <v>2678</v>
      </c>
      <c r="AR556" s="298" t="s">
        <v>665</v>
      </c>
      <c r="AS556" s="298" t="s">
        <v>666</v>
      </c>
      <c r="AT556" s="298" t="s">
        <v>667</v>
      </c>
      <c r="AU556" s="298" t="s">
        <v>668</v>
      </c>
      <c r="AV556" s="298" t="s">
        <v>434</v>
      </c>
      <c r="AW556" s="298" t="s">
        <v>435</v>
      </c>
      <c r="AX556" s="298"/>
      <c r="AZ556" s="298" t="s">
        <v>2678</v>
      </c>
      <c r="BA556" s="298" t="s">
        <v>665</v>
      </c>
      <c r="BB556" s="298" t="s">
        <v>666</v>
      </c>
      <c r="BC556" s="298" t="s">
        <v>667</v>
      </c>
      <c r="BD556" s="298" t="s">
        <v>668</v>
      </c>
      <c r="BE556" s="298" t="s">
        <v>434</v>
      </c>
      <c r="BF556" s="298" t="s">
        <v>435</v>
      </c>
      <c r="BG556" s="298"/>
      <c r="BI556" s="298" t="s">
        <v>2678</v>
      </c>
      <c r="BJ556" s="298" t="s">
        <v>665</v>
      </c>
      <c r="BK556" s="298" t="s">
        <v>666</v>
      </c>
      <c r="BL556" s="298" t="s">
        <v>667</v>
      </c>
      <c r="BM556" s="298" t="s">
        <v>668</v>
      </c>
      <c r="BN556" s="298" t="s">
        <v>434</v>
      </c>
      <c r="BO556" s="298" t="s">
        <v>435</v>
      </c>
      <c r="BP556" s="298"/>
    </row>
    <row r="557" spans="2:68" ht="13.2" customHeight="1">
      <c r="B557" s="308" t="s">
        <v>112</v>
      </c>
      <c r="O557" s="39">
        <f>ROW()</f>
        <v>557</v>
      </c>
    </row>
    <row r="558" spans="2:68" ht="13.2" customHeight="1">
      <c r="B558" s="280" t="s">
        <v>2662</v>
      </c>
      <c r="G558" s="1122">
        <f t="shared" ref="G558:M558" ca="1" si="876">P558+Y558+AH558+AQ558+AZ558+BI558</f>
        <v>53182.629170606582</v>
      </c>
      <c r="H558" s="1122">
        <f t="shared" ca="1" si="876"/>
        <v>16986.075341977561</v>
      </c>
      <c r="I558" s="1122">
        <f t="shared" ca="1" si="876"/>
        <v>109566.0677679443</v>
      </c>
      <c r="J558" s="1122">
        <f t="shared" ca="1" si="876"/>
        <v>32667.769693753602</v>
      </c>
      <c r="K558" s="1122">
        <f t="shared" ca="1" si="876"/>
        <v>113496.92865034138</v>
      </c>
      <c r="L558" s="1122">
        <f t="shared" ca="1" si="876"/>
        <v>168730.5403063485</v>
      </c>
      <c r="M558" s="1122">
        <f t="shared" ca="1" si="876"/>
        <v>57917.76987451037</v>
      </c>
      <c r="N558" s="186">
        <f ca="1">SUM(G558:M558)</f>
        <v>552547.7808054823</v>
      </c>
      <c r="O558" s="39">
        <f>ROW()</f>
        <v>558</v>
      </c>
      <c r="P558" s="10">
        <f t="shared" ref="P558:V558" ca="1" si="877">P511</f>
        <v>9045.3915885691295</v>
      </c>
      <c r="Q558" s="10">
        <f t="shared" ca="1" si="877"/>
        <v>9575.1969985519409</v>
      </c>
      <c r="R558" s="10">
        <f t="shared" ca="1" si="877"/>
        <v>62413.236505595247</v>
      </c>
      <c r="S558" s="10">
        <f t="shared" ca="1" si="877"/>
        <v>15082.838322087222</v>
      </c>
      <c r="T558" s="10">
        <f t="shared" ca="1" si="877"/>
        <v>44901.788717475705</v>
      </c>
      <c r="U558" s="10">
        <f t="shared" ca="1" si="877"/>
        <v>44344.415502607932</v>
      </c>
      <c r="V558" s="10">
        <f t="shared" ca="1" si="877"/>
        <v>12519.219794002809</v>
      </c>
      <c r="W558" s="10">
        <f ca="1">SUM(P558:V558)</f>
        <v>197882.08742888996</v>
      </c>
      <c r="Y558" s="10">
        <f t="shared" ref="Y558:AE558" ca="1" si="878">Y511</f>
        <v>15850.454283110348</v>
      </c>
      <c r="Z558" s="10">
        <f t="shared" ca="1" si="878"/>
        <v>1162.7700957154498</v>
      </c>
      <c r="AA558" s="10">
        <f t="shared" ca="1" si="878"/>
        <v>12569.055248046798</v>
      </c>
      <c r="AB558" s="10">
        <f t="shared" ca="1" si="878"/>
        <v>7472.1766129543466</v>
      </c>
      <c r="AC558" s="10">
        <f t="shared" ca="1" si="878"/>
        <v>31104.238518187911</v>
      </c>
      <c r="AD558" s="10">
        <f t="shared" ca="1" si="878"/>
        <v>60749.909845460927</v>
      </c>
      <c r="AE558" s="10">
        <f t="shared" ca="1" si="878"/>
        <v>18682.411231744256</v>
      </c>
      <c r="AF558" s="10">
        <f ca="1">SUM(Y558:AE558)</f>
        <v>147591.01583522002</v>
      </c>
      <c r="AH558" s="10">
        <f t="shared" ref="AH558:AN558" ca="1" si="879">AH511</f>
        <v>17569.870643676451</v>
      </c>
      <c r="AI558" s="10">
        <f t="shared" ca="1" si="879"/>
        <v>2258.2513229251003</v>
      </c>
      <c r="AJ558" s="10">
        <f t="shared" ca="1" si="879"/>
        <v>9295.8495448765061</v>
      </c>
      <c r="AK558" s="10">
        <f t="shared" ca="1" si="879"/>
        <v>2744.4687406734406</v>
      </c>
      <c r="AL558" s="10">
        <f t="shared" ca="1" si="879"/>
        <v>13704.847011502929</v>
      </c>
      <c r="AM558" s="10">
        <f t="shared" ca="1" si="879"/>
        <v>24597.768585521171</v>
      </c>
      <c r="AN558" s="10">
        <f t="shared" ca="1" si="879"/>
        <v>13413.39543666711</v>
      </c>
      <c r="AO558" s="10">
        <f ca="1">SUM(AH558:AN558)</f>
        <v>83584.451285842704</v>
      </c>
      <c r="AQ558" s="10">
        <f t="shared" ref="AQ558:AW558" ca="1" si="880">AQ511</f>
        <v>5971.6905611606398</v>
      </c>
      <c r="AR558" s="10">
        <f t="shared" ca="1" si="880"/>
        <v>2552.8911555962159</v>
      </c>
      <c r="AS558" s="10">
        <f t="shared" ca="1" si="880"/>
        <v>15950.302675877292</v>
      </c>
      <c r="AT558" s="10">
        <f t="shared" ca="1" si="880"/>
        <v>4642.5660450726618</v>
      </c>
      <c r="AU558" s="10">
        <f t="shared" ca="1" si="880"/>
        <v>14365.016335840943</v>
      </c>
      <c r="AV558" s="10">
        <f t="shared" ca="1" si="880"/>
        <v>24469.846484730482</v>
      </c>
      <c r="AW558" s="10">
        <f t="shared" ca="1" si="880"/>
        <v>8223.1249489336733</v>
      </c>
      <c r="AX558" s="10">
        <f ca="1">SUM(AQ558:AW558)</f>
        <v>76175.438207211919</v>
      </c>
      <c r="AZ558" s="10">
        <f t="shared" ref="AZ558:BF558" ca="1" si="881">AZ511</f>
        <v>3640.2016611228823</v>
      </c>
      <c r="BA558" s="10">
        <f t="shared" ca="1" si="881"/>
        <v>1088.6357227311526</v>
      </c>
      <c r="BB558" s="10">
        <f t="shared" ca="1" si="881"/>
        <v>7128.1959332921479</v>
      </c>
      <c r="BC558" s="10">
        <f t="shared" ca="1" si="881"/>
        <v>2077.7184395410377</v>
      </c>
      <c r="BD558" s="10">
        <f t="shared" ca="1" si="881"/>
        <v>7196.2350049958968</v>
      </c>
      <c r="BE558" s="10">
        <f t="shared" ca="1" si="881"/>
        <v>11124.333231839535</v>
      </c>
      <c r="BF558" s="10">
        <f t="shared" ca="1" si="881"/>
        <v>3874.8956442073572</v>
      </c>
      <c r="BG558" s="10">
        <f ca="1">SUM(AZ558:BF558)</f>
        <v>36130.215637730005</v>
      </c>
      <c r="BI558" s="10">
        <f t="shared" ref="BI558:BO558" ca="1" si="882">BI511</f>
        <v>1105.0204329671283</v>
      </c>
      <c r="BJ558" s="10">
        <f t="shared" ca="1" si="882"/>
        <v>348.33004645770569</v>
      </c>
      <c r="BK558" s="10">
        <f t="shared" ca="1" si="882"/>
        <v>2209.4278602563095</v>
      </c>
      <c r="BL558" s="10">
        <f t="shared" ca="1" si="882"/>
        <v>648.00153342489659</v>
      </c>
      <c r="BM558" s="10">
        <f t="shared" ca="1" si="882"/>
        <v>2224.8030623379991</v>
      </c>
      <c r="BN558" s="10">
        <f t="shared" ca="1" si="882"/>
        <v>3444.2666561884821</v>
      </c>
      <c r="BO558" s="10">
        <f t="shared" ca="1" si="882"/>
        <v>1204.7228189551718</v>
      </c>
      <c r="BP558" s="10">
        <f ca="1">SUM(BI558:BO558)</f>
        <v>11184.572410587693</v>
      </c>
    </row>
    <row r="559" spans="2:68" ht="13.2" customHeight="1">
      <c r="B559" s="309" t="str">
        <f>CONCATENATE("Above row repeats figures in Row ",O511,".")</f>
        <v>Above row repeats figures in Row 511.</v>
      </c>
      <c r="G559" s="1126"/>
      <c r="H559" s="1122"/>
      <c r="I559" s="1122"/>
      <c r="J559" s="1122"/>
      <c r="K559" s="1122"/>
      <c r="L559" s="1122"/>
      <c r="M559" s="1122"/>
      <c r="O559" s="39">
        <f>ROW()</f>
        <v>559</v>
      </c>
      <c r="AQ559" s="265" t="str">
        <f>CONCATENATE("Row ",O560, " figures are set equal to ",O558, " figures, since rebound effects are presumed accounted for by taxi time-elasticity.")</f>
        <v>Row 560 figures are set equal to 558 figures, since rebound effects are presumed accounted for by taxi time-elasticity.</v>
      </c>
    </row>
    <row r="560" spans="2:68" ht="13.2" customHeight="1">
      <c r="B560" s="280" t="s">
        <v>1300</v>
      </c>
      <c r="G560" s="1122">
        <f t="shared" ref="G560:M560" ca="1" si="883">P560+Y560+AH560+AQ560+AZ560+BI560</f>
        <v>55549.244399416355</v>
      </c>
      <c r="H560" s="1122">
        <f t="shared" ca="1" si="883"/>
        <v>17944.610788256825</v>
      </c>
      <c r="I560" s="1122">
        <f t="shared" ca="1" si="883"/>
        <v>122496.7162683374</v>
      </c>
      <c r="J560" s="1122">
        <f t="shared" ca="1" si="883"/>
        <v>35718.360833006918</v>
      </c>
      <c r="K560" s="1122">
        <f t="shared" ca="1" si="883"/>
        <v>121793.64280890794</v>
      </c>
      <c r="L560" s="1122">
        <f t="shared" ca="1" si="883"/>
        <v>190347.20900988515</v>
      </c>
      <c r="M560" s="1122">
        <f t="shared" ca="1" si="883"/>
        <v>61811.672936221679</v>
      </c>
      <c r="N560" s="617">
        <f ca="1">SUM(G560:M560)</f>
        <v>605661.45704403229</v>
      </c>
      <c r="O560" s="39">
        <f>ROW()</f>
        <v>560</v>
      </c>
      <c r="P560" s="10">
        <f t="shared" ref="P560:V560" ca="1" si="884">P558*P549</f>
        <v>9847.4667353227378</v>
      </c>
      <c r="Q560" s="10">
        <f t="shared" ca="1" si="884"/>
        <v>10389.551202668788</v>
      </c>
      <c r="R560" s="10">
        <f t="shared" ca="1" si="884"/>
        <v>71519.358013811943</v>
      </c>
      <c r="S560" s="10">
        <f t="shared" ca="1" si="884"/>
        <v>16848.784142772391</v>
      </c>
      <c r="T560" s="10">
        <f t="shared" ca="1" si="884"/>
        <v>49141.879385406013</v>
      </c>
      <c r="U560" s="10">
        <f t="shared" ca="1" si="884"/>
        <v>51264.411757901646</v>
      </c>
      <c r="V560" s="10">
        <f t="shared" ca="1" si="884"/>
        <v>13708.496913358094</v>
      </c>
      <c r="W560" s="10">
        <f ca="1">SUM(P560:V560)</f>
        <v>222719.94815124164</v>
      </c>
      <c r="Y560" s="10">
        <f t="shared" ref="Y560:AE560" ca="1" si="885">Y558*Y549</f>
        <v>17255.949592047898</v>
      </c>
      <c r="Z560" s="10">
        <f t="shared" ca="1" si="885"/>
        <v>1261.6617128811777</v>
      </c>
      <c r="AA560" s="10">
        <f t="shared" ca="1" si="885"/>
        <v>14402.886511098541</v>
      </c>
      <c r="AB560" s="10">
        <f t="shared" ca="1" si="885"/>
        <v>8347.0423894935557</v>
      </c>
      <c r="AC560" s="10">
        <f t="shared" ca="1" si="885"/>
        <v>34041.421985507499</v>
      </c>
      <c r="AD560" s="10">
        <f t="shared" ca="1" si="885"/>
        <v>70230.00207072201</v>
      </c>
      <c r="AE560" s="10">
        <f t="shared" ca="1" si="885"/>
        <v>20457.167532687479</v>
      </c>
      <c r="AF560" s="10">
        <f ca="1">SUM(Y560:AE560)</f>
        <v>165996.13179443817</v>
      </c>
      <c r="AH560" s="10">
        <f t="shared" ref="AH560:AN560" ca="1" si="886">AH558*AH549</f>
        <v>17574.128823089482</v>
      </c>
      <c r="AI560" s="10">
        <f t="shared" ca="1" si="886"/>
        <v>2258.0436155935786</v>
      </c>
      <c r="AJ560" s="10">
        <f t="shared" ca="1" si="886"/>
        <v>10814.058307170593</v>
      </c>
      <c r="AK560" s="10">
        <f t="shared" ca="1" si="886"/>
        <v>3040.3590601129185</v>
      </c>
      <c r="AL560" s="10">
        <f t="shared" ca="1" si="886"/>
        <v>14494.044826775335</v>
      </c>
      <c r="AM560" s="10">
        <f t="shared" ca="1" si="886"/>
        <v>29024.81201606902</v>
      </c>
      <c r="AN560" s="10">
        <f t="shared" ca="1" si="886"/>
        <v>14165.035603067836</v>
      </c>
      <c r="AO560" s="4">
        <f ca="1">SUM(AH560:AN560)</f>
        <v>91370.482251878755</v>
      </c>
      <c r="AQ560" s="10">
        <f t="shared" ref="AQ560:AW560" ca="1" si="887">AQ558</f>
        <v>5971.6905611606398</v>
      </c>
      <c r="AR560" s="10">
        <f t="shared" ca="1" si="887"/>
        <v>2552.8911555962159</v>
      </c>
      <c r="AS560" s="10">
        <f t="shared" ca="1" si="887"/>
        <v>15950.302675877292</v>
      </c>
      <c r="AT560" s="10">
        <f t="shared" ca="1" si="887"/>
        <v>4642.5660450726618</v>
      </c>
      <c r="AU560" s="10">
        <f t="shared" ca="1" si="887"/>
        <v>14365.016335840943</v>
      </c>
      <c r="AV560" s="10">
        <f t="shared" ca="1" si="887"/>
        <v>24469.846484730482</v>
      </c>
      <c r="AW560" s="10">
        <f t="shared" ca="1" si="887"/>
        <v>8223.1249489336733</v>
      </c>
      <c r="AX560" s="10">
        <f ca="1">SUM(AQ560:AW560)</f>
        <v>76175.438207211919</v>
      </c>
      <c r="AZ560" s="10">
        <f t="shared" ref="AZ560:BF560" ca="1" si="888">AZ558*AZ549</f>
        <v>3744.2605093466736</v>
      </c>
      <c r="BA560" s="10">
        <f t="shared" ca="1" si="888"/>
        <v>1118.7355610397533</v>
      </c>
      <c r="BB560" s="10">
        <f t="shared" ca="1" si="888"/>
        <v>7442.1394906904998</v>
      </c>
      <c r="BC560" s="10">
        <f t="shared" ca="1" si="888"/>
        <v>2153.478793006137</v>
      </c>
      <c r="BD560" s="10">
        <f t="shared" ca="1" si="888"/>
        <v>7418.0186221618951</v>
      </c>
      <c r="BE560" s="10">
        <f t="shared" ca="1" si="888"/>
        <v>11650.135256166623</v>
      </c>
      <c r="BF560" s="10">
        <f t="shared" ca="1" si="888"/>
        <v>3994.1724122182263</v>
      </c>
      <c r="BG560" s="10">
        <f ca="1">SUM(AZ560:BF560)</f>
        <v>37520.940644629809</v>
      </c>
      <c r="BI560" s="10">
        <f t="shared" ref="BI560:BO560" ca="1" si="889">BI558*BI549</f>
        <v>1155.7481784489112</v>
      </c>
      <c r="BJ560" s="10">
        <f t="shared" ca="1" si="889"/>
        <v>363.72754047731155</v>
      </c>
      <c r="BK560" s="10">
        <f t="shared" ca="1" si="889"/>
        <v>2367.9712696885408</v>
      </c>
      <c r="BL560" s="10">
        <f t="shared" ca="1" si="889"/>
        <v>686.13040254925409</v>
      </c>
      <c r="BM560" s="10">
        <f t="shared" ca="1" si="889"/>
        <v>2333.261653216266</v>
      </c>
      <c r="BN560" s="10">
        <f t="shared" ca="1" si="889"/>
        <v>3708.0014242953694</v>
      </c>
      <c r="BO560" s="10">
        <f t="shared" ca="1" si="889"/>
        <v>1263.6755259563752</v>
      </c>
      <c r="BP560" s="10">
        <f ca="1">SUM(BI560:BO560)</f>
        <v>11878.515994632027</v>
      </c>
    </row>
    <row r="561" spans="2:68" ht="13.2" customHeight="1">
      <c r="B561" s="280" t="s">
        <v>112</v>
      </c>
      <c r="G561" s="1122">
        <f t="shared" ref="G561:M561" ca="1" si="890">P561+Y561+AH561+AQ561+AZ561+BI561</f>
        <v>87485.535533415605</v>
      </c>
      <c r="H561" s="1122">
        <f t="shared" ca="1" si="890"/>
        <v>27366.330004653497</v>
      </c>
      <c r="I561" s="1122">
        <f t="shared" ca="1" si="890"/>
        <v>183668.26531081423</v>
      </c>
      <c r="J561" s="1122">
        <f t="shared" ca="1" si="890"/>
        <v>53477.186935775338</v>
      </c>
      <c r="K561" s="1122">
        <f t="shared" ca="1" si="890"/>
        <v>182820.21028108255</v>
      </c>
      <c r="L561" s="1122">
        <f t="shared" ca="1" si="890"/>
        <v>289613.81809804158</v>
      </c>
      <c r="M561" s="1122">
        <f t="shared" ca="1" si="890"/>
        <v>96327.255708900266</v>
      </c>
      <c r="N561" s="186">
        <f ca="1">SUM(G561:M561)</f>
        <v>920758.60187268304</v>
      </c>
      <c r="O561" s="39">
        <f>ROW()</f>
        <v>561</v>
      </c>
      <c r="P561" s="10">
        <f t="shared" ref="P561:V561" ca="1" si="891">P560*$I$85</f>
        <v>12309.333419153423</v>
      </c>
      <c r="Q561" s="10">
        <f t="shared" ca="1" si="891"/>
        <v>12986.939003335985</v>
      </c>
      <c r="R561" s="10">
        <f t="shared" ca="1" si="891"/>
        <v>89399.197517264925</v>
      </c>
      <c r="S561" s="10">
        <f t="shared" ca="1" si="891"/>
        <v>21060.980178465488</v>
      </c>
      <c r="T561" s="10">
        <f t="shared" ca="1" si="891"/>
        <v>61427.349231757515</v>
      </c>
      <c r="U561" s="10">
        <f t="shared" ca="1" si="891"/>
        <v>64080.514697377061</v>
      </c>
      <c r="V561" s="10">
        <f t="shared" ca="1" si="891"/>
        <v>17135.621141697618</v>
      </c>
      <c r="W561" s="10">
        <f ca="1">SUM(P561:V561)</f>
        <v>278399.93518905202</v>
      </c>
      <c r="Y561" s="10">
        <f t="shared" ref="Y561:AE561" ca="1" si="892">Y560*$J$85</f>
        <v>21569.936990059872</v>
      </c>
      <c r="Z561" s="10">
        <f t="shared" ca="1" si="892"/>
        <v>1577.0771411014721</v>
      </c>
      <c r="AA561" s="10">
        <f t="shared" ca="1" si="892"/>
        <v>18003.608138873176</v>
      </c>
      <c r="AB561" s="10">
        <f t="shared" ca="1" si="892"/>
        <v>10433.802986866944</v>
      </c>
      <c r="AC561" s="10">
        <f t="shared" ca="1" si="892"/>
        <v>42551.777481884375</v>
      </c>
      <c r="AD561" s="10">
        <f t="shared" ca="1" si="892"/>
        <v>87787.502588402509</v>
      </c>
      <c r="AE561" s="10">
        <f t="shared" ca="1" si="892"/>
        <v>25571.45941585935</v>
      </c>
      <c r="AF561" s="10">
        <f ca="1">SUM(Y561:AE561)</f>
        <v>207495.1647430477</v>
      </c>
      <c r="AH561" s="10">
        <f t="shared" ref="AH561:AN561" ca="1" si="893">AH560*$K$85</f>
        <v>28118.606116943174</v>
      </c>
      <c r="AI561" s="10">
        <f t="shared" ca="1" si="893"/>
        <v>3612.8697849497257</v>
      </c>
      <c r="AJ561" s="10">
        <f t="shared" ca="1" si="893"/>
        <v>17302.493291472951</v>
      </c>
      <c r="AK561" s="10">
        <f t="shared" ca="1" si="893"/>
        <v>4864.5744961806695</v>
      </c>
      <c r="AL561" s="10">
        <f t="shared" ca="1" si="893"/>
        <v>23190.471722840535</v>
      </c>
      <c r="AM561" s="10">
        <f t="shared" ca="1" si="893"/>
        <v>46439.699225710436</v>
      </c>
      <c r="AN561" s="10">
        <f t="shared" ca="1" si="893"/>
        <v>22664.056964908537</v>
      </c>
      <c r="AO561" s="10">
        <f ca="1">SUM(AH561:AN561)</f>
        <v>146192.77160300605</v>
      </c>
      <c r="AQ561" s="10">
        <f t="shared" ref="AQ561:AW561" ca="1" si="894">AQ560*$L$85</f>
        <v>11943.38112232128</v>
      </c>
      <c r="AR561" s="10">
        <f t="shared" ca="1" si="894"/>
        <v>5105.7823111924317</v>
      </c>
      <c r="AS561" s="10">
        <f t="shared" ca="1" si="894"/>
        <v>31900.605351754584</v>
      </c>
      <c r="AT561" s="10">
        <f t="shared" ca="1" si="894"/>
        <v>9285.1320901453237</v>
      </c>
      <c r="AU561" s="10">
        <f t="shared" ca="1" si="894"/>
        <v>28730.032671681885</v>
      </c>
      <c r="AV561" s="10">
        <f t="shared" ca="1" si="894"/>
        <v>48939.692969460964</v>
      </c>
      <c r="AW561" s="10">
        <f t="shared" ca="1" si="894"/>
        <v>16446.249897867347</v>
      </c>
      <c r="AX561" s="10">
        <f ca="1">SUM(AQ561:AW561)</f>
        <v>152350.87641442384</v>
      </c>
      <c r="AZ561" s="10">
        <f t="shared" ref="AZ561:BF561" ca="1" si="895">AZ560*$M$85</f>
        <v>11232.781528040021</v>
      </c>
      <c r="BA561" s="10">
        <f t="shared" ca="1" si="895"/>
        <v>3356.2066831192597</v>
      </c>
      <c r="BB561" s="10">
        <f t="shared" ca="1" si="895"/>
        <v>22326.418472071498</v>
      </c>
      <c r="BC561" s="10">
        <f t="shared" ca="1" si="895"/>
        <v>6460.4363790184107</v>
      </c>
      <c r="BD561" s="10">
        <f t="shared" ca="1" si="895"/>
        <v>22254.055866485687</v>
      </c>
      <c r="BE561" s="10">
        <f t="shared" ca="1" si="895"/>
        <v>34950.40576849987</v>
      </c>
      <c r="BF561" s="10">
        <f t="shared" ca="1" si="895"/>
        <v>11982.517236654679</v>
      </c>
      <c r="BG561" s="10">
        <f ca="1">SUM(AZ561:BF561)</f>
        <v>112562.82193388943</v>
      </c>
      <c r="BI561" s="10">
        <f t="shared" ref="BI561:BO561" ca="1" si="896">BI560*$N$85</f>
        <v>2311.4963568978224</v>
      </c>
      <c r="BJ561" s="10">
        <f t="shared" ca="1" si="896"/>
        <v>727.4550809546231</v>
      </c>
      <c r="BK561" s="10">
        <f t="shared" ca="1" si="896"/>
        <v>4735.9425393770816</v>
      </c>
      <c r="BL561" s="10">
        <f t="shared" ca="1" si="896"/>
        <v>1372.2608050985082</v>
      </c>
      <c r="BM561" s="10">
        <f t="shared" ca="1" si="896"/>
        <v>4666.5233064325321</v>
      </c>
      <c r="BN561" s="10">
        <f t="shared" ca="1" si="896"/>
        <v>7416.0028485907387</v>
      </c>
      <c r="BO561" s="10">
        <f t="shared" ca="1" si="896"/>
        <v>2527.3510519127503</v>
      </c>
      <c r="BP561" s="10">
        <f ca="1">SUM(BI561:BO561)</f>
        <v>23757.031989264055</v>
      </c>
    </row>
    <row r="562" spans="2:68" ht="13.2" customHeight="1">
      <c r="G562" s="1122"/>
      <c r="H562" s="1122"/>
      <c r="I562" s="1122"/>
      <c r="J562" s="1122"/>
      <c r="K562" s="1122"/>
      <c r="L562" s="1122"/>
      <c r="M562" s="1122"/>
      <c r="N562" s="186"/>
      <c r="O562" s="39">
        <f>ROW()</f>
        <v>562</v>
      </c>
    </row>
    <row r="563" spans="2:68" ht="13.2" customHeight="1">
      <c r="B563" s="308" t="s">
        <v>1010</v>
      </c>
      <c r="G563" s="1122"/>
      <c r="H563" s="1122"/>
      <c r="I563" s="1122"/>
      <c r="J563" s="1122"/>
      <c r="K563" s="1122"/>
      <c r="L563" s="1122"/>
      <c r="M563" s="1122"/>
      <c r="N563" s="186"/>
      <c r="O563" s="39">
        <f>ROW()</f>
        <v>563</v>
      </c>
      <c r="P563" s="10"/>
      <c r="Q563" s="10"/>
      <c r="R563" s="10"/>
      <c r="S563" s="10"/>
      <c r="T563" s="10"/>
      <c r="U563" s="10"/>
      <c r="V563" s="10"/>
      <c r="W563" s="10"/>
      <c r="Y563" s="10"/>
      <c r="Z563" s="10"/>
      <c r="AA563" s="10"/>
      <c r="AB563" s="10"/>
      <c r="AC563" s="10"/>
      <c r="AD563" s="10"/>
      <c r="AE563" s="10"/>
      <c r="AF563" s="10"/>
      <c r="AH563" s="10"/>
      <c r="AI563" s="10"/>
      <c r="AJ563" s="10"/>
      <c r="AK563" s="10"/>
      <c r="AL563" s="10"/>
      <c r="AM563" s="10"/>
      <c r="AN563" s="10"/>
      <c r="AO563" s="10"/>
      <c r="AQ563" s="10"/>
      <c r="AR563" s="10"/>
      <c r="AS563" s="10"/>
      <c r="AT563" s="10"/>
      <c r="AU563" s="10"/>
      <c r="AV563" s="10"/>
      <c r="AW563" s="10"/>
      <c r="AX563" s="10"/>
      <c r="AZ563" s="10"/>
      <c r="BA563" s="10"/>
      <c r="BB563" s="10"/>
      <c r="BC563" s="10"/>
      <c r="BD563" s="10"/>
      <c r="BE563" s="10"/>
      <c r="BF563" s="10"/>
      <c r="BG563" s="10"/>
      <c r="BI563" s="10"/>
      <c r="BJ563" s="10"/>
      <c r="BK563" s="10"/>
      <c r="BL563" s="10"/>
      <c r="BM563" s="10"/>
      <c r="BN563" s="10"/>
      <c r="BO563" s="10"/>
      <c r="BP563" s="10"/>
    </row>
    <row r="564" spans="2:68" ht="13.2" customHeight="1">
      <c r="B564" s="280" t="s">
        <v>1301</v>
      </c>
      <c r="G564" s="1122">
        <f t="shared" ref="G564:M564" ca="1" si="897">P564+Y564+AH564+AQ564+AZ564+BI564</f>
        <v>64889.382800837571</v>
      </c>
      <c r="H564" s="1122">
        <f t="shared" ca="1" si="897"/>
        <v>13225.827399802285</v>
      </c>
      <c r="I564" s="1122">
        <f t="shared" ca="1" si="897"/>
        <v>77458.498838597909</v>
      </c>
      <c r="J564" s="1122">
        <f t="shared" ca="1" si="897"/>
        <v>24263.605519397926</v>
      </c>
      <c r="K564" s="1122">
        <f t="shared" ca="1" si="897"/>
        <v>95697.526923168203</v>
      </c>
      <c r="L564" s="1122">
        <f t="shared" ca="1" si="897"/>
        <v>199810.51277335809</v>
      </c>
      <c r="M564" s="1122">
        <f t="shared" ca="1" si="897"/>
        <v>77202.426550320291</v>
      </c>
      <c r="N564" s="186">
        <f ca="1">SUM(G564:M564)</f>
        <v>552547.7808054823</v>
      </c>
      <c r="O564" s="39">
        <f>ROW()</f>
        <v>564</v>
      </c>
      <c r="P564" s="10">
        <f t="shared" ref="P564:W564" ca="1" si="898">P$135*$W558</f>
        <v>24474.040334268797</v>
      </c>
      <c r="Q564" s="10">
        <f t="shared" ca="1" si="898"/>
        <v>4433.4708675142592</v>
      </c>
      <c r="R564" s="10">
        <f t="shared" ca="1" si="898"/>
        <v>25550.119438669924</v>
      </c>
      <c r="S564" s="10">
        <f t="shared" ca="1" si="898"/>
        <v>8150.4569042086732</v>
      </c>
      <c r="T564" s="10">
        <f t="shared" ca="1" si="898"/>
        <v>33785.015484043433</v>
      </c>
      <c r="U564" s="10">
        <f t="shared" ca="1" si="898"/>
        <v>72835.414556436939</v>
      </c>
      <c r="V564" s="10">
        <f t="shared" ca="1" si="898"/>
        <v>28653.569843747926</v>
      </c>
      <c r="W564" s="10">
        <f t="shared" ca="1" si="898"/>
        <v>197882.08742888996</v>
      </c>
      <c r="Y564" s="10">
        <f t="shared" ref="Y564:AE564" ca="1" si="899">Y$135*$AF558</f>
        <v>18254.044726635126</v>
      </c>
      <c r="Z564" s="10">
        <f t="shared" ca="1" si="899"/>
        <v>3306.7190543329225</v>
      </c>
      <c r="AA564" s="10">
        <f t="shared" ca="1" si="899"/>
        <v>19056.641920758058</v>
      </c>
      <c r="AB564" s="10">
        <f t="shared" ca="1" si="899"/>
        <v>6079.0455045387671</v>
      </c>
      <c r="AC564" s="10">
        <f t="shared" ca="1" si="899"/>
        <v>25198.666640761443</v>
      </c>
      <c r="AD564" s="10">
        <f t="shared" ca="1" si="899"/>
        <v>54324.537217280573</v>
      </c>
      <c r="AE564" s="10">
        <f t="shared" ca="1" si="899"/>
        <v>21371.360770913139</v>
      </c>
      <c r="AF564" s="10">
        <f ca="1">SUM(Y564:AE564)</f>
        <v>147591.01583522002</v>
      </c>
      <c r="AH564" s="10">
        <f t="shared" ref="AH564:AN564" ca="1" si="900">AH$135*$AO558</f>
        <v>10337.718075783669</v>
      </c>
      <c r="AI564" s="10">
        <f t="shared" ca="1" si="900"/>
        <v>1872.6769793456651</v>
      </c>
      <c r="AJ564" s="10">
        <f t="shared" ca="1" si="900"/>
        <v>10792.248764489139</v>
      </c>
      <c r="AK564" s="10">
        <f t="shared" ca="1" si="900"/>
        <v>3442.7141785231165</v>
      </c>
      <c r="AL564" s="10">
        <f t="shared" ca="1" si="900"/>
        <v>14270.629634085779</v>
      </c>
      <c r="AM564" s="10">
        <f t="shared" ca="1" si="900"/>
        <v>30765.332218684962</v>
      </c>
      <c r="AN564" s="10">
        <f t="shared" ca="1" si="900"/>
        <v>12103.131434930383</v>
      </c>
      <c r="AO564" s="10">
        <f ca="1">SUM(AH564:AN564)</f>
        <v>83584.451285842719</v>
      </c>
      <c r="AQ564" s="10">
        <f t="shared" ref="AQ564:AW564" ca="1" si="901">AQ558</f>
        <v>5971.6905611606398</v>
      </c>
      <c r="AR564" s="10">
        <f t="shared" ca="1" si="901"/>
        <v>2552.8911555962159</v>
      </c>
      <c r="AS564" s="10">
        <f t="shared" ca="1" si="901"/>
        <v>15950.302675877292</v>
      </c>
      <c r="AT564" s="10">
        <f t="shared" ca="1" si="901"/>
        <v>4642.5660450726618</v>
      </c>
      <c r="AU564" s="10">
        <f t="shared" ca="1" si="901"/>
        <v>14365.016335840943</v>
      </c>
      <c r="AV564" s="10">
        <f t="shared" ca="1" si="901"/>
        <v>24469.846484730482</v>
      </c>
      <c r="AW564" s="10">
        <f t="shared" ca="1" si="901"/>
        <v>8223.1249489336733</v>
      </c>
      <c r="AX564" s="10">
        <f ca="1">SUM(AQ564:AW564)</f>
        <v>76175.438207211919</v>
      </c>
      <c r="AZ564" s="10">
        <f t="shared" ref="AZ564:BF564" ca="1" si="902">AZ$135*$BG558</f>
        <v>4468.58210509526</v>
      </c>
      <c r="BA564" s="10">
        <f t="shared" ca="1" si="902"/>
        <v>809.48336733331905</v>
      </c>
      <c r="BB564" s="10">
        <f t="shared" ca="1" si="902"/>
        <v>4665.0575445371423</v>
      </c>
      <c r="BC564" s="10">
        <f t="shared" ca="1" si="902"/>
        <v>1488.1476606663905</v>
      </c>
      <c r="BD564" s="10">
        <f t="shared" ca="1" si="902"/>
        <v>6168.6224893963054</v>
      </c>
      <c r="BE564" s="10">
        <f t="shared" ca="1" si="902"/>
        <v>13298.622771670485</v>
      </c>
      <c r="BF564" s="10">
        <f t="shared" ca="1" si="902"/>
        <v>5231.6996990311045</v>
      </c>
      <c r="BG564" s="10">
        <f ca="1">SUM(AZ564:BF564)</f>
        <v>36130.215637730005</v>
      </c>
      <c r="BI564" s="10">
        <f t="shared" ref="BI564:BO564" ca="1" si="903">BI$135*$BP558</f>
        <v>1383.3069978940875</v>
      </c>
      <c r="BJ564" s="10">
        <f t="shared" ca="1" si="903"/>
        <v>250.58597567990296</v>
      </c>
      <c r="BK564" s="10">
        <f t="shared" ca="1" si="903"/>
        <v>1444.128494266364</v>
      </c>
      <c r="BL564" s="10">
        <f t="shared" ca="1" si="903"/>
        <v>460.67522638831542</v>
      </c>
      <c r="BM564" s="10">
        <f t="shared" ca="1" si="903"/>
        <v>1909.5763390402894</v>
      </c>
      <c r="BN564" s="10">
        <f t="shared" ca="1" si="903"/>
        <v>4116.7595245546645</v>
      </c>
      <c r="BO564" s="10">
        <f t="shared" ca="1" si="903"/>
        <v>1619.5398527640662</v>
      </c>
      <c r="BP564" s="10">
        <f ca="1">SUM(BI564:BO564)</f>
        <v>11184.572410587689</v>
      </c>
    </row>
    <row r="565" spans="2:68" ht="13.2" customHeight="1">
      <c r="B565" s="309"/>
      <c r="G565" s="1122"/>
      <c r="H565" s="1122"/>
      <c r="I565" s="1122"/>
      <c r="J565" s="1122"/>
      <c r="K565" s="1122"/>
      <c r="L565" s="1122"/>
      <c r="M565" s="1122"/>
      <c r="O565" s="39">
        <f>ROW()</f>
        <v>565</v>
      </c>
    </row>
    <row r="566" spans="2:68" ht="13.2" customHeight="1">
      <c r="B566" s="280" t="s">
        <v>1047</v>
      </c>
      <c r="G566" s="1122"/>
      <c r="H566" s="1122"/>
      <c r="I566" s="1122"/>
      <c r="J566" s="1122"/>
      <c r="K566" s="1122"/>
      <c r="L566" s="1122"/>
      <c r="M566" s="1122"/>
      <c r="N566" s="186"/>
      <c r="O566" s="39">
        <f>ROW()</f>
        <v>566</v>
      </c>
      <c r="P566" s="10">
        <f t="shared" ref="P566:V566" ca="1" si="904">P564*$W560/$W558</f>
        <v>27545.984910122494</v>
      </c>
      <c r="Q566" s="10">
        <f t="shared" ca="1" si="904"/>
        <v>4989.9534342523639</v>
      </c>
      <c r="R566" s="10">
        <f t="shared" ca="1" si="904"/>
        <v>28757.131838340432</v>
      </c>
      <c r="S566" s="10">
        <f t="shared" ca="1" si="904"/>
        <v>9173.4899439375095</v>
      </c>
      <c r="T566" s="10">
        <f t="shared" ca="1" si="904"/>
        <v>38025.659596900376</v>
      </c>
      <c r="U566" s="10">
        <f t="shared" ca="1" si="904"/>
        <v>81977.605777042641</v>
      </c>
      <c r="V566" s="10">
        <f t="shared" ca="1" si="904"/>
        <v>32250.122650645812</v>
      </c>
      <c r="W566" s="10">
        <f ca="1">SUM(P566:V566)</f>
        <v>222719.94815124167</v>
      </c>
      <c r="Y566" s="10">
        <f t="shared" ref="Y566:AE566" ca="1" si="905">Y564*$AF560/$AF558</f>
        <v>20530.387958079307</v>
      </c>
      <c r="Z566" s="10">
        <f t="shared" ca="1" si="905"/>
        <v>3719.0784875622608</v>
      </c>
      <c r="AA566" s="10">
        <f t="shared" ca="1" si="905"/>
        <v>21433.07182985522</v>
      </c>
      <c r="AB566" s="10">
        <f t="shared" ca="1" si="905"/>
        <v>6837.1237439169408</v>
      </c>
      <c r="AC566" s="10">
        <f t="shared" ca="1" si="905"/>
        <v>28341.028517711289</v>
      </c>
      <c r="AD566" s="10">
        <f t="shared" ca="1" si="905"/>
        <v>61098.997039626447</v>
      </c>
      <c r="AE566" s="10">
        <f t="shared" ca="1" si="905"/>
        <v>24036.444217686716</v>
      </c>
      <c r="AF566" s="10">
        <f ca="1">SUM(Y566:AE566)</f>
        <v>165996.13179443817</v>
      </c>
      <c r="AH566" s="10">
        <f t="shared" ref="AH566:AN566" ca="1" si="906">AH564*$AO560/$AO558</f>
        <v>11300.693746712495</v>
      </c>
      <c r="AI566" s="10">
        <f t="shared" ca="1" si="906"/>
        <v>2047.1199615781493</v>
      </c>
      <c r="AJ566" s="10">
        <f t="shared" ca="1" si="906"/>
        <v>11797.564726738081</v>
      </c>
      <c r="AK566" s="10">
        <f t="shared" ca="1" si="906"/>
        <v>3763.4087429885117</v>
      </c>
      <c r="AL566" s="10">
        <f t="shared" ca="1" si="906"/>
        <v>15599.962572527207</v>
      </c>
      <c r="AM566" s="10">
        <f t="shared" ca="1" si="906"/>
        <v>33631.174198264249</v>
      </c>
      <c r="AN566" s="10">
        <f t="shared" ca="1" si="906"/>
        <v>13230.558303070075</v>
      </c>
      <c r="AO566" s="10">
        <f ca="1">SUM(AH566:AN566)</f>
        <v>91370.48225187877</v>
      </c>
      <c r="AQ566" s="10">
        <f t="shared" ref="AQ566:AW566" ca="1" si="907">AQ564*$AX560/$AX558</f>
        <v>5971.6905611606398</v>
      </c>
      <c r="AR566" s="10">
        <f t="shared" ca="1" si="907"/>
        <v>2552.8911555962159</v>
      </c>
      <c r="AS566" s="10">
        <f t="shared" ca="1" si="907"/>
        <v>15950.30267587729</v>
      </c>
      <c r="AT566" s="10">
        <f t="shared" ca="1" si="907"/>
        <v>4642.5660450726618</v>
      </c>
      <c r="AU566" s="10">
        <f t="shared" ca="1" si="907"/>
        <v>14365.016335840945</v>
      </c>
      <c r="AV566" s="10">
        <f t="shared" ca="1" si="907"/>
        <v>24469.846484730482</v>
      </c>
      <c r="AW566" s="10">
        <f t="shared" ca="1" si="907"/>
        <v>8223.1249489336733</v>
      </c>
      <c r="AX566" s="10">
        <f ca="1">SUM(AQ566:AW566)</f>
        <v>76175.438207211919</v>
      </c>
      <c r="AZ566" s="10">
        <f t="shared" ref="AZ566:BF566" ca="1" si="908">AZ564*$BG560/$BG558</f>
        <v>4640.5868598205871</v>
      </c>
      <c r="BA566" s="10">
        <f t="shared" ca="1" si="908"/>
        <v>840.64201783537385</v>
      </c>
      <c r="BB566" s="10">
        <f t="shared" ca="1" si="908"/>
        <v>4844.6250359373134</v>
      </c>
      <c r="BC566" s="10">
        <f t="shared" ca="1" si="908"/>
        <v>1545.4294711709188</v>
      </c>
      <c r="BD566" s="10">
        <f t="shared" ca="1" si="908"/>
        <v>6406.0652337227257</v>
      </c>
      <c r="BE566" s="10">
        <f t="shared" ca="1" si="908"/>
        <v>13810.513634192095</v>
      </c>
      <c r="BF566" s="10">
        <f t="shared" ca="1" si="908"/>
        <v>5433.0783919507985</v>
      </c>
      <c r="BG566" s="10">
        <f ca="1">SUM(AZ566:BF566)</f>
        <v>37520.940644629809</v>
      </c>
      <c r="BI566" s="10">
        <f t="shared" ref="BI566:BO566" ca="1" si="909">BI564*$BP560/$BP558</f>
        <v>1469.1338834211126</v>
      </c>
      <c r="BJ566" s="10">
        <f t="shared" ca="1" si="909"/>
        <v>266.13351059594015</v>
      </c>
      <c r="BK566" s="10">
        <f t="shared" ca="1" si="909"/>
        <v>1533.729032073521</v>
      </c>
      <c r="BL566" s="10">
        <f t="shared" ca="1" si="909"/>
        <v>489.25768854643252</v>
      </c>
      <c r="BM566" s="10">
        <f t="shared" ca="1" si="909"/>
        <v>2028.0554547430459</v>
      </c>
      <c r="BN566" s="10">
        <f t="shared" ca="1" si="909"/>
        <v>4372.182687304613</v>
      </c>
      <c r="BO566" s="10">
        <f t="shared" ca="1" si="909"/>
        <v>1720.0237379473599</v>
      </c>
      <c r="BP566" s="10">
        <f ca="1">SUM(BI566:BO566)</f>
        <v>11878.515994632025</v>
      </c>
    </row>
    <row r="567" spans="2:68" ht="13.2" customHeight="1">
      <c r="B567" s="309"/>
      <c r="C567" s="309"/>
      <c r="D567" s="309"/>
      <c r="E567" s="309"/>
      <c r="F567" s="309"/>
      <c r="G567" s="1122"/>
      <c r="H567" s="1122"/>
      <c r="I567" s="1122"/>
      <c r="J567" s="1122"/>
      <c r="K567" s="1122"/>
      <c r="L567" s="1122"/>
      <c r="M567" s="1122"/>
      <c r="N567" s="186"/>
      <c r="O567" s="39">
        <f>ROW()</f>
        <v>567</v>
      </c>
      <c r="P567" s="10"/>
      <c r="Q567" s="10"/>
      <c r="R567" s="10"/>
      <c r="S567" s="10"/>
      <c r="T567" s="10"/>
      <c r="U567" s="10"/>
      <c r="V567" s="10"/>
      <c r="W567" s="10"/>
      <c r="Y567" s="10"/>
      <c r="Z567" s="10"/>
      <c r="AA567" s="10"/>
      <c r="AB567" s="10"/>
      <c r="AC567" s="10"/>
      <c r="AD567" s="10"/>
      <c r="AE567" s="10"/>
      <c r="AF567" s="10"/>
      <c r="AH567" s="10"/>
      <c r="AI567" s="10"/>
      <c r="AJ567" s="10"/>
      <c r="AK567" s="10"/>
      <c r="AL567" s="10"/>
      <c r="AM567" s="10"/>
      <c r="AN567" s="10"/>
      <c r="AO567" s="10"/>
      <c r="AQ567" s="10"/>
      <c r="AR567" s="10"/>
      <c r="AS567" s="10"/>
      <c r="AT567" s="10"/>
      <c r="AU567" s="10"/>
      <c r="AV567" s="10"/>
      <c r="AW567" s="10"/>
      <c r="AX567" s="10"/>
      <c r="AZ567" s="10"/>
      <c r="BA567" s="10"/>
      <c r="BB567" s="10"/>
      <c r="BC567" s="10"/>
      <c r="BD567" s="10"/>
      <c r="BE567" s="10"/>
      <c r="BF567" s="10"/>
      <c r="BG567" s="10"/>
      <c r="BI567" s="10"/>
      <c r="BJ567" s="10"/>
      <c r="BK567" s="10"/>
      <c r="BL567" s="10"/>
      <c r="BM567" s="10"/>
      <c r="BN567" s="10"/>
      <c r="BO567" s="10"/>
      <c r="BP567" s="10"/>
    </row>
    <row r="568" spans="2:68" ht="13.2" customHeight="1">
      <c r="B568" s="280" t="s">
        <v>1010</v>
      </c>
      <c r="G568" s="1122">
        <f t="shared" ref="G568:M568" ca="1" si="910">P568+Y568+AH568+AQ568+AZ568+BI568</f>
        <v>103994.14026803718</v>
      </c>
      <c r="H568" s="1122">
        <f t="shared" ca="1" si="910"/>
        <v>21045.211648885645</v>
      </c>
      <c r="I568" s="1122">
        <f t="shared" ca="1" si="910"/>
        <v>123140.64533380041</v>
      </c>
      <c r="J568" s="1122">
        <f t="shared" ca="1" si="910"/>
        <v>38613.373956814292</v>
      </c>
      <c r="K568" s="1122">
        <f t="shared" ca="1" si="910"/>
        <v>152740.13137372379</v>
      </c>
      <c r="L568" s="1122">
        <f t="shared" ca="1" si="910"/>
        <v>319536.3082423404</v>
      </c>
      <c r="M568" s="1122">
        <f t="shared" ca="1" si="910"/>
        <v>123601.0719454754</v>
      </c>
      <c r="N568" s="186">
        <f ca="1">SUM(G568:M568)</f>
        <v>882670.88276907708</v>
      </c>
      <c r="O568" s="39">
        <f>ROW()</f>
        <v>568</v>
      </c>
      <c r="P568" s="10">
        <f t="shared" ref="P568:V568" ca="1" si="911">P566*$I$85</f>
        <v>34432.481137653114</v>
      </c>
      <c r="Q568" s="10">
        <f t="shared" ca="1" si="911"/>
        <v>6237.4417928154544</v>
      </c>
      <c r="R568" s="10">
        <f t="shared" ca="1" si="911"/>
        <v>35946.414797925543</v>
      </c>
      <c r="S568" s="10">
        <f t="shared" ca="1" si="911"/>
        <v>11466.862429921886</v>
      </c>
      <c r="T568" s="10">
        <f t="shared" ca="1" si="911"/>
        <v>47532.074496125468</v>
      </c>
      <c r="U568" s="10">
        <f t="shared" ca="1" si="911"/>
        <v>102472.0072213033</v>
      </c>
      <c r="V568" s="10">
        <f t="shared" ca="1" si="911"/>
        <v>40312.653313307266</v>
      </c>
      <c r="W568" s="10">
        <f ca="1">SUM(P568:V568)</f>
        <v>278399.93518905202</v>
      </c>
      <c r="Y568" s="10">
        <f t="shared" ref="Y568:AE568" ca="1" si="912">Y566*$J$85</f>
        <v>25662.984947599136</v>
      </c>
      <c r="Z568" s="10">
        <f t="shared" ca="1" si="912"/>
        <v>4648.8481094528261</v>
      </c>
      <c r="AA568" s="10">
        <f t="shared" ca="1" si="912"/>
        <v>26791.339787319026</v>
      </c>
      <c r="AB568" s="10">
        <f t="shared" ca="1" si="912"/>
        <v>8546.4046798961754</v>
      </c>
      <c r="AC568" s="10">
        <f t="shared" ca="1" si="912"/>
        <v>35426.285647139113</v>
      </c>
      <c r="AD568" s="10">
        <f t="shared" ca="1" si="912"/>
        <v>76373.746299533057</v>
      </c>
      <c r="AE568" s="10">
        <f t="shared" ca="1" si="912"/>
        <v>30045.555272108395</v>
      </c>
      <c r="AF568" s="10">
        <f ca="1">SUM(Y568:AE568)</f>
        <v>207495.16474304773</v>
      </c>
      <c r="AH568" s="10">
        <f t="shared" ref="AH568:AN568" ca="1" si="913">AH566*$K$85</f>
        <v>18081.109994739993</v>
      </c>
      <c r="AI568" s="10">
        <f t="shared" ca="1" si="913"/>
        <v>3275.3919385250392</v>
      </c>
      <c r="AJ568" s="10">
        <f t="shared" ca="1" si="913"/>
        <v>18876.103562780929</v>
      </c>
      <c r="AK568" s="10">
        <f t="shared" ca="1" si="913"/>
        <v>6021.453988781619</v>
      </c>
      <c r="AL568" s="10">
        <f t="shared" ca="1" si="913"/>
        <v>24959.940116043534</v>
      </c>
      <c r="AM568" s="10">
        <f t="shared" ca="1" si="913"/>
        <v>53809.878717222804</v>
      </c>
      <c r="AN568" s="10">
        <f t="shared" ca="1" si="913"/>
        <v>21168.893284912119</v>
      </c>
      <c r="AO568" s="10">
        <f ca="1">SUM(AH568:AN568)</f>
        <v>146192.77160300605</v>
      </c>
      <c r="AQ568" s="10">
        <f ca="1">AQ566*$L$85*Taxis!$L$130</f>
        <v>8957.5358417409589</v>
      </c>
      <c r="AR568" s="10">
        <f ca="1">AR566*$L$85*Taxis!$L$130</f>
        <v>3829.3367333943238</v>
      </c>
      <c r="AS568" s="10">
        <f ca="1">AS566*$L$85*Taxis!$L$130</f>
        <v>23925.454013815935</v>
      </c>
      <c r="AT568" s="10">
        <f ca="1">AT566*$L$85*Taxis!$L$130</f>
        <v>6963.8490676089932</v>
      </c>
      <c r="AU568" s="10">
        <f ca="1">AU566*$L$85*Taxis!$L$130</f>
        <v>21547.524503761415</v>
      </c>
      <c r="AV568" s="10">
        <f ca="1">AV566*$L$85*Taxis!$L$130</f>
        <v>36704.769727095721</v>
      </c>
      <c r="AW568" s="10">
        <f ca="1">AW566*$L$85*Taxis!$L$130</f>
        <v>12334.68742340051</v>
      </c>
      <c r="AX568" s="10">
        <f ca="1">SUM(AQ568:AW568)</f>
        <v>114263.15731081786</v>
      </c>
      <c r="AZ568" s="10">
        <f t="shared" ref="AZ568:BF568" ca="1" si="914">AZ566*$M$85</f>
        <v>13921.760579461761</v>
      </c>
      <c r="BA568" s="10">
        <f t="shared" ca="1" si="914"/>
        <v>2521.9260535061217</v>
      </c>
      <c r="BB568" s="10">
        <f t="shared" ca="1" si="914"/>
        <v>14533.87510781194</v>
      </c>
      <c r="BC568" s="10">
        <f t="shared" ca="1" si="914"/>
        <v>4636.2884135127561</v>
      </c>
      <c r="BD568" s="10">
        <f t="shared" ca="1" si="914"/>
        <v>19218.195701168177</v>
      </c>
      <c r="BE568" s="10">
        <f t="shared" ca="1" si="914"/>
        <v>41431.540902576286</v>
      </c>
      <c r="BF568" s="10">
        <f t="shared" ca="1" si="914"/>
        <v>16299.235175852395</v>
      </c>
      <c r="BG568" s="10">
        <f ca="1">SUM(AZ568:BF568)</f>
        <v>112562.82193388944</v>
      </c>
      <c r="BI568" s="10">
        <f t="shared" ref="BI568:BO568" ca="1" si="915">BI566*$N$85</f>
        <v>2938.2677668422252</v>
      </c>
      <c r="BJ568" s="10">
        <f t="shared" ca="1" si="915"/>
        <v>532.2670211918803</v>
      </c>
      <c r="BK568" s="10">
        <f t="shared" ca="1" si="915"/>
        <v>3067.458064147042</v>
      </c>
      <c r="BL568" s="10">
        <f t="shared" ca="1" si="915"/>
        <v>978.51537709286504</v>
      </c>
      <c r="BM568" s="10">
        <f t="shared" ca="1" si="915"/>
        <v>4056.1109094860917</v>
      </c>
      <c r="BN568" s="10">
        <f t="shared" ca="1" si="915"/>
        <v>8744.3653746092259</v>
      </c>
      <c r="BO568" s="10">
        <f t="shared" ca="1" si="915"/>
        <v>3440.0474758947198</v>
      </c>
      <c r="BP568" s="10">
        <f ca="1">SUM(BI568:BO568)</f>
        <v>23757.031989264051</v>
      </c>
    </row>
    <row r="569" spans="2:68" ht="13.2" customHeight="1">
      <c r="B569" s="280"/>
      <c r="G569" s="1122"/>
      <c r="H569" s="1122"/>
      <c r="I569" s="1122"/>
      <c r="J569" s="1122"/>
      <c r="K569" s="1122"/>
      <c r="L569" s="1122"/>
      <c r="M569" s="1122"/>
      <c r="N569" s="186"/>
      <c r="O569" s="39">
        <f>ROW()</f>
        <v>569</v>
      </c>
      <c r="P569" s="10"/>
      <c r="Q569" s="10"/>
      <c r="R569" s="10"/>
      <c r="S569" s="10"/>
      <c r="T569" s="10"/>
      <c r="U569" s="10"/>
      <c r="V569" s="10"/>
      <c r="W569" s="10"/>
      <c r="Y569" s="10"/>
      <c r="Z569" s="10"/>
      <c r="AA569" s="10"/>
      <c r="AB569" s="10"/>
      <c r="AC569" s="10"/>
      <c r="AD569" s="10"/>
      <c r="AE569" s="10"/>
      <c r="AF569" s="10"/>
      <c r="AH569" s="10"/>
      <c r="AI569" s="10"/>
      <c r="AJ569" s="10"/>
      <c r="AK569" s="10"/>
      <c r="AL569" s="10"/>
      <c r="AM569" s="10"/>
      <c r="AN569" s="10"/>
      <c r="AO569" s="10"/>
      <c r="AQ569"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569" s="10"/>
      <c r="AS569" s="10"/>
      <c r="AT569" s="10"/>
      <c r="AU569" s="10"/>
      <c r="AV569" s="10"/>
      <c r="AW569" s="10"/>
      <c r="AX569" s="10"/>
      <c r="AZ569" s="10"/>
      <c r="BA569" s="10"/>
      <c r="BB569" s="10"/>
      <c r="BC569" s="10"/>
      <c r="BD569" s="10"/>
      <c r="BE569" s="10"/>
      <c r="BF569" s="10"/>
      <c r="BG569" s="10"/>
      <c r="BI569" s="10"/>
      <c r="BJ569" s="10"/>
      <c r="BK569" s="10"/>
      <c r="BL569" s="10"/>
      <c r="BM569" s="10"/>
      <c r="BN569" s="10"/>
      <c r="BO569" s="10"/>
      <c r="BP569" s="10"/>
    </row>
    <row r="570" spans="2:68" ht="13.2" customHeight="1">
      <c r="B570" s="308" t="s">
        <v>2760</v>
      </c>
      <c r="G570" s="1122"/>
      <c r="H570" s="1122"/>
      <c r="I570" s="1122"/>
      <c r="J570" s="1122"/>
      <c r="K570" s="1122"/>
      <c r="L570" s="1122"/>
      <c r="M570" s="1122"/>
      <c r="O570" s="39">
        <f>ROW()</f>
        <v>570</v>
      </c>
      <c r="AQ570" s="265" t="str">
        <f>CONCATENATE("Row ",O572, " figures are set equal to ",O571, " figures, since rebound effects are presumed accounted for by taxi time-elasticity.")</f>
        <v>Row 572 figures are set equal to 571 figures, since rebound effects are presumed accounted for by taxi time-elasticity.</v>
      </c>
    </row>
    <row r="571" spans="2:68" s="1122" customFormat="1" ht="13.2" customHeight="1">
      <c r="B571" s="1123" t="s">
        <v>1112</v>
      </c>
      <c r="G571" s="1122">
        <f t="shared" ref="G571:M573" ca="1" si="916">P571+Y571+AH571+AQ571+AZ571+BI571</f>
        <v>234258.82188454966</v>
      </c>
      <c r="H571" s="1122">
        <f t="shared" ca="1" si="916"/>
        <v>29496.871007657701</v>
      </c>
      <c r="I571" s="1122">
        <f t="shared" ca="1" si="916"/>
        <v>196449.46224468586</v>
      </c>
      <c r="J571" s="1122">
        <f t="shared" ca="1" si="916"/>
        <v>70192.703154349219</v>
      </c>
      <c r="K571" s="1122">
        <f t="shared" ca="1" si="916"/>
        <v>253583.28197367716</v>
      </c>
      <c r="L571" s="1122">
        <f t="shared" ca="1" si="916"/>
        <v>441715.33483527252</v>
      </c>
      <c r="M571" s="1122">
        <f t="shared" ca="1" si="916"/>
        <v>215864.86621700419</v>
      </c>
      <c r="N571" s="1127">
        <f ca="1">SUM(G571:M571)</f>
        <v>1441561.3413171961</v>
      </c>
      <c r="O571" s="39">
        <f>ROW()</f>
        <v>571</v>
      </c>
      <c r="P571" s="1122">
        <f ca="1">P524</f>
        <v>9871.367391624357</v>
      </c>
      <c r="Q571" s="1122">
        <f t="shared" ref="Q571:V571" ca="1" si="917">Q524</f>
        <v>2784.2967654113868</v>
      </c>
      <c r="R571" s="1122">
        <f t="shared" ca="1" si="917"/>
        <v>18569.038422412523</v>
      </c>
      <c r="S571" s="1122">
        <f t="shared" ca="1" si="917"/>
        <v>5537.4385171131753</v>
      </c>
      <c r="T571" s="1122">
        <f t="shared" ca="1" si="917"/>
        <v>18697.661156419621</v>
      </c>
      <c r="U571" s="1122">
        <f t="shared" ca="1" si="917"/>
        <v>38007.971460043656</v>
      </c>
      <c r="V571" s="1122">
        <f t="shared" ca="1" si="917"/>
        <v>13406.806944077474</v>
      </c>
      <c r="W571" s="1122">
        <f ca="1">SUM(P571:V571)</f>
        <v>106874.58065710218</v>
      </c>
      <c r="Y571" s="1122">
        <f ca="1">Y524</f>
        <v>6942.9227358091521</v>
      </c>
      <c r="Z571" s="1122">
        <f t="shared" ref="Z571:AE571" ca="1" si="918">Z524</f>
        <v>1958.3059315791115</v>
      </c>
      <c r="AA571" s="1122">
        <f t="shared" ca="1" si="918"/>
        <v>13060.33844454724</v>
      </c>
      <c r="AB571" s="1122">
        <f t="shared" ca="1" si="918"/>
        <v>3894.6993109820824</v>
      </c>
      <c r="AC571" s="1122">
        <f t="shared" ca="1" si="918"/>
        <v>13150.8038956698</v>
      </c>
      <c r="AD571" s="1122">
        <f t="shared" ca="1" si="918"/>
        <v>26732.508144294625</v>
      </c>
      <c r="AE571" s="1122">
        <f t="shared" ca="1" si="918"/>
        <v>9429.5370695672791</v>
      </c>
      <c r="AF571" s="1122">
        <f ca="1">SUM(Y571:AE571)</f>
        <v>75169.115532449287</v>
      </c>
      <c r="AH571" s="1122">
        <f ca="1">AH524</f>
        <v>0</v>
      </c>
      <c r="AI571" s="1122">
        <f t="shared" ref="AI571:AN571" ca="1" si="919">AI524</f>
        <v>0</v>
      </c>
      <c r="AJ571" s="1122">
        <f t="shared" ca="1" si="919"/>
        <v>0</v>
      </c>
      <c r="AK571" s="1122">
        <f t="shared" ca="1" si="919"/>
        <v>0</v>
      </c>
      <c r="AL571" s="1122">
        <f t="shared" ca="1" si="919"/>
        <v>0</v>
      </c>
      <c r="AM571" s="1122">
        <f t="shared" ca="1" si="919"/>
        <v>0</v>
      </c>
      <c r="AN571" s="1122">
        <f t="shared" ca="1" si="919"/>
        <v>0</v>
      </c>
      <c r="AO571" s="1122">
        <f ca="1">SUM(AH571:AN571)</f>
        <v>0</v>
      </c>
      <c r="AQ571" s="1122">
        <f>AQ524</f>
        <v>210187.34459974329</v>
      </c>
      <c r="AR571" s="1122">
        <f t="shared" ref="AR571:AW571" si="920">AR524</f>
        <v>22748.620884765332</v>
      </c>
      <c r="AS571" s="1122">
        <f t="shared" si="920"/>
        <v>152580.65410310062</v>
      </c>
      <c r="AT571" s="1122">
        <f t="shared" si="920"/>
        <v>57061.666827443201</v>
      </c>
      <c r="AU571" s="1122">
        <f t="shared" si="920"/>
        <v>208747.17643657626</v>
      </c>
      <c r="AV571" s="1122">
        <f t="shared" si="920"/>
        <v>351862.72506223724</v>
      </c>
      <c r="AW571" s="1122">
        <f t="shared" si="920"/>
        <v>183873.35054767228</v>
      </c>
      <c r="AX571" s="1122">
        <f>SUM(AQ571:AW571)</f>
        <v>1187061.5384615383</v>
      </c>
      <c r="AZ571" s="1122">
        <f ca="1">AZ524</f>
        <v>4840.6239461606756</v>
      </c>
      <c r="BA571" s="1122">
        <f t="shared" ref="BA571:BF571" ca="1" si="921">BA524</f>
        <v>1335.3102113895854</v>
      </c>
      <c r="BB571" s="1122">
        <f t="shared" ca="1" si="921"/>
        <v>8082.4197625898805</v>
      </c>
      <c r="BC571" s="1122">
        <f t="shared" ca="1" si="921"/>
        <v>2445.6216772764906</v>
      </c>
      <c r="BD571" s="1122">
        <f t="shared" ca="1" si="921"/>
        <v>8618.1180584493795</v>
      </c>
      <c r="BE571" s="1122">
        <f t="shared" ca="1" si="921"/>
        <v>16586.697368405919</v>
      </c>
      <c r="BF571" s="1122">
        <f t="shared" ca="1" si="921"/>
        <v>6065.5165363981769</v>
      </c>
      <c r="BG571" s="1122">
        <f ca="1">SUM(AZ571:BF571)</f>
        <v>47974.30756067011</v>
      </c>
      <c r="BI571" s="1122">
        <f ca="1">BI524</f>
        <v>2416.5632112121784</v>
      </c>
      <c r="BJ571" s="1122">
        <f t="shared" ref="BJ571:BO571" ca="1" si="922">BJ524</f>
        <v>670.33721451228428</v>
      </c>
      <c r="BK571" s="1122">
        <f t="shared" ca="1" si="922"/>
        <v>4157.0115120356049</v>
      </c>
      <c r="BL571" s="1122">
        <f t="shared" ca="1" si="922"/>
        <v>1253.2768215342653</v>
      </c>
      <c r="BM571" s="1122">
        <f t="shared" ca="1" si="922"/>
        <v>4369.5224265620882</v>
      </c>
      <c r="BN571" s="1122">
        <f t="shared" ca="1" si="922"/>
        <v>8525.4328002910297</v>
      </c>
      <c r="BO571" s="1122">
        <f t="shared" ca="1" si="922"/>
        <v>3089.6551192889679</v>
      </c>
      <c r="BP571" s="1122">
        <f ca="1">SUM(BI571:BO571)</f>
        <v>24481.799105436417</v>
      </c>
    </row>
    <row r="572" spans="2:68" s="1122" customFormat="1" ht="13.2" customHeight="1">
      <c r="B572" s="1123" t="s">
        <v>114</v>
      </c>
      <c r="G572" s="1122">
        <f t="shared" ca="1" si="916"/>
        <v>234277.73379480722</v>
      </c>
      <c r="H572" s="1122">
        <f t="shared" ca="1" si="916"/>
        <v>29498.281241706118</v>
      </c>
      <c r="I572" s="1122">
        <f t="shared" ca="1" si="916"/>
        <v>196962.42670014419</v>
      </c>
      <c r="J572" s="1122">
        <f t="shared" ca="1" si="916"/>
        <v>70313.977188106335</v>
      </c>
      <c r="K572" s="1122">
        <f t="shared" ca="1" si="916"/>
        <v>253993.59375816249</v>
      </c>
      <c r="L572" s="1122">
        <f t="shared" ca="1" si="916"/>
        <v>443359.52885199292</v>
      </c>
      <c r="M572" s="1122">
        <f t="shared" ca="1" si="916"/>
        <v>216124.71991739536</v>
      </c>
      <c r="N572" s="1127">
        <f ca="1">SUM(G572:M572)</f>
        <v>1444530.2614523147</v>
      </c>
      <c r="O572" s="39">
        <f>ROW()</f>
        <v>572</v>
      </c>
      <c r="P572" s="1122">
        <f t="shared" ref="P572:V572" ca="1" si="923">P571*P551</f>
        <v>9880.8750829518849</v>
      </c>
      <c r="Q572" s="1122">
        <f t="shared" ca="1" si="923"/>
        <v>2785.0077270840766</v>
      </c>
      <c r="R572" s="1122">
        <f t="shared" ca="1" si="923"/>
        <v>18830.849443610106</v>
      </c>
      <c r="S572" s="1122">
        <f t="shared" ca="1" si="923"/>
        <v>5599.2227819207365</v>
      </c>
      <c r="T572" s="1122">
        <f t="shared" ca="1" si="923"/>
        <v>18905.631208359926</v>
      </c>
      <c r="U572" s="1122">
        <f t="shared" ca="1" si="923"/>
        <v>38847.150117764621</v>
      </c>
      <c r="V572" s="1122">
        <f t="shared" ca="1" si="923"/>
        <v>13538.806247385721</v>
      </c>
      <c r="W572" s="1122">
        <f ca="1">SUM(P572:V572)</f>
        <v>108387.54260907706</v>
      </c>
      <c r="Y572" s="1122">
        <f t="shared" ref="Y572:AE572" ca="1" si="924">Y571*Y551</f>
        <v>6949.6098707990786</v>
      </c>
      <c r="Z572" s="1122">
        <f t="shared" ca="1" si="924"/>
        <v>1958.8059790158825</v>
      </c>
      <c r="AA572" s="1122">
        <f t="shared" ca="1" si="924"/>
        <v>13244.480480745835</v>
      </c>
      <c r="AB572" s="1122">
        <f t="shared" ca="1" si="924"/>
        <v>3938.1546257150376</v>
      </c>
      <c r="AC572" s="1122">
        <f t="shared" ca="1" si="924"/>
        <v>13297.077450760949</v>
      </c>
      <c r="AD572" s="1122">
        <f t="shared" ca="1" si="924"/>
        <v>27322.735652900999</v>
      </c>
      <c r="AE572" s="1122">
        <f t="shared" ca="1" si="924"/>
        <v>9522.3773952983811</v>
      </c>
      <c r="AF572" s="1122">
        <f ca="1">SUM(Y572:AE572)</f>
        <v>76233.241455236159</v>
      </c>
      <c r="AH572" s="1122">
        <f t="shared" ref="AH572:AN572" ca="1" si="925">AH571*AH551</f>
        <v>0</v>
      </c>
      <c r="AI572" s="1122">
        <f t="shared" ca="1" si="925"/>
        <v>0</v>
      </c>
      <c r="AJ572" s="1122">
        <f t="shared" ca="1" si="925"/>
        <v>0</v>
      </c>
      <c r="AK572" s="1122">
        <f t="shared" ca="1" si="925"/>
        <v>0</v>
      </c>
      <c r="AL572" s="1122">
        <f t="shared" ca="1" si="925"/>
        <v>0</v>
      </c>
      <c r="AM572" s="1122">
        <f t="shared" ca="1" si="925"/>
        <v>0</v>
      </c>
      <c r="AN572" s="1122">
        <f t="shared" ca="1" si="925"/>
        <v>0</v>
      </c>
      <c r="AO572" s="1122">
        <f ca="1">SUM(AH572:AN572)</f>
        <v>0</v>
      </c>
      <c r="AQ572" s="1122">
        <f t="shared" ref="AQ572" si="926">AQ571</f>
        <v>210187.34459974329</v>
      </c>
      <c r="AR572" s="1122">
        <f t="shared" ref="AR572" si="927">AR571</f>
        <v>22748.620884765332</v>
      </c>
      <c r="AS572" s="1122">
        <f t="shared" ref="AS572" si="928">AS571</f>
        <v>152580.65410310062</v>
      </c>
      <c r="AT572" s="1122">
        <f t="shared" ref="AT572" si="929">AT571</f>
        <v>57061.666827443201</v>
      </c>
      <c r="AU572" s="1122">
        <f t="shared" ref="AU572" si="930">AU571</f>
        <v>208747.17643657626</v>
      </c>
      <c r="AV572" s="1122">
        <f t="shared" ref="AV572" si="931">AV571</f>
        <v>351862.72506223724</v>
      </c>
      <c r="AW572" s="1122">
        <f t="shared" ref="AW572" si="932">AW571</f>
        <v>183873.35054767228</v>
      </c>
      <c r="AX572" s="1122">
        <f>SUM(AQ572:AW572)</f>
        <v>1187061.5384615383</v>
      </c>
      <c r="AZ572" s="1122">
        <f t="shared" ref="AZ572:BF572" ca="1" si="933">AZ571*AZ551</f>
        <v>4842.1775435001164</v>
      </c>
      <c r="BA572" s="1122">
        <f t="shared" ca="1" si="933"/>
        <v>1335.4238575113864</v>
      </c>
      <c r="BB572" s="1122">
        <f t="shared" ca="1" si="933"/>
        <v>8120.2281950495371</v>
      </c>
      <c r="BC572" s="1122">
        <f t="shared" ca="1" si="933"/>
        <v>2454.6837747533336</v>
      </c>
      <c r="BD572" s="1122">
        <f t="shared" ca="1" si="933"/>
        <v>8649.9528076372426</v>
      </c>
      <c r="BE572" s="1122">
        <f t="shared" ca="1" si="933"/>
        <v>16707.88247319893</v>
      </c>
      <c r="BF572" s="1122">
        <f t="shared" ca="1" si="933"/>
        <v>6085.3579649072253</v>
      </c>
      <c r="BG572" s="1122">
        <f ca="1">SUM(AZ572:BF572)</f>
        <v>48195.706616557778</v>
      </c>
      <c r="BI572" s="1122">
        <f t="shared" ref="BI572:BO572" ca="1" si="934">BI571*BI551</f>
        <v>2417.7266978128596</v>
      </c>
      <c r="BJ572" s="1122">
        <f t="shared" ca="1" si="934"/>
        <v>670.42279332944349</v>
      </c>
      <c r="BK572" s="1122">
        <f t="shared" ca="1" si="934"/>
        <v>4186.2144776380992</v>
      </c>
      <c r="BL572" s="1122">
        <f t="shared" ca="1" si="934"/>
        <v>1260.2491782740376</v>
      </c>
      <c r="BM572" s="1122">
        <f t="shared" ca="1" si="934"/>
        <v>4393.7558548280949</v>
      </c>
      <c r="BN572" s="1122">
        <f t="shared" ca="1" si="934"/>
        <v>8619.0355458911708</v>
      </c>
      <c r="BO572" s="1122">
        <f t="shared" ca="1" si="934"/>
        <v>3104.8277621317484</v>
      </c>
      <c r="BP572" s="1122">
        <f ca="1">SUM(BI572:BO572)</f>
        <v>24652.232309905456</v>
      </c>
    </row>
    <row r="573" spans="2:68" ht="13.2" customHeight="1">
      <c r="B573" s="323" t="s">
        <v>450</v>
      </c>
      <c r="G573" s="1122">
        <f t="shared" ca="1" si="916"/>
        <v>18.911910257576437</v>
      </c>
      <c r="H573" s="1122">
        <f t="shared" ca="1" si="916"/>
        <v>1.4102340484195111</v>
      </c>
      <c r="I573" s="1122">
        <f t="shared" ca="1" si="916"/>
        <v>512.96445545832921</v>
      </c>
      <c r="J573" s="1122">
        <f t="shared" ca="1" si="916"/>
        <v>121.27403375712834</v>
      </c>
      <c r="K573" s="1122">
        <f t="shared" ca="1" si="916"/>
        <v>410.3117844853241</v>
      </c>
      <c r="L573" s="1122">
        <f t="shared" ca="1" si="916"/>
        <v>1644.1940167204903</v>
      </c>
      <c r="M573" s="1122">
        <f t="shared" ca="1" si="916"/>
        <v>259.85370039117743</v>
      </c>
      <c r="N573" s="1127">
        <f ca="1">W573+AF573+AO573+AX573+BG573+BP573</f>
        <v>2968.9201351184529</v>
      </c>
      <c r="O573" s="39">
        <f>ROW()</f>
        <v>573</v>
      </c>
      <c r="P573" s="10">
        <f t="shared" ref="P573:W573" ca="1" si="935">P572-P571</f>
        <v>9.5076913275279367</v>
      </c>
      <c r="Q573" s="10">
        <f t="shared" ca="1" si="935"/>
        <v>0.71096167268979116</v>
      </c>
      <c r="R573" s="10">
        <f t="shared" ca="1" si="935"/>
        <v>261.81102119758361</v>
      </c>
      <c r="S573" s="10">
        <f t="shared" ca="1" si="935"/>
        <v>61.784264807561158</v>
      </c>
      <c r="T573" s="10">
        <f t="shared" ca="1" si="935"/>
        <v>207.97005194030498</v>
      </c>
      <c r="U573" s="10">
        <f t="shared" ca="1" si="935"/>
        <v>839.17865772096411</v>
      </c>
      <c r="V573" s="10">
        <f t="shared" ca="1" si="935"/>
        <v>131.99930330824645</v>
      </c>
      <c r="W573" s="138">
        <f t="shared" ca="1" si="935"/>
        <v>1512.9619519748812</v>
      </c>
      <c r="Y573" s="10">
        <f t="shared" ref="Y573:AF573" ca="1" si="936">Y572-Y571</f>
        <v>6.6871349899265624</v>
      </c>
      <c r="Z573" s="10">
        <f t="shared" ca="1" si="936"/>
        <v>0.50004743677095576</v>
      </c>
      <c r="AA573" s="10">
        <f t="shared" ca="1" si="936"/>
        <v>184.14203619859472</v>
      </c>
      <c r="AB573" s="10">
        <f t="shared" ca="1" si="936"/>
        <v>43.45531473295523</v>
      </c>
      <c r="AC573" s="10">
        <f t="shared" ca="1" si="936"/>
        <v>146.27355509114932</v>
      </c>
      <c r="AD573" s="10">
        <f t="shared" ca="1" si="936"/>
        <v>590.22750860637461</v>
      </c>
      <c r="AE573" s="10">
        <f t="shared" ca="1" si="936"/>
        <v>92.840325731101984</v>
      </c>
      <c r="AF573" s="138">
        <f t="shared" ca="1" si="936"/>
        <v>1064.1259227868723</v>
      </c>
      <c r="AH573" s="10">
        <f t="shared" ref="AH573:AO573" ca="1" si="937">AH572-AH571</f>
        <v>0</v>
      </c>
      <c r="AI573" s="10">
        <f t="shared" ca="1" si="937"/>
        <v>0</v>
      </c>
      <c r="AJ573" s="10">
        <f t="shared" ca="1" si="937"/>
        <v>0</v>
      </c>
      <c r="AK573" s="10">
        <f t="shared" ca="1" si="937"/>
        <v>0</v>
      </c>
      <c r="AL573" s="10">
        <f t="shared" ca="1" si="937"/>
        <v>0</v>
      </c>
      <c r="AM573" s="10">
        <f t="shared" ca="1" si="937"/>
        <v>0</v>
      </c>
      <c r="AN573" s="10">
        <f t="shared" ca="1" si="937"/>
        <v>0</v>
      </c>
      <c r="AO573" s="138">
        <f t="shared" ca="1" si="937"/>
        <v>0</v>
      </c>
      <c r="AQ573" s="10">
        <f t="shared" ref="AQ573:AX573" si="938">AQ572-AQ571</f>
        <v>0</v>
      </c>
      <c r="AR573" s="10">
        <f t="shared" si="938"/>
        <v>0</v>
      </c>
      <c r="AS573" s="10">
        <f t="shared" si="938"/>
        <v>0</v>
      </c>
      <c r="AT573" s="10">
        <f t="shared" si="938"/>
        <v>0</v>
      </c>
      <c r="AU573" s="10">
        <f t="shared" si="938"/>
        <v>0</v>
      </c>
      <c r="AV573" s="10">
        <f t="shared" si="938"/>
        <v>0</v>
      </c>
      <c r="AW573" s="10">
        <f t="shared" si="938"/>
        <v>0</v>
      </c>
      <c r="AX573" s="138">
        <f t="shared" si="938"/>
        <v>0</v>
      </c>
      <c r="AZ573" s="10">
        <f t="shared" ref="AZ573:BG573" ca="1" si="939">AZ572-AZ571</f>
        <v>1.5535973394407847</v>
      </c>
      <c r="BA573" s="10">
        <f t="shared" ca="1" si="939"/>
        <v>0.11364612180091171</v>
      </c>
      <c r="BB573" s="10">
        <f t="shared" ca="1" si="939"/>
        <v>37.808432459656615</v>
      </c>
      <c r="BC573" s="10">
        <f t="shared" ca="1" si="939"/>
        <v>9.0620974768430642</v>
      </c>
      <c r="BD573" s="10">
        <f t="shared" ca="1" si="939"/>
        <v>31.834749187863054</v>
      </c>
      <c r="BE573" s="10">
        <f t="shared" ca="1" si="939"/>
        <v>121.1851047930104</v>
      </c>
      <c r="BF573" s="10">
        <f t="shared" ca="1" si="939"/>
        <v>19.841428509048455</v>
      </c>
      <c r="BG573" s="138">
        <f t="shared" ca="1" si="939"/>
        <v>221.39905588766851</v>
      </c>
      <c r="BI573" s="10">
        <f t="shared" ref="BI573:BP573" ca="1" si="940">BI572-BI571</f>
        <v>1.1634866006811535</v>
      </c>
      <c r="BJ573" s="10">
        <f t="shared" ca="1" si="940"/>
        <v>8.5578817159216669E-2</v>
      </c>
      <c r="BK573" s="10">
        <f t="shared" ca="1" si="940"/>
        <v>29.20296560249426</v>
      </c>
      <c r="BL573" s="10">
        <f t="shared" ca="1" si="940"/>
        <v>6.9723567397722945</v>
      </c>
      <c r="BM573" s="10">
        <f t="shared" ca="1" si="940"/>
        <v>24.23342826600674</v>
      </c>
      <c r="BN573" s="10">
        <f t="shared" ca="1" si="940"/>
        <v>93.602745600141134</v>
      </c>
      <c r="BO573" s="10">
        <f t="shared" ca="1" si="940"/>
        <v>15.172642842780533</v>
      </c>
      <c r="BP573" s="138">
        <f t="shared" ca="1" si="940"/>
        <v>170.43320446903817</v>
      </c>
    </row>
    <row r="574" spans="2:68" ht="13.2" customHeight="1">
      <c r="G574" s="1122"/>
      <c r="H574" s="1122"/>
      <c r="I574" s="1122"/>
      <c r="J574" s="1122"/>
      <c r="K574" s="1122"/>
      <c r="L574" s="1122"/>
      <c r="M574" s="1122"/>
      <c r="N574" s="1122"/>
      <c r="O574" s="39">
        <f>ROW()</f>
        <v>574</v>
      </c>
    </row>
    <row r="575" spans="2:68" ht="13.2" customHeight="1">
      <c r="B575" s="308" t="s">
        <v>1113</v>
      </c>
      <c r="G575" s="1122">
        <f t="shared" ref="G575:N576" ca="1" si="941">P575+Y575+AH575+AQ575+AZ575+BI575</f>
        <v>422606.96504762542</v>
      </c>
      <c r="H575" s="1122">
        <f t="shared" ca="1" si="941"/>
        <v>75552.62639771575</v>
      </c>
      <c r="I575" s="1122">
        <f t="shared" ca="1" si="941"/>
        <v>476200.93661467882</v>
      </c>
      <c r="J575" s="1122">
        <f t="shared" ca="1" si="941"/>
        <v>155879.44202639154</v>
      </c>
      <c r="K575" s="1122">
        <f t="shared" ca="1" si="941"/>
        <v>570947.53615971678</v>
      </c>
      <c r="L575" s="1122">
        <f t="shared" ca="1" si="941"/>
        <v>999604.69714374375</v>
      </c>
      <c r="M575" s="1122">
        <f t="shared" ca="1" si="941"/>
        <v>425245.23850897222</v>
      </c>
      <c r="N575" s="1127">
        <f t="shared" ca="1" si="941"/>
        <v>3126037.4418988442</v>
      </c>
      <c r="O575" s="39">
        <f>ROW()</f>
        <v>575</v>
      </c>
      <c r="P575" s="10">
        <f ca="1">P528</f>
        <v>51770.657295171768</v>
      </c>
      <c r="Q575" s="10">
        <f t="shared" ref="Q575:V575" ca="1" si="942">Q528</f>
        <v>20295.131597994136</v>
      </c>
      <c r="R575" s="10">
        <f t="shared" ca="1" si="942"/>
        <v>128523.23335274399</v>
      </c>
      <c r="S575" s="10">
        <f t="shared" ca="1" si="942"/>
        <v>34579.057549983045</v>
      </c>
      <c r="T575" s="10">
        <f t="shared" ca="1" si="942"/>
        <v>117056.16640831855</v>
      </c>
      <c r="U575" s="10">
        <f t="shared" ca="1" si="942"/>
        <v>184482.75903384975</v>
      </c>
      <c r="V575" s="10">
        <f t="shared" ca="1" si="942"/>
        <v>64872.793991265891</v>
      </c>
      <c r="W575" s="10">
        <f ca="1">SUM(P575:V575)</f>
        <v>601579.79922932724</v>
      </c>
      <c r="Y575" s="10">
        <f ca="1">Y528</f>
        <v>49573.546497990996</v>
      </c>
      <c r="Z575" s="10">
        <f t="shared" ref="Z575:AE575" ca="1" si="943">Z528</f>
        <v>7545.1673691395772</v>
      </c>
      <c r="AA575" s="10">
        <f t="shared" ca="1" si="943"/>
        <v>52592.459905553311</v>
      </c>
      <c r="AB575" s="10">
        <f t="shared" ca="1" si="943"/>
        <v>20833.726957848477</v>
      </c>
      <c r="AC575" s="10">
        <f t="shared" ca="1" si="943"/>
        <v>83529.435344356491</v>
      </c>
      <c r="AD575" s="10">
        <f t="shared" ca="1" si="943"/>
        <v>170575.56697272148</v>
      </c>
      <c r="AE575" s="10">
        <f t="shared" ca="1" si="943"/>
        <v>59496.752072889023</v>
      </c>
      <c r="AF575" s="10">
        <f ca="1">SUM(Y575:AE575)</f>
        <v>444146.65512049932</v>
      </c>
      <c r="AH575" s="10">
        <f ca="1">AH528</f>
        <v>44652.141951136189</v>
      </c>
      <c r="AI575" s="10">
        <f t="shared" ref="AI575:AN575" ca="1" si="944">AI528</f>
        <v>6609.4852836332248</v>
      </c>
      <c r="AJ575" s="10">
        <f t="shared" ca="1" si="944"/>
        <v>32140.957294985034</v>
      </c>
      <c r="AK575" s="10">
        <f t="shared" ca="1" si="944"/>
        <v>9899.4926707144914</v>
      </c>
      <c r="AL575" s="10">
        <f t="shared" ca="1" si="944"/>
        <v>44760.762632941929</v>
      </c>
      <c r="AM575" s="10">
        <f t="shared" ca="1" si="944"/>
        <v>88580.961286729813</v>
      </c>
      <c r="AN575" s="10">
        <f t="shared" ca="1" si="944"/>
        <v>40826.442994555997</v>
      </c>
      <c r="AO575" s="10">
        <f ca="1">SUM(AH575:AN575)</f>
        <v>267470.24411469669</v>
      </c>
      <c r="AQ575" s="10">
        <f ca="1">AQ528</f>
        <v>240050.42598557673</v>
      </c>
      <c r="AR575" s="10">
        <f t="shared" ref="AR575:AW575" ca="1" si="945">AR528</f>
        <v>32205.005406578308</v>
      </c>
      <c r="AS575" s="10">
        <f t="shared" ca="1" si="945"/>
        <v>208017.98164423773</v>
      </c>
      <c r="AT575" s="10">
        <f t="shared" ca="1" si="945"/>
        <v>73953.314528786039</v>
      </c>
      <c r="AU575" s="10">
        <f t="shared" ca="1" si="945"/>
        <v>264250.20000315504</v>
      </c>
      <c r="AV575" s="10">
        <f t="shared" ca="1" si="945"/>
        <v>442462.35930972925</v>
      </c>
      <c r="AW575" s="10">
        <f t="shared" ca="1" si="945"/>
        <v>217925.7664214203</v>
      </c>
      <c r="AX575" s="10">
        <f ca="1">SUM(AQ575:AW575)</f>
        <v>1478865.0532994834</v>
      </c>
      <c r="AZ575" s="10">
        <f ca="1">AZ528</f>
        <v>29166.975244815101</v>
      </c>
      <c r="BA575" s="10">
        <f t="shared" ref="BA575:BF575" ca="1" si="946">BA528</f>
        <v>7029.6674815830002</v>
      </c>
      <c r="BB575" s="10">
        <f t="shared" ca="1" si="946"/>
        <v>43462.180196077752</v>
      </c>
      <c r="BC575" s="10">
        <f t="shared" ca="1" si="946"/>
        <v>13143.219977898776</v>
      </c>
      <c r="BD575" s="10">
        <f t="shared" ca="1" si="946"/>
        <v>48712.690541625983</v>
      </c>
      <c r="BE575" s="10">
        <f t="shared" ca="1" si="946"/>
        <v>89855.565378935993</v>
      </c>
      <c r="BF575" s="10">
        <f t="shared" ca="1" si="946"/>
        <v>33385.302566113562</v>
      </c>
      <c r="BG575" s="10">
        <f ca="1">SUM(AZ575:BF575)</f>
        <v>264755.60138705012</v>
      </c>
      <c r="BI575" s="10">
        <f ca="1">BI528</f>
        <v>7393.2180729346101</v>
      </c>
      <c r="BJ575" s="10">
        <f t="shared" ref="BJ575:BO575" ca="1" si="947">BJ528</f>
        <v>1868.1692587875018</v>
      </c>
      <c r="BK575" s="10">
        <f t="shared" ca="1" si="947"/>
        <v>11464.124221080951</v>
      </c>
      <c r="BL575" s="10">
        <f t="shared" ca="1" si="947"/>
        <v>3470.6303411606891</v>
      </c>
      <c r="BM575" s="10">
        <f t="shared" ca="1" si="947"/>
        <v>12638.281229318665</v>
      </c>
      <c r="BN575" s="10">
        <f t="shared" ca="1" si="947"/>
        <v>23647.485161777324</v>
      </c>
      <c r="BO575" s="10">
        <f t="shared" ca="1" si="947"/>
        <v>8738.1804627274432</v>
      </c>
      <c r="BP575" s="10">
        <f ca="1">SUM(BI575:BO575)</f>
        <v>69220.088747787187</v>
      </c>
    </row>
    <row r="576" spans="2:68" ht="13.2" customHeight="1">
      <c r="B576" s="308" t="s">
        <v>1327</v>
      </c>
      <c r="G576" s="1122">
        <f t="shared" ca="1" si="941"/>
        <v>434719.5740180313</v>
      </c>
      <c r="H576" s="1122">
        <f t="shared" ca="1" si="941"/>
        <v>78431.08837247148</v>
      </c>
      <c r="I576" s="1122">
        <f t="shared" ca="1" si="941"/>
        <v>503382.60552032554</v>
      </c>
      <c r="J576" s="1122">
        <f t="shared" ca="1" si="941"/>
        <v>163047.2046242845</v>
      </c>
      <c r="K576" s="1122">
        <f t="shared" ca="1" si="941"/>
        <v>594779.40180410445</v>
      </c>
      <c r="L576" s="1122">
        <f t="shared" ca="1" si="941"/>
        <v>1057464.8267433103</v>
      </c>
      <c r="M576" s="1122">
        <f t="shared" ca="1" si="941"/>
        <v>441324.52612425125</v>
      </c>
      <c r="N576" s="1127">
        <f t="shared" ca="1" si="941"/>
        <v>3273149.2272067787</v>
      </c>
      <c r="O576" s="39">
        <f>ROW()</f>
        <v>576</v>
      </c>
      <c r="P576" s="10">
        <f t="shared" ref="P576:V576" ca="1" si="948">P561+P568+P572</f>
        <v>56622.689639758421</v>
      </c>
      <c r="Q576" s="10">
        <f t="shared" ca="1" si="948"/>
        <v>22009.388523235517</v>
      </c>
      <c r="R576" s="10">
        <f t="shared" ca="1" si="948"/>
        <v>144176.46175880058</v>
      </c>
      <c r="S576" s="10">
        <f t="shared" ca="1" si="948"/>
        <v>38127.065390308111</v>
      </c>
      <c r="T576" s="10">
        <f t="shared" ca="1" si="948"/>
        <v>127865.0549362429</v>
      </c>
      <c r="U576" s="10">
        <f t="shared" ca="1" si="948"/>
        <v>205399.67203644497</v>
      </c>
      <c r="V576" s="10">
        <f t="shared" ca="1" si="948"/>
        <v>70987.080702390609</v>
      </c>
      <c r="W576" s="10">
        <f ca="1">SUM(P576:V576)</f>
        <v>665187.41298718122</v>
      </c>
      <c r="Y576" s="10">
        <f t="shared" ref="Y576:AE576" ca="1" si="949">Y561+Y568+Y572</f>
        <v>54182.531808458079</v>
      </c>
      <c r="Z576" s="10">
        <f t="shared" ca="1" si="949"/>
        <v>8184.7312295701804</v>
      </c>
      <c r="AA576" s="10">
        <f t="shared" ca="1" si="949"/>
        <v>58039.428406938037</v>
      </c>
      <c r="AB576" s="10">
        <f t="shared" ca="1" si="949"/>
        <v>22918.362292478156</v>
      </c>
      <c r="AC576" s="10">
        <f t="shared" ca="1" si="949"/>
        <v>91275.140579784435</v>
      </c>
      <c r="AD576" s="10">
        <f t="shared" ca="1" si="949"/>
        <v>191483.98454083657</v>
      </c>
      <c r="AE576" s="10">
        <f t="shared" ca="1" si="949"/>
        <v>65139.392083266132</v>
      </c>
      <c r="AF576" s="10">
        <f ca="1">SUM(Y576:AE576)</f>
        <v>491223.57094133156</v>
      </c>
      <c r="AH576" s="10">
        <f t="shared" ref="AH576:AN576" ca="1" si="950">AH561+AH568+AH572</f>
        <v>46199.71611168317</v>
      </c>
      <c r="AI576" s="10">
        <f t="shared" ca="1" si="950"/>
        <v>6888.2617234747649</v>
      </c>
      <c r="AJ576" s="10">
        <f t="shared" ca="1" si="950"/>
        <v>36178.596854253876</v>
      </c>
      <c r="AK576" s="10">
        <f t="shared" ca="1" si="950"/>
        <v>10886.028484962288</v>
      </c>
      <c r="AL576" s="10">
        <f t="shared" ca="1" si="950"/>
        <v>48150.411838884072</v>
      </c>
      <c r="AM576" s="10">
        <f t="shared" ca="1" si="950"/>
        <v>100249.57794293325</v>
      </c>
      <c r="AN576" s="10">
        <f t="shared" ca="1" si="950"/>
        <v>43832.950249820657</v>
      </c>
      <c r="AO576" s="10">
        <f ca="1">SUM(AH576:AN576)</f>
        <v>292385.54320601211</v>
      </c>
      <c r="AQ576" s="10">
        <f t="shared" ref="AQ576:AW576" ca="1" si="951">AQ575</f>
        <v>240050.42598557673</v>
      </c>
      <c r="AR576" s="10">
        <f t="shared" ca="1" si="951"/>
        <v>32205.005406578308</v>
      </c>
      <c r="AS576" s="10">
        <f t="shared" ca="1" si="951"/>
        <v>208017.98164423773</v>
      </c>
      <c r="AT576" s="10">
        <f t="shared" ca="1" si="951"/>
        <v>73953.314528786039</v>
      </c>
      <c r="AU576" s="10">
        <f t="shared" ca="1" si="951"/>
        <v>264250.20000315504</v>
      </c>
      <c r="AV576" s="10">
        <f t="shared" ca="1" si="951"/>
        <v>442462.35930972925</v>
      </c>
      <c r="AW576" s="10">
        <f t="shared" ca="1" si="951"/>
        <v>217925.7664214203</v>
      </c>
      <c r="AX576" s="10">
        <f ca="1">SUM(AQ576:AW576)</f>
        <v>1478865.0532994834</v>
      </c>
      <c r="AZ576" s="10">
        <f t="shared" ref="AZ576:BF576" ca="1" si="952">AZ561+AZ568+AZ572</f>
        <v>29996.719651001898</v>
      </c>
      <c r="BA576" s="10">
        <f t="shared" ca="1" si="952"/>
        <v>7213.5565941367677</v>
      </c>
      <c r="BB576" s="10">
        <f t="shared" ca="1" si="952"/>
        <v>44980.521774932975</v>
      </c>
      <c r="BC576" s="10">
        <f t="shared" ca="1" si="952"/>
        <v>13551.408567284501</v>
      </c>
      <c r="BD576" s="10">
        <f t="shared" ca="1" si="952"/>
        <v>50122.204375291105</v>
      </c>
      <c r="BE576" s="10">
        <f t="shared" ca="1" si="952"/>
        <v>93089.829144275078</v>
      </c>
      <c r="BF576" s="10">
        <f t="shared" ca="1" si="952"/>
        <v>34367.110377414298</v>
      </c>
      <c r="BG576" s="10">
        <f ca="1">SUM(AZ576:BF576)</f>
        <v>273321.35048433661</v>
      </c>
      <c r="BI576" s="10">
        <f t="shared" ref="BI576:BO576" ca="1" si="953">BI561+BI568+BI572</f>
        <v>7667.4908215529067</v>
      </c>
      <c r="BJ576" s="10">
        <f t="shared" ca="1" si="953"/>
        <v>1930.1448954759469</v>
      </c>
      <c r="BK576" s="10">
        <f t="shared" ca="1" si="953"/>
        <v>11989.615081162223</v>
      </c>
      <c r="BL576" s="10">
        <f t="shared" ca="1" si="953"/>
        <v>3611.0253604654108</v>
      </c>
      <c r="BM576" s="10">
        <f t="shared" ca="1" si="953"/>
        <v>13116.390070746718</v>
      </c>
      <c r="BN576" s="10">
        <f t="shared" ca="1" si="953"/>
        <v>24779.403769091135</v>
      </c>
      <c r="BO576" s="10">
        <f t="shared" ca="1" si="953"/>
        <v>9072.226289939219</v>
      </c>
      <c r="BP576" s="10">
        <f ca="1">SUM(BI576:BO576)</f>
        <v>72166.296288433557</v>
      </c>
    </row>
    <row r="577" spans="2:68" ht="13.2" customHeight="1">
      <c r="B577" s="308" t="s">
        <v>1306</v>
      </c>
      <c r="G577" s="10">
        <f t="shared" ref="G577:M577" ca="1" si="954">G576/G$118</f>
        <v>72453.26233633855</v>
      </c>
      <c r="H577" s="10">
        <f t="shared" ca="1" si="954"/>
        <v>78431.08837247148</v>
      </c>
      <c r="I577" s="10">
        <f t="shared" ca="1" si="954"/>
        <v>167794.20184010852</v>
      </c>
      <c r="J577" s="10">
        <f t="shared" ca="1" si="954"/>
        <v>163047.2046242845</v>
      </c>
      <c r="K577" s="10">
        <f t="shared" ca="1" si="954"/>
        <v>148694.85045102611</v>
      </c>
      <c r="L577" s="10">
        <f t="shared" ca="1" si="954"/>
        <v>176244.13779055173</v>
      </c>
      <c r="M577" s="10">
        <f t="shared" ca="1" si="954"/>
        <v>147108.17537475043</v>
      </c>
      <c r="N577" s="6"/>
      <c r="O577" s="39">
        <f>ROW()</f>
        <v>577</v>
      </c>
      <c r="P577" s="10"/>
      <c r="Q577" s="10"/>
      <c r="R577" s="10"/>
      <c r="S577" s="10"/>
      <c r="T577" s="10"/>
      <c r="U577" s="10"/>
      <c r="V577" s="10"/>
      <c r="W577" s="10"/>
      <c r="Y577" s="10"/>
      <c r="Z577" s="10"/>
      <c r="AA577" s="10"/>
      <c r="AB577" s="10"/>
      <c r="AC577" s="10"/>
      <c r="AD577" s="10"/>
      <c r="AE577" s="10"/>
      <c r="AF577" s="10"/>
      <c r="AH577" s="10"/>
      <c r="AI577" s="10"/>
      <c r="AJ577" s="10"/>
      <c r="AK577" s="10"/>
      <c r="AL577" s="10"/>
      <c r="AM577" s="10"/>
      <c r="AN577" s="10"/>
      <c r="AO577" s="10"/>
      <c r="AQ577" s="10"/>
      <c r="AR577" s="10"/>
      <c r="AS577" s="10"/>
      <c r="AT577" s="10"/>
      <c r="AU577" s="10"/>
      <c r="AV577" s="10"/>
      <c r="AW577" s="10"/>
      <c r="AX577" s="10"/>
      <c r="AZ577" s="10"/>
      <c r="BA577" s="10"/>
      <c r="BB577" s="10"/>
      <c r="BC577" s="10"/>
      <c r="BD577" s="10"/>
      <c r="BE577" s="10"/>
      <c r="BF577" s="10"/>
      <c r="BG577" s="10"/>
      <c r="BI577" s="10"/>
      <c r="BJ577" s="10"/>
      <c r="BK577" s="10"/>
      <c r="BL577" s="10"/>
      <c r="BM577" s="10"/>
      <c r="BN577" s="10"/>
      <c r="BO577" s="10"/>
      <c r="BP577" s="10"/>
    </row>
    <row r="578" spans="2:68" ht="13.2" customHeight="1">
      <c r="B578" s="280" t="s">
        <v>456</v>
      </c>
      <c r="G578" s="612">
        <f t="shared" ref="G578:M578" ca="1" si="955">G576/G575</f>
        <v>1.0286616406547886</v>
      </c>
      <c r="H578" s="612">
        <f t="shared" ca="1" si="955"/>
        <v>1.038098767865504</v>
      </c>
      <c r="I578" s="612">
        <f t="shared" ca="1" si="955"/>
        <v>1.0570802508262198</v>
      </c>
      <c r="J578" s="612">
        <f t="shared" ca="1" si="955"/>
        <v>1.045982731941518</v>
      </c>
      <c r="K578" s="612">
        <f t="shared" ca="1" si="955"/>
        <v>1.0417409028589291</v>
      </c>
      <c r="L578" s="612">
        <f t="shared" ca="1" si="955"/>
        <v>1.0578830109191115</v>
      </c>
      <c r="M578" s="612">
        <f t="shared" ca="1" si="955"/>
        <v>1.0378117993082239</v>
      </c>
      <c r="N578" s="186"/>
      <c r="O578" s="39">
        <f>ROW()</f>
        <v>578</v>
      </c>
      <c r="P578" s="4147" t="s">
        <v>2680</v>
      </c>
      <c r="Q578" s="4147"/>
      <c r="R578" s="4147"/>
      <c r="S578" s="4147"/>
      <c r="T578" s="4147"/>
      <c r="U578" s="4147"/>
      <c r="V578" s="4147"/>
      <c r="W578" s="4147"/>
      <c r="Y578" s="4147" t="s">
        <v>2681</v>
      </c>
      <c r="Z578" s="4147"/>
      <c r="AA578" s="4147"/>
      <c r="AB578" s="4147"/>
      <c r="AC578" s="4147"/>
      <c r="AD578" s="4147"/>
      <c r="AE578" s="4147"/>
      <c r="AF578" s="4147"/>
      <c r="AH578" s="4263" t="s">
        <v>5482</v>
      </c>
      <c r="AI578" s="4264"/>
      <c r="AJ578" s="4264"/>
      <c r="AK578" s="4264"/>
      <c r="AL578" s="4264"/>
      <c r="AM578" s="4264"/>
      <c r="AN578" s="4264"/>
      <c r="AO578" s="4264"/>
      <c r="AQ578" s="4147" t="s">
        <v>713</v>
      </c>
      <c r="AR578" s="4147"/>
      <c r="AS578" s="4147"/>
      <c r="AT578" s="4147"/>
      <c r="AU578" s="4147"/>
      <c r="AV578" s="4147"/>
      <c r="AW578" s="4147"/>
      <c r="AX578" s="4147"/>
      <c r="AZ578" s="4147" t="s">
        <v>460</v>
      </c>
      <c r="BA578" s="4147"/>
      <c r="BB578" s="4147"/>
      <c r="BC578" s="4147"/>
      <c r="BD578" s="4147"/>
      <c r="BE578" s="4147"/>
      <c r="BF578" s="4147"/>
      <c r="BG578" s="4147"/>
      <c r="BI578" s="4147" t="s">
        <v>849</v>
      </c>
      <c r="BJ578" s="4147"/>
      <c r="BK578" s="4147"/>
      <c r="BL578" s="4147"/>
      <c r="BM578" s="4147"/>
      <c r="BN578" s="4147"/>
      <c r="BO578" s="4147"/>
      <c r="BP578" s="4147"/>
    </row>
    <row r="579" spans="2:68" ht="13.2" customHeight="1">
      <c r="O579" s="39">
        <f>ROW()</f>
        <v>579</v>
      </c>
    </row>
    <row r="580" spans="2:68" ht="13.2" customHeight="1">
      <c r="B580" s="308" t="s">
        <v>587</v>
      </c>
      <c r="C580" s="280"/>
      <c r="D580" s="280"/>
      <c r="E580" s="280"/>
      <c r="F580" s="280"/>
      <c r="G580" s="280"/>
      <c r="H580" s="280"/>
      <c r="I580" s="280"/>
      <c r="J580" s="280"/>
      <c r="K580" s="280"/>
      <c r="L580" s="280"/>
      <c r="M580" s="280"/>
      <c r="N580" s="280"/>
      <c r="O580" s="39">
        <f>ROW()</f>
        <v>580</v>
      </c>
    </row>
    <row r="581" spans="2:68" ht="13.2" customHeight="1">
      <c r="B581" s="280" t="s">
        <v>2034</v>
      </c>
      <c r="E581" s="280"/>
      <c r="F581" s="280"/>
      <c r="G581" s="21">
        <f t="shared" ref="G581:M581" ca="1" si="956">KSC/(1+0.1*(G577*$G$401/V_sub_k)^KSE)</f>
        <v>21.163066516426852</v>
      </c>
      <c r="H581" s="21">
        <f t="shared" ca="1" si="956"/>
        <v>20.866842517495783</v>
      </c>
      <c r="I581" s="21">
        <f t="shared" ca="1" si="956"/>
        <v>10.291931542804956</v>
      </c>
      <c r="J581" s="21">
        <f t="shared" ca="1" si="956"/>
        <v>10.92231903621226</v>
      </c>
      <c r="K581" s="21">
        <f t="shared" ca="1" si="956"/>
        <v>12.929318552203211</v>
      </c>
      <c r="L581" s="21">
        <f t="shared" ca="1" si="956"/>
        <v>9.2256814414230206</v>
      </c>
      <c r="M581" s="21">
        <f t="shared" ca="1" si="956"/>
        <v>13.157182039788008</v>
      </c>
      <c r="O581" s="39">
        <f>ROW()</f>
        <v>581</v>
      </c>
      <c r="P581" s="21">
        <f t="shared" ref="P581:V582" ca="1" si="957">G581</f>
        <v>21.163066516426852</v>
      </c>
      <c r="Q581" s="21">
        <f t="shared" ca="1" si="957"/>
        <v>20.866842517495783</v>
      </c>
      <c r="R581" s="21">
        <f t="shared" ca="1" si="957"/>
        <v>10.291931542804956</v>
      </c>
      <c r="S581" s="21">
        <f t="shared" ca="1" si="957"/>
        <v>10.92231903621226</v>
      </c>
      <c r="T581" s="21">
        <f t="shared" ca="1" si="957"/>
        <v>12.929318552203211</v>
      </c>
      <c r="U581" s="21">
        <f t="shared" ca="1" si="957"/>
        <v>9.2256814414230206</v>
      </c>
      <c r="V581" s="21">
        <f t="shared" ca="1" si="957"/>
        <v>13.157182039788008</v>
      </c>
      <c r="Y581" s="21">
        <f t="shared" ref="Y581:AE582" ca="1" si="958">G581</f>
        <v>21.163066516426852</v>
      </c>
      <c r="Z581" s="21">
        <f t="shared" ca="1" si="958"/>
        <v>20.866842517495783</v>
      </c>
      <c r="AA581" s="21">
        <f t="shared" ca="1" si="958"/>
        <v>10.291931542804956</v>
      </c>
      <c r="AB581" s="21">
        <f t="shared" ca="1" si="958"/>
        <v>10.92231903621226</v>
      </c>
      <c r="AC581" s="21">
        <f t="shared" ca="1" si="958"/>
        <v>12.929318552203211</v>
      </c>
      <c r="AD581" s="21">
        <f t="shared" ca="1" si="958"/>
        <v>9.2256814414230206</v>
      </c>
      <c r="AE581" s="21">
        <f t="shared" ca="1" si="958"/>
        <v>13.157182039788008</v>
      </c>
      <c r="AH581" s="21">
        <f t="shared" ref="AH581:AN582" ca="1" si="959">P581</f>
        <v>21.163066516426852</v>
      </c>
      <c r="AI581" s="21">
        <f t="shared" ca="1" si="959"/>
        <v>20.866842517495783</v>
      </c>
      <c r="AJ581" s="21">
        <f t="shared" ca="1" si="959"/>
        <v>10.291931542804956</v>
      </c>
      <c r="AK581" s="21">
        <f t="shared" ca="1" si="959"/>
        <v>10.92231903621226</v>
      </c>
      <c r="AL581" s="21">
        <f t="shared" ca="1" si="959"/>
        <v>12.929318552203211</v>
      </c>
      <c r="AM581" s="21">
        <f t="shared" ca="1" si="959"/>
        <v>9.2256814414230206</v>
      </c>
      <c r="AN581" s="21">
        <f t="shared" ca="1" si="959"/>
        <v>13.157182039788008</v>
      </c>
      <c r="AQ581" s="21">
        <f t="shared" ref="AQ581:AW581" ca="1" si="960">G581*$AU$181</f>
        <v>20.104913190605508</v>
      </c>
      <c r="AR581" s="21">
        <f t="shared" ca="1" si="960"/>
        <v>19.823500391620993</v>
      </c>
      <c r="AS581" s="21">
        <f t="shared" ca="1" si="960"/>
        <v>9.7773349656647088</v>
      </c>
      <c r="AT581" s="21">
        <f t="shared" ca="1" si="960"/>
        <v>10.376203084401647</v>
      </c>
      <c r="AU581" s="21">
        <f t="shared" ca="1" si="960"/>
        <v>12.282852624593051</v>
      </c>
      <c r="AV581" s="21">
        <f t="shared" ca="1" si="960"/>
        <v>8.7643973693518689</v>
      </c>
      <c r="AW581" s="21">
        <f t="shared" ca="1" si="960"/>
        <v>12.499322937798608</v>
      </c>
      <c r="AZ581" s="21">
        <f t="shared" ref="AZ581:BF582" ca="1" si="961">G581</f>
        <v>21.163066516426852</v>
      </c>
      <c r="BA581" s="21">
        <f t="shared" ca="1" si="961"/>
        <v>20.866842517495783</v>
      </c>
      <c r="BB581" s="21">
        <f t="shared" ca="1" si="961"/>
        <v>10.291931542804956</v>
      </c>
      <c r="BC581" s="21">
        <f t="shared" ca="1" si="961"/>
        <v>10.92231903621226</v>
      </c>
      <c r="BD581" s="21">
        <f t="shared" ca="1" si="961"/>
        <v>12.929318552203211</v>
      </c>
      <c r="BE581" s="21">
        <f t="shared" ca="1" si="961"/>
        <v>9.2256814414230206</v>
      </c>
      <c r="BF581" s="21">
        <f t="shared" ca="1" si="961"/>
        <v>13.157182039788008</v>
      </c>
      <c r="BG581" s="21"/>
      <c r="BI581" s="21">
        <f t="shared" ref="BI581:BO582" ca="1" si="962">G581</f>
        <v>21.163066516426852</v>
      </c>
      <c r="BJ581" s="21">
        <f t="shared" ca="1" si="962"/>
        <v>20.866842517495783</v>
      </c>
      <c r="BK581" s="21">
        <f t="shared" ca="1" si="962"/>
        <v>10.291931542804956</v>
      </c>
      <c r="BL581" s="21">
        <f t="shared" ca="1" si="962"/>
        <v>10.92231903621226</v>
      </c>
      <c r="BM581" s="21">
        <f t="shared" ca="1" si="962"/>
        <v>12.929318552203211</v>
      </c>
      <c r="BN581" s="21">
        <f t="shared" ca="1" si="962"/>
        <v>9.2256814414230206</v>
      </c>
      <c r="BO581" s="21">
        <f t="shared" ca="1" si="962"/>
        <v>13.157182039788008</v>
      </c>
      <c r="BP581" s="21"/>
    </row>
    <row r="582" spans="2:68" ht="13.2" customHeight="1">
      <c r="B582" s="280" t="s">
        <v>1428</v>
      </c>
      <c r="E582" s="280"/>
      <c r="F582" s="280"/>
      <c r="G582" s="21">
        <f ca="1">MIN('Speed-Vol., non-Cordon'!$X$57*(G534 / 'Speed-Vol., non-Cordon'!$X$57)^G553,'Speed-Vol., non-Cordon'!$X$32)</f>
        <v>54.992395959825743</v>
      </c>
      <c r="H582" s="21">
        <f ca="1">MIN('Speed-Vol., non-Cordon'!$X$57*(H534 / 'Speed-Vol., non-Cordon'!$X$57)^H553,'Speed-Vol., non-Cordon'!$X$32)</f>
        <v>47.561217863678237</v>
      </c>
      <c r="I582" s="21">
        <f ca="1">MIN('Speed-Vol., non-Cordon'!$X$57*(I534 / 'Speed-Vol., non-Cordon'!$X$57)^I553,'Speed-Vol., non-Cordon'!$X$32)</f>
        <v>18.280599493059785</v>
      </c>
      <c r="J582" s="21">
        <f ca="1">MIN('Speed-Vol., non-Cordon'!$X$57*(J534 / 'Speed-Vol., non-Cordon'!$X$57)^J553,'Speed-Vol., non-Cordon'!$X$32)</f>
        <v>21.736927420658009</v>
      </c>
      <c r="K582" s="21">
        <f ca="1">MIN('Speed-Vol., non-Cordon'!$X$57*(K534 / 'Speed-Vol., non-Cordon'!$X$57)^K553,'Speed-Vol., non-Cordon'!$X$32)</f>
        <v>25.316326306640285</v>
      </c>
      <c r="L582" s="21">
        <f ca="1">MIN('Speed-Vol., non-Cordon'!$X$57*(L534 / 'Speed-Vol., non-Cordon'!$X$57)^L553,'Speed-Vol., non-Cordon'!$X$32)</f>
        <v>16.412155122661201</v>
      </c>
      <c r="M582" s="21">
        <f ca="1">MIN('Speed-Vol., non-Cordon'!$X$57*(M534 / 'Speed-Vol., non-Cordon'!$X$57)^M553,'Speed-Vol., non-Cordon'!$X$32)</f>
        <v>27.614386568538489</v>
      </c>
      <c r="O582" s="39">
        <f>ROW()</f>
        <v>582</v>
      </c>
      <c r="P582" s="21">
        <f t="shared" ca="1" si="957"/>
        <v>54.992395959825743</v>
      </c>
      <c r="Q582" s="21">
        <f t="shared" ca="1" si="957"/>
        <v>47.561217863678237</v>
      </c>
      <c r="R582" s="21">
        <f t="shared" ca="1" si="957"/>
        <v>18.280599493059785</v>
      </c>
      <c r="S582" s="21">
        <f t="shared" ca="1" si="957"/>
        <v>21.736927420658009</v>
      </c>
      <c r="T582" s="21">
        <f t="shared" ca="1" si="957"/>
        <v>25.316326306640285</v>
      </c>
      <c r="U582" s="21">
        <f t="shared" ca="1" si="957"/>
        <v>16.412155122661201</v>
      </c>
      <c r="V582" s="21">
        <f t="shared" ca="1" si="957"/>
        <v>27.614386568538489</v>
      </c>
      <c r="W582" s="4272" t="s">
        <v>1878</v>
      </c>
      <c r="Y582" s="21">
        <f t="shared" ca="1" si="958"/>
        <v>54.992395959825743</v>
      </c>
      <c r="Z582" s="21">
        <f t="shared" ca="1" si="958"/>
        <v>47.561217863678237</v>
      </c>
      <c r="AA582" s="21">
        <f t="shared" ca="1" si="958"/>
        <v>18.280599493059785</v>
      </c>
      <c r="AB582" s="21">
        <f t="shared" ca="1" si="958"/>
        <v>21.736927420658009</v>
      </c>
      <c r="AC582" s="21">
        <f t="shared" ca="1" si="958"/>
        <v>25.316326306640285</v>
      </c>
      <c r="AD582" s="21">
        <f t="shared" ca="1" si="958"/>
        <v>16.412155122661201</v>
      </c>
      <c r="AE582" s="21">
        <f t="shared" ca="1" si="958"/>
        <v>27.614386568538489</v>
      </c>
      <c r="AF582" s="4272" t="s">
        <v>1878</v>
      </c>
      <c r="AH582" s="21">
        <f t="shared" ca="1" si="959"/>
        <v>54.992395959825743</v>
      </c>
      <c r="AI582" s="21">
        <f t="shared" ca="1" si="959"/>
        <v>47.561217863678237</v>
      </c>
      <c r="AJ582" s="21">
        <f t="shared" ca="1" si="959"/>
        <v>18.280599493059785</v>
      </c>
      <c r="AK582" s="21">
        <f t="shared" ca="1" si="959"/>
        <v>21.736927420658009</v>
      </c>
      <c r="AL582" s="21">
        <f t="shared" ca="1" si="959"/>
        <v>25.316326306640285</v>
      </c>
      <c r="AM582" s="21">
        <f t="shared" ca="1" si="959"/>
        <v>16.412155122661201</v>
      </c>
      <c r="AN582" s="21">
        <f t="shared" ca="1" si="959"/>
        <v>27.614386568538489</v>
      </c>
      <c r="AO582" s="4272" t="s">
        <v>1878</v>
      </c>
      <c r="AQ582" s="21">
        <f t="shared" ref="AQ582:AW582" ca="1" si="963">G582*$AV$181</f>
        <v>54.442472000227482</v>
      </c>
      <c r="AR582" s="21">
        <f t="shared" ca="1" si="963"/>
        <v>47.085605685041457</v>
      </c>
      <c r="AS582" s="21">
        <f t="shared" ca="1" si="963"/>
        <v>18.097793498129189</v>
      </c>
      <c r="AT582" s="21">
        <f t="shared" ca="1" si="963"/>
        <v>21.519558146451431</v>
      </c>
      <c r="AU582" s="21">
        <f t="shared" ca="1" si="963"/>
        <v>25.063163043573883</v>
      </c>
      <c r="AV582" s="21">
        <f t="shared" ca="1" si="963"/>
        <v>16.24803357143459</v>
      </c>
      <c r="AW582" s="21">
        <f t="shared" ca="1" si="963"/>
        <v>27.338242702853105</v>
      </c>
      <c r="AX582" s="4272" t="s">
        <v>1878</v>
      </c>
      <c r="AZ582" s="21">
        <f t="shared" ca="1" si="961"/>
        <v>54.992395959825743</v>
      </c>
      <c r="BA582" s="21">
        <f t="shared" ca="1" si="961"/>
        <v>47.561217863678237</v>
      </c>
      <c r="BB582" s="21">
        <f t="shared" ca="1" si="961"/>
        <v>18.280599493059785</v>
      </c>
      <c r="BC582" s="21">
        <f t="shared" ca="1" si="961"/>
        <v>21.736927420658009</v>
      </c>
      <c r="BD582" s="21">
        <f t="shared" ca="1" si="961"/>
        <v>25.316326306640285</v>
      </c>
      <c r="BE582" s="21">
        <f t="shared" ca="1" si="961"/>
        <v>16.412155122661201</v>
      </c>
      <c r="BF582" s="21">
        <f t="shared" ca="1" si="961"/>
        <v>27.614386568538489</v>
      </c>
      <c r="BG582" s="4272" t="s">
        <v>1878</v>
      </c>
      <c r="BI582" s="21">
        <f t="shared" ca="1" si="962"/>
        <v>54.992395959825743</v>
      </c>
      <c r="BJ582" s="21">
        <f t="shared" ca="1" si="962"/>
        <v>47.561217863678237</v>
      </c>
      <c r="BK582" s="21">
        <f t="shared" ca="1" si="962"/>
        <v>18.280599493059785</v>
      </c>
      <c r="BL582" s="21">
        <f t="shared" ca="1" si="962"/>
        <v>21.736927420658009</v>
      </c>
      <c r="BM582" s="21">
        <f t="shared" ca="1" si="962"/>
        <v>25.316326306640285</v>
      </c>
      <c r="BN582" s="21">
        <f t="shared" ca="1" si="962"/>
        <v>16.412155122661201</v>
      </c>
      <c r="BO582" s="21">
        <f t="shared" ca="1" si="962"/>
        <v>27.614386568538489</v>
      </c>
      <c r="BP582" s="4272" t="s">
        <v>1878</v>
      </c>
    </row>
    <row r="583" spans="2:68" ht="13.2" customHeight="1">
      <c r="B583" s="280"/>
      <c r="O583" s="39">
        <f>ROW()</f>
        <v>583</v>
      </c>
      <c r="W583" s="4273"/>
      <c r="AF583" s="4273"/>
      <c r="AO583" s="4273"/>
      <c r="AX583" s="4273"/>
      <c r="BG583" s="4273"/>
      <c r="BP583" s="4273"/>
    </row>
    <row r="584" spans="2:68" ht="13.2" customHeight="1">
      <c r="B584" s="308" t="s">
        <v>2606</v>
      </c>
      <c r="F584" s="606"/>
      <c r="O584" s="39">
        <f>ROW()</f>
        <v>584</v>
      </c>
      <c r="W584" s="4273"/>
      <c r="AF584" s="4340"/>
      <c r="AO584" s="4340"/>
      <c r="AX584" s="4340"/>
      <c r="BG584" s="4340"/>
      <c r="BP584" s="4340"/>
    </row>
    <row r="585" spans="2:68" ht="13.2" customHeight="1">
      <c r="B585" s="280" t="s">
        <v>2158</v>
      </c>
      <c r="C585" s="297"/>
      <c r="D585" s="297"/>
      <c r="E585" s="297"/>
      <c r="F585" s="297"/>
      <c r="G585" s="4286" t="s">
        <v>2351</v>
      </c>
      <c r="H585" s="3775"/>
      <c r="I585" s="3775"/>
      <c r="J585" s="3775"/>
      <c r="K585" s="3775"/>
      <c r="L585" s="3776"/>
      <c r="O585" s="39">
        <f>ROW()</f>
        <v>585</v>
      </c>
      <c r="P585" s="21">
        <f t="shared" ref="P585:V585" ca="1" si="964">($I$85)*60/P581</f>
        <v>3.5439098554921005</v>
      </c>
      <c r="Q585" s="21">
        <f t="shared" ca="1" si="964"/>
        <v>3.5942189115155454</v>
      </c>
      <c r="R585" s="21">
        <f t="shared" ca="1" si="964"/>
        <v>7.2872618407991805</v>
      </c>
      <c r="S585" s="21">
        <f t="shared" ca="1" si="964"/>
        <v>6.8666736204410652</v>
      </c>
      <c r="T585" s="21">
        <f t="shared" ca="1" si="964"/>
        <v>5.8007697541971135</v>
      </c>
      <c r="U585" s="21">
        <f t="shared" ca="1" si="964"/>
        <v>8.1294807842868231</v>
      </c>
      <c r="V585" s="21">
        <f t="shared" ca="1" si="964"/>
        <v>5.7003087570876554</v>
      </c>
      <c r="W585" s="883">
        <f ca="1">SUMPRODUCT(P$476:V$476,P585:V585)/W$476</f>
        <v>6.6324595274009503</v>
      </c>
      <c r="Y585" s="21">
        <f t="shared" ref="Y585:AE585" ca="1" si="965">($J$85)*60/Y581</f>
        <v>3.5439098554921005</v>
      </c>
      <c r="Z585" s="21">
        <f t="shared" ca="1" si="965"/>
        <v>3.5942189115155454</v>
      </c>
      <c r="AA585" s="21">
        <f t="shared" ca="1" si="965"/>
        <v>7.2872618407991805</v>
      </c>
      <c r="AB585" s="21">
        <f t="shared" ca="1" si="965"/>
        <v>6.8666736204410652</v>
      </c>
      <c r="AC585" s="21">
        <f t="shared" ca="1" si="965"/>
        <v>5.8007697541971135</v>
      </c>
      <c r="AD585" s="21">
        <f t="shared" ca="1" si="965"/>
        <v>8.1294807842868231</v>
      </c>
      <c r="AE585" s="21">
        <f t="shared" ca="1" si="965"/>
        <v>5.7003087570876554</v>
      </c>
      <c r="AF585" s="613">
        <f ca="1">SUMPRODUCT(Y$476:AE$476,Y585:AE585)/AF$476</f>
        <v>6.6399189472505622</v>
      </c>
      <c r="AH585" s="21">
        <f t="shared" ref="AH585:AN585" ca="1" si="966">($K$85)*60/AH581</f>
        <v>4.5362046150298889</v>
      </c>
      <c r="AI585" s="21">
        <f t="shared" ca="1" si="966"/>
        <v>4.6006002067398981</v>
      </c>
      <c r="AJ585" s="21">
        <f t="shared" ca="1" si="966"/>
        <v>9.3276951562229513</v>
      </c>
      <c r="AK585" s="21">
        <f t="shared" ca="1" si="966"/>
        <v>8.7893422341645628</v>
      </c>
      <c r="AL585" s="21">
        <f t="shared" ca="1" si="966"/>
        <v>7.4249852853723048</v>
      </c>
      <c r="AM585" s="21">
        <f t="shared" ca="1" si="966"/>
        <v>10.405735403887133</v>
      </c>
      <c r="AN585" s="21">
        <f t="shared" ca="1" si="966"/>
        <v>7.2963952090721982</v>
      </c>
      <c r="AO585" s="613">
        <f ca="1">SUMPRODUCT(AH$476:AN$476,AH585:AN585)/AO$476</f>
        <v>8.1971435549691698</v>
      </c>
      <c r="AQ585" s="21">
        <f t="shared" ref="AQ585:AW585" ca="1" si="967">($L$85)*60/AQ581</f>
        <v>5.9686902829340651</v>
      </c>
      <c r="AR585" s="21">
        <f t="shared" ca="1" si="967"/>
        <v>6.0534213246577613</v>
      </c>
      <c r="AS585" s="21">
        <f t="shared" ca="1" si="967"/>
        <v>12.273283100293357</v>
      </c>
      <c r="AT585" s="21">
        <f t="shared" ca="1" si="967"/>
        <v>11.564923992321793</v>
      </c>
      <c r="AU585" s="21">
        <f t="shared" ca="1" si="967"/>
        <v>9.769717480753032</v>
      </c>
      <c r="AV585" s="21">
        <f t="shared" ca="1" si="967"/>
        <v>13.691757110377807</v>
      </c>
      <c r="AW585" s="21">
        <f t="shared" ca="1" si="967"/>
        <v>9.6005200119371032</v>
      </c>
      <c r="AX585" s="613">
        <f ca="1">SUMPRODUCT(AQ$476:AW$476,AQ585:AW585)/AX$476</f>
        <v>10.662232331843112</v>
      </c>
      <c r="AZ585" s="21">
        <f t="shared" ref="AZ585:BF585" ca="1" si="968">($M$85)*60/AZ581</f>
        <v>8.5053836531810418</v>
      </c>
      <c r="BA585" s="21">
        <f t="shared" ca="1" si="968"/>
        <v>8.626125387637309</v>
      </c>
      <c r="BB585" s="21">
        <f t="shared" ca="1" si="968"/>
        <v>17.489428417918035</v>
      </c>
      <c r="BC585" s="21">
        <f t="shared" ca="1" si="968"/>
        <v>16.480016689058555</v>
      </c>
      <c r="BD585" s="21">
        <f t="shared" ca="1" si="968"/>
        <v>13.921847410073072</v>
      </c>
      <c r="BE585" s="21">
        <f t="shared" ca="1" si="968"/>
        <v>19.510753882288373</v>
      </c>
      <c r="BF585" s="21">
        <f t="shared" ca="1" si="968"/>
        <v>13.680741017010373</v>
      </c>
      <c r="BG585" s="613">
        <f ca="1">SUMPRODUCT(AZ$476:BF$476,AZ585:BF585)/BG$476</f>
        <v>15.78051402884315</v>
      </c>
      <c r="BI585" s="21">
        <f t="shared" ref="BI585:BO585" ca="1" si="969">($N$85)*60/BI581</f>
        <v>5.6702557687873609</v>
      </c>
      <c r="BJ585" s="21">
        <f t="shared" ca="1" si="969"/>
        <v>5.7507502584248726</v>
      </c>
      <c r="BK585" s="21">
        <f t="shared" ca="1" si="969"/>
        <v>11.659618945278689</v>
      </c>
      <c r="BL585" s="21">
        <f t="shared" ca="1" si="969"/>
        <v>10.986677792705704</v>
      </c>
      <c r="BM585" s="21">
        <f t="shared" ca="1" si="969"/>
        <v>9.2812316067153819</v>
      </c>
      <c r="BN585" s="21">
        <f t="shared" ca="1" si="969"/>
        <v>13.007169254858916</v>
      </c>
      <c r="BO585" s="21">
        <f t="shared" ca="1" si="969"/>
        <v>9.1204940113402486</v>
      </c>
      <c r="BP585" s="613">
        <f ca="1">SUMPRODUCT(BI$476:BO$476,BI585:BO585)/BP$476</f>
        <v>10.552559913392125</v>
      </c>
    </row>
    <row r="586" spans="2:68" ht="13.2" customHeight="1">
      <c r="B586" s="280" t="s">
        <v>2159</v>
      </c>
      <c r="C586" s="297"/>
      <c r="D586" s="297"/>
      <c r="E586" s="297"/>
      <c r="F586" s="297"/>
      <c r="G586" s="3738"/>
      <c r="H586" s="3739"/>
      <c r="I586" s="3739"/>
      <c r="J586" s="3739"/>
      <c r="K586" s="3739"/>
      <c r="L586" s="3922"/>
      <c r="O586" s="39">
        <f>ROW()</f>
        <v>586</v>
      </c>
      <c r="P586" s="21">
        <f t="shared" ref="P586:V586" ca="1" si="970">60*$I$85/(1/($P$135/$P581+$Q$135/$Q581+$R$135/$R581+$S$135/$S581+$T$135/$T581+$U$135/$U581+$V$135/$V581))</f>
        <v>6.5506332906304392</v>
      </c>
      <c r="Q586" s="21">
        <f t="shared" ca="1" si="970"/>
        <v>6.5506332906304392</v>
      </c>
      <c r="R586" s="21">
        <f t="shared" ca="1" si="970"/>
        <v>6.5506332906304392</v>
      </c>
      <c r="S586" s="21">
        <f t="shared" ca="1" si="970"/>
        <v>6.5506332906304392</v>
      </c>
      <c r="T586" s="21">
        <f t="shared" ca="1" si="970"/>
        <v>6.5506332906304392</v>
      </c>
      <c r="U586" s="21">
        <f t="shared" ca="1" si="970"/>
        <v>6.5506332906304392</v>
      </c>
      <c r="V586" s="21">
        <f t="shared" ca="1" si="970"/>
        <v>6.5506332906304392</v>
      </c>
      <c r="W586" s="613">
        <f ca="1">SUMPRODUCT(P$383:V$383,P586:V586)/W$383</f>
        <v>6.5506332906304383</v>
      </c>
      <c r="Y586" s="21">
        <f t="shared" ref="Y586:AE586" ca="1" si="971">60*$J$85/(1/($Y$135/$Y581+$Z$135/$Z581+$AA$135/$AA581+$AB$135/$AB581+$AC$135/$AC581+$AD$135/$AD581+$AE$135/$AE581))</f>
        <v>6.5506332906304401</v>
      </c>
      <c r="Z586" s="21">
        <f t="shared" ca="1" si="971"/>
        <v>6.5506332906304401</v>
      </c>
      <c r="AA586" s="21">
        <f t="shared" ca="1" si="971"/>
        <v>6.5506332906304401</v>
      </c>
      <c r="AB586" s="21">
        <f t="shared" ca="1" si="971"/>
        <v>6.5506332906304401</v>
      </c>
      <c r="AC586" s="21">
        <f t="shared" ca="1" si="971"/>
        <v>6.5506332906304401</v>
      </c>
      <c r="AD586" s="21">
        <f t="shared" ca="1" si="971"/>
        <v>6.5506332906304401</v>
      </c>
      <c r="AE586" s="21">
        <f t="shared" ca="1" si="971"/>
        <v>6.5506332906304401</v>
      </c>
      <c r="AF586" s="613">
        <f ca="1">SUMPRODUCT(Y$383:AE$383,Y586:AE586)/AF$383</f>
        <v>6.5506332906304401</v>
      </c>
      <c r="AH586" s="21">
        <f t="shared" ref="AH586:AN586" ca="1" si="972">AH585</f>
        <v>4.5362046150298889</v>
      </c>
      <c r="AI586" s="21">
        <f t="shared" ca="1" si="972"/>
        <v>4.6006002067398981</v>
      </c>
      <c r="AJ586" s="21">
        <f t="shared" ca="1" si="972"/>
        <v>9.3276951562229513</v>
      </c>
      <c r="AK586" s="21">
        <f t="shared" ca="1" si="972"/>
        <v>8.7893422341645628</v>
      </c>
      <c r="AL586" s="21">
        <f t="shared" ca="1" si="972"/>
        <v>7.4249852853723048</v>
      </c>
      <c r="AM586" s="21">
        <f t="shared" ca="1" si="972"/>
        <v>10.405735403887133</v>
      </c>
      <c r="AN586" s="21">
        <f t="shared" ca="1" si="972"/>
        <v>7.2963952090721982</v>
      </c>
      <c r="AO586" s="613">
        <f ca="1">SUMPRODUCT(AH$383:AN$383,AH586:AN586)/AO$383</f>
        <v>8.1498477334423995</v>
      </c>
      <c r="AQ586" s="21"/>
      <c r="AR586" s="21"/>
      <c r="AS586" s="21"/>
      <c r="AT586" s="21"/>
      <c r="AU586" s="21"/>
      <c r="AV586" s="21"/>
      <c r="AW586" s="21"/>
      <c r="AX586" s="613"/>
      <c r="AZ586" s="21">
        <f t="shared" ref="AZ586:BF586" ca="1" si="973">60*$M$85/(1/($AZ$135/$AZ581+$BA$135/$BA581+$BB$135/$BB581+$BC$135/$BC581+$BD$135/$BD581+$BE$135/$BE581+$BF$135/$BF581))</f>
        <v>15.721519897513057</v>
      </c>
      <c r="BA586" s="21">
        <f t="shared" ca="1" si="973"/>
        <v>15.721519897513057</v>
      </c>
      <c r="BB586" s="21">
        <f t="shared" ca="1" si="973"/>
        <v>15.721519897513057</v>
      </c>
      <c r="BC586" s="21">
        <f t="shared" ca="1" si="973"/>
        <v>15.721519897513057</v>
      </c>
      <c r="BD586" s="21">
        <f t="shared" ca="1" si="973"/>
        <v>15.721519897513057</v>
      </c>
      <c r="BE586" s="21">
        <f t="shared" ca="1" si="973"/>
        <v>15.721519897513057</v>
      </c>
      <c r="BF586" s="21">
        <f t="shared" ca="1" si="973"/>
        <v>15.721519897513057</v>
      </c>
      <c r="BG586" s="613">
        <f ca="1">SUMPRODUCT(AZ$383:BF$383,AZ586:BF586)/BG$383</f>
        <v>15.721519897513053</v>
      </c>
      <c r="BI586" s="21">
        <f t="shared" ref="BI586:BO586" ca="1" si="974">60*$N$85/(1/($BI$135/$BI581+$BJ$135/$BJ581+$BK$135/$BK581+$BL$135/$BL581+$BM$135/$BM581+$BN$135/$BN581+$BO$135/$BO581))</f>
        <v>10.481013265008698</v>
      </c>
      <c r="BJ586" s="21">
        <f t="shared" ca="1" si="974"/>
        <v>10.481013265008698</v>
      </c>
      <c r="BK586" s="21">
        <f t="shared" ca="1" si="974"/>
        <v>10.481013265008698</v>
      </c>
      <c r="BL586" s="21">
        <f t="shared" ca="1" si="974"/>
        <v>10.481013265008698</v>
      </c>
      <c r="BM586" s="21">
        <f t="shared" ca="1" si="974"/>
        <v>10.481013265008698</v>
      </c>
      <c r="BN586" s="21">
        <f t="shared" ca="1" si="974"/>
        <v>10.481013265008698</v>
      </c>
      <c r="BO586" s="21">
        <f t="shared" ca="1" si="974"/>
        <v>10.481013265008698</v>
      </c>
      <c r="BP586" s="613">
        <f ca="1">SUMPRODUCT(BI$383:BO$383,BI586:BO586)/BP$383</f>
        <v>10.4810132650087</v>
      </c>
    </row>
    <row r="587" spans="2:68" ht="13.2" customHeight="1">
      <c r="B587" s="280" t="s">
        <v>2160</v>
      </c>
      <c r="C587" s="297"/>
      <c r="D587" s="297"/>
      <c r="E587" s="297"/>
      <c r="F587" s="297"/>
      <c r="G587" s="3738"/>
      <c r="H587" s="3739"/>
      <c r="I587" s="3739"/>
      <c r="J587" s="3739"/>
      <c r="K587" s="3739"/>
      <c r="L587" s="3922"/>
      <c r="O587" s="39">
        <f>ROW()</f>
        <v>587</v>
      </c>
      <c r="P587" s="21">
        <f t="shared" ref="P587:V587" ca="1" si="975">($I$79)*60/P582</f>
        <v>18.438976991730726</v>
      </c>
      <c r="Q587" s="21">
        <f t="shared" ca="1" si="975"/>
        <v>21.319965496462853</v>
      </c>
      <c r="R587" s="21">
        <f t="shared" ca="1" si="975"/>
        <v>55.468833186151159</v>
      </c>
      <c r="S587" s="21">
        <f t="shared" ca="1" si="975"/>
        <v>46.648889431341594</v>
      </c>
      <c r="T587" s="21">
        <f t="shared" ca="1" si="975"/>
        <v>40.053343899166251</v>
      </c>
      <c r="U587" s="21">
        <f t="shared" ca="1" si="975"/>
        <v>61.783691187714894</v>
      </c>
      <c r="V587" s="21">
        <f t="shared" ca="1" si="975"/>
        <v>36.72011765702748</v>
      </c>
      <c r="W587" s="613">
        <f ca="1">SUMPRODUCT(P$476:V$476,P587:V587)/W$476</f>
        <v>47.716759927802229</v>
      </c>
      <c r="Y587" s="21">
        <f t="shared" ref="Y587:AE587" ca="1" si="976">($J$79)*60/Y582</f>
        <v>18.438976991730726</v>
      </c>
      <c r="Z587" s="21">
        <f t="shared" ca="1" si="976"/>
        <v>21.319965496462853</v>
      </c>
      <c r="AA587" s="21">
        <f t="shared" ca="1" si="976"/>
        <v>55.468833186151159</v>
      </c>
      <c r="AB587" s="21">
        <f t="shared" ca="1" si="976"/>
        <v>46.648889431341594</v>
      </c>
      <c r="AC587" s="21">
        <f t="shared" ca="1" si="976"/>
        <v>40.053343899166251</v>
      </c>
      <c r="AD587" s="21">
        <f t="shared" ca="1" si="976"/>
        <v>61.783691187714894</v>
      </c>
      <c r="AE587" s="21">
        <f t="shared" ca="1" si="976"/>
        <v>36.72011765702748</v>
      </c>
      <c r="AF587" s="613">
        <f ca="1">SUMPRODUCT(Y$476:AE$476,Y587:AE587)/AF$476</f>
        <v>47.563073842349951</v>
      </c>
      <c r="AH587" s="21">
        <f t="shared" ref="AH587:AN587" ca="1" si="977">($K$79)*60/AH582</f>
        <v>27.658465487596093</v>
      </c>
      <c r="AI587" s="21">
        <f t="shared" ca="1" si="977"/>
        <v>31.979948244694278</v>
      </c>
      <c r="AJ587" s="21">
        <f t="shared" ca="1" si="977"/>
        <v>83.203249779226738</v>
      </c>
      <c r="AK587" s="21">
        <f t="shared" ca="1" si="977"/>
        <v>69.973334147012395</v>
      </c>
      <c r="AL587" s="21">
        <f t="shared" ca="1" si="977"/>
        <v>60.080015848749376</v>
      </c>
      <c r="AM587" s="21">
        <f t="shared" ca="1" si="977"/>
        <v>92.675536781572347</v>
      </c>
      <c r="AN587" s="21">
        <f t="shared" ca="1" si="977"/>
        <v>55.080176485541223</v>
      </c>
      <c r="AO587" s="613">
        <f ca="1">SUMPRODUCT(AH$476:AN$476,AH587:AN587)/AO$476</f>
        <v>68.015433770971342</v>
      </c>
      <c r="AQ587" s="21">
        <f t="shared" ref="AQ587:AW587" ca="1" si="978">($L$79)*60/AQ582</f>
        <v>6.6124844587970912</v>
      </c>
      <c r="AR587" s="21">
        <f t="shared" ca="1" si="978"/>
        <v>7.6456487022395416</v>
      </c>
      <c r="AS587" s="21">
        <f t="shared" ca="1" si="978"/>
        <v>19.891927711365149</v>
      </c>
      <c r="AT587" s="21">
        <f t="shared" ca="1" si="978"/>
        <v>16.728968018303103</v>
      </c>
      <c r="AU587" s="21">
        <f t="shared" ca="1" si="978"/>
        <v>14.363709774944104</v>
      </c>
      <c r="AV587" s="21">
        <f t="shared" ca="1" si="978"/>
        <v>22.156527337124061</v>
      </c>
      <c r="AW587" s="21">
        <f t="shared" ca="1" si="978"/>
        <v>13.16836652278419</v>
      </c>
      <c r="AX587" s="613">
        <f ca="1">SUMPRODUCT(AQ$476:AW$476,AQ587:AW587)/AX$476</f>
        <v>16.010499410179936</v>
      </c>
      <c r="AZ587" s="21">
        <f t="shared" ref="AZ587:BF587" ca="1" si="979">($M$79)*60/AZ582</f>
        <v>13.660289237329309</v>
      </c>
      <c r="BA587" s="21">
        <f t="shared" ca="1" si="979"/>
        <v>15.794634124342899</v>
      </c>
      <c r="BB587" s="21">
        <f t="shared" ca="1" si="979"/>
        <v>41.093402596022976</v>
      </c>
      <c r="BC587" s="21">
        <f t="shared" ca="1" si="979"/>
        <v>34.559255782904899</v>
      </c>
      <c r="BD587" s="21">
        <f t="shared" ca="1" si="979"/>
        <v>29.673027024774996</v>
      </c>
      <c r="BE587" s="21">
        <f t="shared" ca="1" si="979"/>
        <v>45.771687450584594</v>
      </c>
      <c r="BF587" s="21">
        <f t="shared" ca="1" si="979"/>
        <v>27.20364737418528</v>
      </c>
      <c r="BG587" s="613">
        <f ca="1">SUMPRODUCT(AZ$476:BF$476,AZ587:BF587)/BG$476</f>
        <v>34.86060697515947</v>
      </c>
      <c r="BI587" s="21">
        <f t="shared" ref="BI587:BO587" ca="1" si="980">($N$79)*60/BI582</f>
        <v>18.948340997027159</v>
      </c>
      <c r="BJ587" s="21">
        <f t="shared" ca="1" si="980"/>
        <v>21.908914819569567</v>
      </c>
      <c r="BK587" s="21">
        <f t="shared" ca="1" si="980"/>
        <v>57.001121395713355</v>
      </c>
      <c r="BL587" s="21">
        <f t="shared" ca="1" si="980"/>
        <v>47.937532785798552</v>
      </c>
      <c r="BM587" s="21">
        <f t="shared" ca="1" si="980"/>
        <v>41.159789863231623</v>
      </c>
      <c r="BN587" s="21">
        <f t="shared" ca="1" si="980"/>
        <v>63.49042298848051</v>
      </c>
      <c r="BO587" s="21">
        <f t="shared" ca="1" si="980"/>
        <v>37.734485548105596</v>
      </c>
      <c r="BP587" s="613">
        <f ca="1">SUMPRODUCT(BI$476:BO$476,BI587:BO587)/BP$476</f>
        <v>48.55341319032356</v>
      </c>
    </row>
    <row r="588" spans="2:68" ht="13.2" customHeight="1">
      <c r="B588" s="280" t="s">
        <v>1138</v>
      </c>
      <c r="C588" s="297"/>
      <c r="D588" s="297"/>
      <c r="E588" s="297"/>
      <c r="F588" s="297"/>
      <c r="G588" s="3738"/>
      <c r="H588" s="3739"/>
      <c r="I588" s="3739"/>
      <c r="J588" s="3739"/>
      <c r="K588" s="3739"/>
      <c r="L588" s="3922"/>
      <c r="O588" s="39">
        <f>ROW()</f>
        <v>588</v>
      </c>
      <c r="P588" s="21">
        <f t="shared" ref="P588:V588" ca="1" si="981">60*$I$79/(1/($P$135/$P582+$Q$135/$Q582+$R$135/$R582+$S$135/$S582+$T$135/$T582+$U$135/$U582+$V$135/$V582))</f>
        <v>46.738181150920944</v>
      </c>
      <c r="Q588" s="21">
        <f t="shared" ca="1" si="981"/>
        <v>46.738181150920944</v>
      </c>
      <c r="R588" s="21">
        <f t="shared" ca="1" si="981"/>
        <v>46.738181150920944</v>
      </c>
      <c r="S588" s="21">
        <f t="shared" ca="1" si="981"/>
        <v>46.738181150920944</v>
      </c>
      <c r="T588" s="21">
        <f t="shared" ca="1" si="981"/>
        <v>46.738181150920944</v>
      </c>
      <c r="U588" s="21">
        <f t="shared" ca="1" si="981"/>
        <v>46.738181150920944</v>
      </c>
      <c r="V588" s="21">
        <f t="shared" ca="1" si="981"/>
        <v>46.738181150920944</v>
      </c>
      <c r="W588" s="613">
        <f ca="1">SUMPRODUCT(P$476:V$476,P588:V588)/W$476</f>
        <v>46.738181150920937</v>
      </c>
      <c r="Y588" s="21">
        <f t="shared" ref="Y588:AE588" ca="1" si="982">60*$J$79/(1/($Y$135/$Y582+$Z$135/$Z582+$AA$135/$AA582+$AB$135/$AB582+$AC$135/$AC582+$AD$135/$AD582+$AE$135/$AE582))</f>
        <v>46.738181150920951</v>
      </c>
      <c r="Z588" s="21">
        <f t="shared" ca="1" si="982"/>
        <v>46.738181150920951</v>
      </c>
      <c r="AA588" s="21">
        <f t="shared" ca="1" si="982"/>
        <v>46.738181150920951</v>
      </c>
      <c r="AB588" s="21">
        <f t="shared" ca="1" si="982"/>
        <v>46.738181150920951</v>
      </c>
      <c r="AC588" s="21">
        <f t="shared" ca="1" si="982"/>
        <v>46.738181150920951</v>
      </c>
      <c r="AD588" s="21">
        <f t="shared" ca="1" si="982"/>
        <v>46.738181150920951</v>
      </c>
      <c r="AE588" s="21">
        <f t="shared" ca="1" si="982"/>
        <v>46.738181150920951</v>
      </c>
      <c r="AF588" s="613">
        <f ca="1">SUMPRODUCT(Y$476:AE$476,Y588:AE588)/AF$476</f>
        <v>46.738181150920951</v>
      </c>
      <c r="AH588" s="21">
        <f t="shared" ref="AH588:AN588" ca="1" si="983">AH587</f>
        <v>27.658465487596093</v>
      </c>
      <c r="AI588" s="21">
        <f t="shared" ca="1" si="983"/>
        <v>31.979948244694278</v>
      </c>
      <c r="AJ588" s="21">
        <f t="shared" ca="1" si="983"/>
        <v>83.203249779226738</v>
      </c>
      <c r="AK588" s="21">
        <f t="shared" ca="1" si="983"/>
        <v>69.973334147012395</v>
      </c>
      <c r="AL588" s="21">
        <f t="shared" ca="1" si="983"/>
        <v>60.080015848749376</v>
      </c>
      <c r="AM588" s="21">
        <f t="shared" ca="1" si="983"/>
        <v>92.675536781572347</v>
      </c>
      <c r="AN588" s="21">
        <f t="shared" ca="1" si="983"/>
        <v>55.080176485541223</v>
      </c>
      <c r="AO588" s="613">
        <f ca="1">SUMPRODUCT(AH$476:AN$476,AH588:AN588)/AO$476</f>
        <v>68.015433770971342</v>
      </c>
      <c r="AX588" s="613"/>
      <c r="AZ588" s="21">
        <f t="shared" ref="AZ588:BF588" ca="1" si="984">60*$M$79/(1/($AZ$135/$AZ582+$BA$135/$BA582+$BB$135/$BB582+$BC$135/$BC582+$BD$135/$BD582+$BE$135/$BE582+$BF$135/$BF582))</f>
        <v>34.625406454739867</v>
      </c>
      <c r="BA588" s="21">
        <f t="shared" ca="1" si="984"/>
        <v>34.625406454739867</v>
      </c>
      <c r="BB588" s="21">
        <f t="shared" ca="1" si="984"/>
        <v>34.625406454739867</v>
      </c>
      <c r="BC588" s="21">
        <f t="shared" ca="1" si="984"/>
        <v>34.625406454739867</v>
      </c>
      <c r="BD588" s="21">
        <f t="shared" ca="1" si="984"/>
        <v>34.625406454739867</v>
      </c>
      <c r="BE588" s="21">
        <f t="shared" ca="1" si="984"/>
        <v>34.625406454739867</v>
      </c>
      <c r="BF588" s="21">
        <f t="shared" ca="1" si="984"/>
        <v>34.625406454739867</v>
      </c>
      <c r="BG588" s="613">
        <f ca="1">SUMPRODUCT(AZ$476:BF$476,AZ588:BF588)/BG$476</f>
        <v>34.625406454739874</v>
      </c>
      <c r="BI588" s="21">
        <f t="shared" ref="BI588:BO588" ca="1" si="985">60*$N$79/(1/($BI$135/$BI582+$BJ$135/$BJ582+$BK$135/$BK582+$BL$135/$BL582+$BM$135/$BM582+$BN$135/$BN582+$BO$135/$BO582))</f>
        <v>48.029291127465733</v>
      </c>
      <c r="BJ588" s="21">
        <f t="shared" ca="1" si="985"/>
        <v>48.029291127465733</v>
      </c>
      <c r="BK588" s="21">
        <f t="shared" ca="1" si="985"/>
        <v>48.029291127465733</v>
      </c>
      <c r="BL588" s="21">
        <f t="shared" ca="1" si="985"/>
        <v>48.029291127465733</v>
      </c>
      <c r="BM588" s="21">
        <f t="shared" ca="1" si="985"/>
        <v>48.029291127465733</v>
      </c>
      <c r="BN588" s="21">
        <f t="shared" ca="1" si="985"/>
        <v>48.029291127465733</v>
      </c>
      <c r="BO588" s="21">
        <f t="shared" ca="1" si="985"/>
        <v>48.029291127465733</v>
      </c>
      <c r="BP588" s="613">
        <f ca="1">SUMPRODUCT(BI$476:BO$476,BI588:BO588)/BP$476</f>
        <v>48.029291127465726</v>
      </c>
    </row>
    <row r="589" spans="2:68" ht="13.2" customHeight="1">
      <c r="B589" s="308" t="s">
        <v>2243</v>
      </c>
      <c r="C589" s="297"/>
      <c r="D589" s="297"/>
      <c r="E589" s="297"/>
      <c r="F589" s="297"/>
      <c r="G589" s="3741"/>
      <c r="H589" s="3742"/>
      <c r="I589" s="3742"/>
      <c r="J589" s="3742"/>
      <c r="K589" s="3742"/>
      <c r="L589" s="3777"/>
      <c r="O589" s="39">
        <f>ROW()</f>
        <v>589</v>
      </c>
      <c r="P589" s="21">
        <f t="shared" ref="P589:W589" ca="1" si="986">SUM(P585:P588)</f>
        <v>75.27170128877421</v>
      </c>
      <c r="Q589" s="21">
        <f t="shared" ca="1" si="986"/>
        <v>78.202998849529777</v>
      </c>
      <c r="R589" s="21">
        <f t="shared" ca="1" si="986"/>
        <v>116.04490946850171</v>
      </c>
      <c r="S589" s="21">
        <f t="shared" ca="1" si="986"/>
        <v>106.80437749333404</v>
      </c>
      <c r="T589" s="21">
        <f t="shared" ca="1" si="986"/>
        <v>99.142928094914737</v>
      </c>
      <c r="U589" s="21">
        <f t="shared" ca="1" si="986"/>
        <v>123.2019864135531</v>
      </c>
      <c r="V589" s="21">
        <f t="shared" ca="1" si="986"/>
        <v>95.709240855666508</v>
      </c>
      <c r="W589" s="614">
        <f t="shared" ca="1" si="986"/>
        <v>107.63803389675456</v>
      </c>
      <c r="Y589" s="21">
        <f t="shared" ref="Y589:AF589" ca="1" si="987">SUM(Y585:Y588)</f>
        <v>75.27170128877421</v>
      </c>
      <c r="Z589" s="21">
        <f t="shared" ca="1" si="987"/>
        <v>78.202998849529791</v>
      </c>
      <c r="AA589" s="21">
        <f t="shared" ca="1" si="987"/>
        <v>116.04490946850173</v>
      </c>
      <c r="AB589" s="21">
        <f t="shared" ca="1" si="987"/>
        <v>106.80437749333404</v>
      </c>
      <c r="AC589" s="21">
        <f t="shared" ca="1" si="987"/>
        <v>99.142928094914751</v>
      </c>
      <c r="AD589" s="21">
        <f t="shared" ca="1" si="987"/>
        <v>123.2019864135531</v>
      </c>
      <c r="AE589" s="21">
        <f t="shared" ca="1" si="987"/>
        <v>95.709240855666522</v>
      </c>
      <c r="AF589" s="614">
        <f t="shared" ca="1" si="987"/>
        <v>107.49180723115191</v>
      </c>
      <c r="AH589" s="21">
        <f t="shared" ref="AH589:AO589" ca="1" si="988">SUM(AH585:AH588)</f>
        <v>64.389340205251969</v>
      </c>
      <c r="AI589" s="21">
        <f t="shared" ca="1" si="988"/>
        <v>73.161096902868351</v>
      </c>
      <c r="AJ589" s="21">
        <f t="shared" ca="1" si="988"/>
        <v>185.06188987089939</v>
      </c>
      <c r="AK589" s="21">
        <f t="shared" ca="1" si="988"/>
        <v>157.52535276235392</v>
      </c>
      <c r="AL589" s="21">
        <f t="shared" ca="1" si="988"/>
        <v>135.01000226824337</v>
      </c>
      <c r="AM589" s="21">
        <f t="shared" ca="1" si="988"/>
        <v>206.16254437091897</v>
      </c>
      <c r="AN589" s="21">
        <f t="shared" ca="1" si="988"/>
        <v>124.75314338922684</v>
      </c>
      <c r="AO589" s="614">
        <f t="shared" ca="1" si="988"/>
        <v>152.37785883035426</v>
      </c>
      <c r="AQ589" s="21">
        <f t="shared" ref="AQ589:AX589" ca="1" si="989">AQ585+AQ587</f>
        <v>12.581174741731157</v>
      </c>
      <c r="AR589" s="21">
        <f t="shared" ca="1" si="989"/>
        <v>13.699070026897303</v>
      </c>
      <c r="AS589" s="21">
        <f t="shared" ca="1" si="989"/>
        <v>32.165210811658504</v>
      </c>
      <c r="AT589" s="21">
        <f t="shared" ca="1" si="989"/>
        <v>28.293892010624894</v>
      </c>
      <c r="AU589" s="21">
        <f t="shared" ca="1" si="989"/>
        <v>24.133427255697136</v>
      </c>
      <c r="AV589" s="21">
        <f t="shared" ca="1" si="989"/>
        <v>35.848284447501868</v>
      </c>
      <c r="AW589" s="21">
        <f t="shared" ca="1" si="989"/>
        <v>22.768886534721293</v>
      </c>
      <c r="AX589" s="614">
        <f t="shared" ca="1" si="989"/>
        <v>26.672731742023046</v>
      </c>
      <c r="AZ589" s="21">
        <f t="shared" ref="AZ589:BG589" ca="1" si="990">SUM(AZ585:AZ588)</f>
        <v>72.512599242763272</v>
      </c>
      <c r="BA589" s="21">
        <f t="shared" ca="1" si="990"/>
        <v>74.76768586423313</v>
      </c>
      <c r="BB589" s="21">
        <f t="shared" ca="1" si="990"/>
        <v>108.92975736619394</v>
      </c>
      <c r="BC589" s="21">
        <f t="shared" ca="1" si="990"/>
        <v>101.38619882421639</v>
      </c>
      <c r="BD589" s="21">
        <f t="shared" ca="1" si="990"/>
        <v>93.941800787100988</v>
      </c>
      <c r="BE589" s="21">
        <f t="shared" ca="1" si="990"/>
        <v>115.62936768512589</v>
      </c>
      <c r="BF589" s="21">
        <f t="shared" ca="1" si="990"/>
        <v>91.231314743448578</v>
      </c>
      <c r="BG589" s="614">
        <f t="shared" ca="1" si="990"/>
        <v>100.98804735625555</v>
      </c>
      <c r="BI589" s="21">
        <f t="shared" ref="BI589:BP589" ca="1" si="991">SUM(BI585:BI588)</f>
        <v>83.128901158288954</v>
      </c>
      <c r="BJ589" s="21">
        <f t="shared" ca="1" si="991"/>
        <v>86.169969470468871</v>
      </c>
      <c r="BK589" s="21">
        <f t="shared" ca="1" si="991"/>
        <v>127.17104473346649</v>
      </c>
      <c r="BL589" s="21">
        <f t="shared" ca="1" si="991"/>
        <v>117.43451497097868</v>
      </c>
      <c r="BM589" s="21">
        <f t="shared" ca="1" si="991"/>
        <v>108.95132586242144</v>
      </c>
      <c r="BN589" s="21">
        <f t="shared" ca="1" si="991"/>
        <v>135.00789663581386</v>
      </c>
      <c r="BO589" s="21">
        <f t="shared" ca="1" si="991"/>
        <v>105.36528395192028</v>
      </c>
      <c r="BP589" s="614">
        <f t="shared" ca="1" si="991"/>
        <v>117.61627749619011</v>
      </c>
    </row>
    <row r="590" spans="2:68" ht="13.2" customHeight="1">
      <c r="B590" s="280"/>
      <c r="G590" s="280"/>
      <c r="O590" s="39">
        <f>ROW()</f>
        <v>590</v>
      </c>
      <c r="P590" s="117"/>
      <c r="Q590" s="117"/>
      <c r="R590" s="117"/>
      <c r="S590" s="117"/>
      <c r="T590" s="117"/>
      <c r="U590" s="117"/>
      <c r="V590" s="117"/>
      <c r="W590" s="117"/>
      <c r="Y590" s="117"/>
      <c r="Z590" s="117"/>
      <c r="AA590" s="117"/>
      <c r="AB590" s="117"/>
      <c r="AC590" s="117"/>
      <c r="AD590" s="117"/>
      <c r="AE590" s="117"/>
      <c r="AF590" s="117"/>
      <c r="AH590" s="117"/>
      <c r="AI590" s="117"/>
      <c r="AJ590" s="117"/>
      <c r="AK590" s="117"/>
      <c r="AL590" s="117"/>
      <c r="AM590" s="117"/>
      <c r="AN590" s="117"/>
      <c r="AO590" s="117"/>
      <c r="AQ590" s="117"/>
      <c r="AR590" s="117"/>
      <c r="AS590" s="117"/>
      <c r="AT590" s="117"/>
      <c r="AU590" s="117"/>
      <c r="AV590" s="117"/>
      <c r="AW590" s="117"/>
      <c r="AX590" s="117"/>
      <c r="AZ590" s="117"/>
      <c r="BA590" s="117"/>
      <c r="BB590" s="117"/>
      <c r="BC590" s="117"/>
      <c r="BD590" s="117"/>
      <c r="BE590" s="117"/>
      <c r="BF590" s="117"/>
      <c r="BG590" s="117"/>
      <c r="BI590" s="117"/>
      <c r="BJ590" s="117"/>
      <c r="BK590" s="117"/>
      <c r="BL590" s="117"/>
      <c r="BM590" s="117"/>
      <c r="BN590" s="117"/>
      <c r="BO590" s="117"/>
      <c r="BP590" s="117"/>
    </row>
    <row r="591" spans="2:68" ht="13.2" customHeight="1">
      <c r="B591" s="308" t="s">
        <v>1345</v>
      </c>
      <c r="G591" s="4285" t="s">
        <v>2351</v>
      </c>
      <c r="H591" s="3970"/>
      <c r="I591" s="3970"/>
      <c r="J591" s="3970"/>
      <c r="K591" s="3970"/>
      <c r="L591" s="3971"/>
      <c r="O591" s="39">
        <f>ROW()</f>
        <v>591</v>
      </c>
      <c r="P591" s="117">
        <f t="shared" ref="P591:W591" ca="1" si="992">P589/P541</f>
        <v>1.0504935656315202</v>
      </c>
      <c r="Q591" s="117">
        <f t="shared" ca="1" si="992"/>
        <v>1.0481981367081457</v>
      </c>
      <c r="R591" s="117">
        <f t="shared" ca="1" si="992"/>
        <v>1.0811106083465516</v>
      </c>
      <c r="S591" s="117">
        <f t="shared" ca="1" si="992"/>
        <v>1.0644041659996035</v>
      </c>
      <c r="T591" s="117">
        <f t="shared" ca="1" si="992"/>
        <v>1.0528314024061307</v>
      </c>
      <c r="U591" s="117">
        <f t="shared" ca="1" si="992"/>
        <v>1.090314629054931</v>
      </c>
      <c r="V591" s="117">
        <f t="shared" ca="1" si="992"/>
        <v>1.0520100852933392</v>
      </c>
      <c r="W591" s="117">
        <f t="shared" ca="1" si="992"/>
        <v>1.0727988635791259</v>
      </c>
      <c r="Y591" s="117">
        <f t="shared" ref="Y591:AF591" ca="1" si="993">Y589/Y541</f>
        <v>1.0504935656315202</v>
      </c>
      <c r="Z591" s="117">
        <f t="shared" ca="1" si="993"/>
        <v>1.0481981367081459</v>
      </c>
      <c r="AA591" s="117">
        <f t="shared" ca="1" si="993"/>
        <v>1.0811106083465518</v>
      </c>
      <c r="AB591" s="117">
        <f t="shared" ca="1" si="993"/>
        <v>1.0644041659996035</v>
      </c>
      <c r="AC591" s="117">
        <f t="shared" ca="1" si="993"/>
        <v>1.0528314024061307</v>
      </c>
      <c r="AD591" s="117">
        <f t="shared" ca="1" si="993"/>
        <v>1.090314629054931</v>
      </c>
      <c r="AE591" s="117">
        <f t="shared" ca="1" si="993"/>
        <v>1.0520100852933394</v>
      </c>
      <c r="AF591" s="117">
        <f t="shared" ca="1" si="993"/>
        <v>1.073129102064533</v>
      </c>
      <c r="AH591" s="117">
        <f t="shared" ref="AH591:AO591" ca="1" si="994">AH589/AH541</f>
        <v>1.0005278305999561</v>
      </c>
      <c r="AI591" s="117">
        <f t="shared" ca="1" si="994"/>
        <v>0.99948925517715426</v>
      </c>
      <c r="AJ591" s="117">
        <f t="shared" ca="1" si="994"/>
        <v>1.0879811123210479</v>
      </c>
      <c r="AK591" s="117">
        <f t="shared" ca="1" si="994"/>
        <v>1.0557839403869111</v>
      </c>
      <c r="AL591" s="117">
        <f t="shared" ca="1" si="994"/>
        <v>1.0301580301023101</v>
      </c>
      <c r="AM591" s="117">
        <f t="shared" ca="1" si="994"/>
        <v>1.1037766940524478</v>
      </c>
      <c r="AN591" s="117">
        <f t="shared" ca="1" si="994"/>
        <v>1.0266833770638006</v>
      </c>
      <c r="AO591" s="117">
        <f t="shared" ca="1" si="994"/>
        <v>1.0697966321020331</v>
      </c>
      <c r="AQ591" s="117">
        <f t="shared" ref="AQ591:AX591" ca="1" si="995">AQ589/AQ541</f>
        <v>1.0019048396424453</v>
      </c>
      <c r="AR591" s="117">
        <f t="shared" ca="1" si="995"/>
        <v>1.0022661830406661</v>
      </c>
      <c r="AS591" s="117">
        <f t="shared" ca="1" si="995"/>
        <v>1.097338415156667</v>
      </c>
      <c r="AT591" s="117">
        <f t="shared" ca="1" si="995"/>
        <v>1.0671029414714857</v>
      </c>
      <c r="AU591" s="117">
        <f t="shared" ca="1" si="995"/>
        <v>1.041869530356851</v>
      </c>
      <c r="AV591" s="117">
        <f t="shared" ca="1" si="995"/>
        <v>1.112607901504</v>
      </c>
      <c r="AW591" s="117">
        <f t="shared" ca="1" si="995"/>
        <v>1.037512404605722</v>
      </c>
      <c r="AX591" s="117">
        <f t="shared" ca="1" si="995"/>
        <v>1.0756118409927329</v>
      </c>
      <c r="AZ591" s="117">
        <f t="shared" ref="AZ591:BG591" ca="1" si="996">AZ589/AZ541</f>
        <v>1.0533361110469333</v>
      </c>
      <c r="BA591" s="117">
        <f t="shared" ca="1" si="996"/>
        <v>1.0516793997012857</v>
      </c>
      <c r="BB591" s="117">
        <f t="shared" ca="1" si="996"/>
        <v>1.0867853739721403</v>
      </c>
      <c r="BC591" s="117">
        <f t="shared" ca="1" si="996"/>
        <v>1.0707510750308846</v>
      </c>
      <c r="BD591" s="117">
        <f t="shared" ca="1" si="996"/>
        <v>1.0592161581950204</v>
      </c>
      <c r="BE591" s="117">
        <f t="shared" ca="1" si="996"/>
        <v>1.0957738321222172</v>
      </c>
      <c r="BF591" s="117">
        <f t="shared" ca="1" si="996"/>
        <v>1.0579509053137868</v>
      </c>
      <c r="BG591" s="117">
        <f t="shared" ca="1" si="996"/>
        <v>1.0779228530531479</v>
      </c>
      <c r="BI591" s="117">
        <f t="shared" ref="BI591:BP591" ca="1" si="997">BI589/BI541</f>
        <v>1.0513473346648896</v>
      </c>
      <c r="BJ591" s="117">
        <f t="shared" ca="1" si="997"/>
        <v>1.0492377640390211</v>
      </c>
      <c r="BK591" s="117">
        <f t="shared" ca="1" si="997"/>
        <v>1.0827812968942834</v>
      </c>
      <c r="BL591" s="117">
        <f t="shared" ca="1" si="997"/>
        <v>1.0662866144968191</v>
      </c>
      <c r="BM591" s="117">
        <f t="shared" ca="1" si="997"/>
        <v>1.0547225114810306</v>
      </c>
      <c r="BN591" s="117">
        <f t="shared" ca="1" si="997"/>
        <v>1.091921944828101</v>
      </c>
      <c r="BO591" s="117">
        <f t="shared" ca="1" si="997"/>
        <v>1.0537776224535276</v>
      </c>
      <c r="BP591" s="117">
        <f t="shared" ca="1" si="997"/>
        <v>1.0743140748982793</v>
      </c>
    </row>
    <row r="592" spans="2:68" ht="13.2" customHeight="1">
      <c r="B592" s="280"/>
      <c r="G592" s="280"/>
      <c r="O592" s="39">
        <f>ROW()</f>
        <v>592</v>
      </c>
      <c r="P592" s="117"/>
      <c r="Q592" s="117"/>
      <c r="R592" s="117"/>
      <c r="S592" s="117"/>
      <c r="T592" s="117"/>
      <c r="U592" s="117"/>
      <c r="V592" s="117"/>
      <c r="W592" s="117"/>
      <c r="Y592" s="117"/>
      <c r="Z592" s="117"/>
      <c r="AA592" s="117"/>
      <c r="AB592" s="117"/>
      <c r="AC592" s="117"/>
      <c r="AD592" s="117"/>
      <c r="AE592" s="117"/>
      <c r="AF592" s="117"/>
      <c r="AH592" s="117"/>
      <c r="AI592" s="117"/>
      <c r="AJ592" s="117"/>
      <c r="AK592" s="117"/>
      <c r="AL592" s="117"/>
      <c r="AM592" s="117"/>
      <c r="AN592" s="117"/>
      <c r="AO592" s="117"/>
      <c r="AQ592" s="117"/>
      <c r="AR592" s="117"/>
      <c r="AS592" s="117"/>
      <c r="AT592" s="117"/>
      <c r="AU592" s="117"/>
      <c r="AV592" s="117"/>
      <c r="AW592" s="117"/>
      <c r="AX592" s="117"/>
      <c r="AZ592" s="117"/>
      <c r="BA592" s="117"/>
      <c r="BB592" s="117"/>
      <c r="BC592" s="117"/>
      <c r="BD592" s="117"/>
      <c r="BE592" s="117"/>
      <c r="BF592" s="117"/>
      <c r="BG592" s="117"/>
      <c r="BI592" s="117"/>
      <c r="BJ592" s="117"/>
      <c r="BK592" s="117"/>
      <c r="BL592" s="117"/>
      <c r="BM592" s="117"/>
      <c r="BN592" s="117"/>
      <c r="BO592" s="117"/>
      <c r="BP592" s="117"/>
    </row>
    <row r="593" spans="2:68" ht="13.2" customHeight="1">
      <c r="B593" s="308" t="s">
        <v>1571</v>
      </c>
      <c r="G593" s="280"/>
      <c r="O593" s="39">
        <f>ROW()</f>
        <v>593</v>
      </c>
      <c r="P593" s="117"/>
      <c r="Q593" s="117"/>
      <c r="R593" s="117"/>
      <c r="S593" s="117"/>
      <c r="T593" s="117"/>
      <c r="U593" s="117"/>
      <c r="V593" s="117"/>
      <c r="W593" s="117"/>
      <c r="Y593" s="117"/>
      <c r="Z593" s="117"/>
      <c r="AA593" s="117"/>
      <c r="AB593" s="117"/>
      <c r="AC593" s="117"/>
      <c r="AD593" s="117"/>
      <c r="AE593" s="117"/>
      <c r="AF593" s="117"/>
      <c r="AH593" s="117"/>
      <c r="AI593" s="117"/>
      <c r="AJ593" s="117"/>
      <c r="AK593" s="117"/>
      <c r="AL593" s="117"/>
      <c r="AM593" s="117"/>
      <c r="AN593" s="117"/>
      <c r="AO593" s="117"/>
      <c r="AQ593" s="117"/>
      <c r="AR593" s="117"/>
      <c r="AS593" s="117"/>
      <c r="AT593" s="117"/>
      <c r="AU593" s="117"/>
      <c r="AV593" s="117"/>
      <c r="AW593" s="117"/>
      <c r="AX593" s="117"/>
      <c r="AZ593" s="117"/>
      <c r="BA593" s="117"/>
      <c r="BB593" s="117"/>
      <c r="BC593" s="117"/>
      <c r="BD593" s="117"/>
      <c r="BE593" s="117"/>
      <c r="BF593" s="117"/>
      <c r="BG593" s="117"/>
      <c r="BI593" s="117"/>
      <c r="BJ593" s="117"/>
      <c r="BK593" s="117"/>
      <c r="BL593" s="117"/>
      <c r="BM593" s="117"/>
      <c r="BN593" s="117"/>
      <c r="BO593" s="117"/>
      <c r="BP593" s="117"/>
    </row>
    <row r="594" spans="2:68" ht="13.2" customHeight="1">
      <c r="B594" s="280" t="s">
        <v>2533</v>
      </c>
      <c r="G594" s="21">
        <f t="shared" ref="G594:M594" ca="1" si="998">AVERAGE(G$581,G$533,G$481,G$403)</f>
        <v>21.197254905037575</v>
      </c>
      <c r="H594" s="21">
        <f t="shared" ca="1" si="998"/>
        <v>20.97158534734082</v>
      </c>
      <c r="I594" s="21">
        <f t="shared" ca="1" si="998"/>
        <v>10.973260989312873</v>
      </c>
      <c r="J594" s="21">
        <f t="shared" ca="1" si="998"/>
        <v>11.469684310112143</v>
      </c>
      <c r="K594" s="21">
        <f t="shared" ca="1" si="998"/>
        <v>13.350040291687742</v>
      </c>
      <c r="L594" s="21">
        <f t="shared" ca="1" si="998"/>
        <v>9.8182142752799919</v>
      </c>
      <c r="M594" s="21">
        <f t="shared" ca="1" si="998"/>
        <v>13.536703927995317</v>
      </c>
      <c r="O594" s="39">
        <f>ROW()</f>
        <v>594</v>
      </c>
      <c r="P594" s="21">
        <f t="shared" ref="P594:V595" ca="1" si="999">G594</f>
        <v>21.197254905037575</v>
      </c>
      <c r="Q594" s="21">
        <f t="shared" ca="1" si="999"/>
        <v>20.97158534734082</v>
      </c>
      <c r="R594" s="21">
        <f t="shared" ca="1" si="999"/>
        <v>10.973260989312873</v>
      </c>
      <c r="S594" s="21">
        <f t="shared" ca="1" si="999"/>
        <v>11.469684310112143</v>
      </c>
      <c r="T594" s="21">
        <f t="shared" ca="1" si="999"/>
        <v>13.350040291687742</v>
      </c>
      <c r="U594" s="21">
        <f t="shared" ca="1" si="999"/>
        <v>9.8182142752799919</v>
      </c>
      <c r="V594" s="21">
        <f t="shared" ca="1" si="999"/>
        <v>13.536703927995317</v>
      </c>
      <c r="Y594" s="21">
        <f t="shared" ref="Y594:AE595" ca="1" si="1000">G594</f>
        <v>21.197254905037575</v>
      </c>
      <c r="Z594" s="21">
        <f t="shared" ca="1" si="1000"/>
        <v>20.97158534734082</v>
      </c>
      <c r="AA594" s="21">
        <f t="shared" ca="1" si="1000"/>
        <v>10.973260989312873</v>
      </c>
      <c r="AB594" s="21">
        <f t="shared" ca="1" si="1000"/>
        <v>11.469684310112143</v>
      </c>
      <c r="AC594" s="21">
        <f t="shared" ca="1" si="1000"/>
        <v>13.350040291687742</v>
      </c>
      <c r="AD594" s="21">
        <f t="shared" ca="1" si="1000"/>
        <v>9.8182142752799919</v>
      </c>
      <c r="AE594" s="21">
        <f t="shared" ca="1" si="1000"/>
        <v>13.536703927995317</v>
      </c>
      <c r="AH594" s="21">
        <f t="shared" ref="AH594:AN595" ca="1" si="1001">P594</f>
        <v>21.197254905037575</v>
      </c>
      <c r="AI594" s="21">
        <f t="shared" ca="1" si="1001"/>
        <v>20.97158534734082</v>
      </c>
      <c r="AJ594" s="21">
        <f t="shared" ca="1" si="1001"/>
        <v>10.973260989312873</v>
      </c>
      <c r="AK594" s="21">
        <f t="shared" ca="1" si="1001"/>
        <v>11.469684310112143</v>
      </c>
      <c r="AL594" s="21">
        <f t="shared" ca="1" si="1001"/>
        <v>13.350040291687742</v>
      </c>
      <c r="AM594" s="21">
        <f t="shared" ca="1" si="1001"/>
        <v>9.8182142752799919</v>
      </c>
      <c r="AN594" s="21">
        <f t="shared" ca="1" si="1001"/>
        <v>13.536703927995317</v>
      </c>
      <c r="AQ594" s="21">
        <f t="shared" ref="AQ594:AW594" ca="1" si="1002">G594*$AU$181</f>
        <v>20.137392159785694</v>
      </c>
      <c r="AR594" s="21">
        <f t="shared" ca="1" si="1002"/>
        <v>19.923006079973778</v>
      </c>
      <c r="AS594" s="21">
        <f t="shared" ca="1" si="1002"/>
        <v>10.42459793984723</v>
      </c>
      <c r="AT594" s="21">
        <f t="shared" ca="1" si="1002"/>
        <v>10.896200094606536</v>
      </c>
      <c r="AU594" s="21">
        <f t="shared" ca="1" si="1002"/>
        <v>12.682538277103355</v>
      </c>
      <c r="AV594" s="21">
        <f t="shared" ca="1" si="1002"/>
        <v>9.3273035615159916</v>
      </c>
      <c r="AW594" s="21">
        <f t="shared" ca="1" si="1002"/>
        <v>12.859868731595551</v>
      </c>
      <c r="AZ594" s="21">
        <f t="shared" ref="AZ594:BF595" ca="1" si="1003">G594</f>
        <v>21.197254905037575</v>
      </c>
      <c r="BA594" s="21">
        <f t="shared" ca="1" si="1003"/>
        <v>20.97158534734082</v>
      </c>
      <c r="BB594" s="21">
        <f t="shared" ca="1" si="1003"/>
        <v>10.973260989312873</v>
      </c>
      <c r="BC594" s="21">
        <f t="shared" ca="1" si="1003"/>
        <v>11.469684310112143</v>
      </c>
      <c r="BD594" s="21">
        <f t="shared" ca="1" si="1003"/>
        <v>13.350040291687742</v>
      </c>
      <c r="BE594" s="21">
        <f t="shared" ca="1" si="1003"/>
        <v>9.8182142752799919</v>
      </c>
      <c r="BF594" s="21">
        <f t="shared" ca="1" si="1003"/>
        <v>13.536703927995317</v>
      </c>
      <c r="BG594" s="21"/>
      <c r="BI594" s="21">
        <f t="shared" ref="BI594:BO595" ca="1" si="1004">G594</f>
        <v>21.197254905037575</v>
      </c>
      <c r="BJ594" s="21">
        <f t="shared" ca="1" si="1004"/>
        <v>20.97158534734082</v>
      </c>
      <c r="BK594" s="21">
        <f t="shared" ca="1" si="1004"/>
        <v>10.973260989312873</v>
      </c>
      <c r="BL594" s="21">
        <f t="shared" ca="1" si="1004"/>
        <v>11.469684310112143</v>
      </c>
      <c r="BM594" s="21">
        <f t="shared" ca="1" si="1004"/>
        <v>13.350040291687742</v>
      </c>
      <c r="BN594" s="21">
        <f t="shared" ca="1" si="1004"/>
        <v>9.8182142752799919</v>
      </c>
      <c r="BO594" s="21">
        <f t="shared" ca="1" si="1004"/>
        <v>13.536703927995317</v>
      </c>
      <c r="BP594" s="21"/>
    </row>
    <row r="595" spans="2:68" ht="13.2" customHeight="1">
      <c r="B595" s="280" t="s">
        <v>2534</v>
      </c>
      <c r="G595" s="21">
        <f t="shared" ref="G595:M595" ca="1" si="1005">AVERAGE(G$582,G$534,G$482,G$427)</f>
        <v>54.9954724372922</v>
      </c>
      <c r="H595" s="21">
        <f t="shared" ca="1" si="1005"/>
        <v>47.6228177110914</v>
      </c>
      <c r="I595" s="21">
        <f t="shared" ca="1" si="1005"/>
        <v>18.261699758179009</v>
      </c>
      <c r="J595" s="21">
        <f t="shared" ca="1" si="1005"/>
        <v>21.630388922823755</v>
      </c>
      <c r="K595" s="21">
        <f t="shared" ca="1" si="1005"/>
        <v>25.194832826673515</v>
      </c>
      <c r="L595" s="21">
        <f t="shared" ca="1" si="1005"/>
        <v>16.460179045018485</v>
      </c>
      <c r="M595" s="21">
        <f t="shared" ca="1" si="1005"/>
        <v>27.465479019118</v>
      </c>
      <c r="O595" s="39">
        <f>ROW()</f>
        <v>595</v>
      </c>
      <c r="P595" s="21">
        <f t="shared" ca="1" si="999"/>
        <v>54.9954724372922</v>
      </c>
      <c r="Q595" s="21">
        <f t="shared" ca="1" si="999"/>
        <v>47.6228177110914</v>
      </c>
      <c r="R595" s="21">
        <f t="shared" ca="1" si="999"/>
        <v>18.261699758179009</v>
      </c>
      <c r="S595" s="21">
        <f t="shared" ca="1" si="999"/>
        <v>21.630388922823755</v>
      </c>
      <c r="T595" s="21">
        <f t="shared" ca="1" si="999"/>
        <v>25.194832826673515</v>
      </c>
      <c r="U595" s="21">
        <f t="shared" ca="1" si="999"/>
        <v>16.460179045018485</v>
      </c>
      <c r="V595" s="21">
        <f t="shared" ca="1" si="999"/>
        <v>27.465479019118</v>
      </c>
      <c r="Y595" s="21">
        <f t="shared" ca="1" si="1000"/>
        <v>54.9954724372922</v>
      </c>
      <c r="Z595" s="21">
        <f t="shared" ca="1" si="1000"/>
        <v>47.6228177110914</v>
      </c>
      <c r="AA595" s="21">
        <f t="shared" ca="1" si="1000"/>
        <v>18.261699758179009</v>
      </c>
      <c r="AB595" s="21">
        <f t="shared" ca="1" si="1000"/>
        <v>21.630388922823755</v>
      </c>
      <c r="AC595" s="21">
        <f t="shared" ca="1" si="1000"/>
        <v>25.194832826673515</v>
      </c>
      <c r="AD595" s="21">
        <f t="shared" ca="1" si="1000"/>
        <v>16.460179045018485</v>
      </c>
      <c r="AE595" s="21">
        <f t="shared" ca="1" si="1000"/>
        <v>27.465479019118</v>
      </c>
      <c r="AH595" s="21">
        <f t="shared" ca="1" si="1001"/>
        <v>54.9954724372922</v>
      </c>
      <c r="AI595" s="21">
        <f t="shared" ca="1" si="1001"/>
        <v>47.6228177110914</v>
      </c>
      <c r="AJ595" s="21">
        <f t="shared" ca="1" si="1001"/>
        <v>18.261699758179009</v>
      </c>
      <c r="AK595" s="21">
        <f t="shared" ca="1" si="1001"/>
        <v>21.630388922823755</v>
      </c>
      <c r="AL595" s="21">
        <f t="shared" ca="1" si="1001"/>
        <v>25.194832826673515</v>
      </c>
      <c r="AM595" s="21">
        <f t="shared" ca="1" si="1001"/>
        <v>16.460179045018485</v>
      </c>
      <c r="AN595" s="21">
        <f t="shared" ca="1" si="1001"/>
        <v>27.465479019118</v>
      </c>
      <c r="AQ595" s="21">
        <f t="shared" ref="AQ595:AW595" ca="1" si="1006">G595*$AV$181</f>
        <v>54.445517712919276</v>
      </c>
      <c r="AR595" s="21">
        <f t="shared" ca="1" si="1006"/>
        <v>47.146589533980489</v>
      </c>
      <c r="AS595" s="21">
        <f t="shared" ca="1" si="1006"/>
        <v>18.07908276059722</v>
      </c>
      <c r="AT595" s="21">
        <f t="shared" ca="1" si="1006"/>
        <v>21.414085033595516</v>
      </c>
      <c r="AU595" s="21">
        <f t="shared" ca="1" si="1006"/>
        <v>24.94288449840678</v>
      </c>
      <c r="AV595" s="21">
        <f t="shared" ca="1" si="1006"/>
        <v>16.2955772545683</v>
      </c>
      <c r="AW595" s="21">
        <f t="shared" ca="1" si="1006"/>
        <v>27.190824228926818</v>
      </c>
      <c r="AZ595" s="21">
        <f t="shared" ca="1" si="1003"/>
        <v>54.9954724372922</v>
      </c>
      <c r="BA595" s="21">
        <f t="shared" ca="1" si="1003"/>
        <v>47.6228177110914</v>
      </c>
      <c r="BB595" s="21">
        <f t="shared" ca="1" si="1003"/>
        <v>18.261699758179009</v>
      </c>
      <c r="BC595" s="21">
        <f t="shared" ca="1" si="1003"/>
        <v>21.630388922823755</v>
      </c>
      <c r="BD595" s="21">
        <f t="shared" ca="1" si="1003"/>
        <v>25.194832826673515</v>
      </c>
      <c r="BE595" s="21">
        <f t="shared" ca="1" si="1003"/>
        <v>16.460179045018485</v>
      </c>
      <c r="BF595" s="21">
        <f t="shared" ca="1" si="1003"/>
        <v>27.465479019118</v>
      </c>
      <c r="BG595" s="21"/>
      <c r="BI595" s="21">
        <f t="shared" ca="1" si="1004"/>
        <v>54.9954724372922</v>
      </c>
      <c r="BJ595" s="21">
        <f t="shared" ca="1" si="1004"/>
        <v>47.6228177110914</v>
      </c>
      <c r="BK595" s="21">
        <f t="shared" ca="1" si="1004"/>
        <v>18.261699758179009</v>
      </c>
      <c r="BL595" s="21">
        <f t="shared" ca="1" si="1004"/>
        <v>21.630388922823755</v>
      </c>
      <c r="BM595" s="21">
        <f t="shared" ca="1" si="1004"/>
        <v>25.194832826673515</v>
      </c>
      <c r="BN595" s="21">
        <f t="shared" ca="1" si="1004"/>
        <v>16.460179045018485</v>
      </c>
      <c r="BO595" s="21">
        <f t="shared" ca="1" si="1004"/>
        <v>27.465479019118</v>
      </c>
      <c r="BP595" s="21"/>
    </row>
    <row r="596" spans="2:68" ht="13.2" customHeight="1">
      <c r="B596" s="280"/>
      <c r="G596" s="280"/>
      <c r="O596" s="39">
        <f>ROW()</f>
        <v>596</v>
      </c>
      <c r="P596" s="117"/>
      <c r="Q596" s="117"/>
      <c r="R596" s="117"/>
      <c r="S596" s="117"/>
      <c r="T596" s="117"/>
      <c r="U596" s="117"/>
      <c r="V596" s="117"/>
      <c r="W596" s="117"/>
      <c r="Y596" s="117"/>
      <c r="Z596" s="117"/>
      <c r="AA596" s="117"/>
      <c r="AB596" s="117"/>
      <c r="AC596" s="117"/>
      <c r="AD596" s="117"/>
      <c r="AE596" s="117"/>
      <c r="AF596" s="117"/>
      <c r="AH596" s="117"/>
      <c r="AI596" s="117"/>
      <c r="AJ596" s="117"/>
      <c r="AK596" s="117"/>
      <c r="AL596" s="117"/>
      <c r="AM596" s="117"/>
      <c r="AN596" s="117"/>
      <c r="AO596" s="117"/>
      <c r="AQ596" s="117"/>
      <c r="AR596" s="117"/>
      <c r="AS596" s="117"/>
      <c r="AT596" s="117"/>
      <c r="AU596" s="117"/>
      <c r="AV596" s="117"/>
      <c r="AW596" s="117"/>
      <c r="AX596" s="117"/>
      <c r="AZ596" s="117"/>
      <c r="BA596" s="117"/>
      <c r="BB596" s="117"/>
      <c r="BC596" s="117"/>
      <c r="BD596" s="117"/>
      <c r="BE596" s="117"/>
      <c r="BF596" s="117"/>
      <c r="BG596" s="117"/>
      <c r="BI596" s="117"/>
      <c r="BJ596" s="117"/>
      <c r="BK596" s="117"/>
      <c r="BL596" s="117"/>
      <c r="BM596" s="117"/>
      <c r="BN596" s="117"/>
      <c r="BO596" s="117"/>
      <c r="BP596" s="117"/>
    </row>
    <row r="597" spans="2:68" ht="13.2" customHeight="1">
      <c r="B597" s="6" t="s">
        <v>1643</v>
      </c>
      <c r="G597" s="880" t="s">
        <v>1472</v>
      </c>
      <c r="H597" s="880" t="s">
        <v>1087</v>
      </c>
      <c r="I597" s="880" t="s">
        <v>2445</v>
      </c>
      <c r="J597" s="880" t="s">
        <v>1088</v>
      </c>
      <c r="K597" s="880" t="s">
        <v>1089</v>
      </c>
      <c r="L597" s="880" t="s">
        <v>1151</v>
      </c>
      <c r="M597" s="880" t="s">
        <v>1090</v>
      </c>
      <c r="N597" s="880" t="s">
        <v>2684</v>
      </c>
      <c r="O597" s="39">
        <f>ROW()</f>
        <v>597</v>
      </c>
      <c r="P597" s="117">
        <f ca="1">P591^Elasticities!$G$52</f>
        <v>0.9519334841416518</v>
      </c>
      <c r="Q597" s="117">
        <f ca="1">Q591^Elasticities!$G$52</f>
        <v>0.95401810495531758</v>
      </c>
      <c r="R597" s="117">
        <f ca="1">R591^Elasticities!$G$52</f>
        <v>0.92497473642349881</v>
      </c>
      <c r="S597" s="117">
        <f ca="1">S591^Elasticities!$G$52</f>
        <v>0.93949275279365307</v>
      </c>
      <c r="T597" s="117">
        <f ca="1">T591^Elasticities!$G$52</f>
        <v>0.94981969355645135</v>
      </c>
      <c r="U597" s="117">
        <f ca="1">U591^Elasticities!$G$52</f>
        <v>0.91716645209721304</v>
      </c>
      <c r="V597" s="117">
        <f ca="1">V591^Elasticities!$G$52</f>
        <v>0.95056122938323651</v>
      </c>
      <c r="Y597" s="117">
        <f ca="1">Y591^Elasticities!$H$52</f>
        <v>0.9519334841416518</v>
      </c>
      <c r="Z597" s="117">
        <f ca="1">Z591^Elasticities!$H$52</f>
        <v>0.95401810495531736</v>
      </c>
      <c r="AA597" s="117">
        <f ca="1">AA591^Elasticities!$H$52</f>
        <v>0.92497473642349859</v>
      </c>
      <c r="AB597" s="117">
        <f ca="1">AB591^Elasticities!$H$52</f>
        <v>0.93949275279365307</v>
      </c>
      <c r="AC597" s="117">
        <f ca="1">AC591^Elasticities!$H$52</f>
        <v>0.94981969355645135</v>
      </c>
      <c r="AD597" s="117">
        <f ca="1">AD591^Elasticities!$H$52</f>
        <v>0.91716645209721304</v>
      </c>
      <c r="AE597" s="117">
        <f ca="1">AE591^Elasticities!$H$52</f>
        <v>0.95056122938323628</v>
      </c>
      <c r="AH597" s="638">
        <f ca="1">AH591^Elasticities!$I$52</f>
        <v>0.99947244785820744</v>
      </c>
      <c r="AI597" s="117">
        <f ca="1">AI591^Elasticities!$I$52</f>
        <v>1.0005110058164208</v>
      </c>
      <c r="AJ597" s="117">
        <f ca="1">AJ591^Elasticities!$I$52</f>
        <v>0.9191336032172901</v>
      </c>
      <c r="AK597" s="117">
        <f ca="1">AK591^Elasticities!$I$52</f>
        <v>0.94716348842503884</v>
      </c>
      <c r="AL597" s="117">
        <f ca="1">AL591^Elasticities!$I$52</f>
        <v>0.97072485073060588</v>
      </c>
      <c r="AM597" s="117">
        <f ca="1">AM591^Elasticities!$I$52</f>
        <v>0.905980353986785</v>
      </c>
      <c r="AN597" s="117">
        <f ca="1">AN591^Elasticities!$I$52</f>
        <v>0.9740101206857833</v>
      </c>
      <c r="AQ597" s="117">
        <f ca="1">AQ591^Elasticities!$G$54</f>
        <v>0.99847873610799942</v>
      </c>
      <c r="AR597" s="117">
        <f ca="1">AR591^Elasticities!$G$54</f>
        <v>0.99819074338502611</v>
      </c>
      <c r="AS597" s="117">
        <f ca="1">AS591^Elasticities!$G$54</f>
        <v>0.92838375724569611</v>
      </c>
      <c r="AT597" s="117">
        <f ca="1">AT591^Elasticities!$G$54</f>
        <v>0.9493687811537519</v>
      </c>
      <c r="AU597" s="117">
        <f ca="1">AU591^Elasticities!$G$54</f>
        <v>0.96771913871526749</v>
      </c>
      <c r="AV597" s="117">
        <f ca="1">AV591^Elasticities!$G$54</f>
        <v>0.91817674301413521</v>
      </c>
      <c r="AW597" s="117">
        <f ca="1">AW591^Elasticities!$G$54</f>
        <v>0.9709689937973689</v>
      </c>
      <c r="AZ597" s="117">
        <f ca="1">AZ591^(Elasticities!$J$64*Elasticities!$G$52)</f>
        <v>0.98282835058800011</v>
      </c>
      <c r="BA597" s="117">
        <f ca="1">BA591^(Elasticities!$J$64*Elasticities!$G$52)</f>
        <v>0.98334416324153484</v>
      </c>
      <c r="BB597" s="117">
        <f ca="1">BB591^(Elasticities!$J$64*Elasticities!$G$52)</f>
        <v>0.97263987820902353</v>
      </c>
      <c r="BC597" s="117">
        <f ca="1">BC591^(Elasticities!$J$64*Elasticities!$G$52)</f>
        <v>0.97747087740390015</v>
      </c>
      <c r="BD597" s="117">
        <f ca="1">BD591^(Elasticities!$J$64*Elasticities!$G$52)</f>
        <v>0.98100631016303041</v>
      </c>
      <c r="BE597" s="117">
        <f ca="1">BE591^(Elasticities!$J$64*Elasticities!$G$52)</f>
        <v>0.96997310317038121</v>
      </c>
      <c r="BF597" s="117">
        <f ca="1">BF591^(Elasticities!$J$64*Elasticities!$G$52)</f>
        <v>0.98139723144658697</v>
      </c>
      <c r="BI597" s="117">
        <f ca="1">BI591^Elasticities!$G$50</f>
        <v>0.97527454916375811</v>
      </c>
      <c r="BJ597" s="117">
        <f ca="1">BJ591^Elasticities!$G$50</f>
        <v>0.97625448788956459</v>
      </c>
      <c r="BK597" s="117">
        <f ca="1">BK591^Elasticities!$G$50</f>
        <v>0.96101380694173111</v>
      </c>
      <c r="BL597" s="117">
        <f ca="1">BL591^Elasticities!$G$50</f>
        <v>0.96841837512741924</v>
      </c>
      <c r="BM597" s="117">
        <f ca="1">BM591^Elasticities!$G$50</f>
        <v>0.97371282953435512</v>
      </c>
      <c r="BN597" s="117">
        <f ca="1">BN591^Elasticities!$G$50</f>
        <v>0.95698295568776837</v>
      </c>
      <c r="BO597" s="117">
        <f ca="1">BO591^Elasticities!$G$50</f>
        <v>0.97414928044977056</v>
      </c>
    </row>
    <row r="598" spans="2:68" ht="13.2" customHeight="1">
      <c r="B598" s="6"/>
      <c r="G598" s="298" t="s">
        <v>1091</v>
      </c>
      <c r="H598" s="298" t="s">
        <v>1092</v>
      </c>
      <c r="I598" s="298" t="s">
        <v>1093</v>
      </c>
      <c r="J598" s="298" t="s">
        <v>1094</v>
      </c>
      <c r="K598" s="298" t="s">
        <v>1095</v>
      </c>
      <c r="L598" s="298" t="s">
        <v>1096</v>
      </c>
      <c r="M598" s="298" t="s">
        <v>1097</v>
      </c>
      <c r="N598" s="298"/>
      <c r="O598" s="39">
        <f>ROW()</f>
        <v>598</v>
      </c>
      <c r="P598" s="309" t="s">
        <v>3301</v>
      </c>
      <c r="Y598" s="309" t="s">
        <v>3307</v>
      </c>
      <c r="AH598" s="309" t="s">
        <v>3308</v>
      </c>
      <c r="AQ598" s="215" t="s">
        <v>3304</v>
      </c>
      <c r="AZ598" s="215" t="s">
        <v>3305</v>
      </c>
      <c r="BI598" s="215" t="s">
        <v>3306</v>
      </c>
    </row>
    <row r="599" spans="2:68" ht="13.2" customHeight="1">
      <c r="B599" s="6" t="s">
        <v>1921</v>
      </c>
      <c r="O599" s="39">
        <f>ROW()</f>
        <v>599</v>
      </c>
      <c r="P599" s="117">
        <f ca="1">(P546/P594)^Elasticities!$G$52</f>
        <v>0.99946266598859446</v>
      </c>
      <c r="Q599" s="117">
        <f ca="1">(Q546/Q594)^Elasticities!$G$52</f>
        <v>0.99833792981981651</v>
      </c>
      <c r="R599" s="117">
        <f ca="1">(R546/R594)^Elasticities!$G$52</f>
        <v>0.97972300922349875</v>
      </c>
      <c r="S599" s="117">
        <f ca="1">(S546/S594)^Elasticities!$G$52</f>
        <v>0.98434149429435669</v>
      </c>
      <c r="T599" s="117">
        <f ca="1">(T546/T594)^Elasticities!$G$52</f>
        <v>0.98960432468650161</v>
      </c>
      <c r="U599" s="117">
        <f ca="1">(U546/U594)^Elasticities!$G$52</f>
        <v>0.98027991580414153</v>
      </c>
      <c r="V599" s="117">
        <f ca="1">(V546/V594)^Elasticities!$G$52</f>
        <v>0.99074102756705607</v>
      </c>
      <c r="Y599" s="117">
        <f ca="1">(Y546/Y594)^Elasticities!$H$52</f>
        <v>0.99946266598859446</v>
      </c>
      <c r="Z599" s="117">
        <f ca="1">(Z546/Z594)^Elasticities!$H$52</f>
        <v>0.99833792981981651</v>
      </c>
      <c r="AA599" s="117">
        <f ca="1">(AA546/AA594)^Elasticities!$H$52</f>
        <v>0.97972300922349875</v>
      </c>
      <c r="AB599" s="117">
        <f ca="1">(AB546/AB594)^Elasticities!$H$52</f>
        <v>0.98434149429435669</v>
      </c>
      <c r="AC599" s="117">
        <f ca="1">(AC546/AC594)^Elasticities!$H$52</f>
        <v>0.98960432468650161</v>
      </c>
      <c r="AD599" s="117">
        <f ca="1">(AD546/AD594)^Elasticities!$H$52</f>
        <v>0.98027991580414153</v>
      </c>
      <c r="AE599" s="117">
        <f ca="1">(AE546/AE594)^Elasticities!$H$52</f>
        <v>0.99074102756705607</v>
      </c>
      <c r="AH599" s="117">
        <f ca="1">(AH546/AH594)^Elasticities!$I$52</f>
        <v>0.99946266598859446</v>
      </c>
      <c r="AI599" s="117">
        <f ca="1">(AI546/AI594)^Elasticities!$I$52</f>
        <v>0.99833792981981651</v>
      </c>
      <c r="AJ599" s="117">
        <f ca="1">(AJ546/AJ594)^Elasticities!$I$52</f>
        <v>0.97972300922349875</v>
      </c>
      <c r="AK599" s="117">
        <f ca="1">(AK546/AK594)^Elasticities!$I$52</f>
        <v>0.98434149429435669</v>
      </c>
      <c r="AL599" s="117">
        <f ca="1">(AL546/AL594)^Elasticities!$I$52</f>
        <v>0.98960432468650161</v>
      </c>
      <c r="AM599" s="117">
        <f ca="1">(AM546/AM594)^Elasticities!$I$52</f>
        <v>0.98027991580414153</v>
      </c>
      <c r="AN599" s="117">
        <f ca="1">(AN546/AN594)^Elasticities!$I$52</f>
        <v>0.99074102756705607</v>
      </c>
      <c r="AQ599" s="117">
        <f ca="1">(AQ546/AQ594)^Elasticities!$G$54</f>
        <v>0.99957010968768212</v>
      </c>
      <c r="AR599" s="117">
        <f ca="1">(AR546/AR594)^Elasticities!$G$54</f>
        <v>0.99867012271061029</v>
      </c>
      <c r="AS599" s="117">
        <f ca="1">(AS546/AS594)^Elasticities!$G$54</f>
        <v>0.98374524507152772</v>
      </c>
      <c r="AT599" s="117">
        <f ca="1">(AT546/AT594)^Elasticities!$G$54</f>
        <v>0.98745345640533333</v>
      </c>
      <c r="AU599" s="117">
        <f ca="1">(AU546/AU594)^Elasticities!$G$54</f>
        <v>0.99167477798629111</v>
      </c>
      <c r="AV599" s="117">
        <f ca="1">(AV546/AV594)^Elasticities!$G$54</f>
        <v>0.98419257400899607</v>
      </c>
      <c r="AW599" s="117">
        <f ca="1">(AW546/AW594)^Elasticities!$G$54</f>
        <v>0.99258593823761188</v>
      </c>
      <c r="AZ599" s="117">
        <f ca="1">(AZ546/AZ594)^(Elasticities!$J$64*Elasticities!$G$52)</f>
        <v>0.99982085657241349</v>
      </c>
      <c r="BA599" s="117">
        <f ca="1">(BA546/BA594)^(Elasticities!$J$64*Elasticities!$G$52)</f>
        <v>0.99944566938094892</v>
      </c>
      <c r="BB599" s="117">
        <f ca="1">(BB546/BB594)^(Elasticities!$J$64*Elasticities!$G$52)</f>
        <v>0.99319479734271454</v>
      </c>
      <c r="BC599" s="117">
        <f ca="1">(BC546/BC594)^(Elasticities!$J$64*Elasticities!$G$52)</f>
        <v>0.99475301540205863</v>
      </c>
      <c r="BD599" s="117">
        <f ca="1">(BD546/BD594)^(Elasticities!$J$64*Elasticities!$G$52)</f>
        <v>0.99652269727669529</v>
      </c>
      <c r="BE599" s="117">
        <f ca="1">(BE546/BE594)^(Elasticities!$J$64*Elasticities!$G$52)</f>
        <v>0.99338294982498776</v>
      </c>
      <c r="BF599" s="117">
        <f ca="1">(BF546/BF594)^(Elasticities!$J$64*Elasticities!$G$52)</f>
        <v>0.99690410115701278</v>
      </c>
      <c r="BI599" s="117">
        <f ca="1">(BI546/BI594)^Elasticities!$G$50</f>
        <v>0.99973129689361762</v>
      </c>
      <c r="BJ599" s="117">
        <f ca="1">(BJ546/BJ594)^Elasticities!$G$50</f>
        <v>0.99916861931298495</v>
      </c>
      <c r="BK599" s="117">
        <f ca="1">(BK546/BK594)^Elasticities!$G$50</f>
        <v>0.98980958230535365</v>
      </c>
      <c r="BL599" s="117">
        <f ca="1">(BL546/BL594)^Elasticities!$G$50</f>
        <v>0.99213985621703393</v>
      </c>
      <c r="BM599" s="117">
        <f ca="1">(BM546/BM594)^Elasticities!$G$50</f>
        <v>0.99478858290920369</v>
      </c>
      <c r="BN599" s="117">
        <f ca="1">(BN546/BN594)^Elasticities!$G$50</f>
        <v>0.99009086239806365</v>
      </c>
      <c r="BO599" s="117">
        <f ca="1">(BO546/BO594)^Elasticities!$G$50</f>
        <v>0.99535974781335002</v>
      </c>
    </row>
    <row r="600" spans="2:68" ht="13.2" customHeight="1">
      <c r="O600" s="39">
        <f>ROW()</f>
        <v>600</v>
      </c>
      <c r="P600" s="309" t="s">
        <v>529</v>
      </c>
      <c r="Y600" s="309" t="s">
        <v>530</v>
      </c>
      <c r="AH600" s="309" t="s">
        <v>2922</v>
      </c>
      <c r="AQ600" s="215" t="s">
        <v>3299</v>
      </c>
      <c r="AZ600" s="309" t="s">
        <v>2398</v>
      </c>
      <c r="BI600" s="309" t="s">
        <v>2878</v>
      </c>
    </row>
    <row r="601" spans="2:68" ht="13.2" customHeight="1">
      <c r="B601" s="6" t="s">
        <v>2164</v>
      </c>
      <c r="G601" s="633">
        <f t="shared" ref="G601:M601" ca="1" si="1007">($I$76*$I$79*P601+$J$76*$J$79*Y601+$K$76*$K$79*AH601+$L$76*$L$79*AQ601+$M$76*$M$79*AZ601+$N$76*$N$79*BI601)/SUMPRODUCT($I$76:$N$76,$I$79:$N$79)</f>
        <v>0.99998213771979505</v>
      </c>
      <c r="H601" s="633">
        <f t="shared" ca="1" si="1007"/>
        <v>0.99958714527304382</v>
      </c>
      <c r="I601" s="633">
        <f t="shared" ca="1" si="1007"/>
        <v>1.000330583391867</v>
      </c>
      <c r="J601" s="633">
        <f t="shared" ca="1" si="1007"/>
        <v>1.001575313792757</v>
      </c>
      <c r="K601" s="633">
        <f t="shared" ca="1" si="1007"/>
        <v>1.0015422383522234</v>
      </c>
      <c r="L601" s="633">
        <f t="shared" ca="1" si="1007"/>
        <v>0.99906927129194034</v>
      </c>
      <c r="M601" s="633">
        <f t="shared" ca="1" si="1007"/>
        <v>1.0017343056429524</v>
      </c>
      <c r="O601" s="39">
        <f>ROW()</f>
        <v>601</v>
      </c>
      <c r="P601" s="117">
        <f ca="1">(P547/P595)^Elasticities!$G$52</f>
        <v>0.99998135349472383</v>
      </c>
      <c r="Q601" s="117">
        <f ca="1">(Q547/Q595)^Elasticities!$G$52</f>
        <v>0.99956902102721878</v>
      </c>
      <c r="R601" s="117">
        <f ca="1">(R547/R595)^Elasticities!$G$52</f>
        <v>1.0003450985286479</v>
      </c>
      <c r="S601" s="117">
        <f ca="1">(S547/S595)^Elasticities!$G$52</f>
        <v>1.0016445027266216</v>
      </c>
      <c r="T601" s="117">
        <f ca="1">(T547/T595)^Elasticities!$G$52</f>
        <v>1.0016099740524074</v>
      </c>
      <c r="U601" s="117">
        <f ca="1">(U547/U595)^Elasticities!$G$52</f>
        <v>0.99902841755191873</v>
      </c>
      <c r="V601" s="117">
        <f ca="1">(V547/V595)^Elasticities!$G$52</f>
        <v>1.0018104805130483</v>
      </c>
      <c r="Y601" s="117">
        <f ca="1">(Y547/Y595)^Elasticities!$H$52</f>
        <v>0.99998135349472383</v>
      </c>
      <c r="Z601" s="117">
        <f ca="1">(Z547/Z595)^Elasticities!$H$52</f>
        <v>0.99956902102721878</v>
      </c>
      <c r="AA601" s="117">
        <f ca="1">(AA547/AA595)^Elasticities!$H$52</f>
        <v>1.0003450985286479</v>
      </c>
      <c r="AB601" s="117">
        <f ca="1">(AB547/AB595)^Elasticities!$H$52</f>
        <v>1.0016445027266216</v>
      </c>
      <c r="AC601" s="117">
        <f ca="1">(AC547/AC595)^Elasticities!$H$52</f>
        <v>1.0016099740524074</v>
      </c>
      <c r="AD601" s="117">
        <f ca="1">(AD547/AD595)^Elasticities!$H$52</f>
        <v>0.99902841755191873</v>
      </c>
      <c r="AE601" s="117">
        <f ca="1">(AE547/AE595)^Elasticities!$H$52</f>
        <v>1.0018104805130483</v>
      </c>
      <c r="AH601" s="117">
        <f ca="1">(AH547/AH595)^Elasticities!$I$52</f>
        <v>0.99998135349472383</v>
      </c>
      <c r="AI601" s="117">
        <f ca="1">(AI547/AI595)^Elasticities!$I$52</f>
        <v>0.99956902102721878</v>
      </c>
      <c r="AJ601" s="117">
        <f ca="1">(AJ547/AJ595)^Elasticities!$I$52</f>
        <v>1.0003450985286479</v>
      </c>
      <c r="AK601" s="117">
        <f ca="1">(AK547/AK595)^Elasticities!$I$52</f>
        <v>1.0016445027266216</v>
      </c>
      <c r="AL601" s="117">
        <f ca="1">(AL547/AL595)^Elasticities!$I$52</f>
        <v>1.0016099740524074</v>
      </c>
      <c r="AM601" s="117">
        <f ca="1">(AM547/AM595)^Elasticities!$I$52</f>
        <v>0.99902841755191873</v>
      </c>
      <c r="AN601" s="117">
        <f ca="1">(AN547/AN595)^Elasticities!$I$52</f>
        <v>1.0018104805130483</v>
      </c>
      <c r="AQ601" s="117">
        <f ca="1">(AQ547/AQ595)^Elasticities!$G$54</f>
        <v>0.9999850827679635</v>
      </c>
      <c r="AR601" s="117">
        <f ca="1">(AR547/AR595)^Elasticities!$G$54</f>
        <v>0.99965520195978308</v>
      </c>
      <c r="AS601" s="117">
        <f ca="1">(AS547/AS595)^Elasticities!$G$54</f>
        <v>1.0002760692967938</v>
      </c>
      <c r="AT601" s="117">
        <f ca="1">(AT547/AT595)^Elasticities!$G$54</f>
        <v>1.0013153859723474</v>
      </c>
      <c r="AU601" s="117">
        <f ca="1">(AU547/AU595)^Elasticities!$G$54</f>
        <v>1.0012877720140303</v>
      </c>
      <c r="AV601" s="117">
        <f ca="1">(AV547/AV595)^Elasticities!$G$54</f>
        <v>0.99922265849437431</v>
      </c>
      <c r="AW601" s="117">
        <f ca="1">(AW547/AW595)^Elasticities!$G$54</f>
        <v>1.0014481223729776</v>
      </c>
      <c r="AZ601" s="117">
        <f ca="1">(AZ547/AZ595)^(Elasticities!$J$64*Elasticities!$G$52)</f>
        <v>0.9999937844596084</v>
      </c>
      <c r="BA601" s="117">
        <f ca="1">(BA547/BA595)^(Elasticities!$J$64*Elasticities!$G$52)</f>
        <v>0.99985631969936606</v>
      </c>
      <c r="BB601" s="117">
        <f ca="1">(BB547/BB595)^(Elasticities!$J$64*Elasticities!$G$52)</f>
        <v>1.0001150196128641</v>
      </c>
      <c r="BC601" s="117">
        <f ca="1">(BC547/BC595)^(Elasticities!$J$64*Elasticities!$G$52)</f>
        <v>1.0005478673620785</v>
      </c>
      <c r="BD601" s="117">
        <f ca="1">(BD547/BD595)^(Elasticities!$J$64*Elasticities!$G$52)</f>
        <v>1.0005363702729628</v>
      </c>
      <c r="BE601" s="117">
        <f ca="1">(BE547/BE595)^(Elasticities!$J$64*Elasticities!$G$52)</f>
        <v>0.99967603424149409</v>
      </c>
      <c r="BF601" s="117">
        <f ca="1">(BF547/BF595)^(Elasticities!$J$64*Elasticities!$G$52)</f>
        <v>1.0006031296658231</v>
      </c>
      <c r="BI601" s="117">
        <f ca="1">(BI547/BI595)^Elasticities!$G$50</f>
        <v>0.99999067670389996</v>
      </c>
      <c r="BJ601" s="117">
        <f ca="1">(BJ547/BJ595)^Elasticities!$G$50</f>
        <v>0.99978448729074554</v>
      </c>
      <c r="BK601" s="117">
        <f ca="1">(BK547/BK595)^Elasticities!$G$50</f>
        <v>1.0001725343802679</v>
      </c>
      <c r="BL601" s="117">
        <f ca="1">(BL547/BL595)^Elasticities!$G$50</f>
        <v>1.0008219135923342</v>
      </c>
      <c r="BM601" s="117">
        <f ca="1">(BM547/BM595)^Elasticities!$G$50</f>
        <v>1.0008046632847027</v>
      </c>
      <c r="BN601" s="117">
        <f ca="1">(BN547/BN595)^Elasticities!$G$50</f>
        <v>0.99951409072204622</v>
      </c>
      <c r="BO601" s="117">
        <f ca="1">(BO547/BO595)^Elasticities!$G$50</f>
        <v>1.0009048308970481</v>
      </c>
    </row>
    <row r="602" spans="2:68" ht="13.2" customHeight="1" collapsed="1">
      <c r="O602" s="39">
        <f>ROW()</f>
        <v>602</v>
      </c>
      <c r="P602" s="309" t="s">
        <v>2879</v>
      </c>
      <c r="Y602" s="309" t="s">
        <v>2842</v>
      </c>
      <c r="AH602" s="309" t="s">
        <v>2808</v>
      </c>
      <c r="AQ602" s="215" t="s">
        <v>3300</v>
      </c>
      <c r="AZ602" s="309" t="s">
        <v>2903</v>
      </c>
      <c r="BI602" s="309" t="s">
        <v>91</v>
      </c>
    </row>
    <row r="603" spans="2:68" ht="13.2" customHeight="1">
      <c r="B603" s="24" t="s">
        <v>2500</v>
      </c>
      <c r="I603" s="54"/>
      <c r="O603" s="39">
        <f>ROW()</f>
        <v>603</v>
      </c>
      <c r="P603" s="880" t="s">
        <v>1472</v>
      </c>
      <c r="Q603" s="880" t="s">
        <v>615</v>
      </c>
      <c r="R603" s="880" t="s">
        <v>2445</v>
      </c>
      <c r="S603" s="880" t="s">
        <v>616</v>
      </c>
      <c r="T603" s="880" t="s">
        <v>1152</v>
      </c>
      <c r="U603" s="880" t="s">
        <v>1151</v>
      </c>
      <c r="V603" s="880" t="s">
        <v>617</v>
      </c>
      <c r="W603" s="880" t="s">
        <v>2684</v>
      </c>
      <c r="Y603" s="880" t="s">
        <v>1472</v>
      </c>
      <c r="Z603" s="880" t="s">
        <v>615</v>
      </c>
      <c r="AA603" s="880" t="s">
        <v>2445</v>
      </c>
      <c r="AB603" s="880" t="s">
        <v>616</v>
      </c>
      <c r="AC603" s="880" t="s">
        <v>1152</v>
      </c>
      <c r="AD603" s="880" t="s">
        <v>1151</v>
      </c>
      <c r="AE603" s="880" t="s">
        <v>617</v>
      </c>
      <c r="AF603" s="880" t="s">
        <v>2684</v>
      </c>
      <c r="AH603" s="880" t="s">
        <v>1472</v>
      </c>
      <c r="AI603" s="880" t="s">
        <v>615</v>
      </c>
      <c r="AJ603" s="880" t="s">
        <v>2445</v>
      </c>
      <c r="AK603" s="880" t="s">
        <v>616</v>
      </c>
      <c r="AL603" s="880" t="s">
        <v>1152</v>
      </c>
      <c r="AM603" s="880" t="s">
        <v>1151</v>
      </c>
      <c r="AN603" s="880" t="s">
        <v>617</v>
      </c>
      <c r="AO603" s="880" t="s">
        <v>2684</v>
      </c>
      <c r="AQ603" s="880" t="s">
        <v>1472</v>
      </c>
      <c r="AR603" s="880" t="s">
        <v>615</v>
      </c>
      <c r="AS603" s="880" t="s">
        <v>2445</v>
      </c>
      <c r="AT603" s="880" t="s">
        <v>616</v>
      </c>
      <c r="AU603" s="880" t="s">
        <v>1152</v>
      </c>
      <c r="AV603" s="880" t="s">
        <v>1151</v>
      </c>
      <c r="AW603" s="880" t="s">
        <v>617</v>
      </c>
      <c r="AX603" s="880" t="s">
        <v>2684</v>
      </c>
      <c r="AZ603" s="880" t="s">
        <v>1472</v>
      </c>
      <c r="BA603" s="880" t="s">
        <v>615</v>
      </c>
      <c r="BB603" s="880" t="s">
        <v>2445</v>
      </c>
      <c r="BC603" s="880" t="s">
        <v>616</v>
      </c>
      <c r="BD603" s="880" t="s">
        <v>1152</v>
      </c>
      <c r="BE603" s="880" t="s">
        <v>1151</v>
      </c>
      <c r="BF603" s="880" t="s">
        <v>617</v>
      </c>
      <c r="BG603" s="880" t="s">
        <v>2684</v>
      </c>
      <c r="BI603" s="880" t="s">
        <v>1472</v>
      </c>
      <c r="BJ603" s="880" t="s">
        <v>615</v>
      </c>
      <c r="BK603" s="880" t="s">
        <v>2445</v>
      </c>
      <c r="BL603" s="880" t="s">
        <v>616</v>
      </c>
      <c r="BM603" s="880" t="s">
        <v>1152</v>
      </c>
      <c r="BN603" s="880" t="s">
        <v>1151</v>
      </c>
      <c r="BO603" s="880" t="s">
        <v>617</v>
      </c>
      <c r="BP603" s="880" t="s">
        <v>2684</v>
      </c>
    </row>
    <row r="604" spans="2:68" ht="13.2" customHeight="1">
      <c r="O604" s="39">
        <f>ROW()</f>
        <v>604</v>
      </c>
      <c r="P604" s="298" t="s">
        <v>2678</v>
      </c>
      <c r="Q604" s="298" t="s">
        <v>665</v>
      </c>
      <c r="R604" s="298" t="s">
        <v>666</v>
      </c>
      <c r="S604" s="298" t="s">
        <v>667</v>
      </c>
      <c r="T604" s="298" t="s">
        <v>668</v>
      </c>
      <c r="U604" s="298" t="s">
        <v>434</v>
      </c>
      <c r="V604" s="298" t="s">
        <v>435</v>
      </c>
      <c r="W604" s="298"/>
      <c r="Y604" s="298" t="s">
        <v>2678</v>
      </c>
      <c r="Z604" s="298" t="s">
        <v>665</v>
      </c>
      <c r="AA604" s="298" t="s">
        <v>666</v>
      </c>
      <c r="AB604" s="298" t="s">
        <v>667</v>
      </c>
      <c r="AC604" s="298" t="s">
        <v>668</v>
      </c>
      <c r="AD604" s="298" t="s">
        <v>434</v>
      </c>
      <c r="AE604" s="298" t="s">
        <v>435</v>
      </c>
      <c r="AF604" s="298"/>
      <c r="AH604" s="298" t="s">
        <v>2678</v>
      </c>
      <c r="AI604" s="298" t="s">
        <v>665</v>
      </c>
      <c r="AJ604" s="298" t="s">
        <v>666</v>
      </c>
      <c r="AK604" s="298" t="s">
        <v>667</v>
      </c>
      <c r="AL604" s="298" t="s">
        <v>668</v>
      </c>
      <c r="AM604" s="298" t="s">
        <v>434</v>
      </c>
      <c r="AN604" s="298" t="s">
        <v>435</v>
      </c>
      <c r="AO604" s="298"/>
      <c r="AQ604" s="298" t="s">
        <v>2678</v>
      </c>
      <c r="AR604" s="298" t="s">
        <v>665</v>
      </c>
      <c r="AS604" s="298" t="s">
        <v>666</v>
      </c>
      <c r="AT604" s="298" t="s">
        <v>667</v>
      </c>
      <c r="AU604" s="298" t="s">
        <v>668</v>
      </c>
      <c r="AV604" s="298" t="s">
        <v>434</v>
      </c>
      <c r="AW604" s="298" t="s">
        <v>435</v>
      </c>
      <c r="AX604" s="298"/>
      <c r="AZ604" s="298" t="s">
        <v>2678</v>
      </c>
      <c r="BA604" s="298" t="s">
        <v>665</v>
      </c>
      <c r="BB604" s="298" t="s">
        <v>666</v>
      </c>
      <c r="BC604" s="298" t="s">
        <v>667</v>
      </c>
      <c r="BD604" s="298" t="s">
        <v>668</v>
      </c>
      <c r="BE604" s="298" t="s">
        <v>434</v>
      </c>
      <c r="BF604" s="298" t="s">
        <v>435</v>
      </c>
      <c r="BG604" s="298"/>
      <c r="BI604" s="298" t="s">
        <v>2678</v>
      </c>
      <c r="BJ604" s="298" t="s">
        <v>665</v>
      </c>
      <c r="BK604" s="298" t="s">
        <v>666</v>
      </c>
      <c r="BL604" s="298" t="s">
        <v>667</v>
      </c>
      <c r="BM604" s="298" t="s">
        <v>668</v>
      </c>
      <c r="BN604" s="298" t="s">
        <v>434</v>
      </c>
      <c r="BO604" s="298" t="s">
        <v>435</v>
      </c>
      <c r="BP604" s="298"/>
    </row>
    <row r="605" spans="2:68" ht="13.2" customHeight="1">
      <c r="B605" s="308" t="s">
        <v>112</v>
      </c>
      <c r="O605" s="39">
        <f>ROW()</f>
        <v>605</v>
      </c>
    </row>
    <row r="606" spans="2:68" ht="13.2" customHeight="1">
      <c r="B606" s="280" t="s">
        <v>2743</v>
      </c>
      <c r="G606" s="1122">
        <f t="shared" ref="G606:M606" ca="1" si="1008">P606+Y606+AH606+AQ606+AZ606+BI606</f>
        <v>55549.244399416355</v>
      </c>
      <c r="H606" s="1122">
        <f t="shared" ca="1" si="1008"/>
        <v>17944.610788256825</v>
      </c>
      <c r="I606" s="1122">
        <f t="shared" ca="1" si="1008"/>
        <v>122496.7162683374</v>
      </c>
      <c r="J606" s="1122">
        <f t="shared" ca="1" si="1008"/>
        <v>35718.360833006918</v>
      </c>
      <c r="K606" s="1122">
        <f t="shared" ca="1" si="1008"/>
        <v>121793.64280890794</v>
      </c>
      <c r="L606" s="1122">
        <f t="shared" ca="1" si="1008"/>
        <v>190347.20900988515</v>
      </c>
      <c r="M606" s="1122">
        <f t="shared" ca="1" si="1008"/>
        <v>61811.672936221679</v>
      </c>
      <c r="N606" s="186">
        <f ca="1">SUM(G606:M606)</f>
        <v>605661.45704403229</v>
      </c>
      <c r="O606" s="39">
        <f>ROW()</f>
        <v>606</v>
      </c>
      <c r="P606" s="10">
        <f t="shared" ref="P606:V606" ca="1" si="1009">P560</f>
        <v>9847.4667353227378</v>
      </c>
      <c r="Q606" s="10">
        <f t="shared" ca="1" si="1009"/>
        <v>10389.551202668788</v>
      </c>
      <c r="R606" s="10">
        <f t="shared" ca="1" si="1009"/>
        <v>71519.358013811943</v>
      </c>
      <c r="S606" s="10">
        <f t="shared" ca="1" si="1009"/>
        <v>16848.784142772391</v>
      </c>
      <c r="T606" s="10">
        <f t="shared" ca="1" si="1009"/>
        <v>49141.879385406013</v>
      </c>
      <c r="U606" s="10">
        <f t="shared" ca="1" si="1009"/>
        <v>51264.411757901646</v>
      </c>
      <c r="V606" s="10">
        <f t="shared" ca="1" si="1009"/>
        <v>13708.496913358094</v>
      </c>
      <c r="W606" s="10">
        <f ca="1">SUM(P606:V606)</f>
        <v>222719.94815124164</v>
      </c>
      <c r="Y606" s="10">
        <f t="shared" ref="Y606:AE606" ca="1" si="1010">Y560</f>
        <v>17255.949592047898</v>
      </c>
      <c r="Z606" s="10">
        <f t="shared" ca="1" si="1010"/>
        <v>1261.6617128811777</v>
      </c>
      <c r="AA606" s="10">
        <f t="shared" ca="1" si="1010"/>
        <v>14402.886511098541</v>
      </c>
      <c r="AB606" s="10">
        <f t="shared" ca="1" si="1010"/>
        <v>8347.0423894935557</v>
      </c>
      <c r="AC606" s="10">
        <f t="shared" ca="1" si="1010"/>
        <v>34041.421985507499</v>
      </c>
      <c r="AD606" s="10">
        <f t="shared" ca="1" si="1010"/>
        <v>70230.00207072201</v>
      </c>
      <c r="AE606" s="10">
        <f t="shared" ca="1" si="1010"/>
        <v>20457.167532687479</v>
      </c>
      <c r="AF606" s="10">
        <f ca="1">SUM(Y606:AE606)</f>
        <v>165996.13179443817</v>
      </c>
      <c r="AH606" s="10">
        <f t="shared" ref="AH606:AN606" ca="1" si="1011">AH560</f>
        <v>17574.128823089482</v>
      </c>
      <c r="AI606" s="10">
        <f t="shared" ca="1" si="1011"/>
        <v>2258.0436155935786</v>
      </c>
      <c r="AJ606" s="10">
        <f t="shared" ca="1" si="1011"/>
        <v>10814.058307170593</v>
      </c>
      <c r="AK606" s="10">
        <f t="shared" ca="1" si="1011"/>
        <v>3040.3590601129185</v>
      </c>
      <c r="AL606" s="10">
        <f t="shared" ca="1" si="1011"/>
        <v>14494.044826775335</v>
      </c>
      <c r="AM606" s="10">
        <f t="shared" ca="1" si="1011"/>
        <v>29024.81201606902</v>
      </c>
      <c r="AN606" s="10">
        <f t="shared" ca="1" si="1011"/>
        <v>14165.035603067836</v>
      </c>
      <c r="AO606" s="10">
        <f ca="1">SUM(AH606:AN606)</f>
        <v>91370.482251878755</v>
      </c>
      <c r="AQ606" s="10">
        <f t="shared" ref="AQ606:AW606" ca="1" si="1012">AQ560</f>
        <v>5971.6905611606398</v>
      </c>
      <c r="AR606" s="10">
        <f t="shared" ca="1" si="1012"/>
        <v>2552.8911555962159</v>
      </c>
      <c r="AS606" s="10">
        <f t="shared" ca="1" si="1012"/>
        <v>15950.302675877292</v>
      </c>
      <c r="AT606" s="10">
        <f t="shared" ca="1" si="1012"/>
        <v>4642.5660450726618</v>
      </c>
      <c r="AU606" s="10">
        <f t="shared" ca="1" si="1012"/>
        <v>14365.016335840943</v>
      </c>
      <c r="AV606" s="10">
        <f t="shared" ca="1" si="1012"/>
        <v>24469.846484730482</v>
      </c>
      <c r="AW606" s="10">
        <f t="shared" ca="1" si="1012"/>
        <v>8223.1249489336733</v>
      </c>
      <c r="AX606" s="10">
        <f ca="1">SUM(AQ606:AW606)</f>
        <v>76175.438207211919</v>
      </c>
      <c r="AZ606" s="10">
        <f t="shared" ref="AZ606:BF606" ca="1" si="1013">AZ560</f>
        <v>3744.2605093466736</v>
      </c>
      <c r="BA606" s="10">
        <f t="shared" ca="1" si="1013"/>
        <v>1118.7355610397533</v>
      </c>
      <c r="BB606" s="10">
        <f t="shared" ca="1" si="1013"/>
        <v>7442.1394906904998</v>
      </c>
      <c r="BC606" s="10">
        <f t="shared" ca="1" si="1013"/>
        <v>2153.478793006137</v>
      </c>
      <c r="BD606" s="10">
        <f t="shared" ca="1" si="1013"/>
        <v>7418.0186221618951</v>
      </c>
      <c r="BE606" s="10">
        <f t="shared" ca="1" si="1013"/>
        <v>11650.135256166623</v>
      </c>
      <c r="BF606" s="10">
        <f t="shared" ca="1" si="1013"/>
        <v>3994.1724122182263</v>
      </c>
      <c r="BG606" s="10">
        <f ca="1">SUM(AZ606:BF606)</f>
        <v>37520.940644629809</v>
      </c>
      <c r="BI606" s="10">
        <f t="shared" ref="BI606:BO606" ca="1" si="1014">BI560</f>
        <v>1155.7481784489112</v>
      </c>
      <c r="BJ606" s="10">
        <f t="shared" ca="1" si="1014"/>
        <v>363.72754047731155</v>
      </c>
      <c r="BK606" s="10">
        <f t="shared" ca="1" si="1014"/>
        <v>2367.9712696885408</v>
      </c>
      <c r="BL606" s="10">
        <f t="shared" ca="1" si="1014"/>
        <v>686.13040254925409</v>
      </c>
      <c r="BM606" s="10">
        <f t="shared" ca="1" si="1014"/>
        <v>2333.261653216266</v>
      </c>
      <c r="BN606" s="10">
        <f t="shared" ca="1" si="1014"/>
        <v>3708.0014242953694</v>
      </c>
      <c r="BO606" s="10">
        <f t="shared" ca="1" si="1014"/>
        <v>1263.6755259563752</v>
      </c>
      <c r="BP606" s="10">
        <f ca="1">SUM(BI606:BO606)</f>
        <v>11878.515994632027</v>
      </c>
    </row>
    <row r="607" spans="2:68" ht="13.2" customHeight="1">
      <c r="B607" s="309" t="str">
        <f>CONCATENATE("Above row repeats figures in Row ",O560,".")</f>
        <v>Above row repeats figures in Row 560.</v>
      </c>
      <c r="G607" s="1126" t="s">
        <v>1009</v>
      </c>
      <c r="H607" s="1122"/>
      <c r="I607" s="1122"/>
      <c r="J607" s="1122"/>
      <c r="K607" s="1122"/>
      <c r="L607" s="1122"/>
      <c r="M607" s="1122"/>
      <c r="O607" s="39">
        <f>ROW()</f>
        <v>607</v>
      </c>
      <c r="AQ607" s="265" t="str">
        <f>CONCATENATE("Row ",O608, " figures are set equal to ",O606, " figures, since rebound effects are presumed accounted for by taxi time-elasticity.")</f>
        <v>Row 608 figures are set equal to 606 figures, since rebound effects are presumed accounted for by taxi time-elasticity.</v>
      </c>
    </row>
    <row r="608" spans="2:68" ht="13.2" customHeight="1">
      <c r="B608" s="280" t="s">
        <v>1300</v>
      </c>
      <c r="G608" s="1122">
        <f t="shared" ref="G608:M609" ca="1" si="1015">P608+Y608+AH608+AQ608+AZ608+BI608</f>
        <v>54144.334815861599</v>
      </c>
      <c r="H608" s="1122">
        <f t="shared" ca="1" si="1015"/>
        <v>17382.749438654188</v>
      </c>
      <c r="I608" s="1122">
        <f t="shared" ca="1" si="1015"/>
        <v>114879.94726794516</v>
      </c>
      <c r="J608" s="1122">
        <f t="shared" ca="1" si="1015"/>
        <v>33963.003661056449</v>
      </c>
      <c r="K608" s="1122">
        <f t="shared" ca="1" si="1015"/>
        <v>116992.93353757505</v>
      </c>
      <c r="L608" s="1122">
        <f t="shared" ca="1" si="1015"/>
        <v>177045.16843977317</v>
      </c>
      <c r="M608" s="1122">
        <f t="shared" ca="1" si="1015"/>
        <v>59647.447336328092</v>
      </c>
      <c r="N608" s="617">
        <f ca="1">SUM(G608:M608)</f>
        <v>574055.58449719369</v>
      </c>
      <c r="O608" s="39">
        <f>ROW()</f>
        <v>608</v>
      </c>
      <c r="P608" s="10">
        <f t="shared" ref="P608:V608" ca="1" si="1016">P606*P597</f>
        <v>9374.1333193247901</v>
      </c>
      <c r="Q608" s="10">
        <f t="shared" ca="1" si="1016"/>
        <v>9911.8199497063179</v>
      </c>
      <c r="R608" s="10">
        <f t="shared" ca="1" si="1016"/>
        <v>66153.599328003547</v>
      </c>
      <c r="S608" s="10">
        <f t="shared" ca="1" si="1016"/>
        <v>15829.310595519284</v>
      </c>
      <c r="T608" s="10">
        <f t="shared" ca="1" si="1016"/>
        <v>46675.924818634434</v>
      </c>
      <c r="U608" s="10">
        <f t="shared" ca="1" si="1016"/>
        <v>47017.998650845308</v>
      </c>
      <c r="V608" s="10">
        <f t="shared" ca="1" si="1016"/>
        <v>13030.765678957972</v>
      </c>
      <c r="W608" s="10">
        <f ca="1">SUM(P608:V608)</f>
        <v>207993.55234099168</v>
      </c>
      <c r="Y608" s="10">
        <f t="shared" ref="Y608:AE608" ca="1" si="1017">Y606*Y597</f>
        <v>16426.516217330871</v>
      </c>
      <c r="Z608" s="10">
        <f t="shared" ca="1" si="1017"/>
        <v>1203.6481164175809</v>
      </c>
      <c r="AA608" s="10">
        <f t="shared" ca="1" si="1017"/>
        <v>13322.306154340937</v>
      </c>
      <c r="AB608" s="10">
        <f t="shared" ca="1" si="1017"/>
        <v>7841.9858321906122</v>
      </c>
      <c r="AC608" s="10">
        <f t="shared" ca="1" si="1017"/>
        <v>32333.212998500578</v>
      </c>
      <c r="AD608" s="10">
        <f t="shared" ca="1" si="1017"/>
        <v>64412.601829984029</v>
      </c>
      <c r="AE608" s="10">
        <f t="shared" ca="1" si="1017"/>
        <v>19445.790319570238</v>
      </c>
      <c r="AF608" s="10">
        <f ca="1">SUM(Y608:AE608)</f>
        <v>154986.06146833487</v>
      </c>
      <c r="AH608" s="10">
        <f t="shared" ref="AH608:AN608" ca="1" si="1018">AH606*AH597</f>
        <v>17564.857553788723</v>
      </c>
      <c r="AI608" s="10">
        <f t="shared" ca="1" si="1018"/>
        <v>2259.197489014879</v>
      </c>
      <c r="AJ608" s="10">
        <f t="shared" ca="1" si="1018"/>
        <v>9939.5643772715757</v>
      </c>
      <c r="AK608" s="10">
        <f t="shared" ca="1" si="1018"/>
        <v>2879.7170934412243</v>
      </c>
      <c r="AL608" s="10">
        <f t="shared" ca="1" si="1018"/>
        <v>14069.729500954198</v>
      </c>
      <c r="AM608" s="10">
        <f t="shared" ca="1" si="1018"/>
        <v>26295.909464718101</v>
      </c>
      <c r="AN608" s="10">
        <f t="shared" ca="1" si="1018"/>
        <v>13796.888037262521</v>
      </c>
      <c r="AO608" s="10">
        <f ca="1">SUM(AH608:AN608)</f>
        <v>86805.863516451209</v>
      </c>
      <c r="AQ608" s="10">
        <f ca="1">AQ606</f>
        <v>5971.6905611606398</v>
      </c>
      <c r="AR608" s="10">
        <f t="shared" ref="AR608:AW608" ca="1" si="1019">AR606</f>
        <v>2552.8911555962159</v>
      </c>
      <c r="AS608" s="10">
        <f t="shared" ca="1" si="1019"/>
        <v>15950.302675877292</v>
      </c>
      <c r="AT608" s="10">
        <f t="shared" ca="1" si="1019"/>
        <v>4642.5660450726618</v>
      </c>
      <c r="AU608" s="10">
        <f t="shared" ca="1" si="1019"/>
        <v>14365.016335840943</v>
      </c>
      <c r="AV608" s="10">
        <f t="shared" ca="1" si="1019"/>
        <v>24469.846484730482</v>
      </c>
      <c r="AW608" s="10">
        <f t="shared" ca="1" si="1019"/>
        <v>8223.1249489336733</v>
      </c>
      <c r="AX608" s="10">
        <f ca="1">SUM(AQ608:AW608)</f>
        <v>76175.438207211919</v>
      </c>
      <c r="AZ608" s="10">
        <f t="shared" ref="AZ608:BF608" ca="1" si="1020">AZ606*AZ597</f>
        <v>3679.9653805729763</v>
      </c>
      <c r="BA608" s="10">
        <f t="shared" ca="1" si="1020"/>
        <v>1100.1020841591853</v>
      </c>
      <c r="BB608" s="10">
        <f t="shared" ca="1" si="1020"/>
        <v>7238.5216478397724</v>
      </c>
      <c r="BC608" s="10">
        <f t="shared" ca="1" si="1020"/>
        <v>2104.9628052704006</v>
      </c>
      <c r="BD608" s="10">
        <f t="shared" ca="1" si="1020"/>
        <v>7277.1230772476874</v>
      </c>
      <c r="BE608" s="10">
        <f t="shared" ca="1" si="1020"/>
        <v>11300.317846778604</v>
      </c>
      <c r="BF608" s="10">
        <f t="shared" ca="1" si="1020"/>
        <v>3919.8697472713034</v>
      </c>
      <c r="BG608" s="10">
        <f ca="1">SUM(AZ608:BF608)</f>
        <v>36620.862589139928</v>
      </c>
      <c r="BI608" s="10">
        <f t="shared" ref="BI608:BO608" ca="1" si="1021">BI606*BI597</f>
        <v>1127.1717836835965</v>
      </c>
      <c r="BJ608" s="10">
        <f t="shared" ca="1" si="1021"/>
        <v>355.09064376000867</v>
      </c>
      <c r="BK608" s="10">
        <f t="shared" ca="1" si="1021"/>
        <v>2275.653084612029</v>
      </c>
      <c r="BL608" s="10">
        <f t="shared" ca="1" si="1021"/>
        <v>664.46128956227074</v>
      </c>
      <c r="BM608" s="10">
        <f t="shared" ca="1" si="1021"/>
        <v>2271.9268063972177</v>
      </c>
      <c r="BN608" s="10">
        <f t="shared" ca="1" si="1021"/>
        <v>3548.4941627166372</v>
      </c>
      <c r="BO608" s="10">
        <f t="shared" ca="1" si="1021"/>
        <v>1231.0086043323881</v>
      </c>
      <c r="BP608" s="10">
        <f ca="1">SUM(BI608:BO608)</f>
        <v>11473.806375064147</v>
      </c>
    </row>
    <row r="609" spans="2:68" ht="13.2" customHeight="1">
      <c r="B609" s="280" t="s">
        <v>112</v>
      </c>
      <c r="G609" s="1122">
        <f t="shared" ca="1" si="1015"/>
        <v>85592.204838288933</v>
      </c>
      <c r="H609" s="1122">
        <f t="shared" ca="1" si="1015"/>
        <v>26625.320916268684</v>
      </c>
      <c r="I609" s="1122">
        <f t="shared" ca="1" si="1015"/>
        <v>173415.66132106309</v>
      </c>
      <c r="J609" s="1122">
        <f t="shared" ca="1" si="1015"/>
        <v>51125.610969224392</v>
      </c>
      <c r="K609" s="1122">
        <f t="shared" ca="1" si="1015"/>
        <v>176378.24498916484</v>
      </c>
      <c r="L609" s="1122">
        <f t="shared" ca="1" si="1015"/>
        <v>271299.34057981567</v>
      </c>
      <c r="M609" s="1122">
        <f t="shared" ca="1" si="1015"/>
        <v>93338.592206126341</v>
      </c>
      <c r="N609" s="186">
        <f ca="1">SUM(G609:M609)</f>
        <v>877774.97581995197</v>
      </c>
      <c r="O609" s="39">
        <f>ROW()</f>
        <v>609</v>
      </c>
      <c r="P609" s="10">
        <f t="shared" ref="P609:V609" ca="1" si="1022">P608*$I$85</f>
        <v>11717.666649155988</v>
      </c>
      <c r="Q609" s="10">
        <f t="shared" ca="1" si="1022"/>
        <v>12389.774937132897</v>
      </c>
      <c r="R609" s="10">
        <f t="shared" ca="1" si="1022"/>
        <v>82691.99916000443</v>
      </c>
      <c r="S609" s="10">
        <f t="shared" ca="1" si="1022"/>
        <v>19786.638244399106</v>
      </c>
      <c r="T609" s="10">
        <f t="shared" ca="1" si="1022"/>
        <v>58344.906023293042</v>
      </c>
      <c r="U609" s="10">
        <f t="shared" ca="1" si="1022"/>
        <v>58772.498313556636</v>
      </c>
      <c r="V609" s="10">
        <f t="shared" ca="1" si="1022"/>
        <v>16288.457098697465</v>
      </c>
      <c r="W609" s="10">
        <f ca="1">SUM(P609:V609)</f>
        <v>259991.94042623954</v>
      </c>
      <c r="Y609" s="10">
        <f t="shared" ref="Y609:AE609" ca="1" si="1023">Y608*$J$85</f>
        <v>20533.14527166359</v>
      </c>
      <c r="Z609" s="10">
        <f t="shared" ca="1" si="1023"/>
        <v>1504.5601455219762</v>
      </c>
      <c r="AA609" s="10">
        <f t="shared" ca="1" si="1023"/>
        <v>16652.88269292617</v>
      </c>
      <c r="AB609" s="10">
        <f t="shared" ca="1" si="1023"/>
        <v>9802.4822902382657</v>
      </c>
      <c r="AC609" s="10">
        <f t="shared" ca="1" si="1023"/>
        <v>40416.516248125721</v>
      </c>
      <c r="AD609" s="10">
        <f t="shared" ca="1" si="1023"/>
        <v>80515.752287480034</v>
      </c>
      <c r="AE609" s="10">
        <f t="shared" ca="1" si="1023"/>
        <v>24307.237899462798</v>
      </c>
      <c r="AF609" s="10">
        <f ca="1">SUM(Y609:AE609)</f>
        <v>193732.57683541859</v>
      </c>
      <c r="AH609" s="10">
        <f t="shared" ref="AH609:AN609" ca="1" si="1024">AH608*$K$85</f>
        <v>28103.772086061959</v>
      </c>
      <c r="AI609" s="10">
        <f t="shared" ca="1" si="1024"/>
        <v>3614.7159824238065</v>
      </c>
      <c r="AJ609" s="10">
        <f t="shared" ca="1" si="1024"/>
        <v>15903.303003634523</v>
      </c>
      <c r="AK609" s="10">
        <f t="shared" ca="1" si="1024"/>
        <v>4607.5473495059587</v>
      </c>
      <c r="AL609" s="10">
        <f t="shared" ca="1" si="1024"/>
        <v>22511.567201526719</v>
      </c>
      <c r="AM609" s="10">
        <f t="shared" ca="1" si="1024"/>
        <v>42073.455143548963</v>
      </c>
      <c r="AN609" s="10">
        <f t="shared" ca="1" si="1024"/>
        <v>22075.020859620035</v>
      </c>
      <c r="AO609" s="10">
        <f ca="1">SUM(AH609:AN609)</f>
        <v>138889.38162632196</v>
      </c>
      <c r="AQ609" s="10">
        <f t="shared" ref="AQ609:AW609" ca="1" si="1025">AQ608*$L$85</f>
        <v>11943.38112232128</v>
      </c>
      <c r="AR609" s="10">
        <f t="shared" ca="1" si="1025"/>
        <v>5105.7823111924317</v>
      </c>
      <c r="AS609" s="10">
        <f t="shared" ca="1" si="1025"/>
        <v>31900.605351754584</v>
      </c>
      <c r="AT609" s="10">
        <f t="shared" ca="1" si="1025"/>
        <v>9285.1320901453237</v>
      </c>
      <c r="AU609" s="10">
        <f t="shared" ca="1" si="1025"/>
        <v>28730.032671681885</v>
      </c>
      <c r="AV609" s="10">
        <f t="shared" ca="1" si="1025"/>
        <v>48939.692969460964</v>
      </c>
      <c r="AW609" s="10">
        <f t="shared" ca="1" si="1025"/>
        <v>16446.249897867347</v>
      </c>
      <c r="AX609" s="10">
        <f ca="1">SUM(AQ609:AW609)</f>
        <v>152350.87641442384</v>
      </c>
      <c r="AZ609" s="10">
        <f t="shared" ref="AZ609:BF609" ca="1" si="1026">AZ608*$M$85</f>
        <v>11039.896141718929</v>
      </c>
      <c r="BA609" s="10">
        <f t="shared" ca="1" si="1026"/>
        <v>3300.306252477556</v>
      </c>
      <c r="BB609" s="10">
        <f t="shared" ca="1" si="1026"/>
        <v>21715.564943519319</v>
      </c>
      <c r="BC609" s="10">
        <f t="shared" ca="1" si="1026"/>
        <v>6314.8884158112014</v>
      </c>
      <c r="BD609" s="10">
        <f t="shared" ca="1" si="1026"/>
        <v>21831.369231743061</v>
      </c>
      <c r="BE609" s="10">
        <f t="shared" ca="1" si="1026"/>
        <v>33900.95354033581</v>
      </c>
      <c r="BF609" s="10">
        <f t="shared" ca="1" si="1026"/>
        <v>11759.609241813911</v>
      </c>
      <c r="BG609" s="10">
        <f ca="1">SUM(AZ609:BF609)</f>
        <v>109862.5877674198</v>
      </c>
      <c r="BI609" s="10">
        <f t="shared" ref="BI609:BO609" ca="1" si="1027">BI608*$N$85</f>
        <v>2254.3435673671929</v>
      </c>
      <c r="BJ609" s="10">
        <f t="shared" ca="1" si="1027"/>
        <v>710.18128752001735</v>
      </c>
      <c r="BK609" s="10">
        <f t="shared" ca="1" si="1027"/>
        <v>4551.3061692240581</v>
      </c>
      <c r="BL609" s="10">
        <f t="shared" ca="1" si="1027"/>
        <v>1328.9225791245415</v>
      </c>
      <c r="BM609" s="10">
        <f t="shared" ca="1" si="1027"/>
        <v>4543.8536127944353</v>
      </c>
      <c r="BN609" s="10">
        <f t="shared" ca="1" si="1027"/>
        <v>7096.9883254332744</v>
      </c>
      <c r="BO609" s="10">
        <f t="shared" ca="1" si="1027"/>
        <v>2462.0172086647763</v>
      </c>
      <c r="BP609" s="10">
        <f ca="1">SUM(BI609:BO609)</f>
        <v>22947.612750128294</v>
      </c>
    </row>
    <row r="610" spans="2:68" ht="13.2" customHeight="1">
      <c r="G610" s="1122"/>
      <c r="H610" s="1122"/>
      <c r="I610" s="1122"/>
      <c r="J610" s="1122"/>
      <c r="K610" s="1122"/>
      <c r="L610" s="1122"/>
      <c r="M610" s="1122"/>
      <c r="N610" s="186"/>
      <c r="O610" s="39">
        <f>ROW()</f>
        <v>610</v>
      </c>
    </row>
    <row r="611" spans="2:68" ht="13.2" customHeight="1">
      <c r="B611" s="308" t="s">
        <v>1010</v>
      </c>
      <c r="G611" s="1122"/>
      <c r="H611" s="1122"/>
      <c r="I611" s="1122"/>
      <c r="J611" s="1122"/>
      <c r="K611" s="1122"/>
      <c r="L611" s="1122"/>
      <c r="M611" s="1122"/>
      <c r="N611" s="186"/>
      <c r="O611" s="39">
        <f>ROW()</f>
        <v>611</v>
      </c>
      <c r="P611" s="10"/>
      <c r="Q611" s="10"/>
      <c r="R611" s="10"/>
      <c r="S611" s="10"/>
      <c r="T611" s="10"/>
      <c r="U611" s="10"/>
      <c r="V611" s="10"/>
      <c r="W611" s="10"/>
      <c r="Y611" s="10"/>
      <c r="Z611" s="10"/>
      <c r="AA611" s="10"/>
      <c r="AB611" s="10"/>
      <c r="AC611" s="10"/>
      <c r="AD611" s="10"/>
      <c r="AE611" s="10"/>
      <c r="AF611" s="10"/>
      <c r="AH611" s="10"/>
      <c r="AI611" s="10"/>
      <c r="AJ611" s="10"/>
      <c r="AK611" s="10"/>
      <c r="AL611" s="10"/>
      <c r="AM611" s="10"/>
      <c r="AN611" s="10"/>
      <c r="AO611" s="10"/>
      <c r="AQ611" s="10"/>
      <c r="AR611" s="10"/>
      <c r="AS611" s="10"/>
      <c r="AT611" s="10"/>
      <c r="AU611" s="10"/>
      <c r="AV611" s="10"/>
      <c r="AW611" s="10"/>
      <c r="AX611" s="10"/>
      <c r="AZ611" s="10"/>
      <c r="BA611" s="10"/>
      <c r="BB611" s="10"/>
      <c r="BC611" s="10"/>
      <c r="BD611" s="10"/>
      <c r="BE611" s="10"/>
      <c r="BF611" s="10"/>
      <c r="BG611" s="10"/>
      <c r="BI611" s="10"/>
      <c r="BJ611" s="10"/>
      <c r="BK611" s="10"/>
      <c r="BL611" s="10"/>
      <c r="BM611" s="10"/>
      <c r="BN611" s="10"/>
      <c r="BO611" s="10"/>
      <c r="BP611" s="10"/>
    </row>
    <row r="612" spans="2:68" ht="13.2" customHeight="1">
      <c r="B612" s="280" t="s">
        <v>1301</v>
      </c>
      <c r="G612" s="1122">
        <f t="shared" ref="G612:M612" ca="1" si="1028">P612+Y612+AH612+AQ612+AZ612+BI612</f>
        <v>71458.477919316632</v>
      </c>
      <c r="H612" s="1122">
        <f t="shared" ca="1" si="1028"/>
        <v>14415.818567420305</v>
      </c>
      <c r="I612" s="1122">
        <f t="shared" ca="1" si="1028"/>
        <v>84316.425138821854</v>
      </c>
      <c r="J612" s="1122">
        <f t="shared" ca="1" si="1028"/>
        <v>26451.275635632977</v>
      </c>
      <c r="K612" s="1122">
        <f t="shared" ca="1" si="1028"/>
        <v>104765.78771144559</v>
      </c>
      <c r="L612" s="1122">
        <f t="shared" ca="1" si="1028"/>
        <v>219360.31982116055</v>
      </c>
      <c r="M612" s="1122">
        <f t="shared" ca="1" si="1028"/>
        <v>84893.352250234442</v>
      </c>
      <c r="N612" s="186">
        <f ca="1">SUM(G612:M612)</f>
        <v>605661.4570440324</v>
      </c>
      <c r="O612" s="39">
        <f>ROW()</f>
        <v>612</v>
      </c>
      <c r="P612" s="10">
        <f t="shared" ref="P612:W612" ca="1" si="1029">P$135*$W606</f>
        <v>27545.984910122494</v>
      </c>
      <c r="Q612" s="10">
        <f t="shared" ca="1" si="1029"/>
        <v>4989.9534342523648</v>
      </c>
      <c r="R612" s="10">
        <f t="shared" ca="1" si="1029"/>
        <v>28757.131838340432</v>
      </c>
      <c r="S612" s="10">
        <f t="shared" ca="1" si="1029"/>
        <v>9173.4899439375095</v>
      </c>
      <c r="T612" s="10">
        <f t="shared" ca="1" si="1029"/>
        <v>38025.659596900376</v>
      </c>
      <c r="U612" s="10">
        <f t="shared" ca="1" si="1029"/>
        <v>81977.605777042641</v>
      </c>
      <c r="V612" s="10">
        <f t="shared" ca="1" si="1029"/>
        <v>32250.122650645812</v>
      </c>
      <c r="W612" s="10">
        <f t="shared" ca="1" si="1029"/>
        <v>222719.94815124164</v>
      </c>
      <c r="Y612" s="10">
        <f t="shared" ref="Y612:AE612" ca="1" si="1030">Y$135*$AF606</f>
        <v>20530.387958079307</v>
      </c>
      <c r="Z612" s="10">
        <f t="shared" ca="1" si="1030"/>
        <v>3719.0784875622608</v>
      </c>
      <c r="AA612" s="10">
        <f t="shared" ca="1" si="1030"/>
        <v>21433.07182985522</v>
      </c>
      <c r="AB612" s="10">
        <f t="shared" ca="1" si="1030"/>
        <v>6837.1237439169417</v>
      </c>
      <c r="AC612" s="10">
        <f t="shared" ca="1" si="1030"/>
        <v>28341.028517711289</v>
      </c>
      <c r="AD612" s="10">
        <f t="shared" ca="1" si="1030"/>
        <v>61098.99703962644</v>
      </c>
      <c r="AE612" s="10">
        <f t="shared" ca="1" si="1030"/>
        <v>24036.44421768672</v>
      </c>
      <c r="AF612" s="10">
        <f ca="1">SUM(Y612:AE612)</f>
        <v>165996.13179443817</v>
      </c>
      <c r="AH612" s="10">
        <f t="shared" ref="AH612:AN612" ca="1" si="1031">AH$135*$AO606</f>
        <v>11300.693746712497</v>
      </c>
      <c r="AI612" s="10">
        <f t="shared" ca="1" si="1031"/>
        <v>2047.1199615781493</v>
      </c>
      <c r="AJ612" s="10">
        <f t="shared" ca="1" si="1031"/>
        <v>11797.564726738081</v>
      </c>
      <c r="AK612" s="10">
        <f t="shared" ca="1" si="1031"/>
        <v>3763.4087429885117</v>
      </c>
      <c r="AL612" s="10">
        <f t="shared" ca="1" si="1031"/>
        <v>15599.962572527205</v>
      </c>
      <c r="AM612" s="10">
        <f t="shared" ca="1" si="1031"/>
        <v>33631.174198264249</v>
      </c>
      <c r="AN612" s="10">
        <f t="shared" ca="1" si="1031"/>
        <v>13230.558303070076</v>
      </c>
      <c r="AO612" s="10">
        <f ca="1">SUM(AH612:AN612)</f>
        <v>91370.48225187877</v>
      </c>
      <c r="AQ612" s="10">
        <f t="shared" ref="AQ612:AW612" ca="1" si="1032">AQ606</f>
        <v>5971.6905611606398</v>
      </c>
      <c r="AR612" s="10">
        <f t="shared" ca="1" si="1032"/>
        <v>2552.8911555962159</v>
      </c>
      <c r="AS612" s="10">
        <f t="shared" ca="1" si="1032"/>
        <v>15950.302675877292</v>
      </c>
      <c r="AT612" s="10">
        <f t="shared" ca="1" si="1032"/>
        <v>4642.5660450726618</v>
      </c>
      <c r="AU612" s="10">
        <f t="shared" ca="1" si="1032"/>
        <v>14365.016335840943</v>
      </c>
      <c r="AV612" s="10">
        <f t="shared" ca="1" si="1032"/>
        <v>24469.846484730482</v>
      </c>
      <c r="AW612" s="10">
        <f t="shared" ca="1" si="1032"/>
        <v>8223.1249489336733</v>
      </c>
      <c r="AX612" s="10">
        <f ca="1">SUM(AQ612:AW612)</f>
        <v>76175.438207211919</v>
      </c>
      <c r="AZ612" s="10">
        <f t="shared" ref="AZ612:BF612" ca="1" si="1033">AZ$135*$BG606</f>
        <v>4640.586859820588</v>
      </c>
      <c r="BA612" s="10">
        <f t="shared" ca="1" si="1033"/>
        <v>840.64201783537396</v>
      </c>
      <c r="BB612" s="10">
        <f t="shared" ca="1" si="1033"/>
        <v>4844.6250359373125</v>
      </c>
      <c r="BC612" s="10">
        <f t="shared" ca="1" si="1033"/>
        <v>1545.4294711709188</v>
      </c>
      <c r="BD612" s="10">
        <f t="shared" ca="1" si="1033"/>
        <v>6406.0652337227257</v>
      </c>
      <c r="BE612" s="10">
        <f t="shared" ca="1" si="1033"/>
        <v>13810.513634192093</v>
      </c>
      <c r="BF612" s="10">
        <f t="shared" ca="1" si="1033"/>
        <v>5433.0783919507976</v>
      </c>
      <c r="BG612" s="10">
        <f ca="1">SUM(AZ612:BF612)</f>
        <v>37520.940644629809</v>
      </c>
      <c r="BI612" s="10">
        <f t="shared" ref="BI612:BO612" ca="1" si="1034">BI$135*$BP606</f>
        <v>1469.1338834211126</v>
      </c>
      <c r="BJ612" s="10">
        <f t="shared" ca="1" si="1034"/>
        <v>266.13351059594015</v>
      </c>
      <c r="BK612" s="10">
        <f t="shared" ca="1" si="1034"/>
        <v>1533.7290320735212</v>
      </c>
      <c r="BL612" s="10">
        <f t="shared" ca="1" si="1034"/>
        <v>489.25768854643246</v>
      </c>
      <c r="BM612" s="10">
        <f t="shared" ca="1" si="1034"/>
        <v>2028.0554547430459</v>
      </c>
      <c r="BN612" s="10">
        <f t="shared" ca="1" si="1034"/>
        <v>4372.182687304613</v>
      </c>
      <c r="BO612" s="10">
        <f t="shared" ca="1" si="1034"/>
        <v>1720.0237379473599</v>
      </c>
      <c r="BP612" s="10">
        <f ca="1">SUM(BI612:BO612)</f>
        <v>11878.515994632025</v>
      </c>
    </row>
    <row r="613" spans="2:68" ht="13.2" customHeight="1">
      <c r="B613" s="309"/>
      <c r="G613" s="1122"/>
      <c r="H613" s="1122"/>
      <c r="I613" s="1122"/>
      <c r="J613" s="1122"/>
      <c r="K613" s="1122"/>
      <c r="L613" s="1122"/>
      <c r="M613" s="1122"/>
      <c r="O613" s="39">
        <f>ROW()</f>
        <v>613</v>
      </c>
    </row>
    <row r="614" spans="2:68" ht="13.2" customHeight="1">
      <c r="B614" s="280" t="s">
        <v>1047</v>
      </c>
      <c r="G614" s="1122"/>
      <c r="H614" s="1122"/>
      <c r="I614" s="1122"/>
      <c r="J614" s="1122"/>
      <c r="K614" s="1122"/>
      <c r="L614" s="1122"/>
      <c r="M614" s="1122"/>
      <c r="N614" s="186"/>
      <c r="O614" s="39">
        <f>ROW()</f>
        <v>614</v>
      </c>
      <c r="P614" s="10">
        <f t="shared" ref="P614:V614" ca="1" si="1035">P612*$W608/$W606</f>
        <v>25724.62548481331</v>
      </c>
      <c r="Q614" s="10">
        <f t="shared" ca="1" si="1035"/>
        <v>4660.0142888929386</v>
      </c>
      <c r="R614" s="10">
        <f t="shared" ca="1" si="1035"/>
        <v>26855.690547004619</v>
      </c>
      <c r="S614" s="10">
        <f t="shared" ca="1" si="1035"/>
        <v>8566.9324936635239</v>
      </c>
      <c r="T614" s="10">
        <f t="shared" ca="1" si="1035"/>
        <v>35511.376889769352</v>
      </c>
      <c r="U614" s="10">
        <f t="shared" ca="1" si="1035"/>
        <v>76557.190227064275</v>
      </c>
      <c r="V614" s="10">
        <f t="shared" ca="1" si="1035"/>
        <v>30117.722409783641</v>
      </c>
      <c r="W614" s="10">
        <f ca="1">SUM(P614:V614)</f>
        <v>207993.55234099165</v>
      </c>
      <c r="Y614" s="10">
        <f t="shared" ref="Y614:AE614" ca="1" si="1036">Y612*$AF608/$AF606</f>
        <v>19168.663363673961</v>
      </c>
      <c r="Z614" s="10">
        <f t="shared" ca="1" si="1036"/>
        <v>3472.4021629171439</v>
      </c>
      <c r="AA614" s="10">
        <f t="shared" ca="1" si="1036"/>
        <v>20011.474678161616</v>
      </c>
      <c r="AB614" s="10">
        <f t="shared" ca="1" si="1036"/>
        <v>6383.6359882985398</v>
      </c>
      <c r="AC614" s="10">
        <f t="shared" ca="1" si="1036"/>
        <v>26461.245454570322</v>
      </c>
      <c r="AD614" s="10">
        <f t="shared" ca="1" si="1036"/>
        <v>57046.467339153001</v>
      </c>
      <c r="AE614" s="10">
        <f t="shared" ca="1" si="1036"/>
        <v>22442.172481560294</v>
      </c>
      <c r="AF614" s="10">
        <f ca="1">SUM(Y614:AE614)</f>
        <v>154986.06146833487</v>
      </c>
      <c r="AH614" s="10">
        <f t="shared" ref="AH614:AN614" ca="1" si="1037">AH612*$AO608/$AO606</f>
        <v>10736.142076104323</v>
      </c>
      <c r="AI614" s="10">
        <f t="shared" ca="1" si="1037"/>
        <v>1944.851461949045</v>
      </c>
      <c r="AJ614" s="10">
        <f t="shared" ca="1" si="1037"/>
        <v>11208.190744496889</v>
      </c>
      <c r="AK614" s="10">
        <f t="shared" ca="1" si="1037"/>
        <v>3575.3991622799235</v>
      </c>
      <c r="AL614" s="10">
        <f t="shared" ca="1" si="1037"/>
        <v>14820.631220918169</v>
      </c>
      <c r="AM614" s="10">
        <f t="shared" ca="1" si="1037"/>
        <v>31951.052959365261</v>
      </c>
      <c r="AN614" s="10">
        <f t="shared" ca="1" si="1037"/>
        <v>12569.595891337611</v>
      </c>
      <c r="AO614" s="10">
        <f ca="1">SUM(AH614:AN614)</f>
        <v>86805.863516451209</v>
      </c>
      <c r="AQ614" s="10">
        <f t="shared" ref="AQ614:AW614" ca="1" si="1038">AQ612*$AX608/$AX606</f>
        <v>5971.6905611606398</v>
      </c>
      <c r="AR614" s="10">
        <f t="shared" ca="1" si="1038"/>
        <v>2552.8911555962159</v>
      </c>
      <c r="AS614" s="10">
        <f t="shared" ca="1" si="1038"/>
        <v>15950.30267587729</v>
      </c>
      <c r="AT614" s="10">
        <f t="shared" ca="1" si="1038"/>
        <v>4642.5660450726618</v>
      </c>
      <c r="AU614" s="10">
        <f t="shared" ca="1" si="1038"/>
        <v>14365.016335840945</v>
      </c>
      <c r="AV614" s="10">
        <f t="shared" ca="1" si="1038"/>
        <v>24469.846484730482</v>
      </c>
      <c r="AW614" s="10">
        <f t="shared" ca="1" si="1038"/>
        <v>8223.1249489336733</v>
      </c>
      <c r="AX614" s="10">
        <f ca="1">SUM(AQ614:AW614)</f>
        <v>76175.438207211919</v>
      </c>
      <c r="AZ614" s="10">
        <f t="shared" ref="AZ614:BF614" ca="1" si="1039">AZ612*$BG608/$BG606</f>
        <v>4529.2652797813353</v>
      </c>
      <c r="BA614" s="10">
        <f t="shared" ca="1" si="1039"/>
        <v>820.47612061166865</v>
      </c>
      <c r="BB614" s="10">
        <f t="shared" ca="1" si="1039"/>
        <v>4728.4088482030065</v>
      </c>
      <c r="BC614" s="10">
        <f t="shared" ca="1" si="1039"/>
        <v>1508.3566491837823</v>
      </c>
      <c r="BD614" s="10">
        <f t="shared" ca="1" si="1039"/>
        <v>6252.3921477113345</v>
      </c>
      <c r="BE614" s="10">
        <f t="shared" ca="1" si="1039"/>
        <v>13479.217562088974</v>
      </c>
      <c r="BF614" s="10">
        <f t="shared" ca="1" si="1039"/>
        <v>5302.7459815598259</v>
      </c>
      <c r="BG614" s="10">
        <f ca="1">SUM(AZ614:BF614)</f>
        <v>36620.862589139928</v>
      </c>
      <c r="BI614" s="10">
        <f t="shared" ref="BI614:BO614" ca="1" si="1040">BI612*$BP608/$BP606</f>
        <v>1419.0794308849258</v>
      </c>
      <c r="BJ614" s="10">
        <f t="shared" ca="1" si="1040"/>
        <v>257.06614966666069</v>
      </c>
      <c r="BK614" s="10">
        <f t="shared" ca="1" si="1040"/>
        <v>1481.473776166875</v>
      </c>
      <c r="BL614" s="10">
        <f t="shared" ca="1" si="1040"/>
        <v>472.58832571594354</v>
      </c>
      <c r="BM614" s="10">
        <f t="shared" ca="1" si="1040"/>
        <v>1958.9581405732845</v>
      </c>
      <c r="BN614" s="10">
        <f t="shared" ca="1" si="1040"/>
        <v>4223.2192652020576</v>
      </c>
      <c r="BO614" s="10">
        <f t="shared" ca="1" si="1040"/>
        <v>1661.4212868543971</v>
      </c>
      <c r="BP614" s="10">
        <f ca="1">SUM(BI614:BO614)</f>
        <v>11473.806375064143</v>
      </c>
    </row>
    <row r="615" spans="2:68" ht="13.2" customHeight="1">
      <c r="B615" s="309"/>
      <c r="C615" s="309"/>
      <c r="D615" s="309"/>
      <c r="E615" s="309"/>
      <c r="F615" s="309"/>
      <c r="G615" s="1122"/>
      <c r="H615" s="1122"/>
      <c r="I615" s="1122"/>
      <c r="J615" s="1122"/>
      <c r="K615" s="1122"/>
      <c r="L615" s="1122"/>
      <c r="M615" s="1122"/>
      <c r="N615" s="186"/>
      <c r="O615" s="39">
        <f>ROW()</f>
        <v>615</v>
      </c>
      <c r="AQ615" s="10"/>
      <c r="AR615" s="10"/>
      <c r="AS615" s="10"/>
      <c r="AT615" s="10"/>
      <c r="AU615" s="10"/>
      <c r="AV615" s="10"/>
      <c r="AW615" s="10"/>
    </row>
    <row r="616" spans="2:68" ht="13.2" customHeight="1">
      <c r="B616" s="280" t="s">
        <v>1010</v>
      </c>
      <c r="G616" s="1122">
        <f t="shared" ref="G616:M616" ca="1" si="1041">P616+Y616+AH616+AQ616+AZ616+BI616</f>
        <v>98677.928925230823</v>
      </c>
      <c r="H616" s="1122">
        <f t="shared" ca="1" si="1041"/>
        <v>20082.180298443724</v>
      </c>
      <c r="I616" s="1122">
        <f t="shared" ca="1" si="1041"/>
        <v>117590.68983341151</v>
      </c>
      <c r="J616" s="1122">
        <f t="shared" ca="1" si="1041"/>
        <v>36842.944928692683</v>
      </c>
      <c r="K616" s="1122">
        <f t="shared" ca="1" si="1041"/>
        <v>145401.40511193566</v>
      </c>
      <c r="L616" s="1122">
        <f t="shared" ca="1" si="1041"/>
        <v>303715.1176365228</v>
      </c>
      <c r="M616" s="1122">
        <f t="shared" ca="1" si="1041"/>
        <v>117376.98998210889</v>
      </c>
      <c r="N616" s="186">
        <f ca="1">SUM(G616:M616)</f>
        <v>839687.25671634625</v>
      </c>
      <c r="O616" s="39">
        <f>ROW()</f>
        <v>616</v>
      </c>
      <c r="P616" s="10">
        <f t="shared" ref="P616:V616" ca="1" si="1042">P614*$I$85</f>
        <v>32155.781856016638</v>
      </c>
      <c r="Q616" s="10">
        <f t="shared" ca="1" si="1042"/>
        <v>5825.0178611161737</v>
      </c>
      <c r="R616" s="10">
        <f t="shared" ca="1" si="1042"/>
        <v>33569.613183755777</v>
      </c>
      <c r="S616" s="10">
        <f t="shared" ca="1" si="1042"/>
        <v>10708.665617079405</v>
      </c>
      <c r="T616" s="10">
        <f t="shared" ca="1" si="1042"/>
        <v>44389.221112211686</v>
      </c>
      <c r="U616" s="10">
        <f t="shared" ca="1" si="1042"/>
        <v>95696.487783830351</v>
      </c>
      <c r="V616" s="10">
        <f t="shared" ca="1" si="1042"/>
        <v>37647.153012229552</v>
      </c>
      <c r="W616" s="10">
        <f ca="1">SUM(P616:V616)</f>
        <v>259991.94042623957</v>
      </c>
      <c r="Y616" s="10">
        <f t="shared" ref="Y616:AE616" ca="1" si="1043">Y614*$J$85</f>
        <v>23960.82920459245</v>
      </c>
      <c r="Z616" s="10">
        <f t="shared" ca="1" si="1043"/>
        <v>4340.5027036464298</v>
      </c>
      <c r="AA616" s="10">
        <f t="shared" ca="1" si="1043"/>
        <v>25014.343347702019</v>
      </c>
      <c r="AB616" s="10">
        <f t="shared" ca="1" si="1043"/>
        <v>7979.5449853731752</v>
      </c>
      <c r="AC616" s="10">
        <f t="shared" ca="1" si="1043"/>
        <v>33076.556818212906</v>
      </c>
      <c r="AD616" s="10">
        <f t="shared" ca="1" si="1043"/>
        <v>71308.084173941257</v>
      </c>
      <c r="AE616" s="10">
        <f t="shared" ca="1" si="1043"/>
        <v>28052.715601950367</v>
      </c>
      <c r="AF616" s="10">
        <f ca="1">SUM(Y616:AE616)</f>
        <v>193732.57683541859</v>
      </c>
      <c r="AH616" s="10">
        <f t="shared" ref="AH616:AN616" ca="1" si="1044">AH614*$K$85</f>
        <v>17177.827321766916</v>
      </c>
      <c r="AI616" s="10">
        <f t="shared" ca="1" si="1044"/>
        <v>3111.762339118472</v>
      </c>
      <c r="AJ616" s="10">
        <f t="shared" ca="1" si="1044"/>
        <v>17933.105191195024</v>
      </c>
      <c r="AK616" s="10">
        <f t="shared" ca="1" si="1044"/>
        <v>5720.6386596478778</v>
      </c>
      <c r="AL616" s="10">
        <f t="shared" ca="1" si="1044"/>
        <v>23713.009953469071</v>
      </c>
      <c r="AM616" s="10">
        <f t="shared" ca="1" si="1044"/>
        <v>51121.684734984417</v>
      </c>
      <c r="AN616" s="10">
        <f t="shared" ca="1" si="1044"/>
        <v>20111.35342614018</v>
      </c>
      <c r="AO616" s="10">
        <f ca="1">SUM(AH616:AN616)</f>
        <v>138889.38162632196</v>
      </c>
      <c r="AQ616" s="10">
        <f ca="1">AQ614*$L$85*Taxis!$L$130</f>
        <v>8957.5358417409589</v>
      </c>
      <c r="AR616" s="10">
        <f ca="1">AR614*$L$85*Taxis!$L$130</f>
        <v>3829.3367333943238</v>
      </c>
      <c r="AS616" s="10">
        <f ca="1">AS614*$L$85*Taxis!$L$130</f>
        <v>23925.454013815935</v>
      </c>
      <c r="AT616" s="10">
        <f ca="1">AT614*$L$85*Taxis!$L$130</f>
        <v>6963.8490676089932</v>
      </c>
      <c r="AU616" s="10">
        <f ca="1">AU614*$L$85*Taxis!$L$130</f>
        <v>21547.524503761415</v>
      </c>
      <c r="AV616" s="10">
        <f ca="1">AV614*$L$85*Taxis!$L$130</f>
        <v>36704.769727095721</v>
      </c>
      <c r="AW616" s="10">
        <f ca="1">AW614*$L$85*Taxis!$L$130</f>
        <v>12334.68742340051</v>
      </c>
      <c r="AX616" s="10">
        <f ca="1">SUM(AQ616:AW616)</f>
        <v>114263.15731081786</v>
      </c>
      <c r="AZ616" s="10">
        <f t="shared" ref="AZ616:BF616" ca="1" si="1045">AZ614*$M$85</f>
        <v>13587.795839344006</v>
      </c>
      <c r="BA616" s="10">
        <f t="shared" ca="1" si="1045"/>
        <v>2461.4283618350059</v>
      </c>
      <c r="BB616" s="10">
        <f t="shared" ca="1" si="1045"/>
        <v>14185.22654460902</v>
      </c>
      <c r="BC616" s="10">
        <f t="shared" ca="1" si="1045"/>
        <v>4525.0699475513466</v>
      </c>
      <c r="BD616" s="10">
        <f t="shared" ca="1" si="1045"/>
        <v>18757.176443134005</v>
      </c>
      <c r="BE616" s="10">
        <f t="shared" ca="1" si="1045"/>
        <v>40437.65268626692</v>
      </c>
      <c r="BF616" s="10">
        <f t="shared" ca="1" si="1045"/>
        <v>15908.237944679477</v>
      </c>
      <c r="BG616" s="10">
        <f ca="1">SUM(AZ616:BF616)</f>
        <v>109862.58776741978</v>
      </c>
      <c r="BI616" s="10">
        <f t="shared" ref="BI616:BO616" ca="1" si="1046">BI614*$N$85</f>
        <v>2838.1588617698517</v>
      </c>
      <c r="BJ616" s="10">
        <f t="shared" ca="1" si="1046"/>
        <v>514.13229933332138</v>
      </c>
      <c r="BK616" s="10">
        <f t="shared" ca="1" si="1046"/>
        <v>2962.9475523337501</v>
      </c>
      <c r="BL616" s="10">
        <f t="shared" ca="1" si="1046"/>
        <v>945.17665143188708</v>
      </c>
      <c r="BM616" s="10">
        <f t="shared" ca="1" si="1046"/>
        <v>3917.916281146569</v>
      </c>
      <c r="BN616" s="10">
        <f t="shared" ca="1" si="1046"/>
        <v>8446.4385304041152</v>
      </c>
      <c r="BO616" s="10">
        <f t="shared" ca="1" si="1046"/>
        <v>3322.8425737087941</v>
      </c>
      <c r="BP616" s="10">
        <f ca="1">SUM(BI616:BO616)</f>
        <v>22947.612750128286</v>
      </c>
    </row>
    <row r="617" spans="2:68" ht="13.2" customHeight="1">
      <c r="G617" s="1122"/>
      <c r="H617" s="1122"/>
      <c r="I617" s="1122"/>
      <c r="J617" s="1122"/>
      <c r="K617" s="1122"/>
      <c r="L617" s="1122"/>
      <c r="M617" s="1122"/>
      <c r="O617" s="39">
        <f>ROW()</f>
        <v>617</v>
      </c>
      <c r="AQ617"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617" s="10"/>
      <c r="AS617" s="10"/>
      <c r="AT617" s="10"/>
      <c r="AU617" s="10"/>
      <c r="AV617" s="10"/>
      <c r="AW617" s="10"/>
    </row>
    <row r="618" spans="2:68" ht="13.2" customHeight="1">
      <c r="B618" s="308" t="s">
        <v>1431</v>
      </c>
      <c r="G618" s="1122"/>
      <c r="H618" s="1122"/>
      <c r="I618" s="1122"/>
      <c r="J618" s="1122"/>
      <c r="K618" s="1122"/>
      <c r="L618" s="1122"/>
      <c r="M618" s="1122"/>
      <c r="O618" s="39">
        <f>ROW()</f>
        <v>618</v>
      </c>
      <c r="AQ618" s="265" t="str">
        <f>CONCATENATE("Row ",O620, " figures are set equal to ",O619, " figures, since rebound effects are presumed accounted for by taxi time-elasticity.")</f>
        <v>Row 620 figures are set equal to 619 figures, since rebound effects are presumed accounted for by taxi time-elasticity.</v>
      </c>
    </row>
    <row r="619" spans="2:68" s="1122" customFormat="1" ht="13.2" customHeight="1">
      <c r="B619" s="1123" t="s">
        <v>1112</v>
      </c>
      <c r="G619" s="1122">
        <f t="shared" ref="G619:M621" ca="1" si="1047">P619+Y619+AH619+AQ619+AZ619+BI619</f>
        <v>234277.73379480722</v>
      </c>
      <c r="H619" s="1122">
        <f t="shared" ca="1" si="1047"/>
        <v>29498.281241706118</v>
      </c>
      <c r="I619" s="1122">
        <f t="shared" ca="1" si="1047"/>
        <v>196962.42670014419</v>
      </c>
      <c r="J619" s="1122">
        <f t="shared" ca="1" si="1047"/>
        <v>70313.977188106335</v>
      </c>
      <c r="K619" s="1122">
        <f t="shared" ca="1" si="1047"/>
        <v>253993.59375816249</v>
      </c>
      <c r="L619" s="1122">
        <f t="shared" ca="1" si="1047"/>
        <v>443359.52885199292</v>
      </c>
      <c r="M619" s="1122">
        <f t="shared" ca="1" si="1047"/>
        <v>216124.71991739536</v>
      </c>
      <c r="N619" s="1127">
        <f ca="1">SUM(G619:M619)</f>
        <v>1444530.2614523147</v>
      </c>
      <c r="O619" s="39">
        <f>ROW()</f>
        <v>619</v>
      </c>
      <c r="P619" s="1122">
        <f ca="1">P572</f>
        <v>9880.8750829518849</v>
      </c>
      <c r="Q619" s="1122">
        <f t="shared" ref="Q619:V619" ca="1" si="1048">Q572</f>
        <v>2785.0077270840766</v>
      </c>
      <c r="R619" s="1122">
        <f t="shared" ca="1" si="1048"/>
        <v>18830.849443610106</v>
      </c>
      <c r="S619" s="1122">
        <f t="shared" ca="1" si="1048"/>
        <v>5599.2227819207365</v>
      </c>
      <c r="T619" s="1122">
        <f t="shared" ca="1" si="1048"/>
        <v>18905.631208359926</v>
      </c>
      <c r="U619" s="1122">
        <f t="shared" ca="1" si="1048"/>
        <v>38847.150117764621</v>
      </c>
      <c r="V619" s="1122">
        <f t="shared" ca="1" si="1048"/>
        <v>13538.806247385721</v>
      </c>
      <c r="W619" s="1122">
        <f ca="1">SUM(P619:V619)</f>
        <v>108387.54260907706</v>
      </c>
      <c r="Y619" s="1122">
        <f ca="1">Y572</f>
        <v>6949.6098707990786</v>
      </c>
      <c r="Z619" s="1122">
        <f t="shared" ref="Z619:AE619" ca="1" si="1049">Z572</f>
        <v>1958.8059790158825</v>
      </c>
      <c r="AA619" s="1122">
        <f t="shared" ca="1" si="1049"/>
        <v>13244.480480745835</v>
      </c>
      <c r="AB619" s="1122">
        <f t="shared" ca="1" si="1049"/>
        <v>3938.1546257150376</v>
      </c>
      <c r="AC619" s="1122">
        <f t="shared" ca="1" si="1049"/>
        <v>13297.077450760949</v>
      </c>
      <c r="AD619" s="1122">
        <f t="shared" ca="1" si="1049"/>
        <v>27322.735652900999</v>
      </c>
      <c r="AE619" s="1122">
        <f t="shared" ca="1" si="1049"/>
        <v>9522.3773952983811</v>
      </c>
      <c r="AF619" s="1122">
        <f ca="1">SUM(Y619:AE619)</f>
        <v>76233.241455236159</v>
      </c>
      <c r="AH619" s="1122">
        <f ca="1">AH572</f>
        <v>0</v>
      </c>
      <c r="AI619" s="1122">
        <f t="shared" ref="AI619:AN619" ca="1" si="1050">AI572</f>
        <v>0</v>
      </c>
      <c r="AJ619" s="1122">
        <f t="shared" ca="1" si="1050"/>
        <v>0</v>
      </c>
      <c r="AK619" s="1122">
        <f t="shared" ca="1" si="1050"/>
        <v>0</v>
      </c>
      <c r="AL619" s="1122">
        <f t="shared" ca="1" si="1050"/>
        <v>0</v>
      </c>
      <c r="AM619" s="1122">
        <f t="shared" ca="1" si="1050"/>
        <v>0</v>
      </c>
      <c r="AN619" s="1122">
        <f t="shared" ca="1" si="1050"/>
        <v>0</v>
      </c>
      <c r="AO619" s="1122">
        <f ca="1">SUM(AH619:AN619)</f>
        <v>0</v>
      </c>
      <c r="AQ619" s="1122">
        <f>AQ572</f>
        <v>210187.34459974329</v>
      </c>
      <c r="AR619" s="1122">
        <f t="shared" ref="AR619:AW619" si="1051">AR572</f>
        <v>22748.620884765332</v>
      </c>
      <c r="AS619" s="1122">
        <f t="shared" si="1051"/>
        <v>152580.65410310062</v>
      </c>
      <c r="AT619" s="1122">
        <f t="shared" si="1051"/>
        <v>57061.666827443201</v>
      </c>
      <c r="AU619" s="1122">
        <f t="shared" si="1051"/>
        <v>208747.17643657626</v>
      </c>
      <c r="AV619" s="1122">
        <f t="shared" si="1051"/>
        <v>351862.72506223724</v>
      </c>
      <c r="AW619" s="1122">
        <f t="shared" si="1051"/>
        <v>183873.35054767228</v>
      </c>
      <c r="AX619" s="1122">
        <f>SUM(AQ619:AW619)</f>
        <v>1187061.5384615383</v>
      </c>
      <c r="AZ619" s="1122">
        <f ca="1">AZ572</f>
        <v>4842.1775435001164</v>
      </c>
      <c r="BA619" s="1122">
        <f t="shared" ref="BA619:BF619" ca="1" si="1052">BA572</f>
        <v>1335.4238575113864</v>
      </c>
      <c r="BB619" s="1122">
        <f t="shared" ca="1" si="1052"/>
        <v>8120.2281950495371</v>
      </c>
      <c r="BC619" s="1122">
        <f t="shared" ca="1" si="1052"/>
        <v>2454.6837747533336</v>
      </c>
      <c r="BD619" s="1122">
        <f t="shared" ca="1" si="1052"/>
        <v>8649.9528076372426</v>
      </c>
      <c r="BE619" s="1122">
        <f t="shared" ca="1" si="1052"/>
        <v>16707.88247319893</v>
      </c>
      <c r="BF619" s="1122">
        <f t="shared" ca="1" si="1052"/>
        <v>6085.3579649072253</v>
      </c>
      <c r="BG619" s="1122">
        <f ca="1">SUM(AZ619:BF619)</f>
        <v>48195.706616557778</v>
      </c>
      <c r="BI619" s="1122">
        <f ca="1">BI572</f>
        <v>2417.7266978128596</v>
      </c>
      <c r="BJ619" s="1122">
        <f t="shared" ref="BJ619:BO619" ca="1" si="1053">BJ572</f>
        <v>670.42279332944349</v>
      </c>
      <c r="BK619" s="1122">
        <f t="shared" ca="1" si="1053"/>
        <v>4186.2144776380992</v>
      </c>
      <c r="BL619" s="1122">
        <f t="shared" ca="1" si="1053"/>
        <v>1260.2491782740376</v>
      </c>
      <c r="BM619" s="1122">
        <f t="shared" ca="1" si="1053"/>
        <v>4393.7558548280949</v>
      </c>
      <c r="BN619" s="1122">
        <f t="shared" ca="1" si="1053"/>
        <v>8619.0355458911708</v>
      </c>
      <c r="BO619" s="1122">
        <f t="shared" ca="1" si="1053"/>
        <v>3104.8277621317484</v>
      </c>
      <c r="BP619" s="1122">
        <f ca="1">SUM(BI619:BO619)</f>
        <v>24652.232309905456</v>
      </c>
    </row>
    <row r="620" spans="2:68" s="1122" customFormat="1" ht="13.2" customHeight="1">
      <c r="B620" s="1123" t="s">
        <v>114</v>
      </c>
      <c r="G620" s="1122">
        <f t="shared" ca="1" si="1047"/>
        <v>234267.17310785688</v>
      </c>
      <c r="H620" s="1122">
        <f t="shared" ca="1" si="1047"/>
        <v>29489.099047508727</v>
      </c>
      <c r="I620" s="1122">
        <f t="shared" ca="1" si="1047"/>
        <v>196214.11645853758</v>
      </c>
      <c r="J620" s="1122">
        <f t="shared" ca="1" si="1047"/>
        <v>70141.850681849464</v>
      </c>
      <c r="K620" s="1122">
        <f t="shared" ca="1" si="1047"/>
        <v>253605.848655918</v>
      </c>
      <c r="L620" s="1122">
        <f t="shared" ca="1" si="1047"/>
        <v>441858.6890275015</v>
      </c>
      <c r="M620" s="1122">
        <f t="shared" ca="1" si="1047"/>
        <v>215877.95021728156</v>
      </c>
      <c r="N620" s="1127">
        <f ca="1">SUM(G620:M620)</f>
        <v>1441454.7271964536</v>
      </c>
      <c r="O620" s="39">
        <f>ROW()</f>
        <v>620</v>
      </c>
      <c r="P620" s="1122">
        <f t="shared" ref="P620:V620" ca="1" si="1054">P619*P599</f>
        <v>9875.5657527073654</v>
      </c>
      <c r="Q620" s="1122">
        <f t="shared" ca="1" si="1054"/>
        <v>2780.3788487893094</v>
      </c>
      <c r="R620" s="1122">
        <f t="shared" ca="1" si="1054"/>
        <v>18449.01648312834</v>
      </c>
      <c r="S620" s="1122">
        <f t="shared" ca="1" si="1054"/>
        <v>5511.5473200428623</v>
      </c>
      <c r="T620" s="1122">
        <f t="shared" ca="1" si="1054"/>
        <v>18709.094404721072</v>
      </c>
      <c r="U620" s="1122">
        <f t="shared" ca="1" si="1054"/>
        <v>38081.081046673149</v>
      </c>
      <c r="V620" s="1122">
        <f t="shared" ca="1" si="1054"/>
        <v>13413.450813566207</v>
      </c>
      <c r="W620" s="1122">
        <f ca="1">SUM(P620:V620)</f>
        <v>106820.1346696283</v>
      </c>
      <c r="Y620" s="1122">
        <f t="shared" ref="Y620:AE620" ca="1" si="1055">Y619*Y599</f>
        <v>6945.875609049499</v>
      </c>
      <c r="Z620" s="1122">
        <f t="shared" ca="1" si="1055"/>
        <v>1955.5503060093949</v>
      </c>
      <c r="AA620" s="1122">
        <f t="shared" ca="1" si="1055"/>
        <v>12975.922272198201</v>
      </c>
      <c r="AB620" s="1122">
        <f t="shared" ca="1" si="1055"/>
        <v>3876.4890090385729</v>
      </c>
      <c r="AC620" s="1122">
        <f t="shared" ca="1" si="1055"/>
        <v>13158.845350964397</v>
      </c>
      <c r="AD620" s="1122">
        <f t="shared" ca="1" si="1055"/>
        <v>26783.929005364607</v>
      </c>
      <c r="AE620" s="1122">
        <f t="shared" ca="1" si="1055"/>
        <v>9434.2099654992253</v>
      </c>
      <c r="AF620" s="1122">
        <f ca="1">SUM(Y620:AE620)</f>
        <v>75130.821518123892</v>
      </c>
      <c r="AH620" s="1122">
        <f t="shared" ref="AH620:AN620" ca="1" si="1056">AH619*AH599</f>
        <v>0</v>
      </c>
      <c r="AI620" s="1122">
        <f t="shared" ca="1" si="1056"/>
        <v>0</v>
      </c>
      <c r="AJ620" s="1122">
        <f t="shared" ca="1" si="1056"/>
        <v>0</v>
      </c>
      <c r="AK620" s="1122">
        <f t="shared" ca="1" si="1056"/>
        <v>0</v>
      </c>
      <c r="AL620" s="1122">
        <f t="shared" ca="1" si="1056"/>
        <v>0</v>
      </c>
      <c r="AM620" s="1122">
        <f t="shared" ca="1" si="1056"/>
        <v>0</v>
      </c>
      <c r="AN620" s="1122">
        <f t="shared" ca="1" si="1056"/>
        <v>0</v>
      </c>
      <c r="AO620" s="1122">
        <f ca="1">SUM(AH620:AN620)</f>
        <v>0</v>
      </c>
      <c r="AQ620" s="1122">
        <f t="shared" ref="AQ620" si="1057">AQ619</f>
        <v>210187.34459974329</v>
      </c>
      <c r="AR620" s="1122">
        <f t="shared" ref="AR620" si="1058">AR619</f>
        <v>22748.620884765332</v>
      </c>
      <c r="AS620" s="1122">
        <f t="shared" ref="AS620" si="1059">AS619</f>
        <v>152580.65410310062</v>
      </c>
      <c r="AT620" s="1122">
        <f t="shared" ref="AT620" si="1060">AT619</f>
        <v>57061.666827443201</v>
      </c>
      <c r="AU620" s="1122">
        <f t="shared" ref="AU620" si="1061">AU619</f>
        <v>208747.17643657626</v>
      </c>
      <c r="AV620" s="1122">
        <f t="shared" ref="AV620" si="1062">AV619</f>
        <v>351862.72506223724</v>
      </c>
      <c r="AW620" s="1122">
        <f t="shared" ref="AW620" si="1063">AW619</f>
        <v>183873.35054767228</v>
      </c>
      <c r="AX620" s="1122">
        <f>SUM(AQ620:AW620)</f>
        <v>1187061.5384615383</v>
      </c>
      <c r="AZ620" s="1122">
        <f t="shared" ref="AZ620:BF620" ca="1" si="1064">AZ619*AZ599</f>
        <v>4841.3100992179916</v>
      </c>
      <c r="BA620" s="1122">
        <f t="shared" ca="1" si="1064"/>
        <v>1334.6835911777564</v>
      </c>
      <c r="BB620" s="1122">
        <f t="shared" ca="1" si="1064"/>
        <v>8064.968396558822</v>
      </c>
      <c r="BC620" s="1122">
        <f t="shared" ca="1" si="1064"/>
        <v>2441.8040867943864</v>
      </c>
      <c r="BD620" s="1122">
        <f t="shared" ca="1" si="1064"/>
        <v>8619.8743031827889</v>
      </c>
      <c r="BE620" s="1122">
        <f t="shared" ca="1" si="1064"/>
        <v>16597.325576555566</v>
      </c>
      <c r="BF620" s="1122">
        <f t="shared" ca="1" si="1064"/>
        <v>6066.5183122245062</v>
      </c>
      <c r="BG620" s="1122">
        <f ca="1">SUM(AZ620:BF620)</f>
        <v>47966.484365711818</v>
      </c>
      <c r="BI620" s="1122">
        <f t="shared" ref="BI620:BO620" ca="1" si="1065">BI619*BI599</f>
        <v>2417.0770471387737</v>
      </c>
      <c r="BJ620" s="1122">
        <f t="shared" ca="1" si="1065"/>
        <v>669.86541676693469</v>
      </c>
      <c r="BK620" s="1122">
        <f t="shared" ca="1" si="1065"/>
        <v>4143.5552035515911</v>
      </c>
      <c r="BL620" s="1122">
        <f t="shared" ca="1" si="1065"/>
        <v>1250.3434385304388</v>
      </c>
      <c r="BM620" s="1122">
        <f t="shared" ca="1" si="1065"/>
        <v>4370.8581604734572</v>
      </c>
      <c r="BN620" s="1122">
        <f t="shared" ca="1" si="1065"/>
        <v>8533.628336670954</v>
      </c>
      <c r="BO620" s="1122">
        <f t="shared" ca="1" si="1065"/>
        <v>3090.4205783193452</v>
      </c>
      <c r="BP620" s="1122">
        <f ca="1">SUM(BI620:BO620)</f>
        <v>24475.748181451498</v>
      </c>
    </row>
    <row r="621" spans="2:68" ht="13.2" customHeight="1">
      <c r="B621" s="280" t="s">
        <v>1880</v>
      </c>
      <c r="G621" s="1122">
        <f t="shared" ca="1" si="1047"/>
        <v>-10.560686950309901</v>
      </c>
      <c r="H621" s="1122">
        <f t="shared" ca="1" si="1047"/>
        <v>-9.1821941973921639</v>
      </c>
      <c r="I621" s="1122">
        <f t="shared" ca="1" si="1047"/>
        <v>-748.310241606624</v>
      </c>
      <c r="J621" s="1122">
        <f t="shared" ca="1" si="1047"/>
        <v>-172.12650625688207</v>
      </c>
      <c r="K621" s="1122">
        <f t="shared" ca="1" si="1047"/>
        <v>-387.7451022444975</v>
      </c>
      <c r="L621" s="1122">
        <f t="shared" ca="1" si="1047"/>
        <v>-1500.8398244914442</v>
      </c>
      <c r="M621" s="1122">
        <f t="shared" ca="1" si="1047"/>
        <v>-246.76970011379171</v>
      </c>
      <c r="N621" s="1127">
        <f ca="1">W621+AF621+AO621+AX621+BG621+BP621</f>
        <v>-3075.5342558609409</v>
      </c>
      <c r="O621" s="39">
        <f>ROW()</f>
        <v>621</v>
      </c>
      <c r="P621" s="10">
        <f t="shared" ref="P621:W621" ca="1" si="1066">P620-P619</f>
        <v>-5.309330244519515</v>
      </c>
      <c r="Q621" s="10">
        <f t="shared" ca="1" si="1066"/>
        <v>-4.6288782947672189</v>
      </c>
      <c r="R621" s="10">
        <f t="shared" ca="1" si="1066"/>
        <v>-381.83296048176635</v>
      </c>
      <c r="S621" s="10">
        <f t="shared" ca="1" si="1066"/>
        <v>-87.675461877874113</v>
      </c>
      <c r="T621" s="10">
        <f t="shared" ca="1" si="1066"/>
        <v>-196.5368036388536</v>
      </c>
      <c r="U621" s="10">
        <f t="shared" ca="1" si="1066"/>
        <v>-766.06907109147141</v>
      </c>
      <c r="V621" s="10">
        <f t="shared" ca="1" si="1066"/>
        <v>-125.35543381951356</v>
      </c>
      <c r="W621" s="138">
        <f t="shared" ca="1" si="1066"/>
        <v>-1567.4079394487635</v>
      </c>
      <c r="Y621" s="10">
        <f t="shared" ref="Y621:AF621" ca="1" si="1067">Y620-Y619</f>
        <v>-3.7342617495796731</v>
      </c>
      <c r="Z621" s="10">
        <f t="shared" ca="1" si="1067"/>
        <v>-3.255673006487541</v>
      </c>
      <c r="AA621" s="10">
        <f t="shared" ca="1" si="1067"/>
        <v>-268.55820854763442</v>
      </c>
      <c r="AB621" s="10">
        <f t="shared" ca="1" si="1067"/>
        <v>-61.665616676464651</v>
      </c>
      <c r="AC621" s="10">
        <f t="shared" ca="1" si="1067"/>
        <v>-138.23209979655257</v>
      </c>
      <c r="AD621" s="10">
        <f t="shared" ca="1" si="1067"/>
        <v>-538.80664753639212</v>
      </c>
      <c r="AE621" s="10">
        <f t="shared" ca="1" si="1067"/>
        <v>-88.167429799155798</v>
      </c>
      <c r="AF621" s="138">
        <f t="shared" ca="1" si="1067"/>
        <v>-1102.4199371122668</v>
      </c>
      <c r="AH621" s="10">
        <f t="shared" ref="AH621:AO621" ca="1" si="1068">AH620-AH619</f>
        <v>0</v>
      </c>
      <c r="AI621" s="10">
        <f t="shared" ca="1" si="1068"/>
        <v>0</v>
      </c>
      <c r="AJ621" s="10">
        <f t="shared" ca="1" si="1068"/>
        <v>0</v>
      </c>
      <c r="AK621" s="10">
        <f t="shared" ca="1" si="1068"/>
        <v>0</v>
      </c>
      <c r="AL621" s="10">
        <f t="shared" ca="1" si="1068"/>
        <v>0</v>
      </c>
      <c r="AM621" s="10">
        <f t="shared" ca="1" si="1068"/>
        <v>0</v>
      </c>
      <c r="AN621" s="10">
        <f t="shared" ca="1" si="1068"/>
        <v>0</v>
      </c>
      <c r="AO621" s="138">
        <f t="shared" ca="1" si="1068"/>
        <v>0</v>
      </c>
      <c r="AQ621" s="1122">
        <f t="shared" ref="AQ621:AX621" si="1069">AQ620-AQ619</f>
        <v>0</v>
      </c>
      <c r="AR621" s="1122">
        <f t="shared" si="1069"/>
        <v>0</v>
      </c>
      <c r="AS621" s="1122">
        <f t="shared" si="1069"/>
        <v>0</v>
      </c>
      <c r="AT621" s="1122">
        <f t="shared" si="1069"/>
        <v>0</v>
      </c>
      <c r="AU621" s="1122">
        <f t="shared" si="1069"/>
        <v>0</v>
      </c>
      <c r="AV621" s="1122">
        <f t="shared" si="1069"/>
        <v>0</v>
      </c>
      <c r="AW621" s="1122">
        <f t="shared" si="1069"/>
        <v>0</v>
      </c>
      <c r="AX621" s="1127">
        <f t="shared" si="1069"/>
        <v>0</v>
      </c>
      <c r="AZ621" s="10">
        <f t="shared" ref="AZ621:BG621" ca="1" si="1070">AZ620-AZ619</f>
        <v>-0.86744428212477942</v>
      </c>
      <c r="BA621" s="10">
        <f t="shared" ca="1" si="1070"/>
        <v>-0.74026633362996108</v>
      </c>
      <c r="BB621" s="10">
        <f t="shared" ca="1" si="1070"/>
        <v>-55.259798490715184</v>
      </c>
      <c r="BC621" s="10">
        <f t="shared" ca="1" si="1070"/>
        <v>-12.879687958947216</v>
      </c>
      <c r="BD621" s="10">
        <f t="shared" ca="1" si="1070"/>
        <v>-30.07850445445365</v>
      </c>
      <c r="BE621" s="10">
        <f t="shared" ca="1" si="1070"/>
        <v>-110.55689664336387</v>
      </c>
      <c r="BF621" s="10">
        <f t="shared" ca="1" si="1070"/>
        <v>-18.839652682719134</v>
      </c>
      <c r="BG621" s="138">
        <f t="shared" ca="1" si="1070"/>
        <v>-229.22225084595993</v>
      </c>
      <c r="BI621" s="10">
        <f t="shared" ref="BI621:BP621" ca="1" si="1071">BI620-BI619</f>
        <v>-0.64965067408593313</v>
      </c>
      <c r="BJ621" s="10">
        <f t="shared" ca="1" si="1071"/>
        <v>-0.55737656250880718</v>
      </c>
      <c r="BK621" s="10">
        <f t="shared" ca="1" si="1071"/>
        <v>-42.659274086508049</v>
      </c>
      <c r="BL621" s="10">
        <f t="shared" ca="1" si="1071"/>
        <v>-9.905739743598815</v>
      </c>
      <c r="BM621" s="10">
        <f t="shared" ca="1" si="1071"/>
        <v>-22.897694354637679</v>
      </c>
      <c r="BN621" s="10">
        <f t="shared" ca="1" si="1071"/>
        <v>-85.407209220216828</v>
      </c>
      <c r="BO621" s="10">
        <f t="shared" ca="1" si="1071"/>
        <v>-14.407183812403218</v>
      </c>
      <c r="BP621" s="138">
        <f t="shared" ca="1" si="1071"/>
        <v>-176.48412845395796</v>
      </c>
    </row>
    <row r="622" spans="2:68" ht="13.2" customHeight="1">
      <c r="G622" s="1122"/>
      <c r="H622" s="1122"/>
      <c r="I622" s="1122"/>
      <c r="J622" s="1122"/>
      <c r="K622" s="1122"/>
      <c r="L622" s="1122"/>
      <c r="M622" s="1122"/>
      <c r="N622" s="1122"/>
      <c r="O622" s="39">
        <f>ROW()</f>
        <v>622</v>
      </c>
    </row>
    <row r="623" spans="2:68" ht="13.2" customHeight="1">
      <c r="B623" s="308" t="s">
        <v>1616</v>
      </c>
      <c r="G623" s="1122">
        <f t="shared" ref="G623:N624" ca="1" si="1072">P623+Y623+AH623+AQ623+AZ623+BI623</f>
        <v>434719.5740180313</v>
      </c>
      <c r="H623" s="1122">
        <f t="shared" ca="1" si="1072"/>
        <v>78431.08837247148</v>
      </c>
      <c r="I623" s="1122">
        <f t="shared" ca="1" si="1072"/>
        <v>503382.60552032554</v>
      </c>
      <c r="J623" s="1122">
        <f t="shared" ca="1" si="1072"/>
        <v>163047.2046242845</v>
      </c>
      <c r="K623" s="1122">
        <f t="shared" ca="1" si="1072"/>
        <v>594779.40180410445</v>
      </c>
      <c r="L623" s="1122">
        <f t="shared" ca="1" si="1072"/>
        <v>1057464.8267433103</v>
      </c>
      <c r="M623" s="1122">
        <f t="shared" ca="1" si="1072"/>
        <v>441324.52612425125</v>
      </c>
      <c r="N623" s="1127">
        <f t="shared" ca="1" si="1072"/>
        <v>3273149.2272067787</v>
      </c>
      <c r="O623" s="39">
        <f>ROW()</f>
        <v>623</v>
      </c>
      <c r="P623" s="10">
        <f ca="1">P576</f>
        <v>56622.689639758421</v>
      </c>
      <c r="Q623" s="10">
        <f t="shared" ref="Q623:V623" ca="1" si="1073">Q576</f>
        <v>22009.388523235517</v>
      </c>
      <c r="R623" s="10">
        <f t="shared" ca="1" si="1073"/>
        <v>144176.46175880058</v>
      </c>
      <c r="S623" s="10">
        <f t="shared" ca="1" si="1073"/>
        <v>38127.065390308111</v>
      </c>
      <c r="T623" s="10">
        <f t="shared" ca="1" si="1073"/>
        <v>127865.0549362429</v>
      </c>
      <c r="U623" s="10">
        <f t="shared" ca="1" si="1073"/>
        <v>205399.67203644497</v>
      </c>
      <c r="V623" s="10">
        <f t="shared" ca="1" si="1073"/>
        <v>70987.080702390609</v>
      </c>
      <c r="W623" s="10">
        <f ca="1">SUM(P623:V623)</f>
        <v>665187.41298718122</v>
      </c>
      <c r="Y623" s="10">
        <f ca="1">Y576</f>
        <v>54182.531808458079</v>
      </c>
      <c r="Z623" s="10">
        <f t="shared" ref="Z623:AE623" ca="1" si="1074">Z576</f>
        <v>8184.7312295701804</v>
      </c>
      <c r="AA623" s="10">
        <f t="shared" ca="1" si="1074"/>
        <v>58039.428406938037</v>
      </c>
      <c r="AB623" s="10">
        <f t="shared" ca="1" si="1074"/>
        <v>22918.362292478156</v>
      </c>
      <c r="AC623" s="10">
        <f t="shared" ca="1" si="1074"/>
        <v>91275.140579784435</v>
      </c>
      <c r="AD623" s="10">
        <f t="shared" ca="1" si="1074"/>
        <v>191483.98454083657</v>
      </c>
      <c r="AE623" s="10">
        <f t="shared" ca="1" si="1074"/>
        <v>65139.392083266132</v>
      </c>
      <c r="AF623" s="10">
        <f ca="1">SUM(Y623:AE623)</f>
        <v>491223.57094133156</v>
      </c>
      <c r="AH623" s="10">
        <f ca="1">AH576</f>
        <v>46199.71611168317</v>
      </c>
      <c r="AI623" s="10">
        <f t="shared" ref="AI623:AN623" ca="1" si="1075">AI576</f>
        <v>6888.2617234747649</v>
      </c>
      <c r="AJ623" s="10">
        <f t="shared" ca="1" si="1075"/>
        <v>36178.596854253876</v>
      </c>
      <c r="AK623" s="10">
        <f t="shared" ca="1" si="1075"/>
        <v>10886.028484962288</v>
      </c>
      <c r="AL623" s="10">
        <f t="shared" ca="1" si="1075"/>
        <v>48150.411838884072</v>
      </c>
      <c r="AM623" s="10">
        <f t="shared" ca="1" si="1075"/>
        <v>100249.57794293325</v>
      </c>
      <c r="AN623" s="10">
        <f t="shared" ca="1" si="1075"/>
        <v>43832.950249820657</v>
      </c>
      <c r="AO623" s="10">
        <f ca="1">SUM(AH623:AN623)</f>
        <v>292385.54320601211</v>
      </c>
      <c r="AQ623" s="10">
        <f ca="1">AQ576</f>
        <v>240050.42598557673</v>
      </c>
      <c r="AR623" s="10">
        <f t="shared" ref="AR623:AW623" ca="1" si="1076">AR576</f>
        <v>32205.005406578308</v>
      </c>
      <c r="AS623" s="10">
        <f t="shared" ca="1" si="1076"/>
        <v>208017.98164423773</v>
      </c>
      <c r="AT623" s="10">
        <f t="shared" ca="1" si="1076"/>
        <v>73953.314528786039</v>
      </c>
      <c r="AU623" s="10">
        <f t="shared" ca="1" si="1076"/>
        <v>264250.20000315504</v>
      </c>
      <c r="AV623" s="10">
        <f t="shared" ca="1" si="1076"/>
        <v>442462.35930972925</v>
      </c>
      <c r="AW623" s="10">
        <f t="shared" ca="1" si="1076"/>
        <v>217925.7664214203</v>
      </c>
      <c r="AX623" s="10">
        <f ca="1">SUM(AQ623:AW623)</f>
        <v>1478865.0532994834</v>
      </c>
      <c r="AZ623" s="10">
        <f ca="1">AZ576</f>
        <v>29996.719651001898</v>
      </c>
      <c r="BA623" s="10">
        <f t="shared" ref="BA623:BF623" ca="1" si="1077">BA576</f>
        <v>7213.5565941367677</v>
      </c>
      <c r="BB623" s="10">
        <f t="shared" ca="1" si="1077"/>
        <v>44980.521774932975</v>
      </c>
      <c r="BC623" s="10">
        <f t="shared" ca="1" si="1077"/>
        <v>13551.408567284501</v>
      </c>
      <c r="BD623" s="10">
        <f t="shared" ca="1" si="1077"/>
        <v>50122.204375291105</v>
      </c>
      <c r="BE623" s="10">
        <f t="shared" ca="1" si="1077"/>
        <v>93089.829144275078</v>
      </c>
      <c r="BF623" s="10">
        <f t="shared" ca="1" si="1077"/>
        <v>34367.110377414298</v>
      </c>
      <c r="BG623" s="10">
        <f ca="1">SUM(AZ623:BF623)</f>
        <v>273321.35048433661</v>
      </c>
      <c r="BI623" s="10">
        <f ca="1">BI576</f>
        <v>7667.4908215529067</v>
      </c>
      <c r="BJ623" s="10">
        <f t="shared" ref="BJ623:BO623" ca="1" si="1078">BJ576</f>
        <v>1930.1448954759469</v>
      </c>
      <c r="BK623" s="10">
        <f t="shared" ca="1" si="1078"/>
        <v>11989.615081162223</v>
      </c>
      <c r="BL623" s="10">
        <f t="shared" ca="1" si="1078"/>
        <v>3611.0253604654108</v>
      </c>
      <c r="BM623" s="10">
        <f t="shared" ca="1" si="1078"/>
        <v>13116.390070746718</v>
      </c>
      <c r="BN623" s="10">
        <f t="shared" ca="1" si="1078"/>
        <v>24779.403769091135</v>
      </c>
      <c r="BO623" s="10">
        <f t="shared" ca="1" si="1078"/>
        <v>9072.226289939219</v>
      </c>
      <c r="BP623" s="10">
        <f ca="1">SUM(BI623:BO623)</f>
        <v>72166.296288433557</v>
      </c>
    </row>
    <row r="624" spans="2:68" ht="13.2" customHeight="1">
      <c r="B624" s="308" t="s">
        <v>1617</v>
      </c>
      <c r="G624" s="1122">
        <f t="shared" ca="1" si="1072"/>
        <v>427499.47129314794</v>
      </c>
      <c r="H624" s="1122">
        <f t="shared" ca="1" si="1072"/>
        <v>76717.86573944737</v>
      </c>
      <c r="I624" s="1122">
        <f t="shared" ca="1" si="1072"/>
        <v>486831.73578857881</v>
      </c>
      <c r="J624" s="1122">
        <f t="shared" ca="1" si="1072"/>
        <v>158753.07312335508</v>
      </c>
      <c r="K624" s="1122">
        <f t="shared" ca="1" si="1072"/>
        <v>580610.96514815395</v>
      </c>
      <c r="L624" s="1122">
        <f t="shared" ca="1" si="1072"/>
        <v>1021828.3187947754</v>
      </c>
      <c r="M624" s="1122">
        <f t="shared" ca="1" si="1072"/>
        <v>431865.010957997</v>
      </c>
      <c r="N624" s="1127">
        <f t="shared" ca="1" si="1072"/>
        <v>3184106.440845455</v>
      </c>
      <c r="O624" s="39">
        <f>ROW()</f>
        <v>624</v>
      </c>
      <c r="P624" s="10">
        <f t="shared" ref="P624:V624" ca="1" si="1079">P609+P616+P620</f>
        <v>53749.014257879986</v>
      </c>
      <c r="Q624" s="10">
        <f t="shared" ca="1" si="1079"/>
        <v>20995.171647038384</v>
      </c>
      <c r="R624" s="10">
        <f t="shared" ca="1" si="1079"/>
        <v>134710.62882688854</v>
      </c>
      <c r="S624" s="10">
        <f t="shared" ca="1" si="1079"/>
        <v>36006.851181521371</v>
      </c>
      <c r="T624" s="10">
        <f t="shared" ca="1" si="1079"/>
        <v>121443.22154022582</v>
      </c>
      <c r="U624" s="10">
        <f t="shared" ca="1" si="1079"/>
        <v>192550.06714406013</v>
      </c>
      <c r="V624" s="10">
        <f t="shared" ca="1" si="1079"/>
        <v>67349.060924493228</v>
      </c>
      <c r="W624" s="10">
        <f ca="1">SUM(P624:V624)</f>
        <v>626804.01552210748</v>
      </c>
      <c r="Y624" s="10">
        <f t="shared" ref="Y624:AE624" ca="1" si="1080">Y609+Y616+Y620</f>
        <v>51439.850085305545</v>
      </c>
      <c r="Z624" s="10">
        <f t="shared" ca="1" si="1080"/>
        <v>7800.6131551778008</v>
      </c>
      <c r="AA624" s="10">
        <f t="shared" ca="1" si="1080"/>
        <v>54643.148312826386</v>
      </c>
      <c r="AB624" s="10">
        <f t="shared" ca="1" si="1080"/>
        <v>21658.516284650017</v>
      </c>
      <c r="AC624" s="10">
        <f t="shared" ca="1" si="1080"/>
        <v>86651.918417303037</v>
      </c>
      <c r="AD624" s="10">
        <f t="shared" ca="1" si="1080"/>
        <v>178607.76546678587</v>
      </c>
      <c r="AE624" s="10">
        <f t="shared" ca="1" si="1080"/>
        <v>61794.163466912396</v>
      </c>
      <c r="AF624" s="10">
        <f ca="1">SUM(Y624:AE624)</f>
        <v>462595.97518896108</v>
      </c>
      <c r="AH624" s="10">
        <f t="shared" ref="AH624:AN624" ca="1" si="1081">AH609+AH616+AH620</f>
        <v>45281.599407828879</v>
      </c>
      <c r="AI624" s="10">
        <f t="shared" ca="1" si="1081"/>
        <v>6726.4783215422785</v>
      </c>
      <c r="AJ624" s="10">
        <f t="shared" ca="1" si="1081"/>
        <v>33836.40819482955</v>
      </c>
      <c r="AK624" s="10">
        <f t="shared" ca="1" si="1081"/>
        <v>10328.186009153836</v>
      </c>
      <c r="AL624" s="10">
        <f t="shared" ca="1" si="1081"/>
        <v>46224.577154995786</v>
      </c>
      <c r="AM624" s="10">
        <f t="shared" ca="1" si="1081"/>
        <v>93195.139878533373</v>
      </c>
      <c r="AN624" s="10">
        <f t="shared" ca="1" si="1081"/>
        <v>42186.374285760219</v>
      </c>
      <c r="AO624" s="10">
        <f ca="1">SUM(AH624:AN624)</f>
        <v>277778.76325264393</v>
      </c>
      <c r="AQ624" s="10">
        <f t="shared" ref="AQ624:AW624" ca="1" si="1082">AQ623</f>
        <v>240050.42598557673</v>
      </c>
      <c r="AR624" s="10">
        <f t="shared" ca="1" si="1082"/>
        <v>32205.005406578308</v>
      </c>
      <c r="AS624" s="10">
        <f t="shared" ca="1" si="1082"/>
        <v>208017.98164423773</v>
      </c>
      <c r="AT624" s="10">
        <f t="shared" ca="1" si="1082"/>
        <v>73953.314528786039</v>
      </c>
      <c r="AU624" s="10">
        <f t="shared" ca="1" si="1082"/>
        <v>264250.20000315504</v>
      </c>
      <c r="AV624" s="10">
        <f t="shared" ca="1" si="1082"/>
        <v>442462.35930972925</v>
      </c>
      <c r="AW624" s="10">
        <f t="shared" ca="1" si="1082"/>
        <v>217925.7664214203</v>
      </c>
      <c r="AX624" s="10">
        <f ca="1">SUM(AQ624:AW624)</f>
        <v>1478865.0532994834</v>
      </c>
      <c r="AZ624" s="10">
        <f t="shared" ref="AZ624:BF624" ca="1" si="1083">AZ609+AZ616+AZ620</f>
        <v>29469.002080280923</v>
      </c>
      <c r="BA624" s="10">
        <f t="shared" ca="1" si="1083"/>
        <v>7096.4182054903176</v>
      </c>
      <c r="BB624" s="10">
        <f t="shared" ca="1" si="1083"/>
        <v>43965.759884687155</v>
      </c>
      <c r="BC624" s="10">
        <f t="shared" ca="1" si="1083"/>
        <v>13281.762450156933</v>
      </c>
      <c r="BD624" s="10">
        <f t="shared" ca="1" si="1083"/>
        <v>49208.419978059857</v>
      </c>
      <c r="BE624" s="10">
        <f t="shared" ca="1" si="1083"/>
        <v>90935.931803158295</v>
      </c>
      <c r="BF624" s="10">
        <f t="shared" ca="1" si="1083"/>
        <v>33734.365498717896</v>
      </c>
      <c r="BG624" s="10">
        <f ca="1">SUM(AZ624:BF624)</f>
        <v>267691.65990055137</v>
      </c>
      <c r="BI624" s="10">
        <f t="shared" ref="BI624:BO624" ca="1" si="1084">BI609+BI616+BI620</f>
        <v>7509.5794762758178</v>
      </c>
      <c r="BJ624" s="10">
        <f t="shared" ca="1" si="1084"/>
        <v>1894.1790036202733</v>
      </c>
      <c r="BK624" s="10">
        <f t="shared" ca="1" si="1084"/>
        <v>11657.808925109399</v>
      </c>
      <c r="BL624" s="10">
        <f t="shared" ca="1" si="1084"/>
        <v>3524.4426690868677</v>
      </c>
      <c r="BM624" s="10">
        <f t="shared" ca="1" si="1084"/>
        <v>12832.628054414461</v>
      </c>
      <c r="BN624" s="10">
        <f t="shared" ca="1" si="1084"/>
        <v>24077.055192508342</v>
      </c>
      <c r="BO624" s="10">
        <f t="shared" ca="1" si="1084"/>
        <v>8875.2803606929156</v>
      </c>
      <c r="BP624" s="10">
        <f ca="1">SUM(BI624:BO624)</f>
        <v>70370.97368170807</v>
      </c>
    </row>
    <row r="625" spans="2:68" ht="13.2" customHeight="1">
      <c r="B625" s="308" t="s">
        <v>1307</v>
      </c>
      <c r="G625" s="10">
        <f t="shared" ref="G625:M625" ca="1" si="1085">G624/G$118</f>
        <v>71249.911882191329</v>
      </c>
      <c r="H625" s="10">
        <f t="shared" ca="1" si="1085"/>
        <v>76717.86573944737</v>
      </c>
      <c r="I625" s="10">
        <f t="shared" ca="1" si="1085"/>
        <v>162277.24526285959</v>
      </c>
      <c r="J625" s="10">
        <f t="shared" ca="1" si="1085"/>
        <v>158753.07312335508</v>
      </c>
      <c r="K625" s="10">
        <f t="shared" ca="1" si="1085"/>
        <v>145152.74128703849</v>
      </c>
      <c r="L625" s="10">
        <f t="shared" ca="1" si="1085"/>
        <v>170304.71979912923</v>
      </c>
      <c r="M625" s="10">
        <f t="shared" ca="1" si="1085"/>
        <v>143955.00365266568</v>
      </c>
      <c r="N625" s="6"/>
      <c r="O625" s="39">
        <f>ROW()</f>
        <v>625</v>
      </c>
      <c r="P625" s="10"/>
      <c r="Q625" s="10"/>
      <c r="R625" s="10"/>
      <c r="S625" s="10"/>
      <c r="T625" s="10"/>
      <c r="U625" s="10"/>
      <c r="V625" s="10"/>
      <c r="W625" s="10"/>
      <c r="Y625" s="10"/>
      <c r="Z625" s="10"/>
      <c r="AA625" s="10"/>
      <c r="AB625" s="10"/>
      <c r="AC625" s="10"/>
      <c r="AD625" s="10"/>
      <c r="AE625" s="10"/>
      <c r="AF625" s="10"/>
      <c r="AH625" s="10"/>
      <c r="AI625" s="10"/>
      <c r="AJ625" s="10"/>
      <c r="AK625" s="10"/>
      <c r="AL625" s="10"/>
      <c r="AM625" s="10"/>
      <c r="AN625" s="10"/>
      <c r="AO625" s="10"/>
      <c r="AQ625" s="10"/>
      <c r="AR625" s="10"/>
      <c r="AS625" s="10"/>
      <c r="AT625" s="10"/>
      <c r="AU625" s="10"/>
      <c r="AV625" s="10"/>
      <c r="AW625" s="10"/>
      <c r="AX625" s="10"/>
      <c r="AZ625" s="10"/>
      <c r="BA625" s="10"/>
      <c r="BB625" s="10"/>
      <c r="BC625" s="10"/>
      <c r="BD625" s="10"/>
      <c r="BE625" s="10"/>
      <c r="BF625" s="10"/>
      <c r="BG625" s="10"/>
      <c r="BI625" s="10"/>
      <c r="BJ625" s="10"/>
      <c r="BK625" s="10"/>
      <c r="BL625" s="10"/>
      <c r="BM625" s="10"/>
      <c r="BN625" s="10"/>
      <c r="BO625" s="10"/>
      <c r="BP625" s="10"/>
    </row>
    <row r="626" spans="2:68" ht="13.2" customHeight="1">
      <c r="B626" s="280" t="s">
        <v>2709</v>
      </c>
      <c r="G626" s="612">
        <f t="shared" ref="G626:M626" ca="1" si="1086">G624/G623</f>
        <v>0.98339135581554493</v>
      </c>
      <c r="H626" s="612">
        <f t="shared" ca="1" si="1086"/>
        <v>0.9781563322838519</v>
      </c>
      <c r="I626" s="612">
        <f t="shared" ca="1" si="1086"/>
        <v>0.96712069596715844</v>
      </c>
      <c r="J626" s="612">
        <f t="shared" ca="1" si="1086"/>
        <v>0.9736632620545409</v>
      </c>
      <c r="K626" s="612">
        <f t="shared" ca="1" si="1086"/>
        <v>0.97617866958241273</v>
      </c>
      <c r="L626" s="612">
        <f t="shared" ca="1" si="1086"/>
        <v>0.96630005363082838</v>
      </c>
      <c r="M626" s="612">
        <f t="shared" ca="1" si="1086"/>
        <v>0.97856562550618131</v>
      </c>
      <c r="N626" s="186"/>
      <c r="O626" s="39">
        <f>ROW()</f>
        <v>626</v>
      </c>
      <c r="P626" s="4147" t="s">
        <v>2680</v>
      </c>
      <c r="Q626" s="4147"/>
      <c r="R626" s="4147"/>
      <c r="S626" s="4147"/>
      <c r="T626" s="4147"/>
      <c r="U626" s="4147"/>
      <c r="V626" s="4147"/>
      <c r="W626" s="4147"/>
      <c r="Y626" s="4147" t="s">
        <v>2681</v>
      </c>
      <c r="Z626" s="4147"/>
      <c r="AA626" s="4147"/>
      <c r="AB626" s="4147"/>
      <c r="AC626" s="4147"/>
      <c r="AD626" s="4147"/>
      <c r="AE626" s="4147"/>
      <c r="AF626" s="4147"/>
      <c r="AH626" s="4263" t="s">
        <v>5482</v>
      </c>
      <c r="AI626" s="4264"/>
      <c r="AJ626" s="4264"/>
      <c r="AK626" s="4264"/>
      <c r="AL626" s="4264"/>
      <c r="AM626" s="4264"/>
      <c r="AN626" s="4264"/>
      <c r="AO626" s="4264"/>
      <c r="AQ626" s="4147" t="s">
        <v>713</v>
      </c>
      <c r="AR626" s="4147"/>
      <c r="AS626" s="4147"/>
      <c r="AT626" s="4147"/>
      <c r="AU626" s="4147"/>
      <c r="AV626" s="4147"/>
      <c r="AW626" s="4147"/>
      <c r="AX626" s="4147"/>
      <c r="AZ626" s="4147" t="s">
        <v>460</v>
      </c>
      <c r="BA626" s="4147"/>
      <c r="BB626" s="4147"/>
      <c r="BC626" s="4147"/>
      <c r="BD626" s="4147"/>
      <c r="BE626" s="4147"/>
      <c r="BF626" s="4147"/>
      <c r="BG626" s="4147"/>
      <c r="BI626" s="4147" t="s">
        <v>849</v>
      </c>
      <c r="BJ626" s="4147"/>
      <c r="BK626" s="4147"/>
      <c r="BL626" s="4147"/>
      <c r="BM626" s="4147"/>
      <c r="BN626" s="4147"/>
      <c r="BO626" s="4147"/>
      <c r="BP626" s="4147"/>
    </row>
    <row r="627" spans="2:68" ht="13.2" customHeight="1">
      <c r="O627" s="39">
        <f>ROW()</f>
        <v>627</v>
      </c>
    </row>
    <row r="628" spans="2:68" ht="13.2" customHeight="1">
      <c r="B628" s="308" t="s">
        <v>587</v>
      </c>
      <c r="C628" s="280"/>
      <c r="D628" s="280"/>
      <c r="E628" s="280"/>
      <c r="F628" s="280"/>
      <c r="G628" s="280"/>
      <c r="H628" s="280"/>
      <c r="I628" s="280"/>
      <c r="J628" s="280"/>
      <c r="K628" s="280"/>
      <c r="L628" s="280"/>
      <c r="M628" s="280"/>
      <c r="N628" s="280"/>
      <c r="O628" s="39">
        <f>ROW()</f>
        <v>628</v>
      </c>
    </row>
    <row r="629" spans="2:68" ht="13.2" customHeight="1">
      <c r="B629" s="280" t="s">
        <v>2034</v>
      </c>
      <c r="E629" s="280"/>
      <c r="F629" s="280"/>
      <c r="G629" s="21">
        <f t="shared" ref="G629:M629" ca="1" si="1087">KSC/(1+0.1*(G625*$G$401/V_sub_k)^KSE)</f>
        <v>21.215363739717631</v>
      </c>
      <c r="H629" s="21">
        <f t="shared" ca="1" si="1087"/>
        <v>20.958117173406599</v>
      </c>
      <c r="I629" s="21">
        <f t="shared" ca="1" si="1087"/>
        <v>11.026454579865012</v>
      </c>
      <c r="J629" s="21">
        <f t="shared" ca="1" si="1087"/>
        <v>11.50912848040884</v>
      </c>
      <c r="K629" s="21">
        <f t="shared" ca="1" si="1087"/>
        <v>13.438711105952313</v>
      </c>
      <c r="L629" s="21">
        <f t="shared" ca="1" si="1087"/>
        <v>9.9672781179344607</v>
      </c>
      <c r="M629" s="21">
        <f t="shared" ca="1" si="1087"/>
        <v>13.611388813939586</v>
      </c>
      <c r="O629" s="39">
        <f>ROW()</f>
        <v>629</v>
      </c>
      <c r="P629" s="21">
        <f t="shared" ref="P629:V630" ca="1" si="1088">G629</f>
        <v>21.215363739717631</v>
      </c>
      <c r="Q629" s="21">
        <f t="shared" ca="1" si="1088"/>
        <v>20.958117173406599</v>
      </c>
      <c r="R629" s="21">
        <f t="shared" ca="1" si="1088"/>
        <v>11.026454579865012</v>
      </c>
      <c r="S629" s="21">
        <f t="shared" ca="1" si="1088"/>
        <v>11.50912848040884</v>
      </c>
      <c r="T629" s="21">
        <f t="shared" ca="1" si="1088"/>
        <v>13.438711105952313</v>
      </c>
      <c r="U629" s="21">
        <f t="shared" ca="1" si="1088"/>
        <v>9.9672781179344607</v>
      </c>
      <c r="V629" s="21">
        <f t="shared" ca="1" si="1088"/>
        <v>13.611388813939586</v>
      </c>
      <c r="Y629" s="21">
        <f t="shared" ref="Y629:AE630" ca="1" si="1089">G629</f>
        <v>21.215363739717631</v>
      </c>
      <c r="Z629" s="21">
        <f t="shared" ca="1" si="1089"/>
        <v>20.958117173406599</v>
      </c>
      <c r="AA629" s="21">
        <f t="shared" ca="1" si="1089"/>
        <v>11.026454579865012</v>
      </c>
      <c r="AB629" s="21">
        <f t="shared" ca="1" si="1089"/>
        <v>11.50912848040884</v>
      </c>
      <c r="AC629" s="21">
        <f t="shared" ca="1" si="1089"/>
        <v>13.438711105952313</v>
      </c>
      <c r="AD629" s="21">
        <f t="shared" ca="1" si="1089"/>
        <v>9.9672781179344607</v>
      </c>
      <c r="AE629" s="21">
        <f t="shared" ca="1" si="1089"/>
        <v>13.611388813939586</v>
      </c>
      <c r="AH629" s="21">
        <f t="shared" ref="AH629:AN630" ca="1" si="1090">P629</f>
        <v>21.215363739717631</v>
      </c>
      <c r="AI629" s="21">
        <f t="shared" ca="1" si="1090"/>
        <v>20.958117173406599</v>
      </c>
      <c r="AJ629" s="21">
        <f t="shared" ca="1" si="1090"/>
        <v>11.026454579865012</v>
      </c>
      <c r="AK629" s="21">
        <f t="shared" ca="1" si="1090"/>
        <v>11.50912848040884</v>
      </c>
      <c r="AL629" s="21">
        <f t="shared" ca="1" si="1090"/>
        <v>13.438711105952313</v>
      </c>
      <c r="AM629" s="21">
        <f t="shared" ca="1" si="1090"/>
        <v>9.9672781179344607</v>
      </c>
      <c r="AN629" s="21">
        <f t="shared" ca="1" si="1090"/>
        <v>13.611388813939586</v>
      </c>
      <c r="AQ629" s="21">
        <f t="shared" ref="AQ629:AW629" ca="1" si="1091">G629*$AU$181</f>
        <v>20.154595552731749</v>
      </c>
      <c r="AR629" s="21">
        <f t="shared" ca="1" si="1091"/>
        <v>19.910211314736269</v>
      </c>
      <c r="AS629" s="21">
        <f t="shared" ca="1" si="1091"/>
        <v>10.475131850871762</v>
      </c>
      <c r="AT629" s="21">
        <f t="shared" ca="1" si="1091"/>
        <v>10.933672056388398</v>
      </c>
      <c r="AU629" s="21">
        <f t="shared" ca="1" si="1091"/>
        <v>12.766775550654698</v>
      </c>
      <c r="AV629" s="21">
        <f t="shared" ca="1" si="1091"/>
        <v>9.4689142120377365</v>
      </c>
      <c r="AW629" s="21">
        <f t="shared" ca="1" si="1091"/>
        <v>12.930819373242606</v>
      </c>
      <c r="AZ629" s="21">
        <f t="shared" ref="AZ629:BF630" ca="1" si="1092">G629</f>
        <v>21.215363739717631</v>
      </c>
      <c r="BA629" s="21">
        <f t="shared" ca="1" si="1092"/>
        <v>20.958117173406599</v>
      </c>
      <c r="BB629" s="21">
        <f t="shared" ca="1" si="1092"/>
        <v>11.026454579865012</v>
      </c>
      <c r="BC629" s="21">
        <f t="shared" ca="1" si="1092"/>
        <v>11.50912848040884</v>
      </c>
      <c r="BD629" s="21">
        <f t="shared" ca="1" si="1092"/>
        <v>13.438711105952313</v>
      </c>
      <c r="BE629" s="21">
        <f t="shared" ca="1" si="1092"/>
        <v>9.9672781179344607</v>
      </c>
      <c r="BF629" s="21">
        <f t="shared" ca="1" si="1092"/>
        <v>13.611388813939586</v>
      </c>
      <c r="BG629" s="21"/>
      <c r="BI629" s="21">
        <f t="shared" ref="BI629:BO630" ca="1" si="1093">G629</f>
        <v>21.215363739717631</v>
      </c>
      <c r="BJ629" s="21">
        <f t="shared" ca="1" si="1093"/>
        <v>20.958117173406599</v>
      </c>
      <c r="BK629" s="21">
        <f t="shared" ca="1" si="1093"/>
        <v>11.026454579865012</v>
      </c>
      <c r="BL629" s="21">
        <f t="shared" ca="1" si="1093"/>
        <v>11.50912848040884</v>
      </c>
      <c r="BM629" s="21">
        <f t="shared" ca="1" si="1093"/>
        <v>13.438711105952313</v>
      </c>
      <c r="BN629" s="21">
        <f t="shared" ca="1" si="1093"/>
        <v>9.9672781179344607</v>
      </c>
      <c r="BO629" s="21">
        <f t="shared" ca="1" si="1093"/>
        <v>13.611388813939586</v>
      </c>
      <c r="BP629" s="21"/>
    </row>
    <row r="630" spans="2:68" ht="13.2" customHeight="1">
      <c r="B630" s="280" t="s">
        <v>1428</v>
      </c>
      <c r="E630" s="280"/>
      <c r="F630" s="280"/>
      <c r="G630" s="21">
        <f ca="1">MIN('Speed-Vol., non-Cordon'!$X$57*(G582 / 'Speed-Vol., non-Cordon'!$X$57)^G601,'Speed-Vol., non-Cordon'!$X$32)</f>
        <v>54.993245817782125</v>
      </c>
      <c r="H630" s="21">
        <f ca="1">MIN('Speed-Vol., non-Cordon'!$X$57*(H582 / 'Speed-Vol., non-Cordon'!$X$57)^H601,'Speed-Vol., non-Cordon'!$X$32)</f>
        <v>47.581061130868818</v>
      </c>
      <c r="I630" s="21">
        <f ca="1">MIN('Speed-Vol., non-Cordon'!$X$57*(I582 / 'Speed-Vol., non-Cordon'!$X$57)^I601,'Speed-Vol., non-Cordon'!$X$32)</f>
        <v>18.268719106864172</v>
      </c>
      <c r="J630" s="21">
        <f ca="1">MIN('Speed-Vol., non-Cordon'!$X$57*(J582 / 'Speed-Vol., non-Cordon'!$X$57)^J601,'Speed-Vol., non-Cordon'!$X$32)</f>
        <v>21.67560511009583</v>
      </c>
      <c r="K630" s="21">
        <f ca="1">MIN('Speed-Vol., non-Cordon'!$X$57*(K582 / 'Speed-Vol., non-Cordon'!$X$57)^K601,'Speed-Vol., non-Cordon'!$X$32)</f>
        <v>25.252339561689674</v>
      </c>
      <c r="L630" s="21">
        <f ca="1">MIN('Speed-Vol., non-Cordon'!$X$57*(L582 / 'Speed-Vol., non-Cordon'!$X$57)^L601,'Speed-Vol., non-Cordon'!$X$32)</f>
        <v>16.443871922815902</v>
      </c>
      <c r="M630" s="21">
        <f ca="1">MIN('Speed-Vol., non-Cordon'!$X$57*(M582 / 'Speed-Vol., non-Cordon'!$X$57)^M601,'Speed-Vol., non-Cordon'!$X$32)</f>
        <v>27.540061403708211</v>
      </c>
      <c r="O630" s="39">
        <f>ROW()</f>
        <v>630</v>
      </c>
      <c r="P630" s="21">
        <f t="shared" ca="1" si="1088"/>
        <v>54.993245817782125</v>
      </c>
      <c r="Q630" s="21">
        <f t="shared" ca="1" si="1088"/>
        <v>47.581061130868818</v>
      </c>
      <c r="R630" s="21">
        <f t="shared" ca="1" si="1088"/>
        <v>18.268719106864172</v>
      </c>
      <c r="S630" s="21">
        <f t="shared" ca="1" si="1088"/>
        <v>21.67560511009583</v>
      </c>
      <c r="T630" s="21">
        <f t="shared" ca="1" si="1088"/>
        <v>25.252339561689674</v>
      </c>
      <c r="U630" s="21">
        <f t="shared" ca="1" si="1088"/>
        <v>16.443871922815902</v>
      </c>
      <c r="V630" s="21">
        <f t="shared" ca="1" si="1088"/>
        <v>27.540061403708211</v>
      </c>
      <c r="W630" s="4272" t="s">
        <v>1878</v>
      </c>
      <c r="Y630" s="21">
        <f t="shared" ca="1" si="1089"/>
        <v>54.993245817782125</v>
      </c>
      <c r="Z630" s="21">
        <f t="shared" ca="1" si="1089"/>
        <v>47.581061130868818</v>
      </c>
      <c r="AA630" s="21">
        <f t="shared" ca="1" si="1089"/>
        <v>18.268719106864172</v>
      </c>
      <c r="AB630" s="21">
        <f t="shared" ca="1" si="1089"/>
        <v>21.67560511009583</v>
      </c>
      <c r="AC630" s="21">
        <f t="shared" ca="1" si="1089"/>
        <v>25.252339561689674</v>
      </c>
      <c r="AD630" s="21">
        <f t="shared" ca="1" si="1089"/>
        <v>16.443871922815902</v>
      </c>
      <c r="AE630" s="21">
        <f t="shared" ca="1" si="1089"/>
        <v>27.540061403708211</v>
      </c>
      <c r="AF630" s="4272" t="s">
        <v>1878</v>
      </c>
      <c r="AH630" s="21">
        <f t="shared" ca="1" si="1090"/>
        <v>54.993245817782125</v>
      </c>
      <c r="AI630" s="21">
        <f t="shared" ca="1" si="1090"/>
        <v>47.581061130868818</v>
      </c>
      <c r="AJ630" s="21">
        <f t="shared" ca="1" si="1090"/>
        <v>18.268719106864172</v>
      </c>
      <c r="AK630" s="21">
        <f t="shared" ca="1" si="1090"/>
        <v>21.67560511009583</v>
      </c>
      <c r="AL630" s="21">
        <f t="shared" ca="1" si="1090"/>
        <v>25.252339561689674</v>
      </c>
      <c r="AM630" s="21">
        <f t="shared" ca="1" si="1090"/>
        <v>16.443871922815902</v>
      </c>
      <c r="AN630" s="21">
        <f t="shared" ca="1" si="1090"/>
        <v>27.540061403708211</v>
      </c>
      <c r="AO630" s="4272" t="s">
        <v>1878</v>
      </c>
      <c r="AQ630" s="21">
        <f t="shared" ref="AQ630:AW630" ca="1" si="1094">G630*$AV$181</f>
        <v>54.443313359604304</v>
      </c>
      <c r="AR630" s="21">
        <f t="shared" ca="1" si="1094"/>
        <v>47.10525051956013</v>
      </c>
      <c r="AS630" s="21">
        <f t="shared" ca="1" si="1094"/>
        <v>18.08603191579553</v>
      </c>
      <c r="AT630" s="21">
        <f t="shared" ca="1" si="1094"/>
        <v>21.458849058994872</v>
      </c>
      <c r="AU630" s="21">
        <f t="shared" ca="1" si="1094"/>
        <v>24.999816166072776</v>
      </c>
      <c r="AV630" s="21">
        <f t="shared" ca="1" si="1094"/>
        <v>16.279433203587743</v>
      </c>
      <c r="AW630" s="21">
        <f t="shared" ca="1" si="1094"/>
        <v>27.264660789671129</v>
      </c>
      <c r="AX630" s="4272" t="s">
        <v>1878</v>
      </c>
      <c r="AZ630" s="21">
        <f t="shared" ca="1" si="1092"/>
        <v>54.993245817782125</v>
      </c>
      <c r="BA630" s="21">
        <f t="shared" ca="1" si="1092"/>
        <v>47.581061130868818</v>
      </c>
      <c r="BB630" s="21">
        <f t="shared" ca="1" si="1092"/>
        <v>18.268719106864172</v>
      </c>
      <c r="BC630" s="21">
        <f t="shared" ca="1" si="1092"/>
        <v>21.67560511009583</v>
      </c>
      <c r="BD630" s="21">
        <f t="shared" ca="1" si="1092"/>
        <v>25.252339561689674</v>
      </c>
      <c r="BE630" s="21">
        <f t="shared" ca="1" si="1092"/>
        <v>16.443871922815902</v>
      </c>
      <c r="BF630" s="21">
        <f t="shared" ca="1" si="1092"/>
        <v>27.540061403708211</v>
      </c>
      <c r="BG630" s="4272" t="s">
        <v>1878</v>
      </c>
      <c r="BI630" s="21">
        <f t="shared" ca="1" si="1093"/>
        <v>54.993245817782125</v>
      </c>
      <c r="BJ630" s="21">
        <f t="shared" ca="1" si="1093"/>
        <v>47.581061130868818</v>
      </c>
      <c r="BK630" s="21">
        <f t="shared" ca="1" si="1093"/>
        <v>18.268719106864172</v>
      </c>
      <c r="BL630" s="21">
        <f t="shared" ca="1" si="1093"/>
        <v>21.67560511009583</v>
      </c>
      <c r="BM630" s="21">
        <f t="shared" ca="1" si="1093"/>
        <v>25.252339561689674</v>
      </c>
      <c r="BN630" s="21">
        <f t="shared" ca="1" si="1093"/>
        <v>16.443871922815902</v>
      </c>
      <c r="BO630" s="21">
        <f t="shared" ca="1" si="1093"/>
        <v>27.540061403708211</v>
      </c>
      <c r="BP630" s="4272" t="s">
        <v>1878</v>
      </c>
    </row>
    <row r="631" spans="2:68" ht="13.2" customHeight="1">
      <c r="B631" s="280"/>
      <c r="O631" s="39">
        <f>ROW()</f>
        <v>631</v>
      </c>
      <c r="W631" s="4273"/>
      <c r="AF631" s="4273"/>
      <c r="AO631" s="4273"/>
      <c r="AX631" s="4273"/>
      <c r="BG631" s="4273"/>
      <c r="BP631" s="4273"/>
    </row>
    <row r="632" spans="2:68" ht="13.2" customHeight="1">
      <c r="B632" s="308" t="s">
        <v>2606</v>
      </c>
      <c r="F632" s="606"/>
      <c r="O632" s="39">
        <f>ROW()</f>
        <v>632</v>
      </c>
      <c r="W632" s="4273"/>
      <c r="AF632" s="4340"/>
      <c r="AO632" s="4340"/>
      <c r="AX632" s="4340"/>
      <c r="BG632" s="4340"/>
      <c r="BP632" s="4340"/>
    </row>
    <row r="633" spans="2:68" ht="13.2" customHeight="1">
      <c r="B633" s="280" t="s">
        <v>2158</v>
      </c>
      <c r="C633" s="297"/>
      <c r="D633" s="297"/>
      <c r="E633" s="297"/>
      <c r="F633" s="297"/>
      <c r="G633" s="4286" t="s">
        <v>2351</v>
      </c>
      <c r="H633" s="3775"/>
      <c r="I633" s="3775"/>
      <c r="J633" s="3775"/>
      <c r="K633" s="3775"/>
      <c r="L633" s="3776"/>
      <c r="O633" s="39">
        <f>ROW()</f>
        <v>633</v>
      </c>
      <c r="P633" s="21">
        <f t="shared" ref="P633:V633" ca="1" si="1095">($I$85)*60/P629</f>
        <v>3.5351738919088747</v>
      </c>
      <c r="Q633" s="21">
        <f t="shared" ca="1" si="1095"/>
        <v>3.5785657356265874</v>
      </c>
      <c r="R633" s="21">
        <f t="shared" ca="1" si="1095"/>
        <v>6.8018236919920421</v>
      </c>
      <c r="S633" s="21">
        <f t="shared" ca="1" si="1095"/>
        <v>6.5165664044560012</v>
      </c>
      <c r="T633" s="21">
        <f t="shared" ca="1" si="1095"/>
        <v>5.5808923496227836</v>
      </c>
      <c r="U633" s="21">
        <f t="shared" ca="1" si="1095"/>
        <v>7.5246219792994404</v>
      </c>
      <c r="V633" s="21">
        <f t="shared" ca="1" si="1095"/>
        <v>5.5100916611236324</v>
      </c>
      <c r="W633" s="883">
        <f ca="1">SUMPRODUCT(P$476:V$476,P633:V633)/W$476</f>
        <v>6.2559109504945596</v>
      </c>
      <c r="Y633" s="21">
        <f t="shared" ref="Y633:AE633" ca="1" si="1096">($J$85)*60/Y629</f>
        <v>3.5351738919088747</v>
      </c>
      <c r="Z633" s="21">
        <f t="shared" ca="1" si="1096"/>
        <v>3.5785657356265874</v>
      </c>
      <c r="AA633" s="21">
        <f t="shared" ca="1" si="1096"/>
        <v>6.8018236919920421</v>
      </c>
      <c r="AB633" s="21">
        <f t="shared" ca="1" si="1096"/>
        <v>6.5165664044560012</v>
      </c>
      <c r="AC633" s="21">
        <f t="shared" ca="1" si="1096"/>
        <v>5.5808923496227836</v>
      </c>
      <c r="AD633" s="21">
        <f t="shared" ca="1" si="1096"/>
        <v>7.5246219792994404</v>
      </c>
      <c r="AE633" s="21">
        <f t="shared" ca="1" si="1096"/>
        <v>5.5100916611236324</v>
      </c>
      <c r="AF633" s="613">
        <f ca="1">SUMPRODUCT(Y$476:AE$476,Y633:AE633)/AF$476</f>
        <v>6.2625463373592414</v>
      </c>
      <c r="AH633" s="21">
        <f t="shared" ref="AH633:AN633" ca="1" si="1097">($K$85)*60/AH629</f>
        <v>4.52502258164336</v>
      </c>
      <c r="AI633" s="21">
        <f t="shared" ca="1" si="1097"/>
        <v>4.5805641416020322</v>
      </c>
      <c r="AJ633" s="21">
        <f t="shared" ca="1" si="1097"/>
        <v>8.7063343257498147</v>
      </c>
      <c r="AK633" s="21">
        <f t="shared" ca="1" si="1097"/>
        <v>8.3412049977036826</v>
      </c>
      <c r="AL633" s="21">
        <f t="shared" ca="1" si="1097"/>
        <v>7.1435422075171626</v>
      </c>
      <c r="AM633" s="21">
        <f t="shared" ca="1" si="1097"/>
        <v>9.6315161335032826</v>
      </c>
      <c r="AN633" s="21">
        <f t="shared" ca="1" si="1097"/>
        <v>7.0529173262382496</v>
      </c>
      <c r="AO633" s="613">
        <f ca="1">SUMPRODUCT(AH$476:AN$476,AH633:AN633)/AO$476</f>
        <v>7.752610779124824</v>
      </c>
      <c r="AQ633" s="21">
        <f t="shared" ref="AQ633:AW633" ca="1" si="1098">($L$85)*60/AQ629</f>
        <v>5.9539770811096844</v>
      </c>
      <c r="AR633" s="21">
        <f t="shared" ca="1" si="1098"/>
        <v>6.0270580810553049</v>
      </c>
      <c r="AS633" s="21">
        <f t="shared" ca="1" si="1098"/>
        <v>11.455703060197123</v>
      </c>
      <c r="AT633" s="21">
        <f t="shared" ca="1" si="1098"/>
        <v>10.975269733820635</v>
      </c>
      <c r="AU633" s="21">
        <f t="shared" ca="1" si="1098"/>
        <v>9.3993976414699514</v>
      </c>
      <c r="AV633" s="21">
        <f t="shared" ca="1" si="1098"/>
        <v>12.673047544083269</v>
      </c>
      <c r="AW633" s="21">
        <f t="shared" ca="1" si="1098"/>
        <v>9.2801543766292749</v>
      </c>
      <c r="AX633" s="613">
        <f ca="1">SUMPRODUCT(AQ$476:AW$476,AQ633:AW633)/AX$476</f>
        <v>10.096614238510679</v>
      </c>
      <c r="AZ633" s="21">
        <f t="shared" ref="AZ633:BF633" ca="1" si="1099">($M$85)*60/AZ629</f>
        <v>8.4844173405812988</v>
      </c>
      <c r="BA633" s="21">
        <f t="shared" ca="1" si="1099"/>
        <v>8.5885577655038094</v>
      </c>
      <c r="BB633" s="21">
        <f t="shared" ca="1" si="1099"/>
        <v>16.324376860780902</v>
      </c>
      <c r="BC633" s="21">
        <f t="shared" ca="1" si="1099"/>
        <v>15.639759370694403</v>
      </c>
      <c r="BD633" s="21">
        <f t="shared" ca="1" si="1099"/>
        <v>13.394141639094681</v>
      </c>
      <c r="BE633" s="21">
        <f t="shared" ca="1" si="1099"/>
        <v>18.059092750318655</v>
      </c>
      <c r="BF633" s="21">
        <f t="shared" ca="1" si="1099"/>
        <v>13.224219986696717</v>
      </c>
      <c r="BG633" s="613">
        <f ca="1">SUMPRODUCT(AZ$476:BF$476,AZ633:BF633)/BG$476</f>
        <v>14.894503866590012</v>
      </c>
      <c r="BI633" s="21">
        <f t="shared" ref="BI633:BO633" ca="1" si="1100">($N$85)*60/BI629</f>
        <v>5.6562782270541998</v>
      </c>
      <c r="BJ633" s="21">
        <f t="shared" ca="1" si="1100"/>
        <v>5.7257051770025402</v>
      </c>
      <c r="BK633" s="21">
        <f t="shared" ca="1" si="1100"/>
        <v>10.882917907187268</v>
      </c>
      <c r="BL633" s="21">
        <f t="shared" ca="1" si="1100"/>
        <v>10.426506247129602</v>
      </c>
      <c r="BM633" s="21">
        <f t="shared" ca="1" si="1100"/>
        <v>8.9294277593964537</v>
      </c>
      <c r="BN633" s="21">
        <f t="shared" ca="1" si="1100"/>
        <v>12.039395166879103</v>
      </c>
      <c r="BO633" s="21">
        <f t="shared" ca="1" si="1100"/>
        <v>8.8161466577978125</v>
      </c>
      <c r="BP633" s="613">
        <f ca="1">SUMPRODUCT(BI$476:BO$476,BI633:BO633)/BP$476</f>
        <v>9.9575432905415902</v>
      </c>
    </row>
    <row r="634" spans="2:68" ht="13.2" customHeight="1">
      <c r="B634" s="280" t="s">
        <v>2159</v>
      </c>
      <c r="C634" s="297"/>
      <c r="D634" s="297"/>
      <c r="E634" s="297"/>
      <c r="F634" s="297"/>
      <c r="G634" s="3738"/>
      <c r="H634" s="3739"/>
      <c r="I634" s="3739"/>
      <c r="J634" s="3739"/>
      <c r="K634" s="3739"/>
      <c r="L634" s="3922"/>
      <c r="O634" s="39">
        <f>ROW()</f>
        <v>634</v>
      </c>
      <c r="P634" s="21">
        <f t="shared" ref="P634:V634" ca="1" si="1101">60*$I$85/(1/($P$135/$P629+$Q$135/$Q629+$R$135/$R629+$S$135/$S629+$T$135/$T629+$U$135/$U629+$V$135/$V629))</f>
        <v>6.1843856843105574</v>
      </c>
      <c r="Q634" s="21">
        <f t="shared" ca="1" si="1101"/>
        <v>6.1843856843105574</v>
      </c>
      <c r="R634" s="21">
        <f t="shared" ca="1" si="1101"/>
        <v>6.1843856843105574</v>
      </c>
      <c r="S634" s="21">
        <f t="shared" ca="1" si="1101"/>
        <v>6.1843856843105574</v>
      </c>
      <c r="T634" s="21">
        <f t="shared" ca="1" si="1101"/>
        <v>6.1843856843105574</v>
      </c>
      <c r="U634" s="21">
        <f t="shared" ca="1" si="1101"/>
        <v>6.1843856843105574</v>
      </c>
      <c r="V634" s="21">
        <f t="shared" ca="1" si="1101"/>
        <v>6.1843856843105574</v>
      </c>
      <c r="W634" s="613">
        <f ca="1">SUMPRODUCT(P$383:V$383,P634:V634)/W$383</f>
        <v>6.1843856843105556</v>
      </c>
      <c r="Y634" s="21">
        <f t="shared" ref="Y634:AE634" ca="1" si="1102">60*$J$85/(1/($Y$135/$Y629+$Z$135/$Z629+$AA$135/$AA629+$AB$135/$AB629+$AC$135/$AC629+$AD$135/$AD629+$AE$135/$AE629))</f>
        <v>6.1843856843105574</v>
      </c>
      <c r="Z634" s="21">
        <f t="shared" ca="1" si="1102"/>
        <v>6.1843856843105574</v>
      </c>
      <c r="AA634" s="21">
        <f t="shared" ca="1" si="1102"/>
        <v>6.1843856843105574</v>
      </c>
      <c r="AB634" s="21">
        <f t="shared" ca="1" si="1102"/>
        <v>6.1843856843105574</v>
      </c>
      <c r="AC634" s="21">
        <f t="shared" ca="1" si="1102"/>
        <v>6.1843856843105574</v>
      </c>
      <c r="AD634" s="21">
        <f t="shared" ca="1" si="1102"/>
        <v>6.1843856843105574</v>
      </c>
      <c r="AE634" s="21">
        <f t="shared" ca="1" si="1102"/>
        <v>6.1843856843105574</v>
      </c>
      <c r="AF634" s="613">
        <f ca="1">SUMPRODUCT(Y$383:AE$383,Y634:AE634)/AF$383</f>
        <v>6.1843856843105574</v>
      </c>
      <c r="AH634" s="21">
        <f t="shared" ref="AH634:AN634" ca="1" si="1103">AH633</f>
        <v>4.52502258164336</v>
      </c>
      <c r="AI634" s="21">
        <f t="shared" ca="1" si="1103"/>
        <v>4.5805641416020322</v>
      </c>
      <c r="AJ634" s="21">
        <f t="shared" ca="1" si="1103"/>
        <v>8.7063343257498147</v>
      </c>
      <c r="AK634" s="21">
        <f t="shared" ca="1" si="1103"/>
        <v>8.3412049977036826</v>
      </c>
      <c r="AL634" s="21">
        <f t="shared" ca="1" si="1103"/>
        <v>7.1435422075171626</v>
      </c>
      <c r="AM634" s="21">
        <f t="shared" ca="1" si="1103"/>
        <v>9.6315161335032826</v>
      </c>
      <c r="AN634" s="21">
        <f t="shared" ca="1" si="1103"/>
        <v>7.0529173262382496</v>
      </c>
      <c r="AO634" s="613">
        <f ca="1">SUMPRODUCT(AH$383:AN$383,AH634:AN634)/AO$383</f>
        <v>7.7108443133288525</v>
      </c>
      <c r="AQ634" s="21"/>
      <c r="AR634" s="21"/>
      <c r="AS634" s="21"/>
      <c r="AT634" s="21"/>
      <c r="AU634" s="21"/>
      <c r="AV634" s="21"/>
      <c r="AW634" s="21"/>
      <c r="AX634" s="613"/>
      <c r="AZ634" s="21">
        <f t="shared" ref="AZ634:BF634" ca="1" si="1104">60*$M$85/(1/($AZ$135/$AZ629+$BA$135/$BA629+$BB$135/$BB629+$BC$135/$BC629+$BD$135/$BD629+$BE$135/$BE629+$BF$135/$BF629))</f>
        <v>14.842525642345338</v>
      </c>
      <c r="BA634" s="21">
        <f t="shared" ca="1" si="1104"/>
        <v>14.842525642345338</v>
      </c>
      <c r="BB634" s="21">
        <f t="shared" ca="1" si="1104"/>
        <v>14.842525642345338</v>
      </c>
      <c r="BC634" s="21">
        <f t="shared" ca="1" si="1104"/>
        <v>14.842525642345338</v>
      </c>
      <c r="BD634" s="21">
        <f t="shared" ca="1" si="1104"/>
        <v>14.842525642345338</v>
      </c>
      <c r="BE634" s="21">
        <f t="shared" ca="1" si="1104"/>
        <v>14.842525642345338</v>
      </c>
      <c r="BF634" s="21">
        <f t="shared" ca="1" si="1104"/>
        <v>14.842525642345338</v>
      </c>
      <c r="BG634" s="613">
        <f ca="1">SUMPRODUCT(AZ$383:BF$383,AZ634:BF634)/BG$383</f>
        <v>14.84252564234534</v>
      </c>
      <c r="BI634" s="21">
        <f t="shared" ref="BI634:BO634" ca="1" si="1105">60*$N$85/(1/($BI$135/$BI629+$BJ$135/$BJ629+$BK$135/$BK629+$BL$135/$BL629+$BM$135/$BM629+$BN$135/$BN629+$BO$135/$BO629))</f>
        <v>9.8950170948968914</v>
      </c>
      <c r="BJ634" s="21">
        <f t="shared" ca="1" si="1105"/>
        <v>9.8950170948968914</v>
      </c>
      <c r="BK634" s="21">
        <f t="shared" ca="1" si="1105"/>
        <v>9.8950170948968914</v>
      </c>
      <c r="BL634" s="21">
        <f t="shared" ca="1" si="1105"/>
        <v>9.8950170948968914</v>
      </c>
      <c r="BM634" s="21">
        <f t="shared" ca="1" si="1105"/>
        <v>9.8950170948968914</v>
      </c>
      <c r="BN634" s="21">
        <f t="shared" ca="1" si="1105"/>
        <v>9.8950170948968914</v>
      </c>
      <c r="BO634" s="21">
        <f t="shared" ca="1" si="1105"/>
        <v>9.8950170948968914</v>
      </c>
      <c r="BP634" s="613">
        <f ca="1">SUMPRODUCT(BI$383:BO$383,BI634:BO634)/BP$383</f>
        <v>9.8950170948968914</v>
      </c>
    </row>
    <row r="635" spans="2:68" ht="13.2" customHeight="1">
      <c r="B635" s="280" t="s">
        <v>2160</v>
      </c>
      <c r="C635" s="297"/>
      <c r="D635" s="297"/>
      <c r="E635" s="297"/>
      <c r="F635" s="297"/>
      <c r="G635" s="3738"/>
      <c r="H635" s="3739"/>
      <c r="I635" s="3739"/>
      <c r="J635" s="3739"/>
      <c r="K635" s="3739"/>
      <c r="L635" s="3922"/>
      <c r="O635" s="39">
        <f>ROW()</f>
        <v>635</v>
      </c>
      <c r="P635" s="21">
        <f t="shared" ref="P635:V635" ca="1" si="1106">($I$79)*60/P630</f>
        <v>18.438692038350162</v>
      </c>
      <c r="Q635" s="21">
        <f t="shared" ca="1" si="1106"/>
        <v>21.311074190514955</v>
      </c>
      <c r="R635" s="21">
        <f t="shared" ca="1" si="1106"/>
        <v>55.504905291492356</v>
      </c>
      <c r="S635" s="21">
        <f t="shared" ca="1" si="1106"/>
        <v>46.78086349483646</v>
      </c>
      <c r="T635" s="21">
        <f t="shared" ca="1" si="1106"/>
        <v>40.154834816244808</v>
      </c>
      <c r="U635" s="21">
        <f t="shared" ca="1" si="1106"/>
        <v>61.664523330204304</v>
      </c>
      <c r="V635" s="21">
        <f t="shared" ca="1" si="1106"/>
        <v>36.819217973378926</v>
      </c>
      <c r="W635" s="613">
        <f ca="1">SUMPRODUCT(P$476:V$476,P635:V635)/W$476</f>
        <v>47.725140379364944</v>
      </c>
      <c r="Y635" s="21">
        <f t="shared" ref="Y635:AE635" ca="1" si="1107">($J$79)*60/Y630</f>
        <v>18.438692038350162</v>
      </c>
      <c r="Z635" s="21">
        <f t="shared" ca="1" si="1107"/>
        <v>21.311074190514955</v>
      </c>
      <c r="AA635" s="21">
        <f t="shared" ca="1" si="1107"/>
        <v>55.504905291492356</v>
      </c>
      <c r="AB635" s="21">
        <f t="shared" ca="1" si="1107"/>
        <v>46.78086349483646</v>
      </c>
      <c r="AC635" s="21">
        <f t="shared" ca="1" si="1107"/>
        <v>40.154834816244808</v>
      </c>
      <c r="AD635" s="21">
        <f t="shared" ca="1" si="1107"/>
        <v>61.664523330204304</v>
      </c>
      <c r="AE635" s="21">
        <f t="shared" ca="1" si="1107"/>
        <v>36.819217973378926</v>
      </c>
      <c r="AF635" s="613">
        <f ca="1">SUMPRODUCT(Y$476:AE$476,Y635:AE635)/AF$476</f>
        <v>47.559009535272672</v>
      </c>
      <c r="AH635" s="21">
        <f t="shared" ref="AH635:AN635" ca="1" si="1108">($K$79)*60/AH630</f>
        <v>27.658038057525246</v>
      </c>
      <c r="AI635" s="21">
        <f t="shared" ca="1" si="1108"/>
        <v>31.96661128577243</v>
      </c>
      <c r="AJ635" s="21">
        <f t="shared" ca="1" si="1108"/>
        <v>83.257357937238538</v>
      </c>
      <c r="AK635" s="21">
        <f t="shared" ca="1" si="1108"/>
        <v>70.171295242254686</v>
      </c>
      <c r="AL635" s="21">
        <f t="shared" ca="1" si="1108"/>
        <v>60.232252224367215</v>
      </c>
      <c r="AM635" s="21">
        <f t="shared" ca="1" si="1108"/>
        <v>92.496784995306456</v>
      </c>
      <c r="AN635" s="21">
        <f t="shared" ca="1" si="1108"/>
        <v>55.228826960068389</v>
      </c>
      <c r="AO635" s="613">
        <f ca="1">SUMPRODUCT(AH$476:AN$476,AH635:AN635)/AO$476</f>
        <v>68.015907034579769</v>
      </c>
      <c r="AQ635" s="21">
        <f t="shared" ref="AQ635:AW635" ca="1" si="1109">($L$79)*60/AQ630</f>
        <v>6.612382270383856</v>
      </c>
      <c r="AR635" s="21">
        <f t="shared" ca="1" si="1109"/>
        <v>7.6424601510295016</v>
      </c>
      <c r="AS635" s="21">
        <f t="shared" ca="1" si="1109"/>
        <v>19.904863691277253</v>
      </c>
      <c r="AT635" s="21">
        <f t="shared" ca="1" si="1109"/>
        <v>16.776295830698309</v>
      </c>
      <c r="AU635" s="21">
        <f t="shared" ca="1" si="1109"/>
        <v>14.400105889120722</v>
      </c>
      <c r="AV635" s="21">
        <f t="shared" ca="1" si="1109"/>
        <v>22.11379201584619</v>
      </c>
      <c r="AW635" s="21">
        <f t="shared" ca="1" si="1109"/>
        <v>13.203905332883563</v>
      </c>
      <c r="AX635" s="613">
        <f ca="1">SUMPRODUCT(AQ$476:AW$476,AQ635:AW635)/AX$476</f>
        <v>16.013554103464774</v>
      </c>
      <c r="AZ635" s="21">
        <f t="shared" ref="AZ635:BF635" ca="1" si="1110">($M$79)*60/AZ630</f>
        <v>13.660078133123289</v>
      </c>
      <c r="BA635" s="21">
        <f t="shared" ca="1" si="1110"/>
        <v>15.788047109727046</v>
      </c>
      <c r="BB635" s="21">
        <f t="shared" ca="1" si="1110"/>
        <v>41.120126171445911</v>
      </c>
      <c r="BC635" s="21">
        <f t="shared" ca="1" si="1110"/>
        <v>34.657027144080416</v>
      </c>
      <c r="BD635" s="21">
        <f t="shared" ca="1" si="1110"/>
        <v>29.748215321982411</v>
      </c>
      <c r="BE635" s="21">
        <f t="shared" ca="1" si="1110"/>
        <v>45.683403409549264</v>
      </c>
      <c r="BF635" s="21">
        <f t="shared" ca="1" si="1110"/>
        <v>27.277064624257164</v>
      </c>
      <c r="BG635" s="613">
        <f ca="1">SUMPRODUCT(AZ$476:BF$476,AZ635:BF635)/BG$476</f>
        <v>34.86261937360743</v>
      </c>
      <c r="BI635" s="21">
        <f t="shared" ref="BI635:BO635" ca="1" si="1111">($N$79)*60/BI630</f>
        <v>18.948048172006249</v>
      </c>
      <c r="BJ635" s="21">
        <f t="shared" ca="1" si="1111"/>
        <v>21.899777897435261</v>
      </c>
      <c r="BK635" s="21">
        <f t="shared" ca="1" si="1111"/>
        <v>57.038189968052933</v>
      </c>
      <c r="BL635" s="21">
        <f t="shared" ca="1" si="1111"/>
        <v>48.073152541655155</v>
      </c>
      <c r="BM635" s="21">
        <f t="shared" ca="1" si="1111"/>
        <v>41.264084396804066</v>
      </c>
      <c r="BN635" s="21">
        <f t="shared" ca="1" si="1111"/>
        <v>63.367963201204439</v>
      </c>
      <c r="BO635" s="21">
        <f t="shared" ca="1" si="1111"/>
        <v>37.836323442256806</v>
      </c>
      <c r="BP635" s="613">
        <f ca="1">SUMPRODUCT(BI$476:BO$476,BI635:BO635)/BP$476</f>
        <v>48.555761780259417</v>
      </c>
    </row>
    <row r="636" spans="2:68" ht="13.2" customHeight="1">
      <c r="B636" s="280" t="s">
        <v>1138</v>
      </c>
      <c r="C636" s="297"/>
      <c r="D636" s="297"/>
      <c r="E636" s="297"/>
      <c r="F636" s="297"/>
      <c r="G636" s="3738"/>
      <c r="H636" s="3739"/>
      <c r="I636" s="3739"/>
      <c r="J636" s="3739"/>
      <c r="K636" s="3739"/>
      <c r="L636" s="3922"/>
      <c r="O636" s="39">
        <f>ROW()</f>
        <v>636</v>
      </c>
      <c r="P636" s="21">
        <f t="shared" ref="P636:V636" ca="1" si="1112">60*$I$79/(1/($P$135/$P630+$Q$135/$Q630+$R$135/$R630+$S$135/$S630+$T$135/$T630+$U$135/$U630+$V$135/$V630))</f>
        <v>46.735855078571355</v>
      </c>
      <c r="Q636" s="21">
        <f t="shared" ca="1" si="1112"/>
        <v>46.735855078571355</v>
      </c>
      <c r="R636" s="21">
        <f t="shared" ca="1" si="1112"/>
        <v>46.735855078571355</v>
      </c>
      <c r="S636" s="21">
        <f t="shared" ca="1" si="1112"/>
        <v>46.735855078571355</v>
      </c>
      <c r="T636" s="21">
        <f t="shared" ca="1" si="1112"/>
        <v>46.735855078571355</v>
      </c>
      <c r="U636" s="21">
        <f t="shared" ca="1" si="1112"/>
        <v>46.735855078571355</v>
      </c>
      <c r="V636" s="21">
        <f t="shared" ca="1" si="1112"/>
        <v>46.735855078571355</v>
      </c>
      <c r="W636" s="613">
        <f ca="1">SUMPRODUCT(P$476:V$476,P636:V636)/W$476</f>
        <v>46.735855078571355</v>
      </c>
      <c r="Y636" s="21">
        <f t="shared" ref="Y636:AE636" ca="1" si="1113">60*$J$79/(1/($Y$135/$Y630+$Z$135/$Z630+$AA$135/$AA630+$AB$135/$AB630+$AC$135/$AC630+$AD$135/$AD630+$AE$135/$AE630))</f>
        <v>46.735855078571362</v>
      </c>
      <c r="Z636" s="21">
        <f t="shared" ca="1" si="1113"/>
        <v>46.735855078571362</v>
      </c>
      <c r="AA636" s="21">
        <f t="shared" ca="1" si="1113"/>
        <v>46.735855078571362</v>
      </c>
      <c r="AB636" s="21">
        <f t="shared" ca="1" si="1113"/>
        <v>46.735855078571362</v>
      </c>
      <c r="AC636" s="21">
        <f t="shared" ca="1" si="1113"/>
        <v>46.735855078571362</v>
      </c>
      <c r="AD636" s="21">
        <f t="shared" ca="1" si="1113"/>
        <v>46.735855078571362</v>
      </c>
      <c r="AE636" s="21">
        <f t="shared" ca="1" si="1113"/>
        <v>46.735855078571362</v>
      </c>
      <c r="AF636" s="613">
        <f ca="1">SUMPRODUCT(Y$476:AE$476,Y636:AE636)/AF$476</f>
        <v>46.735855078571362</v>
      </c>
      <c r="AH636" s="21">
        <f t="shared" ref="AH636:AN636" ca="1" si="1114">AH635</f>
        <v>27.658038057525246</v>
      </c>
      <c r="AI636" s="21">
        <f t="shared" ca="1" si="1114"/>
        <v>31.96661128577243</v>
      </c>
      <c r="AJ636" s="21">
        <f t="shared" ca="1" si="1114"/>
        <v>83.257357937238538</v>
      </c>
      <c r="AK636" s="21">
        <f t="shared" ca="1" si="1114"/>
        <v>70.171295242254686</v>
      </c>
      <c r="AL636" s="21">
        <f t="shared" ca="1" si="1114"/>
        <v>60.232252224367215</v>
      </c>
      <c r="AM636" s="21">
        <f t="shared" ca="1" si="1114"/>
        <v>92.496784995306456</v>
      </c>
      <c r="AN636" s="21">
        <f t="shared" ca="1" si="1114"/>
        <v>55.228826960068389</v>
      </c>
      <c r="AO636" s="613">
        <f ca="1">SUMPRODUCT(AH$476:AN$476,AH636:AN636)/AO$476</f>
        <v>68.015907034579769</v>
      </c>
      <c r="AX636" s="613"/>
      <c r="AZ636" s="21">
        <f t="shared" ref="AZ636:BF636" ca="1" si="1115">60*$M$79/(1/($AZ$135/$AZ630+$BA$135/$BA630+$BB$135/$BB630+$BC$135/$BC630+$BD$135/$BD630+$BE$135/$BE630+$BF$135/$BF630))</f>
        <v>34.623683212658889</v>
      </c>
      <c r="BA636" s="21">
        <f t="shared" ca="1" si="1115"/>
        <v>34.623683212658889</v>
      </c>
      <c r="BB636" s="21">
        <f t="shared" ca="1" si="1115"/>
        <v>34.623683212658889</v>
      </c>
      <c r="BC636" s="21">
        <f t="shared" ca="1" si="1115"/>
        <v>34.623683212658889</v>
      </c>
      <c r="BD636" s="21">
        <f t="shared" ca="1" si="1115"/>
        <v>34.623683212658889</v>
      </c>
      <c r="BE636" s="21">
        <f t="shared" ca="1" si="1115"/>
        <v>34.623683212658889</v>
      </c>
      <c r="BF636" s="21">
        <f t="shared" ca="1" si="1115"/>
        <v>34.623683212658889</v>
      </c>
      <c r="BG636" s="613">
        <f ca="1">SUMPRODUCT(AZ$476:BF$476,AZ636:BF636)/BG$476</f>
        <v>34.623683212658896</v>
      </c>
      <c r="BI636" s="21">
        <f t="shared" ref="BI636:BO636" ca="1" si="1116">60*$N$79/(1/($BI$135/$BI630+$BJ$135/$BJ630+$BK$135/$BK630+$BL$135/$BL630+$BM$135/$BM630+$BN$135/$BN630+$BO$135/$BO630))</f>
        <v>48.026900798973891</v>
      </c>
      <c r="BJ636" s="21">
        <f t="shared" ca="1" si="1116"/>
        <v>48.026900798973891</v>
      </c>
      <c r="BK636" s="21">
        <f t="shared" ca="1" si="1116"/>
        <v>48.026900798973891</v>
      </c>
      <c r="BL636" s="21">
        <f t="shared" ca="1" si="1116"/>
        <v>48.026900798973891</v>
      </c>
      <c r="BM636" s="21">
        <f t="shared" ca="1" si="1116"/>
        <v>48.026900798973891</v>
      </c>
      <c r="BN636" s="21">
        <f t="shared" ca="1" si="1116"/>
        <v>48.026900798973891</v>
      </c>
      <c r="BO636" s="21">
        <f t="shared" ca="1" si="1116"/>
        <v>48.026900798973891</v>
      </c>
      <c r="BP636" s="613">
        <f ca="1">SUMPRODUCT(BI$476:BO$476,BI636:BO636)/BP$476</f>
        <v>48.026900798973891</v>
      </c>
    </row>
    <row r="637" spans="2:68" ht="13.2" customHeight="1">
      <c r="B637" s="308" t="s">
        <v>2243</v>
      </c>
      <c r="C637" s="297"/>
      <c r="D637" s="297"/>
      <c r="E637" s="297"/>
      <c r="F637" s="297"/>
      <c r="G637" s="3741"/>
      <c r="H637" s="3742"/>
      <c r="I637" s="3742"/>
      <c r="J637" s="3742"/>
      <c r="K637" s="3742"/>
      <c r="L637" s="3777"/>
      <c r="O637" s="39">
        <f>ROW()</f>
        <v>637</v>
      </c>
      <c r="P637" s="21">
        <f t="shared" ref="P637:W637" ca="1" si="1117">SUM(P633:P636)</f>
        <v>74.894106693140941</v>
      </c>
      <c r="Q637" s="21">
        <f t="shared" ca="1" si="1117"/>
        <v>77.809880689023458</v>
      </c>
      <c r="R637" s="21">
        <f t="shared" ca="1" si="1117"/>
        <v>115.22696974636631</v>
      </c>
      <c r="S637" s="21">
        <f t="shared" ca="1" si="1117"/>
        <v>106.21767066217438</v>
      </c>
      <c r="T637" s="21">
        <f t="shared" ca="1" si="1117"/>
        <v>98.655967928749504</v>
      </c>
      <c r="U637" s="21">
        <f t="shared" ca="1" si="1117"/>
        <v>122.10938607238566</v>
      </c>
      <c r="V637" s="21">
        <f t="shared" ca="1" si="1117"/>
        <v>95.249550397384468</v>
      </c>
      <c r="W637" s="614">
        <f t="shared" ca="1" si="1117"/>
        <v>106.90129209274141</v>
      </c>
      <c r="Y637" s="21">
        <f t="shared" ref="Y637:AF637" ca="1" si="1118">SUM(Y633:Y636)</f>
        <v>74.894106693140955</v>
      </c>
      <c r="Z637" s="21">
        <f t="shared" ca="1" si="1118"/>
        <v>77.809880689023458</v>
      </c>
      <c r="AA637" s="21">
        <f t="shared" ca="1" si="1118"/>
        <v>115.22696974636632</v>
      </c>
      <c r="AB637" s="21">
        <f t="shared" ca="1" si="1118"/>
        <v>106.21767066217438</v>
      </c>
      <c r="AC637" s="21">
        <f t="shared" ca="1" si="1118"/>
        <v>98.655967928749504</v>
      </c>
      <c r="AD637" s="21">
        <f t="shared" ca="1" si="1118"/>
        <v>122.10938607238566</v>
      </c>
      <c r="AE637" s="21">
        <f t="shared" ca="1" si="1118"/>
        <v>95.249550397384482</v>
      </c>
      <c r="AF637" s="614">
        <f t="shared" ca="1" si="1118"/>
        <v>106.74179663551384</v>
      </c>
      <c r="AH637" s="21">
        <f t="shared" ref="AH637:AO637" ca="1" si="1119">SUM(AH633:AH636)</f>
        <v>64.366121278337204</v>
      </c>
      <c r="AI637" s="21">
        <f t="shared" ca="1" si="1119"/>
        <v>73.094350854748924</v>
      </c>
      <c r="AJ637" s="21">
        <f t="shared" ca="1" si="1119"/>
        <v>183.92738452597672</v>
      </c>
      <c r="AK637" s="21">
        <f t="shared" ca="1" si="1119"/>
        <v>157.02500047991674</v>
      </c>
      <c r="AL637" s="21">
        <f t="shared" ca="1" si="1119"/>
        <v>134.75158886376875</v>
      </c>
      <c r="AM637" s="21">
        <f t="shared" ca="1" si="1119"/>
        <v>204.25660225761948</v>
      </c>
      <c r="AN637" s="21">
        <f t="shared" ca="1" si="1119"/>
        <v>124.56348857261328</v>
      </c>
      <c r="AO637" s="614">
        <f t="shared" ca="1" si="1119"/>
        <v>151.49526916161321</v>
      </c>
      <c r="AQ637" s="21">
        <f t="shared" ref="AQ637:AX637" ca="1" si="1120">AQ633+AQ635</f>
        <v>12.56635935149354</v>
      </c>
      <c r="AR637" s="21">
        <f t="shared" ca="1" si="1120"/>
        <v>13.669518232084807</v>
      </c>
      <c r="AS637" s="21">
        <f t="shared" ca="1" si="1120"/>
        <v>31.360566751474376</v>
      </c>
      <c r="AT637" s="21">
        <f t="shared" ca="1" si="1120"/>
        <v>27.751565564518945</v>
      </c>
      <c r="AU637" s="21">
        <f t="shared" ca="1" si="1120"/>
        <v>23.799503530590673</v>
      </c>
      <c r="AV637" s="21">
        <f t="shared" ca="1" si="1120"/>
        <v>34.786839559929462</v>
      </c>
      <c r="AW637" s="21">
        <f t="shared" ca="1" si="1120"/>
        <v>22.484059709512838</v>
      </c>
      <c r="AX637" s="614">
        <f t="shared" ca="1" si="1120"/>
        <v>26.110168341975452</v>
      </c>
      <c r="AZ637" s="21">
        <f t="shared" ref="AZ637:BG637" ca="1" si="1121">SUM(AZ633:AZ636)</f>
        <v>71.61070432870882</v>
      </c>
      <c r="BA637" s="21">
        <f t="shared" ca="1" si="1121"/>
        <v>73.842813730235079</v>
      </c>
      <c r="BB637" s="21">
        <f t="shared" ca="1" si="1121"/>
        <v>106.91071188723105</v>
      </c>
      <c r="BC637" s="21">
        <f t="shared" ca="1" si="1121"/>
        <v>99.762995369779048</v>
      </c>
      <c r="BD637" s="21">
        <f t="shared" ca="1" si="1121"/>
        <v>92.608565816081324</v>
      </c>
      <c r="BE637" s="21">
        <f t="shared" ca="1" si="1121"/>
        <v>113.20870501487214</v>
      </c>
      <c r="BF637" s="21">
        <f t="shared" ca="1" si="1121"/>
        <v>89.967493465958114</v>
      </c>
      <c r="BG637" s="614">
        <f t="shared" ca="1" si="1121"/>
        <v>99.22333209520167</v>
      </c>
      <c r="BI637" s="21">
        <f t="shared" ref="BI637:BP637" ca="1" si="1122">SUM(BI633:BI636)</f>
        <v>82.526244292931239</v>
      </c>
      <c r="BJ637" s="21">
        <f t="shared" ca="1" si="1122"/>
        <v>85.54740096830858</v>
      </c>
      <c r="BK637" s="21">
        <f t="shared" ca="1" si="1122"/>
        <v>125.84302576911099</v>
      </c>
      <c r="BL637" s="21">
        <f t="shared" ca="1" si="1122"/>
        <v>116.42157668265554</v>
      </c>
      <c r="BM637" s="21">
        <f t="shared" ca="1" si="1122"/>
        <v>108.1154300500713</v>
      </c>
      <c r="BN637" s="21">
        <f t="shared" ca="1" si="1122"/>
        <v>133.32927626195433</v>
      </c>
      <c r="BO637" s="21">
        <f t="shared" ca="1" si="1122"/>
        <v>104.5743879939254</v>
      </c>
      <c r="BP637" s="614">
        <f t="shared" ca="1" si="1122"/>
        <v>116.43522296467179</v>
      </c>
    </row>
    <row r="638" spans="2:68" ht="13.2" customHeight="1">
      <c r="B638" s="308"/>
      <c r="C638" s="297"/>
      <c r="D638" s="297"/>
      <c r="E638" s="297"/>
      <c r="F638" s="297"/>
      <c r="G638" s="280"/>
      <c r="O638" s="39">
        <f>ROW()</f>
        <v>638</v>
      </c>
      <c r="P638" s="21"/>
      <c r="Q638" s="21"/>
      <c r="R638" s="21"/>
      <c r="S638" s="21"/>
      <c r="T638" s="21"/>
      <c r="U638" s="21"/>
      <c r="V638" s="21"/>
      <c r="W638" s="634"/>
      <c r="Y638" s="21"/>
      <c r="Z638" s="21"/>
      <c r="AA638" s="21"/>
      <c r="AB638" s="21"/>
      <c r="AC638" s="21"/>
      <c r="AD638" s="21"/>
      <c r="AE638" s="21"/>
      <c r="AF638" s="634"/>
      <c r="AH638" s="21"/>
      <c r="AI638" s="21"/>
      <c r="AJ638" s="21"/>
      <c r="AK638" s="21"/>
      <c r="AL638" s="21"/>
      <c r="AM638" s="21"/>
      <c r="AN638" s="21"/>
      <c r="AO638" s="634"/>
      <c r="AQ638" s="21"/>
      <c r="AR638" s="21"/>
      <c r="AS638" s="21"/>
      <c r="AT638" s="21"/>
      <c r="AU638" s="21"/>
      <c r="AV638" s="21"/>
      <c r="AW638" s="21"/>
      <c r="AX638" s="634"/>
      <c r="AZ638" s="21"/>
      <c r="BA638" s="21"/>
      <c r="BB638" s="21"/>
      <c r="BC638" s="21"/>
      <c r="BD638" s="21"/>
      <c r="BE638" s="21"/>
      <c r="BF638" s="21"/>
      <c r="BG638" s="634"/>
      <c r="BI638" s="21"/>
      <c r="BJ638" s="21"/>
      <c r="BK638" s="21"/>
      <c r="BL638" s="21"/>
      <c r="BM638" s="21"/>
      <c r="BN638" s="21"/>
      <c r="BO638" s="21"/>
      <c r="BP638" s="634"/>
    </row>
    <row r="639" spans="2:68" ht="13.2" customHeight="1">
      <c r="B639" s="308" t="s">
        <v>1345</v>
      </c>
      <c r="G639" s="280" t="s">
        <v>307</v>
      </c>
      <c r="O639" s="39">
        <f>ROW()</f>
        <v>639</v>
      </c>
      <c r="P639" s="117">
        <f t="shared" ref="P639:W639" ca="1" si="1123">P637/P589</f>
        <v>0.99498357830143025</v>
      </c>
      <c r="Q639" s="117">
        <f t="shared" ca="1" si="1123"/>
        <v>0.99497310632214098</v>
      </c>
      <c r="R639" s="117">
        <f t="shared" ca="1" si="1123"/>
        <v>0.99295152432035438</v>
      </c>
      <c r="S639" s="117">
        <f t="shared" ca="1" si="1123"/>
        <v>0.99450671550240277</v>
      </c>
      <c r="T639" s="117">
        <f t="shared" ca="1" si="1123"/>
        <v>0.99508830155087769</v>
      </c>
      <c r="U639" s="117">
        <f t="shared" ca="1" si="1123"/>
        <v>0.99113163372626234</v>
      </c>
      <c r="V639" s="117">
        <f t="shared" ca="1" si="1123"/>
        <v>0.99519701071524247</v>
      </c>
      <c r="W639" s="117">
        <f t="shared" ca="1" si="1123"/>
        <v>0.99315537661418241</v>
      </c>
      <c r="Y639" s="117">
        <f t="shared" ref="Y639:AF639" ca="1" si="1124">Y637/Y589</f>
        <v>0.99498357830143047</v>
      </c>
      <c r="Z639" s="117">
        <f t="shared" ca="1" si="1124"/>
        <v>0.99497310632214075</v>
      </c>
      <c r="AA639" s="117">
        <f t="shared" ca="1" si="1124"/>
        <v>0.99295152432035438</v>
      </c>
      <c r="AB639" s="117">
        <f t="shared" ca="1" si="1124"/>
        <v>0.99450671550240277</v>
      </c>
      <c r="AC639" s="117">
        <f t="shared" ca="1" si="1124"/>
        <v>0.99508830155087757</v>
      </c>
      <c r="AD639" s="117">
        <f t="shared" ca="1" si="1124"/>
        <v>0.99113163372626234</v>
      </c>
      <c r="AE639" s="117">
        <f t="shared" ca="1" si="1124"/>
        <v>0.99519701071524247</v>
      </c>
      <c r="AF639" s="117">
        <f t="shared" ca="1" si="1124"/>
        <v>0.99302262549158526</v>
      </c>
      <c r="AH639" s="117">
        <f t="shared" ref="AH639:AO639" ca="1" si="1125">AH637/AH589</f>
        <v>0.99963939796803714</v>
      </c>
      <c r="AI639" s="117">
        <f t="shared" ca="1" si="1125"/>
        <v>0.99908768387920643</v>
      </c>
      <c r="AJ639" s="117">
        <f t="shared" ca="1" si="1125"/>
        <v>0.99386958954264371</v>
      </c>
      <c r="AK639" s="117">
        <f t="shared" ca="1" si="1125"/>
        <v>0.99682367140486894</v>
      </c>
      <c r="AL639" s="117">
        <f t="shared" ca="1" si="1125"/>
        <v>0.99808596844579567</v>
      </c>
      <c r="AM639" s="117">
        <f t="shared" ca="1" si="1125"/>
        <v>0.99075514847221524</v>
      </c>
      <c r="AN639" s="117">
        <f t="shared" ca="1" si="1125"/>
        <v>0.99847975921518994</v>
      </c>
      <c r="AO639" s="117">
        <f t="shared" ca="1" si="1125"/>
        <v>0.99420788771074897</v>
      </c>
      <c r="AQ639" s="117">
        <f t="shared" ref="AQ639:AX639" ca="1" si="1126">AQ637/AQ589</f>
        <v>0.99882241598723887</v>
      </c>
      <c r="AR639" s="117">
        <f t="shared" ca="1" si="1126"/>
        <v>0.99784278825099271</v>
      </c>
      <c r="AS639" s="117">
        <f t="shared" ca="1" si="1126"/>
        <v>0.97498402653426797</v>
      </c>
      <c r="AT639" s="117">
        <f t="shared" ca="1" si="1126"/>
        <v>0.98083238439228171</v>
      </c>
      <c r="AU639" s="117">
        <f t="shared" ca="1" si="1126"/>
        <v>0.98616343540565155</v>
      </c>
      <c r="AV639" s="117">
        <f t="shared" ca="1" si="1126"/>
        <v>0.97039063642984524</v>
      </c>
      <c r="AW639" s="117">
        <f t="shared" ca="1" si="1126"/>
        <v>0.98749052463439047</v>
      </c>
      <c r="AX639" s="117">
        <f t="shared" ca="1" si="1126"/>
        <v>0.97890866951729316</v>
      </c>
      <c r="AZ639" s="117">
        <f t="shared" ref="AZ639:BG639" ca="1" si="1127">AZ637/AZ589</f>
        <v>0.9875622316194318</v>
      </c>
      <c r="BA639" s="117">
        <f t="shared" ca="1" si="1127"/>
        <v>0.98763005537342052</v>
      </c>
      <c r="BB639" s="117">
        <f t="shared" ca="1" si="1127"/>
        <v>0.9814647023202725</v>
      </c>
      <c r="BC639" s="117">
        <f t="shared" ca="1" si="1127"/>
        <v>0.98398989731085929</v>
      </c>
      <c r="BD639" s="117">
        <f t="shared" ca="1" si="1127"/>
        <v>0.98580786231635953</v>
      </c>
      <c r="BE639" s="117">
        <f t="shared" ca="1" si="1127"/>
        <v>0.97906532986632311</v>
      </c>
      <c r="BF639" s="117">
        <f t="shared" ca="1" si="1127"/>
        <v>0.98614706714416589</v>
      </c>
      <c r="BG639" s="117">
        <f t="shared" ca="1" si="1127"/>
        <v>0.98252550368828806</v>
      </c>
      <c r="BI639" s="117">
        <f t="shared" ref="BI639:BP639" ca="1" si="1128">BI637/BI589</f>
        <v>0.99275033283297975</v>
      </c>
      <c r="BJ639" s="117">
        <f t="shared" ca="1" si="1128"/>
        <v>0.992775110563621</v>
      </c>
      <c r="BK639" s="117">
        <f t="shared" ca="1" si="1128"/>
        <v>0.98955722218733955</v>
      </c>
      <c r="BL639" s="117">
        <f t="shared" ca="1" si="1128"/>
        <v>0.99137444141891784</v>
      </c>
      <c r="BM639" s="117">
        <f t="shared" ca="1" si="1128"/>
        <v>0.99232780504749729</v>
      </c>
      <c r="BN639" s="117">
        <f t="shared" ca="1" si="1128"/>
        <v>0.98756650228847254</v>
      </c>
      <c r="BO639" s="117">
        <f t="shared" ca="1" si="1128"/>
        <v>0.99249377092405722</v>
      </c>
      <c r="BP639" s="117">
        <f t="shared" ca="1" si="1128"/>
        <v>0.98995840918739697</v>
      </c>
    </row>
    <row r="640" spans="2:68" ht="13.2" customHeight="1">
      <c r="B640" s="280"/>
      <c r="G640" s="280"/>
      <c r="O640" s="39">
        <f>ROW()</f>
        <v>640</v>
      </c>
      <c r="P640" s="117"/>
      <c r="Q640" s="117"/>
      <c r="R640" s="117"/>
      <c r="S640" s="117"/>
      <c r="T640" s="117"/>
      <c r="U640" s="117"/>
      <c r="V640" s="117"/>
      <c r="W640" s="117"/>
      <c r="Y640" s="117"/>
      <c r="Z640" s="117"/>
      <c r="AA640" s="117"/>
      <c r="AB640" s="117"/>
      <c r="AC640" s="117"/>
      <c r="AD640" s="117"/>
      <c r="AE640" s="117"/>
      <c r="AF640" s="117"/>
      <c r="AH640" s="117"/>
      <c r="AI640" s="117"/>
      <c r="AJ640" s="117"/>
      <c r="AK640" s="117"/>
      <c r="AL640" s="117"/>
      <c r="AM640" s="117"/>
      <c r="AN640" s="117"/>
      <c r="AO640" s="117"/>
      <c r="AQ640" s="117"/>
      <c r="AR640" s="117"/>
      <c r="AS640" s="117"/>
      <c r="AT640" s="117"/>
      <c r="AU640" s="117"/>
      <c r="AV640" s="117"/>
      <c r="AW640" s="117"/>
      <c r="AX640" s="117"/>
      <c r="AZ640" s="117"/>
      <c r="BA640" s="117"/>
      <c r="BB640" s="117"/>
      <c r="BC640" s="117"/>
      <c r="BD640" s="117"/>
      <c r="BE640" s="117"/>
      <c r="BF640" s="117"/>
      <c r="BG640" s="117"/>
      <c r="BI640" s="117"/>
      <c r="BJ640" s="117"/>
      <c r="BK640" s="117"/>
      <c r="BL640" s="117"/>
      <c r="BM640" s="117"/>
      <c r="BN640" s="117"/>
      <c r="BO640" s="117"/>
      <c r="BP640" s="117"/>
    </row>
    <row r="641" spans="2:68" ht="13.2" customHeight="1">
      <c r="B641" s="308" t="s">
        <v>1571</v>
      </c>
      <c r="G641" s="280"/>
      <c r="O641" s="39">
        <f>ROW()</f>
        <v>641</v>
      </c>
      <c r="P641" s="117"/>
      <c r="Q641" s="117"/>
      <c r="R641" s="117"/>
      <c r="S641" s="117"/>
      <c r="T641" s="117"/>
      <c r="U641" s="117"/>
      <c r="V641" s="117"/>
      <c r="W641" s="117"/>
      <c r="Y641" s="117"/>
      <c r="Z641" s="117"/>
      <c r="AA641" s="117"/>
      <c r="AB641" s="117"/>
      <c r="AC641" s="117"/>
      <c r="AD641" s="117"/>
      <c r="AE641" s="117"/>
      <c r="AF641" s="117"/>
      <c r="AH641" s="117"/>
      <c r="AI641" s="117"/>
      <c r="AJ641" s="117"/>
      <c r="AK641" s="117"/>
      <c r="AL641" s="117"/>
      <c r="AM641" s="117"/>
      <c r="AN641" s="117"/>
      <c r="AO641" s="117"/>
      <c r="AQ641" s="117"/>
      <c r="AR641" s="117"/>
      <c r="AS641" s="117"/>
      <c r="AT641" s="117"/>
      <c r="AU641" s="117"/>
      <c r="AV641" s="117"/>
      <c r="AW641" s="117"/>
      <c r="AX641" s="117"/>
      <c r="AZ641" s="117"/>
      <c r="BA641" s="117"/>
      <c r="BB641" s="117"/>
      <c r="BC641" s="117"/>
      <c r="BD641" s="117"/>
      <c r="BE641" s="117"/>
      <c r="BF641" s="117"/>
      <c r="BG641" s="117"/>
      <c r="BI641" s="117"/>
      <c r="BJ641" s="117"/>
      <c r="BK641" s="117"/>
      <c r="BL641" s="117"/>
      <c r="BM641" s="117"/>
      <c r="BN641" s="117"/>
      <c r="BO641" s="117"/>
      <c r="BP641" s="117"/>
    </row>
    <row r="642" spans="2:68" ht="13.2" customHeight="1">
      <c r="B642" s="280" t="s">
        <v>2533</v>
      </c>
      <c r="G642" s="21">
        <f t="shared" ref="G642:M642" ca="1" si="1129">AVERAGE(G$629,G$581,G$533,G$481,G$403)</f>
        <v>21.200876671973585</v>
      </c>
      <c r="H642" s="21">
        <f t="shared" ca="1" si="1129"/>
        <v>20.968891712553976</v>
      </c>
      <c r="I642" s="21">
        <f t="shared" ca="1" si="1129"/>
        <v>10.9838997074233</v>
      </c>
      <c r="J642" s="21">
        <f t="shared" ca="1" si="1129"/>
        <v>11.477573144171481</v>
      </c>
      <c r="K642" s="21">
        <f t="shared" ca="1" si="1129"/>
        <v>13.367774454540656</v>
      </c>
      <c r="L642" s="21">
        <f t="shared" ca="1" si="1129"/>
        <v>9.8480270438108857</v>
      </c>
      <c r="M642" s="21">
        <f t="shared" ca="1" si="1129"/>
        <v>13.551640905184172</v>
      </c>
      <c r="O642" s="39">
        <f>ROW()</f>
        <v>642</v>
      </c>
      <c r="P642" s="21">
        <f t="shared" ref="P642:V643" ca="1" si="1130">G642</f>
        <v>21.200876671973585</v>
      </c>
      <c r="Q642" s="21">
        <f t="shared" ca="1" si="1130"/>
        <v>20.968891712553976</v>
      </c>
      <c r="R642" s="21">
        <f t="shared" ca="1" si="1130"/>
        <v>10.9838997074233</v>
      </c>
      <c r="S642" s="21">
        <f t="shared" ca="1" si="1130"/>
        <v>11.477573144171481</v>
      </c>
      <c r="T642" s="21">
        <f t="shared" ca="1" si="1130"/>
        <v>13.367774454540656</v>
      </c>
      <c r="U642" s="21">
        <f t="shared" ca="1" si="1130"/>
        <v>9.8480270438108857</v>
      </c>
      <c r="V642" s="21">
        <f t="shared" ca="1" si="1130"/>
        <v>13.551640905184172</v>
      </c>
      <c r="Y642" s="21">
        <f t="shared" ref="Y642:AE643" ca="1" si="1131">G642</f>
        <v>21.200876671973585</v>
      </c>
      <c r="Z642" s="21">
        <f t="shared" ca="1" si="1131"/>
        <v>20.968891712553976</v>
      </c>
      <c r="AA642" s="21">
        <f t="shared" ca="1" si="1131"/>
        <v>10.9838997074233</v>
      </c>
      <c r="AB642" s="21">
        <f t="shared" ca="1" si="1131"/>
        <v>11.477573144171481</v>
      </c>
      <c r="AC642" s="21">
        <f t="shared" ca="1" si="1131"/>
        <v>13.367774454540656</v>
      </c>
      <c r="AD642" s="21">
        <f t="shared" ca="1" si="1131"/>
        <v>9.8480270438108857</v>
      </c>
      <c r="AE642" s="21">
        <f t="shared" ca="1" si="1131"/>
        <v>13.551640905184172</v>
      </c>
      <c r="AH642" s="21">
        <f t="shared" ref="AH642:AN643" ca="1" si="1132">P642</f>
        <v>21.200876671973585</v>
      </c>
      <c r="AI642" s="21">
        <f t="shared" ca="1" si="1132"/>
        <v>20.968891712553976</v>
      </c>
      <c r="AJ642" s="21">
        <f t="shared" ca="1" si="1132"/>
        <v>10.9838997074233</v>
      </c>
      <c r="AK642" s="21">
        <f t="shared" ca="1" si="1132"/>
        <v>11.477573144171481</v>
      </c>
      <c r="AL642" s="21">
        <f t="shared" ca="1" si="1132"/>
        <v>13.367774454540656</v>
      </c>
      <c r="AM642" s="21">
        <f t="shared" ca="1" si="1132"/>
        <v>9.8480270438108857</v>
      </c>
      <c r="AN642" s="21">
        <f t="shared" ca="1" si="1132"/>
        <v>13.551640905184172</v>
      </c>
      <c r="AQ642" s="21">
        <f t="shared" ref="AQ642:AW642" ca="1" si="1133">G642*$AU$181</f>
        <v>20.140832838374905</v>
      </c>
      <c r="AR642" s="21">
        <f t="shared" ca="1" si="1133"/>
        <v>19.920447126926277</v>
      </c>
      <c r="AS642" s="21">
        <f t="shared" ca="1" si="1133"/>
        <v>10.434704722052134</v>
      </c>
      <c r="AT642" s="21">
        <f t="shared" ca="1" si="1133"/>
        <v>10.903694486962907</v>
      </c>
      <c r="AU642" s="21">
        <f t="shared" ca="1" si="1133"/>
        <v>12.699385731813623</v>
      </c>
      <c r="AV642" s="21">
        <f t="shared" ca="1" si="1133"/>
        <v>9.3556256916203413</v>
      </c>
      <c r="AW642" s="21">
        <f t="shared" ca="1" si="1133"/>
        <v>12.874058859924963</v>
      </c>
      <c r="AZ642" s="21">
        <f t="shared" ref="AZ642:BF643" ca="1" si="1134">G642</f>
        <v>21.200876671973585</v>
      </c>
      <c r="BA642" s="21">
        <f t="shared" ca="1" si="1134"/>
        <v>20.968891712553976</v>
      </c>
      <c r="BB642" s="21">
        <f t="shared" ca="1" si="1134"/>
        <v>10.9838997074233</v>
      </c>
      <c r="BC642" s="21">
        <f t="shared" ca="1" si="1134"/>
        <v>11.477573144171481</v>
      </c>
      <c r="BD642" s="21">
        <f t="shared" ca="1" si="1134"/>
        <v>13.367774454540656</v>
      </c>
      <c r="BE642" s="21">
        <f t="shared" ca="1" si="1134"/>
        <v>9.8480270438108857</v>
      </c>
      <c r="BF642" s="21">
        <f t="shared" ca="1" si="1134"/>
        <v>13.551640905184172</v>
      </c>
      <c r="BG642" s="21"/>
      <c r="BI642" s="21">
        <f t="shared" ref="BI642:BO643" ca="1" si="1135">G642</f>
        <v>21.200876671973585</v>
      </c>
      <c r="BJ642" s="21">
        <f t="shared" ca="1" si="1135"/>
        <v>20.968891712553976</v>
      </c>
      <c r="BK642" s="21">
        <f t="shared" ca="1" si="1135"/>
        <v>10.9838997074233</v>
      </c>
      <c r="BL642" s="21">
        <f t="shared" ca="1" si="1135"/>
        <v>11.477573144171481</v>
      </c>
      <c r="BM642" s="21">
        <f t="shared" ca="1" si="1135"/>
        <v>13.367774454540656</v>
      </c>
      <c r="BN642" s="21">
        <f t="shared" ca="1" si="1135"/>
        <v>9.8480270438108857</v>
      </c>
      <c r="BO642" s="21">
        <f t="shared" ca="1" si="1135"/>
        <v>13.551640905184172</v>
      </c>
      <c r="BP642" s="21"/>
    </row>
    <row r="643" spans="2:68" ht="13.2" customHeight="1">
      <c r="B643" s="280" t="s">
        <v>2534</v>
      </c>
      <c r="G643" s="21">
        <f t="shared" ref="G643:M643" ca="1" si="1136">AVERAGE(G$630,G$582,G$534,G$482,G$427)</f>
        <v>54.995027113390186</v>
      </c>
      <c r="H643" s="21">
        <f t="shared" ca="1" si="1136"/>
        <v>47.614466395046897</v>
      </c>
      <c r="I643" s="21">
        <f t="shared" ca="1" si="1136"/>
        <v>18.263103627916042</v>
      </c>
      <c r="J643" s="21">
        <f t="shared" ca="1" si="1136"/>
        <v>21.639432160278169</v>
      </c>
      <c r="K643" s="21">
        <f t="shared" ca="1" si="1136"/>
        <v>25.206334173676744</v>
      </c>
      <c r="L643" s="21">
        <f t="shared" ca="1" si="1136"/>
        <v>16.456917620577972</v>
      </c>
      <c r="M643" s="21">
        <f t="shared" ca="1" si="1136"/>
        <v>27.480395496036046</v>
      </c>
      <c r="O643" s="39">
        <f>ROW()</f>
        <v>643</v>
      </c>
      <c r="P643" s="21">
        <f t="shared" ca="1" si="1130"/>
        <v>54.995027113390186</v>
      </c>
      <c r="Q643" s="21">
        <f t="shared" ca="1" si="1130"/>
        <v>47.614466395046897</v>
      </c>
      <c r="R643" s="21">
        <f t="shared" ca="1" si="1130"/>
        <v>18.263103627916042</v>
      </c>
      <c r="S643" s="21">
        <f t="shared" ca="1" si="1130"/>
        <v>21.639432160278169</v>
      </c>
      <c r="T643" s="21">
        <f t="shared" ca="1" si="1130"/>
        <v>25.206334173676744</v>
      </c>
      <c r="U643" s="21">
        <f t="shared" ca="1" si="1130"/>
        <v>16.456917620577972</v>
      </c>
      <c r="V643" s="21">
        <f t="shared" ca="1" si="1130"/>
        <v>27.480395496036046</v>
      </c>
      <c r="Y643" s="21">
        <f t="shared" ca="1" si="1131"/>
        <v>54.995027113390186</v>
      </c>
      <c r="Z643" s="21">
        <f t="shared" ca="1" si="1131"/>
        <v>47.614466395046897</v>
      </c>
      <c r="AA643" s="21">
        <f t="shared" ca="1" si="1131"/>
        <v>18.263103627916042</v>
      </c>
      <c r="AB643" s="21">
        <f t="shared" ca="1" si="1131"/>
        <v>21.639432160278169</v>
      </c>
      <c r="AC643" s="21">
        <f t="shared" ca="1" si="1131"/>
        <v>25.206334173676744</v>
      </c>
      <c r="AD643" s="21">
        <f t="shared" ca="1" si="1131"/>
        <v>16.456917620577972</v>
      </c>
      <c r="AE643" s="21">
        <f t="shared" ca="1" si="1131"/>
        <v>27.480395496036046</v>
      </c>
      <c r="AH643" s="21">
        <f t="shared" ca="1" si="1132"/>
        <v>54.995027113390186</v>
      </c>
      <c r="AI643" s="21">
        <f t="shared" ca="1" si="1132"/>
        <v>47.614466395046897</v>
      </c>
      <c r="AJ643" s="21">
        <f t="shared" ca="1" si="1132"/>
        <v>18.263103627916042</v>
      </c>
      <c r="AK643" s="21">
        <f t="shared" ca="1" si="1132"/>
        <v>21.639432160278169</v>
      </c>
      <c r="AL643" s="21">
        <f t="shared" ca="1" si="1132"/>
        <v>25.206334173676744</v>
      </c>
      <c r="AM643" s="21">
        <f t="shared" ca="1" si="1132"/>
        <v>16.456917620577972</v>
      </c>
      <c r="AN643" s="21">
        <f t="shared" ca="1" si="1132"/>
        <v>27.480395496036046</v>
      </c>
      <c r="AQ643" s="21">
        <f t="shared" ref="AQ643:AW643" ca="1" si="1137">G643*$AV$181</f>
        <v>54.445076842256285</v>
      </c>
      <c r="AR643" s="21">
        <f t="shared" ca="1" si="1137"/>
        <v>47.138321731096426</v>
      </c>
      <c r="AS643" s="21">
        <f t="shared" ca="1" si="1137"/>
        <v>18.08047259163688</v>
      </c>
      <c r="AT643" s="21">
        <f t="shared" ca="1" si="1137"/>
        <v>21.423037838675388</v>
      </c>
      <c r="AU643" s="21">
        <f t="shared" ca="1" si="1137"/>
        <v>24.954270831939976</v>
      </c>
      <c r="AV643" s="21">
        <f t="shared" ca="1" si="1137"/>
        <v>16.292348444372191</v>
      </c>
      <c r="AW643" s="21">
        <f t="shared" ca="1" si="1137"/>
        <v>27.205591541075684</v>
      </c>
      <c r="AZ643" s="21">
        <f t="shared" ca="1" si="1134"/>
        <v>54.995027113390186</v>
      </c>
      <c r="BA643" s="21">
        <f t="shared" ca="1" si="1134"/>
        <v>47.614466395046897</v>
      </c>
      <c r="BB643" s="21">
        <f t="shared" ca="1" si="1134"/>
        <v>18.263103627916042</v>
      </c>
      <c r="BC643" s="21">
        <f t="shared" ca="1" si="1134"/>
        <v>21.639432160278169</v>
      </c>
      <c r="BD643" s="21">
        <f t="shared" ca="1" si="1134"/>
        <v>25.206334173676744</v>
      </c>
      <c r="BE643" s="21">
        <f t="shared" ca="1" si="1134"/>
        <v>16.456917620577972</v>
      </c>
      <c r="BF643" s="21">
        <f t="shared" ca="1" si="1134"/>
        <v>27.480395496036046</v>
      </c>
      <c r="BG643" s="21"/>
      <c r="BI643" s="21">
        <f t="shared" ca="1" si="1135"/>
        <v>54.995027113390186</v>
      </c>
      <c r="BJ643" s="21">
        <f t="shared" ca="1" si="1135"/>
        <v>47.614466395046897</v>
      </c>
      <c r="BK643" s="21">
        <f t="shared" ca="1" si="1135"/>
        <v>18.263103627916042</v>
      </c>
      <c r="BL643" s="21">
        <f t="shared" ca="1" si="1135"/>
        <v>21.639432160278169</v>
      </c>
      <c r="BM643" s="21">
        <f t="shared" ca="1" si="1135"/>
        <v>25.206334173676744</v>
      </c>
      <c r="BN643" s="21">
        <f t="shared" ca="1" si="1135"/>
        <v>16.456917620577972</v>
      </c>
      <c r="BO643" s="21">
        <f t="shared" ca="1" si="1135"/>
        <v>27.480395496036046</v>
      </c>
      <c r="BP643" s="21"/>
    </row>
    <row r="644" spans="2:68" ht="13.2" customHeight="1">
      <c r="B644" s="280"/>
      <c r="G644" s="280"/>
      <c r="O644" s="39">
        <f>ROW()</f>
        <v>644</v>
      </c>
      <c r="P644" s="117"/>
      <c r="Q644" s="117"/>
      <c r="R644" s="117"/>
      <c r="S644" s="117"/>
      <c r="T644" s="117"/>
      <c r="U644" s="117"/>
      <c r="V644" s="117"/>
      <c r="W644" s="117"/>
      <c r="Y644" s="117"/>
      <c r="Z644" s="117"/>
      <c r="AA644" s="117"/>
      <c r="AB644" s="117"/>
      <c r="AC644" s="117"/>
      <c r="AD644" s="117"/>
      <c r="AE644" s="117"/>
      <c r="AF644" s="117"/>
      <c r="AH644" s="117"/>
      <c r="AI644" s="117"/>
      <c r="AJ644" s="117"/>
      <c r="AK644" s="117"/>
      <c r="AL644" s="117"/>
      <c r="AM644" s="117"/>
      <c r="AN644" s="117"/>
      <c r="AO644" s="117"/>
      <c r="AQ644" s="117"/>
      <c r="AR644" s="117"/>
      <c r="AS644" s="117"/>
      <c r="AT644" s="117"/>
      <c r="AU644" s="117"/>
      <c r="AV644" s="117"/>
      <c r="AW644" s="117"/>
      <c r="AX644" s="117"/>
      <c r="AZ644" s="117"/>
      <c r="BA644" s="117"/>
      <c r="BB644" s="117"/>
      <c r="BC644" s="117"/>
      <c r="BD644" s="117"/>
      <c r="BE644" s="117"/>
      <c r="BF644" s="117"/>
      <c r="BG644" s="117"/>
      <c r="BI644" s="117"/>
      <c r="BJ644" s="117"/>
      <c r="BK644" s="117"/>
      <c r="BL644" s="117"/>
      <c r="BM644" s="117"/>
      <c r="BN644" s="117"/>
      <c r="BO644" s="117"/>
      <c r="BP644" s="117"/>
    </row>
    <row r="645" spans="2:68" ht="13.2" customHeight="1">
      <c r="B645" s="6" t="s">
        <v>1643</v>
      </c>
      <c r="G645" s="880" t="s">
        <v>1472</v>
      </c>
      <c r="H645" s="880" t="s">
        <v>1087</v>
      </c>
      <c r="I645" s="880" t="s">
        <v>2445</v>
      </c>
      <c r="J645" s="880" t="s">
        <v>1088</v>
      </c>
      <c r="K645" s="880" t="s">
        <v>1089</v>
      </c>
      <c r="L645" s="880" t="s">
        <v>1151</v>
      </c>
      <c r="M645" s="880" t="s">
        <v>1090</v>
      </c>
      <c r="N645" s="880" t="s">
        <v>2684</v>
      </c>
      <c r="O645" s="39">
        <f>ROW()</f>
        <v>645</v>
      </c>
      <c r="P645" s="117">
        <f ca="1">P639^Elasticities!$G$52</f>
        <v>1.0050417130573486</v>
      </c>
      <c r="Q645" s="117">
        <f ca="1">Q639^Elasticities!$G$52</f>
        <v>1.0050522910075836</v>
      </c>
      <c r="R645" s="117">
        <f ca="1">R639^Elasticities!$G$52</f>
        <v>1.0070985093501619</v>
      </c>
      <c r="S645" s="117">
        <f ca="1">S639^Elasticities!$G$52</f>
        <v>1.0055236273541122</v>
      </c>
      <c r="T645" s="117">
        <f ca="1">T639^Elasticities!$G$52</f>
        <v>1.0049359423093078</v>
      </c>
      <c r="U645" s="117">
        <f ca="1">U639^Elasticities!$G$52</f>
        <v>1.0089477179135087</v>
      </c>
      <c r="V645" s="117">
        <f ca="1">V639^Elasticities!$G$52</f>
        <v>1.0048261693243086</v>
      </c>
      <c r="Y645" s="117">
        <f ca="1">Y639^Elasticities!$H$52</f>
        <v>1.0050417130573484</v>
      </c>
      <c r="Z645" s="117">
        <f ca="1">Z639^Elasticities!$H$52</f>
        <v>1.0050522910075839</v>
      </c>
      <c r="AA645" s="117">
        <f ca="1">AA639^Elasticities!$H$52</f>
        <v>1.0070985093501619</v>
      </c>
      <c r="AB645" s="117">
        <f ca="1">AB639^Elasticities!$H$52</f>
        <v>1.0055236273541122</v>
      </c>
      <c r="AC645" s="117">
        <f ca="1">AC639^Elasticities!$H$52</f>
        <v>1.0049359423093081</v>
      </c>
      <c r="AD645" s="117">
        <f ca="1">AD639^Elasticities!$H$52</f>
        <v>1.0089477179135087</v>
      </c>
      <c r="AE645" s="117">
        <f ca="1">AE639^Elasticities!$H$52</f>
        <v>1.0048261693243086</v>
      </c>
      <c r="AH645" s="638">
        <f ca="1">AH639^Elasticities!$I$52</f>
        <v>1.0003607321126957</v>
      </c>
      <c r="AI645" s="117">
        <f ca="1">AI639^Elasticities!$I$52</f>
        <v>1.0009131492015308</v>
      </c>
      <c r="AJ645" s="117">
        <f ca="1">AJ639^Elasticities!$I$52</f>
        <v>1.0061682242035168</v>
      </c>
      <c r="AK645" s="117">
        <f ca="1">AK639^Elasticities!$I$52</f>
        <v>1.0031864498067693</v>
      </c>
      <c r="AL645" s="117">
        <f ca="1">AL639^Elasticities!$I$52</f>
        <v>1.0019177020965286</v>
      </c>
      <c r="AM645" s="117">
        <f ca="1">AM639^Elasticities!$I$52</f>
        <v>1.0093311163126839</v>
      </c>
      <c r="AN645" s="117">
        <f ca="1">AN639^Elasticities!$I$52</f>
        <v>1.0015225554356806</v>
      </c>
      <c r="AQ645" s="117">
        <f ca="1">AQ639^Elasticities!$G$54</f>
        <v>1.0009430667357446</v>
      </c>
      <c r="AR645" s="117">
        <f ca="1">AR639^Elasticities!$G$54</f>
        <v>1.0017291267241009</v>
      </c>
      <c r="AS645" s="117">
        <f ca="1">AS639^Elasticities!$G$54</f>
        <v>1.0204741303063969</v>
      </c>
      <c r="AT645" s="117">
        <f ca="1">AT639^Elasticities!$G$54</f>
        <v>1.0156034387789206</v>
      </c>
      <c r="AU645" s="117">
        <f ca="1">AU639^Elasticities!$G$54</f>
        <v>1.0112088999039639</v>
      </c>
      <c r="AV645" s="117">
        <f ca="1">AV639^Elasticities!$G$54</f>
        <v>1.024336674701509</v>
      </c>
      <c r="AW645" s="117">
        <f ca="1">AW639^Elasticities!$G$54</f>
        <v>1.0101215822240044</v>
      </c>
      <c r="AZ645" s="117">
        <f ca="1">AZ639^(Elasticities!$J$64*Elasticities!$G$52)</f>
        <v>1.0041806361899435</v>
      </c>
      <c r="BA645" s="117">
        <f ca="1">BA639^(Elasticities!$J$64*Elasticities!$G$52)</f>
        <v>1.0041576488850759</v>
      </c>
      <c r="BB645" s="117">
        <f ca="1">BB639^(Elasticities!$J$64*Elasticities!$G$52)</f>
        <v>1.006255896526737</v>
      </c>
      <c r="BC645" s="117">
        <f ca="1">BC639^(Elasticities!$J$64*Elasticities!$G$52)</f>
        <v>1.0053943805382046</v>
      </c>
      <c r="BD645" s="117">
        <f ca="1">BD639^(Elasticities!$J$64*Elasticities!$G$52)</f>
        <v>1.004775971827609</v>
      </c>
      <c r="BE645" s="117">
        <f ca="1">BE639^(Elasticities!$J$64*Elasticities!$G$52)</f>
        <v>1.007077228531416</v>
      </c>
      <c r="BF645" s="117">
        <f ca="1">BF639^(Elasticities!$J$64*Elasticities!$G$52)</f>
        <v>1.0046607544132375</v>
      </c>
      <c r="BI645" s="117">
        <f ca="1">BI639^Elasticities!$G$50</f>
        <v>1.0036446625420661</v>
      </c>
      <c r="BJ645" s="117">
        <f ca="1">BJ639^Elasticities!$G$50</f>
        <v>1.003632137957188</v>
      </c>
      <c r="BK645" s="117">
        <f ca="1">BK639^Elasticities!$G$50</f>
        <v>1.0052626424176789</v>
      </c>
      <c r="BL645" s="117">
        <f ca="1">BL639^Elasticities!$G$50</f>
        <v>1.0043408814587238</v>
      </c>
      <c r="BM645" s="117">
        <f ca="1">BM639^Elasticities!$G$50</f>
        <v>1.0038583130226282</v>
      </c>
      <c r="BN645" s="117">
        <f ca="1">BN639^Elasticities!$G$50</f>
        <v>1.0062753280757724</v>
      </c>
      <c r="BO645" s="117">
        <f ca="1">BO639^Elasticities!$G$50</f>
        <v>1.0037743763797269</v>
      </c>
    </row>
    <row r="646" spans="2:68" ht="13.2" customHeight="1">
      <c r="B646" s="6"/>
      <c r="G646" s="298" t="s">
        <v>1091</v>
      </c>
      <c r="H646" s="298" t="s">
        <v>1092</v>
      </c>
      <c r="I646" s="298" t="s">
        <v>1093</v>
      </c>
      <c r="J646" s="298" t="s">
        <v>1094</v>
      </c>
      <c r="K646" s="298" t="s">
        <v>1095</v>
      </c>
      <c r="L646" s="298" t="s">
        <v>1096</v>
      </c>
      <c r="M646" s="298" t="s">
        <v>1097</v>
      </c>
      <c r="N646" s="298"/>
      <c r="O646" s="39">
        <f>ROW()</f>
        <v>646</v>
      </c>
      <c r="P646" s="309" t="s">
        <v>3301</v>
      </c>
      <c r="Y646" s="309" t="s">
        <v>3307</v>
      </c>
      <c r="AH646" s="309" t="s">
        <v>3308</v>
      </c>
      <c r="AQ646" s="215" t="s">
        <v>3304</v>
      </c>
      <c r="AZ646" s="215" t="s">
        <v>3305</v>
      </c>
      <c r="BI646" s="215" t="s">
        <v>3306</v>
      </c>
    </row>
    <row r="647" spans="2:68" ht="13.2" customHeight="1">
      <c r="B647" s="6" t="s">
        <v>1921</v>
      </c>
      <c r="O647" s="39">
        <f>ROW()</f>
        <v>647</v>
      </c>
      <c r="P647" s="117">
        <f ca="1">(P594/P642)^Elasticities!$G$52</f>
        <v>1.000170860186955</v>
      </c>
      <c r="Q647" s="117">
        <f ca="1">(Q594/Q642)^Elasticities!$G$52</f>
        <v>0.99987155788452653</v>
      </c>
      <c r="R647" s="117">
        <f ca="1">(R594/R642)^Elasticities!$G$52</f>
        <v>1.0009695129023894</v>
      </c>
      <c r="S647" s="117">
        <f ca="1">(S594/S642)^Elasticities!$G$52</f>
        <v>1.0006877987088436</v>
      </c>
      <c r="T647" s="117">
        <f ca="1">(T594/T642)^Elasticities!$G$52</f>
        <v>1.0013283977025864</v>
      </c>
      <c r="U647" s="117">
        <f ca="1">(U594/U642)^Elasticities!$G$52</f>
        <v>1.0030364756456738</v>
      </c>
      <c r="V647" s="117">
        <f ca="1">(V594/V642)^Elasticities!$G$52</f>
        <v>1.0011034427042438</v>
      </c>
      <c r="Y647" s="117">
        <f ca="1">(Y594/Y642)^Elasticities!$H$52</f>
        <v>1.000170860186955</v>
      </c>
      <c r="Z647" s="117">
        <f ca="1">(Z594/Z642)^Elasticities!$H$52</f>
        <v>0.99987155788452653</v>
      </c>
      <c r="AA647" s="117">
        <f ca="1">(AA594/AA642)^Elasticities!$H$52</f>
        <v>1.0009695129023894</v>
      </c>
      <c r="AB647" s="117">
        <f ca="1">(AB594/AB642)^Elasticities!$H$52</f>
        <v>1.0006877987088436</v>
      </c>
      <c r="AC647" s="117">
        <f ca="1">(AC594/AC642)^Elasticities!$H$52</f>
        <v>1.0013283977025864</v>
      </c>
      <c r="AD647" s="117">
        <f ca="1">(AD594/AD642)^Elasticities!$H$52</f>
        <v>1.0030364756456738</v>
      </c>
      <c r="AE647" s="117">
        <f ca="1">(AE594/AE642)^Elasticities!$H$52</f>
        <v>1.0011034427042438</v>
      </c>
      <c r="AH647" s="117">
        <f ca="1">(AH594/AH642)^Elasticities!$I$52</f>
        <v>1.000170860186955</v>
      </c>
      <c r="AI647" s="117">
        <f ca="1">(AI594/AI642)^Elasticities!$I$52</f>
        <v>0.99987155788452653</v>
      </c>
      <c r="AJ647" s="117">
        <f ca="1">(AJ594/AJ642)^Elasticities!$I$52</f>
        <v>1.0009695129023894</v>
      </c>
      <c r="AK647" s="117">
        <f ca="1">(AK594/AK642)^Elasticities!$I$52</f>
        <v>1.0006877987088436</v>
      </c>
      <c r="AL647" s="117">
        <f ca="1">(AL594/AL642)^Elasticities!$I$52</f>
        <v>1.0013283977025864</v>
      </c>
      <c r="AM647" s="117">
        <f ca="1">(AM594/AM642)^Elasticities!$I$52</f>
        <v>1.0030364756456738</v>
      </c>
      <c r="AN647" s="117">
        <f ca="1">(AN594/AN642)^Elasticities!$I$52</f>
        <v>1.0011034427042438</v>
      </c>
      <c r="AQ647" s="117">
        <f ca="1">(AQ594/AQ642)^Elasticities!$G$54</f>
        <v>1.0001366858142675</v>
      </c>
      <c r="AR647" s="117">
        <f ca="1">(AR594/AR642)^Elasticities!$G$54</f>
        <v>0.99989724498776322</v>
      </c>
      <c r="AS647" s="117">
        <f ca="1">(AS594/AS642)^Elasticities!$G$54</f>
        <v>1.0007755351546361</v>
      </c>
      <c r="AT647" s="117">
        <f ca="1">(AT594/AT642)^Elasticities!$G$54</f>
        <v>1.0005502011321177</v>
      </c>
      <c r="AU647" s="117">
        <f ca="1">(AU594/AU642)^Elasticities!$G$54</f>
        <v>1.0010625770657906</v>
      </c>
      <c r="AV647" s="117">
        <f ca="1">(AV594/AV642)^Elasticities!$G$54</f>
        <v>1.0024284437961977</v>
      </c>
      <c r="AW647" s="117">
        <f ca="1">(AW594/AW642)^Elasticities!$G$54</f>
        <v>1.0008826567994979</v>
      </c>
      <c r="AZ647" s="117">
        <f ca="1">(AZ594/AZ642)^(Elasticities!$J$64*Elasticities!$G$52)</f>
        <v>1.0000569501522703</v>
      </c>
      <c r="BA647" s="117">
        <f ca="1">(BA594/BA642)^(Elasticities!$J$64*Elasticities!$G$52)</f>
        <v>0.99995718412833612</v>
      </c>
      <c r="BB647" s="117">
        <f ca="1">(BB594/BB642)^(Elasticities!$J$64*Elasticities!$G$52)</f>
        <v>1.0003230665842056</v>
      </c>
      <c r="BC647" s="117">
        <f ca="1">(BC594/BC642)^(Elasticities!$J$64*Elasticities!$G$52)</f>
        <v>1.0002292136933497</v>
      </c>
      <c r="BD647" s="117">
        <f ca="1">(BD594/BD642)^(Elasticities!$J$64*Elasticities!$G$52)</f>
        <v>1.0004426033076059</v>
      </c>
      <c r="BE647" s="117">
        <f ca="1">(BE594/BE642)^(Elasticities!$J$64*Elasticities!$G$52)</f>
        <v>1.0010111358083413</v>
      </c>
      <c r="BF647" s="117">
        <f ca="1">(BF594/BF642)^(Elasticities!$J$64*Elasticities!$G$52)</f>
        <v>1.00036767903031</v>
      </c>
      <c r="BI647" s="117">
        <f ca="1">(BI594/BI642)^Elasticities!$G$50</f>
        <v>1.0000854264446388</v>
      </c>
      <c r="BJ647" s="117">
        <f ca="1">(BJ594/BJ642)^Elasticities!$G$50</f>
        <v>0.99993577687995872</v>
      </c>
      <c r="BK647" s="117">
        <f ca="1">(BK594/BK642)^Elasticities!$G$50</f>
        <v>1.0004846390137079</v>
      </c>
      <c r="BL647" s="117">
        <f ca="1">(BL594/BL642)^Elasticities!$G$50</f>
        <v>1.000343840241366</v>
      </c>
      <c r="BM647" s="117">
        <f ca="1">(BM594/BM642)^Elasticities!$G$50</f>
        <v>1.0006639784176237</v>
      </c>
      <c r="BN647" s="117">
        <f ca="1">(BN594/BN642)^Elasticities!$G$50</f>
        <v>1.0015170870462839</v>
      </c>
      <c r="BO647" s="117">
        <f ca="1">(BO594/BO642)^Elasticities!$G$50</f>
        <v>1.00055156923781</v>
      </c>
    </row>
    <row r="648" spans="2:68" ht="13.2" customHeight="1">
      <c r="O648" s="39">
        <f>ROW()</f>
        <v>648</v>
      </c>
      <c r="P648" s="309" t="s">
        <v>529</v>
      </c>
      <c r="Y648" s="309" t="s">
        <v>530</v>
      </c>
      <c r="AH648" s="309" t="s">
        <v>2922</v>
      </c>
      <c r="AQ648" s="215" t="s">
        <v>3299</v>
      </c>
      <c r="AZ648" s="309" t="s">
        <v>2398</v>
      </c>
      <c r="BI648" s="309" t="s">
        <v>2878</v>
      </c>
    </row>
    <row r="649" spans="2:68" ht="13.2" customHeight="1">
      <c r="B649" s="6" t="s">
        <v>2164</v>
      </c>
      <c r="G649" s="633">
        <f t="shared" ref="G649:M649" ca="1" si="1138">($I$76*$I$79*P649+$J$76*$J$79*Y649+$K$76*$K$79*AH649+$L$76*$L$79*AQ649+$M$76*$M$79*AZ649+$N$76*$N$79*BI649)/SUMPRODUCT($I$76:$N$76,$I$79:$N$79)</f>
        <v>0.99999224309497903</v>
      </c>
      <c r="H649" s="633">
        <f t="shared" ca="1" si="1138"/>
        <v>0.99983201135060407</v>
      </c>
      <c r="I649" s="633">
        <f t="shared" ca="1" si="1138"/>
        <v>1.0000736418453327</v>
      </c>
      <c r="J649" s="633">
        <f t="shared" ca="1" si="1138"/>
        <v>1.0004004951156296</v>
      </c>
      <c r="K649" s="633">
        <f t="shared" ca="1" si="1138"/>
        <v>1.0004372951715446</v>
      </c>
      <c r="L649" s="633">
        <f t="shared" ca="1" si="1138"/>
        <v>0.99981019267481253</v>
      </c>
      <c r="M649" s="633">
        <f t="shared" ca="1" si="1138"/>
        <v>1.0005202548959788</v>
      </c>
      <c r="O649" s="39">
        <f>ROW()</f>
        <v>649</v>
      </c>
      <c r="P649" s="117">
        <f ca="1">(P595/P643)^Elasticities!$G$52</f>
        <v>0.99999190253520365</v>
      </c>
      <c r="Q649" s="117">
        <f ca="1">(Q595/Q643)^Elasticities!$G$52</f>
        <v>0.99982463624695284</v>
      </c>
      <c r="R649" s="117">
        <f ca="1">(R595/R643)^Elasticities!$G$52</f>
        <v>1.0000768750858695</v>
      </c>
      <c r="S649" s="117">
        <f ca="1">(S595/S643)^Elasticities!$G$52</f>
        <v>1.0004180802058937</v>
      </c>
      <c r="T649" s="117">
        <f ca="1">(T595/T643)^Elasticities!$G$52</f>
        <v>1.0004564962618467</v>
      </c>
      <c r="U649" s="117">
        <f ca="1">(U595/U643)^Elasticities!$G$52</f>
        <v>0.99980185972269242</v>
      </c>
      <c r="V649" s="117">
        <f ca="1">(V595/V643)^Elasticities!$G$52</f>
        <v>1.0005430990993336</v>
      </c>
      <c r="Y649" s="117">
        <f ca="1">(Y595/Y643)^Elasticities!$H$52</f>
        <v>0.99999190253520365</v>
      </c>
      <c r="Z649" s="117">
        <f ca="1">(Z595/Z643)^Elasticities!$H$52</f>
        <v>0.99982463624695284</v>
      </c>
      <c r="AA649" s="117">
        <f ca="1">(AA595/AA643)^Elasticities!$H$52</f>
        <v>1.0000768750858695</v>
      </c>
      <c r="AB649" s="117">
        <f ca="1">(AB595/AB643)^Elasticities!$H$52</f>
        <v>1.0004180802058937</v>
      </c>
      <c r="AC649" s="117">
        <f ca="1">(AC595/AC643)^Elasticities!$H$52</f>
        <v>1.0004564962618467</v>
      </c>
      <c r="AD649" s="117">
        <f ca="1">(AD595/AD643)^Elasticities!$H$52</f>
        <v>0.99980185972269242</v>
      </c>
      <c r="AE649" s="117">
        <f ca="1">(AE595/AE643)^Elasticities!$H$52</f>
        <v>1.0005430990993336</v>
      </c>
      <c r="AH649" s="117">
        <f ca="1">(AH595/AH643)^Elasticities!$I$52</f>
        <v>0.99999190253520365</v>
      </c>
      <c r="AI649" s="117">
        <f ca="1">(AI595/AI643)^Elasticities!$I$52</f>
        <v>0.99982463624695284</v>
      </c>
      <c r="AJ649" s="117">
        <f ca="1">(AJ595/AJ643)^Elasticities!$I$52</f>
        <v>1.0000768750858695</v>
      </c>
      <c r="AK649" s="117">
        <f ca="1">(AK595/AK643)^Elasticities!$I$52</f>
        <v>1.0004180802058937</v>
      </c>
      <c r="AL649" s="117">
        <f ca="1">(AL595/AL643)^Elasticities!$I$52</f>
        <v>1.0004564962618467</v>
      </c>
      <c r="AM649" s="117">
        <f ca="1">(AM595/AM643)^Elasticities!$I$52</f>
        <v>0.99980185972269242</v>
      </c>
      <c r="AN649" s="117">
        <f ca="1">(AN595/AN643)^Elasticities!$I$52</f>
        <v>1.0005430990993336</v>
      </c>
      <c r="AQ649" s="117">
        <f ca="1">(AQ595/AQ643)^Elasticities!$G$54</f>
        <v>0.99999352202291747</v>
      </c>
      <c r="AR649" s="117">
        <f ca="1">(AR595/AR643)^Elasticities!$G$54</f>
        <v>0.99985970653719392</v>
      </c>
      <c r="AS649" s="117">
        <f ca="1">(AS595/AS643)^Elasticities!$G$54</f>
        <v>1.0000614995959276</v>
      </c>
      <c r="AT649" s="117">
        <f ca="1">(AT595/AT643)^Elasticities!$G$54</f>
        <v>1.0003344501837683</v>
      </c>
      <c r="AU649" s="117">
        <f ca="1">(AU595/AU643)^Elasticities!$G$54</f>
        <v>1.0003651803414138</v>
      </c>
      <c r="AV649" s="117">
        <f ca="1">(AV595/AV643)^Elasticities!$G$54</f>
        <v>0.9998414846371394</v>
      </c>
      <c r="AW649" s="117">
        <f ca="1">(AW595/AW643)^Elasticities!$G$54</f>
        <v>1.0004344556880609</v>
      </c>
      <c r="AZ649" s="117">
        <f ca="1">(AZ595/AZ643)^(Elasticities!$J$64*Elasticities!$G$52)</f>
        <v>0.99999730083778249</v>
      </c>
      <c r="BA649" s="117">
        <f ca="1">(BA595/BA643)^(Elasticities!$J$64*Elasticities!$G$52)</f>
        <v>0.99994154199837959</v>
      </c>
      <c r="BB649" s="117">
        <f ca="1">(BB595/BB643)^(Elasticities!$J$64*Elasticities!$G$52)</f>
        <v>1.0000256243720091</v>
      </c>
      <c r="BC649" s="117">
        <f ca="1">(BC595/BC643)^(Elasticities!$J$64*Elasticities!$G$52)</f>
        <v>1.0001393406519121</v>
      </c>
      <c r="BD649" s="117">
        <f ca="1">(BD595/BD643)^(Elasticities!$J$64*Elasticities!$G$52)</f>
        <v>1.0001521422721706</v>
      </c>
      <c r="BE649" s="117">
        <f ca="1">(BE595/BE643)^(Elasticities!$J$64*Elasticities!$G$52)</f>
        <v>0.99993394887824283</v>
      </c>
      <c r="BF649" s="117">
        <f ca="1">(BF595/BF643)^(Elasticities!$J$64*Elasticities!$G$52)</f>
        <v>1.0001810002700369</v>
      </c>
      <c r="BI649" s="117">
        <f ca="1">(BI595/BI643)^Elasticities!$G$50</f>
        <v>0.99999595125940555</v>
      </c>
      <c r="BJ649" s="117">
        <f ca="1">(BJ595/BJ643)^Elasticities!$G$50</f>
        <v>0.99991231427908356</v>
      </c>
      <c r="BK649" s="117">
        <f ca="1">(BK595/BK643)^Elasticities!$G$50</f>
        <v>1.0000384368042408</v>
      </c>
      <c r="BL649" s="117">
        <f ca="1">(BL595/BL643)^Elasticities!$G$50</f>
        <v>1.0002090182586305</v>
      </c>
      <c r="BM649" s="117">
        <f ca="1">(BM595/BM643)^Elasticities!$G$50</f>
        <v>1.0002282220882626</v>
      </c>
      <c r="BN649" s="117">
        <f ca="1">(BN595/BN643)^Elasticities!$G$50</f>
        <v>0.99990092495341376</v>
      </c>
      <c r="BO649" s="117">
        <f ca="1">(BO595/BO643)^Elasticities!$G$50</f>
        <v>1.0002715126900963</v>
      </c>
    </row>
    <row r="650" spans="2:68" ht="13.2" customHeight="1" collapsed="1">
      <c r="O650" s="39">
        <f>ROW()</f>
        <v>650</v>
      </c>
      <c r="P650" s="309" t="s">
        <v>2879</v>
      </c>
      <c r="Y650" s="309" t="s">
        <v>2842</v>
      </c>
      <c r="AH650" s="309" t="s">
        <v>2808</v>
      </c>
      <c r="AQ650" s="215" t="s">
        <v>3300</v>
      </c>
      <c r="AZ650" s="309" t="s">
        <v>2903</v>
      </c>
      <c r="BI650" s="309" t="s">
        <v>91</v>
      </c>
    </row>
    <row r="651" spans="2:68" ht="13.2" customHeight="1">
      <c r="B651" s="24" t="s">
        <v>393</v>
      </c>
      <c r="I651" s="54"/>
      <c r="O651" s="39">
        <f>ROW()</f>
        <v>651</v>
      </c>
      <c r="P651" s="880" t="s">
        <v>1472</v>
      </c>
      <c r="Q651" s="880" t="s">
        <v>615</v>
      </c>
      <c r="R651" s="880" t="s">
        <v>2445</v>
      </c>
      <c r="S651" s="880" t="s">
        <v>616</v>
      </c>
      <c r="T651" s="880" t="s">
        <v>1152</v>
      </c>
      <c r="U651" s="880" t="s">
        <v>1151</v>
      </c>
      <c r="V651" s="880" t="s">
        <v>617</v>
      </c>
      <c r="W651" s="880" t="s">
        <v>2684</v>
      </c>
      <c r="Y651" s="880" t="s">
        <v>1472</v>
      </c>
      <c r="Z651" s="880" t="s">
        <v>615</v>
      </c>
      <c r="AA651" s="880" t="s">
        <v>2445</v>
      </c>
      <c r="AB651" s="880" t="s">
        <v>616</v>
      </c>
      <c r="AC651" s="880" t="s">
        <v>1152</v>
      </c>
      <c r="AD651" s="880" t="s">
        <v>1151</v>
      </c>
      <c r="AE651" s="880" t="s">
        <v>617</v>
      </c>
      <c r="AF651" s="880" t="s">
        <v>2684</v>
      </c>
      <c r="AH651" s="880" t="s">
        <v>1472</v>
      </c>
      <c r="AI651" s="880" t="s">
        <v>615</v>
      </c>
      <c r="AJ651" s="880" t="s">
        <v>2445</v>
      </c>
      <c r="AK651" s="880" t="s">
        <v>616</v>
      </c>
      <c r="AL651" s="880" t="s">
        <v>1152</v>
      </c>
      <c r="AM651" s="880" t="s">
        <v>1151</v>
      </c>
      <c r="AN651" s="880" t="s">
        <v>617</v>
      </c>
      <c r="AO651" s="880" t="s">
        <v>2684</v>
      </c>
      <c r="AQ651" s="880" t="s">
        <v>1472</v>
      </c>
      <c r="AR651" s="880" t="s">
        <v>615</v>
      </c>
      <c r="AS651" s="880" t="s">
        <v>2445</v>
      </c>
      <c r="AT651" s="880" t="s">
        <v>616</v>
      </c>
      <c r="AU651" s="880" t="s">
        <v>1152</v>
      </c>
      <c r="AV651" s="880" t="s">
        <v>1151</v>
      </c>
      <c r="AW651" s="880" t="s">
        <v>617</v>
      </c>
      <c r="AX651" s="880" t="s">
        <v>2684</v>
      </c>
      <c r="AZ651" s="880" t="s">
        <v>1472</v>
      </c>
      <c r="BA651" s="880" t="s">
        <v>615</v>
      </c>
      <c r="BB651" s="880" t="s">
        <v>2445</v>
      </c>
      <c r="BC651" s="880" t="s">
        <v>616</v>
      </c>
      <c r="BD651" s="880" t="s">
        <v>1152</v>
      </c>
      <c r="BE651" s="880" t="s">
        <v>1151</v>
      </c>
      <c r="BF651" s="880" t="s">
        <v>617</v>
      </c>
      <c r="BG651" s="880" t="s">
        <v>2684</v>
      </c>
      <c r="BI651" s="880" t="s">
        <v>1472</v>
      </c>
      <c r="BJ651" s="880" t="s">
        <v>615</v>
      </c>
      <c r="BK651" s="880" t="s">
        <v>2445</v>
      </c>
      <c r="BL651" s="880" t="s">
        <v>616</v>
      </c>
      <c r="BM651" s="880" t="s">
        <v>1152</v>
      </c>
      <c r="BN651" s="880" t="s">
        <v>1151</v>
      </c>
      <c r="BO651" s="880" t="s">
        <v>617</v>
      </c>
      <c r="BP651" s="880" t="s">
        <v>2684</v>
      </c>
    </row>
    <row r="652" spans="2:68" ht="13.2" customHeight="1">
      <c r="O652" s="39">
        <f>ROW()</f>
        <v>652</v>
      </c>
      <c r="P652" s="298" t="s">
        <v>2678</v>
      </c>
      <c r="Q652" s="298" t="s">
        <v>665</v>
      </c>
      <c r="R652" s="298" t="s">
        <v>666</v>
      </c>
      <c r="S652" s="298" t="s">
        <v>667</v>
      </c>
      <c r="T652" s="298" t="s">
        <v>668</v>
      </c>
      <c r="U652" s="298" t="s">
        <v>434</v>
      </c>
      <c r="V652" s="298" t="s">
        <v>435</v>
      </c>
      <c r="W652" s="298"/>
      <c r="Y652" s="298" t="s">
        <v>2678</v>
      </c>
      <c r="Z652" s="298" t="s">
        <v>665</v>
      </c>
      <c r="AA652" s="298" t="s">
        <v>666</v>
      </c>
      <c r="AB652" s="298" t="s">
        <v>667</v>
      </c>
      <c r="AC652" s="298" t="s">
        <v>668</v>
      </c>
      <c r="AD652" s="298" t="s">
        <v>434</v>
      </c>
      <c r="AE652" s="298" t="s">
        <v>435</v>
      </c>
      <c r="AF652" s="298"/>
      <c r="AH652" s="298" t="s">
        <v>2678</v>
      </c>
      <c r="AI652" s="298" t="s">
        <v>665</v>
      </c>
      <c r="AJ652" s="298" t="s">
        <v>666</v>
      </c>
      <c r="AK652" s="298" t="s">
        <v>667</v>
      </c>
      <c r="AL652" s="298" t="s">
        <v>668</v>
      </c>
      <c r="AM652" s="298" t="s">
        <v>434</v>
      </c>
      <c r="AN652" s="298" t="s">
        <v>435</v>
      </c>
      <c r="AO652" s="298"/>
      <c r="AQ652" s="298" t="s">
        <v>2678</v>
      </c>
      <c r="AR652" s="298" t="s">
        <v>665</v>
      </c>
      <c r="AS652" s="298" t="s">
        <v>666</v>
      </c>
      <c r="AT652" s="298" t="s">
        <v>667</v>
      </c>
      <c r="AU652" s="298" t="s">
        <v>668</v>
      </c>
      <c r="AV652" s="298" t="s">
        <v>434</v>
      </c>
      <c r="AW652" s="298" t="s">
        <v>435</v>
      </c>
      <c r="AX652" s="298"/>
      <c r="AZ652" s="298" t="s">
        <v>2678</v>
      </c>
      <c r="BA652" s="298" t="s">
        <v>665</v>
      </c>
      <c r="BB652" s="298" t="s">
        <v>666</v>
      </c>
      <c r="BC652" s="298" t="s">
        <v>667</v>
      </c>
      <c r="BD652" s="298" t="s">
        <v>668</v>
      </c>
      <c r="BE652" s="298" t="s">
        <v>434</v>
      </c>
      <c r="BF652" s="298" t="s">
        <v>435</v>
      </c>
      <c r="BG652" s="298"/>
      <c r="BI652" s="298" t="s">
        <v>2678</v>
      </c>
      <c r="BJ652" s="298" t="s">
        <v>665</v>
      </c>
      <c r="BK652" s="298" t="s">
        <v>666</v>
      </c>
      <c r="BL652" s="298" t="s">
        <v>667</v>
      </c>
      <c r="BM652" s="298" t="s">
        <v>668</v>
      </c>
      <c r="BN652" s="298" t="s">
        <v>434</v>
      </c>
      <c r="BO652" s="298" t="s">
        <v>435</v>
      </c>
      <c r="BP652" s="298"/>
    </row>
    <row r="653" spans="2:68" ht="13.2" customHeight="1">
      <c r="B653" s="308" t="s">
        <v>112</v>
      </c>
      <c r="O653" s="39">
        <f>ROW()</f>
        <v>653</v>
      </c>
    </row>
    <row r="654" spans="2:68" ht="13.2" customHeight="1">
      <c r="B654" s="280" t="s">
        <v>2744</v>
      </c>
      <c r="G654" s="1122">
        <f t="shared" ref="G654:M654" ca="1" si="1139">P654+Y654+AH654+AQ654+AZ654+BI654</f>
        <v>54144.334815861599</v>
      </c>
      <c r="H654" s="1122">
        <f t="shared" ca="1" si="1139"/>
        <v>17382.749438654188</v>
      </c>
      <c r="I654" s="1122">
        <f t="shared" ca="1" si="1139"/>
        <v>114879.94726794516</v>
      </c>
      <c r="J654" s="1122">
        <f t="shared" ca="1" si="1139"/>
        <v>33963.003661056449</v>
      </c>
      <c r="K654" s="1122">
        <f t="shared" ca="1" si="1139"/>
        <v>116992.93353757505</v>
      </c>
      <c r="L654" s="1122">
        <f t="shared" ca="1" si="1139"/>
        <v>177045.16843977317</v>
      </c>
      <c r="M654" s="1122">
        <f t="shared" ca="1" si="1139"/>
        <v>59647.447336328092</v>
      </c>
      <c r="N654" s="186">
        <f ca="1">SUM(G654:M654)</f>
        <v>574055.58449719369</v>
      </c>
      <c r="O654" s="39">
        <f>ROW()</f>
        <v>654</v>
      </c>
      <c r="P654" s="10">
        <f t="shared" ref="P654:V654" ca="1" si="1140">P608</f>
        <v>9374.1333193247901</v>
      </c>
      <c r="Q654" s="10">
        <f t="shared" ca="1" si="1140"/>
        <v>9911.8199497063179</v>
      </c>
      <c r="R654" s="10">
        <f t="shared" ca="1" si="1140"/>
        <v>66153.599328003547</v>
      </c>
      <c r="S654" s="10">
        <f t="shared" ca="1" si="1140"/>
        <v>15829.310595519284</v>
      </c>
      <c r="T654" s="10">
        <f t="shared" ca="1" si="1140"/>
        <v>46675.924818634434</v>
      </c>
      <c r="U654" s="10">
        <f t="shared" ca="1" si="1140"/>
        <v>47017.998650845308</v>
      </c>
      <c r="V654" s="10">
        <f t="shared" ca="1" si="1140"/>
        <v>13030.765678957972</v>
      </c>
      <c r="W654" s="10">
        <f ca="1">SUM(P654:V654)</f>
        <v>207993.55234099168</v>
      </c>
      <c r="Y654" s="10">
        <f t="shared" ref="Y654:AE654" ca="1" si="1141">Y608</f>
        <v>16426.516217330871</v>
      </c>
      <c r="Z654" s="10">
        <f t="shared" ca="1" si="1141"/>
        <v>1203.6481164175809</v>
      </c>
      <c r="AA654" s="10">
        <f t="shared" ca="1" si="1141"/>
        <v>13322.306154340937</v>
      </c>
      <c r="AB654" s="10">
        <f t="shared" ca="1" si="1141"/>
        <v>7841.9858321906122</v>
      </c>
      <c r="AC654" s="10">
        <f t="shared" ca="1" si="1141"/>
        <v>32333.212998500578</v>
      </c>
      <c r="AD654" s="10">
        <f t="shared" ca="1" si="1141"/>
        <v>64412.601829984029</v>
      </c>
      <c r="AE654" s="10">
        <f t="shared" ca="1" si="1141"/>
        <v>19445.790319570238</v>
      </c>
      <c r="AF654" s="10">
        <f ca="1">SUM(Y654:AE654)</f>
        <v>154986.06146833487</v>
      </c>
      <c r="AH654" s="10">
        <f t="shared" ref="AH654:AN654" ca="1" si="1142">AH608</f>
        <v>17564.857553788723</v>
      </c>
      <c r="AI654" s="10">
        <f t="shared" ca="1" si="1142"/>
        <v>2259.197489014879</v>
      </c>
      <c r="AJ654" s="10">
        <f t="shared" ca="1" si="1142"/>
        <v>9939.5643772715757</v>
      </c>
      <c r="AK654" s="10">
        <f t="shared" ca="1" si="1142"/>
        <v>2879.7170934412243</v>
      </c>
      <c r="AL654" s="10">
        <f t="shared" ca="1" si="1142"/>
        <v>14069.729500954198</v>
      </c>
      <c r="AM654" s="10">
        <f t="shared" ca="1" si="1142"/>
        <v>26295.909464718101</v>
      </c>
      <c r="AN654" s="10">
        <f t="shared" ca="1" si="1142"/>
        <v>13796.888037262521</v>
      </c>
      <c r="AO654" s="10">
        <f ca="1">SUM(AH654:AN654)</f>
        <v>86805.863516451209</v>
      </c>
      <c r="AQ654" s="10">
        <f t="shared" ref="AQ654:AW654" ca="1" si="1143">AQ608</f>
        <v>5971.6905611606398</v>
      </c>
      <c r="AR654" s="10">
        <f t="shared" ca="1" si="1143"/>
        <v>2552.8911555962159</v>
      </c>
      <c r="AS654" s="10">
        <f t="shared" ca="1" si="1143"/>
        <v>15950.302675877292</v>
      </c>
      <c r="AT654" s="10">
        <f t="shared" ca="1" si="1143"/>
        <v>4642.5660450726618</v>
      </c>
      <c r="AU654" s="10">
        <f t="shared" ca="1" si="1143"/>
        <v>14365.016335840943</v>
      </c>
      <c r="AV654" s="10">
        <f t="shared" ca="1" si="1143"/>
        <v>24469.846484730482</v>
      </c>
      <c r="AW654" s="10">
        <f t="shared" ca="1" si="1143"/>
        <v>8223.1249489336733</v>
      </c>
      <c r="AX654" s="10">
        <f ca="1">SUM(AQ654:AW654)</f>
        <v>76175.438207211919</v>
      </c>
      <c r="AZ654" s="10">
        <f t="shared" ref="AZ654:BF654" ca="1" si="1144">AZ608</f>
        <v>3679.9653805729763</v>
      </c>
      <c r="BA654" s="10">
        <f t="shared" ca="1" si="1144"/>
        <v>1100.1020841591853</v>
      </c>
      <c r="BB654" s="10">
        <f t="shared" ca="1" si="1144"/>
        <v>7238.5216478397724</v>
      </c>
      <c r="BC654" s="10">
        <f t="shared" ca="1" si="1144"/>
        <v>2104.9628052704006</v>
      </c>
      <c r="BD654" s="10">
        <f t="shared" ca="1" si="1144"/>
        <v>7277.1230772476874</v>
      </c>
      <c r="BE654" s="10">
        <f t="shared" ca="1" si="1144"/>
        <v>11300.317846778604</v>
      </c>
      <c r="BF654" s="10">
        <f t="shared" ca="1" si="1144"/>
        <v>3919.8697472713034</v>
      </c>
      <c r="BG654" s="10">
        <f ca="1">SUM(AZ654:BF654)</f>
        <v>36620.862589139928</v>
      </c>
      <c r="BI654" s="10">
        <f t="shared" ref="BI654:BO654" ca="1" si="1145">BI608</f>
        <v>1127.1717836835965</v>
      </c>
      <c r="BJ654" s="10">
        <f t="shared" ca="1" si="1145"/>
        <v>355.09064376000867</v>
      </c>
      <c r="BK654" s="10">
        <f t="shared" ca="1" si="1145"/>
        <v>2275.653084612029</v>
      </c>
      <c r="BL654" s="10">
        <f t="shared" ca="1" si="1145"/>
        <v>664.46128956227074</v>
      </c>
      <c r="BM654" s="10">
        <f t="shared" ca="1" si="1145"/>
        <v>2271.9268063972177</v>
      </c>
      <c r="BN654" s="10">
        <f t="shared" ca="1" si="1145"/>
        <v>3548.4941627166372</v>
      </c>
      <c r="BO654" s="10">
        <f t="shared" ca="1" si="1145"/>
        <v>1231.0086043323881</v>
      </c>
      <c r="BP654" s="10">
        <f ca="1">SUM(BI654:BO654)</f>
        <v>11473.806375064147</v>
      </c>
    </row>
    <row r="655" spans="2:68" ht="13.2" customHeight="1">
      <c r="B655" s="309" t="str">
        <f>CONCATENATE("Above row repeats figures in Row ",O608,".")</f>
        <v>Above row repeats figures in Row 608.</v>
      </c>
      <c r="G655" s="1126" t="s">
        <v>1009</v>
      </c>
      <c r="H655" s="1122"/>
      <c r="I655" s="1122"/>
      <c r="J655" s="1122"/>
      <c r="K655" s="1122"/>
      <c r="L655" s="1122"/>
      <c r="M655" s="1122"/>
      <c r="O655" s="39">
        <f>ROW()</f>
        <v>655</v>
      </c>
      <c r="AQ655" s="265" t="str">
        <f>CONCATENATE("Row ",O656, " figures are set equal to ",O654, " figures, since rebound effects are presumed accounted for by taxi time-elasticity.")</f>
        <v>Row 656 figures are set equal to 654 figures, since rebound effects are presumed accounted for by taxi time-elasticity.</v>
      </c>
    </row>
    <row r="656" spans="2:68" ht="13.2" customHeight="1">
      <c r="B656" s="280" t="s">
        <v>1300</v>
      </c>
      <c r="G656" s="1122">
        <f t="shared" ref="G656:M657" ca="1" si="1146">P656+Y656+AH656+AQ656+AZ656+BI656</f>
        <v>54300.243252919427</v>
      </c>
      <c r="H656" s="1122">
        <f t="shared" ca="1" si="1146"/>
        <v>17446.83457880206</v>
      </c>
      <c r="I656" s="1122">
        <f t="shared" ca="1" si="1146"/>
        <v>115562.67657857489</v>
      </c>
      <c r="J656" s="1122">
        <f t="shared" ca="1" si="1146"/>
        <v>34117.170473570084</v>
      </c>
      <c r="K656" s="1122">
        <f t="shared" ca="1" si="1146"/>
        <v>117453.4207730967</v>
      </c>
      <c r="L656" s="1122">
        <f t="shared" ca="1" si="1146"/>
        <v>178389.83110649692</v>
      </c>
      <c r="M656" s="1122">
        <f t="shared" ca="1" si="1146"/>
        <v>59848.107061547336</v>
      </c>
      <c r="N656" s="617">
        <f ca="1">SUM(G656:M656)</f>
        <v>577118.28382500738</v>
      </c>
      <c r="O656" s="39">
        <f>ROW()</f>
        <v>656</v>
      </c>
      <c r="P656" s="10">
        <f t="shared" ref="P656:V656" ca="1" si="1147">P654*P645</f>
        <v>9421.3950096821554</v>
      </c>
      <c r="Q656" s="10">
        <f t="shared" ca="1" si="1147"/>
        <v>9961.8973485070073</v>
      </c>
      <c r="R656" s="10">
        <f t="shared" ca="1" si="1147"/>
        <v>66623.191271380245</v>
      </c>
      <c r="S656" s="10">
        <f t="shared" ca="1" si="1147"/>
        <v>15916.745808521431</v>
      </c>
      <c r="T656" s="10">
        <f t="shared" ca="1" si="1147"/>
        <v>46906.314490772806</v>
      </c>
      <c r="U656" s="10">
        <f t="shared" ca="1" si="1147"/>
        <v>47438.702439630804</v>
      </c>
      <c r="V656" s="10">
        <f t="shared" ca="1" si="1147"/>
        <v>13093.654360550012</v>
      </c>
      <c r="W656" s="10">
        <f ca="1">SUM(P656:V656)</f>
        <v>209361.90072904449</v>
      </c>
      <c r="Y656" s="10">
        <f t="shared" ref="Y656:AE656" ca="1" si="1148">Y654*Y645</f>
        <v>16509.333998630533</v>
      </c>
      <c r="Z656" s="10">
        <f t="shared" ca="1" si="1148"/>
        <v>1209.7292969724526</v>
      </c>
      <c r="AA656" s="10">
        <f t="shared" ca="1" si="1148"/>
        <v>13416.874669143244</v>
      </c>
      <c r="AB656" s="10">
        <f t="shared" ca="1" si="1148"/>
        <v>7885.3020396438606</v>
      </c>
      <c r="AC656" s="10">
        <f t="shared" ca="1" si="1148"/>
        <v>32492.807872535745</v>
      </c>
      <c r="AD656" s="10">
        <f t="shared" ca="1" si="1148"/>
        <v>64988.947621233878</v>
      </c>
      <c r="AE656" s="10">
        <f t="shared" ca="1" si="1148"/>
        <v>19539.638996297486</v>
      </c>
      <c r="AF656" s="10">
        <f ca="1">SUM(Y656:AE656)</f>
        <v>156042.63449445722</v>
      </c>
      <c r="AH656" s="10">
        <f t="shared" ref="AH656:AN656" ca="1" si="1149">AH654*AH645</f>
        <v>17571.193761963299</v>
      </c>
      <c r="AI656" s="10">
        <f t="shared" ca="1" si="1149"/>
        <v>2261.2604733980734</v>
      </c>
      <c r="AJ656" s="10">
        <f t="shared" ca="1" si="1149"/>
        <v>10000.873838835876</v>
      </c>
      <c r="AK656" s="10">
        <f t="shared" ca="1" si="1149"/>
        <v>2888.8931674171704</v>
      </c>
      <c r="AL656" s="10">
        <f t="shared" ca="1" si="1149"/>
        <v>14096.711050715769</v>
      </c>
      <c r="AM656" s="10">
        <f t="shared" ca="1" si="1149"/>
        <v>26541.27965448119</v>
      </c>
      <c r="AN656" s="10">
        <f t="shared" ca="1" si="1149"/>
        <v>13817.894564139131</v>
      </c>
      <c r="AO656" s="10">
        <f ca="1">SUM(AH656:AN656)</f>
        <v>87178.106510950514</v>
      </c>
      <c r="AQ656" s="10">
        <f ca="1">AQ654</f>
        <v>5971.6905611606398</v>
      </c>
      <c r="AR656" s="10">
        <f t="shared" ref="AR656:AW656" ca="1" si="1150">AR654</f>
        <v>2552.8911555962159</v>
      </c>
      <c r="AS656" s="10">
        <f t="shared" ca="1" si="1150"/>
        <v>15950.302675877292</v>
      </c>
      <c r="AT656" s="10">
        <f t="shared" ca="1" si="1150"/>
        <v>4642.5660450726618</v>
      </c>
      <c r="AU656" s="10">
        <f t="shared" ca="1" si="1150"/>
        <v>14365.016335840943</v>
      </c>
      <c r="AV656" s="10">
        <f t="shared" ca="1" si="1150"/>
        <v>24469.846484730482</v>
      </c>
      <c r="AW656" s="10">
        <f t="shared" ca="1" si="1150"/>
        <v>8223.1249489336733</v>
      </c>
      <c r="AX656" s="10">
        <f ca="1">SUM(AQ656:AW656)</f>
        <v>76175.438207211919</v>
      </c>
      <c r="AZ656" s="10">
        <f t="shared" ref="AZ656:BF656" ca="1" si="1151">AZ654*AZ645</f>
        <v>3695.3499770207386</v>
      </c>
      <c r="BA656" s="10">
        <f t="shared" ca="1" si="1151"/>
        <v>1104.6759223628594</v>
      </c>
      <c r="BB656" s="10">
        <f t="shared" ca="1" si="1151"/>
        <v>7283.8050902752038</v>
      </c>
      <c r="BC656" s="10">
        <f t="shared" ca="1" si="1151"/>
        <v>2116.3177756607961</v>
      </c>
      <c r="BD656" s="10">
        <f t="shared" ca="1" si="1151"/>
        <v>7311.8784120506662</v>
      </c>
      <c r="BE656" s="10">
        <f t="shared" ca="1" si="1151"/>
        <v>11380.292778657895</v>
      </c>
      <c r="BF656" s="10">
        <f t="shared" ca="1" si="1151"/>
        <v>3938.1392974952146</v>
      </c>
      <c r="BG656" s="10">
        <f ca="1">SUM(AZ656:BF656)</f>
        <v>36830.459253523375</v>
      </c>
      <c r="BI656" s="10">
        <f t="shared" ref="BI656:BO656" ca="1" si="1152">BI654*BI645</f>
        <v>1131.2799444620618</v>
      </c>
      <c r="BJ656" s="10">
        <f t="shared" ca="1" si="1152"/>
        <v>356.3803819654517</v>
      </c>
      <c r="BK656" s="10">
        <f t="shared" ca="1" si="1152"/>
        <v>2287.6290330630304</v>
      </c>
      <c r="BL656" s="10">
        <f t="shared" ca="1" si="1152"/>
        <v>667.34563725417127</v>
      </c>
      <c r="BM656" s="10">
        <f t="shared" ca="1" si="1152"/>
        <v>2280.6926111807979</v>
      </c>
      <c r="BN656" s="10">
        <f t="shared" ca="1" si="1152"/>
        <v>3570.7621277626472</v>
      </c>
      <c r="BO656" s="10">
        <f t="shared" ca="1" si="1152"/>
        <v>1235.6548941318208</v>
      </c>
      <c r="BP656" s="10">
        <f ca="1">SUM(BI656:BO656)</f>
        <v>11529.744629819981</v>
      </c>
    </row>
    <row r="657" spans="2:68" ht="13.2" customHeight="1">
      <c r="B657" s="280" t="s">
        <v>112</v>
      </c>
      <c r="G657" s="1122">
        <f t="shared" ca="1" si="1146"/>
        <v>85819.312221839762</v>
      </c>
      <c r="H657" s="1122">
        <f t="shared" ca="1" si="1146"/>
        <v>26715.120906498152</v>
      </c>
      <c r="I657" s="1122">
        <f t="shared" ca="1" si="1146"/>
        <v>174378.75925649802</v>
      </c>
      <c r="J657" s="1122">
        <f t="shared" ca="1" si="1146"/>
        <v>51343.565569710139</v>
      </c>
      <c r="K657" s="1122">
        <f t="shared" ca="1" si="1146"/>
        <v>177030.6937654764</v>
      </c>
      <c r="L657" s="1122">
        <f t="shared" ca="1" si="1146"/>
        <v>273222.70558421069</v>
      </c>
      <c r="M657" s="1122">
        <f t="shared" ca="1" si="1146"/>
        <v>93632.22557729861</v>
      </c>
      <c r="N657" s="186">
        <f ca="1">SUM(G657:M657)</f>
        <v>882142.38288153172</v>
      </c>
      <c r="O657" s="39">
        <f>ROW()</f>
        <v>657</v>
      </c>
      <c r="P657" s="10">
        <f t="shared" ref="P657:V657" ca="1" si="1153">P656*$I$85</f>
        <v>11776.743762102695</v>
      </c>
      <c r="Q657" s="10">
        <f t="shared" ca="1" si="1153"/>
        <v>12452.37168563376</v>
      </c>
      <c r="R657" s="10">
        <f t="shared" ca="1" si="1153"/>
        <v>83278.989089225302</v>
      </c>
      <c r="S657" s="10">
        <f t="shared" ca="1" si="1153"/>
        <v>19895.932260651789</v>
      </c>
      <c r="T657" s="10">
        <f t="shared" ca="1" si="1153"/>
        <v>58632.893113466009</v>
      </c>
      <c r="U657" s="10">
        <f t="shared" ca="1" si="1153"/>
        <v>59298.378049538507</v>
      </c>
      <c r="V657" s="10">
        <f t="shared" ca="1" si="1153"/>
        <v>16367.067950687515</v>
      </c>
      <c r="W657" s="10">
        <f ca="1">SUM(P657:V657)</f>
        <v>261702.37591130557</v>
      </c>
      <c r="Y657" s="10">
        <f t="shared" ref="Y657:AE657" ca="1" si="1154">Y656*$J$85</f>
        <v>20636.667498288167</v>
      </c>
      <c r="Z657" s="10">
        <f t="shared" ca="1" si="1154"/>
        <v>1512.1616212155659</v>
      </c>
      <c r="AA657" s="10">
        <f t="shared" ca="1" si="1154"/>
        <v>16771.093336429054</v>
      </c>
      <c r="AB657" s="10">
        <f t="shared" ca="1" si="1154"/>
        <v>9856.6275495548252</v>
      </c>
      <c r="AC657" s="10">
        <f t="shared" ca="1" si="1154"/>
        <v>40616.009840669678</v>
      </c>
      <c r="AD657" s="10">
        <f t="shared" ca="1" si="1154"/>
        <v>81236.184526542347</v>
      </c>
      <c r="AE657" s="10">
        <f t="shared" ca="1" si="1154"/>
        <v>24424.54874537186</v>
      </c>
      <c r="AF657" s="10">
        <f ca="1">SUM(Y657:AE657)</f>
        <v>195053.29311807151</v>
      </c>
      <c r="AH657" s="10">
        <f t="shared" ref="AH657:AN657" ca="1" si="1155">AH656*$K$85</f>
        <v>28113.91001914128</v>
      </c>
      <c r="AI657" s="10">
        <f t="shared" ca="1" si="1155"/>
        <v>3618.0167574369175</v>
      </c>
      <c r="AJ657" s="10">
        <f t="shared" ca="1" si="1155"/>
        <v>16001.398142137403</v>
      </c>
      <c r="AK657" s="10">
        <f t="shared" ca="1" si="1155"/>
        <v>4622.2290678674726</v>
      </c>
      <c r="AL657" s="10">
        <f t="shared" ca="1" si="1155"/>
        <v>22554.73768114523</v>
      </c>
      <c r="AM657" s="10">
        <f t="shared" ca="1" si="1155"/>
        <v>42466.047447169905</v>
      </c>
      <c r="AN657" s="10">
        <f t="shared" ca="1" si="1155"/>
        <v>22108.631302622613</v>
      </c>
      <c r="AO657" s="10">
        <f ca="1">SUM(AH657:AN657)</f>
        <v>139484.97041752082</v>
      </c>
      <c r="AQ657" s="10">
        <f ca="1">AQ656*$L$85</f>
        <v>11943.38112232128</v>
      </c>
      <c r="AR657" s="10">
        <f t="shared" ref="AR657:AW657" ca="1" si="1156">AR656*$L$85</f>
        <v>5105.7823111924317</v>
      </c>
      <c r="AS657" s="10">
        <f t="shared" ca="1" si="1156"/>
        <v>31900.605351754584</v>
      </c>
      <c r="AT657" s="10">
        <f t="shared" ca="1" si="1156"/>
        <v>9285.1320901453237</v>
      </c>
      <c r="AU657" s="10">
        <f t="shared" ca="1" si="1156"/>
        <v>28730.032671681885</v>
      </c>
      <c r="AV657" s="10">
        <f t="shared" ca="1" si="1156"/>
        <v>48939.692969460964</v>
      </c>
      <c r="AW657" s="10">
        <f t="shared" ca="1" si="1156"/>
        <v>16446.249897867347</v>
      </c>
      <c r="AX657" s="10">
        <f ca="1">SUM(AQ657:AW657)</f>
        <v>152350.87641442384</v>
      </c>
      <c r="AZ657" s="10">
        <f t="shared" ref="AZ657:BF657" ca="1" si="1157">AZ656*$M$85</f>
        <v>11086.049931062216</v>
      </c>
      <c r="BA657" s="10">
        <f t="shared" ca="1" si="1157"/>
        <v>3314.027767088578</v>
      </c>
      <c r="BB657" s="10">
        <f t="shared" ca="1" si="1157"/>
        <v>21851.415270825612</v>
      </c>
      <c r="BC657" s="10">
        <f t="shared" ca="1" si="1157"/>
        <v>6348.9533269823878</v>
      </c>
      <c r="BD657" s="10">
        <f t="shared" ca="1" si="1157"/>
        <v>21935.635236151997</v>
      </c>
      <c r="BE657" s="10">
        <f t="shared" ca="1" si="1157"/>
        <v>34140.878335973684</v>
      </c>
      <c r="BF657" s="10">
        <f t="shared" ca="1" si="1157"/>
        <v>11814.417892485644</v>
      </c>
      <c r="BG657" s="10">
        <f ca="1">SUM(AZ657:BF657)</f>
        <v>110491.37776057012</v>
      </c>
      <c r="BI657" s="10">
        <f t="shared" ref="BI657:BO657" ca="1" si="1158">BI656*$N$85</f>
        <v>2262.5598889241237</v>
      </c>
      <c r="BJ657" s="10">
        <f t="shared" ca="1" si="1158"/>
        <v>712.76076393090341</v>
      </c>
      <c r="BK657" s="10">
        <f t="shared" ca="1" si="1158"/>
        <v>4575.2580661260608</v>
      </c>
      <c r="BL657" s="10">
        <f t="shared" ca="1" si="1158"/>
        <v>1334.6912745083425</v>
      </c>
      <c r="BM657" s="10">
        <f t="shared" ca="1" si="1158"/>
        <v>4561.3852223615959</v>
      </c>
      <c r="BN657" s="10">
        <f t="shared" ca="1" si="1158"/>
        <v>7141.5242555252944</v>
      </c>
      <c r="BO657" s="10">
        <f t="shared" ca="1" si="1158"/>
        <v>2471.3097882636416</v>
      </c>
      <c r="BP657" s="10">
        <f ca="1">SUM(BI657:BO657)</f>
        <v>23059.489259639962</v>
      </c>
    </row>
    <row r="658" spans="2:68" ht="13.2" customHeight="1">
      <c r="G658" s="1122"/>
      <c r="H658" s="1122"/>
      <c r="I658" s="1122"/>
      <c r="J658" s="1122"/>
      <c r="K658" s="1122"/>
      <c r="L658" s="1122"/>
      <c r="M658" s="1122"/>
      <c r="N658" s="186"/>
      <c r="O658" s="39">
        <f>ROW()</f>
        <v>658</v>
      </c>
    </row>
    <row r="659" spans="2:68" ht="13.2" customHeight="1">
      <c r="B659" s="308" t="s">
        <v>1010</v>
      </c>
      <c r="G659" s="1122"/>
      <c r="H659" s="1122"/>
      <c r="I659" s="1122"/>
      <c r="J659" s="1122"/>
      <c r="K659" s="1122"/>
      <c r="L659" s="1122"/>
      <c r="M659" s="1122"/>
      <c r="N659" s="186"/>
      <c r="O659" s="39">
        <f>ROW()</f>
        <v>659</v>
      </c>
      <c r="P659" s="10"/>
      <c r="Q659" s="10"/>
      <c r="R659" s="10"/>
      <c r="S659" s="10"/>
      <c r="T659" s="10"/>
      <c r="U659" s="10"/>
      <c r="V659" s="10"/>
      <c r="W659" s="10"/>
      <c r="Y659" s="10"/>
      <c r="Z659" s="10"/>
      <c r="AA659" s="10"/>
      <c r="AB659" s="10"/>
      <c r="AC659" s="10"/>
      <c r="AD659" s="10"/>
      <c r="AE659" s="10"/>
      <c r="AF659" s="10"/>
      <c r="AH659" s="10"/>
      <c r="AI659" s="10"/>
      <c r="AJ659" s="10"/>
      <c r="AK659" s="10"/>
      <c r="AL659" s="10"/>
      <c r="AM659" s="10"/>
      <c r="AN659" s="10"/>
      <c r="AO659" s="10"/>
      <c r="AQ659" s="10"/>
      <c r="AR659" s="10"/>
      <c r="AS659" s="10"/>
      <c r="AT659" s="10"/>
      <c r="AU659" s="10"/>
      <c r="AV659" s="10"/>
      <c r="AW659" s="10"/>
      <c r="AX659" s="10"/>
      <c r="AZ659" s="10"/>
      <c r="BA659" s="10"/>
      <c r="BB659" s="10"/>
      <c r="BC659" s="10"/>
      <c r="BD659" s="10"/>
      <c r="BE659" s="10"/>
      <c r="BF659" s="10"/>
      <c r="BG659" s="10"/>
      <c r="BI659" s="10"/>
      <c r="BJ659" s="10"/>
      <c r="BK659" s="10"/>
      <c r="BL659" s="10"/>
      <c r="BM659" s="10"/>
      <c r="BN659" s="10"/>
      <c r="BO659" s="10"/>
      <c r="BP659" s="10"/>
    </row>
    <row r="660" spans="2:68" ht="13.2" customHeight="1">
      <c r="B660" s="280" t="s">
        <v>1301</v>
      </c>
      <c r="G660" s="1122">
        <f t="shared" ref="G660:M660" ca="1" si="1159">P660+Y660+AH660+AQ660+AZ660+BI660</f>
        <v>67549.466196418492</v>
      </c>
      <c r="H660" s="1122">
        <f t="shared" ca="1" si="1159"/>
        <v>13707.70133963367</v>
      </c>
      <c r="I660" s="1122">
        <f t="shared" ca="1" si="1159"/>
        <v>80235.541269910304</v>
      </c>
      <c r="J660" s="1122">
        <f t="shared" ca="1" si="1159"/>
        <v>25149.478664214374</v>
      </c>
      <c r="K660" s="1122">
        <f t="shared" ca="1" si="1159"/>
        <v>99369.620189383393</v>
      </c>
      <c r="L660" s="1122">
        <f t="shared" ca="1" si="1159"/>
        <v>207726.99383760404</v>
      </c>
      <c r="M660" s="1122">
        <f t="shared" ca="1" si="1159"/>
        <v>80316.783000029449</v>
      </c>
      <c r="N660" s="186">
        <f ca="1">SUM(G660:M660)</f>
        <v>574055.58449719381</v>
      </c>
      <c r="O660" s="39">
        <f>ROW()</f>
        <v>660</v>
      </c>
      <c r="P660" s="10">
        <f t="shared" ref="P660:W660" ca="1" si="1160">P$135*$W654</f>
        <v>25724.62548481331</v>
      </c>
      <c r="Q660" s="10">
        <f t="shared" ca="1" si="1160"/>
        <v>4660.0142888929377</v>
      </c>
      <c r="R660" s="10">
        <f t="shared" ca="1" si="1160"/>
        <v>26855.690547004619</v>
      </c>
      <c r="S660" s="10">
        <f t="shared" ca="1" si="1160"/>
        <v>8566.9324936635239</v>
      </c>
      <c r="T660" s="10">
        <f t="shared" ca="1" si="1160"/>
        <v>35511.376889769352</v>
      </c>
      <c r="U660" s="10">
        <f t="shared" ca="1" si="1160"/>
        <v>76557.190227064275</v>
      </c>
      <c r="V660" s="10">
        <f t="shared" ca="1" si="1160"/>
        <v>30117.722409783644</v>
      </c>
      <c r="W660" s="10">
        <f t="shared" ca="1" si="1160"/>
        <v>207993.55234099168</v>
      </c>
      <c r="Y660" s="10">
        <f t="shared" ref="Y660:AE660" ca="1" si="1161">Y$135*$AF654</f>
        <v>19168.663363673964</v>
      </c>
      <c r="Z660" s="10">
        <f t="shared" ca="1" si="1161"/>
        <v>3472.4021629171439</v>
      </c>
      <c r="AA660" s="10">
        <f t="shared" ca="1" si="1161"/>
        <v>20011.474678161616</v>
      </c>
      <c r="AB660" s="10">
        <f t="shared" ca="1" si="1161"/>
        <v>6383.6359882985398</v>
      </c>
      <c r="AC660" s="10">
        <f t="shared" ca="1" si="1161"/>
        <v>26461.245454570322</v>
      </c>
      <c r="AD660" s="10">
        <f t="shared" ca="1" si="1161"/>
        <v>57046.467339153001</v>
      </c>
      <c r="AE660" s="10">
        <f t="shared" ca="1" si="1161"/>
        <v>22442.172481560294</v>
      </c>
      <c r="AF660" s="10">
        <f ca="1">SUM(Y660:AE660)</f>
        <v>154986.06146833487</v>
      </c>
      <c r="AH660" s="10">
        <f t="shared" ref="AH660:AN660" ca="1" si="1162">AH$135*$AO654</f>
        <v>10736.142076104321</v>
      </c>
      <c r="AI660" s="10">
        <f t="shared" ca="1" si="1162"/>
        <v>1944.851461949045</v>
      </c>
      <c r="AJ660" s="10">
        <f t="shared" ca="1" si="1162"/>
        <v>11208.190744496889</v>
      </c>
      <c r="AK660" s="10">
        <f t="shared" ca="1" si="1162"/>
        <v>3575.3991622799235</v>
      </c>
      <c r="AL660" s="10">
        <f t="shared" ca="1" si="1162"/>
        <v>14820.631220918169</v>
      </c>
      <c r="AM660" s="10">
        <f t="shared" ca="1" si="1162"/>
        <v>31951.052959365257</v>
      </c>
      <c r="AN660" s="10">
        <f t="shared" ca="1" si="1162"/>
        <v>12569.595891337611</v>
      </c>
      <c r="AO660" s="10">
        <f ca="1">SUM(AH660:AN660)</f>
        <v>86805.863516451209</v>
      </c>
      <c r="AQ660" s="10">
        <f t="shared" ref="AQ660:AW660" ca="1" si="1163">AQ654</f>
        <v>5971.6905611606398</v>
      </c>
      <c r="AR660" s="10">
        <f t="shared" ca="1" si="1163"/>
        <v>2552.8911555962159</v>
      </c>
      <c r="AS660" s="10">
        <f t="shared" ca="1" si="1163"/>
        <v>15950.302675877292</v>
      </c>
      <c r="AT660" s="10">
        <f t="shared" ca="1" si="1163"/>
        <v>4642.5660450726618</v>
      </c>
      <c r="AU660" s="10">
        <f t="shared" ca="1" si="1163"/>
        <v>14365.016335840943</v>
      </c>
      <c r="AV660" s="10">
        <f t="shared" ca="1" si="1163"/>
        <v>24469.846484730482</v>
      </c>
      <c r="AW660" s="10">
        <f t="shared" ca="1" si="1163"/>
        <v>8223.1249489336733</v>
      </c>
      <c r="AX660" s="10">
        <f ca="1">SUM(AQ660:AW660)</f>
        <v>76175.438207211919</v>
      </c>
      <c r="AZ660" s="10">
        <f t="shared" ref="AZ660:BF660" ca="1" si="1164">AZ$135*$BG654</f>
        <v>4529.2652797813353</v>
      </c>
      <c r="BA660" s="10">
        <f t="shared" ca="1" si="1164"/>
        <v>820.47612061166865</v>
      </c>
      <c r="BB660" s="10">
        <f t="shared" ca="1" si="1164"/>
        <v>4728.4088482030065</v>
      </c>
      <c r="BC660" s="10">
        <f t="shared" ca="1" si="1164"/>
        <v>1508.3566491837821</v>
      </c>
      <c r="BD660" s="10">
        <f t="shared" ca="1" si="1164"/>
        <v>6252.3921477113354</v>
      </c>
      <c r="BE660" s="10">
        <f t="shared" ca="1" si="1164"/>
        <v>13479.217562088976</v>
      </c>
      <c r="BF660" s="10">
        <f t="shared" ca="1" si="1164"/>
        <v>5302.7459815598268</v>
      </c>
      <c r="BG660" s="10">
        <f ca="1">SUM(AZ660:BF660)</f>
        <v>36620.862589139928</v>
      </c>
      <c r="BI660" s="10">
        <f t="shared" ref="BI660:BO660" ca="1" si="1165">BI$135*$BP654</f>
        <v>1419.0794308849261</v>
      </c>
      <c r="BJ660" s="10">
        <f t="shared" ca="1" si="1165"/>
        <v>257.06614966666069</v>
      </c>
      <c r="BK660" s="10">
        <f t="shared" ca="1" si="1165"/>
        <v>1481.4737761668748</v>
      </c>
      <c r="BL660" s="10">
        <f t="shared" ca="1" si="1165"/>
        <v>472.58832571594354</v>
      </c>
      <c r="BM660" s="10">
        <f t="shared" ca="1" si="1165"/>
        <v>1958.9581405732847</v>
      </c>
      <c r="BN660" s="10">
        <f t="shared" ca="1" si="1165"/>
        <v>4223.2192652020576</v>
      </c>
      <c r="BO660" s="10">
        <f t="shared" ca="1" si="1165"/>
        <v>1661.4212868543971</v>
      </c>
      <c r="BP660" s="10">
        <f ca="1">SUM(BI660:BO660)</f>
        <v>11473.806375064143</v>
      </c>
    </row>
    <row r="661" spans="2:68" ht="13.2" customHeight="1">
      <c r="B661" s="309"/>
      <c r="G661" s="1122"/>
      <c r="H661" s="1122"/>
      <c r="I661" s="1122"/>
      <c r="J661" s="1122"/>
      <c r="K661" s="1122"/>
      <c r="L661" s="1122"/>
      <c r="M661" s="1122"/>
      <c r="O661" s="39">
        <f>ROW()</f>
        <v>661</v>
      </c>
    </row>
    <row r="662" spans="2:68" ht="13.2" customHeight="1">
      <c r="B662" s="280" t="s">
        <v>1047</v>
      </c>
      <c r="G662" s="1122"/>
      <c r="H662" s="1122"/>
      <c r="I662" s="1122"/>
      <c r="J662" s="1122"/>
      <c r="K662" s="1122"/>
      <c r="L662" s="1122"/>
      <c r="M662" s="1122"/>
      <c r="N662" s="186"/>
      <c r="O662" s="39">
        <f>ROW()</f>
        <v>662</v>
      </c>
      <c r="P662" s="10">
        <f t="shared" ref="P662:V662" ca="1" si="1166">P660*$W656/$W654</f>
        <v>25893.862701155947</v>
      </c>
      <c r="Q662" s="10">
        <f t="shared" ca="1" si="1166"/>
        <v>4690.6715999910039</v>
      </c>
      <c r="R662" s="10">
        <f t="shared" ca="1" si="1166"/>
        <v>27032.368816385744</v>
      </c>
      <c r="S662" s="10">
        <f t="shared" ca="1" si="1166"/>
        <v>8623.2926458717193</v>
      </c>
      <c r="T662" s="10">
        <f t="shared" ca="1" si="1166"/>
        <v>35744.999205354346</v>
      </c>
      <c r="U662" s="10">
        <f t="shared" ca="1" si="1166"/>
        <v>77060.84481953604</v>
      </c>
      <c r="V662" s="10">
        <f t="shared" ca="1" si="1166"/>
        <v>30315.86094074967</v>
      </c>
      <c r="W662" s="10">
        <f ca="1">SUM(P662:V662)</f>
        <v>209361.90072904449</v>
      </c>
      <c r="Y662" s="10">
        <f t="shared" ref="Y662:AE662" ca="1" si="1167">Y660*$AF656/$AF654</f>
        <v>19299.340228838486</v>
      </c>
      <c r="Z662" s="10">
        <f t="shared" ca="1" si="1167"/>
        <v>3496.0742688241435</v>
      </c>
      <c r="AA662" s="10">
        <f t="shared" ca="1" si="1167"/>
        <v>20147.897167755596</v>
      </c>
      <c r="AB662" s="10">
        <f t="shared" ca="1" si="1167"/>
        <v>6427.1545959069936</v>
      </c>
      <c r="AC662" s="10">
        <f t="shared" ca="1" si="1167"/>
        <v>26641.637406724123</v>
      </c>
      <c r="AD662" s="10">
        <f t="shared" ca="1" si="1167"/>
        <v>57435.365270070703</v>
      </c>
      <c r="AE662" s="10">
        <f t="shared" ca="1" si="1167"/>
        <v>22595.16555633719</v>
      </c>
      <c r="AF662" s="10">
        <f ca="1">SUM(Y662:AE662)</f>
        <v>156042.63449445725</v>
      </c>
      <c r="AH662" s="10">
        <f t="shared" ref="AH662:AN662" ca="1" si="1168">AH660*$AO656/$AO654</f>
        <v>10782.181059116358</v>
      </c>
      <c r="AI662" s="10">
        <f t="shared" ca="1" si="1168"/>
        <v>1953.1914208265355</v>
      </c>
      <c r="AJ662" s="10">
        <f t="shared" ca="1" si="1168"/>
        <v>11256.253977977196</v>
      </c>
      <c r="AK662" s="10">
        <f t="shared" ca="1" si="1168"/>
        <v>3590.7312750748752</v>
      </c>
      <c r="AL662" s="10">
        <f t="shared" ca="1" si="1168"/>
        <v>14884.185408648804</v>
      </c>
      <c r="AM662" s="10">
        <f t="shared" ca="1" si="1168"/>
        <v>32088.066234151076</v>
      </c>
      <c r="AN662" s="10">
        <f t="shared" ca="1" si="1168"/>
        <v>12623.497135155672</v>
      </c>
      <c r="AO662" s="10">
        <f ca="1">SUM(AH662:AN662)</f>
        <v>87178.106510950514</v>
      </c>
      <c r="AQ662" s="10">
        <f t="shared" ref="AQ662:AW662" ca="1" si="1169">AQ660*$AX656/$AX654</f>
        <v>5971.6905611606398</v>
      </c>
      <c r="AR662" s="10">
        <f t="shared" ca="1" si="1169"/>
        <v>2552.8911555962159</v>
      </c>
      <c r="AS662" s="10">
        <f t="shared" ca="1" si="1169"/>
        <v>15950.30267587729</v>
      </c>
      <c r="AT662" s="10">
        <f t="shared" ca="1" si="1169"/>
        <v>4642.5660450726618</v>
      </c>
      <c r="AU662" s="10">
        <f t="shared" ca="1" si="1169"/>
        <v>14365.016335840945</v>
      </c>
      <c r="AV662" s="10">
        <f t="shared" ca="1" si="1169"/>
        <v>24469.846484730482</v>
      </c>
      <c r="AW662" s="10">
        <f t="shared" ca="1" si="1169"/>
        <v>8223.1249489336733</v>
      </c>
      <c r="AX662" s="10">
        <f ca="1">SUM(AQ662:AW662)</f>
        <v>76175.438207211919</v>
      </c>
      <c r="AZ662" s="10">
        <f t="shared" ref="AZ662:BF662" ca="1" si="1170">AZ660*$BG656/$BG654</f>
        <v>4555.1881780320018</v>
      </c>
      <c r="BA662" s="10">
        <f t="shared" ca="1" si="1170"/>
        <v>825.17205199962768</v>
      </c>
      <c r="BB662" s="10">
        <f t="shared" ca="1" si="1170"/>
        <v>4755.4715292092815</v>
      </c>
      <c r="BC662" s="10">
        <f t="shared" ca="1" si="1170"/>
        <v>1516.9896113812174</v>
      </c>
      <c r="BD662" s="10">
        <f t="shared" ca="1" si="1170"/>
        <v>6288.1772288351804</v>
      </c>
      <c r="BE662" s="10">
        <f t="shared" ca="1" si="1170"/>
        <v>13556.36481749935</v>
      </c>
      <c r="BF662" s="10">
        <f t="shared" ca="1" si="1170"/>
        <v>5333.0958365667175</v>
      </c>
      <c r="BG662" s="10">
        <f ca="1">SUM(AZ662:BF662)</f>
        <v>36830.459253523375</v>
      </c>
      <c r="BI662" s="10">
        <f t="shared" ref="BI662:BO662" ca="1" si="1171">BI660*$BP656/$BP654</f>
        <v>1425.9978696426274</v>
      </c>
      <c r="BJ662" s="10">
        <f t="shared" ca="1" si="1171"/>
        <v>258.31942441255558</v>
      </c>
      <c r="BK662" s="10">
        <f t="shared" ca="1" si="1171"/>
        <v>1488.6964061116691</v>
      </c>
      <c r="BL662" s="10">
        <f t="shared" ca="1" si="1171"/>
        <v>474.89233584949295</v>
      </c>
      <c r="BM662" s="10">
        <f t="shared" ca="1" si="1171"/>
        <v>1968.508650311845</v>
      </c>
      <c r="BN662" s="10">
        <f t="shared" ca="1" si="1171"/>
        <v>4243.8087284912444</v>
      </c>
      <c r="BO662" s="10">
        <f t="shared" ca="1" si="1171"/>
        <v>1669.5212150005445</v>
      </c>
      <c r="BP662" s="10">
        <f ca="1">SUM(BI662:BO662)</f>
        <v>11529.744629819979</v>
      </c>
    </row>
    <row r="663" spans="2:68" ht="13.2" customHeight="1">
      <c r="B663" s="309"/>
      <c r="C663" s="309"/>
      <c r="D663" s="309"/>
      <c r="E663" s="309"/>
      <c r="F663" s="309"/>
      <c r="G663" s="1122"/>
      <c r="H663" s="1122"/>
      <c r="I663" s="1122"/>
      <c r="J663" s="1122"/>
      <c r="K663" s="1122"/>
      <c r="L663" s="1122"/>
      <c r="M663" s="1122"/>
      <c r="N663" s="186"/>
      <c r="O663" s="39">
        <f>ROW()</f>
        <v>663</v>
      </c>
      <c r="AQ663" s="10"/>
      <c r="AR663" s="10"/>
      <c r="AS663" s="10"/>
      <c r="AT663" s="10"/>
      <c r="AU663" s="10"/>
      <c r="AV663" s="10"/>
      <c r="AW663" s="10"/>
    </row>
    <row r="664" spans="2:68" ht="13.2" customHeight="1">
      <c r="B664" s="280" t="s">
        <v>1010</v>
      </c>
      <c r="G664" s="1122">
        <f t="shared" ref="G664:M664" ca="1" si="1172">P664+Y664+AH664+AQ664+AZ664+BI664</f>
        <v>99218.08947220142</v>
      </c>
      <c r="H664" s="1122">
        <f t="shared" ca="1" si="1172"/>
        <v>20180.03034755971</v>
      </c>
      <c r="I664" s="1122">
        <f t="shared" ca="1" si="1172"/>
        <v>118154.6002586073</v>
      </c>
      <c r="J664" s="1122">
        <f t="shared" ca="1" si="1172"/>
        <v>37022.831665794816</v>
      </c>
      <c r="K664" s="1122">
        <f t="shared" ca="1" si="1172"/>
        <v>146147.06590982681</v>
      </c>
      <c r="L664" s="1122">
        <f t="shared" ca="1" si="1172"/>
        <v>305322.65022322646</v>
      </c>
      <c r="M664" s="1122">
        <f t="shared" ca="1" si="1172"/>
        <v>118009.39590070941</v>
      </c>
      <c r="N664" s="186">
        <f ca="1">SUM(G664:M664)</f>
        <v>844054.66377792589</v>
      </c>
      <c r="O664" s="39">
        <f>ROW()</f>
        <v>664</v>
      </c>
      <c r="P664" s="10">
        <f t="shared" ref="P664:V664" ca="1" si="1173">P662*$I$85</f>
        <v>32367.328376444933</v>
      </c>
      <c r="Q664" s="10">
        <f t="shared" ca="1" si="1173"/>
        <v>5863.3394999887551</v>
      </c>
      <c r="R664" s="10">
        <f t="shared" ca="1" si="1173"/>
        <v>33790.46102048218</v>
      </c>
      <c r="S664" s="10">
        <f t="shared" ca="1" si="1173"/>
        <v>10779.115807339649</v>
      </c>
      <c r="T664" s="10">
        <f t="shared" ca="1" si="1173"/>
        <v>44681.249006692931</v>
      </c>
      <c r="U664" s="10">
        <f t="shared" ca="1" si="1173"/>
        <v>96326.056024420046</v>
      </c>
      <c r="V664" s="10">
        <f t="shared" ca="1" si="1173"/>
        <v>37894.826175937087</v>
      </c>
      <c r="W664" s="10">
        <f ca="1">SUM(P664:V664)</f>
        <v>261702.3759113056</v>
      </c>
      <c r="Y664" s="10">
        <f t="shared" ref="Y664:AE664" ca="1" si="1174">Y662*$J$85</f>
        <v>24124.175286048106</v>
      </c>
      <c r="Z664" s="10">
        <f t="shared" ca="1" si="1174"/>
        <v>4370.0928360301796</v>
      </c>
      <c r="AA664" s="10">
        <f t="shared" ca="1" si="1174"/>
        <v>25184.871459694496</v>
      </c>
      <c r="AB664" s="10">
        <f t="shared" ca="1" si="1174"/>
        <v>8033.9432448837415</v>
      </c>
      <c r="AC664" s="10">
        <f t="shared" ca="1" si="1174"/>
        <v>33302.046758405151</v>
      </c>
      <c r="AD664" s="10">
        <f t="shared" ca="1" si="1174"/>
        <v>71794.206587588385</v>
      </c>
      <c r="AE664" s="10">
        <f t="shared" ca="1" si="1174"/>
        <v>28243.956945421487</v>
      </c>
      <c r="AF664" s="10">
        <f ca="1">SUM(Y664:AE664)</f>
        <v>195053.29311807154</v>
      </c>
      <c r="AH664" s="10">
        <f t="shared" ref="AH664:AN664" ca="1" si="1175">AH662*$K$85</f>
        <v>17251.489694586173</v>
      </c>
      <c r="AI664" s="10">
        <f t="shared" ca="1" si="1175"/>
        <v>3125.1062733224571</v>
      </c>
      <c r="AJ664" s="10">
        <f t="shared" ca="1" si="1175"/>
        <v>18010.006364763514</v>
      </c>
      <c r="AK664" s="10">
        <f t="shared" ca="1" si="1175"/>
        <v>5745.1700401198004</v>
      </c>
      <c r="AL664" s="10">
        <f t="shared" ca="1" si="1175"/>
        <v>23814.696653838088</v>
      </c>
      <c r="AM664" s="10">
        <f t="shared" ca="1" si="1175"/>
        <v>51340.905974641726</v>
      </c>
      <c r="AN664" s="10">
        <f t="shared" ca="1" si="1175"/>
        <v>20197.595416249078</v>
      </c>
      <c r="AO664" s="10">
        <f ca="1">SUM(AH664:AN664)</f>
        <v>139484.97041752085</v>
      </c>
      <c r="AQ664" s="10">
        <f ca="1">AQ662*$L$85*Taxis!$L$130</f>
        <v>8957.5358417409589</v>
      </c>
      <c r="AR664" s="10">
        <f ca="1">AR662*$L$85*Taxis!$L$130</f>
        <v>3829.3367333943238</v>
      </c>
      <c r="AS664" s="10">
        <f ca="1">AS662*$L$85*Taxis!$L$130</f>
        <v>23925.454013815935</v>
      </c>
      <c r="AT664" s="10">
        <f ca="1">AT662*$L$85*Taxis!$L$130</f>
        <v>6963.8490676089932</v>
      </c>
      <c r="AU664" s="10">
        <f ca="1">AU662*$L$85*Taxis!$L$130</f>
        <v>21547.524503761415</v>
      </c>
      <c r="AV664" s="10">
        <f ca="1">AV662*$L$85*Taxis!$L$130</f>
        <v>36704.769727095721</v>
      </c>
      <c r="AW664" s="10">
        <f ca="1">AW662*$L$85*Taxis!$L$130</f>
        <v>12334.68742340051</v>
      </c>
      <c r="AX664" s="10">
        <f ca="1">SUM(AQ664:AW664)</f>
        <v>114263.15731081786</v>
      </c>
      <c r="AZ664" s="10">
        <f t="shared" ref="AZ664:BF664" ca="1" si="1176">AZ662*$M$85</f>
        <v>13665.564534096005</v>
      </c>
      <c r="BA664" s="10">
        <f t="shared" ca="1" si="1176"/>
        <v>2475.5161559988828</v>
      </c>
      <c r="BB664" s="10">
        <f t="shared" ca="1" si="1176"/>
        <v>14266.414587627845</v>
      </c>
      <c r="BC664" s="10">
        <f t="shared" ca="1" si="1176"/>
        <v>4550.9688341436522</v>
      </c>
      <c r="BD664" s="10">
        <f t="shared" ca="1" si="1176"/>
        <v>18864.531686505543</v>
      </c>
      <c r="BE664" s="10">
        <f t="shared" ca="1" si="1176"/>
        <v>40669.094452498051</v>
      </c>
      <c r="BF664" s="10">
        <f t="shared" ca="1" si="1176"/>
        <v>15999.287509700152</v>
      </c>
      <c r="BG664" s="10">
        <f ca="1">SUM(AZ664:BF664)</f>
        <v>110491.37776057013</v>
      </c>
      <c r="BI664" s="10">
        <f t="shared" ref="BI664:BO664" ca="1" si="1177">BI662*$N$85</f>
        <v>2851.9957392852548</v>
      </c>
      <c r="BJ664" s="10">
        <f t="shared" ca="1" si="1177"/>
        <v>516.63884882511115</v>
      </c>
      <c r="BK664" s="10">
        <f t="shared" ca="1" si="1177"/>
        <v>2977.3928122233383</v>
      </c>
      <c r="BL664" s="10">
        <f t="shared" ca="1" si="1177"/>
        <v>949.7846716989859</v>
      </c>
      <c r="BM664" s="10">
        <f t="shared" ca="1" si="1177"/>
        <v>3937.0173006236901</v>
      </c>
      <c r="BN664" s="10">
        <f t="shared" ca="1" si="1177"/>
        <v>8487.6174569824889</v>
      </c>
      <c r="BO664" s="10">
        <f t="shared" ca="1" si="1177"/>
        <v>3339.0424300010891</v>
      </c>
      <c r="BP664" s="10">
        <f ca="1">SUM(BI664:BO664)</f>
        <v>23059.489259639959</v>
      </c>
    </row>
    <row r="665" spans="2:68" ht="13.2" customHeight="1">
      <c r="G665" s="1122"/>
      <c r="H665" s="1122"/>
      <c r="I665" s="1122"/>
      <c r="J665" s="1122"/>
      <c r="K665" s="1122"/>
      <c r="L665" s="1122"/>
      <c r="M665" s="1122"/>
      <c r="O665" s="39">
        <f>ROW()</f>
        <v>665</v>
      </c>
      <c r="AQ665"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665" s="10"/>
      <c r="AS665" s="10"/>
      <c r="AT665" s="10"/>
      <c r="AU665" s="10"/>
      <c r="AV665" s="10"/>
      <c r="AW665" s="10"/>
    </row>
    <row r="666" spans="2:68" ht="13.2" customHeight="1">
      <c r="B666" s="308" t="s">
        <v>1431</v>
      </c>
      <c r="G666" s="1122"/>
      <c r="H666" s="1122"/>
      <c r="I666" s="1122"/>
      <c r="J666" s="1122"/>
      <c r="K666" s="1122"/>
      <c r="L666" s="1122"/>
      <c r="M666" s="1122"/>
      <c r="O666" s="39">
        <f>ROW()</f>
        <v>666</v>
      </c>
      <c r="AQ666" s="265" t="str">
        <f>CONCATENATE("Row ",O668, " figures are set equal to ",O667, " figures, since rebound effects are presumed accounted for by taxi time-elasticity.")</f>
        <v>Row 668 figures are set equal to 667 figures, since rebound effects are presumed accounted for by taxi time-elasticity.</v>
      </c>
    </row>
    <row r="667" spans="2:68" s="1122" customFormat="1" ht="13.2" customHeight="1">
      <c r="B667" s="1123" t="s">
        <v>1112</v>
      </c>
      <c r="G667" s="1122">
        <f t="shared" ref="G667:M669" ca="1" si="1178">P667+Y667+AH667+AQ667+AZ667+BI667</f>
        <v>234267.17310785688</v>
      </c>
      <c r="H667" s="1122">
        <f t="shared" ca="1" si="1178"/>
        <v>29489.099047508727</v>
      </c>
      <c r="I667" s="1122">
        <f t="shared" ca="1" si="1178"/>
        <v>196214.11645853758</v>
      </c>
      <c r="J667" s="1122">
        <f t="shared" ca="1" si="1178"/>
        <v>70141.850681849464</v>
      </c>
      <c r="K667" s="1122">
        <f t="shared" ca="1" si="1178"/>
        <v>253605.848655918</v>
      </c>
      <c r="L667" s="1122">
        <f t="shared" ca="1" si="1178"/>
        <v>441858.6890275015</v>
      </c>
      <c r="M667" s="1122">
        <f t="shared" ca="1" si="1178"/>
        <v>215877.95021728156</v>
      </c>
      <c r="N667" s="1127">
        <f ca="1">SUM(G667:M667)</f>
        <v>1441454.7271964536</v>
      </c>
      <c r="O667" s="39">
        <f>ROW()</f>
        <v>667</v>
      </c>
      <c r="P667" s="1122">
        <f ca="1">P620</f>
        <v>9875.5657527073654</v>
      </c>
      <c r="Q667" s="1122">
        <f t="shared" ref="Q667:V667" ca="1" si="1179">Q620</f>
        <v>2780.3788487893094</v>
      </c>
      <c r="R667" s="1122">
        <f t="shared" ca="1" si="1179"/>
        <v>18449.01648312834</v>
      </c>
      <c r="S667" s="1122">
        <f t="shared" ca="1" si="1179"/>
        <v>5511.5473200428623</v>
      </c>
      <c r="T667" s="1122">
        <f t="shared" ca="1" si="1179"/>
        <v>18709.094404721072</v>
      </c>
      <c r="U667" s="1122">
        <f t="shared" ca="1" si="1179"/>
        <v>38081.081046673149</v>
      </c>
      <c r="V667" s="1122">
        <f t="shared" ca="1" si="1179"/>
        <v>13413.450813566207</v>
      </c>
      <c r="W667" s="1122">
        <f ca="1">SUM(P667:V667)</f>
        <v>106820.1346696283</v>
      </c>
      <c r="Y667" s="1122">
        <f ca="1">Y620</f>
        <v>6945.875609049499</v>
      </c>
      <c r="Z667" s="1122">
        <f t="shared" ref="Z667:AE667" ca="1" si="1180">Z620</f>
        <v>1955.5503060093949</v>
      </c>
      <c r="AA667" s="1122">
        <f t="shared" ca="1" si="1180"/>
        <v>12975.922272198201</v>
      </c>
      <c r="AB667" s="1122">
        <f t="shared" ca="1" si="1180"/>
        <v>3876.4890090385729</v>
      </c>
      <c r="AC667" s="1122">
        <f t="shared" ca="1" si="1180"/>
        <v>13158.845350964397</v>
      </c>
      <c r="AD667" s="1122">
        <f t="shared" ca="1" si="1180"/>
        <v>26783.929005364607</v>
      </c>
      <c r="AE667" s="1122">
        <f t="shared" ca="1" si="1180"/>
        <v>9434.2099654992253</v>
      </c>
      <c r="AF667" s="1122">
        <f ca="1">SUM(Y667:AE667)</f>
        <v>75130.821518123892</v>
      </c>
      <c r="AH667" s="1122">
        <f ca="1">AH620</f>
        <v>0</v>
      </c>
      <c r="AI667" s="1122">
        <f t="shared" ref="AI667:AN667" ca="1" si="1181">AI620</f>
        <v>0</v>
      </c>
      <c r="AJ667" s="1122">
        <f t="shared" ca="1" si="1181"/>
        <v>0</v>
      </c>
      <c r="AK667" s="1122">
        <f t="shared" ca="1" si="1181"/>
        <v>0</v>
      </c>
      <c r="AL667" s="1122">
        <f t="shared" ca="1" si="1181"/>
        <v>0</v>
      </c>
      <c r="AM667" s="1122">
        <f t="shared" ca="1" si="1181"/>
        <v>0</v>
      </c>
      <c r="AN667" s="1122">
        <f t="shared" ca="1" si="1181"/>
        <v>0</v>
      </c>
      <c r="AO667" s="1122">
        <f ca="1">SUM(AH667:AN667)</f>
        <v>0</v>
      </c>
      <c r="AQ667" s="1122">
        <f>AQ620</f>
        <v>210187.34459974329</v>
      </c>
      <c r="AR667" s="1122">
        <f t="shared" ref="AR667:AW667" si="1182">AR620</f>
        <v>22748.620884765332</v>
      </c>
      <c r="AS667" s="1122">
        <f t="shared" si="1182"/>
        <v>152580.65410310062</v>
      </c>
      <c r="AT667" s="1122">
        <f t="shared" si="1182"/>
        <v>57061.666827443201</v>
      </c>
      <c r="AU667" s="1122">
        <f t="shared" si="1182"/>
        <v>208747.17643657626</v>
      </c>
      <c r="AV667" s="1122">
        <f t="shared" si="1182"/>
        <v>351862.72506223724</v>
      </c>
      <c r="AW667" s="1122">
        <f t="shared" si="1182"/>
        <v>183873.35054767228</v>
      </c>
      <c r="AX667" s="1122">
        <f>SUM(AQ667:AW667)</f>
        <v>1187061.5384615383</v>
      </c>
      <c r="AZ667" s="1122">
        <f ca="1">AZ620</f>
        <v>4841.3100992179916</v>
      </c>
      <c r="BA667" s="1122">
        <f t="shared" ref="BA667:BF667" ca="1" si="1183">BA620</f>
        <v>1334.6835911777564</v>
      </c>
      <c r="BB667" s="1122">
        <f t="shared" ca="1" si="1183"/>
        <v>8064.968396558822</v>
      </c>
      <c r="BC667" s="1122">
        <f t="shared" ca="1" si="1183"/>
        <v>2441.8040867943864</v>
      </c>
      <c r="BD667" s="1122">
        <f t="shared" ca="1" si="1183"/>
        <v>8619.8743031827889</v>
      </c>
      <c r="BE667" s="1122">
        <f t="shared" ca="1" si="1183"/>
        <v>16597.325576555566</v>
      </c>
      <c r="BF667" s="1122">
        <f t="shared" ca="1" si="1183"/>
        <v>6066.5183122245062</v>
      </c>
      <c r="BG667" s="1122">
        <f ca="1">SUM(AZ667:BF667)</f>
        <v>47966.484365711818</v>
      </c>
      <c r="BI667" s="1122">
        <f ca="1">BI620</f>
        <v>2417.0770471387737</v>
      </c>
      <c r="BJ667" s="1122">
        <f t="shared" ref="BJ667:BO667" ca="1" si="1184">BJ620</f>
        <v>669.86541676693469</v>
      </c>
      <c r="BK667" s="1122">
        <f t="shared" ca="1" si="1184"/>
        <v>4143.5552035515911</v>
      </c>
      <c r="BL667" s="1122">
        <f t="shared" ca="1" si="1184"/>
        <v>1250.3434385304388</v>
      </c>
      <c r="BM667" s="1122">
        <f t="shared" ca="1" si="1184"/>
        <v>4370.8581604734572</v>
      </c>
      <c r="BN667" s="1122">
        <f t="shared" ca="1" si="1184"/>
        <v>8533.628336670954</v>
      </c>
      <c r="BO667" s="1122">
        <f t="shared" ca="1" si="1184"/>
        <v>3090.4205783193452</v>
      </c>
      <c r="BP667" s="1122">
        <f ca="1">SUM(BI667:BO667)</f>
        <v>24475.748181451498</v>
      </c>
    </row>
    <row r="668" spans="2:68" s="1122" customFormat="1" ht="13.2" customHeight="1">
      <c r="B668" s="1123" t="s">
        <v>114</v>
      </c>
      <c r="G668" s="1122">
        <f t="shared" ca="1" si="1178"/>
        <v>234270.52941811871</v>
      </c>
      <c r="H668" s="1122">
        <f t="shared" ca="1" si="1178"/>
        <v>29488.390588260925</v>
      </c>
      <c r="I668" s="1122">
        <f t="shared" ca="1" si="1178"/>
        <v>196249.19699241637</v>
      </c>
      <c r="J668" s="1122">
        <f t="shared" ca="1" si="1178"/>
        <v>70149.297374438058</v>
      </c>
      <c r="K668" s="1122">
        <f t="shared" ca="1" si="1178"/>
        <v>253654.89929423839</v>
      </c>
      <c r="L668" s="1122">
        <f t="shared" ca="1" si="1178"/>
        <v>442085.37845800136</v>
      </c>
      <c r="M668" s="1122">
        <f t="shared" ca="1" si="1178"/>
        <v>215907.09641437055</v>
      </c>
      <c r="N668" s="1127">
        <f ca="1">SUM(G668:M668)</f>
        <v>1441804.7885398443</v>
      </c>
      <c r="O668" s="39">
        <f>ROW()</f>
        <v>668</v>
      </c>
      <c r="P668" s="1122">
        <f t="shared" ref="P668:V668" ca="1" si="1185">P667*P647</f>
        <v>9877.25309371816</v>
      </c>
      <c r="Q668" s="1122">
        <f t="shared" ca="1" si="1185"/>
        <v>2780.021731048153</v>
      </c>
      <c r="R668" s="1122">
        <f t="shared" ca="1" si="1185"/>
        <v>18466.903042645128</v>
      </c>
      <c r="S668" s="1122">
        <f t="shared" ca="1" si="1185"/>
        <v>5515.3381551733182</v>
      </c>
      <c r="T668" s="1122">
        <f t="shared" ca="1" si="1185"/>
        <v>18733.947522745777</v>
      </c>
      <c r="U668" s="1122">
        <f t="shared" ca="1" si="1185"/>
        <v>38196.7133218323</v>
      </c>
      <c r="V668" s="1122">
        <f t="shared" ca="1" si="1185"/>
        <v>13428.251788005169</v>
      </c>
      <c r="W668" s="1122">
        <f ca="1">SUM(P668:V668)</f>
        <v>106998.42865516801</v>
      </c>
      <c r="Y668" s="1122">
        <f t="shared" ref="Y668:AE668" ca="1" si="1186">Y667*Y647</f>
        <v>6947.0623826546271</v>
      </c>
      <c r="Z668" s="1122">
        <f t="shared" ca="1" si="1186"/>
        <v>1955.2991309911763</v>
      </c>
      <c r="AA668" s="1122">
        <f t="shared" ca="1" si="1186"/>
        <v>12988.5025962615</v>
      </c>
      <c r="AB668" s="1122">
        <f t="shared" ca="1" si="1186"/>
        <v>3879.1552531738362</v>
      </c>
      <c r="AC668" s="1122">
        <f t="shared" ca="1" si="1186"/>
        <v>13176.325530897308</v>
      </c>
      <c r="AD668" s="1122">
        <f t="shared" ca="1" si="1186"/>
        <v>26865.257753484853</v>
      </c>
      <c r="AE668" s="1122">
        <f t="shared" ca="1" si="1186"/>
        <v>9444.6200756559592</v>
      </c>
      <c r="AF668" s="1122">
        <f ca="1">SUM(Y668:AE668)</f>
        <v>75256.222723119252</v>
      </c>
      <c r="AH668" s="1122">
        <f t="shared" ref="AH668:AN668" ca="1" si="1187">AH667*AH647</f>
        <v>0</v>
      </c>
      <c r="AI668" s="1122">
        <f t="shared" ca="1" si="1187"/>
        <v>0</v>
      </c>
      <c r="AJ668" s="1122">
        <f t="shared" ca="1" si="1187"/>
        <v>0</v>
      </c>
      <c r="AK668" s="1122">
        <f t="shared" ca="1" si="1187"/>
        <v>0</v>
      </c>
      <c r="AL668" s="1122">
        <f t="shared" ca="1" si="1187"/>
        <v>0</v>
      </c>
      <c r="AM668" s="1122">
        <f t="shared" ca="1" si="1187"/>
        <v>0</v>
      </c>
      <c r="AN668" s="1122">
        <f t="shared" ca="1" si="1187"/>
        <v>0</v>
      </c>
      <c r="AO668" s="1122">
        <f ca="1">SUM(AH668:AN668)</f>
        <v>0</v>
      </c>
      <c r="AQ668" s="1122">
        <f t="shared" ref="AQ668" si="1188">AQ667</f>
        <v>210187.34459974329</v>
      </c>
      <c r="AR668" s="1122">
        <f t="shared" ref="AR668" si="1189">AR667</f>
        <v>22748.620884765332</v>
      </c>
      <c r="AS668" s="1122">
        <f t="shared" ref="AS668" si="1190">AS667</f>
        <v>152580.65410310062</v>
      </c>
      <c r="AT668" s="1122">
        <f t="shared" ref="AT668" si="1191">AT667</f>
        <v>57061.666827443201</v>
      </c>
      <c r="AU668" s="1122">
        <f t="shared" ref="AU668" si="1192">AU667</f>
        <v>208747.17643657626</v>
      </c>
      <c r="AV668" s="1122">
        <f t="shared" ref="AV668" si="1193">AV667</f>
        <v>351862.72506223724</v>
      </c>
      <c r="AW668" s="1122">
        <f t="shared" ref="AW668" si="1194">AW667</f>
        <v>183873.35054767228</v>
      </c>
      <c r="AX668" s="1122">
        <f>SUM(AQ668:AW668)</f>
        <v>1187061.5384615383</v>
      </c>
      <c r="AZ668" s="1122">
        <f t="shared" ref="AZ668:BF668" ca="1" si="1195">AZ667*AZ647</f>
        <v>4841.5858125653294</v>
      </c>
      <c r="BA668" s="1122">
        <f t="shared" ca="1" si="1195"/>
        <v>1334.6264455364046</v>
      </c>
      <c r="BB668" s="1122">
        <f t="shared" ca="1" si="1195"/>
        <v>8067.5739183504238</v>
      </c>
      <c r="BC668" s="1122">
        <f t="shared" ca="1" si="1195"/>
        <v>2442.3637817275571</v>
      </c>
      <c r="BD668" s="1122">
        <f t="shared" ca="1" si="1195"/>
        <v>8623.689488060525</v>
      </c>
      <c r="BE668" s="1122">
        <f t="shared" ca="1" si="1195"/>
        <v>16614.107726768721</v>
      </c>
      <c r="BF668" s="1122">
        <f t="shared" ca="1" si="1195"/>
        <v>6068.7488437949023</v>
      </c>
      <c r="BG668" s="1122">
        <f ca="1">SUM(AZ668:BF668)</f>
        <v>47992.696016803857</v>
      </c>
      <c r="BI668" s="1122">
        <f t="shared" ref="BI668:BO668" ca="1" si="1196">BI667*BI647</f>
        <v>2417.283529437329</v>
      </c>
      <c r="BJ668" s="1122">
        <f t="shared" ca="1" si="1196"/>
        <v>669.82239591986217</v>
      </c>
      <c r="BK668" s="1122">
        <f t="shared" ca="1" si="1196"/>
        <v>4145.5633320586849</v>
      </c>
      <c r="BL668" s="1122">
        <f t="shared" ca="1" si="1196"/>
        <v>1250.7733569201334</v>
      </c>
      <c r="BM668" s="1122">
        <f t="shared" ca="1" si="1196"/>
        <v>4373.760315958506</v>
      </c>
      <c r="BN668" s="1122">
        <f t="shared" ca="1" si="1196"/>
        <v>8546.5745936783187</v>
      </c>
      <c r="BO668" s="1122">
        <f t="shared" ca="1" si="1196"/>
        <v>3092.1251592422409</v>
      </c>
      <c r="BP668" s="1122">
        <f ca="1">SUM(BI668:BO668)</f>
        <v>24495.902683215078</v>
      </c>
    </row>
    <row r="669" spans="2:68" ht="13.2" customHeight="1">
      <c r="B669" s="280" t="s">
        <v>1880</v>
      </c>
      <c r="G669" s="1122">
        <f t="shared" ca="1" si="1178"/>
        <v>3.3563102618159064</v>
      </c>
      <c r="H669" s="1122">
        <f t="shared" ca="1" si="1178"/>
        <v>-0.70845924779928282</v>
      </c>
      <c r="I669" s="1122">
        <f t="shared" ca="1" si="1178"/>
        <v>35.080533878783172</v>
      </c>
      <c r="J669" s="1122">
        <f t="shared" ca="1" si="1178"/>
        <v>7.4466925885872115</v>
      </c>
      <c r="K669" s="1122">
        <f t="shared" ca="1" si="1178"/>
        <v>49.050638320400139</v>
      </c>
      <c r="L669" s="1122">
        <f t="shared" ca="1" si="1178"/>
        <v>226.68943049991685</v>
      </c>
      <c r="M669" s="1122">
        <f t="shared" ca="1" si="1178"/>
        <v>29.146197088987719</v>
      </c>
      <c r="N669" s="1127">
        <f ca="1">W669+AF669+AO669+AX669+BG669+BP669</f>
        <v>350.06134339069104</v>
      </c>
      <c r="O669" s="39">
        <f>ROW()</f>
        <v>669</v>
      </c>
      <c r="P669" s="10">
        <f t="shared" ref="P669:W669" ca="1" si="1197">P668-P667</f>
        <v>1.6873410107946256</v>
      </c>
      <c r="Q669" s="10">
        <f t="shared" ca="1" si="1197"/>
        <v>-0.35711774115634398</v>
      </c>
      <c r="R669" s="10">
        <f t="shared" ca="1" si="1197"/>
        <v>17.886559516788111</v>
      </c>
      <c r="S669" s="10">
        <f t="shared" ca="1" si="1197"/>
        <v>3.7908351304558892</v>
      </c>
      <c r="T669" s="10">
        <f t="shared" ca="1" si="1197"/>
        <v>24.8531180247046</v>
      </c>
      <c r="U669" s="10">
        <f t="shared" ca="1" si="1197"/>
        <v>115.63227515915059</v>
      </c>
      <c r="V669" s="10">
        <f t="shared" ca="1" si="1197"/>
        <v>14.80097443896193</v>
      </c>
      <c r="W669" s="138">
        <f t="shared" ca="1" si="1197"/>
        <v>178.29398553971259</v>
      </c>
      <c r="Y669" s="10">
        <f t="shared" ref="Y669:AF669" ca="1" si="1198">Y668-Y667</f>
        <v>1.1867736051281099</v>
      </c>
      <c r="Z669" s="10">
        <f t="shared" ca="1" si="1198"/>
        <v>-0.25117501821864607</v>
      </c>
      <c r="AA669" s="10">
        <f t="shared" ca="1" si="1198"/>
        <v>12.580324063299486</v>
      </c>
      <c r="AB669" s="10">
        <f t="shared" ca="1" si="1198"/>
        <v>2.6662441352632413</v>
      </c>
      <c r="AC669" s="10">
        <f t="shared" ca="1" si="1198"/>
        <v>17.480179932910687</v>
      </c>
      <c r="AD669" s="10">
        <f t="shared" ca="1" si="1198"/>
        <v>81.328748120246019</v>
      </c>
      <c r="AE669" s="10">
        <f t="shared" ca="1" si="1198"/>
        <v>10.410110156733936</v>
      </c>
      <c r="AF669" s="138">
        <f t="shared" ca="1" si="1198"/>
        <v>125.40120499535988</v>
      </c>
      <c r="AH669" s="10">
        <f t="shared" ref="AH669:AO669" ca="1" si="1199">AH668-AH667</f>
        <v>0</v>
      </c>
      <c r="AI669" s="10">
        <f t="shared" ca="1" si="1199"/>
        <v>0</v>
      </c>
      <c r="AJ669" s="10">
        <f t="shared" ca="1" si="1199"/>
        <v>0</v>
      </c>
      <c r="AK669" s="10">
        <f t="shared" ca="1" si="1199"/>
        <v>0</v>
      </c>
      <c r="AL669" s="10">
        <f t="shared" ca="1" si="1199"/>
        <v>0</v>
      </c>
      <c r="AM669" s="10">
        <f t="shared" ca="1" si="1199"/>
        <v>0</v>
      </c>
      <c r="AN669" s="10">
        <f t="shared" ca="1" si="1199"/>
        <v>0</v>
      </c>
      <c r="AO669" s="138">
        <f t="shared" ca="1" si="1199"/>
        <v>0</v>
      </c>
      <c r="AQ669" s="10">
        <f t="shared" ref="AQ669:AX669" si="1200">AQ668-AQ667</f>
        <v>0</v>
      </c>
      <c r="AR669" s="10">
        <f t="shared" si="1200"/>
        <v>0</v>
      </c>
      <c r="AS669" s="10">
        <f t="shared" si="1200"/>
        <v>0</v>
      </c>
      <c r="AT669" s="10">
        <f t="shared" si="1200"/>
        <v>0</v>
      </c>
      <c r="AU669" s="10">
        <f t="shared" si="1200"/>
        <v>0</v>
      </c>
      <c r="AV669" s="10">
        <f t="shared" si="1200"/>
        <v>0</v>
      </c>
      <c r="AW669" s="10">
        <f t="shared" si="1200"/>
        <v>0</v>
      </c>
      <c r="AX669" s="138">
        <f t="shared" si="1200"/>
        <v>0</v>
      </c>
      <c r="AZ669" s="10">
        <f t="shared" ref="AZ669:BG669" ca="1" si="1201">AZ668-AZ667</f>
        <v>0.2757133473378417</v>
      </c>
      <c r="BA669" s="10">
        <f t="shared" ca="1" si="1201"/>
        <v>-5.7145641351780796E-2</v>
      </c>
      <c r="BB669" s="10">
        <f t="shared" ca="1" si="1201"/>
        <v>2.6055217916018591</v>
      </c>
      <c r="BC669" s="10">
        <f t="shared" ca="1" si="1201"/>
        <v>0.55969493317070373</v>
      </c>
      <c r="BD669" s="10">
        <f t="shared" ca="1" si="1201"/>
        <v>3.815184877736101</v>
      </c>
      <c r="BE669" s="10">
        <f t="shared" ca="1" si="1201"/>
        <v>16.782150213155546</v>
      </c>
      <c r="BF669" s="10">
        <f t="shared" ca="1" si="1201"/>
        <v>2.2305315703961242</v>
      </c>
      <c r="BG669" s="138">
        <f t="shared" ca="1" si="1201"/>
        <v>26.211651092038665</v>
      </c>
      <c r="BI669" s="10">
        <f t="shared" ref="BI669:BP669" ca="1" si="1202">BI668-BI667</f>
        <v>0.20648229855532918</v>
      </c>
      <c r="BJ669" s="10">
        <f t="shared" ca="1" si="1202"/>
        <v>-4.302084707251197E-2</v>
      </c>
      <c r="BK669" s="10">
        <f t="shared" ca="1" si="1202"/>
        <v>2.0081285070937156</v>
      </c>
      <c r="BL669" s="10">
        <f t="shared" ca="1" si="1202"/>
        <v>0.42991838969464879</v>
      </c>
      <c r="BM669" s="10">
        <f t="shared" ca="1" si="1202"/>
        <v>2.9021554850487519</v>
      </c>
      <c r="BN669" s="10">
        <f t="shared" ca="1" si="1202"/>
        <v>12.946257007364693</v>
      </c>
      <c r="BO669" s="10">
        <f t="shared" ca="1" si="1202"/>
        <v>1.7045809228957296</v>
      </c>
      <c r="BP669" s="138">
        <f t="shared" ca="1" si="1202"/>
        <v>20.154501763579901</v>
      </c>
    </row>
    <row r="670" spans="2:68" ht="13.2" customHeight="1">
      <c r="G670" s="1122"/>
      <c r="H670" s="1122"/>
      <c r="I670" s="1122"/>
      <c r="J670" s="1122"/>
      <c r="K670" s="1122"/>
      <c r="L670" s="1122"/>
      <c r="M670" s="1122"/>
      <c r="N670" s="1122"/>
      <c r="O670" s="39">
        <f>ROW()</f>
        <v>670</v>
      </c>
    </row>
    <row r="671" spans="2:68" ht="13.2" customHeight="1">
      <c r="B671" s="308" t="s">
        <v>1434</v>
      </c>
      <c r="G671" s="1122">
        <f t="shared" ref="G671:N672" ca="1" si="1203">P671+Y671+AH671+AQ671+AZ671+BI671</f>
        <v>427499.47129314794</v>
      </c>
      <c r="H671" s="1122">
        <f t="shared" ca="1" si="1203"/>
        <v>76717.86573944737</v>
      </c>
      <c r="I671" s="1122">
        <f t="shared" ca="1" si="1203"/>
        <v>486831.73578857881</v>
      </c>
      <c r="J671" s="1122">
        <f t="shared" ca="1" si="1203"/>
        <v>158753.07312335508</v>
      </c>
      <c r="K671" s="1122">
        <f t="shared" ca="1" si="1203"/>
        <v>580610.96514815395</v>
      </c>
      <c r="L671" s="1122">
        <f t="shared" ca="1" si="1203"/>
        <v>1021828.3187947754</v>
      </c>
      <c r="M671" s="1122">
        <f t="shared" ca="1" si="1203"/>
        <v>431865.010957997</v>
      </c>
      <c r="N671" s="1127">
        <f t="shared" ca="1" si="1203"/>
        <v>3184106.440845455</v>
      </c>
      <c r="O671" s="39">
        <f>ROW()</f>
        <v>671</v>
      </c>
      <c r="P671" s="10">
        <f ca="1">P624</f>
        <v>53749.014257879986</v>
      </c>
      <c r="Q671" s="10">
        <f t="shared" ref="Q671:V671" ca="1" si="1204">Q624</f>
        <v>20995.171647038384</v>
      </c>
      <c r="R671" s="10">
        <f t="shared" ca="1" si="1204"/>
        <v>134710.62882688854</v>
      </c>
      <c r="S671" s="10">
        <f t="shared" ca="1" si="1204"/>
        <v>36006.851181521371</v>
      </c>
      <c r="T671" s="10">
        <f t="shared" ca="1" si="1204"/>
        <v>121443.22154022582</v>
      </c>
      <c r="U671" s="10">
        <f t="shared" ca="1" si="1204"/>
        <v>192550.06714406013</v>
      </c>
      <c r="V671" s="10">
        <f t="shared" ca="1" si="1204"/>
        <v>67349.060924493228</v>
      </c>
      <c r="W671" s="10">
        <f ca="1">SUM(P671:V671)</f>
        <v>626804.01552210748</v>
      </c>
      <c r="Y671" s="10">
        <f ca="1">Y624</f>
        <v>51439.850085305545</v>
      </c>
      <c r="Z671" s="10">
        <f t="shared" ref="Z671:AE671" ca="1" si="1205">Z624</f>
        <v>7800.6131551778008</v>
      </c>
      <c r="AA671" s="10">
        <f t="shared" ca="1" si="1205"/>
        <v>54643.148312826386</v>
      </c>
      <c r="AB671" s="10">
        <f t="shared" ca="1" si="1205"/>
        <v>21658.516284650017</v>
      </c>
      <c r="AC671" s="10">
        <f t="shared" ca="1" si="1205"/>
        <v>86651.918417303037</v>
      </c>
      <c r="AD671" s="10">
        <f t="shared" ca="1" si="1205"/>
        <v>178607.76546678587</v>
      </c>
      <c r="AE671" s="10">
        <f t="shared" ca="1" si="1205"/>
        <v>61794.163466912396</v>
      </c>
      <c r="AF671" s="10">
        <f ca="1">SUM(Y671:AE671)</f>
        <v>462595.97518896108</v>
      </c>
      <c r="AH671" s="10">
        <f ca="1">AH624</f>
        <v>45281.599407828879</v>
      </c>
      <c r="AI671" s="10">
        <f t="shared" ref="AI671:AN671" ca="1" si="1206">AI624</f>
        <v>6726.4783215422785</v>
      </c>
      <c r="AJ671" s="10">
        <f t="shared" ca="1" si="1206"/>
        <v>33836.40819482955</v>
      </c>
      <c r="AK671" s="10">
        <f t="shared" ca="1" si="1206"/>
        <v>10328.186009153836</v>
      </c>
      <c r="AL671" s="10">
        <f t="shared" ca="1" si="1206"/>
        <v>46224.577154995786</v>
      </c>
      <c r="AM671" s="10">
        <f t="shared" ca="1" si="1206"/>
        <v>93195.139878533373</v>
      </c>
      <c r="AN671" s="10">
        <f t="shared" ca="1" si="1206"/>
        <v>42186.374285760219</v>
      </c>
      <c r="AO671" s="10">
        <f ca="1">SUM(AH671:AN671)</f>
        <v>277778.76325264393</v>
      </c>
      <c r="AQ671" s="10">
        <f ca="1">AQ624</f>
        <v>240050.42598557673</v>
      </c>
      <c r="AR671" s="10">
        <f t="shared" ref="AR671:AW671" ca="1" si="1207">AR624</f>
        <v>32205.005406578308</v>
      </c>
      <c r="AS671" s="10">
        <f t="shared" ca="1" si="1207"/>
        <v>208017.98164423773</v>
      </c>
      <c r="AT671" s="10">
        <f t="shared" ca="1" si="1207"/>
        <v>73953.314528786039</v>
      </c>
      <c r="AU671" s="10">
        <f t="shared" ca="1" si="1207"/>
        <v>264250.20000315504</v>
      </c>
      <c r="AV671" s="10">
        <f t="shared" ca="1" si="1207"/>
        <v>442462.35930972925</v>
      </c>
      <c r="AW671" s="10">
        <f t="shared" ca="1" si="1207"/>
        <v>217925.7664214203</v>
      </c>
      <c r="AX671" s="10">
        <f ca="1">SUM(AQ671:AW671)</f>
        <v>1478865.0532994834</v>
      </c>
      <c r="AZ671" s="10">
        <f ca="1">AZ624</f>
        <v>29469.002080280923</v>
      </c>
      <c r="BA671" s="10">
        <f t="shared" ref="BA671:BF671" ca="1" si="1208">BA624</f>
        <v>7096.4182054903176</v>
      </c>
      <c r="BB671" s="10">
        <f t="shared" ca="1" si="1208"/>
        <v>43965.759884687155</v>
      </c>
      <c r="BC671" s="10">
        <f t="shared" ca="1" si="1208"/>
        <v>13281.762450156933</v>
      </c>
      <c r="BD671" s="10">
        <f t="shared" ca="1" si="1208"/>
        <v>49208.419978059857</v>
      </c>
      <c r="BE671" s="10">
        <f t="shared" ca="1" si="1208"/>
        <v>90935.931803158295</v>
      </c>
      <c r="BF671" s="10">
        <f t="shared" ca="1" si="1208"/>
        <v>33734.365498717896</v>
      </c>
      <c r="BG671" s="10">
        <f ca="1">SUM(AZ671:BF671)</f>
        <v>267691.65990055137</v>
      </c>
      <c r="BI671" s="10">
        <f ca="1">BI624</f>
        <v>7509.5794762758178</v>
      </c>
      <c r="BJ671" s="10">
        <f t="shared" ref="BJ671:BO671" ca="1" si="1209">BJ624</f>
        <v>1894.1790036202733</v>
      </c>
      <c r="BK671" s="10">
        <f t="shared" ca="1" si="1209"/>
        <v>11657.808925109399</v>
      </c>
      <c r="BL671" s="10">
        <f t="shared" ca="1" si="1209"/>
        <v>3524.4426690868677</v>
      </c>
      <c r="BM671" s="10">
        <f t="shared" ca="1" si="1209"/>
        <v>12832.628054414461</v>
      </c>
      <c r="BN671" s="10">
        <f t="shared" ca="1" si="1209"/>
        <v>24077.055192508342</v>
      </c>
      <c r="BO671" s="10">
        <f t="shared" ca="1" si="1209"/>
        <v>8875.2803606929156</v>
      </c>
      <c r="BP671" s="10">
        <f ca="1">SUM(BI671:BO671)</f>
        <v>70370.97368170807</v>
      </c>
    </row>
    <row r="672" spans="2:68" ht="13.2" customHeight="1">
      <c r="B672" s="308" t="s">
        <v>608</v>
      </c>
      <c r="G672" s="1122">
        <f t="shared" ca="1" si="1203"/>
        <v>428270.09553393116</v>
      </c>
      <c r="H672" s="1122">
        <f t="shared" ca="1" si="1203"/>
        <v>76904.807319545012</v>
      </c>
      <c r="I672" s="1122">
        <f t="shared" ca="1" si="1203"/>
        <v>488393.8246830884</v>
      </c>
      <c r="J672" s="1122">
        <f t="shared" ca="1" si="1203"/>
        <v>159158.36115353156</v>
      </c>
      <c r="K672" s="1122">
        <f t="shared" ca="1" si="1203"/>
        <v>582058.12536067714</v>
      </c>
      <c r="L672" s="1122">
        <f t="shared" ca="1" si="1203"/>
        <v>1025585.9058163739</v>
      </c>
      <c r="M672" s="1122">
        <f t="shared" ca="1" si="1203"/>
        <v>432820.1964448588</v>
      </c>
      <c r="N672" s="1127">
        <f t="shared" ca="1" si="1203"/>
        <v>3193191.3163120062</v>
      </c>
      <c r="O672" s="39">
        <f>ROW()</f>
        <v>672</v>
      </c>
      <c r="P672" s="10">
        <f t="shared" ref="P672:V672" ca="1" si="1210">P657+P664+P668</f>
        <v>54021.325232265786</v>
      </c>
      <c r="Q672" s="10">
        <f t="shared" ca="1" si="1210"/>
        <v>21095.73291667067</v>
      </c>
      <c r="R672" s="10">
        <f t="shared" ca="1" si="1210"/>
        <v>135536.35315235262</v>
      </c>
      <c r="S672" s="10">
        <f t="shared" ca="1" si="1210"/>
        <v>36190.386223164758</v>
      </c>
      <c r="T672" s="10">
        <f t="shared" ca="1" si="1210"/>
        <v>122048.08964290471</v>
      </c>
      <c r="U672" s="10">
        <f t="shared" ca="1" si="1210"/>
        <v>193821.14739579085</v>
      </c>
      <c r="V672" s="10">
        <f t="shared" ca="1" si="1210"/>
        <v>67690.145914629771</v>
      </c>
      <c r="W672" s="10">
        <f ca="1">SUM(P672:V672)</f>
        <v>630403.18047777913</v>
      </c>
      <c r="Y672" s="10">
        <f t="shared" ref="Y672:AE672" ca="1" si="1211">Y657+Y664+Y668</f>
        <v>51707.905166990902</v>
      </c>
      <c r="Z672" s="10">
        <f t="shared" ca="1" si="1211"/>
        <v>7837.5535882369222</v>
      </c>
      <c r="AA672" s="10">
        <f t="shared" ca="1" si="1211"/>
        <v>54944.46739238505</v>
      </c>
      <c r="AB672" s="10">
        <f t="shared" ca="1" si="1211"/>
        <v>21769.726047612399</v>
      </c>
      <c r="AC672" s="10">
        <f t="shared" ca="1" si="1211"/>
        <v>87094.382129972131</v>
      </c>
      <c r="AD672" s="10">
        <f t="shared" ca="1" si="1211"/>
        <v>179895.64886761559</v>
      </c>
      <c r="AE672" s="10">
        <f t="shared" ca="1" si="1211"/>
        <v>62113.125766449302</v>
      </c>
      <c r="AF672" s="10">
        <f ca="1">SUM(Y672:AE672)</f>
        <v>465362.80895926227</v>
      </c>
      <c r="AH672" s="10">
        <f t="shared" ref="AH672:AN672" ca="1" si="1212">AH657+AH664+AH668</f>
        <v>45365.399713727456</v>
      </c>
      <c r="AI672" s="10">
        <f t="shared" ca="1" si="1212"/>
        <v>6743.1230307593742</v>
      </c>
      <c r="AJ672" s="10">
        <f t="shared" ca="1" si="1212"/>
        <v>34011.404506900915</v>
      </c>
      <c r="AK672" s="10">
        <f t="shared" ca="1" si="1212"/>
        <v>10367.399107987272</v>
      </c>
      <c r="AL672" s="10">
        <f t="shared" ca="1" si="1212"/>
        <v>46369.434334983322</v>
      </c>
      <c r="AM672" s="10">
        <f t="shared" ca="1" si="1212"/>
        <v>93806.953421811631</v>
      </c>
      <c r="AN672" s="10">
        <f t="shared" ca="1" si="1212"/>
        <v>42306.226718871694</v>
      </c>
      <c r="AO672" s="10">
        <f ca="1">SUM(AH672:AN672)</f>
        <v>278969.94083504163</v>
      </c>
      <c r="AQ672" s="10">
        <f t="shared" ref="AQ672:AW672" ca="1" si="1213">AQ671</f>
        <v>240050.42598557673</v>
      </c>
      <c r="AR672" s="10">
        <f t="shared" ca="1" si="1213"/>
        <v>32205.005406578308</v>
      </c>
      <c r="AS672" s="10">
        <f t="shared" ca="1" si="1213"/>
        <v>208017.98164423773</v>
      </c>
      <c r="AT672" s="10">
        <f t="shared" ca="1" si="1213"/>
        <v>73953.314528786039</v>
      </c>
      <c r="AU672" s="10">
        <f t="shared" ca="1" si="1213"/>
        <v>264250.20000315504</v>
      </c>
      <c r="AV672" s="10">
        <f t="shared" ca="1" si="1213"/>
        <v>442462.35930972925</v>
      </c>
      <c r="AW672" s="10">
        <f t="shared" ca="1" si="1213"/>
        <v>217925.7664214203</v>
      </c>
      <c r="AX672" s="10">
        <f ca="1">SUM(AQ672:AW672)</f>
        <v>1478865.0532994834</v>
      </c>
      <c r="AZ672" s="10">
        <f t="shared" ref="AZ672:BF672" ca="1" si="1214">AZ657+AZ664+AZ668</f>
        <v>29593.20027772355</v>
      </c>
      <c r="BA672" s="10">
        <f t="shared" ca="1" si="1214"/>
        <v>7124.1703686238652</v>
      </c>
      <c r="BB672" s="10">
        <f t="shared" ca="1" si="1214"/>
        <v>44185.403776803883</v>
      </c>
      <c r="BC672" s="10">
        <f t="shared" ca="1" si="1214"/>
        <v>13342.285942853598</v>
      </c>
      <c r="BD672" s="10">
        <f t="shared" ca="1" si="1214"/>
        <v>49423.856410718065</v>
      </c>
      <c r="BE672" s="10">
        <f t="shared" ca="1" si="1214"/>
        <v>91424.08051524045</v>
      </c>
      <c r="BF672" s="10">
        <f t="shared" ca="1" si="1214"/>
        <v>33882.454245980698</v>
      </c>
      <c r="BG672" s="10">
        <f ca="1">SUM(AZ672:BF672)</f>
        <v>268975.45153794414</v>
      </c>
      <c r="BI672" s="10">
        <f t="shared" ref="BI672:BO672" ca="1" si="1215">BI657+BI664+BI668</f>
        <v>7531.8391576467075</v>
      </c>
      <c r="BJ672" s="10">
        <f t="shared" ca="1" si="1215"/>
        <v>1899.2220086758766</v>
      </c>
      <c r="BK672" s="10">
        <f t="shared" ca="1" si="1215"/>
        <v>11698.214210408085</v>
      </c>
      <c r="BL672" s="10">
        <f t="shared" ca="1" si="1215"/>
        <v>3535.2493031274616</v>
      </c>
      <c r="BM672" s="10">
        <f t="shared" ca="1" si="1215"/>
        <v>12872.16283894379</v>
      </c>
      <c r="BN672" s="10">
        <f t="shared" ca="1" si="1215"/>
        <v>24175.716306186099</v>
      </c>
      <c r="BO672" s="10">
        <f t="shared" ca="1" si="1215"/>
        <v>8902.4773775069716</v>
      </c>
      <c r="BP672" s="10">
        <f ca="1">SUM(BI672:BO672)</f>
        <v>70614.881202494988</v>
      </c>
    </row>
    <row r="673" spans="2:68" ht="13.2" customHeight="1">
      <c r="B673" s="308" t="s">
        <v>1308</v>
      </c>
      <c r="G673" s="10">
        <f t="shared" ref="G673:M673" ca="1" si="1216">G672/G$118</f>
        <v>71378.349255655194</v>
      </c>
      <c r="H673" s="10">
        <f t="shared" ca="1" si="1216"/>
        <v>76904.807319545012</v>
      </c>
      <c r="I673" s="10">
        <f t="shared" ca="1" si="1216"/>
        <v>162797.94156102947</v>
      </c>
      <c r="J673" s="10">
        <f t="shared" ca="1" si="1216"/>
        <v>159158.36115353156</v>
      </c>
      <c r="K673" s="10">
        <f t="shared" ca="1" si="1216"/>
        <v>145514.53134016928</v>
      </c>
      <c r="L673" s="10">
        <f t="shared" ca="1" si="1216"/>
        <v>170930.98430272899</v>
      </c>
      <c r="M673" s="10">
        <f t="shared" ca="1" si="1216"/>
        <v>144273.39881495293</v>
      </c>
      <c r="N673" s="6"/>
      <c r="O673" s="39">
        <f>ROW()</f>
        <v>673</v>
      </c>
      <c r="P673" s="10"/>
      <c r="Q673" s="10"/>
      <c r="R673" s="10"/>
      <c r="S673" s="10"/>
      <c r="T673" s="10"/>
      <c r="U673" s="10"/>
      <c r="V673" s="10"/>
      <c r="W673" s="10"/>
      <c r="Y673" s="10"/>
      <c r="Z673" s="10"/>
      <c r="AA673" s="10"/>
      <c r="AB673" s="10"/>
      <c r="AC673" s="10"/>
      <c r="AD673" s="10"/>
      <c r="AE673" s="10"/>
      <c r="AF673" s="10"/>
      <c r="AH673" s="10"/>
      <c r="AI673" s="10"/>
      <c r="AJ673" s="10"/>
      <c r="AK673" s="10"/>
      <c r="AL673" s="10"/>
      <c r="AM673" s="10"/>
      <c r="AN673" s="10"/>
      <c r="AO673" s="10"/>
      <c r="AQ673" s="10"/>
      <c r="AR673" s="10"/>
      <c r="AS673" s="10"/>
      <c r="AT673" s="10"/>
      <c r="AU673" s="10"/>
      <c r="AV673" s="10"/>
      <c r="AW673" s="10"/>
      <c r="AX673" s="10"/>
      <c r="AZ673" s="10"/>
      <c r="BA673" s="10"/>
      <c r="BB673" s="10"/>
      <c r="BC673" s="10"/>
      <c r="BD673" s="10"/>
      <c r="BE673" s="10"/>
      <c r="BF673" s="10"/>
      <c r="BG673" s="10"/>
      <c r="BI673" s="10"/>
      <c r="BJ673" s="10"/>
      <c r="BK673" s="10"/>
      <c r="BL673" s="10"/>
      <c r="BM673" s="10"/>
      <c r="BN673" s="10"/>
      <c r="BO673" s="10"/>
      <c r="BP673" s="10"/>
    </row>
    <row r="674" spans="2:68" ht="13.2" customHeight="1">
      <c r="B674" s="280" t="s">
        <v>2709</v>
      </c>
      <c r="G674" s="612">
        <f t="shared" ref="G674:M674" ca="1" si="1217">G672/G671</f>
        <v>1.0018026320323909</v>
      </c>
      <c r="H674" s="612">
        <f t="shared" ca="1" si="1217"/>
        <v>1.0024367411462218</v>
      </c>
      <c r="I674" s="612">
        <f t="shared" ca="1" si="1217"/>
        <v>1.0032086833697875</v>
      </c>
      <c r="J674" s="612">
        <f t="shared" ca="1" si="1217"/>
        <v>1.0025529460450922</v>
      </c>
      <c r="K674" s="612">
        <f t="shared" ca="1" si="1217"/>
        <v>1.0024924782675331</v>
      </c>
      <c r="L674" s="612">
        <f t="shared" ca="1" si="1217"/>
        <v>1.0036773173658275</v>
      </c>
      <c r="M674" s="612">
        <f t="shared" ca="1" si="1217"/>
        <v>1.0022117686374798</v>
      </c>
      <c r="N674" s="186"/>
      <c r="O674" s="39">
        <f>ROW()</f>
        <v>674</v>
      </c>
      <c r="P674" s="4147" t="s">
        <v>2680</v>
      </c>
      <c r="Q674" s="4147"/>
      <c r="R674" s="4147"/>
      <c r="S674" s="4147"/>
      <c r="T674" s="4147"/>
      <c r="U674" s="4147"/>
      <c r="V674" s="4147"/>
      <c r="W674" s="4147"/>
      <c r="Y674" s="4147" t="s">
        <v>2681</v>
      </c>
      <c r="Z674" s="4147"/>
      <c r="AA674" s="4147"/>
      <c r="AB674" s="4147"/>
      <c r="AC674" s="4147"/>
      <c r="AD674" s="4147"/>
      <c r="AE674" s="4147"/>
      <c r="AF674" s="4147"/>
      <c r="AH674" s="4263" t="s">
        <v>5482</v>
      </c>
      <c r="AI674" s="4264"/>
      <c r="AJ674" s="4264"/>
      <c r="AK674" s="4264"/>
      <c r="AL674" s="4264"/>
      <c r="AM674" s="4264"/>
      <c r="AN674" s="4264"/>
      <c r="AO674" s="4264"/>
      <c r="AQ674" s="4147" t="s">
        <v>713</v>
      </c>
      <c r="AR674" s="4147"/>
      <c r="AS674" s="4147"/>
      <c r="AT674" s="4147"/>
      <c r="AU674" s="4147"/>
      <c r="AV674" s="4147"/>
      <c r="AW674" s="4147"/>
      <c r="AX674" s="4147"/>
      <c r="AZ674" s="4147" t="s">
        <v>460</v>
      </c>
      <c r="BA674" s="4147"/>
      <c r="BB674" s="4147"/>
      <c r="BC674" s="4147"/>
      <c r="BD674" s="4147"/>
      <c r="BE674" s="4147"/>
      <c r="BF674" s="4147"/>
      <c r="BG674" s="4147"/>
      <c r="BI674" s="4147" t="s">
        <v>849</v>
      </c>
      <c r="BJ674" s="4147"/>
      <c r="BK674" s="4147"/>
      <c r="BL674" s="4147"/>
      <c r="BM674" s="4147"/>
      <c r="BN674" s="4147"/>
      <c r="BO674" s="4147"/>
      <c r="BP674" s="4147"/>
    </row>
    <row r="675" spans="2:68" ht="13.2" customHeight="1">
      <c r="G675" s="612"/>
      <c r="H675" s="612"/>
      <c r="I675" s="612"/>
      <c r="J675" s="612"/>
      <c r="K675" s="612"/>
      <c r="L675" s="612"/>
      <c r="M675" s="612"/>
      <c r="N675" s="186"/>
      <c r="O675" s="39">
        <f>ROW()</f>
        <v>675</v>
      </c>
      <c r="P675" s="10"/>
      <c r="Q675" s="10"/>
      <c r="R675" s="10"/>
      <c r="S675" s="10"/>
      <c r="T675" s="10"/>
      <c r="U675" s="10"/>
      <c r="V675" s="10"/>
      <c r="W675" s="10"/>
      <c r="Y675" s="10"/>
      <c r="Z675" s="10"/>
      <c r="AA675" s="10"/>
      <c r="AB675" s="10"/>
      <c r="AC675" s="10"/>
      <c r="AD675" s="10"/>
      <c r="AE675" s="10"/>
      <c r="AF675" s="10"/>
      <c r="AO675" s="10"/>
      <c r="AQ675" s="10"/>
      <c r="AR675" s="10"/>
      <c r="AS675" s="10"/>
      <c r="AT675" s="10"/>
      <c r="AU675" s="10"/>
      <c r="AV675" s="10"/>
      <c r="AW675" s="10"/>
      <c r="AX675" s="10"/>
      <c r="AZ675" s="10"/>
      <c r="BA675" s="10"/>
      <c r="BB675" s="10"/>
      <c r="BC675" s="10"/>
      <c r="BD675" s="10"/>
      <c r="BE675" s="10"/>
      <c r="BF675" s="10"/>
      <c r="BG675" s="10"/>
      <c r="BI675" s="10"/>
      <c r="BJ675" s="10"/>
      <c r="BK675" s="10"/>
      <c r="BL675" s="10"/>
      <c r="BM675" s="10"/>
      <c r="BN675" s="10"/>
      <c r="BO675" s="10"/>
      <c r="BP675" s="10"/>
    </row>
    <row r="676" spans="2:68" ht="13.2" customHeight="1">
      <c r="B676" s="308" t="s">
        <v>587</v>
      </c>
      <c r="C676" s="280"/>
      <c r="D676" s="280"/>
      <c r="E676" s="280"/>
      <c r="F676" s="280"/>
      <c r="G676" s="280"/>
      <c r="H676" s="280"/>
      <c r="I676" s="280"/>
      <c r="J676" s="280"/>
      <c r="K676" s="280"/>
      <c r="L676" s="280"/>
      <c r="M676" s="280"/>
      <c r="N676" s="280"/>
      <c r="O676" s="39">
        <f>ROW()</f>
        <v>676</v>
      </c>
    </row>
    <row r="677" spans="2:68" ht="13.2" customHeight="1">
      <c r="B677" s="280" t="s">
        <v>2034</v>
      </c>
      <c r="E677" s="280"/>
      <c r="F677" s="280"/>
      <c r="G677" s="21">
        <f t="shared" ref="G677:M677" ca="1" si="1218">KSC/(1+0.1*(G673*$G$401/V_sub_k)^KSE)</f>
        <v>21.209894519499823</v>
      </c>
      <c r="H677" s="21">
        <f t="shared" ca="1" si="1218"/>
        <v>20.948411989595737</v>
      </c>
      <c r="I677" s="21">
        <f t="shared" ca="1" si="1218"/>
        <v>10.955976842232523</v>
      </c>
      <c r="J677" s="21">
        <f t="shared" ca="1" si="1218"/>
        <v>11.453142675438356</v>
      </c>
      <c r="K677" s="21">
        <f t="shared" ca="1" si="1218"/>
        <v>13.386579532655599</v>
      </c>
      <c r="L677" s="21">
        <f t="shared" ca="1" si="1218"/>
        <v>9.8872938517447491</v>
      </c>
      <c r="M677" s="21">
        <f t="shared" ca="1" si="1218"/>
        <v>13.565475075981302</v>
      </c>
      <c r="O677" s="39">
        <f>ROW()</f>
        <v>677</v>
      </c>
      <c r="P677" s="21">
        <f t="shared" ref="P677:V678" ca="1" si="1219">G677</f>
        <v>21.209894519499823</v>
      </c>
      <c r="Q677" s="21">
        <f t="shared" ca="1" si="1219"/>
        <v>20.948411989595737</v>
      </c>
      <c r="R677" s="21">
        <f t="shared" ca="1" si="1219"/>
        <v>10.955976842232523</v>
      </c>
      <c r="S677" s="21">
        <f t="shared" ca="1" si="1219"/>
        <v>11.453142675438356</v>
      </c>
      <c r="T677" s="21">
        <f t="shared" ca="1" si="1219"/>
        <v>13.386579532655599</v>
      </c>
      <c r="U677" s="21">
        <f t="shared" ca="1" si="1219"/>
        <v>9.8872938517447491</v>
      </c>
      <c r="V677" s="21">
        <f t="shared" ca="1" si="1219"/>
        <v>13.565475075981302</v>
      </c>
      <c r="Y677" s="21">
        <f t="shared" ref="Y677:AE678" ca="1" si="1220">G677</f>
        <v>21.209894519499823</v>
      </c>
      <c r="Z677" s="21">
        <f t="shared" ca="1" si="1220"/>
        <v>20.948411989595737</v>
      </c>
      <c r="AA677" s="21">
        <f t="shared" ca="1" si="1220"/>
        <v>10.955976842232523</v>
      </c>
      <c r="AB677" s="21">
        <f t="shared" ca="1" si="1220"/>
        <v>11.453142675438356</v>
      </c>
      <c r="AC677" s="21">
        <f t="shared" ca="1" si="1220"/>
        <v>13.386579532655599</v>
      </c>
      <c r="AD677" s="21">
        <f t="shared" ca="1" si="1220"/>
        <v>9.8872938517447491</v>
      </c>
      <c r="AE677" s="21">
        <f t="shared" ca="1" si="1220"/>
        <v>13.565475075981302</v>
      </c>
      <c r="AH677" s="21">
        <f t="shared" ref="AH677:AN678" ca="1" si="1221">P677</f>
        <v>21.209894519499823</v>
      </c>
      <c r="AI677" s="21">
        <f t="shared" ca="1" si="1221"/>
        <v>20.948411989595737</v>
      </c>
      <c r="AJ677" s="21">
        <f t="shared" ca="1" si="1221"/>
        <v>10.955976842232523</v>
      </c>
      <c r="AK677" s="21">
        <f t="shared" ca="1" si="1221"/>
        <v>11.453142675438356</v>
      </c>
      <c r="AL677" s="21">
        <f t="shared" ca="1" si="1221"/>
        <v>13.386579532655599</v>
      </c>
      <c r="AM677" s="21">
        <f t="shared" ca="1" si="1221"/>
        <v>9.8872938517447491</v>
      </c>
      <c r="AN677" s="21">
        <f t="shared" ca="1" si="1221"/>
        <v>13.565475075981302</v>
      </c>
      <c r="AQ677" s="21">
        <f t="shared" ref="AQ677:AW677" ca="1" si="1222">G677*$AU$181</f>
        <v>20.149399793524832</v>
      </c>
      <c r="AR677" s="21">
        <f t="shared" ca="1" si="1222"/>
        <v>19.900991390115948</v>
      </c>
      <c r="AS677" s="21">
        <f t="shared" ca="1" si="1222"/>
        <v>10.408178000120897</v>
      </c>
      <c r="AT677" s="21">
        <f t="shared" ca="1" si="1222"/>
        <v>10.880485541666438</v>
      </c>
      <c r="AU677" s="21">
        <f t="shared" ca="1" si="1222"/>
        <v>12.717250556022819</v>
      </c>
      <c r="AV677" s="21">
        <f t="shared" ca="1" si="1222"/>
        <v>9.3929291591575108</v>
      </c>
      <c r="AW677" s="21">
        <f t="shared" ca="1" si="1222"/>
        <v>12.887201322182237</v>
      </c>
      <c r="AZ677" s="21">
        <f t="shared" ref="AZ677:BF678" ca="1" si="1223">G677</f>
        <v>21.209894519499823</v>
      </c>
      <c r="BA677" s="21">
        <f t="shared" ca="1" si="1223"/>
        <v>20.948411989595737</v>
      </c>
      <c r="BB677" s="21">
        <f t="shared" ca="1" si="1223"/>
        <v>10.955976842232523</v>
      </c>
      <c r="BC677" s="21">
        <f t="shared" ca="1" si="1223"/>
        <v>11.453142675438356</v>
      </c>
      <c r="BD677" s="21">
        <f t="shared" ca="1" si="1223"/>
        <v>13.386579532655599</v>
      </c>
      <c r="BE677" s="21">
        <f t="shared" ca="1" si="1223"/>
        <v>9.8872938517447491</v>
      </c>
      <c r="BF677" s="21">
        <f t="shared" ca="1" si="1223"/>
        <v>13.565475075981302</v>
      </c>
      <c r="BG677" s="21"/>
      <c r="BI677" s="21">
        <f t="shared" ref="BI677:BO678" ca="1" si="1224">G677</f>
        <v>21.209894519499823</v>
      </c>
      <c r="BJ677" s="21">
        <f t="shared" ca="1" si="1224"/>
        <v>20.948411989595737</v>
      </c>
      <c r="BK677" s="21">
        <f t="shared" ca="1" si="1224"/>
        <v>10.955976842232523</v>
      </c>
      <c r="BL677" s="21">
        <f t="shared" ca="1" si="1224"/>
        <v>11.453142675438356</v>
      </c>
      <c r="BM677" s="21">
        <f t="shared" ca="1" si="1224"/>
        <v>13.386579532655599</v>
      </c>
      <c r="BN677" s="21">
        <f t="shared" ca="1" si="1224"/>
        <v>9.8872938517447491</v>
      </c>
      <c r="BO677" s="21">
        <f t="shared" ca="1" si="1224"/>
        <v>13.565475075981302</v>
      </c>
      <c r="BP677" s="21"/>
    </row>
    <row r="678" spans="2:68" ht="13.2" customHeight="1">
      <c r="B678" s="280" t="s">
        <v>1428</v>
      </c>
      <c r="E678" s="280"/>
      <c r="F678" s="280"/>
      <c r="G678" s="21">
        <f ca="1">MIN('Speed-Vol., non-Cordon'!$X$57*(G630 / 'Speed-Vol., non-Cordon'!$X$57)^G649,'Speed-Vol., non-Cordon'!$X$32)</f>
        <v>54.993614876081409</v>
      </c>
      <c r="H678" s="21">
        <f ca="1">MIN('Speed-Vol., non-Cordon'!$X$57*(H630 / 'Speed-Vol., non-Cordon'!$X$57)^H649,'Speed-Vol., non-Cordon'!$X$32)</f>
        <v>47.589134297863012</v>
      </c>
      <c r="I678" s="21">
        <f ca="1">MIN('Speed-Vol., non-Cordon'!$X$57*(I630 / 'Speed-Vol., non-Cordon'!$X$57)^I649,'Speed-Vol., non-Cordon'!$X$32)</f>
        <v>18.266072770137352</v>
      </c>
      <c r="J678" s="21">
        <f ca="1">MIN('Speed-Vol., non-Cordon'!$X$57*(J630 / 'Speed-Vol., non-Cordon'!$X$57)^J649,'Speed-Vol., non-Cordon'!$X$32)</f>
        <v>21.660018112607325</v>
      </c>
      <c r="K678" s="21">
        <f ca="1">MIN('Speed-Vol., non-Cordon'!$X$57*(K630 / 'Speed-Vol., non-Cordon'!$X$57)^K649,'Speed-Vol., non-Cordon'!$X$32)</f>
        <v>25.234197912099241</v>
      </c>
      <c r="L678" s="21">
        <f ca="1">MIN('Speed-Vol., non-Cordon'!$X$57*(L630 / 'Speed-Vol., non-Cordon'!$X$57)^L649,'Speed-Vol., non-Cordon'!$X$32)</f>
        <v>16.450341552383531</v>
      </c>
      <c r="M678" s="21">
        <f ca="1">MIN('Speed-Vol., non-Cordon'!$X$57*(M630 / 'Speed-Vol., non-Cordon'!$X$57)^M649,'Speed-Vol., non-Cordon'!$X$32)</f>
        <v>27.517765877194641</v>
      </c>
      <c r="O678" s="39">
        <f>ROW()</f>
        <v>678</v>
      </c>
      <c r="P678" s="21">
        <f t="shared" ca="1" si="1219"/>
        <v>54.993614876081409</v>
      </c>
      <c r="Q678" s="21">
        <f t="shared" ca="1" si="1219"/>
        <v>47.589134297863012</v>
      </c>
      <c r="R678" s="21">
        <f t="shared" ca="1" si="1219"/>
        <v>18.266072770137352</v>
      </c>
      <c r="S678" s="21">
        <f t="shared" ca="1" si="1219"/>
        <v>21.660018112607325</v>
      </c>
      <c r="T678" s="21">
        <f t="shared" ca="1" si="1219"/>
        <v>25.234197912099241</v>
      </c>
      <c r="U678" s="21">
        <f t="shared" ca="1" si="1219"/>
        <v>16.450341552383531</v>
      </c>
      <c r="V678" s="21">
        <f t="shared" ca="1" si="1219"/>
        <v>27.517765877194641</v>
      </c>
      <c r="W678" s="4272" t="s">
        <v>1878</v>
      </c>
      <c r="Y678" s="21">
        <f t="shared" ca="1" si="1220"/>
        <v>54.993614876081409</v>
      </c>
      <c r="Z678" s="21">
        <f t="shared" ca="1" si="1220"/>
        <v>47.589134297863012</v>
      </c>
      <c r="AA678" s="21">
        <f t="shared" ca="1" si="1220"/>
        <v>18.266072770137352</v>
      </c>
      <c r="AB678" s="21">
        <f t="shared" ca="1" si="1220"/>
        <v>21.660018112607325</v>
      </c>
      <c r="AC678" s="21">
        <f t="shared" ca="1" si="1220"/>
        <v>25.234197912099241</v>
      </c>
      <c r="AD678" s="21">
        <f t="shared" ca="1" si="1220"/>
        <v>16.450341552383531</v>
      </c>
      <c r="AE678" s="21">
        <f t="shared" ca="1" si="1220"/>
        <v>27.517765877194641</v>
      </c>
      <c r="AF678" s="4272" t="s">
        <v>1878</v>
      </c>
      <c r="AH678" s="21">
        <f t="shared" ca="1" si="1221"/>
        <v>54.993614876081409</v>
      </c>
      <c r="AI678" s="21">
        <f t="shared" ca="1" si="1221"/>
        <v>47.589134297863012</v>
      </c>
      <c r="AJ678" s="21">
        <f t="shared" ca="1" si="1221"/>
        <v>18.266072770137352</v>
      </c>
      <c r="AK678" s="21">
        <f t="shared" ca="1" si="1221"/>
        <v>21.660018112607325</v>
      </c>
      <c r="AL678" s="21">
        <f t="shared" ca="1" si="1221"/>
        <v>25.234197912099241</v>
      </c>
      <c r="AM678" s="21">
        <f t="shared" ca="1" si="1221"/>
        <v>16.450341552383531</v>
      </c>
      <c r="AN678" s="21">
        <f t="shared" ca="1" si="1221"/>
        <v>27.517765877194641</v>
      </c>
      <c r="AO678" s="4272" t="s">
        <v>1878</v>
      </c>
      <c r="AQ678" s="21">
        <f t="shared" ref="AQ678:AW678" ca="1" si="1225">G678*$AV$181</f>
        <v>54.443678727320595</v>
      </c>
      <c r="AR678" s="21">
        <f t="shared" ca="1" si="1225"/>
        <v>47.113242954884385</v>
      </c>
      <c r="AS678" s="21">
        <f t="shared" ca="1" si="1225"/>
        <v>18.083412042435977</v>
      </c>
      <c r="AT678" s="21">
        <f t="shared" ca="1" si="1225"/>
        <v>21.443417931481253</v>
      </c>
      <c r="AU678" s="21">
        <f t="shared" ca="1" si="1225"/>
        <v>24.981855932978249</v>
      </c>
      <c r="AV678" s="21">
        <f t="shared" ca="1" si="1225"/>
        <v>16.285838136859695</v>
      </c>
      <c r="AW678" s="21">
        <f t="shared" ca="1" si="1225"/>
        <v>27.242588218422693</v>
      </c>
      <c r="AX678" s="4272" t="s">
        <v>1878</v>
      </c>
      <c r="AZ678" s="21">
        <f t="shared" ca="1" si="1223"/>
        <v>54.993614876081409</v>
      </c>
      <c r="BA678" s="21">
        <f t="shared" ca="1" si="1223"/>
        <v>47.589134297863012</v>
      </c>
      <c r="BB678" s="21">
        <f t="shared" ca="1" si="1223"/>
        <v>18.266072770137352</v>
      </c>
      <c r="BC678" s="21">
        <f t="shared" ca="1" si="1223"/>
        <v>21.660018112607325</v>
      </c>
      <c r="BD678" s="21">
        <f t="shared" ca="1" si="1223"/>
        <v>25.234197912099241</v>
      </c>
      <c r="BE678" s="21">
        <f t="shared" ca="1" si="1223"/>
        <v>16.450341552383531</v>
      </c>
      <c r="BF678" s="21">
        <f t="shared" ca="1" si="1223"/>
        <v>27.517765877194641</v>
      </c>
      <c r="BG678" s="4272" t="s">
        <v>1878</v>
      </c>
      <c r="BI678" s="21">
        <f t="shared" ca="1" si="1224"/>
        <v>54.993614876081409</v>
      </c>
      <c r="BJ678" s="21">
        <f t="shared" ca="1" si="1224"/>
        <v>47.589134297863012</v>
      </c>
      <c r="BK678" s="21">
        <f t="shared" ca="1" si="1224"/>
        <v>18.266072770137352</v>
      </c>
      <c r="BL678" s="21">
        <f t="shared" ca="1" si="1224"/>
        <v>21.660018112607325</v>
      </c>
      <c r="BM678" s="21">
        <f t="shared" ca="1" si="1224"/>
        <v>25.234197912099241</v>
      </c>
      <c r="BN678" s="21">
        <f t="shared" ca="1" si="1224"/>
        <v>16.450341552383531</v>
      </c>
      <c r="BO678" s="21">
        <f t="shared" ca="1" si="1224"/>
        <v>27.517765877194641</v>
      </c>
      <c r="BP678" s="4272" t="s">
        <v>1878</v>
      </c>
    </row>
    <row r="679" spans="2:68" ht="13.2" customHeight="1">
      <c r="B679" s="280"/>
      <c r="O679" s="39">
        <f>ROW()</f>
        <v>679</v>
      </c>
      <c r="W679" s="4273"/>
      <c r="AF679" s="4273"/>
      <c r="AO679" s="4273"/>
      <c r="AX679" s="4273"/>
      <c r="BG679" s="4273"/>
      <c r="BP679" s="4273"/>
    </row>
    <row r="680" spans="2:68" ht="13.2" customHeight="1">
      <c r="B680" s="308" t="s">
        <v>2606</v>
      </c>
      <c r="F680" s="606"/>
      <c r="O680" s="39">
        <f>ROW()</f>
        <v>680</v>
      </c>
      <c r="W680" s="4273"/>
      <c r="AF680" s="4340"/>
      <c r="AO680" s="4340"/>
      <c r="AX680" s="4340"/>
      <c r="BG680" s="4340"/>
      <c r="BP680" s="4340"/>
    </row>
    <row r="681" spans="2:68" ht="13.2" customHeight="1">
      <c r="B681" s="280" t="s">
        <v>2158</v>
      </c>
      <c r="C681" s="297"/>
      <c r="D681" s="297"/>
      <c r="E681" s="297"/>
      <c r="F681" s="297"/>
      <c r="G681" s="4286" t="s">
        <v>2351</v>
      </c>
      <c r="H681" s="3775"/>
      <c r="I681" s="3775"/>
      <c r="J681" s="3775"/>
      <c r="K681" s="3775"/>
      <c r="L681" s="3776"/>
      <c r="O681" s="39">
        <f>ROW()</f>
        <v>681</v>
      </c>
      <c r="P681" s="21">
        <f t="shared" ref="P681:V681" ca="1" si="1226">($I$85)*60/P677</f>
        <v>3.5360854779851434</v>
      </c>
      <c r="Q681" s="21">
        <f t="shared" ca="1" si="1226"/>
        <v>3.5802236483247318</v>
      </c>
      <c r="R681" s="21">
        <f t="shared" ca="1" si="1226"/>
        <v>6.8455785440230166</v>
      </c>
      <c r="S681" s="21">
        <f t="shared" ca="1" si="1226"/>
        <v>6.5484209989665096</v>
      </c>
      <c r="T681" s="21">
        <f t="shared" ca="1" si="1226"/>
        <v>5.6026261090103633</v>
      </c>
      <c r="U681" s="21">
        <f t="shared" ca="1" si="1226"/>
        <v>7.5854931718010201</v>
      </c>
      <c r="V681" s="21">
        <f t="shared" ca="1" si="1226"/>
        <v>5.528741129958151</v>
      </c>
      <c r="W681" s="883">
        <f ca="1">SUMPRODUCT(P$476:V$476,P681:V681)/W$476</f>
        <v>6.2923771415475294</v>
      </c>
      <c r="Y681" s="21">
        <f t="shared" ref="Y681:AE681" ca="1" si="1227">($J$85)*60/Y677</f>
        <v>3.5360854779851434</v>
      </c>
      <c r="Z681" s="21">
        <f t="shared" ca="1" si="1227"/>
        <v>3.5802236483247318</v>
      </c>
      <c r="AA681" s="21">
        <f t="shared" ca="1" si="1227"/>
        <v>6.8455785440230166</v>
      </c>
      <c r="AB681" s="21">
        <f t="shared" ca="1" si="1227"/>
        <v>6.5484209989665096</v>
      </c>
      <c r="AC681" s="21">
        <f t="shared" ca="1" si="1227"/>
        <v>5.6026261090103633</v>
      </c>
      <c r="AD681" s="21">
        <f t="shared" ca="1" si="1227"/>
        <v>7.5854931718010201</v>
      </c>
      <c r="AE681" s="21">
        <f t="shared" ca="1" si="1227"/>
        <v>5.528741129958151</v>
      </c>
      <c r="AF681" s="613">
        <f ca="1">SUMPRODUCT(Y$476:AE$476,Y681:AE681)/AF$476</f>
        <v>6.2996219884660372</v>
      </c>
      <c r="AH681" s="21">
        <f t="shared" ref="AH681:AN681" ca="1" si="1228">($K$85)*60/AH677</f>
        <v>4.5261894118209831</v>
      </c>
      <c r="AI681" s="21">
        <f t="shared" ca="1" si="1228"/>
        <v>4.5826862698556567</v>
      </c>
      <c r="AJ681" s="21">
        <f t="shared" ca="1" si="1228"/>
        <v>8.7623405363494609</v>
      </c>
      <c r="AK681" s="21">
        <f t="shared" ca="1" si="1228"/>
        <v>8.381978878677133</v>
      </c>
      <c r="AL681" s="21">
        <f t="shared" ca="1" si="1228"/>
        <v>7.1713614195332642</v>
      </c>
      <c r="AM681" s="21">
        <f t="shared" ca="1" si="1228"/>
        <v>9.7094312599053048</v>
      </c>
      <c r="AN681" s="21">
        <f t="shared" ca="1" si="1228"/>
        <v>7.0767886463464329</v>
      </c>
      <c r="AO681" s="613">
        <f ca="1">SUMPRODUCT(AH$476:AN$476,AH681:AN681)/AO$476</f>
        <v>7.7962022309466672</v>
      </c>
      <c r="AQ681" s="21">
        <f t="shared" ref="AQ681:AW681" ca="1" si="1229">($L$85)*60/AQ677</f>
        <v>5.9555123839749777</v>
      </c>
      <c r="AR681" s="21">
        <f t="shared" ca="1" si="1229"/>
        <v>6.0298503550732327</v>
      </c>
      <c r="AS681" s="21">
        <f t="shared" ca="1" si="1229"/>
        <v>11.529395442565081</v>
      </c>
      <c r="AT681" s="21">
        <f t="shared" ca="1" si="1229"/>
        <v>11.028919577206754</v>
      </c>
      <c r="AU681" s="21">
        <f t="shared" ca="1" si="1229"/>
        <v>9.4360018678069277</v>
      </c>
      <c r="AV681" s="21">
        <f t="shared" ca="1" si="1229"/>
        <v>12.775567447243825</v>
      </c>
      <c r="AW681" s="21">
        <f t="shared" ca="1" si="1229"/>
        <v>9.3115640083505706</v>
      </c>
      <c r="AX681" s="613">
        <f ca="1">SUMPRODUCT(AQ$476:AW$476,AQ681:AW681)/AX$476</f>
        <v>10.151814839765432</v>
      </c>
      <c r="AZ681" s="21">
        <f t="shared" ref="AZ681:BF681" ca="1" si="1230">($M$85)*60/AZ677</f>
        <v>8.4866051471643438</v>
      </c>
      <c r="BA681" s="21">
        <f t="shared" ca="1" si="1230"/>
        <v>8.5925367559793564</v>
      </c>
      <c r="BB681" s="21">
        <f t="shared" ca="1" si="1230"/>
        <v>16.42938850565524</v>
      </c>
      <c r="BC681" s="21">
        <f t="shared" ca="1" si="1230"/>
        <v>15.716210397519623</v>
      </c>
      <c r="BD681" s="21">
        <f t="shared" ca="1" si="1230"/>
        <v>13.446302661624872</v>
      </c>
      <c r="BE681" s="21">
        <f t="shared" ca="1" si="1230"/>
        <v>18.205183612322447</v>
      </c>
      <c r="BF681" s="21">
        <f t="shared" ca="1" si="1230"/>
        <v>13.268978711899562</v>
      </c>
      <c r="BG681" s="613">
        <f ca="1">SUMPRODUCT(AZ$476:BF$476,AZ681:BF681)/BG$476</f>
        <v>14.980937465026994</v>
      </c>
      <c r="BI681" s="21">
        <f t="shared" ref="BI681:BO681" ca="1" si="1231">($N$85)*60/BI677</f>
        <v>5.6577367647762289</v>
      </c>
      <c r="BJ681" s="21">
        <f t="shared" ca="1" si="1231"/>
        <v>5.7283578373195709</v>
      </c>
      <c r="BK681" s="21">
        <f t="shared" ca="1" si="1231"/>
        <v>10.952925670436827</v>
      </c>
      <c r="BL681" s="21">
        <f t="shared" ca="1" si="1231"/>
        <v>10.477473598346416</v>
      </c>
      <c r="BM681" s="21">
        <f t="shared" ca="1" si="1231"/>
        <v>8.9642017744165798</v>
      </c>
      <c r="BN681" s="21">
        <f t="shared" ca="1" si="1231"/>
        <v>12.136789074881632</v>
      </c>
      <c r="BO681" s="21">
        <f t="shared" ca="1" si="1231"/>
        <v>8.845985807933042</v>
      </c>
      <c r="BP681" s="613">
        <f ca="1">SUMPRODUCT(BI$476:BO$476,BI681:BO681)/BP$476</f>
        <v>10.015582934735168</v>
      </c>
    </row>
    <row r="682" spans="2:68" ht="13.2" customHeight="1">
      <c r="B682" s="280" t="s">
        <v>2159</v>
      </c>
      <c r="C682" s="297"/>
      <c r="D682" s="297"/>
      <c r="E682" s="297"/>
      <c r="F682" s="297"/>
      <c r="G682" s="3738"/>
      <c r="H682" s="3739"/>
      <c r="I682" s="3739"/>
      <c r="J682" s="3739"/>
      <c r="K682" s="3739"/>
      <c r="L682" s="3922"/>
      <c r="O682" s="39">
        <f>ROW()</f>
        <v>682</v>
      </c>
      <c r="P682" s="21">
        <f t="shared" ref="P682:V682" ca="1" si="1232">60*$I$85/(1/($P$135/$P677+$Q$135/$Q677+$R$135/$R677+$S$135/$S677+$T$135/$T677+$U$135/$U677+$V$135/$V677))</f>
        <v>6.2203134410126655</v>
      </c>
      <c r="Q682" s="21">
        <f t="shared" ca="1" si="1232"/>
        <v>6.2203134410126655</v>
      </c>
      <c r="R682" s="21">
        <f t="shared" ca="1" si="1232"/>
        <v>6.2203134410126655</v>
      </c>
      <c r="S682" s="21">
        <f t="shared" ca="1" si="1232"/>
        <v>6.2203134410126655</v>
      </c>
      <c r="T682" s="21">
        <f t="shared" ca="1" si="1232"/>
        <v>6.2203134410126655</v>
      </c>
      <c r="U682" s="21">
        <f t="shared" ca="1" si="1232"/>
        <v>6.2203134410126655</v>
      </c>
      <c r="V682" s="21">
        <f t="shared" ca="1" si="1232"/>
        <v>6.2203134410126655</v>
      </c>
      <c r="W682" s="613">
        <f ca="1">SUMPRODUCT(P$383:V$383,P682:V682)/W$383</f>
        <v>6.2203134410126637</v>
      </c>
      <c r="Y682" s="21">
        <f t="shared" ref="Y682:AE682" ca="1" si="1233">60*$J$85/(1/($Y$135/$Y677+$Z$135/$Z677+$AA$135/$AA677+$AB$135/$AB677+$AC$135/$AC677+$AD$135/$AD677+$AE$135/$AE677))</f>
        <v>6.2203134410126655</v>
      </c>
      <c r="Z682" s="21">
        <f t="shared" ca="1" si="1233"/>
        <v>6.2203134410126655</v>
      </c>
      <c r="AA682" s="21">
        <f t="shared" ca="1" si="1233"/>
        <v>6.2203134410126655</v>
      </c>
      <c r="AB682" s="21">
        <f t="shared" ca="1" si="1233"/>
        <v>6.2203134410126655</v>
      </c>
      <c r="AC682" s="21">
        <f t="shared" ca="1" si="1233"/>
        <v>6.2203134410126655</v>
      </c>
      <c r="AD682" s="21">
        <f t="shared" ca="1" si="1233"/>
        <v>6.2203134410126655</v>
      </c>
      <c r="AE682" s="21">
        <f t="shared" ca="1" si="1233"/>
        <v>6.2203134410126655</v>
      </c>
      <c r="AF682" s="613">
        <f ca="1">SUMPRODUCT(Y$383:AE$383,Y682:AE682)/AF$383</f>
        <v>6.2203134410126655</v>
      </c>
      <c r="AH682" s="21">
        <f t="shared" ref="AH682:AN682" ca="1" si="1234">AH681</f>
        <v>4.5261894118209831</v>
      </c>
      <c r="AI682" s="21">
        <f t="shared" ca="1" si="1234"/>
        <v>4.5826862698556567</v>
      </c>
      <c r="AJ682" s="21">
        <f t="shared" ca="1" si="1234"/>
        <v>8.7623405363494609</v>
      </c>
      <c r="AK682" s="21">
        <f t="shared" ca="1" si="1234"/>
        <v>8.381978878677133</v>
      </c>
      <c r="AL682" s="21">
        <f t="shared" ca="1" si="1234"/>
        <v>7.1713614195332642</v>
      </c>
      <c r="AM682" s="21">
        <f t="shared" ca="1" si="1234"/>
        <v>9.7094312599053048</v>
      </c>
      <c r="AN682" s="21">
        <f t="shared" ca="1" si="1234"/>
        <v>7.0767886463464329</v>
      </c>
      <c r="AO682" s="613">
        <f ca="1">SUMPRODUCT(AH$383:AN$383,AH682:AN682)/AO$383</f>
        <v>7.7539296908958999</v>
      </c>
      <c r="AQ682" s="21"/>
      <c r="AR682" s="21"/>
      <c r="AS682" s="21"/>
      <c r="AT682" s="21"/>
      <c r="AU682" s="21"/>
      <c r="AV682" s="21"/>
      <c r="AW682" s="21"/>
      <c r="AX682" s="613"/>
      <c r="AZ682" s="21">
        <f t="shared" ref="AZ682:BF682" ca="1" si="1235">60*$M$85/(1/($AZ$135/$AZ677+$BA$135/$BA677+$BB$135/$BB677+$BC$135/$BC677+$BD$135/$BD677+$BE$135/$BE677+$BF$135/$BF677))</f>
        <v>14.928752258430396</v>
      </c>
      <c r="BA682" s="21">
        <f t="shared" ca="1" si="1235"/>
        <v>14.928752258430396</v>
      </c>
      <c r="BB682" s="21">
        <f t="shared" ca="1" si="1235"/>
        <v>14.928752258430396</v>
      </c>
      <c r="BC682" s="21">
        <f t="shared" ca="1" si="1235"/>
        <v>14.928752258430396</v>
      </c>
      <c r="BD682" s="21">
        <f t="shared" ca="1" si="1235"/>
        <v>14.928752258430396</v>
      </c>
      <c r="BE682" s="21">
        <f t="shared" ca="1" si="1235"/>
        <v>14.928752258430396</v>
      </c>
      <c r="BF682" s="21">
        <f t="shared" ca="1" si="1235"/>
        <v>14.928752258430396</v>
      </c>
      <c r="BG682" s="613">
        <f ca="1">SUMPRODUCT(AZ$383:BF$383,AZ682:BF682)/BG$383</f>
        <v>14.928752258430396</v>
      </c>
      <c r="BI682" s="21">
        <f t="shared" ref="BI682:BO682" ca="1" si="1236">60*$N$85/(1/($BI$135/$BI677+$BJ$135/$BJ677+$BK$135/$BK677+$BL$135/$BL677+$BM$135/$BM677+$BN$135/$BN677+$BO$135/$BO677))</f>
        <v>9.9525015056202619</v>
      </c>
      <c r="BJ682" s="21">
        <f t="shared" ca="1" si="1236"/>
        <v>9.9525015056202619</v>
      </c>
      <c r="BK682" s="21">
        <f t="shared" ca="1" si="1236"/>
        <v>9.9525015056202619</v>
      </c>
      <c r="BL682" s="21">
        <f t="shared" ca="1" si="1236"/>
        <v>9.9525015056202619</v>
      </c>
      <c r="BM682" s="21">
        <f t="shared" ca="1" si="1236"/>
        <v>9.9525015056202619</v>
      </c>
      <c r="BN682" s="21">
        <f t="shared" ca="1" si="1236"/>
        <v>9.9525015056202619</v>
      </c>
      <c r="BO682" s="21">
        <f t="shared" ca="1" si="1236"/>
        <v>9.9525015056202619</v>
      </c>
      <c r="BP682" s="613">
        <f ca="1">SUMPRODUCT(BI$383:BO$383,BI682:BO682)/BP$383</f>
        <v>9.9525015056202637</v>
      </c>
    </row>
    <row r="683" spans="2:68" ht="13.2" customHeight="1">
      <c r="B683" s="280" t="s">
        <v>2160</v>
      </c>
      <c r="C683" s="297"/>
      <c r="D683" s="297"/>
      <c r="E683" s="297"/>
      <c r="F683" s="297"/>
      <c r="G683" s="3738"/>
      <c r="H683" s="3739"/>
      <c r="I683" s="3739"/>
      <c r="J683" s="3739"/>
      <c r="K683" s="3739"/>
      <c r="L683" s="3922"/>
      <c r="O683" s="39">
        <f>ROW()</f>
        <v>683</v>
      </c>
      <c r="P683" s="21">
        <f t="shared" ref="P683:V683" ca="1" si="1237">($I$79)*60/P678</f>
        <v>18.438568297578801</v>
      </c>
      <c r="Q683" s="21">
        <f t="shared" ca="1" si="1237"/>
        <v>21.307458914395642</v>
      </c>
      <c r="R683" s="21">
        <f t="shared" ca="1" si="1237"/>
        <v>55.512946684474848</v>
      </c>
      <c r="S683" s="21">
        <f t="shared" ca="1" si="1237"/>
        <v>46.814527972770563</v>
      </c>
      <c r="T683" s="21">
        <f t="shared" ca="1" si="1237"/>
        <v>40.18370337569479</v>
      </c>
      <c r="U683" s="21">
        <f t="shared" ca="1" si="1237"/>
        <v>61.64027175936971</v>
      </c>
      <c r="V683" s="21">
        <f t="shared" ca="1" si="1237"/>
        <v>36.849049750209865</v>
      </c>
      <c r="W683" s="613">
        <f ca="1">SUMPRODUCT(P$476:V$476,P683:V683)/W$476</f>
        <v>47.729932605651626</v>
      </c>
      <c r="Y683" s="21">
        <f t="shared" ref="Y683:AE683" ca="1" si="1238">($J$79)*60/Y678</f>
        <v>18.438568297578801</v>
      </c>
      <c r="Z683" s="21">
        <f t="shared" ca="1" si="1238"/>
        <v>21.307458914395642</v>
      </c>
      <c r="AA683" s="21">
        <f t="shared" ca="1" si="1238"/>
        <v>55.512946684474848</v>
      </c>
      <c r="AB683" s="21">
        <f t="shared" ca="1" si="1238"/>
        <v>46.814527972770563</v>
      </c>
      <c r="AC683" s="21">
        <f t="shared" ca="1" si="1238"/>
        <v>40.18370337569479</v>
      </c>
      <c r="AD683" s="21">
        <f t="shared" ca="1" si="1238"/>
        <v>61.64027175936971</v>
      </c>
      <c r="AE683" s="21">
        <f t="shared" ca="1" si="1238"/>
        <v>36.849049750209865</v>
      </c>
      <c r="AF683" s="613">
        <f ca="1">SUMPRODUCT(Y$476:AE$476,Y683:AE683)/AF$476</f>
        <v>47.561358215561285</v>
      </c>
      <c r="AH683" s="21">
        <f t="shared" ref="AH683:AN683" ca="1" si="1239">($K$79)*60/AH678</f>
        <v>27.657852446368203</v>
      </c>
      <c r="AI683" s="21">
        <f t="shared" ca="1" si="1239"/>
        <v>31.961188371593465</v>
      </c>
      <c r="AJ683" s="21">
        <f t="shared" ca="1" si="1239"/>
        <v>83.269420026712282</v>
      </c>
      <c r="AK683" s="21">
        <f t="shared" ca="1" si="1239"/>
        <v>70.221791959155851</v>
      </c>
      <c r="AL683" s="21">
        <f t="shared" ca="1" si="1239"/>
        <v>60.275555063542186</v>
      </c>
      <c r="AM683" s="21">
        <f t="shared" ca="1" si="1239"/>
        <v>92.460407639054566</v>
      </c>
      <c r="AN683" s="21">
        <f t="shared" ca="1" si="1239"/>
        <v>55.273574625314794</v>
      </c>
      <c r="AO683" s="613">
        <f ca="1">SUMPRODUCT(AH$476:AN$476,AH683:AN683)/AO$476</f>
        <v>68.020678730448438</v>
      </c>
      <c r="AQ683" s="21">
        <f t="shared" ref="AQ683:AW683" ca="1" si="1240">($L$79)*60/AQ678</f>
        <v>6.6123378951493779</v>
      </c>
      <c r="AR683" s="21">
        <f t="shared" ca="1" si="1240"/>
        <v>7.6411636606025146</v>
      </c>
      <c r="AS683" s="21">
        <f t="shared" ca="1" si="1240"/>
        <v>19.907747451376725</v>
      </c>
      <c r="AT683" s="21">
        <f t="shared" ca="1" si="1240"/>
        <v>16.788368400518891</v>
      </c>
      <c r="AU683" s="21">
        <f t="shared" ca="1" si="1240"/>
        <v>14.41045857304654</v>
      </c>
      <c r="AV683" s="21">
        <f t="shared" ca="1" si="1240"/>
        <v>22.105095050970263</v>
      </c>
      <c r="AW683" s="21">
        <f t="shared" ca="1" si="1240"/>
        <v>13.214603440525941</v>
      </c>
      <c r="AX683" s="613">
        <f ca="1">SUMPRODUCT(AQ$476:AW$476,AQ683:AW683)/AX$476</f>
        <v>16.015352298124132</v>
      </c>
      <c r="AZ683" s="21">
        <f t="shared" ref="AZ683:BF683" ca="1" si="1241">($M$79)*60/AZ678</f>
        <v>13.65998646129529</v>
      </c>
      <c r="BA683" s="21">
        <f t="shared" ca="1" si="1241"/>
        <v>15.785368776895201</v>
      </c>
      <c r="BB683" s="21">
        <f t="shared" ca="1" si="1241"/>
        <v>41.126083538498385</v>
      </c>
      <c r="BC683" s="21">
        <f t="shared" ca="1" si="1241"/>
        <v>34.681967058361437</v>
      </c>
      <c r="BD683" s="21">
        <f t="shared" ca="1" si="1241"/>
        <v>29.769602239061847</v>
      </c>
      <c r="BE683" s="21">
        <f t="shared" ca="1" si="1241"/>
        <v>45.665436931679658</v>
      </c>
      <c r="BF683" s="21">
        <f t="shared" ca="1" si="1241"/>
        <v>27.299165129082176</v>
      </c>
      <c r="BG683" s="613">
        <f ca="1">SUMPRODUCT(AZ$476:BF$476,AZ683:BF683)/BG$476</f>
        <v>34.865340072133591</v>
      </c>
      <c r="BI683" s="21">
        <f t="shared" ref="BI683:BO683" ca="1" si="1242">($N$79)*60/BI678</f>
        <v>18.947921012981535</v>
      </c>
      <c r="BJ683" s="21">
        <f t="shared" ca="1" si="1242"/>
        <v>21.896062751809893</v>
      </c>
      <c r="BK683" s="21">
        <f t="shared" ca="1" si="1242"/>
        <v>57.046453498963118</v>
      </c>
      <c r="BL683" s="21">
        <f t="shared" ca="1" si="1242"/>
        <v>48.107746977543243</v>
      </c>
      <c r="BM683" s="21">
        <f t="shared" ca="1" si="1242"/>
        <v>41.293750430272006</v>
      </c>
      <c r="BN683" s="21">
        <f t="shared" ca="1" si="1242"/>
        <v>63.343041697473865</v>
      </c>
      <c r="BO683" s="21">
        <f t="shared" ca="1" si="1242"/>
        <v>37.86697930132064</v>
      </c>
      <c r="BP683" s="613">
        <f ca="1">SUMPRODUCT(BI$476:BO$476,BI683:BO683)/BP$476</f>
        <v>48.559433581452353</v>
      </c>
    </row>
    <row r="684" spans="2:68" ht="13.2" customHeight="1">
      <c r="B684" s="280" t="s">
        <v>1138</v>
      </c>
      <c r="C684" s="297"/>
      <c r="D684" s="297"/>
      <c r="E684" s="297"/>
      <c r="F684" s="297"/>
      <c r="G684" s="3738"/>
      <c r="H684" s="3739"/>
      <c r="I684" s="3739"/>
      <c r="J684" s="3739"/>
      <c r="K684" s="3739"/>
      <c r="L684" s="3922"/>
      <c r="O684" s="39">
        <f>ROW()</f>
        <v>684</v>
      </c>
      <c r="P684" s="21">
        <f t="shared" ref="P684:V684" ca="1" si="1243">60*$I$79/(1/($P$135/$P678+$Q$135/$Q678+$R$135/$R678+$S$135/$S678+$T$135/$T678+$U$135/$U678+$V$135/$V678))</f>
        <v>46.738505753982253</v>
      </c>
      <c r="Q684" s="21">
        <f t="shared" ca="1" si="1243"/>
        <v>46.738505753982253</v>
      </c>
      <c r="R684" s="21">
        <f t="shared" ca="1" si="1243"/>
        <v>46.738505753982253</v>
      </c>
      <c r="S684" s="21">
        <f t="shared" ca="1" si="1243"/>
        <v>46.738505753982253</v>
      </c>
      <c r="T684" s="21">
        <f t="shared" ca="1" si="1243"/>
        <v>46.738505753982253</v>
      </c>
      <c r="U684" s="21">
        <f t="shared" ca="1" si="1243"/>
        <v>46.738505753982253</v>
      </c>
      <c r="V684" s="21">
        <f t="shared" ca="1" si="1243"/>
        <v>46.738505753982253</v>
      </c>
      <c r="W684" s="613">
        <f ca="1">SUMPRODUCT(P$476:V$476,P684:V684)/W$476</f>
        <v>46.738505753982253</v>
      </c>
      <c r="Y684" s="21">
        <f t="shared" ref="Y684:AE684" ca="1" si="1244">60*$J$79/(1/($Y$135/$Y678+$Z$135/$Z678+$AA$135/$AA678+$AB$135/$AB678+$AC$135/$AC678+$AD$135/$AD678+$AE$135/$AE678))</f>
        <v>46.738505753982253</v>
      </c>
      <c r="Z684" s="21">
        <f t="shared" ca="1" si="1244"/>
        <v>46.738505753982253</v>
      </c>
      <c r="AA684" s="21">
        <f t="shared" ca="1" si="1244"/>
        <v>46.738505753982253</v>
      </c>
      <c r="AB684" s="21">
        <f t="shared" ca="1" si="1244"/>
        <v>46.738505753982253</v>
      </c>
      <c r="AC684" s="21">
        <f t="shared" ca="1" si="1244"/>
        <v>46.738505753982253</v>
      </c>
      <c r="AD684" s="21">
        <f t="shared" ca="1" si="1244"/>
        <v>46.738505753982253</v>
      </c>
      <c r="AE684" s="21">
        <f t="shared" ca="1" si="1244"/>
        <v>46.738505753982253</v>
      </c>
      <c r="AF684" s="613">
        <f ca="1">SUMPRODUCT(Y$476:AE$476,Y684:AE684)/AF$476</f>
        <v>46.73850575398226</v>
      </c>
      <c r="AH684" s="21">
        <f t="shared" ref="AH684:AN684" ca="1" si="1245">AH683</f>
        <v>27.657852446368203</v>
      </c>
      <c r="AI684" s="21">
        <f t="shared" ca="1" si="1245"/>
        <v>31.961188371593465</v>
      </c>
      <c r="AJ684" s="21">
        <f t="shared" ca="1" si="1245"/>
        <v>83.269420026712282</v>
      </c>
      <c r="AK684" s="21">
        <f t="shared" ca="1" si="1245"/>
        <v>70.221791959155851</v>
      </c>
      <c r="AL684" s="21">
        <f t="shared" ca="1" si="1245"/>
        <v>60.275555063542186</v>
      </c>
      <c r="AM684" s="21">
        <f t="shared" ca="1" si="1245"/>
        <v>92.460407639054566</v>
      </c>
      <c r="AN684" s="21">
        <f t="shared" ca="1" si="1245"/>
        <v>55.273574625314794</v>
      </c>
      <c r="AO684" s="613">
        <f ca="1">SUMPRODUCT(AH$476:AN$476,AH684:AN684)/AO$476</f>
        <v>68.020678730448438</v>
      </c>
      <c r="AX684" s="613"/>
      <c r="AZ684" s="21">
        <f t="shared" ref="AZ684:BF684" ca="1" si="1246">60*$M$79/(1/($AZ$135/$AZ678+$BA$135/$BA678+$BB$135/$BB678+$BC$135/$BC678+$BD$135/$BD678+$BE$135/$BE678+$BF$135/$BF678))</f>
        <v>34.625646932924028</v>
      </c>
      <c r="BA684" s="21">
        <f t="shared" ca="1" si="1246"/>
        <v>34.625646932924028</v>
      </c>
      <c r="BB684" s="21">
        <f t="shared" ca="1" si="1246"/>
        <v>34.625646932924028</v>
      </c>
      <c r="BC684" s="21">
        <f t="shared" ca="1" si="1246"/>
        <v>34.625646932924028</v>
      </c>
      <c r="BD684" s="21">
        <f t="shared" ca="1" si="1246"/>
        <v>34.625646932924028</v>
      </c>
      <c r="BE684" s="21">
        <f t="shared" ca="1" si="1246"/>
        <v>34.625646932924028</v>
      </c>
      <c r="BF684" s="21">
        <f t="shared" ca="1" si="1246"/>
        <v>34.625646932924028</v>
      </c>
      <c r="BG684" s="613">
        <f ca="1">SUMPRODUCT(AZ$476:BF$476,AZ684:BF684)/BG$476</f>
        <v>34.625646932924028</v>
      </c>
      <c r="BI684" s="21">
        <f t="shared" ref="BI684:BO684" ca="1" si="1247">60*$N$79/(1/($BI$135/$BI678+$BJ$135/$BJ678+$BK$135/$BK678+$BL$135/$BL678+$BM$135/$BM678+$BN$135/$BN678+$BO$135/$BO678))</f>
        <v>48.029624697462431</v>
      </c>
      <c r="BJ684" s="21">
        <f t="shared" ca="1" si="1247"/>
        <v>48.029624697462431</v>
      </c>
      <c r="BK684" s="21">
        <f t="shared" ca="1" si="1247"/>
        <v>48.029624697462431</v>
      </c>
      <c r="BL684" s="21">
        <f t="shared" ca="1" si="1247"/>
        <v>48.029624697462431</v>
      </c>
      <c r="BM684" s="21">
        <f t="shared" ca="1" si="1247"/>
        <v>48.029624697462431</v>
      </c>
      <c r="BN684" s="21">
        <f t="shared" ca="1" si="1247"/>
        <v>48.029624697462431</v>
      </c>
      <c r="BO684" s="21">
        <f t="shared" ca="1" si="1247"/>
        <v>48.029624697462431</v>
      </c>
      <c r="BP684" s="613">
        <f ca="1">SUMPRODUCT(BI$476:BO$476,BI684:BO684)/BP$476</f>
        <v>48.029624697462424</v>
      </c>
    </row>
    <row r="685" spans="2:68" ht="13.2" customHeight="1">
      <c r="B685" s="308" t="s">
        <v>2243</v>
      </c>
      <c r="C685" s="297"/>
      <c r="D685" s="297"/>
      <c r="E685" s="297"/>
      <c r="F685" s="297"/>
      <c r="G685" s="3741"/>
      <c r="H685" s="3742"/>
      <c r="I685" s="3742"/>
      <c r="J685" s="3742"/>
      <c r="K685" s="3742"/>
      <c r="L685" s="3777"/>
      <c r="O685" s="39">
        <f>ROW()</f>
        <v>685</v>
      </c>
      <c r="P685" s="21">
        <f t="shared" ref="P685:W685" ca="1" si="1248">SUM(P681:P684)</f>
        <v>74.933472970558853</v>
      </c>
      <c r="Q685" s="21">
        <f t="shared" ca="1" si="1248"/>
        <v>77.846501757715288</v>
      </c>
      <c r="R685" s="21">
        <f t="shared" ca="1" si="1248"/>
        <v>115.31734442349278</v>
      </c>
      <c r="S685" s="21">
        <f t="shared" ca="1" si="1248"/>
        <v>106.321768166732</v>
      </c>
      <c r="T685" s="21">
        <f t="shared" ca="1" si="1248"/>
        <v>98.745148679700065</v>
      </c>
      <c r="U685" s="21">
        <f t="shared" ca="1" si="1248"/>
        <v>122.18458412616565</v>
      </c>
      <c r="V685" s="21">
        <f t="shared" ca="1" si="1248"/>
        <v>95.336610075162938</v>
      </c>
      <c r="W685" s="614">
        <f t="shared" ca="1" si="1248"/>
        <v>106.98112894219408</v>
      </c>
      <c r="Y685" s="21">
        <f t="shared" ref="Y685:AF685" ca="1" si="1249">SUM(Y681:Y684)</f>
        <v>74.933472970558853</v>
      </c>
      <c r="Z685" s="21">
        <f t="shared" ca="1" si="1249"/>
        <v>77.846501757715288</v>
      </c>
      <c r="AA685" s="21">
        <f t="shared" ca="1" si="1249"/>
        <v>115.31734442349278</v>
      </c>
      <c r="AB685" s="21">
        <f t="shared" ca="1" si="1249"/>
        <v>106.321768166732</v>
      </c>
      <c r="AC685" s="21">
        <f t="shared" ca="1" si="1249"/>
        <v>98.745148679700065</v>
      </c>
      <c r="AD685" s="21">
        <f t="shared" ca="1" si="1249"/>
        <v>122.18458412616565</v>
      </c>
      <c r="AE685" s="21">
        <f t="shared" ca="1" si="1249"/>
        <v>95.336610075162938</v>
      </c>
      <c r="AF685" s="614">
        <f t="shared" ca="1" si="1249"/>
        <v>106.81979939902226</v>
      </c>
      <c r="AH685" s="21">
        <f t="shared" ref="AH685:AO685" ca="1" si="1250">SUM(AH681:AH684)</f>
        <v>64.368083716378379</v>
      </c>
      <c r="AI685" s="21">
        <f t="shared" ca="1" si="1250"/>
        <v>73.087749282898244</v>
      </c>
      <c r="AJ685" s="21">
        <f t="shared" ca="1" si="1250"/>
        <v>184.06352112612348</v>
      </c>
      <c r="AK685" s="21">
        <f t="shared" ca="1" si="1250"/>
        <v>157.20754167566596</v>
      </c>
      <c r="AL685" s="21">
        <f t="shared" ca="1" si="1250"/>
        <v>134.89383296615091</v>
      </c>
      <c r="AM685" s="21">
        <f t="shared" ca="1" si="1250"/>
        <v>204.33967779791976</v>
      </c>
      <c r="AN685" s="21">
        <f t="shared" ca="1" si="1250"/>
        <v>124.70072654332246</v>
      </c>
      <c r="AO685" s="614">
        <f t="shared" ca="1" si="1250"/>
        <v>151.59148938273944</v>
      </c>
      <c r="AQ685" s="21">
        <f t="shared" ref="AQ685:AX685" ca="1" si="1251">AQ681+AQ683</f>
        <v>12.567850279124356</v>
      </c>
      <c r="AR685" s="21">
        <f t="shared" ca="1" si="1251"/>
        <v>13.671014015675748</v>
      </c>
      <c r="AS685" s="21">
        <f t="shared" ca="1" si="1251"/>
        <v>31.437142893941804</v>
      </c>
      <c r="AT685" s="21">
        <f t="shared" ca="1" si="1251"/>
        <v>27.817287977725645</v>
      </c>
      <c r="AU685" s="21">
        <f t="shared" ca="1" si="1251"/>
        <v>23.84646044085347</v>
      </c>
      <c r="AV685" s="21">
        <f t="shared" ca="1" si="1251"/>
        <v>34.880662498214086</v>
      </c>
      <c r="AW685" s="21">
        <f t="shared" ca="1" si="1251"/>
        <v>22.526167448876514</v>
      </c>
      <c r="AX685" s="614">
        <f t="shared" ca="1" si="1251"/>
        <v>26.167167137889564</v>
      </c>
      <c r="AZ685" s="21">
        <f t="shared" ref="AZ685:BG685" ca="1" si="1252">SUM(AZ681:AZ684)</f>
        <v>71.700990799814065</v>
      </c>
      <c r="BA685" s="21">
        <f t="shared" ca="1" si="1252"/>
        <v>73.932304724228985</v>
      </c>
      <c r="BB685" s="21">
        <f t="shared" ca="1" si="1252"/>
        <v>107.10987123550805</v>
      </c>
      <c r="BC685" s="21">
        <f t="shared" ca="1" si="1252"/>
        <v>99.952576647235489</v>
      </c>
      <c r="BD685" s="21">
        <f t="shared" ca="1" si="1252"/>
        <v>92.770304092041144</v>
      </c>
      <c r="BE685" s="21">
        <f t="shared" ca="1" si="1252"/>
        <v>113.42501973535653</v>
      </c>
      <c r="BF685" s="21">
        <f t="shared" ca="1" si="1252"/>
        <v>90.122543032336154</v>
      </c>
      <c r="BG685" s="614">
        <f t="shared" ca="1" si="1252"/>
        <v>99.400676728515009</v>
      </c>
      <c r="BI685" s="21">
        <f t="shared" ref="BI685:BP685" ca="1" si="1253">SUM(BI681:BI684)</f>
        <v>82.587783980840456</v>
      </c>
      <c r="BJ685" s="21">
        <f t="shared" ca="1" si="1253"/>
        <v>85.606546792212157</v>
      </c>
      <c r="BK685" s="21">
        <f t="shared" ca="1" si="1253"/>
        <v>125.98150537248264</v>
      </c>
      <c r="BL685" s="21">
        <f t="shared" ca="1" si="1253"/>
        <v>116.56734677897234</v>
      </c>
      <c r="BM685" s="21">
        <f t="shared" ca="1" si="1253"/>
        <v>108.24007840777128</v>
      </c>
      <c r="BN685" s="21">
        <f t="shared" ca="1" si="1253"/>
        <v>133.4619569754382</v>
      </c>
      <c r="BO685" s="21">
        <f t="shared" ca="1" si="1253"/>
        <v>104.69509131233637</v>
      </c>
      <c r="BP685" s="614">
        <f t="shared" ca="1" si="1253"/>
        <v>116.55714271927022</v>
      </c>
    </row>
    <row r="686" spans="2:68" ht="13.2" customHeight="1">
      <c r="B686" s="280"/>
      <c r="G686" s="280"/>
      <c r="O686" s="39">
        <f>ROW()</f>
        <v>686</v>
      </c>
      <c r="P686" s="117"/>
      <c r="Q686" s="117"/>
      <c r="R686" s="117"/>
      <c r="S686" s="117"/>
      <c r="T686" s="117"/>
      <c r="U686" s="117"/>
      <c r="V686" s="117"/>
      <c r="W686" s="117"/>
      <c r="Y686" s="117"/>
      <c r="Z686" s="117"/>
      <c r="AA686" s="117"/>
      <c r="AB686" s="117"/>
      <c r="AC686" s="117"/>
      <c r="AD686" s="117"/>
      <c r="AE686" s="117"/>
      <c r="AF686" s="117"/>
      <c r="AH686" s="117"/>
      <c r="AI686" s="117"/>
      <c r="AJ686" s="117"/>
      <c r="AK686" s="117"/>
      <c r="AL686" s="117"/>
      <c r="AM686" s="117"/>
      <c r="AN686" s="117"/>
      <c r="AO686" s="117"/>
      <c r="AQ686" s="117"/>
      <c r="AR686" s="117"/>
      <c r="AS686" s="117"/>
      <c r="AT686" s="117"/>
      <c r="AU686" s="117"/>
      <c r="AV686" s="117"/>
      <c r="AW686" s="117"/>
      <c r="AX686" s="117"/>
      <c r="AZ686" s="117"/>
      <c r="BA686" s="117"/>
      <c r="BB686" s="117"/>
      <c r="BC686" s="117"/>
      <c r="BD686" s="117"/>
      <c r="BE686" s="117"/>
      <c r="BF686" s="117"/>
      <c r="BG686" s="117"/>
      <c r="BI686" s="117"/>
      <c r="BJ686" s="117"/>
      <c r="BK686" s="117"/>
      <c r="BL686" s="117"/>
      <c r="BM686" s="117"/>
      <c r="BN686" s="117"/>
      <c r="BO686" s="117"/>
      <c r="BP686" s="117"/>
    </row>
    <row r="687" spans="2:68" ht="13.2" customHeight="1">
      <c r="B687" s="308" t="s">
        <v>1345</v>
      </c>
      <c r="G687" s="4285" t="s">
        <v>2351</v>
      </c>
      <c r="H687" s="3970"/>
      <c r="I687" s="3970"/>
      <c r="J687" s="3970"/>
      <c r="K687" s="3970"/>
      <c r="L687" s="3971"/>
      <c r="O687" s="39">
        <f>ROW()</f>
        <v>687</v>
      </c>
      <c r="P687" s="117">
        <f t="shared" ref="P687:W687" ca="1" si="1254">P685/P637</f>
        <v>1.0005256258356776</v>
      </c>
      <c r="Q687" s="117">
        <f t="shared" ca="1" si="1254"/>
        <v>1.0004706480509613</v>
      </c>
      <c r="R687" s="117">
        <f t="shared" ca="1" si="1254"/>
        <v>1.0007843187868726</v>
      </c>
      <c r="S687" s="117">
        <f t="shared" ca="1" si="1254"/>
        <v>1.0009800394219592</v>
      </c>
      <c r="T687" s="117">
        <f t="shared" ca="1" si="1254"/>
        <v>1.0009039569812439</v>
      </c>
      <c r="U687" s="117">
        <f t="shared" ca="1" si="1254"/>
        <v>1.0006158253365995</v>
      </c>
      <c r="V687" s="117">
        <f t="shared" ca="1" si="1254"/>
        <v>1.0009140166795041</v>
      </c>
      <c r="W687" s="117">
        <f t="shared" ca="1" si="1254"/>
        <v>1.000746827731356</v>
      </c>
      <c r="Y687" s="117">
        <f t="shared" ref="Y687:AF687" ca="1" si="1255">Y685/Y637</f>
        <v>1.0005256258356774</v>
      </c>
      <c r="Z687" s="117">
        <f t="shared" ca="1" si="1255"/>
        <v>1.0004706480509613</v>
      </c>
      <c r="AA687" s="117">
        <f t="shared" ca="1" si="1255"/>
        <v>1.0007843187868726</v>
      </c>
      <c r="AB687" s="117">
        <f t="shared" ca="1" si="1255"/>
        <v>1.0009800394219592</v>
      </c>
      <c r="AC687" s="117">
        <f t="shared" ca="1" si="1255"/>
        <v>1.0009039569812439</v>
      </c>
      <c r="AD687" s="117">
        <f t="shared" ca="1" si="1255"/>
        <v>1.0006158253365995</v>
      </c>
      <c r="AE687" s="117">
        <f t="shared" ca="1" si="1255"/>
        <v>1.0009140166795039</v>
      </c>
      <c r="AF687" s="117">
        <f t="shared" ca="1" si="1255"/>
        <v>1.0007307612010201</v>
      </c>
      <c r="AH687" s="117">
        <f t="shared" ref="AH687:AO687" ca="1" si="1256">AH685/AH637</f>
        <v>1.0000304886794824</v>
      </c>
      <c r="AI687" s="117">
        <f t="shared" ca="1" si="1256"/>
        <v>0.99990968423997906</v>
      </c>
      <c r="AJ687" s="117">
        <f t="shared" ca="1" si="1256"/>
        <v>1.0007401649324683</v>
      </c>
      <c r="AK687" s="117">
        <f t="shared" ca="1" si="1256"/>
        <v>1.0011624976608267</v>
      </c>
      <c r="AL687" s="117">
        <f t="shared" ca="1" si="1256"/>
        <v>1.0010556024131632</v>
      </c>
      <c r="AM687" s="117">
        <f t="shared" ca="1" si="1256"/>
        <v>1.000406721444409</v>
      </c>
      <c r="AN687" s="117">
        <f t="shared" ca="1" si="1256"/>
        <v>1.0011017511815203</v>
      </c>
      <c r="AO687" s="117">
        <f t="shared" ca="1" si="1256"/>
        <v>1.0006351368043287</v>
      </c>
      <c r="AQ687" s="117">
        <f t="shared" ref="AQ687:AX687" ca="1" si="1257">AQ685/AQ637</f>
        <v>1.0001186443574557</v>
      </c>
      <c r="AR687" s="117">
        <f t="shared" ca="1" si="1257"/>
        <v>1.0001094247482278</v>
      </c>
      <c r="AS687" s="117">
        <f t="shared" ca="1" si="1257"/>
        <v>1.0024417971484469</v>
      </c>
      <c r="AT687" s="117">
        <f t="shared" ca="1" si="1257"/>
        <v>1.0023682416422204</v>
      </c>
      <c r="AU687" s="117">
        <f t="shared" ca="1" si="1257"/>
        <v>1.0019730205801327</v>
      </c>
      <c r="AV687" s="117">
        <f t="shared" ca="1" si="1257"/>
        <v>1.002697081409853</v>
      </c>
      <c r="AW687" s="117">
        <f t="shared" ca="1" si="1257"/>
        <v>1.0018727818689193</v>
      </c>
      <c r="AX687" s="117">
        <f t="shared" ca="1" si="1257"/>
        <v>1.0021830114294008</v>
      </c>
      <c r="AZ687" s="117">
        <f t="shared" ref="AZ687:BG687" ca="1" si="1258">AZ685/AZ637</f>
        <v>1.0012607957420836</v>
      </c>
      <c r="BA687" s="117">
        <f t="shared" ca="1" si="1258"/>
        <v>1.0012119120260075</v>
      </c>
      <c r="BB687" s="117">
        <f t="shared" ca="1" si="1258"/>
        <v>1.0018628568153871</v>
      </c>
      <c r="BC687" s="117">
        <f t="shared" ca="1" si="1258"/>
        <v>1.0019003166129259</v>
      </c>
      <c r="BD687" s="117">
        <f t="shared" ca="1" si="1258"/>
        <v>1.001746472095044</v>
      </c>
      <c r="BE687" s="117">
        <f t="shared" ca="1" si="1258"/>
        <v>1.0019107604883914</v>
      </c>
      <c r="BF687" s="117">
        <f t="shared" ca="1" si="1258"/>
        <v>1.001723395422111</v>
      </c>
      <c r="BG687" s="117">
        <f t="shared" ca="1" si="1258"/>
        <v>1.0017873279355625</v>
      </c>
      <c r="BI687" s="117">
        <f t="shared" ref="BI687:BP687" ca="1" si="1259">BI685/BI637</f>
        <v>1.0007456983949345</v>
      </c>
      <c r="BJ687" s="117">
        <f t="shared" ca="1" si="1259"/>
        <v>1.0006913807226649</v>
      </c>
      <c r="BK687" s="117">
        <f t="shared" ca="1" si="1259"/>
        <v>1.0011004153986707</v>
      </c>
      <c r="BL687" s="117">
        <f t="shared" ca="1" si="1259"/>
        <v>1.0012520883196261</v>
      </c>
      <c r="BM687" s="117">
        <f t="shared" ca="1" si="1259"/>
        <v>1.0011529192238542</v>
      </c>
      <c r="BN687" s="117">
        <f t="shared" ca="1" si="1259"/>
        <v>1.0009951356311511</v>
      </c>
      <c r="BO687" s="117">
        <f t="shared" ca="1" si="1259"/>
        <v>1.0011542340407289</v>
      </c>
      <c r="BP687" s="117">
        <f t="shared" ca="1" si="1259"/>
        <v>1.0010471037156463</v>
      </c>
    </row>
    <row r="688" spans="2:68" ht="13.2" customHeight="1">
      <c r="B688" s="280"/>
      <c r="G688" s="280"/>
      <c r="O688" s="39">
        <f>ROW()</f>
        <v>688</v>
      </c>
      <c r="P688" s="117"/>
      <c r="Q688" s="117"/>
      <c r="R688" s="117"/>
      <c r="S688" s="117"/>
      <c r="T688" s="117"/>
      <c r="U688" s="117"/>
      <c r="V688" s="117"/>
      <c r="W688" s="117"/>
      <c r="Y688" s="117"/>
      <c r="Z688" s="117"/>
      <c r="AA688" s="117"/>
      <c r="AB688" s="117"/>
      <c r="AC688" s="117"/>
      <c r="AD688" s="117"/>
      <c r="AE688" s="117"/>
      <c r="AF688" s="117"/>
      <c r="AH688" s="117"/>
      <c r="AI688" s="117"/>
      <c r="AJ688" s="117"/>
      <c r="AK688" s="117"/>
      <c r="AL688" s="117"/>
      <c r="AM688" s="117"/>
      <c r="AN688" s="117"/>
      <c r="AO688" s="117"/>
      <c r="AQ688" s="117"/>
      <c r="AR688" s="117"/>
      <c r="AS688" s="117"/>
      <c r="AT688" s="117"/>
      <c r="AU688" s="117"/>
      <c r="AV688" s="117"/>
      <c r="AW688" s="117"/>
      <c r="AX688" s="117"/>
      <c r="AZ688" s="117"/>
      <c r="BA688" s="117"/>
      <c r="BB688" s="117"/>
      <c r="BC688" s="117"/>
      <c r="BD688" s="117"/>
      <c r="BE688" s="117"/>
      <c r="BF688" s="117"/>
      <c r="BG688" s="117"/>
      <c r="BI688" s="117"/>
      <c r="BJ688" s="117"/>
      <c r="BK688" s="117"/>
      <c r="BL688" s="117"/>
      <c r="BM688" s="117"/>
      <c r="BN688" s="117"/>
      <c r="BO688" s="117"/>
      <c r="BP688" s="117"/>
    </row>
    <row r="689" spans="2:68" ht="13.2" customHeight="1">
      <c r="B689" s="308" t="s">
        <v>1571</v>
      </c>
      <c r="G689" s="280"/>
      <c r="O689" s="39">
        <f>ROW()</f>
        <v>689</v>
      </c>
      <c r="P689" s="117"/>
      <c r="Q689" s="117"/>
      <c r="R689" s="117"/>
      <c r="S689" s="117"/>
      <c r="T689" s="117"/>
      <c r="U689" s="117"/>
      <c r="V689" s="117"/>
      <c r="W689" s="117"/>
      <c r="Y689" s="117"/>
      <c r="Z689" s="117"/>
      <c r="AA689" s="117"/>
      <c r="AB689" s="117"/>
      <c r="AC689" s="117"/>
      <c r="AD689" s="117"/>
      <c r="AE689" s="117"/>
      <c r="AF689" s="117"/>
      <c r="AH689" s="117"/>
      <c r="AI689" s="117"/>
      <c r="AJ689" s="117"/>
      <c r="AK689" s="117"/>
      <c r="AL689" s="117"/>
      <c r="AM689" s="117"/>
      <c r="AN689" s="117"/>
      <c r="AO689" s="117"/>
      <c r="AQ689" s="117"/>
      <c r="AR689" s="117"/>
      <c r="AS689" s="117"/>
      <c r="AT689" s="117"/>
      <c r="AU689" s="117"/>
      <c r="AV689" s="117"/>
      <c r="AW689" s="117"/>
      <c r="AX689" s="117"/>
      <c r="AZ689" s="117"/>
      <c r="BA689" s="117"/>
      <c r="BB689" s="117"/>
      <c r="BC689" s="117"/>
      <c r="BD689" s="117"/>
      <c r="BE689" s="117"/>
      <c r="BF689" s="117"/>
      <c r="BG689" s="117"/>
      <c r="BI689" s="117"/>
      <c r="BJ689" s="117"/>
      <c r="BK689" s="117"/>
      <c r="BL689" s="117"/>
      <c r="BM689" s="117"/>
      <c r="BN689" s="117"/>
      <c r="BO689" s="117"/>
      <c r="BP689" s="117"/>
    </row>
    <row r="690" spans="2:68" ht="13.2" customHeight="1">
      <c r="B690" s="280" t="s">
        <v>2533</v>
      </c>
      <c r="G690" s="21">
        <f t="shared" ref="G690:M690" ca="1" si="1260">AVERAGE(G$677,G$629,G$581,G$533,G$481,G$403)</f>
        <v>21.202379646561294</v>
      </c>
      <c r="H690" s="21">
        <f t="shared" ca="1" si="1260"/>
        <v>20.96547842539427</v>
      </c>
      <c r="I690" s="21">
        <f t="shared" ca="1" si="1260"/>
        <v>10.979245896558171</v>
      </c>
      <c r="J690" s="21">
        <f t="shared" ca="1" si="1260"/>
        <v>11.473501399382627</v>
      </c>
      <c r="K690" s="21">
        <f t="shared" ca="1" si="1260"/>
        <v>13.370908634226481</v>
      </c>
      <c r="L690" s="21">
        <f t="shared" ca="1" si="1260"/>
        <v>9.8545715117998629</v>
      </c>
      <c r="M690" s="21">
        <f t="shared" ca="1" si="1260"/>
        <v>13.553946600317026</v>
      </c>
      <c r="O690" s="39">
        <f>ROW()</f>
        <v>690</v>
      </c>
      <c r="P690" s="21">
        <f t="shared" ref="P690:V691" ca="1" si="1261">G690</f>
        <v>21.202379646561294</v>
      </c>
      <c r="Q690" s="21">
        <f t="shared" ca="1" si="1261"/>
        <v>20.96547842539427</v>
      </c>
      <c r="R690" s="21">
        <f t="shared" ca="1" si="1261"/>
        <v>10.979245896558171</v>
      </c>
      <c r="S690" s="21">
        <f t="shared" ca="1" si="1261"/>
        <v>11.473501399382627</v>
      </c>
      <c r="T690" s="21">
        <f t="shared" ca="1" si="1261"/>
        <v>13.370908634226481</v>
      </c>
      <c r="U690" s="21">
        <f t="shared" ca="1" si="1261"/>
        <v>9.8545715117998629</v>
      </c>
      <c r="V690" s="21">
        <f t="shared" ca="1" si="1261"/>
        <v>13.553946600317026</v>
      </c>
      <c r="Y690" s="21">
        <f t="shared" ref="Y690:AE691" ca="1" si="1262">G690</f>
        <v>21.202379646561294</v>
      </c>
      <c r="Z690" s="21">
        <f t="shared" ca="1" si="1262"/>
        <v>20.96547842539427</v>
      </c>
      <c r="AA690" s="21">
        <f t="shared" ca="1" si="1262"/>
        <v>10.979245896558171</v>
      </c>
      <c r="AB690" s="21">
        <f t="shared" ca="1" si="1262"/>
        <v>11.473501399382627</v>
      </c>
      <c r="AC690" s="21">
        <f t="shared" ca="1" si="1262"/>
        <v>13.370908634226481</v>
      </c>
      <c r="AD690" s="21">
        <f t="shared" ca="1" si="1262"/>
        <v>9.8545715117998629</v>
      </c>
      <c r="AE690" s="21">
        <f t="shared" ca="1" si="1262"/>
        <v>13.553946600317026</v>
      </c>
      <c r="AH690" s="21">
        <f t="shared" ref="AH690:AN691" ca="1" si="1263">P690</f>
        <v>21.202379646561294</v>
      </c>
      <c r="AI690" s="21">
        <f t="shared" ca="1" si="1263"/>
        <v>20.96547842539427</v>
      </c>
      <c r="AJ690" s="21">
        <f t="shared" ca="1" si="1263"/>
        <v>10.979245896558171</v>
      </c>
      <c r="AK690" s="21">
        <f t="shared" ca="1" si="1263"/>
        <v>11.473501399382627</v>
      </c>
      <c r="AL690" s="21">
        <f t="shared" ca="1" si="1263"/>
        <v>13.370908634226481</v>
      </c>
      <c r="AM690" s="21">
        <f t="shared" ca="1" si="1263"/>
        <v>9.8545715117998629</v>
      </c>
      <c r="AN690" s="21">
        <f t="shared" ca="1" si="1263"/>
        <v>13.553946600317026</v>
      </c>
      <c r="AQ690" s="21">
        <f t="shared" ref="AQ690:AW690" ca="1" si="1264">G690*$AU$181</f>
        <v>20.142260664233227</v>
      </c>
      <c r="AR690" s="21">
        <f t="shared" ca="1" si="1264"/>
        <v>19.917204504124555</v>
      </c>
      <c r="AS690" s="21">
        <f t="shared" ca="1" si="1264"/>
        <v>10.430283601730261</v>
      </c>
      <c r="AT690" s="21">
        <f t="shared" ca="1" si="1264"/>
        <v>10.899826329413495</v>
      </c>
      <c r="AU690" s="21">
        <f t="shared" ca="1" si="1264"/>
        <v>12.702363202515157</v>
      </c>
      <c r="AV690" s="21">
        <f t="shared" ca="1" si="1264"/>
        <v>9.3618429362098698</v>
      </c>
      <c r="AW690" s="21">
        <f t="shared" ca="1" si="1264"/>
        <v>12.876249270301175</v>
      </c>
      <c r="AZ690" s="21">
        <f t="shared" ref="AZ690:BF691" ca="1" si="1265">G690</f>
        <v>21.202379646561294</v>
      </c>
      <c r="BA690" s="21">
        <f t="shared" ca="1" si="1265"/>
        <v>20.96547842539427</v>
      </c>
      <c r="BB690" s="21">
        <f t="shared" ca="1" si="1265"/>
        <v>10.979245896558171</v>
      </c>
      <c r="BC690" s="21">
        <f t="shared" ca="1" si="1265"/>
        <v>11.473501399382627</v>
      </c>
      <c r="BD690" s="21">
        <f t="shared" ca="1" si="1265"/>
        <v>13.370908634226481</v>
      </c>
      <c r="BE690" s="21">
        <f t="shared" ca="1" si="1265"/>
        <v>9.8545715117998629</v>
      </c>
      <c r="BF690" s="21">
        <f t="shared" ca="1" si="1265"/>
        <v>13.553946600317026</v>
      </c>
      <c r="BG690" s="21"/>
      <c r="BI690" s="21">
        <f t="shared" ref="BI690:BO691" ca="1" si="1266">G690</f>
        <v>21.202379646561294</v>
      </c>
      <c r="BJ690" s="21">
        <f t="shared" ca="1" si="1266"/>
        <v>20.96547842539427</v>
      </c>
      <c r="BK690" s="21">
        <f t="shared" ca="1" si="1266"/>
        <v>10.979245896558171</v>
      </c>
      <c r="BL690" s="21">
        <f t="shared" ca="1" si="1266"/>
        <v>11.473501399382627</v>
      </c>
      <c r="BM690" s="21">
        <f t="shared" ca="1" si="1266"/>
        <v>13.370908634226481</v>
      </c>
      <c r="BN690" s="21">
        <f t="shared" ca="1" si="1266"/>
        <v>9.8545715117998629</v>
      </c>
      <c r="BO690" s="21">
        <f t="shared" ca="1" si="1266"/>
        <v>13.553946600317026</v>
      </c>
      <c r="BP690" s="21"/>
    </row>
    <row r="691" spans="2:68" ht="13.2" customHeight="1">
      <c r="B691" s="280" t="s">
        <v>2534</v>
      </c>
      <c r="G691" s="21">
        <f t="shared" ref="G691:M691" ca="1" si="1267">AVERAGE(G$678,G$630,G$582,G$534,G$482,G$427)</f>
        <v>54.994791740505384</v>
      </c>
      <c r="H691" s="21">
        <f t="shared" ca="1" si="1267"/>
        <v>47.610244378849579</v>
      </c>
      <c r="I691" s="21">
        <f t="shared" ca="1" si="1267"/>
        <v>18.263598484952926</v>
      </c>
      <c r="J691" s="21">
        <f t="shared" ca="1" si="1267"/>
        <v>21.642863152333032</v>
      </c>
      <c r="K691" s="21">
        <f t="shared" ca="1" si="1267"/>
        <v>25.210978130080491</v>
      </c>
      <c r="L691" s="21">
        <f t="shared" ca="1" si="1267"/>
        <v>16.455821609212233</v>
      </c>
      <c r="M691" s="21">
        <f t="shared" ca="1" si="1267"/>
        <v>27.486623892895807</v>
      </c>
      <c r="O691" s="39">
        <f>ROW()</f>
        <v>691</v>
      </c>
      <c r="P691" s="21">
        <f t="shared" ca="1" si="1261"/>
        <v>54.994791740505384</v>
      </c>
      <c r="Q691" s="21">
        <f t="shared" ca="1" si="1261"/>
        <v>47.610244378849579</v>
      </c>
      <c r="R691" s="21">
        <f t="shared" ca="1" si="1261"/>
        <v>18.263598484952926</v>
      </c>
      <c r="S691" s="21">
        <f t="shared" ca="1" si="1261"/>
        <v>21.642863152333032</v>
      </c>
      <c r="T691" s="21">
        <f t="shared" ca="1" si="1261"/>
        <v>25.210978130080491</v>
      </c>
      <c r="U691" s="21">
        <f t="shared" ca="1" si="1261"/>
        <v>16.455821609212233</v>
      </c>
      <c r="V691" s="21">
        <f t="shared" ca="1" si="1261"/>
        <v>27.486623892895807</v>
      </c>
      <c r="Y691" s="21">
        <f t="shared" ca="1" si="1262"/>
        <v>54.994791740505384</v>
      </c>
      <c r="Z691" s="21">
        <f t="shared" ca="1" si="1262"/>
        <v>47.610244378849579</v>
      </c>
      <c r="AA691" s="21">
        <f t="shared" ca="1" si="1262"/>
        <v>18.263598484952926</v>
      </c>
      <c r="AB691" s="21">
        <f t="shared" ca="1" si="1262"/>
        <v>21.642863152333032</v>
      </c>
      <c r="AC691" s="21">
        <f t="shared" ca="1" si="1262"/>
        <v>25.210978130080491</v>
      </c>
      <c r="AD691" s="21">
        <f t="shared" ca="1" si="1262"/>
        <v>16.455821609212233</v>
      </c>
      <c r="AE691" s="21">
        <f t="shared" ca="1" si="1262"/>
        <v>27.486623892895807</v>
      </c>
      <c r="AH691" s="21">
        <f t="shared" ca="1" si="1263"/>
        <v>54.994791740505384</v>
      </c>
      <c r="AI691" s="21">
        <f t="shared" ca="1" si="1263"/>
        <v>47.610244378849579</v>
      </c>
      <c r="AJ691" s="21">
        <f t="shared" ca="1" si="1263"/>
        <v>18.263598484952926</v>
      </c>
      <c r="AK691" s="21">
        <f t="shared" ca="1" si="1263"/>
        <v>21.642863152333032</v>
      </c>
      <c r="AL691" s="21">
        <f t="shared" ca="1" si="1263"/>
        <v>25.210978130080491</v>
      </c>
      <c r="AM691" s="21">
        <f t="shared" ca="1" si="1263"/>
        <v>16.455821609212233</v>
      </c>
      <c r="AN691" s="21">
        <f t="shared" ca="1" si="1263"/>
        <v>27.486623892895807</v>
      </c>
      <c r="AQ691" s="21">
        <f t="shared" ref="AQ691:AW691" ca="1" si="1268">G691*$AV$181</f>
        <v>54.444843823100328</v>
      </c>
      <c r="AR691" s="21">
        <f t="shared" ca="1" si="1268"/>
        <v>47.134141935061081</v>
      </c>
      <c r="AS691" s="21">
        <f t="shared" ca="1" si="1268"/>
        <v>18.080962500103396</v>
      </c>
      <c r="AT691" s="21">
        <f t="shared" ca="1" si="1268"/>
        <v>21.4264345208097</v>
      </c>
      <c r="AU691" s="21">
        <f t="shared" ca="1" si="1268"/>
        <v>24.958868348779685</v>
      </c>
      <c r="AV691" s="21">
        <f t="shared" ca="1" si="1268"/>
        <v>16.291263393120111</v>
      </c>
      <c r="AW691" s="21">
        <f t="shared" ca="1" si="1268"/>
        <v>27.211757653966849</v>
      </c>
      <c r="AZ691" s="21">
        <f t="shared" ca="1" si="1265"/>
        <v>54.994791740505384</v>
      </c>
      <c r="BA691" s="21">
        <f t="shared" ca="1" si="1265"/>
        <v>47.610244378849579</v>
      </c>
      <c r="BB691" s="21">
        <f t="shared" ca="1" si="1265"/>
        <v>18.263598484952926</v>
      </c>
      <c r="BC691" s="21">
        <f t="shared" ca="1" si="1265"/>
        <v>21.642863152333032</v>
      </c>
      <c r="BD691" s="21">
        <f t="shared" ca="1" si="1265"/>
        <v>25.210978130080491</v>
      </c>
      <c r="BE691" s="21">
        <f t="shared" ca="1" si="1265"/>
        <v>16.455821609212233</v>
      </c>
      <c r="BF691" s="21">
        <f t="shared" ca="1" si="1265"/>
        <v>27.486623892895807</v>
      </c>
      <c r="BG691" s="21"/>
      <c r="BI691" s="21">
        <f t="shared" ca="1" si="1266"/>
        <v>54.994791740505384</v>
      </c>
      <c r="BJ691" s="21">
        <f t="shared" ca="1" si="1266"/>
        <v>47.610244378849579</v>
      </c>
      <c r="BK691" s="21">
        <f t="shared" ca="1" si="1266"/>
        <v>18.263598484952926</v>
      </c>
      <c r="BL691" s="21">
        <f t="shared" ca="1" si="1266"/>
        <v>21.642863152333032</v>
      </c>
      <c r="BM691" s="21">
        <f t="shared" ca="1" si="1266"/>
        <v>25.210978130080491</v>
      </c>
      <c r="BN691" s="21">
        <f t="shared" ca="1" si="1266"/>
        <v>16.455821609212233</v>
      </c>
      <c r="BO691" s="21">
        <f t="shared" ca="1" si="1266"/>
        <v>27.486623892895807</v>
      </c>
      <c r="BP691" s="21"/>
    </row>
    <row r="692" spans="2:68" ht="13.2" customHeight="1">
      <c r="B692" s="280"/>
      <c r="G692" s="280"/>
      <c r="O692" s="39">
        <f>ROW()</f>
        <v>692</v>
      </c>
      <c r="P692" s="117"/>
      <c r="Q692" s="117"/>
      <c r="R692" s="117"/>
      <c r="S692" s="117"/>
      <c r="T692" s="117"/>
      <c r="U692" s="117"/>
      <c r="V692" s="117"/>
      <c r="W692" s="117"/>
      <c r="Y692" s="117"/>
      <c r="Z692" s="117"/>
      <c r="AA692" s="117"/>
      <c r="AB692" s="117"/>
      <c r="AC692" s="117"/>
      <c r="AD692" s="117"/>
      <c r="AE692" s="117"/>
      <c r="AF692" s="117"/>
      <c r="AH692" s="117"/>
      <c r="AI692" s="117"/>
      <c r="AJ692" s="117"/>
      <c r="AK692" s="117"/>
      <c r="AL692" s="117"/>
      <c r="AM692" s="117"/>
      <c r="AN692" s="117"/>
      <c r="AO692" s="117"/>
      <c r="AQ692" s="117"/>
      <c r="AR692" s="117"/>
      <c r="AS692" s="117"/>
      <c r="AT692" s="117"/>
      <c r="AU692" s="117"/>
      <c r="AV692" s="117"/>
      <c r="AW692" s="117"/>
      <c r="AX692" s="117"/>
      <c r="AZ692" s="117"/>
      <c r="BA692" s="117"/>
      <c r="BB692" s="117"/>
      <c r="BC692" s="117"/>
      <c r="BD692" s="117"/>
      <c r="BE692" s="117"/>
      <c r="BF692" s="117"/>
      <c r="BG692" s="117"/>
      <c r="BI692" s="117"/>
      <c r="BJ692" s="117"/>
      <c r="BK692" s="117"/>
      <c r="BL692" s="117"/>
      <c r="BM692" s="117"/>
      <c r="BN692" s="117"/>
      <c r="BO692" s="117"/>
      <c r="BP692" s="117"/>
    </row>
    <row r="693" spans="2:68" ht="13.2" customHeight="1">
      <c r="B693" s="6" t="s">
        <v>1643</v>
      </c>
      <c r="G693" s="880" t="s">
        <v>1472</v>
      </c>
      <c r="H693" s="880" t="s">
        <v>1087</v>
      </c>
      <c r="I693" s="880" t="s">
        <v>2445</v>
      </c>
      <c r="J693" s="880" t="s">
        <v>1088</v>
      </c>
      <c r="K693" s="880" t="s">
        <v>1089</v>
      </c>
      <c r="L693" s="880" t="s">
        <v>1151</v>
      </c>
      <c r="M693" s="880" t="s">
        <v>1090</v>
      </c>
      <c r="N693" s="880" t="s">
        <v>2684</v>
      </c>
      <c r="O693" s="39">
        <f>ROW()</f>
        <v>693</v>
      </c>
      <c r="P693" s="117">
        <f ca="1">P687^Elasticities!$G$52</f>
        <v>0.99947465030169658</v>
      </c>
      <c r="Q693" s="117">
        <f ca="1">Q687^Elasticities!$G$52</f>
        <v>0.99952957335442261</v>
      </c>
      <c r="R693" s="117">
        <f ca="1">R687^Elasticities!$G$52</f>
        <v>0.99921629588698657</v>
      </c>
      <c r="S693" s="117">
        <f ca="1">S687^Elasticities!$G$52</f>
        <v>0.99902092011492538</v>
      </c>
      <c r="T693" s="117">
        <f ca="1">T687^Elasticities!$G$52</f>
        <v>0.99909685941898929</v>
      </c>
      <c r="U693" s="117">
        <f ca="1">U687^Elasticities!$G$52</f>
        <v>0.99938455367084322</v>
      </c>
      <c r="V693" s="117">
        <f ca="1">V687^Elasticities!$G$52</f>
        <v>0.99908681798408994</v>
      </c>
      <c r="Y693" s="117">
        <f ca="1">Y687^Elasticities!$H$52</f>
        <v>0.9994746503016968</v>
      </c>
      <c r="Z693" s="117">
        <f ca="1">Z687^Elasticities!$H$52</f>
        <v>0.99952957335442261</v>
      </c>
      <c r="AA693" s="117">
        <f ca="1">AA687^Elasticities!$H$52</f>
        <v>0.99921629588698657</v>
      </c>
      <c r="AB693" s="117">
        <f ca="1">AB687^Elasticities!$H$52</f>
        <v>0.99902092011492538</v>
      </c>
      <c r="AC693" s="117">
        <f ca="1">AC687^Elasticities!$H$52</f>
        <v>0.99909685941898929</v>
      </c>
      <c r="AD693" s="117">
        <f ca="1">AD687^Elasticities!$H$52</f>
        <v>0.99938455367084322</v>
      </c>
      <c r="AE693" s="117">
        <f ca="1">AE687^Elasticities!$H$52</f>
        <v>0.99908681798409016</v>
      </c>
      <c r="AH693" s="638">
        <f ca="1">AH687^Elasticities!$I$52</f>
        <v>0.99996951225004882</v>
      </c>
      <c r="AI693" s="117">
        <f ca="1">AI687^Elasticities!$I$52</f>
        <v>1.0000903239176941</v>
      </c>
      <c r="AJ693" s="117">
        <f ca="1">AJ687^Elasticities!$I$52</f>
        <v>0.99926038250646387</v>
      </c>
      <c r="AK693" s="117">
        <f ca="1">AK687^Elasticities!$I$52</f>
        <v>0.9988388521708087</v>
      </c>
      <c r="AL693" s="117">
        <f ca="1">AL687^Elasticities!$I$52</f>
        <v>0.99894551070827786</v>
      </c>
      <c r="AM693" s="117">
        <f ca="1">AM687^Elasticities!$I$52</f>
        <v>0.99959344391067084</v>
      </c>
      <c r="AN693" s="117">
        <f ca="1">AN687^Elasticities!$I$52</f>
        <v>0.99889946133825058</v>
      </c>
      <c r="AQ693" s="117">
        <f ca="1">AQ687^Elasticities!$G$54</f>
        <v>0.99990509464798139</v>
      </c>
      <c r="AR693" s="117">
        <f ca="1">AR687^Elasticities!$G$54</f>
        <v>0.99991246882165563</v>
      </c>
      <c r="AS693" s="117">
        <f ca="1">AS687^Elasticities!$G$54</f>
        <v>0.99805084542908573</v>
      </c>
      <c r="AT693" s="117">
        <f ca="1">AT687^Elasticities!$G$54</f>
        <v>0.99810943594975909</v>
      </c>
      <c r="AU693" s="117">
        <f ca="1">AU687^Elasticities!$G$54</f>
        <v>0.99842438120754118</v>
      </c>
      <c r="AV693" s="117">
        <f ca="1">AV687^Elasticities!$G$54</f>
        <v>0.99784755918033685</v>
      </c>
      <c r="AW693" s="117">
        <f ca="1">AW687^Elasticities!$G$54</f>
        <v>0.99850429536330709</v>
      </c>
      <c r="AZ693" s="117">
        <f ca="1">AZ687^(Elasticities!$J$64*Elasticities!$G$52)</f>
        <v>0.99958008765235928</v>
      </c>
      <c r="BA693" s="117">
        <f ca="1">BA687^(Elasticities!$J$64*Elasticities!$G$52)</f>
        <v>0.99959635540193803</v>
      </c>
      <c r="BB693" s="117">
        <f ca="1">BB687^(Elasticities!$J$64*Elasticities!$G$52)</f>
        <v>0.99937981777605367</v>
      </c>
      <c r="BC693" s="117">
        <f ca="1">BC687^(Elasticities!$J$64*Elasticities!$G$52)</f>
        <v>0.99936736243440738</v>
      </c>
      <c r="BD693" s="117">
        <f ca="1">BD687^(Elasticities!$J$64*Elasticities!$G$52)</f>
        <v>0.99941851952999772</v>
      </c>
      <c r="BE693" s="117">
        <f ca="1">BE687^(Elasticities!$J$64*Elasticities!$G$52)</f>
        <v>0.99936388996794456</v>
      </c>
      <c r="BF693" s="117">
        <f ca="1">BF687^(Elasticities!$J$64*Elasticities!$G$52)</f>
        <v>0.9994261939962571</v>
      </c>
      <c r="BI693" s="117">
        <f ca="1">BI687^Elasticities!$G$50</f>
        <v>0.99962735919782286</v>
      </c>
      <c r="BJ693" s="117">
        <f ca="1">BJ687^Elasticities!$G$50</f>
        <v>0.9996544887881923</v>
      </c>
      <c r="BK693" s="117">
        <f ca="1">BK687^Elasticities!$G$50</f>
        <v>0.99945024597742493</v>
      </c>
      <c r="BL693" s="117">
        <f ca="1">BL687^Elasticities!$G$50</f>
        <v>0.99937454312437768</v>
      </c>
      <c r="BM693" s="117">
        <f ca="1">BM687^Elasticities!$G$50</f>
        <v>0.99942403836817983</v>
      </c>
      <c r="BN693" s="117">
        <f ca="1">BN687^Elasticities!$G$50</f>
        <v>0.99950280323732721</v>
      </c>
      <c r="BO693" s="117">
        <f ca="1">BO687^Elasticities!$G$50</f>
        <v>0.99942338209566084</v>
      </c>
    </row>
    <row r="694" spans="2:68" ht="13.2" customHeight="1">
      <c r="B694" s="6"/>
      <c r="G694" s="298" t="s">
        <v>1091</v>
      </c>
      <c r="H694" s="298" t="s">
        <v>1092</v>
      </c>
      <c r="I694" s="298" t="s">
        <v>1093</v>
      </c>
      <c r="J694" s="298" t="s">
        <v>1094</v>
      </c>
      <c r="K694" s="298" t="s">
        <v>1095</v>
      </c>
      <c r="L694" s="298" t="s">
        <v>1096</v>
      </c>
      <c r="M694" s="298" t="s">
        <v>1097</v>
      </c>
      <c r="N694" s="298"/>
      <c r="O694" s="39">
        <f>ROW()</f>
        <v>694</v>
      </c>
      <c r="P694" s="309" t="s">
        <v>3301</v>
      </c>
      <c r="Y694" s="309" t="s">
        <v>3307</v>
      </c>
      <c r="AH694" s="309" t="s">
        <v>3308</v>
      </c>
      <c r="AQ694" s="215" t="s">
        <v>3304</v>
      </c>
      <c r="AZ694" s="215" t="s">
        <v>3305</v>
      </c>
      <c r="BI694" s="215" t="s">
        <v>3306</v>
      </c>
    </row>
    <row r="695" spans="2:68" ht="13.2" customHeight="1">
      <c r="B695" s="6" t="s">
        <v>1921</v>
      </c>
      <c r="O695" s="39">
        <f>ROW()</f>
        <v>695</v>
      </c>
      <c r="P695" s="117">
        <f ca="1">(P642/P690)^Elasticities!$G$52</f>
        <v>1.0000708920961603</v>
      </c>
      <c r="Q695" s="117">
        <f ca="1">(Q642/Q690)^Elasticities!$G$52</f>
        <v>0.99983722138458742</v>
      </c>
      <c r="R695" s="117">
        <f ca="1">(R642/R690)^Elasticities!$G$52</f>
        <v>0.99957630613997828</v>
      </c>
      <c r="S695" s="117">
        <f ca="1">(S642/S690)^Elasticities!$G$52</f>
        <v>0.99964524340313865</v>
      </c>
      <c r="T695" s="117">
        <f ca="1">(T642/T690)^Elasticities!$G$52</f>
        <v>1.0002344578520892</v>
      </c>
      <c r="U695" s="117">
        <f ca="1">(U642/U690)^Elasticities!$G$52</f>
        <v>1.0006645461024692</v>
      </c>
      <c r="V695" s="117">
        <f ca="1">(V642/V690)^Elasticities!$G$52</f>
        <v>1.0001701413982991</v>
      </c>
      <c r="Y695" s="117">
        <f ca="1">(Y642/Y690)^Elasticities!$H$52</f>
        <v>1.0000708920961603</v>
      </c>
      <c r="Z695" s="117">
        <f ca="1">(Z642/Z690)^Elasticities!$H$52</f>
        <v>0.99983722138458742</v>
      </c>
      <c r="AA695" s="117">
        <f ca="1">(AA642/AA690)^Elasticities!$H$52</f>
        <v>0.99957630613997828</v>
      </c>
      <c r="AB695" s="117">
        <f ca="1">(AB642/AB690)^Elasticities!$H$52</f>
        <v>0.99964524340313865</v>
      </c>
      <c r="AC695" s="117">
        <f ca="1">(AC642/AC690)^Elasticities!$H$52</f>
        <v>1.0002344578520892</v>
      </c>
      <c r="AD695" s="117">
        <f ca="1">(AD642/AD690)^Elasticities!$H$52</f>
        <v>1.0006645461024692</v>
      </c>
      <c r="AE695" s="117">
        <f ca="1">(AE642/AE690)^Elasticities!$H$52</f>
        <v>1.0001701413982991</v>
      </c>
      <c r="AH695" s="117">
        <f ca="1">(AH642/AH690)^Elasticities!$I$52</f>
        <v>1.0000708920961603</v>
      </c>
      <c r="AI695" s="117">
        <f ca="1">(AI642/AI690)^Elasticities!$I$52</f>
        <v>0.99983722138458742</v>
      </c>
      <c r="AJ695" s="117">
        <f ca="1">(AJ642/AJ690)^Elasticities!$I$52</f>
        <v>0.99957630613997828</v>
      </c>
      <c r="AK695" s="117">
        <f ca="1">(AK642/AK690)^Elasticities!$I$52</f>
        <v>0.99964524340313865</v>
      </c>
      <c r="AL695" s="117">
        <f ca="1">(AL642/AL690)^Elasticities!$I$52</f>
        <v>1.0002344578520892</v>
      </c>
      <c r="AM695" s="117">
        <f ca="1">(AM642/AM690)^Elasticities!$I$52</f>
        <v>1.0006645461024692</v>
      </c>
      <c r="AN695" s="117">
        <f ca="1">(AN642/AN690)^Elasticities!$I$52</f>
        <v>1.0001701413982991</v>
      </c>
      <c r="AQ695" s="117">
        <f ca="1">(AQ642/AQ690)^Elasticities!$G$54</f>
        <v>1.0000567132748843</v>
      </c>
      <c r="AR695" s="117">
        <f ca="1">(AR642/AR690)^Elasticities!$G$54</f>
        <v>0.99986977498778185</v>
      </c>
      <c r="AS695" s="117">
        <f ca="1">(AS642/AS690)^Elasticities!$G$54</f>
        <v>0.99966103054822919</v>
      </c>
      <c r="AT695" s="117">
        <f ca="1">(AT642/AT690)^Elasticities!$G$54</f>
        <v>0.99971618465290224</v>
      </c>
      <c r="AU695" s="117">
        <f ca="1">(AU642/AU690)^Elasticities!$G$54</f>
        <v>1.0001875618844451</v>
      </c>
      <c r="AV695" s="117">
        <f ca="1">(AV642/AV690)^Elasticities!$G$54</f>
        <v>1.0005316015616414</v>
      </c>
      <c r="AW695" s="117">
        <f ca="1">(AW642/AW690)^Elasticities!$G$54</f>
        <v>1.0001361108029492</v>
      </c>
      <c r="AZ695" s="117">
        <f ca="1">(AZ642/AZ690)^(Elasticities!$J$64*Elasticities!$G$52)</f>
        <v>1.000023630140332</v>
      </c>
      <c r="BA695" s="117">
        <f ca="1">(BA642/BA690)^(Elasticities!$J$64*Elasticities!$G$52)</f>
        <v>0.99994573751716542</v>
      </c>
      <c r="BB695" s="117">
        <f ca="1">(BB642/BB690)^(Elasticities!$J$64*Elasticities!$G$52)</f>
        <v>0.99985874876235337</v>
      </c>
      <c r="BC695" s="117">
        <f ca="1">(BC642/BC690)^(Elasticities!$J$64*Elasticities!$G$52)</f>
        <v>0.99988173381470702</v>
      </c>
      <c r="BD695" s="117">
        <f ca="1">(BD642/BD690)^(Elasticities!$J$64*Elasticities!$G$52)</f>
        <v>1.000078146510327</v>
      </c>
      <c r="BE695" s="117">
        <f ca="1">(BE642/BE690)^(Elasticities!$J$64*Elasticities!$G$52)</f>
        <v>1.0002214663165396</v>
      </c>
      <c r="BF695" s="117">
        <f ca="1">(BF642/BF690)^(Elasticities!$J$64*Elasticities!$G$52)</f>
        <v>1.000056710583282</v>
      </c>
      <c r="BI695" s="117">
        <f ca="1">(BI642/BI690)^Elasticities!$G$50</f>
        <v>1.0000354454198912</v>
      </c>
      <c r="BJ695" s="117">
        <f ca="1">(BJ642/BJ690)^Elasticities!$G$50</f>
        <v>0.99991860737991445</v>
      </c>
      <c r="BK695" s="117">
        <f ca="1">(BK642/BK690)^Elasticities!$G$50</f>
        <v>0.99978813062567329</v>
      </c>
      <c r="BL695" s="117">
        <f ca="1">(BL642/BL690)^Elasticities!$G$50</f>
        <v>0.99982260596724781</v>
      </c>
      <c r="BM695" s="117">
        <f ca="1">(BM642/BM690)^Elasticities!$G$50</f>
        <v>1.0001172220555394</v>
      </c>
      <c r="BN695" s="117">
        <f ca="1">(BN642/BN690)^Elasticities!$G$50</f>
        <v>1.000332217866879</v>
      </c>
      <c r="BO695" s="117">
        <f ca="1">(BO642/BO690)^Elasticities!$G$50</f>
        <v>1.0000850670809454</v>
      </c>
    </row>
    <row r="696" spans="2:68" ht="13.2" customHeight="1">
      <c r="O696" s="39">
        <f>ROW()</f>
        <v>696</v>
      </c>
      <c r="P696" s="309" t="s">
        <v>529</v>
      </c>
      <c r="Y696" s="309" t="s">
        <v>530</v>
      </c>
      <c r="AH696" s="309" t="s">
        <v>2922</v>
      </c>
      <c r="AQ696" s="215" t="s">
        <v>3299</v>
      </c>
      <c r="AZ696" s="309" t="s">
        <v>2398</v>
      </c>
      <c r="BI696" s="309" t="s">
        <v>2878</v>
      </c>
    </row>
    <row r="697" spans="2:68" ht="13.2" customHeight="1">
      <c r="B697" s="6" t="s">
        <v>2164</v>
      </c>
      <c r="G697" s="633">
        <f t="shared" ref="G697:M697" ca="1" si="1269">($I$76*$I$79*P697+$J$76*$J$79*Y697+$K$76*$K$79*AH697+$L$76*$L$79*AQ697+$M$76*$M$79*AZ697+$N$76*$N$79*BI697)/SUMPRODUCT($I$76:$N$76,$I$79:$N$79)</f>
        <v>0.99999590010816719</v>
      </c>
      <c r="H697" s="633">
        <f t="shared" ca="1" si="1269"/>
        <v>0.99991505834535743</v>
      </c>
      <c r="I697" s="633">
        <f t="shared" ca="1" si="1269"/>
        <v>1.0000259563979843</v>
      </c>
      <c r="J697" s="633">
        <f t="shared" ca="1" si="1269"/>
        <v>1.0001518841860662</v>
      </c>
      <c r="K697" s="633">
        <f t="shared" ca="1" si="1269"/>
        <v>1.000176488756334</v>
      </c>
      <c r="L697" s="633">
        <f t="shared" ca="1" si="1269"/>
        <v>0.99993620212500511</v>
      </c>
      <c r="M697" s="633">
        <f t="shared" ca="1" si="1269"/>
        <v>1.000217115944771</v>
      </c>
      <c r="O697" s="39">
        <f>ROW()</f>
        <v>697</v>
      </c>
      <c r="P697" s="117">
        <f ca="1">(P643/P691)^Elasticities!$G$52</f>
        <v>0.9999957201060321</v>
      </c>
      <c r="Q697" s="117">
        <f ca="1">(Q643/Q691)^Elasticities!$G$52</f>
        <v>0.99991132912921277</v>
      </c>
      <c r="R697" s="117">
        <f ca="1">(R643/R691)^Elasticities!$G$52</f>
        <v>1.0000270959989586</v>
      </c>
      <c r="S697" s="117">
        <f ca="1">(S643/S691)^Elasticities!$G$52</f>
        <v>1.0001585527766834</v>
      </c>
      <c r="T697" s="117">
        <f ca="1">(T643/T691)^Elasticities!$G$52</f>
        <v>1.0001842376750125</v>
      </c>
      <c r="U697" s="117">
        <f ca="1">(U643/U691)^Elasticities!$G$52</f>
        <v>0.99993340117566321</v>
      </c>
      <c r="V697" s="117">
        <f ca="1">(V643/V691)^Elasticities!$G$52</f>
        <v>1.0002266487343918</v>
      </c>
      <c r="Y697" s="117">
        <f ca="1">(Y643/Y691)^Elasticities!$H$52</f>
        <v>0.9999957201060321</v>
      </c>
      <c r="Z697" s="117">
        <f ca="1">(Z643/Z691)^Elasticities!$H$52</f>
        <v>0.99991132912921277</v>
      </c>
      <c r="AA697" s="117">
        <f ca="1">(AA643/AA691)^Elasticities!$H$52</f>
        <v>1.0000270959989586</v>
      </c>
      <c r="AB697" s="117">
        <f ca="1">(AB643/AB691)^Elasticities!$H$52</f>
        <v>1.0001585527766834</v>
      </c>
      <c r="AC697" s="117">
        <f ca="1">(AC643/AC691)^Elasticities!$H$52</f>
        <v>1.0001842376750125</v>
      </c>
      <c r="AD697" s="117">
        <f ca="1">(AD643/AD691)^Elasticities!$H$52</f>
        <v>0.99993340117566321</v>
      </c>
      <c r="AE697" s="117">
        <f ca="1">(AE643/AE691)^Elasticities!$H$52</f>
        <v>1.0002266487343918</v>
      </c>
      <c r="AH697" s="117">
        <f ca="1">(AH643/AH691)^Elasticities!$I$52</f>
        <v>0.9999957201060321</v>
      </c>
      <c r="AI697" s="117">
        <f ca="1">(AI643/AI691)^Elasticities!$I$52</f>
        <v>0.99991132912921277</v>
      </c>
      <c r="AJ697" s="117">
        <f ca="1">(AJ643/AJ691)^Elasticities!$I$52</f>
        <v>1.0000270959989586</v>
      </c>
      <c r="AK697" s="117">
        <f ca="1">(AK643/AK691)^Elasticities!$I$52</f>
        <v>1.0001585527766834</v>
      </c>
      <c r="AL697" s="117">
        <f ca="1">(AL643/AL691)^Elasticities!$I$52</f>
        <v>1.0001842376750125</v>
      </c>
      <c r="AM697" s="117">
        <f ca="1">(AM643/AM691)^Elasticities!$I$52</f>
        <v>0.99993340117566321</v>
      </c>
      <c r="AN697" s="117">
        <f ca="1">(AN643/AN691)^Elasticities!$I$52</f>
        <v>1.0002266487343918</v>
      </c>
      <c r="AQ697" s="117">
        <f ca="1">(AQ643/AQ691)^Elasticities!$G$54</f>
        <v>0.99999657608336023</v>
      </c>
      <c r="AR697" s="117">
        <f ca="1">(AR643/AR691)^Elasticities!$G$54</f>
        <v>0.999929062674346</v>
      </c>
      <c r="AS697" s="117">
        <f ca="1">(AS643/AS691)^Elasticities!$G$54</f>
        <v>1.0000216767404322</v>
      </c>
      <c r="AT697" s="117">
        <f ca="1">(AT643/AT691)^Elasticities!$G$54</f>
        <v>1.0001268402103556</v>
      </c>
      <c r="AU697" s="117">
        <f ca="1">(AU643/AU691)^Elasticities!$G$54</f>
        <v>1.0001473874247284</v>
      </c>
      <c r="AV697" s="117">
        <f ca="1">(AV643/AV691)^Elasticities!$G$54</f>
        <v>0.99994672058568879</v>
      </c>
      <c r="AW697" s="117">
        <f ca="1">(AW643/AW691)^Elasticities!$G$54</f>
        <v>1.0001813148783141</v>
      </c>
      <c r="AZ697" s="117">
        <f ca="1">(AZ643/AZ691)^(Elasticities!$J$64*Elasticities!$G$52)</f>
        <v>0.99999857336664211</v>
      </c>
      <c r="BA697" s="117">
        <f ca="1">(BA643/BA691)^(Elasticities!$J$64*Elasticities!$G$52)</f>
        <v>0.99997044216941422</v>
      </c>
      <c r="BB697" s="117">
        <f ca="1">(BB643/BB691)^(Elasticities!$J$64*Elasticities!$G$52)</f>
        <v>1.000009031918077</v>
      </c>
      <c r="BC697" s="117">
        <f ca="1">(BC643/BC691)^(Elasticities!$J$64*Elasticities!$G$52)</f>
        <v>1.0000528481325868</v>
      </c>
      <c r="BD697" s="117">
        <f ca="1">(BD643/BD691)^(Elasticities!$J$64*Elasticities!$G$52)</f>
        <v>1.0000614087872213</v>
      </c>
      <c r="BE697" s="117">
        <f ca="1">(BE643/BE691)^(Elasticities!$J$64*Elasticities!$G$52)</f>
        <v>0.999977799899047</v>
      </c>
      <c r="BF697" s="117">
        <f ca="1">(BF643/BF691)^(Elasticities!$J$64*Elasticities!$G$52)</f>
        <v>1.0000755438711104</v>
      </c>
      <c r="BI697" s="117">
        <f ca="1">(BI643/BI691)^Elasticities!$G$50</f>
        <v>0.99999786005072644</v>
      </c>
      <c r="BJ697" s="117">
        <f ca="1">(BJ643/BJ691)^Elasticities!$G$50</f>
        <v>0.99995566358174737</v>
      </c>
      <c r="BK697" s="117">
        <f ca="1">(BK643/BK691)^Elasticities!$G$50</f>
        <v>1.0000135479077064</v>
      </c>
      <c r="BL697" s="117">
        <f ca="1">(BL643/BL691)^Elasticities!$G$50</f>
        <v>1.0000792732462178</v>
      </c>
      <c r="BM697" s="117">
        <f ca="1">(BM643/BM691)^Elasticities!$G$50</f>
        <v>1.0000921145949571</v>
      </c>
      <c r="BN697" s="117">
        <f ca="1">(BN643/BN691)^Elasticities!$G$50</f>
        <v>0.99996670003338783</v>
      </c>
      <c r="BO697" s="117">
        <f ca="1">(BO643/BO691)^Elasticities!$G$50</f>
        <v>1.0001133179467174</v>
      </c>
    </row>
    <row r="698" spans="2:68" ht="13.2" customHeight="1" collapsed="1">
      <c r="O698" s="39">
        <f>ROW()</f>
        <v>698</v>
      </c>
      <c r="P698" s="309" t="s">
        <v>2879</v>
      </c>
      <c r="Y698" s="309" t="s">
        <v>2842</v>
      </c>
      <c r="AH698" s="309" t="s">
        <v>2808</v>
      </c>
      <c r="AQ698" s="215" t="s">
        <v>3300</v>
      </c>
      <c r="AZ698" s="309" t="s">
        <v>2903</v>
      </c>
      <c r="BI698" s="309" t="s">
        <v>91</v>
      </c>
    </row>
    <row r="699" spans="2:68" ht="13.2" customHeight="1">
      <c r="B699" s="24" t="s">
        <v>776</v>
      </c>
      <c r="I699" s="54"/>
      <c r="O699" s="39">
        <f>ROW()</f>
        <v>699</v>
      </c>
      <c r="P699" s="880" t="s">
        <v>1472</v>
      </c>
      <c r="Q699" s="880" t="s">
        <v>615</v>
      </c>
      <c r="R699" s="880" t="s">
        <v>2445</v>
      </c>
      <c r="S699" s="880" t="s">
        <v>616</v>
      </c>
      <c r="T699" s="880" t="s">
        <v>1152</v>
      </c>
      <c r="U699" s="880" t="s">
        <v>1151</v>
      </c>
      <c r="V699" s="880" t="s">
        <v>617</v>
      </c>
      <c r="W699" s="880" t="s">
        <v>2684</v>
      </c>
      <c r="Y699" s="880" t="s">
        <v>1472</v>
      </c>
      <c r="Z699" s="880" t="s">
        <v>615</v>
      </c>
      <c r="AA699" s="880" t="s">
        <v>2445</v>
      </c>
      <c r="AB699" s="880" t="s">
        <v>616</v>
      </c>
      <c r="AC699" s="880" t="s">
        <v>1152</v>
      </c>
      <c r="AD699" s="880" t="s">
        <v>1151</v>
      </c>
      <c r="AE699" s="880" t="s">
        <v>617</v>
      </c>
      <c r="AF699" s="880" t="s">
        <v>2684</v>
      </c>
      <c r="AH699" s="880" t="s">
        <v>1472</v>
      </c>
      <c r="AI699" s="880" t="s">
        <v>615</v>
      </c>
      <c r="AJ699" s="880" t="s">
        <v>2445</v>
      </c>
      <c r="AK699" s="880" t="s">
        <v>616</v>
      </c>
      <c r="AL699" s="880" t="s">
        <v>1152</v>
      </c>
      <c r="AM699" s="880" t="s">
        <v>1151</v>
      </c>
      <c r="AN699" s="880" t="s">
        <v>617</v>
      </c>
      <c r="AO699" s="880" t="s">
        <v>2684</v>
      </c>
      <c r="AQ699" s="880" t="s">
        <v>1472</v>
      </c>
      <c r="AR699" s="880" t="s">
        <v>615</v>
      </c>
      <c r="AS699" s="880" t="s">
        <v>2445</v>
      </c>
      <c r="AT699" s="880" t="s">
        <v>616</v>
      </c>
      <c r="AU699" s="880" t="s">
        <v>1152</v>
      </c>
      <c r="AV699" s="880" t="s">
        <v>1151</v>
      </c>
      <c r="AW699" s="880" t="s">
        <v>617</v>
      </c>
      <c r="AX699" s="880" t="s">
        <v>2684</v>
      </c>
      <c r="AZ699" s="880" t="s">
        <v>1472</v>
      </c>
      <c r="BA699" s="880" t="s">
        <v>615</v>
      </c>
      <c r="BB699" s="880" t="s">
        <v>2445</v>
      </c>
      <c r="BC699" s="880" t="s">
        <v>616</v>
      </c>
      <c r="BD699" s="880" t="s">
        <v>1152</v>
      </c>
      <c r="BE699" s="880" t="s">
        <v>1151</v>
      </c>
      <c r="BF699" s="880" t="s">
        <v>617</v>
      </c>
      <c r="BG699" s="880" t="s">
        <v>2684</v>
      </c>
      <c r="BI699" s="880" t="s">
        <v>1472</v>
      </c>
      <c r="BJ699" s="880" t="s">
        <v>615</v>
      </c>
      <c r="BK699" s="880" t="s">
        <v>2445</v>
      </c>
      <c r="BL699" s="880" t="s">
        <v>616</v>
      </c>
      <c r="BM699" s="880" t="s">
        <v>1152</v>
      </c>
      <c r="BN699" s="880" t="s">
        <v>1151</v>
      </c>
      <c r="BO699" s="880" t="s">
        <v>617</v>
      </c>
      <c r="BP699" s="880" t="s">
        <v>2684</v>
      </c>
    </row>
    <row r="700" spans="2:68" ht="13.2" customHeight="1">
      <c r="O700" s="39">
        <f>ROW()</f>
        <v>700</v>
      </c>
      <c r="P700" s="298" t="s">
        <v>2678</v>
      </c>
      <c r="Q700" s="298" t="s">
        <v>665</v>
      </c>
      <c r="R700" s="298" t="s">
        <v>666</v>
      </c>
      <c r="S700" s="298" t="s">
        <v>667</v>
      </c>
      <c r="T700" s="298" t="s">
        <v>668</v>
      </c>
      <c r="U700" s="298" t="s">
        <v>434</v>
      </c>
      <c r="V700" s="298" t="s">
        <v>435</v>
      </c>
      <c r="W700" s="298"/>
      <c r="Y700" s="298" t="s">
        <v>2678</v>
      </c>
      <c r="Z700" s="298" t="s">
        <v>665</v>
      </c>
      <c r="AA700" s="298" t="s">
        <v>666</v>
      </c>
      <c r="AB700" s="298" t="s">
        <v>667</v>
      </c>
      <c r="AC700" s="298" t="s">
        <v>668</v>
      </c>
      <c r="AD700" s="298" t="s">
        <v>434</v>
      </c>
      <c r="AE700" s="298" t="s">
        <v>435</v>
      </c>
      <c r="AF700" s="298"/>
      <c r="AH700" s="298" t="s">
        <v>2678</v>
      </c>
      <c r="AI700" s="298" t="s">
        <v>665</v>
      </c>
      <c r="AJ700" s="298" t="s">
        <v>666</v>
      </c>
      <c r="AK700" s="298" t="s">
        <v>667</v>
      </c>
      <c r="AL700" s="298" t="s">
        <v>668</v>
      </c>
      <c r="AM700" s="298" t="s">
        <v>434</v>
      </c>
      <c r="AN700" s="298" t="s">
        <v>435</v>
      </c>
      <c r="AO700" s="298"/>
      <c r="AQ700" s="298" t="s">
        <v>2678</v>
      </c>
      <c r="AR700" s="298" t="s">
        <v>665</v>
      </c>
      <c r="AS700" s="298" t="s">
        <v>666</v>
      </c>
      <c r="AT700" s="298" t="s">
        <v>667</v>
      </c>
      <c r="AU700" s="298" t="s">
        <v>668</v>
      </c>
      <c r="AV700" s="298" t="s">
        <v>434</v>
      </c>
      <c r="AW700" s="298" t="s">
        <v>435</v>
      </c>
      <c r="AX700" s="298"/>
      <c r="AZ700" s="298" t="s">
        <v>2678</v>
      </c>
      <c r="BA700" s="298" t="s">
        <v>665</v>
      </c>
      <c r="BB700" s="298" t="s">
        <v>666</v>
      </c>
      <c r="BC700" s="298" t="s">
        <v>667</v>
      </c>
      <c r="BD700" s="298" t="s">
        <v>668</v>
      </c>
      <c r="BE700" s="298" t="s">
        <v>434</v>
      </c>
      <c r="BF700" s="298" t="s">
        <v>435</v>
      </c>
      <c r="BG700" s="298"/>
      <c r="BI700" s="298" t="s">
        <v>2678</v>
      </c>
      <c r="BJ700" s="298" t="s">
        <v>665</v>
      </c>
      <c r="BK700" s="298" t="s">
        <v>666</v>
      </c>
      <c r="BL700" s="298" t="s">
        <v>667</v>
      </c>
      <c r="BM700" s="298" t="s">
        <v>668</v>
      </c>
      <c r="BN700" s="298" t="s">
        <v>434</v>
      </c>
      <c r="BO700" s="298" t="s">
        <v>435</v>
      </c>
      <c r="BP700" s="298"/>
    </row>
    <row r="701" spans="2:68" ht="13.2" customHeight="1">
      <c r="B701" s="308" t="s">
        <v>112</v>
      </c>
      <c r="O701" s="39">
        <f>ROW()</f>
        <v>701</v>
      </c>
    </row>
    <row r="702" spans="2:68" ht="13.2" customHeight="1">
      <c r="B702" s="280" t="s">
        <v>2389</v>
      </c>
      <c r="G702" s="1122">
        <f t="shared" ref="G702:M702" ca="1" si="1270">P702+Y702+AH702+AQ702+AZ702+BI702</f>
        <v>54300.243252919427</v>
      </c>
      <c r="H702" s="1122">
        <f t="shared" ca="1" si="1270"/>
        <v>17446.83457880206</v>
      </c>
      <c r="I702" s="1122">
        <f t="shared" ca="1" si="1270"/>
        <v>115562.67657857489</v>
      </c>
      <c r="J702" s="1122">
        <f t="shared" ca="1" si="1270"/>
        <v>34117.170473570084</v>
      </c>
      <c r="K702" s="1122">
        <f t="shared" ca="1" si="1270"/>
        <v>117453.4207730967</v>
      </c>
      <c r="L702" s="1122">
        <f t="shared" ca="1" si="1270"/>
        <v>178389.83110649692</v>
      </c>
      <c r="M702" s="1122">
        <f t="shared" ca="1" si="1270"/>
        <v>59848.107061547336</v>
      </c>
      <c r="N702" s="186">
        <f ca="1">SUM(G702:M702)</f>
        <v>577118.28382500738</v>
      </c>
      <c r="O702" s="39">
        <f>ROW()</f>
        <v>702</v>
      </c>
      <c r="P702" s="10">
        <f t="shared" ref="P702:V702" ca="1" si="1271">P656</f>
        <v>9421.3950096821554</v>
      </c>
      <c r="Q702" s="10">
        <f t="shared" ca="1" si="1271"/>
        <v>9961.8973485070073</v>
      </c>
      <c r="R702" s="10">
        <f t="shared" ca="1" si="1271"/>
        <v>66623.191271380245</v>
      </c>
      <c r="S702" s="10">
        <f t="shared" ca="1" si="1271"/>
        <v>15916.745808521431</v>
      </c>
      <c r="T702" s="10">
        <f t="shared" ca="1" si="1271"/>
        <v>46906.314490772806</v>
      </c>
      <c r="U702" s="10">
        <f t="shared" ca="1" si="1271"/>
        <v>47438.702439630804</v>
      </c>
      <c r="V702" s="10">
        <f t="shared" ca="1" si="1271"/>
        <v>13093.654360550012</v>
      </c>
      <c r="W702" s="10">
        <f ca="1">SUM(P702:V702)</f>
        <v>209361.90072904449</v>
      </c>
      <c r="Y702" s="10">
        <f t="shared" ref="Y702:AE702" ca="1" si="1272">Y656</f>
        <v>16509.333998630533</v>
      </c>
      <c r="Z702" s="10">
        <f t="shared" ca="1" si="1272"/>
        <v>1209.7292969724526</v>
      </c>
      <c r="AA702" s="10">
        <f t="shared" ca="1" si="1272"/>
        <v>13416.874669143244</v>
      </c>
      <c r="AB702" s="10">
        <f t="shared" ca="1" si="1272"/>
        <v>7885.3020396438606</v>
      </c>
      <c r="AC702" s="10">
        <f t="shared" ca="1" si="1272"/>
        <v>32492.807872535745</v>
      </c>
      <c r="AD702" s="10">
        <f t="shared" ca="1" si="1272"/>
        <v>64988.947621233878</v>
      </c>
      <c r="AE702" s="10">
        <f t="shared" ca="1" si="1272"/>
        <v>19539.638996297486</v>
      </c>
      <c r="AF702" s="10">
        <f ca="1">SUM(Y702:AE702)</f>
        <v>156042.63449445722</v>
      </c>
      <c r="AH702" s="10">
        <f t="shared" ref="AH702:AN702" ca="1" si="1273">AH656</f>
        <v>17571.193761963299</v>
      </c>
      <c r="AI702" s="10">
        <f t="shared" ca="1" si="1273"/>
        <v>2261.2604733980734</v>
      </c>
      <c r="AJ702" s="10">
        <f t="shared" ca="1" si="1273"/>
        <v>10000.873838835876</v>
      </c>
      <c r="AK702" s="10">
        <f t="shared" ca="1" si="1273"/>
        <v>2888.8931674171704</v>
      </c>
      <c r="AL702" s="10">
        <f t="shared" ca="1" si="1273"/>
        <v>14096.711050715769</v>
      </c>
      <c r="AM702" s="10">
        <f t="shared" ca="1" si="1273"/>
        <v>26541.27965448119</v>
      </c>
      <c r="AN702" s="10">
        <f t="shared" ca="1" si="1273"/>
        <v>13817.894564139131</v>
      </c>
      <c r="AO702" s="10">
        <f ca="1">SUM(AH702:AN702)</f>
        <v>87178.106510950514</v>
      </c>
      <c r="AQ702" s="10">
        <f t="shared" ref="AQ702:AW702" ca="1" si="1274">AQ656</f>
        <v>5971.6905611606398</v>
      </c>
      <c r="AR702" s="10">
        <f t="shared" ca="1" si="1274"/>
        <v>2552.8911555962159</v>
      </c>
      <c r="AS702" s="10">
        <f t="shared" ca="1" si="1274"/>
        <v>15950.302675877292</v>
      </c>
      <c r="AT702" s="10">
        <f t="shared" ca="1" si="1274"/>
        <v>4642.5660450726618</v>
      </c>
      <c r="AU702" s="10">
        <f t="shared" ca="1" si="1274"/>
        <v>14365.016335840943</v>
      </c>
      <c r="AV702" s="10">
        <f t="shared" ca="1" si="1274"/>
        <v>24469.846484730482</v>
      </c>
      <c r="AW702" s="10">
        <f t="shared" ca="1" si="1274"/>
        <v>8223.1249489336733</v>
      </c>
      <c r="AX702" s="10">
        <f ca="1">SUM(AQ702:AW702)</f>
        <v>76175.438207211919</v>
      </c>
      <c r="AZ702" s="10">
        <f t="shared" ref="AZ702:BF702" ca="1" si="1275">AZ656</f>
        <v>3695.3499770207386</v>
      </c>
      <c r="BA702" s="10">
        <f t="shared" ca="1" si="1275"/>
        <v>1104.6759223628594</v>
      </c>
      <c r="BB702" s="10">
        <f t="shared" ca="1" si="1275"/>
        <v>7283.8050902752038</v>
      </c>
      <c r="BC702" s="10">
        <f t="shared" ca="1" si="1275"/>
        <v>2116.3177756607961</v>
      </c>
      <c r="BD702" s="10">
        <f t="shared" ca="1" si="1275"/>
        <v>7311.8784120506662</v>
      </c>
      <c r="BE702" s="10">
        <f t="shared" ca="1" si="1275"/>
        <v>11380.292778657895</v>
      </c>
      <c r="BF702" s="10">
        <f t="shared" ca="1" si="1275"/>
        <v>3938.1392974952146</v>
      </c>
      <c r="BG702" s="10">
        <f ca="1">SUM(AZ702:BF702)</f>
        <v>36830.459253523375</v>
      </c>
      <c r="BI702" s="10">
        <f t="shared" ref="BI702:BO702" ca="1" si="1276">BI656</f>
        <v>1131.2799444620618</v>
      </c>
      <c r="BJ702" s="10">
        <f t="shared" ca="1" si="1276"/>
        <v>356.3803819654517</v>
      </c>
      <c r="BK702" s="10">
        <f t="shared" ca="1" si="1276"/>
        <v>2287.6290330630304</v>
      </c>
      <c r="BL702" s="10">
        <f t="shared" ca="1" si="1276"/>
        <v>667.34563725417127</v>
      </c>
      <c r="BM702" s="10">
        <f t="shared" ca="1" si="1276"/>
        <v>2280.6926111807979</v>
      </c>
      <c r="BN702" s="10">
        <f t="shared" ca="1" si="1276"/>
        <v>3570.7621277626472</v>
      </c>
      <c r="BO702" s="10">
        <f t="shared" ca="1" si="1276"/>
        <v>1235.6548941318208</v>
      </c>
      <c r="BP702" s="10">
        <f ca="1">SUM(BI702:BO702)</f>
        <v>11529.744629819981</v>
      </c>
    </row>
    <row r="703" spans="2:68" ht="13.2" customHeight="1">
      <c r="B703" s="309" t="str">
        <f>CONCATENATE("Above row repeats figures in Row ",O656,".")</f>
        <v>Above row repeats figures in Row 656.</v>
      </c>
      <c r="G703" s="1126" t="s">
        <v>1009</v>
      </c>
      <c r="H703" s="1122"/>
      <c r="I703" s="1122"/>
      <c r="J703" s="1122"/>
      <c r="K703" s="1122"/>
      <c r="L703" s="1122"/>
      <c r="M703" s="1122"/>
      <c r="O703" s="39">
        <f>ROW()</f>
        <v>703</v>
      </c>
      <c r="AQ703" s="265" t="str">
        <f>CONCATENATE("Row ",O704, " figures are set equal to ",O702, " figures, since rebound effects are presumed accounted for by taxi time-elasticity.")</f>
        <v>Row 704 figures are set equal to 702 figures, since rebound effects are presumed accounted for by taxi time-elasticity.</v>
      </c>
    </row>
    <row r="704" spans="2:68" ht="13.2" customHeight="1">
      <c r="B704" s="280" t="s">
        <v>1300</v>
      </c>
      <c r="G704" s="1122">
        <f t="shared" ref="G704:M705" ca="1" si="1277">P704+Y704+AH704+AQ704+AZ704+BI704</f>
        <v>54284.111561946171</v>
      </c>
      <c r="H704" s="1122">
        <f t="shared" ca="1" si="1277"/>
        <v>17441.214363972162</v>
      </c>
      <c r="I704" s="1122">
        <f t="shared" ca="1" si="1277"/>
        <v>115486.77710874681</v>
      </c>
      <c r="J704" s="1122">
        <f t="shared" ca="1" si="1277"/>
        <v>34088.755677225403</v>
      </c>
      <c r="K704" s="1122">
        <f t="shared" ca="1" si="1277"/>
        <v>117361.28206680866</v>
      </c>
      <c r="L704" s="1122">
        <f t="shared" ca="1" si="1277"/>
        <v>178300.83291333466</v>
      </c>
      <c r="M704" s="1122">
        <f t="shared" ca="1" si="1277"/>
        <v>59800.127569034121</v>
      </c>
      <c r="N704" s="617">
        <f ca="1">SUM(G704:M704)</f>
        <v>576763.10126106802</v>
      </c>
      <c r="O704" s="39">
        <f>ROW()</f>
        <v>704</v>
      </c>
      <c r="P704" s="10">
        <f t="shared" ref="P704:V704" ca="1" si="1278">P702*P693</f>
        <v>9416.4454826562214</v>
      </c>
      <c r="Q704" s="10">
        <f t="shared" ca="1" si="1278"/>
        <v>9957.2110065537636</v>
      </c>
      <c r="R704" s="10">
        <f t="shared" ca="1" si="1278"/>
        <v>66570.978402358785</v>
      </c>
      <c r="S704" s="10">
        <f t="shared" ca="1" si="1278"/>
        <v>15901.162042864462</v>
      </c>
      <c r="T704" s="10">
        <f t="shared" ca="1" si="1278"/>
        <v>46863.951494650537</v>
      </c>
      <c r="U704" s="10">
        <f t="shared" ca="1" si="1278"/>
        <v>47409.506464354374</v>
      </c>
      <c r="V704" s="10">
        <f t="shared" ca="1" si="1278"/>
        <v>13081.697470865416</v>
      </c>
      <c r="W704" s="10">
        <f ca="1">SUM(P704:V704)</f>
        <v>209200.95236430358</v>
      </c>
      <c r="Y704" s="10">
        <f t="shared" ref="Y704:AE704" ca="1" si="1279">Y702*Y693</f>
        <v>16500.660824995164</v>
      </c>
      <c r="Z704" s="10">
        <f t="shared" ca="1" si="1279"/>
        <v>1209.1602080772211</v>
      </c>
      <c r="AA704" s="10">
        <f t="shared" ca="1" si="1279"/>
        <v>13406.359809281252</v>
      </c>
      <c r="AB704" s="10">
        <f t="shared" ca="1" si="1279"/>
        <v>7877.5816990291078</v>
      </c>
      <c r="AC704" s="10">
        <f t="shared" ca="1" si="1279"/>
        <v>32463.462299155075</v>
      </c>
      <c r="AD704" s="10">
        <f t="shared" ca="1" si="1279"/>
        <v>64948.950411984624</v>
      </c>
      <c r="AE704" s="10">
        <f t="shared" ca="1" si="1279"/>
        <v>19521.795749368695</v>
      </c>
      <c r="AF704" s="10">
        <f ca="1">SUM(Y704:AE704)</f>
        <v>155927.97100189116</v>
      </c>
      <c r="AH704" s="10">
        <f t="shared" ref="AH704:AN704" ca="1" si="1280">AH702*AH693</f>
        <v>17570.658055801541</v>
      </c>
      <c r="AI704" s="10">
        <f t="shared" ca="1" si="1280"/>
        <v>2261.4647193029577</v>
      </c>
      <c r="AJ704" s="10">
        <f t="shared" ca="1" si="1280"/>
        <v>9993.4770175940248</v>
      </c>
      <c r="AK704" s="10">
        <f t="shared" ca="1" si="1280"/>
        <v>2885.5387353870583</v>
      </c>
      <c r="AL704" s="10">
        <f t="shared" ca="1" si="1280"/>
        <v>14081.846219864288</v>
      </c>
      <c r="AM704" s="10">
        <f t="shared" ca="1" si="1280"/>
        <v>26530.489135619071</v>
      </c>
      <c r="AN704" s="10">
        <f t="shared" ca="1" si="1280"/>
        <v>13802.687436947319</v>
      </c>
      <c r="AO704" s="10">
        <f ca="1">SUM(AH704:AN704)</f>
        <v>87126.161320516272</v>
      </c>
      <c r="AQ704" s="10">
        <f ca="1">AQ702</f>
        <v>5971.6905611606398</v>
      </c>
      <c r="AR704" s="10">
        <f t="shared" ref="AR704:AW704" ca="1" si="1281">AR702</f>
        <v>2552.8911555962159</v>
      </c>
      <c r="AS704" s="10">
        <f t="shared" ca="1" si="1281"/>
        <v>15950.302675877292</v>
      </c>
      <c r="AT704" s="10">
        <f t="shared" ca="1" si="1281"/>
        <v>4642.5660450726618</v>
      </c>
      <c r="AU704" s="10">
        <f t="shared" ca="1" si="1281"/>
        <v>14365.016335840943</v>
      </c>
      <c r="AV704" s="10">
        <f t="shared" ca="1" si="1281"/>
        <v>24469.846484730482</v>
      </c>
      <c r="AW704" s="10">
        <f t="shared" ca="1" si="1281"/>
        <v>8223.1249489336733</v>
      </c>
      <c r="AX704" s="10">
        <f ca="1">SUM(AQ704:AW704)</f>
        <v>76175.438207211919</v>
      </c>
      <c r="AZ704" s="10">
        <f t="shared" ref="AZ704:BF704" ca="1" si="1282">AZ702*AZ693</f>
        <v>3693.7982539365339</v>
      </c>
      <c r="BA704" s="10">
        <f t="shared" ca="1" si="1282"/>
        <v>1104.2300258941884</v>
      </c>
      <c r="BB704" s="10">
        <f t="shared" ca="1" si="1282"/>
        <v>7279.2878038355257</v>
      </c>
      <c r="BC704" s="10">
        <f t="shared" ca="1" si="1282"/>
        <v>2114.9789135351816</v>
      </c>
      <c r="BD704" s="10">
        <f t="shared" ca="1" si="1282"/>
        <v>7307.626697555027</v>
      </c>
      <c r="BE704" s="10">
        <f t="shared" ca="1" si="1282"/>
        <v>11373.053660253663</v>
      </c>
      <c r="BF704" s="10">
        <f t="shared" ca="1" si="1282"/>
        <v>3935.8795695227359</v>
      </c>
      <c r="BG704" s="10">
        <f ca="1">SUM(AZ704:BF704)</f>
        <v>36808.854924532854</v>
      </c>
      <c r="BI704" s="10">
        <f t="shared" ref="BI704:BO704" ca="1" si="1283">BI702*BI693</f>
        <v>1130.8583833960706</v>
      </c>
      <c r="BJ704" s="10">
        <f t="shared" ca="1" si="1283"/>
        <v>356.25724854781436</v>
      </c>
      <c r="BK704" s="10">
        <f t="shared" ca="1" si="1283"/>
        <v>2286.3713997999444</v>
      </c>
      <c r="BL704" s="10">
        <f t="shared" ca="1" si="1283"/>
        <v>666.92824133693409</v>
      </c>
      <c r="BM704" s="10">
        <f t="shared" ca="1" si="1283"/>
        <v>2279.379019742782</v>
      </c>
      <c r="BN704" s="10">
        <f t="shared" ca="1" si="1283"/>
        <v>3568.986756392449</v>
      </c>
      <c r="BO704" s="10">
        <f t="shared" ca="1" si="1283"/>
        <v>1234.9423933962801</v>
      </c>
      <c r="BP704" s="10">
        <f ca="1">SUM(BI704:BO704)</f>
        <v>11523.723442612276</v>
      </c>
    </row>
    <row r="705" spans="2:68" ht="13.2" customHeight="1">
      <c r="B705" s="280" t="s">
        <v>112</v>
      </c>
      <c r="G705" s="1122">
        <f t="shared" ca="1" si="1277"/>
        <v>85795.928424769721</v>
      </c>
      <c r="H705" s="1122">
        <f t="shared" ca="1" si="1277"/>
        <v>26707.294455144085</v>
      </c>
      <c r="I705" s="1122">
        <f t="shared" ca="1" si="1277"/>
        <v>174272.44755556155</v>
      </c>
      <c r="J705" s="1122">
        <f t="shared" ca="1" si="1277"/>
        <v>51304.21696741099</v>
      </c>
      <c r="K705" s="1122">
        <f t="shared" ca="1" si="1277"/>
        <v>176901.89199787242</v>
      </c>
      <c r="L705" s="1122">
        <f t="shared" ca="1" si="1277"/>
        <v>273093.68117542111</v>
      </c>
      <c r="M705" s="1122">
        <f t="shared" ca="1" si="1277"/>
        <v>93562.439817636463</v>
      </c>
      <c r="N705" s="186">
        <f ca="1">SUM(G705:M705)</f>
        <v>881637.90039381641</v>
      </c>
      <c r="O705" s="39">
        <f>ROW()</f>
        <v>705</v>
      </c>
      <c r="P705" s="10">
        <f t="shared" ref="P705:V705" ca="1" si="1284">P704*$I$85</f>
        <v>11770.556853320277</v>
      </c>
      <c r="Q705" s="10">
        <f t="shared" ca="1" si="1284"/>
        <v>12446.513758192204</v>
      </c>
      <c r="R705" s="10">
        <f t="shared" ca="1" si="1284"/>
        <v>83213.723002948478</v>
      </c>
      <c r="S705" s="10">
        <f t="shared" ca="1" si="1284"/>
        <v>19876.452553580577</v>
      </c>
      <c r="T705" s="10">
        <f t="shared" ca="1" si="1284"/>
        <v>58579.939368313171</v>
      </c>
      <c r="U705" s="10">
        <f t="shared" ca="1" si="1284"/>
        <v>59261.883080442967</v>
      </c>
      <c r="V705" s="10">
        <f t="shared" ca="1" si="1284"/>
        <v>16352.12183858177</v>
      </c>
      <c r="W705" s="10">
        <f ca="1">SUM(P705:V705)</f>
        <v>261501.19045537943</v>
      </c>
      <c r="Y705" s="10">
        <f t="shared" ref="Y705:AE705" ca="1" si="1285">Y704*$J$85</f>
        <v>20625.826031243956</v>
      </c>
      <c r="Z705" s="10">
        <f t="shared" ca="1" si="1285"/>
        <v>1511.4502600965263</v>
      </c>
      <c r="AA705" s="10">
        <f t="shared" ca="1" si="1285"/>
        <v>16757.949761601565</v>
      </c>
      <c r="AB705" s="10">
        <f t="shared" ca="1" si="1285"/>
        <v>9846.9771237863843</v>
      </c>
      <c r="AC705" s="10">
        <f t="shared" ca="1" si="1285"/>
        <v>40579.327873943846</v>
      </c>
      <c r="AD705" s="10">
        <f t="shared" ca="1" si="1285"/>
        <v>81186.188014980784</v>
      </c>
      <c r="AE705" s="10">
        <f t="shared" ca="1" si="1285"/>
        <v>24402.24468671087</v>
      </c>
      <c r="AF705" s="10">
        <f ca="1">SUM(Y705:AE705)</f>
        <v>194909.96375236392</v>
      </c>
      <c r="AH705" s="10">
        <f t="shared" ref="AH705:AN705" ca="1" si="1286">AH704*$K$85</f>
        <v>28113.052889282466</v>
      </c>
      <c r="AI705" s="10">
        <f t="shared" ca="1" si="1286"/>
        <v>3618.3435508847324</v>
      </c>
      <c r="AJ705" s="10">
        <f t="shared" ca="1" si="1286"/>
        <v>15989.56322815044</v>
      </c>
      <c r="AK705" s="10">
        <f t="shared" ca="1" si="1286"/>
        <v>4616.8619766192933</v>
      </c>
      <c r="AL705" s="10">
        <f t="shared" ca="1" si="1286"/>
        <v>22530.953951782863</v>
      </c>
      <c r="AM705" s="10">
        <f t="shared" ca="1" si="1286"/>
        <v>42448.782616990517</v>
      </c>
      <c r="AN705" s="10">
        <f t="shared" ca="1" si="1286"/>
        <v>22084.299899115711</v>
      </c>
      <c r="AO705" s="10">
        <f ca="1">SUM(AH705:AN705)</f>
        <v>139401.85811282601</v>
      </c>
      <c r="AQ705" s="10">
        <f ca="1">AQ704*$L$85</f>
        <v>11943.38112232128</v>
      </c>
      <c r="AR705" s="10">
        <f t="shared" ref="AR705:AW705" ca="1" si="1287">AR704*$L$85</f>
        <v>5105.7823111924317</v>
      </c>
      <c r="AS705" s="10">
        <f t="shared" ca="1" si="1287"/>
        <v>31900.605351754584</v>
      </c>
      <c r="AT705" s="10">
        <f t="shared" ca="1" si="1287"/>
        <v>9285.1320901453237</v>
      </c>
      <c r="AU705" s="10">
        <f t="shared" ca="1" si="1287"/>
        <v>28730.032671681885</v>
      </c>
      <c r="AV705" s="10">
        <f t="shared" ca="1" si="1287"/>
        <v>48939.692969460964</v>
      </c>
      <c r="AW705" s="10">
        <f t="shared" ca="1" si="1287"/>
        <v>16446.249897867347</v>
      </c>
      <c r="AX705" s="10">
        <f ca="1">SUM(AQ705:AW705)</f>
        <v>152350.87641442384</v>
      </c>
      <c r="AZ705" s="10">
        <f t="shared" ref="AZ705:BF705" ca="1" si="1288">AZ704*$M$85</f>
        <v>11081.394761809603</v>
      </c>
      <c r="BA705" s="10">
        <f t="shared" ca="1" si="1288"/>
        <v>3312.6900776825651</v>
      </c>
      <c r="BB705" s="10">
        <f t="shared" ca="1" si="1288"/>
        <v>21837.863411506576</v>
      </c>
      <c r="BC705" s="10">
        <f t="shared" ca="1" si="1288"/>
        <v>6344.9367406055444</v>
      </c>
      <c r="BD705" s="10">
        <f t="shared" ca="1" si="1288"/>
        <v>21922.88009266508</v>
      </c>
      <c r="BE705" s="10">
        <f t="shared" ca="1" si="1288"/>
        <v>34119.160980760993</v>
      </c>
      <c r="BF705" s="10">
        <f t="shared" ca="1" si="1288"/>
        <v>11807.638708568207</v>
      </c>
      <c r="BG705" s="10">
        <f ca="1">SUM(AZ705:BF705)</f>
        <v>110426.56477359857</v>
      </c>
      <c r="BI705" s="10">
        <f t="shared" ref="BI705:BO705" ca="1" si="1289">BI704*$N$85</f>
        <v>2261.7167667921412</v>
      </c>
      <c r="BJ705" s="10">
        <f t="shared" ca="1" si="1289"/>
        <v>712.51449709562871</v>
      </c>
      <c r="BK705" s="10">
        <f t="shared" ca="1" si="1289"/>
        <v>4572.7427995998887</v>
      </c>
      <c r="BL705" s="10">
        <f t="shared" ca="1" si="1289"/>
        <v>1333.8564826738682</v>
      </c>
      <c r="BM705" s="10">
        <f t="shared" ca="1" si="1289"/>
        <v>4558.758039485564</v>
      </c>
      <c r="BN705" s="10">
        <f t="shared" ca="1" si="1289"/>
        <v>7137.973512784898</v>
      </c>
      <c r="BO705" s="10">
        <f t="shared" ca="1" si="1289"/>
        <v>2469.8847867925601</v>
      </c>
      <c r="BP705" s="10">
        <f ca="1">SUM(BI705:BO705)</f>
        <v>23047.446885224552</v>
      </c>
    </row>
    <row r="706" spans="2:68" ht="13.2" customHeight="1">
      <c r="G706" s="1122"/>
      <c r="H706" s="1122"/>
      <c r="I706" s="1128"/>
      <c r="J706" s="3454"/>
      <c r="K706" s="3454"/>
      <c r="L706" s="3454"/>
      <c r="M706" s="3455" t="s">
        <v>6039</v>
      </c>
      <c r="N706" s="756">
        <f ca="1">(W706*W704+AF706*AF704+AO706*AO704+BG706*BG704+BP706*BP704)/(W704+AF704+AO704+BG704+BP704)</f>
        <v>7.8245593086420975</v>
      </c>
      <c r="O706" s="39">
        <f>ROW()</f>
        <v>706</v>
      </c>
      <c r="V706" s="1816" t="s">
        <v>6039</v>
      </c>
      <c r="W706" s="591">
        <f ca="1">SUMPRODUCT(P704:V704,P$291:V$291)/W704</f>
        <v>6.6260518716081087</v>
      </c>
      <c r="AE706" s="1816" t="s">
        <v>6039</v>
      </c>
      <c r="AF706" s="591">
        <f ca="1">SUMPRODUCT(Y704:AE704,Y$291:AE$291)/AF704</f>
        <v>6.3489935927973598</v>
      </c>
      <c r="AN706" s="1816" t="s">
        <v>6039</v>
      </c>
      <c r="AO706" s="591">
        <f ca="1">SUMPRODUCT(AH704:AN704,AH$291:AN$291)/AO704</f>
        <v>10.599957578739527</v>
      </c>
      <c r="AW706" s="1816"/>
      <c r="AX706" s="591"/>
      <c r="BF706" s="1816" t="s">
        <v>6039</v>
      </c>
      <c r="BG706" s="591">
        <f ca="1">SUMPRODUCT(AZ704:BF704,AZ$291:BF$291)/BG704</f>
        <v>13.119659437292945</v>
      </c>
      <c r="BO706" s="1816" t="s">
        <v>6039</v>
      </c>
      <c r="BP706" s="591">
        <f ca="1">SUMPRODUCT(BI704:BO704,BI$291:BO$291)/BP704</f>
        <v>11.650969735692719</v>
      </c>
    </row>
    <row r="707" spans="2:68" ht="13.2" customHeight="1">
      <c r="B707" s="308" t="s">
        <v>1010</v>
      </c>
      <c r="G707" s="1122"/>
      <c r="H707" s="1122"/>
      <c r="I707" s="1129"/>
      <c r="J707" s="1130"/>
      <c r="K707" s="1130"/>
      <c r="L707" s="1130"/>
      <c r="M707" s="1130"/>
      <c r="N707" s="3456" t="s">
        <v>6040</v>
      </c>
      <c r="O707" s="39">
        <f>ROW()</f>
        <v>707</v>
      </c>
      <c r="P707" s="10"/>
      <c r="Q707" s="10"/>
      <c r="R707" s="10"/>
      <c r="S707" s="10"/>
      <c r="T707" s="10"/>
      <c r="U707" s="10"/>
      <c r="V707" s="10"/>
      <c r="W707" s="10"/>
      <c r="Y707" s="10"/>
      <c r="Z707" s="10"/>
      <c r="AA707" s="10"/>
      <c r="AB707" s="10"/>
      <c r="AC707" s="10"/>
      <c r="AD707" s="10"/>
      <c r="AE707" s="10"/>
      <c r="AF707" s="10"/>
      <c r="AH707" s="10"/>
      <c r="AI707" s="10"/>
      <c r="AJ707" s="10"/>
      <c r="AK707" s="10"/>
      <c r="AL707" s="10"/>
      <c r="AM707" s="10"/>
      <c r="AN707" s="10"/>
      <c r="AO707" s="10"/>
      <c r="AQ707" s="10"/>
      <c r="AR707" s="10"/>
      <c r="AS707" s="10"/>
      <c r="AT707" s="10"/>
      <c r="AU707" s="10"/>
      <c r="AV707" s="10"/>
      <c r="AW707" s="10"/>
      <c r="AX707" s="10"/>
      <c r="AZ707" s="10"/>
      <c r="BA707" s="10"/>
      <c r="BB707" s="10"/>
      <c r="BC707" s="10"/>
      <c r="BD707" s="10"/>
      <c r="BE707" s="10"/>
      <c r="BF707" s="10"/>
      <c r="BG707" s="10"/>
      <c r="BI707" s="10"/>
      <c r="BJ707" s="10"/>
      <c r="BK707" s="10"/>
      <c r="BL707" s="10"/>
      <c r="BM707" s="10"/>
      <c r="BN707" s="10"/>
      <c r="BO707" s="10"/>
      <c r="BP707" s="10"/>
    </row>
    <row r="708" spans="2:68" ht="13.2" customHeight="1">
      <c r="B708" s="280" t="s">
        <v>1301</v>
      </c>
      <c r="G708" s="1122">
        <f t="shared" ref="G708:M708" ca="1" si="1290">P708+Y708+AH708+AQ708+AZ708+BI708</f>
        <v>67928.260597946064</v>
      </c>
      <c r="H708" s="1122">
        <f t="shared" ca="1" si="1290"/>
        <v>13776.31992165008</v>
      </c>
      <c r="I708" s="1122">
        <f t="shared" ca="1" si="1290"/>
        <v>80630.990573316783</v>
      </c>
      <c r="J708" s="1122">
        <f t="shared" ca="1" si="1290"/>
        <v>25275.626509156958</v>
      </c>
      <c r="K708" s="1122">
        <f t="shared" ca="1" si="1290"/>
        <v>99892.524235715246</v>
      </c>
      <c r="L708" s="1122">
        <f t="shared" ca="1" si="1290"/>
        <v>208854.29635447889</v>
      </c>
      <c r="M708" s="1122">
        <f t="shared" ca="1" si="1290"/>
        <v>80760.265632743467</v>
      </c>
      <c r="N708" s="186">
        <f ca="1">SUM(G708:M708)</f>
        <v>577118.2838250075</v>
      </c>
      <c r="O708" s="39">
        <f>ROW()</f>
        <v>708</v>
      </c>
      <c r="P708" s="10">
        <f t="shared" ref="P708:W708" ca="1" si="1291">P$135*$W702</f>
        <v>25893.862701155951</v>
      </c>
      <c r="Q708" s="10">
        <f t="shared" ca="1" si="1291"/>
        <v>4690.6715999910039</v>
      </c>
      <c r="R708" s="10">
        <f t="shared" ca="1" si="1291"/>
        <v>27032.368816385744</v>
      </c>
      <c r="S708" s="10">
        <f t="shared" ca="1" si="1291"/>
        <v>8623.2926458717193</v>
      </c>
      <c r="T708" s="10">
        <f t="shared" ca="1" si="1291"/>
        <v>35744.999205354346</v>
      </c>
      <c r="U708" s="10">
        <f t="shared" ca="1" si="1291"/>
        <v>77060.84481953604</v>
      </c>
      <c r="V708" s="10">
        <f t="shared" ca="1" si="1291"/>
        <v>30315.86094074967</v>
      </c>
      <c r="W708" s="10">
        <f t="shared" ca="1" si="1291"/>
        <v>209361.90072904449</v>
      </c>
      <c r="Y708" s="10">
        <f t="shared" ref="Y708:AE708" ca="1" si="1292">Y$135*$AF702</f>
        <v>19299.340228838482</v>
      </c>
      <c r="Z708" s="10">
        <f t="shared" ca="1" si="1292"/>
        <v>3496.0742688241435</v>
      </c>
      <c r="AA708" s="10">
        <f t="shared" ca="1" si="1292"/>
        <v>20147.897167755596</v>
      </c>
      <c r="AB708" s="10">
        <f t="shared" ca="1" si="1292"/>
        <v>6427.1545959069936</v>
      </c>
      <c r="AC708" s="10">
        <f t="shared" ca="1" si="1292"/>
        <v>26641.63740672412</v>
      </c>
      <c r="AD708" s="10">
        <f t="shared" ca="1" si="1292"/>
        <v>57435.365270070695</v>
      </c>
      <c r="AE708" s="10">
        <f t="shared" ca="1" si="1292"/>
        <v>22595.165556337193</v>
      </c>
      <c r="AF708" s="10">
        <f ca="1">SUM(Y708:AE708)</f>
        <v>156042.63449445722</v>
      </c>
      <c r="AH708" s="10">
        <f t="shared" ref="AH708:AN708" ca="1" si="1293">AH$135*$AO702</f>
        <v>10782.181059116358</v>
      </c>
      <c r="AI708" s="10">
        <f t="shared" ca="1" si="1293"/>
        <v>1953.1914208265357</v>
      </c>
      <c r="AJ708" s="10">
        <f t="shared" ca="1" si="1293"/>
        <v>11256.253977977198</v>
      </c>
      <c r="AK708" s="10">
        <f t="shared" ca="1" si="1293"/>
        <v>3590.7312750748752</v>
      </c>
      <c r="AL708" s="10">
        <f t="shared" ca="1" si="1293"/>
        <v>14884.185408648806</v>
      </c>
      <c r="AM708" s="10">
        <f t="shared" ca="1" si="1293"/>
        <v>32088.06623415108</v>
      </c>
      <c r="AN708" s="10">
        <f t="shared" ca="1" si="1293"/>
        <v>12623.497135155674</v>
      </c>
      <c r="AO708" s="10">
        <f ca="1">SUM(AH708:AN708)</f>
        <v>87178.106510950529</v>
      </c>
      <c r="AQ708" s="10">
        <f t="shared" ref="AQ708:AW708" ca="1" si="1294">AQ702</f>
        <v>5971.6905611606398</v>
      </c>
      <c r="AR708" s="10">
        <f t="shared" ca="1" si="1294"/>
        <v>2552.8911555962159</v>
      </c>
      <c r="AS708" s="10">
        <f t="shared" ca="1" si="1294"/>
        <v>15950.302675877292</v>
      </c>
      <c r="AT708" s="10">
        <f t="shared" ca="1" si="1294"/>
        <v>4642.5660450726618</v>
      </c>
      <c r="AU708" s="10">
        <f t="shared" ca="1" si="1294"/>
        <v>14365.016335840943</v>
      </c>
      <c r="AV708" s="10">
        <f t="shared" ca="1" si="1294"/>
        <v>24469.846484730482</v>
      </c>
      <c r="AW708" s="10">
        <f t="shared" ca="1" si="1294"/>
        <v>8223.1249489336733</v>
      </c>
      <c r="AX708" s="10">
        <f ca="1">SUM(AQ708:AW708)</f>
        <v>76175.438207211919</v>
      </c>
      <c r="AZ708" s="10">
        <f t="shared" ref="AZ708:BF708" ca="1" si="1295">AZ$135*$BG702</f>
        <v>4555.1881780320018</v>
      </c>
      <c r="BA708" s="10">
        <f t="shared" ca="1" si="1295"/>
        <v>825.17205199962768</v>
      </c>
      <c r="BB708" s="10">
        <f t="shared" ca="1" si="1295"/>
        <v>4755.4715292092815</v>
      </c>
      <c r="BC708" s="10">
        <f t="shared" ca="1" si="1295"/>
        <v>1516.9896113812174</v>
      </c>
      <c r="BD708" s="10">
        <f t="shared" ca="1" si="1295"/>
        <v>6288.1772288351804</v>
      </c>
      <c r="BE708" s="10">
        <f t="shared" ca="1" si="1295"/>
        <v>13556.36481749935</v>
      </c>
      <c r="BF708" s="10">
        <f t="shared" ca="1" si="1295"/>
        <v>5333.0958365667175</v>
      </c>
      <c r="BG708" s="10">
        <f ca="1">SUM(AZ708:BF708)</f>
        <v>36830.459253523375</v>
      </c>
      <c r="BI708" s="10">
        <f t="shared" ref="BI708:BO708" ca="1" si="1296">BI$135*$BP702</f>
        <v>1425.9978696426274</v>
      </c>
      <c r="BJ708" s="10">
        <f t="shared" ca="1" si="1296"/>
        <v>258.31942441255552</v>
      </c>
      <c r="BK708" s="10">
        <f t="shared" ca="1" si="1296"/>
        <v>1488.6964061116691</v>
      </c>
      <c r="BL708" s="10">
        <f t="shared" ca="1" si="1296"/>
        <v>474.89233584949295</v>
      </c>
      <c r="BM708" s="10">
        <f t="shared" ca="1" si="1296"/>
        <v>1968.5086503118448</v>
      </c>
      <c r="BN708" s="10">
        <f t="shared" ca="1" si="1296"/>
        <v>4243.8087284912444</v>
      </c>
      <c r="BO708" s="10">
        <f t="shared" ca="1" si="1296"/>
        <v>1669.5212150005445</v>
      </c>
      <c r="BP708" s="10">
        <f ca="1">SUM(BI708:BO708)</f>
        <v>11529.744629819977</v>
      </c>
    </row>
    <row r="709" spans="2:68" ht="13.2" customHeight="1">
      <c r="B709" s="309"/>
      <c r="G709" s="1122"/>
      <c r="H709" s="1122"/>
      <c r="I709" s="1122"/>
      <c r="J709" s="1122"/>
      <c r="K709" s="1122"/>
      <c r="L709" s="1122"/>
      <c r="M709" s="1122"/>
      <c r="O709" s="39">
        <f>ROW()</f>
        <v>709</v>
      </c>
    </row>
    <row r="710" spans="2:68" ht="13.2" customHeight="1">
      <c r="B710" s="280" t="s">
        <v>1047</v>
      </c>
      <c r="G710" s="1122"/>
      <c r="H710" s="1122"/>
      <c r="I710" s="1122"/>
      <c r="J710" s="1122"/>
      <c r="K710" s="1122"/>
      <c r="L710" s="1122"/>
      <c r="M710" s="1122"/>
      <c r="N710" s="186"/>
      <c r="O710" s="39">
        <f>ROW()</f>
        <v>710</v>
      </c>
      <c r="P710" s="10">
        <f t="shared" ref="P710:V710" ca="1" si="1297">P708*$W704/$W702</f>
        <v>25873.956620612815</v>
      </c>
      <c r="Q710" s="10">
        <f t="shared" ca="1" si="1297"/>
        <v>4687.0656147523996</v>
      </c>
      <c r="R710" s="10">
        <f t="shared" ca="1" si="1297"/>
        <v>27011.587501634018</v>
      </c>
      <c r="S710" s="10">
        <f t="shared" ca="1" si="1297"/>
        <v>8616.6634318399283</v>
      </c>
      <c r="T710" s="10">
        <f t="shared" ca="1" si="1297"/>
        <v>35717.519997581905</v>
      </c>
      <c r="U710" s="10">
        <f t="shared" ca="1" si="1297"/>
        <v>77001.603778467586</v>
      </c>
      <c r="V710" s="10">
        <f t="shared" ca="1" si="1297"/>
        <v>30292.555419414912</v>
      </c>
      <c r="W710" s="10">
        <f ca="1">SUM(P710:V710)</f>
        <v>209200.95236430355</v>
      </c>
      <c r="Y710" s="10">
        <f t="shared" ref="Y710:AE710" ca="1" si="1298">Y708*$AF704/$AF702</f>
        <v>19285.15865748762</v>
      </c>
      <c r="Z710" s="10">
        <f t="shared" ca="1" si="1298"/>
        <v>3493.5052780657365</v>
      </c>
      <c r="AA710" s="10">
        <f t="shared" ca="1" si="1298"/>
        <v>20133.092058468632</v>
      </c>
      <c r="AB710" s="10">
        <f t="shared" ca="1" si="1298"/>
        <v>6422.4317841215079</v>
      </c>
      <c r="AC710" s="10">
        <f t="shared" ca="1" si="1298"/>
        <v>26622.060557085362</v>
      </c>
      <c r="AD710" s="10">
        <f t="shared" ca="1" si="1298"/>
        <v>57393.160525194333</v>
      </c>
      <c r="AE710" s="10">
        <f t="shared" ca="1" si="1298"/>
        <v>22578.56214146797</v>
      </c>
      <c r="AF710" s="10">
        <f ca="1">SUM(Y710:AE710)</f>
        <v>155927.97100189116</v>
      </c>
      <c r="AH710" s="10">
        <f t="shared" ref="AH710:AN710" ca="1" si="1299">AH708*$AO704/$AO702</f>
        <v>10775.756482226265</v>
      </c>
      <c r="AI710" s="10">
        <f t="shared" ca="1" si="1299"/>
        <v>1952.027609126902</v>
      </c>
      <c r="AJ710" s="10">
        <f t="shared" ca="1" si="1299"/>
        <v>11249.546924109392</v>
      </c>
      <c r="AK710" s="10">
        <f t="shared" ca="1" si="1299"/>
        <v>3588.5917330803663</v>
      </c>
      <c r="AL710" s="10">
        <f t="shared" ca="1" si="1299"/>
        <v>14875.31664702442</v>
      </c>
      <c r="AM710" s="10">
        <f t="shared" ca="1" si="1299"/>
        <v>32068.94651731036</v>
      </c>
      <c r="AN710" s="10">
        <f t="shared" ca="1" si="1299"/>
        <v>12615.975407638578</v>
      </c>
      <c r="AO710" s="10">
        <f ca="1">SUM(AH710:AN710)</f>
        <v>87126.161320516272</v>
      </c>
      <c r="AQ710" s="10">
        <f t="shared" ref="AQ710:AW710" ca="1" si="1300">AQ708*$AX704/$AX702</f>
        <v>5971.6905611606398</v>
      </c>
      <c r="AR710" s="10">
        <f t="shared" ca="1" si="1300"/>
        <v>2552.8911555962159</v>
      </c>
      <c r="AS710" s="10">
        <f t="shared" ca="1" si="1300"/>
        <v>15950.30267587729</v>
      </c>
      <c r="AT710" s="10">
        <f t="shared" ca="1" si="1300"/>
        <v>4642.5660450726618</v>
      </c>
      <c r="AU710" s="10">
        <f t="shared" ca="1" si="1300"/>
        <v>14365.016335840945</v>
      </c>
      <c r="AV710" s="10">
        <f t="shared" ca="1" si="1300"/>
        <v>24469.846484730482</v>
      </c>
      <c r="AW710" s="10">
        <f t="shared" ca="1" si="1300"/>
        <v>8223.1249489336733</v>
      </c>
      <c r="AX710" s="10">
        <f ca="1">SUM(AQ710:AW710)</f>
        <v>76175.438207211919</v>
      </c>
      <c r="AZ710" s="10">
        <f t="shared" ref="AZ710:BF710" ca="1" si="1301">AZ708*$BG704/$BG702</f>
        <v>4552.5161563953861</v>
      </c>
      <c r="BA710" s="10">
        <f t="shared" ca="1" si="1301"/>
        <v>824.68801544818348</v>
      </c>
      <c r="BB710" s="10">
        <f t="shared" ca="1" si="1301"/>
        <v>4752.6820236341573</v>
      </c>
      <c r="BC710" s="10">
        <f t="shared" ca="1" si="1301"/>
        <v>1516.0997625087423</v>
      </c>
      <c r="BD710" s="10">
        <f t="shared" ca="1" si="1301"/>
        <v>6284.4886555087569</v>
      </c>
      <c r="BE710" s="10">
        <f t="shared" ca="1" si="1301"/>
        <v>13548.412807902709</v>
      </c>
      <c r="BF710" s="10">
        <f t="shared" ca="1" si="1301"/>
        <v>5329.9675031349225</v>
      </c>
      <c r="BG710" s="10">
        <f ca="1">SUM(AZ710:BF710)</f>
        <v>36808.854924532861</v>
      </c>
      <c r="BI710" s="10">
        <f t="shared" ref="BI710:BO710" ca="1" si="1302">BI708*$BP704/$BP702</f>
        <v>1425.2531697028994</v>
      </c>
      <c r="BJ710" s="10">
        <f t="shared" ca="1" si="1302"/>
        <v>258.1845220653039</v>
      </c>
      <c r="BK710" s="10">
        <f t="shared" ca="1" si="1302"/>
        <v>1487.9189630680955</v>
      </c>
      <c r="BL710" s="10">
        <f t="shared" ca="1" si="1302"/>
        <v>474.64433246785183</v>
      </c>
      <c r="BM710" s="10">
        <f t="shared" ca="1" si="1302"/>
        <v>1967.4806345591924</v>
      </c>
      <c r="BN710" s="10">
        <f t="shared" ca="1" si="1302"/>
        <v>4241.5924810678753</v>
      </c>
      <c r="BO710" s="10">
        <f t="shared" ca="1" si="1302"/>
        <v>1668.6493396810552</v>
      </c>
      <c r="BP710" s="10">
        <f ca="1">SUM(BI710:BO710)</f>
        <v>11523.723442612272</v>
      </c>
    </row>
    <row r="711" spans="2:68" ht="13.2" customHeight="1">
      <c r="B711" s="309"/>
      <c r="C711" s="309"/>
      <c r="D711" s="309"/>
      <c r="E711" s="309"/>
      <c r="F711" s="309"/>
      <c r="G711" s="1122"/>
      <c r="H711" s="1122"/>
      <c r="I711" s="1122"/>
      <c r="J711" s="1122"/>
      <c r="K711" s="1122"/>
      <c r="L711" s="1122"/>
      <c r="M711" s="1122"/>
      <c r="N711" s="186"/>
      <c r="O711" s="39">
        <f>ROW()</f>
        <v>711</v>
      </c>
      <c r="AQ711" s="10"/>
      <c r="AR711" s="10"/>
      <c r="AS711" s="10"/>
      <c r="AT711" s="10"/>
      <c r="AU711" s="10"/>
      <c r="AV711" s="10"/>
      <c r="AW711" s="10"/>
    </row>
    <row r="712" spans="2:68" ht="13.2" customHeight="1">
      <c r="B712" s="280" t="s">
        <v>1010</v>
      </c>
      <c r="G712" s="1122">
        <f t="shared" ref="G712:M712" ca="1" si="1303">P712+Y712+AH712+AQ712+AZ712+BI712</f>
        <v>99155.695119520489</v>
      </c>
      <c r="H712" s="1122">
        <f t="shared" ca="1" si="1303"/>
        <v>20168.727614495194</v>
      </c>
      <c r="I712" s="1122">
        <f t="shared" ca="1" si="1303"/>
        <v>118089.46253955794</v>
      </c>
      <c r="J712" s="1122">
        <f t="shared" ca="1" si="1303"/>
        <v>37002.052812951304</v>
      </c>
      <c r="K712" s="1122">
        <f t="shared" ca="1" si="1303"/>
        <v>146060.93406797922</v>
      </c>
      <c r="L712" s="1122">
        <f t="shared" ca="1" si="1303"/>
        <v>305136.96292021358</v>
      </c>
      <c r="M712" s="1122">
        <f t="shared" ca="1" si="1303"/>
        <v>117936.34621549271</v>
      </c>
      <c r="N712" s="186">
        <f ca="1">SUM(G712:M712)</f>
        <v>843550.18129021046</v>
      </c>
      <c r="O712" s="39">
        <f>ROW()</f>
        <v>712</v>
      </c>
      <c r="P712" s="10">
        <f t="shared" ref="P712:V712" ca="1" si="1304">P710*$I$85</f>
        <v>32342.44577576602</v>
      </c>
      <c r="Q712" s="10">
        <f t="shared" ca="1" si="1304"/>
        <v>5858.8320184404993</v>
      </c>
      <c r="R712" s="10">
        <f t="shared" ca="1" si="1304"/>
        <v>33764.484377042521</v>
      </c>
      <c r="S712" s="10">
        <f t="shared" ca="1" si="1304"/>
        <v>10770.829289799911</v>
      </c>
      <c r="T712" s="10">
        <f t="shared" ca="1" si="1304"/>
        <v>44646.899996977379</v>
      </c>
      <c r="U712" s="10">
        <f t="shared" ca="1" si="1304"/>
        <v>96252.004723084479</v>
      </c>
      <c r="V712" s="10">
        <f t="shared" ca="1" si="1304"/>
        <v>37865.694274268637</v>
      </c>
      <c r="W712" s="10">
        <f ca="1">SUM(P712:V712)</f>
        <v>261501.19045537946</v>
      </c>
      <c r="Y712" s="10">
        <f t="shared" ref="Y712:AE712" ca="1" si="1305">Y710*$J$85</f>
        <v>24106.448321859527</v>
      </c>
      <c r="Z712" s="10">
        <f t="shared" ca="1" si="1305"/>
        <v>4366.8815975821708</v>
      </c>
      <c r="AA712" s="10">
        <f t="shared" ca="1" si="1305"/>
        <v>25166.365073085792</v>
      </c>
      <c r="AB712" s="10">
        <f t="shared" ca="1" si="1305"/>
        <v>8028.0397301518851</v>
      </c>
      <c r="AC712" s="10">
        <f t="shared" ca="1" si="1305"/>
        <v>33277.575696356704</v>
      </c>
      <c r="AD712" s="10">
        <f t="shared" ca="1" si="1305"/>
        <v>71741.450656492918</v>
      </c>
      <c r="AE712" s="10">
        <f t="shared" ca="1" si="1305"/>
        <v>28223.202676834961</v>
      </c>
      <c r="AF712" s="10">
        <f ca="1">SUM(Y712:AE712)</f>
        <v>194909.96375236392</v>
      </c>
      <c r="AH712" s="10">
        <f t="shared" ref="AH712:AN712" ca="1" si="1306">AH710*$K$85</f>
        <v>17241.210371562025</v>
      </c>
      <c r="AI712" s="10">
        <f t="shared" ca="1" si="1306"/>
        <v>3123.2441746030436</v>
      </c>
      <c r="AJ712" s="10">
        <f t="shared" ca="1" si="1306"/>
        <v>17999.275078575029</v>
      </c>
      <c r="AK712" s="10">
        <f t="shared" ca="1" si="1306"/>
        <v>5741.7467729285863</v>
      </c>
      <c r="AL712" s="10">
        <f t="shared" ca="1" si="1306"/>
        <v>23800.506635239071</v>
      </c>
      <c r="AM712" s="10">
        <f t="shared" ca="1" si="1306"/>
        <v>51310.314427696576</v>
      </c>
      <c r="AN712" s="10">
        <f t="shared" ca="1" si="1306"/>
        <v>20185.560652221728</v>
      </c>
      <c r="AO712" s="10">
        <f ca="1">SUM(AH712:AN712)</f>
        <v>139401.85811282607</v>
      </c>
      <c r="AQ712" s="10">
        <f ca="1">AQ710*$L$85*Taxis!$L$130</f>
        <v>8957.5358417409589</v>
      </c>
      <c r="AR712" s="10">
        <f ca="1">AR710*$L$85*Taxis!$L$130</f>
        <v>3829.3367333943238</v>
      </c>
      <c r="AS712" s="10">
        <f ca="1">AS710*$L$85*Taxis!$L$130</f>
        <v>23925.454013815935</v>
      </c>
      <c r="AT712" s="10">
        <f ca="1">AT710*$L$85*Taxis!$L$130</f>
        <v>6963.8490676089932</v>
      </c>
      <c r="AU712" s="10">
        <f ca="1">AU710*$L$85*Taxis!$L$130</f>
        <v>21547.524503761415</v>
      </c>
      <c r="AV712" s="10">
        <f ca="1">AV710*$L$85*Taxis!$L$130</f>
        <v>36704.769727095721</v>
      </c>
      <c r="AW712" s="10">
        <f ca="1">AW710*$L$85*Taxis!$L$130</f>
        <v>12334.68742340051</v>
      </c>
      <c r="AX712" s="10">
        <f ca="1">SUM(AQ712:AW712)</f>
        <v>114263.15731081786</v>
      </c>
      <c r="AZ712" s="10">
        <f t="shared" ref="AZ712:BF712" ca="1" si="1307">AZ710*$M$85</f>
        <v>13657.548469186158</v>
      </c>
      <c r="BA712" s="10">
        <f t="shared" ca="1" si="1307"/>
        <v>2474.0640463445507</v>
      </c>
      <c r="BB712" s="10">
        <f t="shared" ca="1" si="1307"/>
        <v>14258.046070902472</v>
      </c>
      <c r="BC712" s="10">
        <f t="shared" ca="1" si="1307"/>
        <v>4548.2992875262271</v>
      </c>
      <c r="BD712" s="10">
        <f t="shared" ca="1" si="1307"/>
        <v>18853.46596652627</v>
      </c>
      <c r="BE712" s="10">
        <f t="shared" ca="1" si="1307"/>
        <v>40645.238423708128</v>
      </c>
      <c r="BF712" s="10">
        <f t="shared" ca="1" si="1307"/>
        <v>15989.902509404768</v>
      </c>
      <c r="BG712" s="10">
        <f ca="1">SUM(AZ712:BF712)</f>
        <v>110426.56477359857</v>
      </c>
      <c r="BI712" s="10">
        <f t="shared" ref="BI712:BO712" ca="1" si="1308">BI710*$N$85</f>
        <v>2850.5063394057988</v>
      </c>
      <c r="BJ712" s="10">
        <f t="shared" ca="1" si="1308"/>
        <v>516.36904413060779</v>
      </c>
      <c r="BK712" s="10">
        <f t="shared" ca="1" si="1308"/>
        <v>2975.8379261361911</v>
      </c>
      <c r="BL712" s="10">
        <f t="shared" ca="1" si="1308"/>
        <v>949.28866493570365</v>
      </c>
      <c r="BM712" s="10">
        <f t="shared" ca="1" si="1308"/>
        <v>3934.9612691183847</v>
      </c>
      <c r="BN712" s="10">
        <f t="shared" ca="1" si="1308"/>
        <v>8483.1849621357505</v>
      </c>
      <c r="BO712" s="10">
        <f t="shared" ca="1" si="1308"/>
        <v>3337.2986793621103</v>
      </c>
      <c r="BP712" s="10">
        <f ca="1">SUM(BI712:BO712)</f>
        <v>23047.446885224545</v>
      </c>
    </row>
    <row r="713" spans="2:68" ht="13.2" customHeight="1">
      <c r="G713" s="1122"/>
      <c r="H713" s="1122"/>
      <c r="I713" s="1122"/>
      <c r="J713" s="1122"/>
      <c r="K713" s="1122"/>
      <c r="L713" s="1122"/>
      <c r="M713" s="1122"/>
      <c r="O713" s="39">
        <f>ROW()</f>
        <v>713</v>
      </c>
      <c r="AQ713"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713" s="10"/>
      <c r="AS713" s="10"/>
      <c r="AT713" s="10"/>
      <c r="AU713" s="10"/>
      <c r="AV713" s="10"/>
      <c r="AW713" s="10"/>
    </row>
    <row r="714" spans="2:68" ht="13.2" customHeight="1">
      <c r="B714" s="308" t="s">
        <v>1431</v>
      </c>
      <c r="G714" s="1122"/>
      <c r="H714" s="1122"/>
      <c r="I714" s="1122"/>
      <c r="J714" s="1122"/>
      <c r="K714" s="1122"/>
      <c r="L714" s="1122"/>
      <c r="M714" s="1122"/>
      <c r="O714" s="39">
        <f>ROW()</f>
        <v>714</v>
      </c>
      <c r="AQ714" s="265" t="str">
        <f>CONCATENATE("Row ",O716, " figures are set equal to ",O715, " figures, since rebound effects are presumed accounted for by taxi time-elasticity.")</f>
        <v>Row 716 figures are set equal to 715 figures, since rebound effects are presumed accounted for by taxi time-elasticity.</v>
      </c>
    </row>
    <row r="715" spans="2:68" s="1122" customFormat="1" ht="13.2" customHeight="1">
      <c r="B715" s="1123" t="s">
        <v>1112</v>
      </c>
      <c r="G715" s="1122">
        <f t="shared" ref="G715:M717" ca="1" si="1309">P715+Y715+AH715+AQ715+AZ715+BI715</f>
        <v>234270.52941811871</v>
      </c>
      <c r="H715" s="1122">
        <f t="shared" ca="1" si="1309"/>
        <v>29488.390588260925</v>
      </c>
      <c r="I715" s="1122">
        <f t="shared" ca="1" si="1309"/>
        <v>196249.19699241637</v>
      </c>
      <c r="J715" s="1122">
        <f t="shared" ca="1" si="1309"/>
        <v>70149.297374438058</v>
      </c>
      <c r="K715" s="1122">
        <f t="shared" ca="1" si="1309"/>
        <v>253654.89929423839</v>
      </c>
      <c r="L715" s="1122">
        <f t="shared" ca="1" si="1309"/>
        <v>442085.37845800136</v>
      </c>
      <c r="M715" s="1122">
        <f t="shared" ca="1" si="1309"/>
        <v>215907.09641437055</v>
      </c>
      <c r="N715" s="1127">
        <f ca="1">SUM(G715:M715)</f>
        <v>1441804.7885398443</v>
      </c>
      <c r="O715" s="39">
        <f>ROW()</f>
        <v>715</v>
      </c>
      <c r="P715" s="1122">
        <f ca="1">P668</f>
        <v>9877.25309371816</v>
      </c>
      <c r="Q715" s="1122">
        <f t="shared" ref="Q715:V715" ca="1" si="1310">Q668</f>
        <v>2780.021731048153</v>
      </c>
      <c r="R715" s="1122">
        <f t="shared" ca="1" si="1310"/>
        <v>18466.903042645128</v>
      </c>
      <c r="S715" s="1122">
        <f t="shared" ca="1" si="1310"/>
        <v>5515.3381551733182</v>
      </c>
      <c r="T715" s="1122">
        <f t="shared" ca="1" si="1310"/>
        <v>18733.947522745777</v>
      </c>
      <c r="U715" s="1122">
        <f t="shared" ca="1" si="1310"/>
        <v>38196.7133218323</v>
      </c>
      <c r="V715" s="1122">
        <f t="shared" ca="1" si="1310"/>
        <v>13428.251788005169</v>
      </c>
      <c r="W715" s="1122">
        <f ca="1">SUM(P715:V715)</f>
        <v>106998.42865516801</v>
      </c>
      <c r="Y715" s="1122">
        <f ca="1">Y668</f>
        <v>6947.0623826546271</v>
      </c>
      <c r="Z715" s="1122">
        <f t="shared" ref="Z715:AE715" ca="1" si="1311">Z668</f>
        <v>1955.2991309911763</v>
      </c>
      <c r="AA715" s="1122">
        <f t="shared" ca="1" si="1311"/>
        <v>12988.5025962615</v>
      </c>
      <c r="AB715" s="1122">
        <f t="shared" ca="1" si="1311"/>
        <v>3879.1552531738362</v>
      </c>
      <c r="AC715" s="1122">
        <f t="shared" ca="1" si="1311"/>
        <v>13176.325530897308</v>
      </c>
      <c r="AD715" s="1122">
        <f t="shared" ca="1" si="1311"/>
        <v>26865.257753484853</v>
      </c>
      <c r="AE715" s="1122">
        <f t="shared" ca="1" si="1311"/>
        <v>9444.6200756559592</v>
      </c>
      <c r="AF715" s="1122">
        <f ca="1">SUM(Y715:AE715)</f>
        <v>75256.222723119252</v>
      </c>
      <c r="AH715" s="1122">
        <f ca="1">AH668</f>
        <v>0</v>
      </c>
      <c r="AI715" s="1122">
        <f t="shared" ref="AI715:AN715" ca="1" si="1312">AI668</f>
        <v>0</v>
      </c>
      <c r="AJ715" s="1122">
        <f t="shared" ca="1" si="1312"/>
        <v>0</v>
      </c>
      <c r="AK715" s="1122">
        <f t="shared" ca="1" si="1312"/>
        <v>0</v>
      </c>
      <c r="AL715" s="1122">
        <f t="shared" ca="1" si="1312"/>
        <v>0</v>
      </c>
      <c r="AM715" s="1122">
        <f t="shared" ca="1" si="1312"/>
        <v>0</v>
      </c>
      <c r="AN715" s="1122">
        <f t="shared" ca="1" si="1312"/>
        <v>0</v>
      </c>
      <c r="AO715" s="1122">
        <f ca="1">SUM(AH715:AN715)</f>
        <v>0</v>
      </c>
      <c r="AQ715" s="1122">
        <f>AQ668</f>
        <v>210187.34459974329</v>
      </c>
      <c r="AR715" s="1122">
        <f t="shared" ref="AR715:AW715" si="1313">AR668</f>
        <v>22748.620884765332</v>
      </c>
      <c r="AS715" s="1122">
        <f t="shared" si="1313"/>
        <v>152580.65410310062</v>
      </c>
      <c r="AT715" s="1122">
        <f t="shared" si="1313"/>
        <v>57061.666827443201</v>
      </c>
      <c r="AU715" s="1122">
        <f t="shared" si="1313"/>
        <v>208747.17643657626</v>
      </c>
      <c r="AV715" s="1122">
        <f t="shared" si="1313"/>
        <v>351862.72506223724</v>
      </c>
      <c r="AW715" s="1122">
        <f t="shared" si="1313"/>
        <v>183873.35054767228</v>
      </c>
      <c r="AX715" s="1122">
        <f>SUM(AQ715:AW715)</f>
        <v>1187061.5384615383</v>
      </c>
      <c r="AZ715" s="1122">
        <f ca="1">AZ668</f>
        <v>4841.5858125653294</v>
      </c>
      <c r="BA715" s="1122">
        <f t="shared" ref="BA715:BF715" ca="1" si="1314">BA668</f>
        <v>1334.6264455364046</v>
      </c>
      <c r="BB715" s="1122">
        <f t="shared" ca="1" si="1314"/>
        <v>8067.5739183504238</v>
      </c>
      <c r="BC715" s="1122">
        <f t="shared" ca="1" si="1314"/>
        <v>2442.3637817275571</v>
      </c>
      <c r="BD715" s="1122">
        <f t="shared" ca="1" si="1314"/>
        <v>8623.689488060525</v>
      </c>
      <c r="BE715" s="1122">
        <f t="shared" ca="1" si="1314"/>
        <v>16614.107726768721</v>
      </c>
      <c r="BF715" s="1122">
        <f t="shared" ca="1" si="1314"/>
        <v>6068.7488437949023</v>
      </c>
      <c r="BG715" s="1122">
        <f ca="1">SUM(AZ715:BF715)</f>
        <v>47992.696016803857</v>
      </c>
      <c r="BI715" s="1122">
        <f ca="1">BI668</f>
        <v>2417.283529437329</v>
      </c>
      <c r="BJ715" s="1122">
        <f t="shared" ref="BJ715:BO715" ca="1" si="1315">BJ668</f>
        <v>669.82239591986217</v>
      </c>
      <c r="BK715" s="1122">
        <f t="shared" ca="1" si="1315"/>
        <v>4145.5633320586849</v>
      </c>
      <c r="BL715" s="1122">
        <f t="shared" ca="1" si="1315"/>
        <v>1250.7733569201334</v>
      </c>
      <c r="BM715" s="1122">
        <f t="shared" ca="1" si="1315"/>
        <v>4373.760315958506</v>
      </c>
      <c r="BN715" s="1122">
        <f t="shared" ca="1" si="1315"/>
        <v>8546.5745936783187</v>
      </c>
      <c r="BO715" s="1122">
        <f t="shared" ca="1" si="1315"/>
        <v>3092.1251592422409</v>
      </c>
      <c r="BP715" s="1122">
        <f ca="1">SUM(BI715:BO715)</f>
        <v>24495.902683215078</v>
      </c>
    </row>
    <row r="716" spans="2:68" s="1122" customFormat="1" ht="13.2" customHeight="1">
      <c r="B716" s="1123" t="s">
        <v>114</v>
      </c>
      <c r="G716" s="1122">
        <f t="shared" ca="1" si="1309"/>
        <v>234271.9222180912</v>
      </c>
      <c r="H716" s="1122">
        <f t="shared" ca="1" si="1309"/>
        <v>29487.492840543084</v>
      </c>
      <c r="I716" s="1122">
        <f t="shared" ca="1" si="1309"/>
        <v>196233.85165747249</v>
      </c>
      <c r="J716" s="1122">
        <f t="shared" ca="1" si="1309"/>
        <v>70145.453887149866</v>
      </c>
      <c r="K716" s="1122">
        <f t="shared" ca="1" si="1309"/>
        <v>253663.56752073244</v>
      </c>
      <c r="L716" s="1122">
        <f t="shared" ca="1" si="1309"/>
        <v>442135.13392732001</v>
      </c>
      <c r="M716" s="1122">
        <f t="shared" ca="1" si="1309"/>
        <v>215911.59523712049</v>
      </c>
      <c r="N716" s="1127">
        <f ca="1">SUM(G716:M716)</f>
        <v>1441849.0172884297</v>
      </c>
      <c r="O716" s="39">
        <f>ROW()</f>
        <v>716</v>
      </c>
      <c r="P716" s="1122">
        <f t="shared" ref="P716:V716" ca="1" si="1316">P715*P695</f>
        <v>9877.9533128942803</v>
      </c>
      <c r="Q716" s="1122">
        <f t="shared" ca="1" si="1316"/>
        <v>2779.5692029599559</v>
      </c>
      <c r="R716" s="1122">
        <f t="shared" ca="1" si="1316"/>
        <v>18459.078729212342</v>
      </c>
      <c r="S716" s="1122">
        <f t="shared" ca="1" si="1316"/>
        <v>5513.3815525788496</v>
      </c>
      <c r="T716" s="1122">
        <f t="shared" ca="1" si="1316"/>
        <v>18738.33984384311</v>
      </c>
      <c r="U716" s="1122">
        <f t="shared" ca="1" si="1316"/>
        <v>38222.096798797458</v>
      </c>
      <c r="V716" s="1122">
        <f t="shared" ca="1" si="1316"/>
        <v>13430.536489541093</v>
      </c>
      <c r="W716" s="1122">
        <f ca="1">SUM(P716:V716)</f>
        <v>107020.95592982709</v>
      </c>
      <c r="Y716" s="1122">
        <f t="shared" ref="Y716:AE716" ca="1" si="1317">Y715*Y695</f>
        <v>6947.5548744690896</v>
      </c>
      <c r="Z716" s="1122">
        <f t="shared" ca="1" si="1317"/>
        <v>1954.980850105916</v>
      </c>
      <c r="AA716" s="1122">
        <f t="shared" ca="1" si="1317"/>
        <v>12982.999447460588</v>
      </c>
      <c r="AB716" s="1122">
        <f t="shared" ca="1" si="1317"/>
        <v>3877.7790972575235</v>
      </c>
      <c r="AC716" s="1122">
        <f t="shared" ca="1" si="1317"/>
        <v>13179.41482387971</v>
      </c>
      <c r="AD716" s="1122">
        <f t="shared" ca="1" si="1317"/>
        <v>26883.110955816763</v>
      </c>
      <c r="AE716" s="1122">
        <f t="shared" ca="1" si="1317"/>
        <v>9446.2269965220348</v>
      </c>
      <c r="AF716" s="1122">
        <f ca="1">SUM(Y716:AE716)</f>
        <v>75272.06704551162</v>
      </c>
      <c r="AH716" s="1122">
        <f t="shared" ref="AH716:AN716" ca="1" si="1318">AH715*AH695</f>
        <v>0</v>
      </c>
      <c r="AI716" s="1122">
        <f t="shared" ca="1" si="1318"/>
        <v>0</v>
      </c>
      <c r="AJ716" s="1122">
        <f t="shared" ca="1" si="1318"/>
        <v>0</v>
      </c>
      <c r="AK716" s="1122">
        <f t="shared" ca="1" si="1318"/>
        <v>0</v>
      </c>
      <c r="AL716" s="1122">
        <f t="shared" ca="1" si="1318"/>
        <v>0</v>
      </c>
      <c r="AM716" s="1122">
        <f t="shared" ca="1" si="1318"/>
        <v>0</v>
      </c>
      <c r="AN716" s="1122">
        <f t="shared" ca="1" si="1318"/>
        <v>0</v>
      </c>
      <c r="AO716" s="1122">
        <f ca="1">SUM(AH716:AN716)</f>
        <v>0</v>
      </c>
      <c r="AQ716" s="1122">
        <f t="shared" ref="AQ716" si="1319">AQ715</f>
        <v>210187.34459974329</v>
      </c>
      <c r="AR716" s="1122">
        <f t="shared" ref="AR716" si="1320">AR715</f>
        <v>22748.620884765332</v>
      </c>
      <c r="AS716" s="1122">
        <f t="shared" ref="AS716" si="1321">AS715</f>
        <v>152580.65410310062</v>
      </c>
      <c r="AT716" s="1122">
        <f t="shared" ref="AT716" si="1322">AT715</f>
        <v>57061.666827443201</v>
      </c>
      <c r="AU716" s="1122">
        <f t="shared" ref="AU716" si="1323">AU715</f>
        <v>208747.17643657626</v>
      </c>
      <c r="AV716" s="1122">
        <f t="shared" ref="AV716" si="1324">AV715</f>
        <v>351862.72506223724</v>
      </c>
      <c r="AW716" s="1122">
        <f t="shared" ref="AW716" si="1325">AW715</f>
        <v>183873.35054767228</v>
      </c>
      <c r="AX716" s="1122">
        <f>SUM(AQ716:AW716)</f>
        <v>1187061.5384615383</v>
      </c>
      <c r="AZ716" s="1122">
        <f t="shared" ref="AZ716:BF716" ca="1" si="1326">AZ715*AZ695</f>
        <v>4841.7002199175095</v>
      </c>
      <c r="BA716" s="1122">
        <f t="shared" ca="1" si="1326"/>
        <v>1334.5540253918132</v>
      </c>
      <c r="BB716" s="1122">
        <f t="shared" ca="1" si="1326"/>
        <v>8066.4343635496507</v>
      </c>
      <c r="BC716" s="1122">
        <f t="shared" ca="1" si="1326"/>
        <v>2442.0749326799946</v>
      </c>
      <c r="BD716" s="1122">
        <f t="shared" ca="1" si="1326"/>
        <v>8624.3633993001604</v>
      </c>
      <c r="BE716" s="1122">
        <f t="shared" ca="1" si="1326"/>
        <v>16617.78719200956</v>
      </c>
      <c r="BF716" s="1122">
        <f t="shared" ca="1" si="1326"/>
        <v>6069.0930060816263</v>
      </c>
      <c r="BG716" s="1122">
        <f ca="1">SUM(AZ716:BF716)</f>
        <v>47996.007138930312</v>
      </c>
      <c r="BI716" s="1122">
        <f t="shared" ref="BI716:BO716" ca="1" si="1327">BI715*BI695</f>
        <v>2417.3692110670258</v>
      </c>
      <c r="BJ716" s="1122">
        <f t="shared" ca="1" si="1327"/>
        <v>669.7678773200663</v>
      </c>
      <c r="BK716" s="1122">
        <f t="shared" ca="1" si="1327"/>
        <v>4144.6850141492896</v>
      </c>
      <c r="BL716" s="1122">
        <f t="shared" ca="1" si="1327"/>
        <v>1250.5514771902904</v>
      </c>
      <c r="BM716" s="1122">
        <f t="shared" ca="1" si="1327"/>
        <v>4374.2730171331796</v>
      </c>
      <c r="BN716" s="1122">
        <f t="shared" ca="1" si="1327"/>
        <v>8549.413918458953</v>
      </c>
      <c r="BO716" s="1122">
        <f t="shared" ca="1" si="1327"/>
        <v>3092.3881973034554</v>
      </c>
      <c r="BP716" s="1122">
        <f ca="1">SUM(BI716:BO716)</f>
        <v>24498.448712622263</v>
      </c>
    </row>
    <row r="717" spans="2:68" ht="13.2" customHeight="1">
      <c r="B717" s="280" t="s">
        <v>1880</v>
      </c>
      <c r="G717" s="1122">
        <f t="shared" ca="1" si="1309"/>
        <v>1.3927999724596702</v>
      </c>
      <c r="H717" s="1122">
        <f t="shared" ca="1" si="1309"/>
        <v>-0.89774771784470886</v>
      </c>
      <c r="I717" s="1122">
        <f t="shared" ca="1" si="1309"/>
        <v>-15.345334943865964</v>
      </c>
      <c r="J717" s="1122">
        <f t="shared" ca="1" si="1309"/>
        <v>-3.8434872881896354</v>
      </c>
      <c r="K717" s="1122">
        <f t="shared" ca="1" si="1309"/>
        <v>8.6682264940445748</v>
      </c>
      <c r="L717" s="1122">
        <f t="shared" ca="1" si="1309"/>
        <v>49.755469318541145</v>
      </c>
      <c r="M717" s="1122">
        <f t="shared" ca="1" si="1309"/>
        <v>4.4988227499379718</v>
      </c>
      <c r="N717" s="1127">
        <f ca="1">W717+AF717+AO717+AX717+BG717+BP717</f>
        <v>44.228748585086578</v>
      </c>
      <c r="O717" s="39">
        <f>ROW()</f>
        <v>717</v>
      </c>
      <c r="P717" s="10">
        <f t="shared" ref="P717:W717" ca="1" si="1328">P716-P715</f>
        <v>0.70021917612029938</v>
      </c>
      <c r="Q717" s="10">
        <f t="shared" ca="1" si="1328"/>
        <v>-0.45252808819714119</v>
      </c>
      <c r="R717" s="10">
        <f t="shared" ca="1" si="1328"/>
        <v>-7.824313432785857</v>
      </c>
      <c r="S717" s="10">
        <f t="shared" ca="1" si="1328"/>
        <v>-1.9566025944686771</v>
      </c>
      <c r="T717" s="10">
        <f t="shared" ca="1" si="1328"/>
        <v>4.392321097333479</v>
      </c>
      <c r="U717" s="10">
        <f t="shared" ca="1" si="1328"/>
        <v>25.383476965158479</v>
      </c>
      <c r="V717" s="10">
        <f t="shared" ca="1" si="1328"/>
        <v>2.2847015359238867</v>
      </c>
      <c r="W717" s="138">
        <f t="shared" ca="1" si="1328"/>
        <v>22.527274659078103</v>
      </c>
      <c r="Y717" s="10">
        <f t="shared" ref="Y717:AF717" ca="1" si="1329">Y716-Y715</f>
        <v>0.49249181446248258</v>
      </c>
      <c r="Z717" s="10">
        <f t="shared" ca="1" si="1329"/>
        <v>-0.31828088526026477</v>
      </c>
      <c r="AA717" s="10">
        <f t="shared" ca="1" si="1329"/>
        <v>-5.5031488009117311</v>
      </c>
      <c r="AB717" s="10">
        <f t="shared" ca="1" si="1329"/>
        <v>-1.3761559163126549</v>
      </c>
      <c r="AC717" s="10">
        <f t="shared" ca="1" si="1329"/>
        <v>3.0892929824021849</v>
      </c>
      <c r="AD717" s="10">
        <f t="shared" ca="1" si="1329"/>
        <v>17.853202331909415</v>
      </c>
      <c r="AE717" s="10">
        <f t="shared" ca="1" si="1329"/>
        <v>1.6069208660755976</v>
      </c>
      <c r="AF717" s="138">
        <f t="shared" ca="1" si="1329"/>
        <v>15.844322392367758</v>
      </c>
      <c r="AH717" s="10">
        <f t="shared" ref="AH717:AO717" ca="1" si="1330">AH716-AH715</f>
        <v>0</v>
      </c>
      <c r="AI717" s="10">
        <f t="shared" ca="1" si="1330"/>
        <v>0</v>
      </c>
      <c r="AJ717" s="10">
        <f t="shared" ca="1" si="1330"/>
        <v>0</v>
      </c>
      <c r="AK717" s="10">
        <f t="shared" ca="1" si="1330"/>
        <v>0</v>
      </c>
      <c r="AL717" s="10">
        <f t="shared" ca="1" si="1330"/>
        <v>0</v>
      </c>
      <c r="AM717" s="10">
        <f t="shared" ca="1" si="1330"/>
        <v>0</v>
      </c>
      <c r="AN717" s="10">
        <f t="shared" ca="1" si="1330"/>
        <v>0</v>
      </c>
      <c r="AO717" s="138">
        <f t="shared" ca="1" si="1330"/>
        <v>0</v>
      </c>
      <c r="AQ717" s="10">
        <f t="shared" ref="AQ717:AX717" si="1331">AQ716-AQ715</f>
        <v>0</v>
      </c>
      <c r="AR717" s="10">
        <f t="shared" si="1331"/>
        <v>0</v>
      </c>
      <c r="AS717" s="10">
        <f t="shared" si="1331"/>
        <v>0</v>
      </c>
      <c r="AT717" s="10">
        <f t="shared" si="1331"/>
        <v>0</v>
      </c>
      <c r="AU717" s="10">
        <f t="shared" si="1331"/>
        <v>0</v>
      </c>
      <c r="AV717" s="10">
        <f t="shared" si="1331"/>
        <v>0</v>
      </c>
      <c r="AW717" s="10">
        <f t="shared" si="1331"/>
        <v>0</v>
      </c>
      <c r="AX717" s="138">
        <f t="shared" si="1331"/>
        <v>0</v>
      </c>
      <c r="AZ717" s="10">
        <f t="shared" ref="AZ717:BG717" ca="1" si="1332">AZ716-AZ715</f>
        <v>0.11440735218002374</v>
      </c>
      <c r="BA717" s="10">
        <f t="shared" ca="1" si="1332"/>
        <v>-7.24201445914332E-2</v>
      </c>
      <c r="BB717" s="10">
        <f t="shared" ca="1" si="1332"/>
        <v>-1.1395548007731122</v>
      </c>
      <c r="BC717" s="10">
        <f t="shared" ca="1" si="1332"/>
        <v>-0.28884904756250762</v>
      </c>
      <c r="BD717" s="10">
        <f t="shared" ca="1" si="1332"/>
        <v>0.67391123963534483</v>
      </c>
      <c r="BE717" s="10">
        <f t="shared" ca="1" si="1332"/>
        <v>3.6794652408389084</v>
      </c>
      <c r="BF717" s="10">
        <f t="shared" ca="1" si="1332"/>
        <v>0.34416228672398574</v>
      </c>
      <c r="BG717" s="138">
        <f t="shared" ca="1" si="1332"/>
        <v>3.3111221264553024</v>
      </c>
      <c r="BI717" s="10">
        <f t="shared" ref="BI717:BP717" ca="1" si="1333">BI716-BI715</f>
        <v>8.5681629696864547E-2</v>
      </c>
      <c r="BJ717" s="10">
        <f t="shared" ca="1" si="1333"/>
        <v>-5.4518599795869704E-2</v>
      </c>
      <c r="BK717" s="10">
        <f t="shared" ca="1" si="1333"/>
        <v>-0.878317909395264</v>
      </c>
      <c r="BL717" s="10">
        <f t="shared" ca="1" si="1333"/>
        <v>-0.22187972984306725</v>
      </c>
      <c r="BM717" s="10">
        <f t="shared" ca="1" si="1333"/>
        <v>0.51270117467356613</v>
      </c>
      <c r="BN717" s="10">
        <f t="shared" ca="1" si="1333"/>
        <v>2.8393247806343425</v>
      </c>
      <c r="BO717" s="10">
        <f t="shared" ca="1" si="1333"/>
        <v>0.26303806121450179</v>
      </c>
      <c r="BP717" s="138">
        <f t="shared" ca="1" si="1333"/>
        <v>2.546029407185415</v>
      </c>
    </row>
    <row r="718" spans="2:68" ht="13.2" customHeight="1">
      <c r="G718" s="1122"/>
      <c r="H718" s="1122"/>
      <c r="I718" s="1122"/>
      <c r="J718" s="1122"/>
      <c r="K718" s="1122"/>
      <c r="L718" s="1122"/>
      <c r="M718" s="1122"/>
      <c r="N718" s="1122"/>
      <c r="O718" s="39">
        <f>ROW()</f>
        <v>718</v>
      </c>
    </row>
    <row r="719" spans="2:68" ht="13.2" customHeight="1">
      <c r="B719" s="308" t="s">
        <v>2596</v>
      </c>
      <c r="G719" s="1122">
        <f t="shared" ref="G719:N720" ca="1" si="1334">P719+Y719+AH719+AQ719+AZ719+BI719</f>
        <v>428270.09553393116</v>
      </c>
      <c r="H719" s="1122">
        <f t="shared" ca="1" si="1334"/>
        <v>76904.807319545012</v>
      </c>
      <c r="I719" s="1122">
        <f t="shared" ca="1" si="1334"/>
        <v>488393.8246830884</v>
      </c>
      <c r="J719" s="1122">
        <f t="shared" ca="1" si="1334"/>
        <v>159158.36115353156</v>
      </c>
      <c r="K719" s="1122">
        <f t="shared" ca="1" si="1334"/>
        <v>582058.12536067714</v>
      </c>
      <c r="L719" s="1122">
        <f t="shared" ca="1" si="1334"/>
        <v>1025585.9058163739</v>
      </c>
      <c r="M719" s="1122">
        <f t="shared" ca="1" si="1334"/>
        <v>432820.1964448588</v>
      </c>
      <c r="N719" s="1127">
        <f t="shared" ca="1" si="1334"/>
        <v>3193191.3163120062</v>
      </c>
      <c r="O719" s="39">
        <f>ROW()</f>
        <v>719</v>
      </c>
      <c r="P719" s="10">
        <f ca="1">P672</f>
        <v>54021.325232265786</v>
      </c>
      <c r="Q719" s="10">
        <f t="shared" ref="Q719:V719" ca="1" si="1335">Q672</f>
        <v>21095.73291667067</v>
      </c>
      <c r="R719" s="10">
        <f t="shared" ca="1" si="1335"/>
        <v>135536.35315235262</v>
      </c>
      <c r="S719" s="10">
        <f t="shared" ca="1" si="1335"/>
        <v>36190.386223164758</v>
      </c>
      <c r="T719" s="10">
        <f t="shared" ca="1" si="1335"/>
        <v>122048.08964290471</v>
      </c>
      <c r="U719" s="10">
        <f t="shared" ca="1" si="1335"/>
        <v>193821.14739579085</v>
      </c>
      <c r="V719" s="10">
        <f t="shared" ca="1" si="1335"/>
        <v>67690.145914629771</v>
      </c>
      <c r="W719" s="10">
        <f ca="1">SUM(P719:V719)</f>
        <v>630403.18047777913</v>
      </c>
      <c r="Y719" s="10">
        <f ca="1">Y672</f>
        <v>51707.905166990902</v>
      </c>
      <c r="Z719" s="10">
        <f t="shared" ref="Z719:AE719" ca="1" si="1336">Z672</f>
        <v>7837.5535882369222</v>
      </c>
      <c r="AA719" s="10">
        <f t="shared" ca="1" si="1336"/>
        <v>54944.46739238505</v>
      </c>
      <c r="AB719" s="10">
        <f t="shared" ca="1" si="1336"/>
        <v>21769.726047612399</v>
      </c>
      <c r="AC719" s="10">
        <f t="shared" ca="1" si="1336"/>
        <v>87094.382129972131</v>
      </c>
      <c r="AD719" s="10">
        <f t="shared" ca="1" si="1336"/>
        <v>179895.64886761559</v>
      </c>
      <c r="AE719" s="10">
        <f t="shared" ca="1" si="1336"/>
        <v>62113.125766449302</v>
      </c>
      <c r="AF719" s="10">
        <f ca="1">SUM(Y719:AE719)</f>
        <v>465362.80895926227</v>
      </c>
      <c r="AH719" s="10">
        <f ca="1">AH672</f>
        <v>45365.399713727456</v>
      </c>
      <c r="AI719" s="10">
        <f t="shared" ref="AI719:AN719" ca="1" si="1337">AI672</f>
        <v>6743.1230307593742</v>
      </c>
      <c r="AJ719" s="10">
        <f t="shared" ca="1" si="1337"/>
        <v>34011.404506900915</v>
      </c>
      <c r="AK719" s="10">
        <f t="shared" ca="1" si="1337"/>
        <v>10367.399107987272</v>
      </c>
      <c r="AL719" s="10">
        <f t="shared" ca="1" si="1337"/>
        <v>46369.434334983322</v>
      </c>
      <c r="AM719" s="10">
        <f t="shared" ca="1" si="1337"/>
        <v>93806.953421811631</v>
      </c>
      <c r="AN719" s="10">
        <f t="shared" ca="1" si="1337"/>
        <v>42306.226718871694</v>
      </c>
      <c r="AO719" s="10">
        <f ca="1">SUM(AH719:AN719)</f>
        <v>278969.94083504163</v>
      </c>
      <c r="AQ719" s="10">
        <f ca="1">AQ672</f>
        <v>240050.42598557673</v>
      </c>
      <c r="AR719" s="10">
        <f t="shared" ref="AR719:AW719" ca="1" si="1338">AR672</f>
        <v>32205.005406578308</v>
      </c>
      <c r="AS719" s="10">
        <f t="shared" ca="1" si="1338"/>
        <v>208017.98164423773</v>
      </c>
      <c r="AT719" s="10">
        <f t="shared" ca="1" si="1338"/>
        <v>73953.314528786039</v>
      </c>
      <c r="AU719" s="10">
        <f t="shared" ca="1" si="1338"/>
        <v>264250.20000315504</v>
      </c>
      <c r="AV719" s="10">
        <f t="shared" ca="1" si="1338"/>
        <v>442462.35930972925</v>
      </c>
      <c r="AW719" s="10">
        <f t="shared" ca="1" si="1338"/>
        <v>217925.7664214203</v>
      </c>
      <c r="AX719" s="10">
        <f ca="1">SUM(AQ719:AW719)</f>
        <v>1478865.0532994834</v>
      </c>
      <c r="AZ719" s="10">
        <f ca="1">AZ672</f>
        <v>29593.20027772355</v>
      </c>
      <c r="BA719" s="10">
        <f t="shared" ref="BA719:BF719" ca="1" si="1339">BA672</f>
        <v>7124.1703686238652</v>
      </c>
      <c r="BB719" s="10">
        <f t="shared" ca="1" si="1339"/>
        <v>44185.403776803883</v>
      </c>
      <c r="BC719" s="10">
        <f t="shared" ca="1" si="1339"/>
        <v>13342.285942853598</v>
      </c>
      <c r="BD719" s="10">
        <f t="shared" ca="1" si="1339"/>
        <v>49423.856410718065</v>
      </c>
      <c r="BE719" s="10">
        <f t="shared" ca="1" si="1339"/>
        <v>91424.08051524045</v>
      </c>
      <c r="BF719" s="10">
        <f t="shared" ca="1" si="1339"/>
        <v>33882.454245980698</v>
      </c>
      <c r="BG719" s="10">
        <f ca="1">SUM(AZ719:BF719)</f>
        <v>268975.45153794414</v>
      </c>
      <c r="BI719" s="10">
        <f ca="1">BI672</f>
        <v>7531.8391576467075</v>
      </c>
      <c r="BJ719" s="10">
        <f t="shared" ref="BJ719:BO719" ca="1" si="1340">BJ672</f>
        <v>1899.2220086758766</v>
      </c>
      <c r="BK719" s="10">
        <f t="shared" ca="1" si="1340"/>
        <v>11698.214210408085</v>
      </c>
      <c r="BL719" s="10">
        <f t="shared" ca="1" si="1340"/>
        <v>3535.2493031274616</v>
      </c>
      <c r="BM719" s="10">
        <f t="shared" ca="1" si="1340"/>
        <v>12872.16283894379</v>
      </c>
      <c r="BN719" s="10">
        <f t="shared" ca="1" si="1340"/>
        <v>24175.716306186099</v>
      </c>
      <c r="BO719" s="10">
        <f t="shared" ca="1" si="1340"/>
        <v>8902.4773775069716</v>
      </c>
      <c r="BP719" s="10">
        <f ca="1">SUM(BI719:BO719)</f>
        <v>70614.881202494988</v>
      </c>
    </row>
    <row r="720" spans="2:68" ht="13.2" customHeight="1">
      <c r="B720" s="308" t="s">
        <v>2597</v>
      </c>
      <c r="G720" s="1122">
        <f t="shared" ca="1" si="1334"/>
        <v>428185.7101841527</v>
      </c>
      <c r="H720" s="1122">
        <f t="shared" ca="1" si="1334"/>
        <v>76884.78038740858</v>
      </c>
      <c r="I720" s="1122">
        <f t="shared" ca="1" si="1334"/>
        <v>488207.02992815862</v>
      </c>
      <c r="J720" s="1122">
        <f t="shared" ca="1" si="1334"/>
        <v>159094.39021110069</v>
      </c>
      <c r="K720" s="1122">
        <f t="shared" ca="1" si="1334"/>
        <v>581851.85997771961</v>
      </c>
      <c r="L720" s="1122">
        <f t="shared" ca="1" si="1334"/>
        <v>1025320.9495738902</v>
      </c>
      <c r="M720" s="1122">
        <f t="shared" ca="1" si="1334"/>
        <v>432681.85982272989</v>
      </c>
      <c r="N720" s="1127">
        <f t="shared" ca="1" si="1334"/>
        <v>3192226.5800851597</v>
      </c>
      <c r="O720" s="39">
        <f>ROW()</f>
        <v>720</v>
      </c>
      <c r="P720" s="10">
        <f t="shared" ref="P720:V720" ca="1" si="1341">P705+P712+P716</f>
        <v>53990.955941980574</v>
      </c>
      <c r="Q720" s="10">
        <f t="shared" ca="1" si="1341"/>
        <v>21084.914979592661</v>
      </c>
      <c r="R720" s="10">
        <f t="shared" ca="1" si="1341"/>
        <v>135437.28610920336</v>
      </c>
      <c r="S720" s="10">
        <f t="shared" ca="1" si="1341"/>
        <v>36160.663395959338</v>
      </c>
      <c r="T720" s="10">
        <f t="shared" ca="1" si="1341"/>
        <v>121965.17920913367</v>
      </c>
      <c r="U720" s="10">
        <f t="shared" ca="1" si="1341"/>
        <v>193735.9846023249</v>
      </c>
      <c r="V720" s="10">
        <f t="shared" ca="1" si="1341"/>
        <v>67648.352602391504</v>
      </c>
      <c r="W720" s="10">
        <f ca="1">SUM(P720:V720)</f>
        <v>630023.33684058604</v>
      </c>
      <c r="Y720" s="10">
        <f t="shared" ref="Y720:AE720" ca="1" si="1342">Y705+Y712+Y716</f>
        <v>51679.829227572569</v>
      </c>
      <c r="Z720" s="10">
        <f t="shared" ca="1" si="1342"/>
        <v>7833.3127077846129</v>
      </c>
      <c r="AA720" s="10">
        <f t="shared" ca="1" si="1342"/>
        <v>54907.314282147941</v>
      </c>
      <c r="AB720" s="10">
        <f t="shared" ca="1" si="1342"/>
        <v>21752.795951195792</v>
      </c>
      <c r="AC720" s="10">
        <f t="shared" ca="1" si="1342"/>
        <v>87036.318394180256</v>
      </c>
      <c r="AD720" s="10">
        <f t="shared" ca="1" si="1342"/>
        <v>179810.74962729047</v>
      </c>
      <c r="AE720" s="10">
        <f t="shared" ca="1" si="1342"/>
        <v>62071.67436006786</v>
      </c>
      <c r="AF720" s="10">
        <f ca="1">SUM(Y720:AE720)</f>
        <v>465091.99455023953</v>
      </c>
      <c r="AH720" s="10">
        <f t="shared" ref="AH720:AN720" ca="1" si="1343">AH705+AH712+AH716</f>
        <v>45354.263260844491</v>
      </c>
      <c r="AI720" s="10">
        <f t="shared" ca="1" si="1343"/>
        <v>6741.587725487776</v>
      </c>
      <c r="AJ720" s="10">
        <f t="shared" ca="1" si="1343"/>
        <v>33988.838306725469</v>
      </c>
      <c r="AK720" s="10">
        <f t="shared" ca="1" si="1343"/>
        <v>10358.608749547879</v>
      </c>
      <c r="AL720" s="10">
        <f t="shared" ca="1" si="1343"/>
        <v>46331.460587021938</v>
      </c>
      <c r="AM720" s="10">
        <f t="shared" ca="1" si="1343"/>
        <v>93759.097044687092</v>
      </c>
      <c r="AN720" s="10">
        <f t="shared" ca="1" si="1343"/>
        <v>42269.860551337435</v>
      </c>
      <c r="AO720" s="10">
        <f ca="1">SUM(AH720:AN720)</f>
        <v>278803.71622565208</v>
      </c>
      <c r="AQ720" s="10">
        <f t="shared" ref="AQ720:AW720" ca="1" si="1344">AQ719</f>
        <v>240050.42598557673</v>
      </c>
      <c r="AR720" s="10">
        <f t="shared" ca="1" si="1344"/>
        <v>32205.005406578308</v>
      </c>
      <c r="AS720" s="10">
        <f t="shared" ca="1" si="1344"/>
        <v>208017.98164423773</v>
      </c>
      <c r="AT720" s="10">
        <f t="shared" ca="1" si="1344"/>
        <v>73953.314528786039</v>
      </c>
      <c r="AU720" s="10">
        <f t="shared" ca="1" si="1344"/>
        <v>264250.20000315504</v>
      </c>
      <c r="AV720" s="10">
        <f t="shared" ca="1" si="1344"/>
        <v>442462.35930972925</v>
      </c>
      <c r="AW720" s="10">
        <f t="shared" ca="1" si="1344"/>
        <v>217925.7664214203</v>
      </c>
      <c r="AX720" s="10">
        <f ca="1">SUM(AQ720:AW720)</f>
        <v>1478865.0532994834</v>
      </c>
      <c r="AZ720" s="10">
        <f t="shared" ref="AZ720:BF720" ca="1" si="1345">AZ705+AZ712+AZ716</f>
        <v>29580.643450913274</v>
      </c>
      <c r="BA720" s="10">
        <f t="shared" ca="1" si="1345"/>
        <v>7121.3081494189291</v>
      </c>
      <c r="BB720" s="10">
        <f t="shared" ca="1" si="1345"/>
        <v>44162.343845958698</v>
      </c>
      <c r="BC720" s="10">
        <f t="shared" ca="1" si="1345"/>
        <v>13335.310960811765</v>
      </c>
      <c r="BD720" s="10">
        <f t="shared" ca="1" si="1345"/>
        <v>49400.709458491503</v>
      </c>
      <c r="BE720" s="10">
        <f t="shared" ca="1" si="1345"/>
        <v>91382.186596478685</v>
      </c>
      <c r="BF720" s="10">
        <f t="shared" ca="1" si="1345"/>
        <v>33866.6342240546</v>
      </c>
      <c r="BG720" s="10">
        <f ca="1">SUM(AZ720:BF720)</f>
        <v>268849.13668612746</v>
      </c>
      <c r="BI720" s="10">
        <f t="shared" ref="BI720:BO720" ca="1" si="1346">BI705+BI712+BI716</f>
        <v>7529.5923172649655</v>
      </c>
      <c r="BJ720" s="10">
        <f t="shared" ca="1" si="1346"/>
        <v>1898.6514185463029</v>
      </c>
      <c r="BK720" s="10">
        <f t="shared" ca="1" si="1346"/>
        <v>11693.26573988537</v>
      </c>
      <c r="BL720" s="10">
        <f t="shared" ca="1" si="1346"/>
        <v>3533.6966247998621</v>
      </c>
      <c r="BM720" s="10">
        <f t="shared" ca="1" si="1346"/>
        <v>12867.992325737127</v>
      </c>
      <c r="BN720" s="10">
        <f t="shared" ca="1" si="1346"/>
        <v>24170.572393379603</v>
      </c>
      <c r="BO720" s="10">
        <f t="shared" ca="1" si="1346"/>
        <v>8899.5716634581258</v>
      </c>
      <c r="BP720" s="10">
        <f ca="1">SUM(BI720:BO720)</f>
        <v>70593.342483071348</v>
      </c>
    </row>
    <row r="721" spans="2:68" ht="13.2" customHeight="1">
      <c r="B721" s="308" t="s">
        <v>1816</v>
      </c>
      <c r="G721" s="10">
        <f t="shared" ref="G721:M721" ca="1" si="1347">G720/G$118</f>
        <v>71364.285030692117</v>
      </c>
      <c r="H721" s="10">
        <f t="shared" ca="1" si="1347"/>
        <v>76884.78038740858</v>
      </c>
      <c r="I721" s="10">
        <f t="shared" ca="1" si="1347"/>
        <v>162735.67664271954</v>
      </c>
      <c r="J721" s="10">
        <f t="shared" ca="1" si="1347"/>
        <v>159094.39021110069</v>
      </c>
      <c r="K721" s="10">
        <f t="shared" ca="1" si="1347"/>
        <v>145462.9649944299</v>
      </c>
      <c r="L721" s="10">
        <f t="shared" ca="1" si="1347"/>
        <v>170886.82492898169</v>
      </c>
      <c r="M721" s="10">
        <f t="shared" ca="1" si="1347"/>
        <v>144227.28660757662</v>
      </c>
      <c r="N721" s="6"/>
      <c r="O721" s="39">
        <f>ROW()</f>
        <v>721</v>
      </c>
      <c r="P721" s="10"/>
      <c r="Q721" s="10"/>
      <c r="R721" s="10"/>
      <c r="S721" s="10"/>
      <c r="T721" s="10"/>
      <c r="U721" s="10"/>
      <c r="V721" s="10"/>
      <c r="W721" s="10"/>
      <c r="Y721" s="10"/>
      <c r="Z721" s="10"/>
      <c r="AA721" s="10"/>
      <c r="AB721" s="10"/>
      <c r="AC721" s="10"/>
      <c r="AD721" s="10"/>
      <c r="AE721" s="10"/>
      <c r="AF721" s="10"/>
      <c r="AH721" s="10"/>
      <c r="AI721" s="10"/>
      <c r="AJ721" s="10"/>
      <c r="AK721" s="10"/>
      <c r="AL721" s="10"/>
      <c r="AM721" s="10"/>
      <c r="AN721" s="10"/>
      <c r="AO721" s="10"/>
      <c r="AQ721" s="10"/>
      <c r="AR721" s="10"/>
      <c r="AS721" s="10"/>
      <c r="AT721" s="10"/>
      <c r="AU721" s="10"/>
      <c r="AV721" s="10"/>
      <c r="AW721" s="10"/>
      <c r="AX721" s="10"/>
      <c r="AZ721" s="10"/>
      <c r="BA721" s="10"/>
      <c r="BB721" s="10"/>
      <c r="BC721" s="10"/>
      <c r="BD721" s="10"/>
      <c r="BE721" s="10"/>
      <c r="BF721" s="10"/>
      <c r="BG721" s="10"/>
      <c r="BI721" s="10"/>
      <c r="BJ721" s="10"/>
      <c r="BK721" s="10"/>
      <c r="BL721" s="10"/>
      <c r="BM721" s="10"/>
      <c r="BN721" s="10"/>
      <c r="BO721" s="10"/>
      <c r="BP721" s="10"/>
    </row>
    <row r="722" spans="2:68" ht="13.2" customHeight="1">
      <c r="B722" s="280" t="s">
        <v>2709</v>
      </c>
      <c r="G722" s="612">
        <f t="shared" ref="G722:M722" ca="1" si="1348">G720/G719</f>
        <v>0.99980296231126464</v>
      </c>
      <c r="H722" s="612">
        <f t="shared" ca="1" si="1348"/>
        <v>0.99973958803312235</v>
      </c>
      <c r="I722" s="612">
        <f t="shared" ca="1" si="1348"/>
        <v>0.99961753252090979</v>
      </c>
      <c r="J722" s="612">
        <f t="shared" ca="1" si="1348"/>
        <v>0.99959806734646406</v>
      </c>
      <c r="K722" s="612">
        <f t="shared" ca="1" si="1348"/>
        <v>0.9996456275173039</v>
      </c>
      <c r="L722" s="612">
        <f t="shared" ca="1" si="1348"/>
        <v>0.99974165377958002</v>
      </c>
      <c r="M722" s="612">
        <f t="shared" ca="1" si="1348"/>
        <v>0.99968038316311214</v>
      </c>
      <c r="N722" s="186"/>
      <c r="O722" s="39">
        <f>ROW()</f>
        <v>722</v>
      </c>
      <c r="P722" s="4147" t="s">
        <v>2680</v>
      </c>
      <c r="Q722" s="4147"/>
      <c r="R722" s="4147"/>
      <c r="S722" s="4147"/>
      <c r="T722" s="4147"/>
      <c r="U722" s="4147"/>
      <c r="V722" s="4147"/>
      <c r="W722" s="4147"/>
      <c r="Y722" s="4147" t="s">
        <v>2681</v>
      </c>
      <c r="Z722" s="4147"/>
      <c r="AA722" s="4147"/>
      <c r="AB722" s="4147"/>
      <c r="AC722" s="4147"/>
      <c r="AD722" s="4147"/>
      <c r="AE722" s="4147"/>
      <c r="AF722" s="4147"/>
      <c r="AH722" s="4263" t="s">
        <v>5482</v>
      </c>
      <c r="AI722" s="4264"/>
      <c r="AJ722" s="4264"/>
      <c r="AK722" s="4264"/>
      <c r="AL722" s="4264"/>
      <c r="AM722" s="4264"/>
      <c r="AN722" s="4264"/>
      <c r="AO722" s="4264"/>
      <c r="AQ722" s="4147" t="s">
        <v>713</v>
      </c>
      <c r="AR722" s="4147"/>
      <c r="AS722" s="4147"/>
      <c r="AT722" s="4147"/>
      <c r="AU722" s="4147"/>
      <c r="AV722" s="4147"/>
      <c r="AW722" s="4147"/>
      <c r="AX722" s="4147"/>
      <c r="AZ722" s="4147" t="s">
        <v>460</v>
      </c>
      <c r="BA722" s="4147"/>
      <c r="BB722" s="4147"/>
      <c r="BC722" s="4147"/>
      <c r="BD722" s="4147"/>
      <c r="BE722" s="4147"/>
      <c r="BF722" s="4147"/>
      <c r="BG722" s="4147"/>
      <c r="BI722" s="4147" t="s">
        <v>849</v>
      </c>
      <c r="BJ722" s="4147"/>
      <c r="BK722" s="4147"/>
      <c r="BL722" s="4147"/>
      <c r="BM722" s="4147"/>
      <c r="BN722" s="4147"/>
      <c r="BO722" s="4147"/>
      <c r="BP722" s="4147"/>
    </row>
    <row r="723" spans="2:68" ht="13.2" customHeight="1">
      <c r="G723" s="612"/>
      <c r="H723" s="612"/>
      <c r="I723" s="612"/>
      <c r="J723" s="612"/>
      <c r="K723" s="612"/>
      <c r="L723" s="612"/>
      <c r="M723" s="612"/>
      <c r="N723" s="186"/>
      <c r="O723" s="39">
        <f>ROW()</f>
        <v>723</v>
      </c>
      <c r="P723" s="10"/>
      <c r="Q723" s="10"/>
      <c r="R723" s="10"/>
      <c r="S723" s="10"/>
      <c r="T723" s="10"/>
      <c r="U723" s="10"/>
      <c r="V723" s="10"/>
      <c r="W723" s="10"/>
      <c r="Y723" s="10"/>
      <c r="Z723" s="10"/>
      <c r="AA723" s="10"/>
      <c r="AB723" s="10"/>
      <c r="AC723" s="10"/>
      <c r="AD723" s="10"/>
      <c r="AE723" s="10"/>
      <c r="AF723" s="10"/>
      <c r="AO723" s="10"/>
      <c r="AQ723" s="10"/>
      <c r="AR723" s="10"/>
      <c r="AS723" s="10"/>
      <c r="AT723" s="10"/>
      <c r="AU723" s="10"/>
      <c r="AV723" s="10"/>
      <c r="AW723" s="10"/>
      <c r="AX723" s="10"/>
      <c r="AZ723" s="10"/>
      <c r="BA723" s="10"/>
      <c r="BB723" s="10"/>
      <c r="BC723" s="10"/>
      <c r="BD723" s="10"/>
      <c r="BE723" s="10"/>
      <c r="BF723" s="10"/>
      <c r="BG723" s="10"/>
      <c r="BI723" s="10"/>
      <c r="BJ723" s="10"/>
      <c r="BK723" s="10"/>
      <c r="BL723" s="10"/>
      <c r="BM723" s="10"/>
      <c r="BN723" s="10"/>
      <c r="BO723" s="10"/>
      <c r="BP723" s="10"/>
    </row>
    <row r="724" spans="2:68" ht="13.2" customHeight="1">
      <c r="B724" s="308" t="s">
        <v>587</v>
      </c>
      <c r="C724" s="280"/>
      <c r="D724" s="280"/>
      <c r="E724" s="280"/>
      <c r="F724" s="280"/>
      <c r="G724" s="280"/>
      <c r="H724" s="280"/>
      <c r="I724" s="280"/>
      <c r="J724" s="280"/>
      <c r="K724" s="280"/>
      <c r="L724" s="280"/>
      <c r="M724" s="280"/>
      <c r="N724" s="280"/>
      <c r="O724" s="39">
        <f>ROW()</f>
        <v>724</v>
      </c>
    </row>
    <row r="725" spans="2:68" ht="13.2" customHeight="1">
      <c r="B725" s="280" t="s">
        <v>2034</v>
      </c>
      <c r="E725" s="280"/>
      <c r="F725" s="280"/>
      <c r="G725" s="21">
        <f t="shared" ref="G725:M725" ca="1" si="1349">KSC/(1+0.1*(G721*$G$401/V_sub_k)^KSE)</f>
        <v>21.210494716923396</v>
      </c>
      <c r="H725" s="21">
        <f t="shared" ca="1" si="1349"/>
        <v>20.949454659767184</v>
      </c>
      <c r="I725" s="21">
        <f t="shared" ca="1" si="1349"/>
        <v>10.964392625608452</v>
      </c>
      <c r="J725" s="21">
        <f t="shared" ca="1" si="1349"/>
        <v>11.461971668142938</v>
      </c>
      <c r="K725" s="21">
        <f t="shared" ca="1" si="1349"/>
        <v>13.394008914386436</v>
      </c>
      <c r="L725" s="21">
        <f t="shared" ca="1" si="1349"/>
        <v>9.8929203322024648</v>
      </c>
      <c r="M725" s="21">
        <f t="shared" ca="1" si="1349"/>
        <v>13.572124242278731</v>
      </c>
      <c r="O725" s="39">
        <f>ROW()</f>
        <v>725</v>
      </c>
      <c r="P725" s="21">
        <f t="shared" ref="P725:V726" ca="1" si="1350">G725</f>
        <v>21.210494716923396</v>
      </c>
      <c r="Q725" s="21">
        <f t="shared" ca="1" si="1350"/>
        <v>20.949454659767184</v>
      </c>
      <c r="R725" s="21">
        <f t="shared" ca="1" si="1350"/>
        <v>10.964392625608452</v>
      </c>
      <c r="S725" s="21">
        <f t="shared" ca="1" si="1350"/>
        <v>11.461971668142938</v>
      </c>
      <c r="T725" s="21">
        <f t="shared" ca="1" si="1350"/>
        <v>13.394008914386436</v>
      </c>
      <c r="U725" s="21">
        <f t="shared" ca="1" si="1350"/>
        <v>9.8929203322024648</v>
      </c>
      <c r="V725" s="21">
        <f t="shared" ca="1" si="1350"/>
        <v>13.572124242278731</v>
      </c>
      <c r="Y725" s="21">
        <f t="shared" ref="Y725:AE726" ca="1" si="1351">G725</f>
        <v>21.210494716923396</v>
      </c>
      <c r="Z725" s="21">
        <f t="shared" ca="1" si="1351"/>
        <v>20.949454659767184</v>
      </c>
      <c r="AA725" s="21">
        <f t="shared" ca="1" si="1351"/>
        <v>10.964392625608452</v>
      </c>
      <c r="AB725" s="21">
        <f t="shared" ca="1" si="1351"/>
        <v>11.461971668142938</v>
      </c>
      <c r="AC725" s="21">
        <f t="shared" ca="1" si="1351"/>
        <v>13.394008914386436</v>
      </c>
      <c r="AD725" s="21">
        <f t="shared" ca="1" si="1351"/>
        <v>9.8929203322024648</v>
      </c>
      <c r="AE725" s="21">
        <f t="shared" ca="1" si="1351"/>
        <v>13.572124242278731</v>
      </c>
      <c r="AH725" s="21">
        <f t="shared" ref="AH725:AN726" ca="1" si="1352">P725</f>
        <v>21.210494716923396</v>
      </c>
      <c r="AI725" s="21">
        <f t="shared" ca="1" si="1352"/>
        <v>20.949454659767184</v>
      </c>
      <c r="AJ725" s="21">
        <f t="shared" ca="1" si="1352"/>
        <v>10.964392625608452</v>
      </c>
      <c r="AK725" s="21">
        <f t="shared" ca="1" si="1352"/>
        <v>11.461971668142938</v>
      </c>
      <c r="AL725" s="21">
        <f t="shared" ca="1" si="1352"/>
        <v>13.394008914386436</v>
      </c>
      <c r="AM725" s="21">
        <f t="shared" ca="1" si="1352"/>
        <v>9.8929203322024648</v>
      </c>
      <c r="AN725" s="21">
        <f t="shared" ca="1" si="1352"/>
        <v>13.572124242278731</v>
      </c>
      <c r="AQ725" s="21">
        <f t="shared" ref="AQ725:AW725" ca="1" si="1353">G725*$AU$181</f>
        <v>20.149969981077223</v>
      </c>
      <c r="AR725" s="21">
        <f t="shared" ca="1" si="1353"/>
        <v>19.901981926778824</v>
      </c>
      <c r="AS725" s="21">
        <f t="shared" ca="1" si="1353"/>
        <v>10.416172994328029</v>
      </c>
      <c r="AT725" s="21">
        <f t="shared" ca="1" si="1353"/>
        <v>10.88887308473579</v>
      </c>
      <c r="AU725" s="21">
        <f t="shared" ca="1" si="1353"/>
        <v>12.724308468667115</v>
      </c>
      <c r="AV725" s="21">
        <f t="shared" ca="1" si="1353"/>
        <v>9.3982743155923405</v>
      </c>
      <c r="AW725" s="21">
        <f t="shared" ca="1" si="1353"/>
        <v>12.893518030164794</v>
      </c>
      <c r="AZ725" s="21">
        <f t="shared" ref="AZ725:BF726" ca="1" si="1354">G725</f>
        <v>21.210494716923396</v>
      </c>
      <c r="BA725" s="21">
        <f t="shared" ca="1" si="1354"/>
        <v>20.949454659767184</v>
      </c>
      <c r="BB725" s="21">
        <f t="shared" ca="1" si="1354"/>
        <v>10.964392625608452</v>
      </c>
      <c r="BC725" s="21">
        <f t="shared" ca="1" si="1354"/>
        <v>11.461971668142938</v>
      </c>
      <c r="BD725" s="21">
        <f t="shared" ca="1" si="1354"/>
        <v>13.394008914386436</v>
      </c>
      <c r="BE725" s="21">
        <f t="shared" ca="1" si="1354"/>
        <v>9.8929203322024648</v>
      </c>
      <c r="BF725" s="21">
        <f t="shared" ca="1" si="1354"/>
        <v>13.572124242278731</v>
      </c>
      <c r="BG725" s="21"/>
      <c r="BI725" s="21">
        <f t="shared" ref="BI725:BO726" ca="1" si="1355">G725</f>
        <v>21.210494716923396</v>
      </c>
      <c r="BJ725" s="21">
        <f t="shared" ca="1" si="1355"/>
        <v>20.949454659767184</v>
      </c>
      <c r="BK725" s="21">
        <f t="shared" ca="1" si="1355"/>
        <v>10.964392625608452</v>
      </c>
      <c r="BL725" s="21">
        <f t="shared" ca="1" si="1355"/>
        <v>11.461971668142938</v>
      </c>
      <c r="BM725" s="21">
        <f t="shared" ca="1" si="1355"/>
        <v>13.394008914386436</v>
      </c>
      <c r="BN725" s="21">
        <f t="shared" ca="1" si="1355"/>
        <v>9.8929203322024648</v>
      </c>
      <c r="BO725" s="21">
        <f t="shared" ca="1" si="1355"/>
        <v>13.572124242278731</v>
      </c>
      <c r="BP725" s="21"/>
    </row>
    <row r="726" spans="2:68" ht="13.2" customHeight="1">
      <c r="B726" s="280" t="s">
        <v>1428</v>
      </c>
      <c r="E726" s="280"/>
      <c r="F726" s="280"/>
      <c r="G726" s="21">
        <f ca="1">MIN('Speed-Vol., non-Cordon'!$X$57*(G678 / 'Speed-Vol., non-Cordon'!$X$57)^G697,'Speed-Vol., non-Cordon'!$X$32)</f>
        <v>54.993809940366269</v>
      </c>
      <c r="H726" s="21">
        <f ca="1">MIN('Speed-Vol., non-Cordon'!$X$57*(H678 / 'Speed-Vol., non-Cordon'!$X$57)^H697,'Speed-Vol., non-Cordon'!$X$32)</f>
        <v>47.593216243502447</v>
      </c>
      <c r="I726" s="21">
        <f ca="1">MIN('Speed-Vol., non-Cordon'!$X$57*(I678 / 'Speed-Vol., non-Cordon'!$X$57)^I697,'Speed-Vol., non-Cordon'!$X$32)</f>
        <v>18.265140043669589</v>
      </c>
      <c r="J726" s="21">
        <f ca="1">MIN('Speed-Vol., non-Cordon'!$X$57*(J678 / 'Speed-Vol., non-Cordon'!$X$57)^J697,'Speed-Vol., non-Cordon'!$X$32)</f>
        <v>21.654107449338206</v>
      </c>
      <c r="K726" s="21">
        <f ca="1">MIN('Speed-Vol., non-Cordon'!$X$57*(K678 / 'Speed-Vol., non-Cordon'!$X$57)^K697,'Speed-Vol., non-Cordon'!$X$32)</f>
        <v>25.226876582961218</v>
      </c>
      <c r="L726" s="21">
        <f ca="1">MIN('Speed-Vol., non-Cordon'!$X$57*(L678 / 'Speed-Vol., non-Cordon'!$X$57)^L697,'Speed-Vol., non-Cordon'!$X$32)</f>
        <v>16.452516277340532</v>
      </c>
      <c r="M726" s="21">
        <f ca="1">MIN('Speed-Vol., non-Cordon'!$X$57*(M678 / 'Speed-Vol., non-Cordon'!$X$57)^M697,'Speed-Vol., non-Cordon'!$X$32)</f>
        <v>27.508461873962762</v>
      </c>
      <c r="O726" s="39">
        <f>ROW()</f>
        <v>726</v>
      </c>
      <c r="P726" s="21">
        <f t="shared" ca="1" si="1350"/>
        <v>54.993809940366269</v>
      </c>
      <c r="Q726" s="21">
        <f t="shared" ca="1" si="1350"/>
        <v>47.593216243502447</v>
      </c>
      <c r="R726" s="21">
        <f t="shared" ca="1" si="1350"/>
        <v>18.265140043669589</v>
      </c>
      <c r="S726" s="21">
        <f t="shared" ca="1" si="1350"/>
        <v>21.654107449338206</v>
      </c>
      <c r="T726" s="21">
        <f t="shared" ca="1" si="1350"/>
        <v>25.226876582961218</v>
      </c>
      <c r="U726" s="21">
        <f t="shared" ca="1" si="1350"/>
        <v>16.452516277340532</v>
      </c>
      <c r="V726" s="21">
        <f t="shared" ca="1" si="1350"/>
        <v>27.508461873962762</v>
      </c>
      <c r="W726" s="4272" t="s">
        <v>1878</v>
      </c>
      <c r="Y726" s="21">
        <f t="shared" ca="1" si="1351"/>
        <v>54.993809940366269</v>
      </c>
      <c r="Z726" s="21">
        <f t="shared" ca="1" si="1351"/>
        <v>47.593216243502447</v>
      </c>
      <c r="AA726" s="21">
        <f t="shared" ca="1" si="1351"/>
        <v>18.265140043669589</v>
      </c>
      <c r="AB726" s="21">
        <f t="shared" ca="1" si="1351"/>
        <v>21.654107449338206</v>
      </c>
      <c r="AC726" s="21">
        <f t="shared" ca="1" si="1351"/>
        <v>25.226876582961218</v>
      </c>
      <c r="AD726" s="21">
        <f t="shared" ca="1" si="1351"/>
        <v>16.452516277340532</v>
      </c>
      <c r="AE726" s="21">
        <f t="shared" ca="1" si="1351"/>
        <v>27.508461873962762</v>
      </c>
      <c r="AF726" s="4272" t="s">
        <v>1878</v>
      </c>
      <c r="AH726" s="21">
        <f t="shared" ca="1" si="1352"/>
        <v>54.993809940366269</v>
      </c>
      <c r="AI726" s="21">
        <f t="shared" ca="1" si="1352"/>
        <v>47.593216243502447</v>
      </c>
      <c r="AJ726" s="21">
        <f t="shared" ca="1" si="1352"/>
        <v>18.265140043669589</v>
      </c>
      <c r="AK726" s="21">
        <f t="shared" ca="1" si="1352"/>
        <v>21.654107449338206</v>
      </c>
      <c r="AL726" s="21">
        <f t="shared" ca="1" si="1352"/>
        <v>25.226876582961218</v>
      </c>
      <c r="AM726" s="21">
        <f t="shared" ca="1" si="1352"/>
        <v>16.452516277340532</v>
      </c>
      <c r="AN726" s="21">
        <f t="shared" ca="1" si="1352"/>
        <v>27.508461873962762</v>
      </c>
      <c r="AO726" s="4272" t="s">
        <v>1878</v>
      </c>
      <c r="AQ726" s="21">
        <f t="shared" ref="AQ726:AW726" ca="1" si="1356">G726*$AV$181</f>
        <v>54.443871840962608</v>
      </c>
      <c r="AR726" s="21">
        <f t="shared" ca="1" si="1356"/>
        <v>47.117284081067424</v>
      </c>
      <c r="AS726" s="21">
        <f t="shared" ca="1" si="1356"/>
        <v>18.082488643232892</v>
      </c>
      <c r="AT726" s="21">
        <f t="shared" ca="1" si="1356"/>
        <v>21.437566374844824</v>
      </c>
      <c r="AU726" s="21">
        <f t="shared" ca="1" si="1356"/>
        <v>24.974607817131606</v>
      </c>
      <c r="AV726" s="21">
        <f t="shared" ca="1" si="1356"/>
        <v>16.287991114567127</v>
      </c>
      <c r="AW726" s="21">
        <f t="shared" ca="1" si="1356"/>
        <v>27.233377255223136</v>
      </c>
      <c r="AX726" s="4272" t="s">
        <v>1878</v>
      </c>
      <c r="AZ726" s="21">
        <f t="shared" ca="1" si="1354"/>
        <v>54.993809940366269</v>
      </c>
      <c r="BA726" s="21">
        <f t="shared" ca="1" si="1354"/>
        <v>47.593216243502447</v>
      </c>
      <c r="BB726" s="21">
        <f t="shared" ca="1" si="1354"/>
        <v>18.265140043669589</v>
      </c>
      <c r="BC726" s="21">
        <f t="shared" ca="1" si="1354"/>
        <v>21.654107449338206</v>
      </c>
      <c r="BD726" s="21">
        <f t="shared" ca="1" si="1354"/>
        <v>25.226876582961218</v>
      </c>
      <c r="BE726" s="21">
        <f t="shared" ca="1" si="1354"/>
        <v>16.452516277340532</v>
      </c>
      <c r="BF726" s="21">
        <f t="shared" ca="1" si="1354"/>
        <v>27.508461873962762</v>
      </c>
      <c r="BG726" s="4272" t="s">
        <v>1878</v>
      </c>
      <c r="BI726" s="21">
        <f t="shared" ca="1" si="1355"/>
        <v>54.993809940366269</v>
      </c>
      <c r="BJ726" s="21">
        <f t="shared" ca="1" si="1355"/>
        <v>47.593216243502447</v>
      </c>
      <c r="BK726" s="21">
        <f t="shared" ca="1" si="1355"/>
        <v>18.265140043669589</v>
      </c>
      <c r="BL726" s="21">
        <f t="shared" ca="1" si="1355"/>
        <v>21.654107449338206</v>
      </c>
      <c r="BM726" s="21">
        <f t="shared" ca="1" si="1355"/>
        <v>25.226876582961218</v>
      </c>
      <c r="BN726" s="21">
        <f t="shared" ca="1" si="1355"/>
        <v>16.452516277340532</v>
      </c>
      <c r="BO726" s="21">
        <f t="shared" ca="1" si="1355"/>
        <v>27.508461873962762</v>
      </c>
      <c r="BP726" s="4272" t="s">
        <v>1878</v>
      </c>
    </row>
    <row r="727" spans="2:68" ht="13.2" customHeight="1">
      <c r="B727" s="280"/>
      <c r="O727" s="39">
        <f>ROW()</f>
        <v>727</v>
      </c>
      <c r="W727" s="4273"/>
      <c r="AF727" s="4273"/>
      <c r="AO727" s="4273"/>
      <c r="AX727" s="4273"/>
      <c r="BG727" s="4273"/>
      <c r="BP727" s="4273"/>
    </row>
    <row r="728" spans="2:68" ht="13.2" customHeight="1">
      <c r="B728" s="308" t="s">
        <v>2606</v>
      </c>
      <c r="F728" s="606"/>
      <c r="O728" s="39">
        <f>ROW()</f>
        <v>728</v>
      </c>
      <c r="W728" s="4340"/>
      <c r="AF728" s="4340"/>
      <c r="AO728" s="4340"/>
      <c r="AX728" s="4340"/>
      <c r="BG728" s="4340"/>
      <c r="BP728" s="4340"/>
    </row>
    <row r="729" spans="2:68" ht="13.2" customHeight="1">
      <c r="B729" s="280" t="s">
        <v>2158</v>
      </c>
      <c r="C729" s="297"/>
      <c r="D729" s="297"/>
      <c r="E729" s="297"/>
      <c r="F729" s="297"/>
      <c r="G729" s="4286" t="s">
        <v>2351</v>
      </c>
      <c r="H729" s="3775"/>
      <c r="I729" s="3775"/>
      <c r="J729" s="3775"/>
      <c r="K729" s="3775"/>
      <c r="L729" s="3776"/>
      <c r="O729" s="39">
        <f>ROW()</f>
        <v>729</v>
      </c>
      <c r="P729" s="21">
        <f t="shared" ref="P729:V729" ca="1" si="1357">($I$85)*60/P725</f>
        <v>3.5359854166984195</v>
      </c>
      <c r="Q729" s="21">
        <f t="shared" ca="1" si="1357"/>
        <v>3.5800454578913365</v>
      </c>
      <c r="R729" s="21">
        <f t="shared" ca="1" si="1357"/>
        <v>6.8403241803681754</v>
      </c>
      <c r="S729" s="21">
        <f t="shared" ca="1" si="1357"/>
        <v>6.5433768440078035</v>
      </c>
      <c r="T729" s="21">
        <f t="shared" ca="1" si="1357"/>
        <v>5.5995184473442361</v>
      </c>
      <c r="U729" s="21">
        <f t="shared" ca="1" si="1357"/>
        <v>7.5811790130228127</v>
      </c>
      <c r="V729" s="21">
        <f t="shared" ca="1" si="1357"/>
        <v>5.5260325252819564</v>
      </c>
      <c r="W729" s="613">
        <f ca="1">SUMPRODUCT(P$476:V$476,P729:V729)/W$476</f>
        <v>6.2887091605759142</v>
      </c>
      <c r="Y729" s="21">
        <f t="shared" ref="Y729:AE729" ca="1" si="1358">($J$85)*60/Y725</f>
        <v>3.5359854166984195</v>
      </c>
      <c r="Z729" s="21">
        <f t="shared" ca="1" si="1358"/>
        <v>3.5800454578913365</v>
      </c>
      <c r="AA729" s="21">
        <f t="shared" ca="1" si="1358"/>
        <v>6.8403241803681754</v>
      </c>
      <c r="AB729" s="21">
        <f t="shared" ca="1" si="1358"/>
        <v>6.5433768440078035</v>
      </c>
      <c r="AC729" s="21">
        <f t="shared" ca="1" si="1358"/>
        <v>5.5995184473442361</v>
      </c>
      <c r="AD729" s="21">
        <f t="shared" ca="1" si="1358"/>
        <v>7.5811790130228127</v>
      </c>
      <c r="AE729" s="21">
        <f t="shared" ca="1" si="1358"/>
        <v>5.5260325252819564</v>
      </c>
      <c r="AF729" s="613">
        <f ca="1">SUMPRODUCT(Y$476:AE$476,Y729:AE729)/AF$476</f>
        <v>6.2961257821982324</v>
      </c>
      <c r="AH729" s="21">
        <f t="shared" ref="AH729:AN729" ca="1" si="1359">($K$85)*60/AH725</f>
        <v>4.5260613333739768</v>
      </c>
      <c r="AI729" s="21">
        <f t="shared" ca="1" si="1359"/>
        <v>4.5824581861009106</v>
      </c>
      <c r="AJ729" s="21">
        <f t="shared" ca="1" si="1359"/>
        <v>8.755614950871264</v>
      </c>
      <c r="AK729" s="21">
        <f t="shared" ca="1" si="1359"/>
        <v>8.3755223603299882</v>
      </c>
      <c r="AL729" s="21">
        <f t="shared" ca="1" si="1359"/>
        <v>7.1673836126006227</v>
      </c>
      <c r="AM729" s="21">
        <f t="shared" ca="1" si="1359"/>
        <v>9.7039091366691999</v>
      </c>
      <c r="AN729" s="21">
        <f t="shared" ca="1" si="1359"/>
        <v>7.0733216323609049</v>
      </c>
      <c r="AO729" s="613">
        <f ca="1">SUMPRODUCT(AH$476:AN$476,AH729:AN729)/AO$476</f>
        <v>7.7920251601297768</v>
      </c>
      <c r="AQ729" s="21">
        <f t="shared" ref="AQ729:AW729" ca="1" si="1360">($L$85)*60/AQ725</f>
        <v>5.9553438597026025</v>
      </c>
      <c r="AR729" s="21">
        <f t="shared" ca="1" si="1360"/>
        <v>6.0295502448696192</v>
      </c>
      <c r="AS729" s="21">
        <f t="shared" ca="1" si="1360"/>
        <v>11.520545987988505</v>
      </c>
      <c r="AT729" s="21">
        <f t="shared" ca="1" si="1360"/>
        <v>11.020424158328934</v>
      </c>
      <c r="AU729" s="21">
        <f t="shared" ca="1" si="1360"/>
        <v>9.4307679113166092</v>
      </c>
      <c r="AV729" s="21">
        <f t="shared" ca="1" si="1360"/>
        <v>12.76830149561737</v>
      </c>
      <c r="AW729" s="21">
        <f t="shared" ca="1" si="1360"/>
        <v>9.3070021478432956</v>
      </c>
      <c r="AX729" s="613">
        <f ca="1">SUMPRODUCT(AQ$476:AW$476,AQ729:AW729)/AX$476</f>
        <v>10.146329984662525</v>
      </c>
      <c r="AZ729" s="21">
        <f t="shared" ref="AZ729:BF729" ca="1" si="1361">($M$85)*60/AZ725</f>
        <v>8.4863650000762068</v>
      </c>
      <c r="BA729" s="21">
        <f t="shared" ca="1" si="1361"/>
        <v>8.5921090989392077</v>
      </c>
      <c r="BB729" s="21">
        <f t="shared" ca="1" si="1361"/>
        <v>16.41677803288362</v>
      </c>
      <c r="BC729" s="21">
        <f t="shared" ca="1" si="1361"/>
        <v>15.704104425618729</v>
      </c>
      <c r="BD729" s="21">
        <f t="shared" ca="1" si="1361"/>
        <v>13.438844273626168</v>
      </c>
      <c r="BE729" s="21">
        <f t="shared" ca="1" si="1361"/>
        <v>18.194829631254752</v>
      </c>
      <c r="BF729" s="21">
        <f t="shared" ca="1" si="1361"/>
        <v>13.262478060676697</v>
      </c>
      <c r="BG729" s="613">
        <f ca="1">SUMPRODUCT(AZ$476:BF$476,AZ729:BF729)/BG$476</f>
        <v>14.972504944813345</v>
      </c>
      <c r="BI729" s="21">
        <f t="shared" ref="BI729:BO729" ca="1" si="1362">($N$85)*60/BI725</f>
        <v>5.6575766667174712</v>
      </c>
      <c r="BJ729" s="21">
        <f t="shared" ca="1" si="1362"/>
        <v>5.7280727326261385</v>
      </c>
      <c r="BK729" s="21">
        <f t="shared" ca="1" si="1362"/>
        <v>10.94451868858908</v>
      </c>
      <c r="BL729" s="21">
        <f t="shared" ca="1" si="1362"/>
        <v>10.469402950412485</v>
      </c>
      <c r="BM729" s="21">
        <f t="shared" ca="1" si="1362"/>
        <v>8.9592295157507778</v>
      </c>
      <c r="BN729" s="21">
        <f t="shared" ca="1" si="1362"/>
        <v>12.129886420836501</v>
      </c>
      <c r="BO729" s="21">
        <f t="shared" ca="1" si="1362"/>
        <v>8.8416520404511303</v>
      </c>
      <c r="BP729" s="613">
        <f ca="1">SUMPRODUCT(BI$476:BO$476,BI729:BO729)/BP$476</f>
        <v>10.009926832379492</v>
      </c>
    </row>
    <row r="730" spans="2:68" ht="13.2" customHeight="1">
      <c r="B730" s="280" t="s">
        <v>2159</v>
      </c>
      <c r="C730" s="297"/>
      <c r="D730" s="297"/>
      <c r="E730" s="297"/>
      <c r="F730" s="297"/>
      <c r="G730" s="3738"/>
      <c r="H730" s="3739"/>
      <c r="I730" s="3739"/>
      <c r="J730" s="3739"/>
      <c r="K730" s="3739"/>
      <c r="L730" s="3922"/>
      <c r="O730" s="39">
        <f>ROW()</f>
        <v>730</v>
      </c>
      <c r="P730" s="21">
        <f t="shared" ref="P730:V730" ca="1" si="1363">60*$I$85/(1/($P$135/$P725+$Q$135/$Q725+$R$135/$R725+$S$135/$S725+$T$135/$T725+$U$135/$U725+$V$135/$V725))</f>
        <v>6.2169001566914126</v>
      </c>
      <c r="Q730" s="21">
        <f t="shared" ca="1" si="1363"/>
        <v>6.2169001566914126</v>
      </c>
      <c r="R730" s="21">
        <f t="shared" ca="1" si="1363"/>
        <v>6.2169001566914126</v>
      </c>
      <c r="S730" s="21">
        <f t="shared" ca="1" si="1363"/>
        <v>6.2169001566914126</v>
      </c>
      <c r="T730" s="21">
        <f t="shared" ca="1" si="1363"/>
        <v>6.2169001566914126</v>
      </c>
      <c r="U730" s="21">
        <f t="shared" ca="1" si="1363"/>
        <v>6.2169001566914126</v>
      </c>
      <c r="V730" s="21">
        <f t="shared" ca="1" si="1363"/>
        <v>6.2169001566914126</v>
      </c>
      <c r="W730" s="613">
        <f ca="1">SUMPRODUCT(P$383:V$383,P730:V730)/W$383</f>
        <v>6.2169001566914117</v>
      </c>
      <c r="Y730" s="21">
        <f t="shared" ref="Y730:AE730" ca="1" si="1364">60*$J$85/(1/($Y$135/$Y725+$Z$135/$Z725+$AA$135/$AA725+$AB$135/$AB725+$AC$135/$AC725+$AD$135/$AD725+$AE$135/$AE725))</f>
        <v>6.2169001566914135</v>
      </c>
      <c r="Z730" s="21">
        <f t="shared" ca="1" si="1364"/>
        <v>6.2169001566914135</v>
      </c>
      <c r="AA730" s="21">
        <f t="shared" ca="1" si="1364"/>
        <v>6.2169001566914135</v>
      </c>
      <c r="AB730" s="21">
        <f t="shared" ca="1" si="1364"/>
        <v>6.2169001566914135</v>
      </c>
      <c r="AC730" s="21">
        <f t="shared" ca="1" si="1364"/>
        <v>6.2169001566914135</v>
      </c>
      <c r="AD730" s="21">
        <f t="shared" ca="1" si="1364"/>
        <v>6.2169001566914135</v>
      </c>
      <c r="AE730" s="21">
        <f t="shared" ca="1" si="1364"/>
        <v>6.2169001566914135</v>
      </c>
      <c r="AF730" s="613">
        <f ca="1">SUMPRODUCT(Y$383:AE$383,Y730:AE730)/AF$383</f>
        <v>6.2169001566914126</v>
      </c>
      <c r="AH730" s="21">
        <f t="shared" ref="AH730:AN730" ca="1" si="1365">AH729</f>
        <v>4.5260613333739768</v>
      </c>
      <c r="AI730" s="21">
        <f t="shared" ca="1" si="1365"/>
        <v>4.5824581861009106</v>
      </c>
      <c r="AJ730" s="21">
        <f t="shared" ca="1" si="1365"/>
        <v>8.755614950871264</v>
      </c>
      <c r="AK730" s="21">
        <f t="shared" ca="1" si="1365"/>
        <v>8.3755223603299882</v>
      </c>
      <c r="AL730" s="21">
        <f t="shared" ca="1" si="1365"/>
        <v>7.1673836126006227</v>
      </c>
      <c r="AM730" s="21">
        <f t="shared" ca="1" si="1365"/>
        <v>9.7039091366691999</v>
      </c>
      <c r="AN730" s="21">
        <f t="shared" ca="1" si="1365"/>
        <v>7.0733216323609049</v>
      </c>
      <c r="AO730" s="613">
        <f ca="1">SUMPRODUCT(AH$383:AN$383,AH730:AN730)/AO$383</f>
        <v>7.749811924727771</v>
      </c>
      <c r="AQ730" s="21"/>
      <c r="AR730" s="21"/>
      <c r="AS730" s="21"/>
      <c r="AT730" s="21"/>
      <c r="AU730" s="21"/>
      <c r="AV730" s="21"/>
      <c r="AW730" s="21"/>
      <c r="AX730" s="613"/>
      <c r="AZ730" s="21">
        <f t="shared" ref="AZ730:BF730" ca="1" si="1366">60*$M$85/(1/($AZ$135/$AZ725+$BA$135/$BA725+$BB$135/$BB725+$BC$135/$BC725+$BD$135/$BD725+$BE$135/$BE725+$BF$135/$BF725))</f>
        <v>14.920560376059393</v>
      </c>
      <c r="BA730" s="21">
        <f t="shared" ca="1" si="1366"/>
        <v>14.920560376059393</v>
      </c>
      <c r="BB730" s="21">
        <f t="shared" ca="1" si="1366"/>
        <v>14.920560376059393</v>
      </c>
      <c r="BC730" s="21">
        <f t="shared" ca="1" si="1366"/>
        <v>14.920560376059393</v>
      </c>
      <c r="BD730" s="21">
        <f t="shared" ca="1" si="1366"/>
        <v>14.920560376059393</v>
      </c>
      <c r="BE730" s="21">
        <f t="shared" ca="1" si="1366"/>
        <v>14.920560376059393</v>
      </c>
      <c r="BF730" s="21">
        <f t="shared" ca="1" si="1366"/>
        <v>14.920560376059393</v>
      </c>
      <c r="BG730" s="613">
        <f ca="1">SUMPRODUCT(AZ$383:BF$383,AZ730:BF730)/BG$383</f>
        <v>14.920560376059392</v>
      </c>
      <c r="BI730" s="21">
        <f t="shared" ref="BI730:BO730" ca="1" si="1367">60*$N$85/(1/($BI$135/$BI725+$BJ$135/$BJ725+$BK$135/$BK725+$BL$135/$BL725+$BM$135/$BM725+$BN$135/$BN725+$BO$135/$BO725))</f>
        <v>9.9470402507062605</v>
      </c>
      <c r="BJ730" s="21">
        <f t="shared" ca="1" si="1367"/>
        <v>9.9470402507062605</v>
      </c>
      <c r="BK730" s="21">
        <f t="shared" ca="1" si="1367"/>
        <v>9.9470402507062605</v>
      </c>
      <c r="BL730" s="21">
        <f t="shared" ca="1" si="1367"/>
        <v>9.9470402507062605</v>
      </c>
      <c r="BM730" s="21">
        <f t="shared" ca="1" si="1367"/>
        <v>9.9470402507062605</v>
      </c>
      <c r="BN730" s="21">
        <f t="shared" ca="1" si="1367"/>
        <v>9.9470402507062605</v>
      </c>
      <c r="BO730" s="21">
        <f t="shared" ca="1" si="1367"/>
        <v>9.9470402507062605</v>
      </c>
      <c r="BP730" s="613">
        <f ca="1">SUMPRODUCT(BI$383:BO$383,BI730:BO730)/BP$383</f>
        <v>9.9470402507062605</v>
      </c>
    </row>
    <row r="731" spans="2:68" ht="13.2" customHeight="1">
      <c r="B731" s="280" t="s">
        <v>2160</v>
      </c>
      <c r="C731" s="297"/>
      <c r="D731" s="297"/>
      <c r="E731" s="297"/>
      <c r="F731" s="297"/>
      <c r="G731" s="3738"/>
      <c r="H731" s="3739"/>
      <c r="I731" s="3739"/>
      <c r="J731" s="3739"/>
      <c r="K731" s="3739"/>
      <c r="L731" s="3922"/>
      <c r="O731" s="39">
        <f>ROW()</f>
        <v>731</v>
      </c>
      <c r="P731" s="21">
        <f t="shared" ref="P731:V731" ca="1" si="1368">($I$79)*60/P726</f>
        <v>18.438502895560962</v>
      </c>
      <c r="Q731" s="21">
        <f t="shared" ca="1" si="1368"/>
        <v>21.305631429391099</v>
      </c>
      <c r="R731" s="21">
        <f t="shared" ca="1" si="1368"/>
        <v>55.515781505043009</v>
      </c>
      <c r="S731" s="21">
        <f t="shared" ca="1" si="1368"/>
        <v>46.827306375740861</v>
      </c>
      <c r="T731" s="21">
        <f t="shared" ca="1" si="1368"/>
        <v>40.195365466220764</v>
      </c>
      <c r="U731" s="21">
        <f t="shared" ca="1" si="1368"/>
        <v>61.632124030773568</v>
      </c>
      <c r="V731" s="21">
        <f t="shared" ca="1" si="1368"/>
        <v>36.861512958059812</v>
      </c>
      <c r="W731" s="613">
        <f ca="1">SUMPRODUCT(P$476:V$476,P731:V731)/W$476</f>
        <v>47.732271067061042</v>
      </c>
      <c r="Y731" s="21">
        <f t="shared" ref="Y731:AE731" ca="1" si="1369">($J$79)*60/Y726</f>
        <v>18.438502895560962</v>
      </c>
      <c r="Z731" s="21">
        <f t="shared" ca="1" si="1369"/>
        <v>21.305631429391099</v>
      </c>
      <c r="AA731" s="21">
        <f t="shared" ca="1" si="1369"/>
        <v>55.515781505043009</v>
      </c>
      <c r="AB731" s="21">
        <f t="shared" ca="1" si="1369"/>
        <v>46.827306375740861</v>
      </c>
      <c r="AC731" s="21">
        <f t="shared" ca="1" si="1369"/>
        <v>40.195365466220764</v>
      </c>
      <c r="AD731" s="21">
        <f t="shared" ca="1" si="1369"/>
        <v>61.632124030773568</v>
      </c>
      <c r="AE731" s="21">
        <f t="shared" ca="1" si="1369"/>
        <v>36.861512958059812</v>
      </c>
      <c r="AF731" s="613">
        <f ca="1">SUMPRODUCT(Y$476:AE$476,Y731:AE731)/AF$476</f>
        <v>47.562908268767956</v>
      </c>
      <c r="AH731" s="21">
        <f t="shared" ref="AH731:AN731" ca="1" si="1370">($K$79)*60/AH726</f>
        <v>27.657754343341445</v>
      </c>
      <c r="AI731" s="21">
        <f t="shared" ca="1" si="1370"/>
        <v>31.958447144086648</v>
      </c>
      <c r="AJ731" s="21">
        <f t="shared" ca="1" si="1370"/>
        <v>83.273672257564513</v>
      </c>
      <c r="AK731" s="21">
        <f t="shared" ca="1" si="1370"/>
        <v>70.240959563611298</v>
      </c>
      <c r="AL731" s="21">
        <f t="shared" ca="1" si="1370"/>
        <v>60.293048199331153</v>
      </c>
      <c r="AM731" s="21">
        <f t="shared" ca="1" si="1370"/>
        <v>92.448186046160359</v>
      </c>
      <c r="AN731" s="21">
        <f t="shared" ca="1" si="1370"/>
        <v>55.292269437089722</v>
      </c>
      <c r="AO731" s="613">
        <f ca="1">SUMPRODUCT(AH$476:AN$476,AH731:AN731)/AO$476</f>
        <v>68.02340538040221</v>
      </c>
      <c r="AQ731" s="21">
        <f t="shared" ref="AQ731:AW731" ca="1" si="1371">($L$79)*60/AQ726</f>
        <v>6.6123144410376478</v>
      </c>
      <c r="AR731" s="21">
        <f t="shared" ca="1" si="1371"/>
        <v>7.6405082979868633</v>
      </c>
      <c r="AS731" s="21">
        <f t="shared" ca="1" si="1371"/>
        <v>19.908764059128817</v>
      </c>
      <c r="AT731" s="21">
        <f t="shared" ca="1" si="1371"/>
        <v>16.79295092107235</v>
      </c>
      <c r="AU731" s="21">
        <f t="shared" ca="1" si="1371"/>
        <v>14.414640767774301</v>
      </c>
      <c r="AV731" s="21">
        <f t="shared" ca="1" si="1371"/>
        <v>22.102173157378189</v>
      </c>
      <c r="AW731" s="21">
        <f t="shared" ca="1" si="1371"/>
        <v>13.219072927539862</v>
      </c>
      <c r="AX731" s="613">
        <f ca="1">SUMPRODUCT(AQ$476:AW$476,AQ731:AW731)/AX$476</f>
        <v>16.016238087798722</v>
      </c>
      <c r="AZ731" s="21">
        <f t="shared" ref="AZ731:BF731" ca="1" si="1372">($M$79)*60/AZ726</f>
        <v>13.659938009015058</v>
      </c>
      <c r="BA731" s="21">
        <f t="shared" ca="1" si="1372"/>
        <v>15.784014907114347</v>
      </c>
      <c r="BB731" s="21">
        <f t="shared" ca="1" si="1372"/>
        <v>41.128183680437623</v>
      </c>
      <c r="BC731" s="21">
        <f t="shared" ca="1" si="1372"/>
        <v>34.691433780980795</v>
      </c>
      <c r="BD731" s="21">
        <f t="shared" ca="1" si="1372"/>
        <v>29.778241955341564</v>
      </c>
      <c r="BE731" s="21">
        <f t="shared" ca="1" si="1372"/>
        <v>45.659400787196127</v>
      </c>
      <c r="BF731" s="21">
        <f t="shared" ca="1" si="1372"/>
        <v>27.308398343274678</v>
      </c>
      <c r="BG731" s="613">
        <f ca="1">SUMPRODUCT(AZ$476:BF$476,AZ731:BF731)/BG$476</f>
        <v>34.866804480822843</v>
      </c>
      <c r="BI731" s="21">
        <f t="shared" ref="BI731:BO731" ca="1" si="1373">($N$79)*60/BI726</f>
        <v>18.947853804278118</v>
      </c>
      <c r="BJ731" s="21">
        <f t="shared" ca="1" si="1373"/>
        <v>21.894184783794174</v>
      </c>
      <c r="BK731" s="21">
        <f t="shared" ca="1" si="1373"/>
        <v>57.049366629491722</v>
      </c>
      <c r="BL731" s="21">
        <f t="shared" ca="1" si="1373"/>
        <v>48.120878375070731</v>
      </c>
      <c r="BM731" s="21">
        <f t="shared" ca="1" si="1373"/>
        <v>41.305734677994828</v>
      </c>
      <c r="BN731" s="21">
        <f t="shared" ca="1" si="1373"/>
        <v>63.334668893502133</v>
      </c>
      <c r="BO731" s="21">
        <f t="shared" ca="1" si="1373"/>
        <v>37.879786796680257</v>
      </c>
      <c r="BP731" s="613">
        <f ca="1">SUMPRODUCT(BI$476:BO$476,BI731:BO731)/BP$476</f>
        <v>48.561427504126698</v>
      </c>
    </row>
    <row r="732" spans="2:68" ht="13.2" customHeight="1">
      <c r="B732" s="280" t="s">
        <v>1138</v>
      </c>
      <c r="C732" s="297"/>
      <c r="D732" s="297"/>
      <c r="E732" s="297"/>
      <c r="F732" s="297"/>
      <c r="G732" s="3738"/>
      <c r="H732" s="3739"/>
      <c r="I732" s="3739"/>
      <c r="J732" s="3739"/>
      <c r="K732" s="3739"/>
      <c r="L732" s="3922"/>
      <c r="O732" s="39">
        <f>ROW()</f>
        <v>732</v>
      </c>
      <c r="P732" s="21">
        <f t="shared" ref="P732:V732" ca="1" si="1374">60*$I$79/(1/($P$135/$P726+$Q$135/$Q726+$R$135/$R726+$S$135/$S726+$T$135/$T726+$U$135/$U726+$V$135/$V726))</f>
        <v>46.740145888233364</v>
      </c>
      <c r="Q732" s="21">
        <f t="shared" ca="1" si="1374"/>
        <v>46.740145888233364</v>
      </c>
      <c r="R732" s="21">
        <f t="shared" ca="1" si="1374"/>
        <v>46.740145888233364</v>
      </c>
      <c r="S732" s="21">
        <f t="shared" ca="1" si="1374"/>
        <v>46.740145888233364</v>
      </c>
      <c r="T732" s="21">
        <f t="shared" ca="1" si="1374"/>
        <v>46.740145888233364</v>
      </c>
      <c r="U732" s="21">
        <f t="shared" ca="1" si="1374"/>
        <v>46.740145888233364</v>
      </c>
      <c r="V732" s="21">
        <f t="shared" ca="1" si="1374"/>
        <v>46.740145888233364</v>
      </c>
      <c r="W732" s="613">
        <f ca="1">SUMPRODUCT(P$476:V$476,P732:V732)/W$476</f>
        <v>46.740145888233357</v>
      </c>
      <c r="Y732" s="21">
        <f t="shared" ref="Y732:AE732" ca="1" si="1375">60*$J$79/(1/($Y$135/$Y726+$Z$135/$Z726+$AA$135/$AA726+$AB$135/$AB726+$AC$135/$AC726+$AD$135/$AD726+$AE$135/$AE726))</f>
        <v>46.740145888233371</v>
      </c>
      <c r="Z732" s="21">
        <f t="shared" ca="1" si="1375"/>
        <v>46.740145888233371</v>
      </c>
      <c r="AA732" s="21">
        <f t="shared" ca="1" si="1375"/>
        <v>46.740145888233371</v>
      </c>
      <c r="AB732" s="21">
        <f t="shared" ca="1" si="1375"/>
        <v>46.740145888233371</v>
      </c>
      <c r="AC732" s="21">
        <f t="shared" ca="1" si="1375"/>
        <v>46.740145888233371</v>
      </c>
      <c r="AD732" s="21">
        <f t="shared" ca="1" si="1375"/>
        <v>46.740145888233371</v>
      </c>
      <c r="AE732" s="21">
        <f t="shared" ca="1" si="1375"/>
        <v>46.740145888233371</v>
      </c>
      <c r="AF732" s="613">
        <f ca="1">SUMPRODUCT(Y$476:AE$476,Y732:AE732)/AF$476</f>
        <v>46.740145888233371</v>
      </c>
      <c r="AH732" s="21">
        <f t="shared" ref="AH732:AN732" ca="1" si="1376">AH731</f>
        <v>27.657754343341445</v>
      </c>
      <c r="AI732" s="21">
        <f t="shared" ca="1" si="1376"/>
        <v>31.958447144086648</v>
      </c>
      <c r="AJ732" s="21">
        <f t="shared" ca="1" si="1376"/>
        <v>83.273672257564513</v>
      </c>
      <c r="AK732" s="21">
        <f t="shared" ca="1" si="1376"/>
        <v>70.240959563611298</v>
      </c>
      <c r="AL732" s="21">
        <f t="shared" ca="1" si="1376"/>
        <v>60.293048199331153</v>
      </c>
      <c r="AM732" s="21">
        <f t="shared" ca="1" si="1376"/>
        <v>92.448186046160359</v>
      </c>
      <c r="AN732" s="21">
        <f t="shared" ca="1" si="1376"/>
        <v>55.292269437089722</v>
      </c>
      <c r="AO732" s="613">
        <f ca="1">SUMPRODUCT(AH$476:AN$476,AH732:AN732)/AO$476</f>
        <v>68.02340538040221</v>
      </c>
      <c r="AX732" s="613"/>
      <c r="AZ732" s="21">
        <f t="shared" ref="AZ732:BF732" ca="1" si="1377">60*$M$79/(1/($AZ$135/$AZ726+$BA$135/$BA726+$BB$135/$BB726+$BC$135/$BC726+$BD$135/$BD726+$BE$135/$BE726+$BF$135/$BF726))</f>
        <v>34.626862006204306</v>
      </c>
      <c r="BA732" s="21">
        <f t="shared" ca="1" si="1377"/>
        <v>34.626862006204306</v>
      </c>
      <c r="BB732" s="21">
        <f t="shared" ca="1" si="1377"/>
        <v>34.626862006204306</v>
      </c>
      <c r="BC732" s="21">
        <f t="shared" ca="1" si="1377"/>
        <v>34.626862006204306</v>
      </c>
      <c r="BD732" s="21">
        <f t="shared" ca="1" si="1377"/>
        <v>34.626862006204306</v>
      </c>
      <c r="BE732" s="21">
        <f t="shared" ca="1" si="1377"/>
        <v>34.626862006204306</v>
      </c>
      <c r="BF732" s="21">
        <f t="shared" ca="1" si="1377"/>
        <v>34.626862006204306</v>
      </c>
      <c r="BG732" s="613">
        <f ca="1">SUMPRODUCT(AZ$476:BF$476,AZ732:BF732)/BG$476</f>
        <v>34.626862006204313</v>
      </c>
      <c r="BI732" s="21">
        <f t="shared" ref="BI732:BO732" ca="1" si="1378">60*$N$79/(1/($BI$135/$BI726+$BJ$135/$BJ726+$BK$135/$BK726+$BL$135/$BL726+$BM$135/$BM726+$BN$135/$BN726+$BO$135/$BO726))</f>
        <v>48.031310139289545</v>
      </c>
      <c r="BJ732" s="21">
        <f t="shared" ca="1" si="1378"/>
        <v>48.031310139289545</v>
      </c>
      <c r="BK732" s="21">
        <f t="shared" ca="1" si="1378"/>
        <v>48.031310139289545</v>
      </c>
      <c r="BL732" s="21">
        <f t="shared" ca="1" si="1378"/>
        <v>48.031310139289545</v>
      </c>
      <c r="BM732" s="21">
        <f t="shared" ca="1" si="1378"/>
        <v>48.031310139289545</v>
      </c>
      <c r="BN732" s="21">
        <f t="shared" ca="1" si="1378"/>
        <v>48.031310139289545</v>
      </c>
      <c r="BO732" s="21">
        <f t="shared" ca="1" si="1378"/>
        <v>48.031310139289545</v>
      </c>
      <c r="BP732" s="613">
        <f ca="1">SUMPRODUCT(BI$476:BO$476,BI732:BO732)/BP$476</f>
        <v>48.031310139289538</v>
      </c>
    </row>
    <row r="733" spans="2:68" ht="13.2" customHeight="1">
      <c r="B733" s="308" t="s">
        <v>2243</v>
      </c>
      <c r="C733" s="297"/>
      <c r="D733" s="297"/>
      <c r="E733" s="297"/>
      <c r="F733" s="297"/>
      <c r="G733" s="3741"/>
      <c r="H733" s="3742"/>
      <c r="I733" s="3742"/>
      <c r="J733" s="3742"/>
      <c r="K733" s="3742"/>
      <c r="L733" s="3777"/>
      <c r="O733" s="39">
        <f>ROW()</f>
        <v>733</v>
      </c>
      <c r="P733" s="21">
        <f t="shared" ref="P733:W733" ca="1" si="1379">SUM(P729:P732)</f>
        <v>74.931534357184162</v>
      </c>
      <c r="Q733" s="21">
        <f t="shared" ca="1" si="1379"/>
        <v>77.842722932207209</v>
      </c>
      <c r="R733" s="21">
        <f t="shared" ca="1" si="1379"/>
        <v>115.31315173033596</v>
      </c>
      <c r="S733" s="21">
        <f t="shared" ca="1" si="1379"/>
        <v>106.32772926467345</v>
      </c>
      <c r="T733" s="21">
        <f t="shared" ca="1" si="1379"/>
        <v>98.751929958489768</v>
      </c>
      <c r="U733" s="21">
        <f t="shared" ca="1" si="1379"/>
        <v>122.17034908872117</v>
      </c>
      <c r="V733" s="21">
        <f t="shared" ca="1" si="1379"/>
        <v>95.344591528266534</v>
      </c>
      <c r="W733" s="614">
        <f t="shared" ca="1" si="1379"/>
        <v>106.97802627256172</v>
      </c>
      <c r="Y733" s="21">
        <f t="shared" ref="Y733:AF733" ca="1" si="1380">SUM(Y729:Y732)</f>
        <v>74.931534357184162</v>
      </c>
      <c r="Z733" s="21">
        <f t="shared" ca="1" si="1380"/>
        <v>77.842722932207224</v>
      </c>
      <c r="AA733" s="21">
        <f t="shared" ca="1" si="1380"/>
        <v>115.31315173033597</v>
      </c>
      <c r="AB733" s="21">
        <f t="shared" ca="1" si="1380"/>
        <v>106.32772926467345</v>
      </c>
      <c r="AC733" s="21">
        <f t="shared" ca="1" si="1380"/>
        <v>98.751929958489782</v>
      </c>
      <c r="AD733" s="21">
        <f t="shared" ca="1" si="1380"/>
        <v>122.17034908872117</v>
      </c>
      <c r="AE733" s="21">
        <f t="shared" ca="1" si="1380"/>
        <v>95.344591528266562</v>
      </c>
      <c r="AF733" s="614">
        <f t="shared" ca="1" si="1380"/>
        <v>106.81608009589097</v>
      </c>
      <c r="AH733" s="21">
        <f t="shared" ref="AH733:AO733" ca="1" si="1381">SUM(AH729:AH732)</f>
        <v>64.367631353430852</v>
      </c>
      <c r="AI733" s="21">
        <f t="shared" ca="1" si="1381"/>
        <v>73.081810660375112</v>
      </c>
      <c r="AJ733" s="21">
        <f t="shared" ca="1" si="1381"/>
        <v>184.05857441687155</v>
      </c>
      <c r="AK733" s="21">
        <f t="shared" ca="1" si="1381"/>
        <v>157.23296384788256</v>
      </c>
      <c r="AL733" s="21">
        <f t="shared" ca="1" si="1381"/>
        <v>134.92086362386357</v>
      </c>
      <c r="AM733" s="21">
        <f t="shared" ca="1" si="1381"/>
        <v>204.30419036565911</v>
      </c>
      <c r="AN733" s="21">
        <f t="shared" ca="1" si="1381"/>
        <v>124.73118213890126</v>
      </c>
      <c r="AO733" s="614">
        <f t="shared" ca="1" si="1381"/>
        <v>151.58864784566197</v>
      </c>
      <c r="AQ733" s="21">
        <f t="shared" ref="AQ733:AX733" ca="1" si="1382">AQ729+AQ731</f>
        <v>12.56765830074025</v>
      </c>
      <c r="AR733" s="21">
        <f t="shared" ca="1" si="1382"/>
        <v>13.670058542856482</v>
      </c>
      <c r="AS733" s="21">
        <f t="shared" ca="1" si="1382"/>
        <v>31.429310047117323</v>
      </c>
      <c r="AT733" s="21">
        <f t="shared" ca="1" si="1382"/>
        <v>27.813375079401283</v>
      </c>
      <c r="AU733" s="21">
        <f t="shared" ca="1" si="1382"/>
        <v>23.845408679090909</v>
      </c>
      <c r="AV733" s="21">
        <f t="shared" ca="1" si="1382"/>
        <v>34.870474652995561</v>
      </c>
      <c r="AW733" s="21">
        <f t="shared" ca="1" si="1382"/>
        <v>22.526075075383158</v>
      </c>
      <c r="AX733" s="614">
        <f t="shared" ca="1" si="1382"/>
        <v>26.162568072461248</v>
      </c>
      <c r="AZ733" s="21">
        <f t="shared" ref="AZ733:BG733" ca="1" si="1383">SUM(AZ729:AZ732)</f>
        <v>71.69372539135496</v>
      </c>
      <c r="BA733" s="21">
        <f t="shared" ca="1" si="1383"/>
        <v>73.923546388317249</v>
      </c>
      <c r="BB733" s="21">
        <f t="shared" ca="1" si="1383"/>
        <v>107.09238409558495</v>
      </c>
      <c r="BC733" s="21">
        <f t="shared" ca="1" si="1383"/>
        <v>99.94296058886323</v>
      </c>
      <c r="BD733" s="21">
        <f t="shared" ca="1" si="1383"/>
        <v>92.764508611231435</v>
      </c>
      <c r="BE733" s="21">
        <f t="shared" ca="1" si="1383"/>
        <v>113.40165280071457</v>
      </c>
      <c r="BF733" s="21">
        <f t="shared" ca="1" si="1383"/>
        <v>90.118298786215078</v>
      </c>
      <c r="BG733" s="614">
        <f t="shared" ca="1" si="1383"/>
        <v>99.386731807899878</v>
      </c>
      <c r="BI733" s="21">
        <f t="shared" ref="BI733:BP733" ca="1" si="1384">SUM(BI729:BI732)</f>
        <v>82.583780860991396</v>
      </c>
      <c r="BJ733" s="21">
        <f t="shared" ca="1" si="1384"/>
        <v>85.600607906416116</v>
      </c>
      <c r="BK733" s="21">
        <f t="shared" ca="1" si="1384"/>
        <v>125.97223570807661</v>
      </c>
      <c r="BL733" s="21">
        <f t="shared" ca="1" si="1384"/>
        <v>116.56863171547901</v>
      </c>
      <c r="BM733" s="21">
        <f t="shared" ca="1" si="1384"/>
        <v>108.24331458374141</v>
      </c>
      <c r="BN733" s="21">
        <f t="shared" ca="1" si="1384"/>
        <v>133.44290570433444</v>
      </c>
      <c r="BO733" s="21">
        <f t="shared" ca="1" si="1384"/>
        <v>104.69978922712718</v>
      </c>
      <c r="BP733" s="614">
        <f t="shared" ca="1" si="1384"/>
        <v>116.54970472650197</v>
      </c>
    </row>
    <row r="734" spans="2:68" ht="13.2" customHeight="1">
      <c r="B734" s="308"/>
      <c r="C734" s="297"/>
      <c r="D734" s="297"/>
      <c r="E734" s="297"/>
      <c r="F734" s="297"/>
      <c r="G734" s="280"/>
      <c r="O734" s="39">
        <f>ROW()</f>
        <v>734</v>
      </c>
      <c r="P734" s="21"/>
      <c r="Q734" s="21"/>
      <c r="R734" s="21"/>
      <c r="S734" s="21"/>
      <c r="T734" s="21"/>
      <c r="U734" s="21"/>
      <c r="V734" s="21"/>
      <c r="W734" s="634"/>
      <c r="Y734" s="21"/>
      <c r="Z734" s="21"/>
      <c r="AA734" s="21"/>
      <c r="AB734" s="21"/>
      <c r="AC734" s="21"/>
      <c r="AD734" s="21"/>
      <c r="AE734" s="21"/>
      <c r="AF734" s="634"/>
      <c r="AH734" s="21"/>
      <c r="AI734" s="21"/>
      <c r="AJ734" s="21"/>
      <c r="AK734" s="21"/>
      <c r="AL734" s="21"/>
      <c r="AM734" s="21"/>
      <c r="AN734" s="21"/>
      <c r="AO734" s="634"/>
      <c r="AQ734" s="21"/>
      <c r="AR734" s="21"/>
      <c r="AS734" s="21"/>
      <c r="AT734" s="21"/>
      <c r="AU734" s="21"/>
      <c r="AV734" s="21"/>
      <c r="AW734" s="21"/>
      <c r="AX734" s="634"/>
      <c r="AZ734" s="21"/>
      <c r="BA734" s="21"/>
      <c r="BB734" s="21"/>
      <c r="BC734" s="21"/>
      <c r="BD734" s="21"/>
      <c r="BE734" s="21"/>
      <c r="BF734" s="21"/>
      <c r="BG734" s="634"/>
      <c r="BI734" s="21"/>
      <c r="BJ734" s="21"/>
      <c r="BK734" s="21"/>
      <c r="BL734" s="21"/>
      <c r="BM734" s="21"/>
      <c r="BN734" s="21"/>
      <c r="BO734" s="21"/>
      <c r="BP734" s="634"/>
    </row>
    <row r="735" spans="2:68" ht="13.2" customHeight="1">
      <c r="B735" s="308" t="s">
        <v>1345</v>
      </c>
      <c r="G735" s="4285" t="s">
        <v>2351</v>
      </c>
      <c r="H735" s="3970"/>
      <c r="I735" s="3970"/>
      <c r="J735" s="3970"/>
      <c r="K735" s="3970"/>
      <c r="L735" s="3971"/>
      <c r="O735" s="39">
        <f>ROW()</f>
        <v>735</v>
      </c>
      <c r="P735" s="117">
        <f t="shared" ref="P735:W735" ca="1" si="1385">P733/P685</f>
        <v>0.9999741288732813</v>
      </c>
      <c r="Q735" s="117">
        <f t="shared" ca="1" si="1385"/>
        <v>0.99995145799203877</v>
      </c>
      <c r="R735" s="117">
        <f t="shared" ca="1" si="1385"/>
        <v>0.99996364212879008</v>
      </c>
      <c r="S735" s="117">
        <f t="shared" ca="1" si="1385"/>
        <v>1.0000560665801956</v>
      </c>
      <c r="T735" s="117">
        <f t="shared" ca="1" si="1385"/>
        <v>1.0000686745514122</v>
      </c>
      <c r="U735" s="117">
        <f t="shared" ca="1" si="1385"/>
        <v>0.99988349563452472</v>
      </c>
      <c r="V735" s="117">
        <f t="shared" ca="1" si="1385"/>
        <v>1.0000837186585227</v>
      </c>
      <c r="W735" s="117">
        <f t="shared" ca="1" si="1385"/>
        <v>0.9999709979726048</v>
      </c>
      <c r="Y735" s="117">
        <f t="shared" ref="Y735:AF735" ca="1" si="1386">Y733/Y685</f>
        <v>0.9999741288732813</v>
      </c>
      <c r="Z735" s="117">
        <f t="shared" ca="1" si="1386"/>
        <v>0.99995145799203888</v>
      </c>
      <c r="AA735" s="117">
        <f t="shared" ca="1" si="1386"/>
        <v>0.99996364212879019</v>
      </c>
      <c r="AB735" s="117">
        <f t="shared" ca="1" si="1386"/>
        <v>1.0000560665801956</v>
      </c>
      <c r="AC735" s="117">
        <f t="shared" ca="1" si="1386"/>
        <v>1.0000686745514122</v>
      </c>
      <c r="AD735" s="117">
        <f t="shared" ca="1" si="1386"/>
        <v>0.99988349563452472</v>
      </c>
      <c r="AE735" s="117">
        <f t="shared" ca="1" si="1386"/>
        <v>1.000083718658523</v>
      </c>
      <c r="AF735" s="117">
        <f t="shared" ca="1" si="1386"/>
        <v>0.99996518151922942</v>
      </c>
      <c r="AH735" s="117">
        <f t="shared" ref="AH735:AO735" ca="1" si="1387">AH733/AH685</f>
        <v>0.99999297224771333</v>
      </c>
      <c r="AI735" s="117">
        <f t="shared" ca="1" si="1387"/>
        <v>0.99991874667668112</v>
      </c>
      <c r="AJ735" s="117">
        <f t="shared" ca="1" si="1387"/>
        <v>0.99997312498847324</v>
      </c>
      <c r="AK735" s="117">
        <f t="shared" ca="1" si="1387"/>
        <v>1.0001617108946914</v>
      </c>
      <c r="AL735" s="117">
        <f t="shared" ca="1" si="1387"/>
        <v>1.0002003846811844</v>
      </c>
      <c r="AM735" s="117">
        <f t="shared" ca="1" si="1387"/>
        <v>0.99982633117247177</v>
      </c>
      <c r="AN735" s="117">
        <f t="shared" ca="1" si="1387"/>
        <v>1.000244229495874</v>
      </c>
      <c r="AO735" s="117">
        <f t="shared" ca="1" si="1387"/>
        <v>0.99998125529942983</v>
      </c>
      <c r="AQ735" s="117">
        <f t="shared" ref="AQ735:AX735" ca="1" si="1388">AQ733/AQ685</f>
        <v>0.99998472464424371</v>
      </c>
      <c r="AR735" s="117">
        <f t="shared" ca="1" si="1388"/>
        <v>0.999930109586738</v>
      </c>
      <c r="AS735" s="117">
        <f t="shared" ca="1" si="1388"/>
        <v>0.99975084100832867</v>
      </c>
      <c r="AT735" s="117">
        <f t="shared" ca="1" si="1388"/>
        <v>0.99985933573655728</v>
      </c>
      <c r="AU735" s="117">
        <f t="shared" ca="1" si="1388"/>
        <v>0.99995589442864408</v>
      </c>
      <c r="AV735" s="117">
        <f t="shared" ca="1" si="1388"/>
        <v>0.99970792282918808</v>
      </c>
      <c r="AW735" s="117">
        <f t="shared" ca="1" si="1388"/>
        <v>0.99999589928053378</v>
      </c>
      <c r="AX735" s="117">
        <f t="shared" ca="1" si="1388"/>
        <v>0.99982424289935246</v>
      </c>
      <c r="AZ735" s="117">
        <f t="shared" ref="AZ735:BG735" ca="1" si="1389">AZ733/AZ685</f>
        <v>0.99989867073832506</v>
      </c>
      <c r="BA735" s="117">
        <f t="shared" ca="1" si="1389"/>
        <v>0.9998815357380727</v>
      </c>
      <c r="BB735" s="117">
        <f t="shared" ca="1" si="1389"/>
        <v>0.99983673643034587</v>
      </c>
      <c r="BC735" s="117">
        <f t="shared" ca="1" si="1389"/>
        <v>0.99990379379206806</v>
      </c>
      <c r="BD735" s="117">
        <f t="shared" ca="1" si="1389"/>
        <v>0.99993752870741959</v>
      </c>
      <c r="BE735" s="117">
        <f t="shared" ca="1" si="1389"/>
        <v>0.99979398782828977</v>
      </c>
      <c r="BF735" s="117">
        <f t="shared" ca="1" si="1389"/>
        <v>0.99995290583267771</v>
      </c>
      <c r="BG735" s="117">
        <f t="shared" ca="1" si="1389"/>
        <v>0.99985971000325058</v>
      </c>
      <c r="BI735" s="117">
        <f t="shared" ref="BI735:BP735" ca="1" si="1390">BI733/BI685</f>
        <v>0.99995152891074079</v>
      </c>
      <c r="BJ735" s="117">
        <f t="shared" ca="1" si="1390"/>
        <v>0.99993062579886027</v>
      </c>
      <c r="BK735" s="117">
        <f t="shared" ca="1" si="1390"/>
        <v>0.99992642043466118</v>
      </c>
      <c r="BL735" s="117">
        <f t="shared" ca="1" si="1390"/>
        <v>1.0000110231256196</v>
      </c>
      <c r="BM735" s="117">
        <f t="shared" ca="1" si="1390"/>
        <v>1.0000298981303204</v>
      </c>
      <c r="BN735" s="117">
        <f t="shared" ca="1" si="1390"/>
        <v>0.99985725317134932</v>
      </c>
      <c r="BO735" s="117">
        <f t="shared" ca="1" si="1390"/>
        <v>1.000044872350097</v>
      </c>
      <c r="BP735" s="117">
        <f t="shared" ca="1" si="1390"/>
        <v>0.99993618586905342</v>
      </c>
    </row>
    <row r="736" spans="2:68" ht="13.2" customHeight="1">
      <c r="B736" s="280"/>
      <c r="G736" s="280"/>
      <c r="O736" s="39">
        <f>ROW()</f>
        <v>736</v>
      </c>
      <c r="P736" s="117"/>
      <c r="Q736" s="117"/>
      <c r="R736" s="117"/>
      <c r="S736" s="117"/>
      <c r="T736" s="117"/>
      <c r="U736" s="117"/>
      <c r="V736" s="117"/>
      <c r="W736" s="117"/>
      <c r="Y736" s="117"/>
      <c r="Z736" s="117"/>
      <c r="AA736" s="117"/>
      <c r="AB736" s="117"/>
      <c r="AC736" s="117"/>
      <c r="AD736" s="117"/>
      <c r="AE736" s="117"/>
      <c r="AF736" s="117"/>
      <c r="AH736" s="117"/>
      <c r="AI736" s="117"/>
      <c r="AJ736" s="117"/>
      <c r="AK736" s="117"/>
      <c r="AL736" s="117"/>
      <c r="AM736" s="117"/>
      <c r="AN736" s="117"/>
      <c r="AO736" s="117"/>
      <c r="AQ736" s="117"/>
      <c r="AR736" s="117"/>
      <c r="AS736" s="117"/>
      <c r="AT736" s="117"/>
      <c r="AU736" s="117"/>
      <c r="AV736" s="117"/>
      <c r="AW736" s="117"/>
      <c r="AX736" s="117"/>
      <c r="AZ736" s="117"/>
      <c r="BA736" s="117"/>
      <c r="BB736" s="117"/>
      <c r="BC736" s="117"/>
      <c r="BD736" s="117"/>
      <c r="BE736" s="117"/>
      <c r="BF736" s="117"/>
      <c r="BG736" s="117"/>
      <c r="BI736" s="117"/>
      <c r="BJ736" s="117"/>
      <c r="BK736" s="117"/>
      <c r="BL736" s="117"/>
      <c r="BM736" s="117"/>
      <c r="BN736" s="117"/>
      <c r="BO736" s="117"/>
      <c r="BP736" s="117"/>
    </row>
    <row r="737" spans="2:68" ht="13.2" customHeight="1">
      <c r="B737" s="308" t="s">
        <v>1571</v>
      </c>
      <c r="G737" s="280"/>
      <c r="O737" s="39">
        <f>ROW()</f>
        <v>737</v>
      </c>
      <c r="P737" s="117"/>
      <c r="Q737" s="117"/>
      <c r="R737" s="117"/>
      <c r="S737" s="117"/>
      <c r="T737" s="117"/>
      <c r="U737" s="117"/>
      <c r="V737" s="117"/>
      <c r="W737" s="117"/>
      <c r="Y737" s="117"/>
      <c r="Z737" s="117"/>
      <c r="AA737" s="117"/>
      <c r="AB737" s="117"/>
      <c r="AC737" s="117"/>
      <c r="AD737" s="117"/>
      <c r="AE737" s="117"/>
      <c r="AF737" s="117"/>
      <c r="AH737" s="117"/>
      <c r="AI737" s="117"/>
      <c r="AJ737" s="117"/>
      <c r="AK737" s="117"/>
      <c r="AL737" s="117"/>
      <c r="AM737" s="117"/>
      <c r="AN737" s="117"/>
      <c r="AO737" s="117"/>
      <c r="AQ737" s="117"/>
      <c r="AR737" s="117"/>
      <c r="AS737" s="117"/>
      <c r="AT737" s="117"/>
      <c r="AU737" s="117"/>
      <c r="AV737" s="117"/>
      <c r="AW737" s="117"/>
      <c r="AX737" s="117"/>
      <c r="AZ737" s="117"/>
      <c r="BA737" s="117"/>
      <c r="BB737" s="117"/>
      <c r="BC737" s="117"/>
      <c r="BD737" s="117"/>
      <c r="BE737" s="117"/>
      <c r="BF737" s="117"/>
      <c r="BG737" s="117"/>
      <c r="BI737" s="117"/>
      <c r="BJ737" s="117"/>
      <c r="BK737" s="117"/>
      <c r="BL737" s="117"/>
      <c r="BM737" s="117"/>
      <c r="BN737" s="117"/>
      <c r="BO737" s="117"/>
      <c r="BP737" s="117"/>
    </row>
    <row r="738" spans="2:68" ht="13.2" customHeight="1">
      <c r="B738" s="280" t="s">
        <v>2533</v>
      </c>
      <c r="G738" s="21">
        <f t="shared" ref="G738:M738" ca="1" si="1391">AVERAGE(G$725,G$677,G$629,G$581,G$533,G$481,G$403)</f>
        <v>21.203538942327306</v>
      </c>
      <c r="H738" s="21">
        <f t="shared" ca="1" si="1391"/>
        <v>20.963189316018973</v>
      </c>
      <c r="I738" s="21">
        <f t="shared" ca="1" si="1391"/>
        <v>10.977124000708212</v>
      </c>
      <c r="J738" s="21">
        <f t="shared" ca="1" si="1391"/>
        <v>11.471854294919817</v>
      </c>
      <c r="K738" s="21">
        <f t="shared" ca="1" si="1391"/>
        <v>13.374208674249331</v>
      </c>
      <c r="L738" s="21">
        <f t="shared" ca="1" si="1391"/>
        <v>9.8600499147145193</v>
      </c>
      <c r="M738" s="21">
        <f t="shared" ca="1" si="1391"/>
        <v>13.556543406311556</v>
      </c>
      <c r="O738" s="39">
        <f>ROW()</f>
        <v>738</v>
      </c>
      <c r="P738" s="21">
        <f t="shared" ref="P738:V739" ca="1" si="1392">G738</f>
        <v>21.203538942327306</v>
      </c>
      <c r="Q738" s="21">
        <f t="shared" ca="1" si="1392"/>
        <v>20.963189316018973</v>
      </c>
      <c r="R738" s="21">
        <f t="shared" ca="1" si="1392"/>
        <v>10.977124000708212</v>
      </c>
      <c r="S738" s="21">
        <f t="shared" ca="1" si="1392"/>
        <v>11.471854294919817</v>
      </c>
      <c r="T738" s="21">
        <f t="shared" ca="1" si="1392"/>
        <v>13.374208674249331</v>
      </c>
      <c r="U738" s="21">
        <f t="shared" ca="1" si="1392"/>
        <v>9.8600499147145193</v>
      </c>
      <c r="V738" s="21">
        <f t="shared" ca="1" si="1392"/>
        <v>13.556543406311556</v>
      </c>
      <c r="Y738" s="21">
        <f t="shared" ref="Y738:AE739" ca="1" si="1393">G738</f>
        <v>21.203538942327306</v>
      </c>
      <c r="Z738" s="21">
        <f t="shared" ca="1" si="1393"/>
        <v>20.963189316018973</v>
      </c>
      <c r="AA738" s="21">
        <f t="shared" ca="1" si="1393"/>
        <v>10.977124000708212</v>
      </c>
      <c r="AB738" s="21">
        <f t="shared" ca="1" si="1393"/>
        <v>11.471854294919817</v>
      </c>
      <c r="AC738" s="21">
        <f t="shared" ca="1" si="1393"/>
        <v>13.374208674249331</v>
      </c>
      <c r="AD738" s="21">
        <f t="shared" ca="1" si="1393"/>
        <v>9.8600499147145193</v>
      </c>
      <c r="AE738" s="21">
        <f t="shared" ca="1" si="1393"/>
        <v>13.556543406311556</v>
      </c>
      <c r="AH738" s="21">
        <f t="shared" ref="AH738:AN739" ca="1" si="1394">P738</f>
        <v>21.203538942327306</v>
      </c>
      <c r="AI738" s="21">
        <f t="shared" ca="1" si="1394"/>
        <v>20.963189316018973</v>
      </c>
      <c r="AJ738" s="21">
        <f t="shared" ca="1" si="1394"/>
        <v>10.977124000708212</v>
      </c>
      <c r="AK738" s="21">
        <f t="shared" ca="1" si="1394"/>
        <v>11.471854294919817</v>
      </c>
      <c r="AL738" s="21">
        <f t="shared" ca="1" si="1394"/>
        <v>13.374208674249331</v>
      </c>
      <c r="AM738" s="21">
        <f t="shared" ca="1" si="1394"/>
        <v>9.8600499147145193</v>
      </c>
      <c r="AN738" s="21">
        <f t="shared" ca="1" si="1394"/>
        <v>13.556543406311556</v>
      </c>
      <c r="AQ738" s="21">
        <f t="shared" ref="AQ738:AW738" ca="1" si="1395">G738*$AU$181</f>
        <v>20.143361995210938</v>
      </c>
      <c r="AR738" s="21">
        <f t="shared" ca="1" si="1395"/>
        <v>19.915029850218023</v>
      </c>
      <c r="AS738" s="21">
        <f t="shared" ca="1" si="1395"/>
        <v>10.428267800672801</v>
      </c>
      <c r="AT738" s="21">
        <f t="shared" ca="1" si="1395"/>
        <v>10.898261580173825</v>
      </c>
      <c r="AU738" s="21">
        <f t="shared" ca="1" si="1395"/>
        <v>12.705498240536864</v>
      </c>
      <c r="AV738" s="21">
        <f t="shared" ca="1" si="1395"/>
        <v>9.3670474189787925</v>
      </c>
      <c r="AW738" s="21">
        <f t="shared" ca="1" si="1395"/>
        <v>12.878716235995977</v>
      </c>
      <c r="AZ738" s="21">
        <f t="shared" ref="AZ738:BF739" ca="1" si="1396">G738</f>
        <v>21.203538942327306</v>
      </c>
      <c r="BA738" s="21">
        <f t="shared" ca="1" si="1396"/>
        <v>20.963189316018973</v>
      </c>
      <c r="BB738" s="21">
        <f t="shared" ca="1" si="1396"/>
        <v>10.977124000708212</v>
      </c>
      <c r="BC738" s="21">
        <f t="shared" ca="1" si="1396"/>
        <v>11.471854294919817</v>
      </c>
      <c r="BD738" s="21">
        <f t="shared" ca="1" si="1396"/>
        <v>13.374208674249331</v>
      </c>
      <c r="BE738" s="21">
        <f t="shared" ca="1" si="1396"/>
        <v>9.8600499147145193</v>
      </c>
      <c r="BF738" s="21">
        <f t="shared" ca="1" si="1396"/>
        <v>13.556543406311556</v>
      </c>
      <c r="BG738" s="21"/>
      <c r="BI738" s="21">
        <f t="shared" ref="BI738:BO739" ca="1" si="1397">G738</f>
        <v>21.203538942327306</v>
      </c>
      <c r="BJ738" s="21">
        <f t="shared" ca="1" si="1397"/>
        <v>20.963189316018973</v>
      </c>
      <c r="BK738" s="21">
        <f t="shared" ca="1" si="1397"/>
        <v>10.977124000708212</v>
      </c>
      <c r="BL738" s="21">
        <f t="shared" ca="1" si="1397"/>
        <v>11.471854294919817</v>
      </c>
      <c r="BM738" s="21">
        <f t="shared" ca="1" si="1397"/>
        <v>13.374208674249331</v>
      </c>
      <c r="BN738" s="21">
        <f t="shared" ca="1" si="1397"/>
        <v>9.8600499147145193</v>
      </c>
      <c r="BO738" s="21">
        <f t="shared" ca="1" si="1397"/>
        <v>13.556543406311556</v>
      </c>
      <c r="BP738" s="21"/>
    </row>
    <row r="739" spans="2:68" ht="13.2" customHeight="1">
      <c r="B739" s="280" t="s">
        <v>2534</v>
      </c>
      <c r="G739" s="21">
        <f t="shared" ref="G739:M739" ca="1" si="1398">AVERAGE(G$726,G$678,G$630,G$582,G$534,G$482,G$427)</f>
        <v>54.994651483342651</v>
      </c>
      <c r="H739" s="21">
        <f t="shared" ca="1" si="1398"/>
        <v>47.607811788085698</v>
      </c>
      <c r="I739" s="21">
        <f t="shared" ca="1" si="1398"/>
        <v>18.263818707626736</v>
      </c>
      <c r="J739" s="21">
        <f t="shared" ca="1" si="1398"/>
        <v>21.644469480476626</v>
      </c>
      <c r="K739" s="21">
        <f t="shared" ca="1" si="1398"/>
        <v>25.213249337634888</v>
      </c>
      <c r="L739" s="21">
        <f t="shared" ca="1" si="1398"/>
        <v>16.455349418944845</v>
      </c>
      <c r="M739" s="21">
        <f t="shared" ca="1" si="1398"/>
        <v>27.489743604476804</v>
      </c>
      <c r="O739" s="39">
        <f>ROW()</f>
        <v>739</v>
      </c>
      <c r="P739" s="21">
        <f t="shared" ca="1" si="1392"/>
        <v>54.994651483342651</v>
      </c>
      <c r="Q739" s="21">
        <f t="shared" ca="1" si="1392"/>
        <v>47.607811788085698</v>
      </c>
      <c r="R739" s="21">
        <f t="shared" ca="1" si="1392"/>
        <v>18.263818707626736</v>
      </c>
      <c r="S739" s="21">
        <f t="shared" ca="1" si="1392"/>
        <v>21.644469480476626</v>
      </c>
      <c r="T739" s="21">
        <f t="shared" ca="1" si="1392"/>
        <v>25.213249337634888</v>
      </c>
      <c r="U739" s="21">
        <f t="shared" ca="1" si="1392"/>
        <v>16.455349418944845</v>
      </c>
      <c r="V739" s="21">
        <f t="shared" ca="1" si="1392"/>
        <v>27.489743604476804</v>
      </c>
      <c r="Y739" s="21">
        <f t="shared" ca="1" si="1393"/>
        <v>54.994651483342651</v>
      </c>
      <c r="Z739" s="21">
        <f t="shared" ca="1" si="1393"/>
        <v>47.607811788085698</v>
      </c>
      <c r="AA739" s="21">
        <f t="shared" ca="1" si="1393"/>
        <v>18.263818707626736</v>
      </c>
      <c r="AB739" s="21">
        <f t="shared" ca="1" si="1393"/>
        <v>21.644469480476626</v>
      </c>
      <c r="AC739" s="21">
        <f t="shared" ca="1" si="1393"/>
        <v>25.213249337634888</v>
      </c>
      <c r="AD739" s="21">
        <f t="shared" ca="1" si="1393"/>
        <v>16.455349418944845</v>
      </c>
      <c r="AE739" s="21">
        <f t="shared" ca="1" si="1393"/>
        <v>27.489743604476804</v>
      </c>
      <c r="AH739" s="21">
        <f t="shared" ca="1" si="1394"/>
        <v>54.994651483342651</v>
      </c>
      <c r="AI739" s="21">
        <f t="shared" ca="1" si="1394"/>
        <v>47.607811788085698</v>
      </c>
      <c r="AJ739" s="21">
        <f t="shared" ca="1" si="1394"/>
        <v>18.263818707626736</v>
      </c>
      <c r="AK739" s="21">
        <f t="shared" ca="1" si="1394"/>
        <v>21.644469480476626</v>
      </c>
      <c r="AL739" s="21">
        <f t="shared" ca="1" si="1394"/>
        <v>25.213249337634888</v>
      </c>
      <c r="AM739" s="21">
        <f t="shared" ca="1" si="1394"/>
        <v>16.455349418944845</v>
      </c>
      <c r="AN739" s="21">
        <f t="shared" ca="1" si="1394"/>
        <v>27.489743604476804</v>
      </c>
      <c r="AQ739" s="21">
        <f t="shared" ref="AQ739:AW739" ca="1" si="1399">G739*$AV$181</f>
        <v>54.444704968509221</v>
      </c>
      <c r="AR739" s="21">
        <f t="shared" ca="1" si="1399"/>
        <v>47.131733670204838</v>
      </c>
      <c r="AS739" s="21">
        <f t="shared" ca="1" si="1399"/>
        <v>18.081180520550468</v>
      </c>
      <c r="AT739" s="21">
        <f t="shared" ca="1" si="1399"/>
        <v>21.428024785671859</v>
      </c>
      <c r="AU739" s="21">
        <f t="shared" ca="1" si="1399"/>
        <v>24.961116844258541</v>
      </c>
      <c r="AV739" s="21">
        <f t="shared" ca="1" si="1399"/>
        <v>16.290795924755397</v>
      </c>
      <c r="AW739" s="21">
        <f t="shared" ca="1" si="1399"/>
        <v>27.214846168432036</v>
      </c>
      <c r="AZ739" s="21">
        <f t="shared" ca="1" si="1396"/>
        <v>54.994651483342651</v>
      </c>
      <c r="BA739" s="21">
        <f t="shared" ca="1" si="1396"/>
        <v>47.607811788085698</v>
      </c>
      <c r="BB739" s="21">
        <f t="shared" ca="1" si="1396"/>
        <v>18.263818707626736</v>
      </c>
      <c r="BC739" s="21">
        <f t="shared" ca="1" si="1396"/>
        <v>21.644469480476626</v>
      </c>
      <c r="BD739" s="21">
        <f t="shared" ca="1" si="1396"/>
        <v>25.213249337634888</v>
      </c>
      <c r="BE739" s="21">
        <f t="shared" ca="1" si="1396"/>
        <v>16.455349418944845</v>
      </c>
      <c r="BF739" s="21">
        <f t="shared" ca="1" si="1396"/>
        <v>27.489743604476804</v>
      </c>
      <c r="BG739" s="21"/>
      <c r="BI739" s="21">
        <f t="shared" ca="1" si="1397"/>
        <v>54.994651483342651</v>
      </c>
      <c r="BJ739" s="21">
        <f t="shared" ca="1" si="1397"/>
        <v>47.607811788085698</v>
      </c>
      <c r="BK739" s="21">
        <f t="shared" ca="1" si="1397"/>
        <v>18.263818707626736</v>
      </c>
      <c r="BL739" s="21">
        <f t="shared" ca="1" si="1397"/>
        <v>21.644469480476626</v>
      </c>
      <c r="BM739" s="21">
        <f t="shared" ca="1" si="1397"/>
        <v>25.213249337634888</v>
      </c>
      <c r="BN739" s="21">
        <f t="shared" ca="1" si="1397"/>
        <v>16.455349418944845</v>
      </c>
      <c r="BO739" s="21">
        <f t="shared" ca="1" si="1397"/>
        <v>27.489743604476804</v>
      </c>
      <c r="BP739" s="21"/>
    </row>
    <row r="740" spans="2:68" ht="13.2" customHeight="1">
      <c r="B740" s="280"/>
      <c r="G740" s="280"/>
      <c r="O740" s="39">
        <f>ROW()</f>
        <v>740</v>
      </c>
      <c r="P740" s="117"/>
      <c r="Q740" s="117"/>
      <c r="R740" s="117"/>
      <c r="S740" s="117"/>
      <c r="T740" s="117"/>
      <c r="U740" s="117"/>
      <c r="V740" s="117"/>
      <c r="W740" s="117"/>
      <c r="Y740" s="117"/>
      <c r="Z740" s="117"/>
      <c r="AA740" s="117"/>
      <c r="AB740" s="117"/>
      <c r="AC740" s="117"/>
      <c r="AD740" s="117"/>
      <c r="AE740" s="117"/>
      <c r="AF740" s="117"/>
      <c r="AH740" s="117"/>
      <c r="AI740" s="117"/>
      <c r="AJ740" s="117"/>
      <c r="AK740" s="117"/>
      <c r="AL740" s="117"/>
      <c r="AM740" s="117"/>
      <c r="AN740" s="117"/>
      <c r="AO740" s="117"/>
      <c r="AQ740" s="117"/>
      <c r="AR740" s="117"/>
      <c r="AS740" s="117"/>
      <c r="AT740" s="117"/>
      <c r="AU740" s="117"/>
      <c r="AV740" s="117"/>
      <c r="AW740" s="117"/>
      <c r="AX740" s="117"/>
      <c r="AZ740" s="117"/>
      <c r="BA740" s="117"/>
      <c r="BB740" s="117"/>
      <c r="BC740" s="117"/>
      <c r="BD740" s="117"/>
      <c r="BE740" s="117"/>
      <c r="BF740" s="117"/>
      <c r="BG740" s="117"/>
      <c r="BI740" s="117"/>
      <c r="BJ740" s="117"/>
      <c r="BK740" s="117"/>
      <c r="BL740" s="117"/>
      <c r="BM740" s="117"/>
      <c r="BN740" s="117"/>
      <c r="BO740" s="117"/>
      <c r="BP740" s="117"/>
    </row>
    <row r="741" spans="2:68" ht="13.2" customHeight="1">
      <c r="B741" s="6" t="s">
        <v>1643</v>
      </c>
      <c r="G741" s="880" t="s">
        <v>1472</v>
      </c>
      <c r="H741" s="880" t="s">
        <v>1087</v>
      </c>
      <c r="I741" s="880" t="s">
        <v>2445</v>
      </c>
      <c r="J741" s="880" t="s">
        <v>1088</v>
      </c>
      <c r="K741" s="880" t="s">
        <v>1089</v>
      </c>
      <c r="L741" s="880" t="s">
        <v>1151</v>
      </c>
      <c r="M741" s="880" t="s">
        <v>1090</v>
      </c>
      <c r="N741" s="880" t="s">
        <v>2684</v>
      </c>
      <c r="O741" s="39">
        <f>ROW()</f>
        <v>741</v>
      </c>
      <c r="P741" s="117">
        <f ca="1">P735^Elasticities!$G$52</f>
        <v>1.0000258717960513</v>
      </c>
      <c r="Q741" s="117">
        <f ca="1">Q735^Elasticities!$G$52</f>
        <v>1.000048544364402</v>
      </c>
      <c r="R741" s="117">
        <f ca="1">R735^Elasticities!$G$52</f>
        <v>1.0000363591931527</v>
      </c>
      <c r="S741" s="117">
        <f ca="1">S735^Elasticities!$G$52</f>
        <v>0.99994393656308955</v>
      </c>
      <c r="T741" s="117">
        <f ca="1">T735^Elasticities!$G$52</f>
        <v>0.9999313301644579</v>
      </c>
      <c r="U741" s="117">
        <f ca="1">U735^Elasticities!$G$52</f>
        <v>1.000116517940324</v>
      </c>
      <c r="V741" s="117">
        <f ca="1">V735^Elasticities!$G$52</f>
        <v>0.99991628834970436</v>
      </c>
      <c r="Y741" s="117">
        <f ca="1">Y735^Elasticities!$H$52</f>
        <v>1.0000258717960513</v>
      </c>
      <c r="Z741" s="117">
        <f ca="1">Z735^Elasticities!$H$52</f>
        <v>1.000048544364402</v>
      </c>
      <c r="AA741" s="117">
        <f ca="1">AA735^Elasticities!$H$52</f>
        <v>1.0000363591931527</v>
      </c>
      <c r="AB741" s="117">
        <f ca="1">AB735^Elasticities!$H$52</f>
        <v>0.99994393656308955</v>
      </c>
      <c r="AC741" s="117">
        <f ca="1">AC735^Elasticities!$H$52</f>
        <v>0.9999313301644579</v>
      </c>
      <c r="AD741" s="117">
        <f ca="1">AD735^Elasticities!$H$52</f>
        <v>1.000116517940324</v>
      </c>
      <c r="AE741" s="117">
        <f ca="1">AE735^Elasticities!$H$52</f>
        <v>0.99991628834970414</v>
      </c>
      <c r="AH741" s="638">
        <f ca="1">AH735^Elasticities!$I$52</f>
        <v>1.0000070278016764</v>
      </c>
      <c r="AI741" s="117">
        <f ca="1">AI735^Elasticities!$I$52</f>
        <v>1.0000812599259579</v>
      </c>
      <c r="AJ741" s="117">
        <f ca="1">AJ735^Elasticities!$I$52</f>
        <v>1.0000268757338124</v>
      </c>
      <c r="AK741" s="117">
        <f ca="1">AK735^Elasticities!$I$52</f>
        <v>0.99983831525149391</v>
      </c>
      <c r="AL741" s="117">
        <f ca="1">AL735^Elasticities!$I$52</f>
        <v>0.99979965546479133</v>
      </c>
      <c r="AM741" s="117">
        <f ca="1">AM735^Elasticities!$I$52</f>
        <v>1.0001736989936287</v>
      </c>
      <c r="AN741" s="117">
        <f ca="1">AN735^Elasticities!$I$52</f>
        <v>0.99975583013760838</v>
      </c>
      <c r="AQ741" s="117">
        <f ca="1">AQ735^Elasticities!$G$54</f>
        <v>1.0000122204526096</v>
      </c>
      <c r="AR741" s="117">
        <f ca="1">AR735^Elasticities!$G$54</f>
        <v>1.0000559158478013</v>
      </c>
      <c r="AS741" s="117">
        <f ca="1">AS735^Elasticities!$G$54</f>
        <v>1.0001993719014801</v>
      </c>
      <c r="AT741" s="117">
        <f ca="1">AT735^Elasticities!$G$54</f>
        <v>1.000112545658858</v>
      </c>
      <c r="AU741" s="117">
        <f ca="1">AU735^Elasticities!$G$54</f>
        <v>1.0000352858577595</v>
      </c>
      <c r="AV741" s="117">
        <f ca="1">AV735^Elasticities!$G$54</f>
        <v>1.0002337231759313</v>
      </c>
      <c r="AW741" s="117">
        <f ca="1">AW735^Elasticities!$G$54</f>
        <v>1.0000032805876804</v>
      </c>
      <c r="AZ741" s="117">
        <f ca="1">AZ735^(Elasticities!$J$64*Elasticities!$G$52)</f>
        <v>1.0000337787024314</v>
      </c>
      <c r="BA741" s="117">
        <f ca="1">BA735^(Elasticities!$J$64*Elasticities!$G$52)</f>
        <v>1.0000394912062145</v>
      </c>
      <c r="BB741" s="117">
        <f ca="1">BB735^(Elasticities!$J$64*Elasticities!$G$52)</f>
        <v>1.0000544271139686</v>
      </c>
      <c r="BC741" s="117">
        <f ca="1">BC735^(Elasticities!$J$64*Elasticities!$G$52)</f>
        <v>1.0000320707929389</v>
      </c>
      <c r="BD741" s="117">
        <f ca="1">BD735^(Elasticities!$J$64*Elasticities!$G$52)</f>
        <v>1.0000208246314939</v>
      </c>
      <c r="BE741" s="117">
        <f ca="1">BE735^(Elasticities!$J$64*Elasticities!$G$52)</f>
        <v>1.0000686801567515</v>
      </c>
      <c r="BF741" s="117">
        <f ca="1">BF735^(Elasticities!$J$64*Elasticities!$G$52)</f>
        <v>1.0000156985486501</v>
      </c>
      <c r="BI741" s="117">
        <f ca="1">BI735^Elasticities!$G$50</f>
        <v>1.0000242364257077</v>
      </c>
      <c r="BJ741" s="117">
        <f ca="1">BJ735^Elasticities!$G$50</f>
        <v>1.0000346889054665</v>
      </c>
      <c r="BK741" s="117">
        <f ca="1">BK735^Elasticities!$G$50</f>
        <v>1.0000367918130262</v>
      </c>
      <c r="BL741" s="117">
        <f ca="1">BL735^Elasticities!$G$50</f>
        <v>0.99999448848275585</v>
      </c>
      <c r="BM741" s="117">
        <f ca="1">BM735^Elasticities!$G$50</f>
        <v>0.99998505127004322</v>
      </c>
      <c r="BN741" s="117">
        <f ca="1">BN735^Elasticities!$G$50</f>
        <v>1.0000713810564807</v>
      </c>
      <c r="BO741" s="117">
        <f ca="1">BO735^Elasticities!$G$50</f>
        <v>0.9999775645799962</v>
      </c>
    </row>
    <row r="742" spans="2:68" ht="13.2" customHeight="1">
      <c r="B742" s="6"/>
      <c r="G742" s="298" t="s">
        <v>1091</v>
      </c>
      <c r="H742" s="298" t="s">
        <v>1092</v>
      </c>
      <c r="I742" s="298" t="s">
        <v>1093</v>
      </c>
      <c r="J742" s="298" t="s">
        <v>1094</v>
      </c>
      <c r="K742" s="298" t="s">
        <v>1095</v>
      </c>
      <c r="L742" s="298" t="s">
        <v>1096</v>
      </c>
      <c r="M742" s="298" t="s">
        <v>1097</v>
      </c>
      <c r="N742" s="298"/>
      <c r="O742" s="39">
        <f>ROW()</f>
        <v>742</v>
      </c>
      <c r="P742" s="309" t="s">
        <v>3301</v>
      </c>
      <c r="Y742" s="309" t="s">
        <v>3307</v>
      </c>
      <c r="AH742" s="309" t="s">
        <v>3308</v>
      </c>
      <c r="AQ742" s="215" t="s">
        <v>3304</v>
      </c>
      <c r="AZ742" s="215" t="s">
        <v>3305</v>
      </c>
      <c r="BI742" s="215" t="s">
        <v>3306</v>
      </c>
    </row>
    <row r="743" spans="2:68" ht="13.2" customHeight="1">
      <c r="B743" s="6" t="s">
        <v>1921</v>
      </c>
      <c r="O743" s="39">
        <f>ROW()</f>
        <v>743</v>
      </c>
      <c r="P743" s="117">
        <f ca="1">(P690/P738)^Elasticities!$G$52</f>
        <v>1.0000546776251222</v>
      </c>
      <c r="Q743" s="117">
        <f ca="1">(Q690/Q738)^Elasticities!$G$52</f>
        <v>0.99989081530462365</v>
      </c>
      <c r="R743" s="117">
        <f ca="1">(R690/R738)^Elasticities!$G$52</f>
        <v>0.99980673573850598</v>
      </c>
      <c r="S743" s="117">
        <f ca="1">(S690/S738)^Elasticities!$G$52</f>
        <v>0.99985644273657392</v>
      </c>
      <c r="T743" s="117">
        <f ca="1">(T690/T738)^Elasticities!$G$52</f>
        <v>1.0002468074618656</v>
      </c>
      <c r="U743" s="117">
        <f ca="1">(U690/U738)^Elasticities!$G$52</f>
        <v>1.0005559250250604</v>
      </c>
      <c r="V743" s="117">
        <f ca="1">(V690/V738)^Elasticities!$G$52</f>
        <v>1.0001915903958534</v>
      </c>
      <c r="Y743" s="117">
        <f ca="1">(Y690/Y738)^Elasticities!$H$52</f>
        <v>1.0000546776251222</v>
      </c>
      <c r="Z743" s="117">
        <f ca="1">(Z690/Z738)^Elasticities!$H$52</f>
        <v>0.99989081530462365</v>
      </c>
      <c r="AA743" s="117">
        <f ca="1">(AA690/AA738)^Elasticities!$H$52</f>
        <v>0.99980673573850598</v>
      </c>
      <c r="AB743" s="117">
        <f ca="1">(AB690/AB738)^Elasticities!$H$52</f>
        <v>0.99985644273657392</v>
      </c>
      <c r="AC743" s="117">
        <f ca="1">(AC690/AC738)^Elasticities!$H$52</f>
        <v>1.0002468074618656</v>
      </c>
      <c r="AD743" s="117">
        <f ca="1">(AD690/AD738)^Elasticities!$H$52</f>
        <v>1.0005559250250604</v>
      </c>
      <c r="AE743" s="117">
        <f ca="1">(AE690/AE738)^Elasticities!$H$52</f>
        <v>1.0001915903958534</v>
      </c>
      <c r="AH743" s="117">
        <f ca="1">(AH690/AH738)^Elasticities!$I$52</f>
        <v>1.0000546776251222</v>
      </c>
      <c r="AI743" s="117">
        <f ca="1">(AI690/AI738)^Elasticities!$I$52</f>
        <v>0.99989081530462365</v>
      </c>
      <c r="AJ743" s="117">
        <f ca="1">(AJ690/AJ738)^Elasticities!$I$52</f>
        <v>0.99980673573850598</v>
      </c>
      <c r="AK743" s="117">
        <f ca="1">(AK690/AK738)^Elasticities!$I$52</f>
        <v>0.99985644273657392</v>
      </c>
      <c r="AL743" s="117">
        <f ca="1">(AL690/AL738)^Elasticities!$I$52</f>
        <v>1.0002468074618656</v>
      </c>
      <c r="AM743" s="117">
        <f ca="1">(AM690/AM738)^Elasticities!$I$52</f>
        <v>1.0005559250250604</v>
      </c>
      <c r="AN743" s="117">
        <f ca="1">(AN690/AN738)^Elasticities!$I$52</f>
        <v>1.0001915903958534</v>
      </c>
      <c r="AQ743" s="117">
        <f ca="1">(AQ690/AQ738)^Elasticities!$G$54</f>
        <v>1.0000437418609316</v>
      </c>
      <c r="AR743" s="117">
        <f ca="1">(AR690/AR738)^Elasticities!$G$54</f>
        <v>0.99991265128995355</v>
      </c>
      <c r="AS743" s="117">
        <f ca="1">(AS690/AS738)^Elasticities!$G$54</f>
        <v>0.9998453856024877</v>
      </c>
      <c r="AT743" s="117">
        <f ca="1">(AT690/AT738)^Elasticities!$G$54</f>
        <v>0.9998851525404695</v>
      </c>
      <c r="AU743" s="117">
        <f ca="1">(AU690/AU738)^Elasticities!$G$54</f>
        <v>1.0001974410968595</v>
      </c>
      <c r="AV743" s="117">
        <f ca="1">(AV690/AV738)^Elasticities!$G$54</f>
        <v>1.0004447153013338</v>
      </c>
      <c r="AW743" s="117">
        <f ca="1">(AW690/AW738)^Elasticities!$G$54</f>
        <v>1.0001532693803574</v>
      </c>
      <c r="AZ743" s="117">
        <f ca="1">(AZ690/AZ738)^(Elasticities!$J$64*Elasticities!$G$52)</f>
        <v>1.0000182255428682</v>
      </c>
      <c r="BA743" s="117">
        <f ca="1">(BA690/BA738)^(Elasticities!$J$64*Elasticities!$G$52)</f>
        <v>0.99996360377687232</v>
      </c>
      <c r="BB743" s="117">
        <f ca="1">(BB690/BB738)^(Elasticities!$J$64*Elasticities!$G$52)</f>
        <v>0.99993557442893688</v>
      </c>
      <c r="BC743" s="117">
        <f ca="1">(BC690/BC738)^(Elasticities!$J$64*Elasticities!$G$52)</f>
        <v>0.99995214528882115</v>
      </c>
      <c r="BD743" s="117">
        <f ca="1">(BD690/BD738)^(Elasticities!$J$64*Elasticities!$G$52)</f>
        <v>1.0000822623866694</v>
      </c>
      <c r="BE743" s="117">
        <f ca="1">(BE690/BE738)^(Elasticities!$J$64*Elasticities!$G$52)</f>
        <v>1.0001852740131068</v>
      </c>
      <c r="BF743" s="117">
        <f ca="1">(BF690/BF738)^(Elasticities!$J$64*Elasticities!$G$52)</f>
        <v>1.0000638593871765</v>
      </c>
      <c r="BI743" s="117">
        <f ca="1">(BI690/BI738)^Elasticities!$G$50</f>
        <v>1.0000273384388658</v>
      </c>
      <c r="BJ743" s="117">
        <f ca="1">(BJ690/BJ738)^Elasticities!$G$50</f>
        <v>0.99994540616206817</v>
      </c>
      <c r="BK743" s="117">
        <f ca="1">(BK690/BK738)^Elasticities!$G$50</f>
        <v>0.99990336319991735</v>
      </c>
      <c r="BL743" s="117">
        <f ca="1">(BL690/BL738)^Elasticities!$G$50</f>
        <v>0.99992821879201599</v>
      </c>
      <c r="BM743" s="117">
        <f ca="1">(BM690/BM738)^Elasticities!$G$50</f>
        <v>1.0001233961176319</v>
      </c>
      <c r="BN743" s="117">
        <f ca="1">(BN690/BN738)^Elasticities!$G$50</f>
        <v>1.0002779238916855</v>
      </c>
      <c r="BO743" s="117">
        <f ca="1">(BO690/BO738)^Elasticities!$G$50</f>
        <v>1.0000957906100063</v>
      </c>
    </row>
    <row r="744" spans="2:68" ht="13.2" customHeight="1">
      <c r="O744" s="39">
        <f>ROW()</f>
        <v>744</v>
      </c>
      <c r="P744" s="309" t="s">
        <v>529</v>
      </c>
      <c r="Y744" s="309" t="s">
        <v>530</v>
      </c>
      <c r="AH744" s="309" t="s">
        <v>2922</v>
      </c>
      <c r="AQ744" s="215" t="s">
        <v>3299</v>
      </c>
      <c r="AZ744" s="309" t="s">
        <v>2398</v>
      </c>
      <c r="BI744" s="309" t="s">
        <v>2878</v>
      </c>
    </row>
    <row r="745" spans="2:68" ht="13.2" customHeight="1">
      <c r="B745" s="6" t="s">
        <v>2164</v>
      </c>
      <c r="G745" s="633">
        <f t="shared" ref="G745:M745" ca="1" si="1400">($I$76*$I$79*P745+$J$76*$J$79*Y745+$K$76*$K$79*AH745+$L$76*$L$79*AQ745+$M$76*$M$79*AZ745+$N$76*$N$79*BI745)/SUMPRODUCT($I$76:$N$76,$I$79:$N$79)</f>
        <v>1.0000009585730429</v>
      </c>
      <c r="H745" s="633">
        <f t="shared" ca="1" si="1400"/>
        <v>1.0000274125969704</v>
      </c>
      <c r="I745" s="633">
        <f t="shared" ca="1" si="1400"/>
        <v>0.99997633609890968</v>
      </c>
      <c r="J745" s="633">
        <f t="shared" ca="1" si="1400"/>
        <v>0.99987745226857783</v>
      </c>
      <c r="K745" s="633">
        <f t="shared" ca="1" si="1400"/>
        <v>0.99987417583071003</v>
      </c>
      <c r="L745" s="633">
        <f t="shared" ca="1" si="1400"/>
        <v>1.0000622733216287</v>
      </c>
      <c r="M745" s="633">
        <f t="shared" ca="1" si="1400"/>
        <v>0.99985677725611344</v>
      </c>
      <c r="O745" s="39">
        <f>ROW()</f>
        <v>745</v>
      </c>
      <c r="P745" s="117">
        <f ca="1">(P691/P739)^Elasticities!$G$52</f>
        <v>0.99999744962825943</v>
      </c>
      <c r="Q745" s="117">
        <f ca="1">(Q691/Q739)^Elasticities!$G$52</f>
        <v>0.99994890614833809</v>
      </c>
      <c r="R745" s="117">
        <f ca="1">(R691/R739)^Elasticities!$G$52</f>
        <v>1.0000120580111302</v>
      </c>
      <c r="S745" s="117">
        <f ca="1">(S691/S739)^Elasticities!$G$52</f>
        <v>1.0000742197616039</v>
      </c>
      <c r="T745" s="117">
        <f ca="1">(T691/T739)^Elasticities!$G$52</f>
        <v>1.0000900880379444</v>
      </c>
      <c r="U745" s="117">
        <f ca="1">(U691/U739)^Elasticities!$G$52</f>
        <v>0.99997130557935043</v>
      </c>
      <c r="V745" s="117">
        <f ca="1">(V691/V739)^Elasticities!$G$52</f>
        <v>1.0001134992639749</v>
      </c>
      <c r="Y745" s="117">
        <f ca="1">(Y678/Y726)^Elasticities!$H$52</f>
        <v>1.0000035470351476</v>
      </c>
      <c r="Z745" s="117">
        <f ca="1">(Z678/Z726)^Elasticities!$H$52</f>
        <v>1.0000857747403826</v>
      </c>
      <c r="AA745" s="117">
        <f ca="1">(AA678/AA726)^Elasticities!$H$52</f>
        <v>0.99994893667185591</v>
      </c>
      <c r="AB745" s="117">
        <f ca="1">(AB678/AB726)^Elasticities!$H$52</f>
        <v>0.99972711642075307</v>
      </c>
      <c r="AC745" s="117">
        <f ca="1">(AC678/AC726)^Elasticities!$H$52</f>
        <v>0.99970986479683155</v>
      </c>
      <c r="AD745" s="117">
        <f ca="1">(AD678/AD726)^Elasticities!$H$52</f>
        <v>1.0001321993801817</v>
      </c>
      <c r="AE745" s="117">
        <f ca="1">(AE678/AE726)^Elasticities!$H$52</f>
        <v>0.99966189103892378</v>
      </c>
      <c r="AH745" s="117">
        <f ca="1">(AH678/AH726)^Elasticities!$I$52</f>
        <v>1.0000035470351476</v>
      </c>
      <c r="AI745" s="117">
        <f ca="1">(AI678/AI726)^Elasticities!$I$52</f>
        <v>1.0000857747403826</v>
      </c>
      <c r="AJ745" s="117">
        <f ca="1">(AJ678/AJ726)^Elasticities!$I$52</f>
        <v>0.99994893667185591</v>
      </c>
      <c r="AK745" s="117">
        <f ca="1">(AK678/AK726)^Elasticities!$I$52</f>
        <v>0.99972711642075307</v>
      </c>
      <c r="AL745" s="117">
        <f ca="1">(AL678/AL726)^Elasticities!$I$52</f>
        <v>0.99970986479683155</v>
      </c>
      <c r="AM745" s="117">
        <f ca="1">(AM678/AM726)^Elasticities!$I$52</f>
        <v>1.0001321993801817</v>
      </c>
      <c r="AN745" s="117">
        <f ca="1">(AN678/AN726)^Elasticities!$I$52</f>
        <v>0.99966189103892378</v>
      </c>
      <c r="AQ745" s="117">
        <f ca="1">(AQ691/AQ739)^Elasticities!$G$54</f>
        <v>0.99999795970208705</v>
      </c>
      <c r="AR745" s="117">
        <f ca="1">(AR691/AR739)^Elasticities!$G$54</f>
        <v>0.99995912470981962</v>
      </c>
      <c r="AS745" s="117">
        <f ca="1">(AS691/AS739)^Elasticities!$G$54</f>
        <v>1.0000096463972725</v>
      </c>
      <c r="AT745" s="117">
        <f ca="1">(AT691/AT739)^Elasticities!$G$54</f>
        <v>1.0000593753686104</v>
      </c>
      <c r="AU745" s="117">
        <f ca="1">(AU691/AU739)^Elasticities!$G$54</f>
        <v>1.0000720697811105</v>
      </c>
      <c r="AV745" s="117">
        <f ca="1">(AV691/AV739)^Elasticities!$G$54</f>
        <v>0.99997704439761015</v>
      </c>
      <c r="AW745" s="117">
        <f ca="1">(AW691/AW739)^Elasticities!$G$54</f>
        <v>1.00009079838066</v>
      </c>
      <c r="AZ745" s="117">
        <f ca="1">(AZ678/AZ726)^(Elasticities!$J$64*Elasticities!$G$52)</f>
        <v>1.0000011823436512</v>
      </c>
      <c r="BA745" s="117">
        <f ca="1">(BA678/BA726)^(Elasticities!$J$64*Elasticities!$G$52)</f>
        <v>1.000028590762688</v>
      </c>
      <c r="BB745" s="117">
        <f ca="1">(BB678/BB726)^(Elasticities!$J$64*Elasticities!$G$52)</f>
        <v>0.99998297860089225</v>
      </c>
      <c r="BC745" s="117">
        <f ca="1">(BC678/BC726)^(Elasticities!$J$64*Elasticities!$G$52)</f>
        <v>0.99990903053172442</v>
      </c>
      <c r="BD745" s="117">
        <f ca="1">(BD678/BD726)^(Elasticities!$J$64*Elasticities!$G$52)</f>
        <v>0.99990327891094311</v>
      </c>
      <c r="BE745" s="117">
        <f ca="1">(BE678/BE726)^(Elasticities!$J$64*Elasticities!$G$52)</f>
        <v>1.0000440645183504</v>
      </c>
      <c r="BF745" s="117">
        <f ca="1">(BF678/BF726)^(Elasticities!$J$64*Elasticities!$G$52)</f>
        <v>0.99988728430862472</v>
      </c>
      <c r="BI745" s="117">
        <f ca="1">(BI678/BI726)^Elasticities!$G$50</f>
        <v>1.0000017735160012</v>
      </c>
      <c r="BJ745" s="117">
        <f ca="1">(BJ678/BJ726)^Elasticities!$G$50</f>
        <v>1.0000428864505675</v>
      </c>
      <c r="BK745" s="117">
        <f ca="1">(BK678/BK726)^Elasticities!$G$50</f>
        <v>0.99997446800998668</v>
      </c>
      <c r="BL745" s="117">
        <f ca="1">(BL678/BL726)^Elasticities!$G$50</f>
        <v>0.99986354890092544</v>
      </c>
      <c r="BM745" s="117">
        <f ca="1">(BM678/BM726)^Elasticities!$G$50</f>
        <v>0.99985492187458447</v>
      </c>
      <c r="BN745" s="117">
        <f ca="1">(BN678/BN726)^Elasticities!$G$50</f>
        <v>1.0000660975056508</v>
      </c>
      <c r="BO745" s="117">
        <f ca="1">(BO678/BO726)^Elasticities!$G$50</f>
        <v>0.99983093122733691</v>
      </c>
    </row>
    <row r="746" spans="2:68" ht="13.2" customHeight="1" collapsed="1">
      <c r="B746" s="43"/>
      <c r="O746" s="39">
        <f>ROW()</f>
        <v>746</v>
      </c>
      <c r="P746" s="309" t="s">
        <v>2879</v>
      </c>
      <c r="Y746" s="309" t="s">
        <v>2842</v>
      </c>
      <c r="AH746" s="309" t="s">
        <v>2808</v>
      </c>
      <c r="AQ746" s="215" t="s">
        <v>3300</v>
      </c>
      <c r="AZ746" s="309" t="s">
        <v>2903</v>
      </c>
      <c r="BI746" s="309" t="s">
        <v>91</v>
      </c>
    </row>
    <row r="747" spans="2:68" ht="13.2" customHeight="1">
      <c r="B747" s="24" t="s">
        <v>2143</v>
      </c>
      <c r="I747" s="54"/>
      <c r="O747" s="39">
        <f>ROW()</f>
        <v>747</v>
      </c>
      <c r="P747" s="880" t="s">
        <v>1472</v>
      </c>
      <c r="Q747" s="880" t="s">
        <v>615</v>
      </c>
      <c r="R747" s="880" t="s">
        <v>2445</v>
      </c>
      <c r="S747" s="880" t="s">
        <v>616</v>
      </c>
      <c r="T747" s="880" t="s">
        <v>1152</v>
      </c>
      <c r="U747" s="880" t="s">
        <v>1151</v>
      </c>
      <c r="V747" s="880" t="s">
        <v>617</v>
      </c>
      <c r="W747" s="880" t="s">
        <v>2684</v>
      </c>
      <c r="Y747" s="880" t="s">
        <v>1472</v>
      </c>
      <c r="Z747" s="880" t="s">
        <v>615</v>
      </c>
      <c r="AA747" s="880" t="s">
        <v>2445</v>
      </c>
      <c r="AB747" s="880" t="s">
        <v>616</v>
      </c>
      <c r="AC747" s="880" t="s">
        <v>1152</v>
      </c>
      <c r="AD747" s="880" t="s">
        <v>1151</v>
      </c>
      <c r="AE747" s="880" t="s">
        <v>617</v>
      </c>
      <c r="AF747" s="880" t="s">
        <v>2684</v>
      </c>
      <c r="AH747" s="880" t="s">
        <v>1472</v>
      </c>
      <c r="AI747" s="880" t="s">
        <v>615</v>
      </c>
      <c r="AJ747" s="880" t="s">
        <v>2445</v>
      </c>
      <c r="AK747" s="880" t="s">
        <v>616</v>
      </c>
      <c r="AL747" s="880" t="s">
        <v>1152</v>
      </c>
      <c r="AM747" s="880" t="s">
        <v>1151</v>
      </c>
      <c r="AN747" s="880" t="s">
        <v>617</v>
      </c>
      <c r="AO747" s="880" t="s">
        <v>2684</v>
      </c>
      <c r="AQ747" s="880" t="s">
        <v>1472</v>
      </c>
      <c r="AR747" s="880" t="s">
        <v>615</v>
      </c>
      <c r="AS747" s="880" t="s">
        <v>2445</v>
      </c>
      <c r="AT747" s="880" t="s">
        <v>616</v>
      </c>
      <c r="AU747" s="880" t="s">
        <v>1152</v>
      </c>
      <c r="AV747" s="880" t="s">
        <v>1151</v>
      </c>
      <c r="AW747" s="880" t="s">
        <v>617</v>
      </c>
      <c r="AX747" s="880" t="s">
        <v>2684</v>
      </c>
      <c r="AZ747" s="880" t="s">
        <v>1472</v>
      </c>
      <c r="BA747" s="880" t="s">
        <v>615</v>
      </c>
      <c r="BB747" s="880" t="s">
        <v>2445</v>
      </c>
      <c r="BC747" s="880" t="s">
        <v>616</v>
      </c>
      <c r="BD747" s="880" t="s">
        <v>1152</v>
      </c>
      <c r="BE747" s="880" t="s">
        <v>1151</v>
      </c>
      <c r="BF747" s="880" t="s">
        <v>617</v>
      </c>
      <c r="BG747" s="880" t="s">
        <v>2684</v>
      </c>
      <c r="BI747" s="880" t="s">
        <v>1472</v>
      </c>
      <c r="BJ747" s="880" t="s">
        <v>615</v>
      </c>
      <c r="BK747" s="880" t="s">
        <v>2445</v>
      </c>
      <c r="BL747" s="880" t="s">
        <v>616</v>
      </c>
      <c r="BM747" s="880" t="s">
        <v>1152</v>
      </c>
      <c r="BN747" s="880" t="s">
        <v>1151</v>
      </c>
      <c r="BO747" s="880" t="s">
        <v>617</v>
      </c>
      <c r="BP747" s="880" t="s">
        <v>2684</v>
      </c>
    </row>
    <row r="748" spans="2:68" ht="13.2" customHeight="1">
      <c r="O748" s="39">
        <f>ROW()</f>
        <v>748</v>
      </c>
      <c r="P748" s="298" t="s">
        <v>2678</v>
      </c>
      <c r="Q748" s="298" t="s">
        <v>665</v>
      </c>
      <c r="R748" s="298" t="s">
        <v>666</v>
      </c>
      <c r="S748" s="298" t="s">
        <v>667</v>
      </c>
      <c r="T748" s="298" t="s">
        <v>668</v>
      </c>
      <c r="U748" s="298" t="s">
        <v>434</v>
      </c>
      <c r="V748" s="298" t="s">
        <v>435</v>
      </c>
      <c r="W748" s="298"/>
      <c r="Y748" s="298" t="s">
        <v>2678</v>
      </c>
      <c r="Z748" s="298" t="s">
        <v>665</v>
      </c>
      <c r="AA748" s="298" t="s">
        <v>666</v>
      </c>
      <c r="AB748" s="298" t="s">
        <v>667</v>
      </c>
      <c r="AC748" s="298" t="s">
        <v>668</v>
      </c>
      <c r="AD748" s="298" t="s">
        <v>434</v>
      </c>
      <c r="AE748" s="298" t="s">
        <v>435</v>
      </c>
      <c r="AF748" s="298"/>
      <c r="AH748" s="298" t="s">
        <v>2678</v>
      </c>
      <c r="AI748" s="298" t="s">
        <v>665</v>
      </c>
      <c r="AJ748" s="298" t="s">
        <v>666</v>
      </c>
      <c r="AK748" s="298" t="s">
        <v>667</v>
      </c>
      <c r="AL748" s="298" t="s">
        <v>668</v>
      </c>
      <c r="AM748" s="298" t="s">
        <v>434</v>
      </c>
      <c r="AN748" s="298" t="s">
        <v>435</v>
      </c>
      <c r="AO748" s="298"/>
      <c r="AQ748" s="298" t="s">
        <v>2678</v>
      </c>
      <c r="AR748" s="298" t="s">
        <v>665</v>
      </c>
      <c r="AS748" s="298" t="s">
        <v>666</v>
      </c>
      <c r="AT748" s="298" t="s">
        <v>667</v>
      </c>
      <c r="AU748" s="298" t="s">
        <v>668</v>
      </c>
      <c r="AV748" s="298" t="s">
        <v>434</v>
      </c>
      <c r="AW748" s="298" t="s">
        <v>435</v>
      </c>
      <c r="AX748" s="298"/>
      <c r="AZ748" s="298" t="s">
        <v>2678</v>
      </c>
      <c r="BA748" s="298" t="s">
        <v>665</v>
      </c>
      <c r="BB748" s="298" t="s">
        <v>666</v>
      </c>
      <c r="BC748" s="298" t="s">
        <v>667</v>
      </c>
      <c r="BD748" s="298" t="s">
        <v>668</v>
      </c>
      <c r="BE748" s="298" t="s">
        <v>434</v>
      </c>
      <c r="BF748" s="298" t="s">
        <v>435</v>
      </c>
      <c r="BG748" s="298"/>
      <c r="BI748" s="298" t="s">
        <v>2678</v>
      </c>
      <c r="BJ748" s="298" t="s">
        <v>665</v>
      </c>
      <c r="BK748" s="298" t="s">
        <v>666</v>
      </c>
      <c r="BL748" s="298" t="s">
        <v>667</v>
      </c>
      <c r="BM748" s="298" t="s">
        <v>668</v>
      </c>
      <c r="BN748" s="298" t="s">
        <v>434</v>
      </c>
      <c r="BO748" s="298" t="s">
        <v>435</v>
      </c>
      <c r="BP748" s="298"/>
    </row>
    <row r="749" spans="2:68" ht="13.2" customHeight="1">
      <c r="B749" s="308" t="s">
        <v>112</v>
      </c>
      <c r="O749" s="39">
        <f>ROW()</f>
        <v>749</v>
      </c>
    </row>
    <row r="750" spans="2:68" ht="13.2" customHeight="1">
      <c r="B750" s="280" t="s">
        <v>2745</v>
      </c>
      <c r="G750" s="1122">
        <f t="shared" ref="G750:M750" ca="1" si="1401">P750+Y750+AH750+AQ750+AZ750+BI750</f>
        <v>54284.111561946171</v>
      </c>
      <c r="H750" s="1122">
        <f t="shared" ca="1" si="1401"/>
        <v>17441.214363972162</v>
      </c>
      <c r="I750" s="1122">
        <f t="shared" ca="1" si="1401"/>
        <v>115486.77710874681</v>
      </c>
      <c r="J750" s="1122">
        <f t="shared" ca="1" si="1401"/>
        <v>34088.755677225403</v>
      </c>
      <c r="K750" s="1122">
        <f t="shared" ca="1" si="1401"/>
        <v>117361.28206680866</v>
      </c>
      <c r="L750" s="1122">
        <f t="shared" ca="1" si="1401"/>
        <v>178300.83291333466</v>
      </c>
      <c r="M750" s="1122">
        <f t="shared" ca="1" si="1401"/>
        <v>59800.127569034121</v>
      </c>
      <c r="N750" s="186">
        <f ca="1">SUM(G750:M750)</f>
        <v>576763.10126106802</v>
      </c>
      <c r="O750" s="39">
        <f>ROW()</f>
        <v>750</v>
      </c>
      <c r="P750" s="10">
        <f t="shared" ref="P750:V750" ca="1" si="1402">P704</f>
        <v>9416.4454826562214</v>
      </c>
      <c r="Q750" s="10">
        <f t="shared" ca="1" si="1402"/>
        <v>9957.2110065537636</v>
      </c>
      <c r="R750" s="10">
        <f t="shared" ca="1" si="1402"/>
        <v>66570.978402358785</v>
      </c>
      <c r="S750" s="10">
        <f t="shared" ca="1" si="1402"/>
        <v>15901.162042864462</v>
      </c>
      <c r="T750" s="10">
        <f t="shared" ca="1" si="1402"/>
        <v>46863.951494650537</v>
      </c>
      <c r="U750" s="10">
        <f t="shared" ca="1" si="1402"/>
        <v>47409.506464354374</v>
      </c>
      <c r="V750" s="10">
        <f t="shared" ca="1" si="1402"/>
        <v>13081.697470865416</v>
      </c>
      <c r="W750" s="10">
        <f ca="1">SUM(P750:V750)</f>
        <v>209200.95236430358</v>
      </c>
      <c r="Y750" s="10">
        <f t="shared" ref="Y750:AE750" ca="1" si="1403">Y704</f>
        <v>16500.660824995164</v>
      </c>
      <c r="Z750" s="10">
        <f t="shared" ca="1" si="1403"/>
        <v>1209.1602080772211</v>
      </c>
      <c r="AA750" s="10">
        <f t="shared" ca="1" si="1403"/>
        <v>13406.359809281252</v>
      </c>
      <c r="AB750" s="10">
        <f t="shared" ca="1" si="1403"/>
        <v>7877.5816990291078</v>
      </c>
      <c r="AC750" s="10">
        <f t="shared" ca="1" si="1403"/>
        <v>32463.462299155075</v>
      </c>
      <c r="AD750" s="10">
        <f t="shared" ca="1" si="1403"/>
        <v>64948.950411984624</v>
      </c>
      <c r="AE750" s="10">
        <f t="shared" ca="1" si="1403"/>
        <v>19521.795749368695</v>
      </c>
      <c r="AF750" s="10">
        <f ca="1">SUM(Y750:AE750)</f>
        <v>155927.97100189116</v>
      </c>
      <c r="AH750" s="10">
        <f t="shared" ref="AH750:AN750" ca="1" si="1404">AH704</f>
        <v>17570.658055801541</v>
      </c>
      <c r="AI750" s="10">
        <f t="shared" ca="1" si="1404"/>
        <v>2261.4647193029577</v>
      </c>
      <c r="AJ750" s="10">
        <f t="shared" ca="1" si="1404"/>
        <v>9993.4770175940248</v>
      </c>
      <c r="AK750" s="10">
        <f t="shared" ca="1" si="1404"/>
        <v>2885.5387353870583</v>
      </c>
      <c r="AL750" s="10">
        <f t="shared" ca="1" si="1404"/>
        <v>14081.846219864288</v>
      </c>
      <c r="AM750" s="10">
        <f t="shared" ca="1" si="1404"/>
        <v>26530.489135619071</v>
      </c>
      <c r="AN750" s="10">
        <f t="shared" ca="1" si="1404"/>
        <v>13802.687436947319</v>
      </c>
      <c r="AO750" s="10">
        <f ca="1">SUM(AH750:AN750)</f>
        <v>87126.161320516272</v>
      </c>
      <c r="AQ750" s="10">
        <f t="shared" ref="AQ750:AW750" ca="1" si="1405">AQ704</f>
        <v>5971.6905611606398</v>
      </c>
      <c r="AR750" s="10">
        <f t="shared" ca="1" si="1405"/>
        <v>2552.8911555962159</v>
      </c>
      <c r="AS750" s="10">
        <f t="shared" ca="1" si="1405"/>
        <v>15950.302675877292</v>
      </c>
      <c r="AT750" s="10">
        <f t="shared" ca="1" si="1405"/>
        <v>4642.5660450726618</v>
      </c>
      <c r="AU750" s="10">
        <f t="shared" ca="1" si="1405"/>
        <v>14365.016335840943</v>
      </c>
      <c r="AV750" s="10">
        <f t="shared" ca="1" si="1405"/>
        <v>24469.846484730482</v>
      </c>
      <c r="AW750" s="10">
        <f t="shared" ca="1" si="1405"/>
        <v>8223.1249489336733</v>
      </c>
      <c r="AX750" s="10">
        <f ca="1">SUM(AQ750:AW750)</f>
        <v>76175.438207211919</v>
      </c>
      <c r="AZ750" s="10">
        <f t="shared" ref="AZ750:BF750" ca="1" si="1406">AZ704</f>
        <v>3693.7982539365339</v>
      </c>
      <c r="BA750" s="10">
        <f t="shared" ca="1" si="1406"/>
        <v>1104.2300258941884</v>
      </c>
      <c r="BB750" s="10">
        <f t="shared" ca="1" si="1406"/>
        <v>7279.2878038355257</v>
      </c>
      <c r="BC750" s="10">
        <f t="shared" ca="1" si="1406"/>
        <v>2114.9789135351816</v>
      </c>
      <c r="BD750" s="10">
        <f t="shared" ca="1" si="1406"/>
        <v>7307.626697555027</v>
      </c>
      <c r="BE750" s="10">
        <f t="shared" ca="1" si="1406"/>
        <v>11373.053660253663</v>
      </c>
      <c r="BF750" s="10">
        <f t="shared" ca="1" si="1406"/>
        <v>3935.8795695227359</v>
      </c>
      <c r="BG750" s="10">
        <f ca="1">SUM(AZ750:BF750)</f>
        <v>36808.854924532854</v>
      </c>
      <c r="BI750" s="10">
        <f t="shared" ref="BI750:BO750" ca="1" si="1407">BI704</f>
        <v>1130.8583833960706</v>
      </c>
      <c r="BJ750" s="10">
        <f t="shared" ca="1" si="1407"/>
        <v>356.25724854781436</v>
      </c>
      <c r="BK750" s="10">
        <f t="shared" ca="1" si="1407"/>
        <v>2286.3713997999444</v>
      </c>
      <c r="BL750" s="10">
        <f t="shared" ca="1" si="1407"/>
        <v>666.92824133693409</v>
      </c>
      <c r="BM750" s="10">
        <f t="shared" ca="1" si="1407"/>
        <v>2279.379019742782</v>
      </c>
      <c r="BN750" s="10">
        <f t="shared" ca="1" si="1407"/>
        <v>3568.986756392449</v>
      </c>
      <c r="BO750" s="10">
        <f t="shared" ca="1" si="1407"/>
        <v>1234.9423933962801</v>
      </c>
      <c r="BP750" s="10">
        <f ca="1">SUM(BI750:BO750)</f>
        <v>11523.723442612276</v>
      </c>
    </row>
    <row r="751" spans="2:68" ht="13.2" customHeight="1">
      <c r="B751" s="309" t="str">
        <f>CONCATENATE("Above row repeats figures in Row ",O704,".")</f>
        <v>Above row repeats figures in Row 704.</v>
      </c>
      <c r="G751" s="1126" t="s">
        <v>1009</v>
      </c>
      <c r="H751" s="1122"/>
      <c r="I751" s="1122"/>
      <c r="J751" s="1122"/>
      <c r="K751" s="1122"/>
      <c r="L751" s="1122"/>
      <c r="M751" s="1122"/>
      <c r="O751" s="39">
        <f>ROW()</f>
        <v>751</v>
      </c>
      <c r="AQ751" s="265" t="str">
        <f>CONCATENATE("Row ",O752, " figures are set equal to ",O750, " figures, since rebound effects are presumed accounted for by taxi time-elasticity.")</f>
        <v>Row 752 figures are set equal to 750 figures, since rebound effects are presumed accounted for by taxi time-elasticity.</v>
      </c>
    </row>
    <row r="752" spans="2:68" ht="13.2" customHeight="1">
      <c r="B752" s="280" t="s">
        <v>1300</v>
      </c>
      <c r="G752" s="1122">
        <f t="shared" ref="G752:M753" ca="1" si="1408">P752+Y752+AH752+AQ752+AZ752+BI752</f>
        <v>54285.057746812199</v>
      </c>
      <c r="H752" s="1122">
        <f t="shared" ca="1" si="1408"/>
        <v>17441.996160370774</v>
      </c>
      <c r="I752" s="1122">
        <f t="shared" ca="1" si="1408"/>
        <v>115490.43391263885</v>
      </c>
      <c r="J752" s="1122">
        <f t="shared" ca="1" si="1408"/>
        <v>34087.02016478539</v>
      </c>
      <c r="K752" s="1122">
        <f t="shared" ca="1" si="1408"/>
        <v>117353.13155022527</v>
      </c>
      <c r="L752" s="1122">
        <f t="shared" ca="1" si="1408"/>
        <v>178319.56886972458</v>
      </c>
      <c r="M752" s="1122">
        <f t="shared" ca="1" si="1408"/>
        <v>59794.062157664754</v>
      </c>
      <c r="N752" s="617">
        <f ca="1">SUM(G752:M752)</f>
        <v>576771.27056222176</v>
      </c>
      <c r="O752" s="39">
        <f>ROW()</f>
        <v>752</v>
      </c>
      <c r="P752" s="10">
        <f t="shared" ref="P752:V752" ca="1" si="1409">P750*P741</f>
        <v>9416.6891030132774</v>
      </c>
      <c r="Q752" s="10">
        <f t="shared" ca="1" si="1409"/>
        <v>9957.6943730332932</v>
      </c>
      <c r="R752" s="10">
        <f t="shared" ca="1" si="1409"/>
        <v>66573.398869420882</v>
      </c>
      <c r="S752" s="10">
        <f t="shared" ca="1" si="1409"/>
        <v>15900.270569069469</v>
      </c>
      <c r="T752" s="10">
        <f t="shared" ca="1" si="1409"/>
        <v>46860.733354808544</v>
      </c>
      <c r="U752" s="10">
        <f t="shared" ca="1" si="1409"/>
        <v>47415.030522399378</v>
      </c>
      <c r="V752" s="10">
        <f t="shared" ca="1" si="1409"/>
        <v>13080.602380381462</v>
      </c>
      <c r="W752" s="10">
        <f ca="1">SUM(P752:V752)</f>
        <v>209204.41917212631</v>
      </c>
      <c r="Y752" s="10">
        <f t="shared" ref="Y752:AE752" ca="1" si="1410">Y750*Y741</f>
        <v>16501.087726726739</v>
      </c>
      <c r="Z752" s="10">
        <f t="shared" ca="1" si="1410"/>
        <v>1209.2189059909824</v>
      </c>
      <c r="AA752" s="10">
        <f t="shared" ca="1" si="1410"/>
        <v>13406.847253707032</v>
      </c>
      <c r="AB752" s="10">
        <f t="shared" ca="1" si="1410"/>
        <v>7877.1400547245175</v>
      </c>
      <c r="AC752" s="10">
        <f t="shared" ca="1" si="1410"/>
        <v>32461.233038537866</v>
      </c>
      <c r="AD752" s="10">
        <f t="shared" ca="1" si="1410"/>
        <v>64956.518129912831</v>
      </c>
      <c r="AE752" s="10">
        <f t="shared" ca="1" si="1410"/>
        <v>19520.161547629777</v>
      </c>
      <c r="AF752" s="10">
        <f ca="1">SUM(Y752:AE752)</f>
        <v>155932.20665722972</v>
      </c>
      <c r="AH752" s="10">
        <f t="shared" ref="AH752:AN752" ca="1" si="1411">AH750*AH741</f>
        <v>17570.78153890168</v>
      </c>
      <c r="AI752" s="10">
        <f t="shared" ca="1" si="1411"/>
        <v>2261.6484857586047</v>
      </c>
      <c r="AJ752" s="10">
        <f t="shared" ca="1" si="1411"/>
        <v>9993.7455996222106</v>
      </c>
      <c r="AK752" s="10">
        <f t="shared" ca="1" si="1411"/>
        <v>2885.0721877823225</v>
      </c>
      <c r="AL752" s="10">
        <f t="shared" ca="1" si="1411"/>
        <v>14079.024998928489</v>
      </c>
      <c r="AM752" s="10">
        <f t="shared" ca="1" si="1411"/>
        <v>26535.097454882405</v>
      </c>
      <c r="AN752" s="10">
        <f t="shared" ca="1" si="1411"/>
        <v>13799.317236655204</v>
      </c>
      <c r="AO752" s="10">
        <f ca="1">SUM(AH752:AN752)</f>
        <v>87124.687502530913</v>
      </c>
      <c r="AQ752" s="10">
        <f ca="1">AQ750</f>
        <v>5971.6905611606398</v>
      </c>
      <c r="AR752" s="10">
        <f t="shared" ref="AR752:AW752" ca="1" si="1412">AR750</f>
        <v>2552.8911555962159</v>
      </c>
      <c r="AS752" s="10">
        <f t="shared" ca="1" si="1412"/>
        <v>15950.302675877292</v>
      </c>
      <c r="AT752" s="10">
        <f t="shared" ca="1" si="1412"/>
        <v>4642.5660450726618</v>
      </c>
      <c r="AU752" s="10">
        <f t="shared" ca="1" si="1412"/>
        <v>14365.016335840943</v>
      </c>
      <c r="AV752" s="10">
        <f t="shared" ca="1" si="1412"/>
        <v>24469.846484730482</v>
      </c>
      <c r="AW752" s="10">
        <f t="shared" ca="1" si="1412"/>
        <v>8223.1249489336733</v>
      </c>
      <c r="AX752" s="10">
        <f ca="1">SUM(AQ752:AW752)</f>
        <v>76175.438207211919</v>
      </c>
      <c r="AZ752" s="10">
        <f t="shared" ref="AZ752:BF752" ca="1" si="1413">AZ750*AZ741</f>
        <v>3693.9230256485953</v>
      </c>
      <c r="BA752" s="10">
        <f t="shared" ca="1" si="1413"/>
        <v>1104.2736332698491</v>
      </c>
      <c r="BB752" s="10">
        <f t="shared" ca="1" si="1413"/>
        <v>7279.6839944624353</v>
      </c>
      <c r="BC752" s="10">
        <f t="shared" ca="1" si="1413"/>
        <v>2115.0467425859879</v>
      </c>
      <c r="BD752" s="10">
        <f t="shared" ca="1" si="1413"/>
        <v>7307.7788761880984</v>
      </c>
      <c r="BE752" s="10">
        <f t="shared" ca="1" si="1413"/>
        <v>11373.834763361792</v>
      </c>
      <c r="BF752" s="10">
        <f t="shared" ca="1" si="1413"/>
        <v>3935.9413571196392</v>
      </c>
      <c r="BG752" s="10">
        <f ca="1">SUM(AZ752:BF752)</f>
        <v>36810.482392636397</v>
      </c>
      <c r="BI752" s="10">
        <f t="shared" ref="BI752:BO752" ca="1" si="1414">BI750*BI741</f>
        <v>1130.8857913612658</v>
      </c>
      <c r="BJ752" s="10">
        <f t="shared" ca="1" si="1414"/>
        <v>356.269606721831</v>
      </c>
      <c r="BK752" s="10">
        <f t="shared" ca="1" si="1414"/>
        <v>2286.4555195489943</v>
      </c>
      <c r="BL752" s="10">
        <f t="shared" ca="1" si="1414"/>
        <v>666.92456555043134</v>
      </c>
      <c r="BM752" s="10">
        <f t="shared" ca="1" si="1414"/>
        <v>2279.3449459213466</v>
      </c>
      <c r="BN752" s="10">
        <f t="shared" ca="1" si="1414"/>
        <v>3569.241514437686</v>
      </c>
      <c r="BO752" s="10">
        <f t="shared" ca="1" si="1414"/>
        <v>1234.9146869450037</v>
      </c>
      <c r="BP752" s="10">
        <f ca="1">SUM(BI752:BO752)</f>
        <v>11524.036630486558</v>
      </c>
    </row>
    <row r="753" spans="2:68" ht="13.2" customHeight="1">
      <c r="B753" s="280" t="s">
        <v>112</v>
      </c>
      <c r="G753" s="1122">
        <f t="shared" ca="1" si="1408"/>
        <v>85797.393281407305</v>
      </c>
      <c r="H753" s="1122">
        <f t="shared" ca="1" si="1408"/>
        <v>26708.421600439753</v>
      </c>
      <c r="I753" s="1122">
        <f t="shared" ca="1" si="1408"/>
        <v>174277.86898754528</v>
      </c>
      <c r="J753" s="1122">
        <f t="shared" ca="1" si="1408"/>
        <v>51302.00022919834</v>
      </c>
      <c r="K753" s="1122">
        <f t="shared" ca="1" si="1408"/>
        <v>176890.95718205746</v>
      </c>
      <c r="L753" s="1122">
        <f t="shared" ca="1" si="1408"/>
        <v>273120.27203162381</v>
      </c>
      <c r="M753" s="1122">
        <f t="shared" ca="1" si="1408"/>
        <v>93553.765831778641</v>
      </c>
      <c r="N753" s="186">
        <f ca="1">SUM(G753:M753)</f>
        <v>881650.67914405058</v>
      </c>
      <c r="O753" s="39">
        <f>ROW()</f>
        <v>753</v>
      </c>
      <c r="P753" s="10">
        <f t="shared" ref="P753:V753" ca="1" si="1415">P752*$I$85</f>
        <v>11770.861378766596</v>
      </c>
      <c r="Q753" s="10">
        <f t="shared" ca="1" si="1415"/>
        <v>12447.117966291617</v>
      </c>
      <c r="R753" s="10">
        <f t="shared" ca="1" si="1415"/>
        <v>83216.748586776099</v>
      </c>
      <c r="S753" s="10">
        <f t="shared" ca="1" si="1415"/>
        <v>19875.338211336835</v>
      </c>
      <c r="T753" s="10">
        <f t="shared" ca="1" si="1415"/>
        <v>58575.916693510677</v>
      </c>
      <c r="U753" s="10">
        <f t="shared" ca="1" si="1415"/>
        <v>59268.788152999223</v>
      </c>
      <c r="V753" s="10">
        <f t="shared" ca="1" si="1415"/>
        <v>16350.752975476827</v>
      </c>
      <c r="W753" s="10">
        <f ca="1">SUM(P753:V753)</f>
        <v>261505.52396515786</v>
      </c>
      <c r="Y753" s="10">
        <f t="shared" ref="Y753:AE753" ca="1" si="1416">Y752*$J$85</f>
        <v>20626.359658408423</v>
      </c>
      <c r="Z753" s="10">
        <f t="shared" ca="1" si="1416"/>
        <v>1511.523632488728</v>
      </c>
      <c r="AA753" s="10">
        <f t="shared" ca="1" si="1416"/>
        <v>16758.559067133789</v>
      </c>
      <c r="AB753" s="10">
        <f t="shared" ca="1" si="1416"/>
        <v>9846.425068405646</v>
      </c>
      <c r="AC753" s="10">
        <f t="shared" ca="1" si="1416"/>
        <v>40576.541298172335</v>
      </c>
      <c r="AD753" s="10">
        <f t="shared" ca="1" si="1416"/>
        <v>81195.647662391042</v>
      </c>
      <c r="AE753" s="10">
        <f t="shared" ca="1" si="1416"/>
        <v>24400.201934537221</v>
      </c>
      <c r="AF753" s="10">
        <f ca="1">SUM(Y753:AE753)</f>
        <v>194915.25832153717</v>
      </c>
      <c r="AH753" s="10">
        <f t="shared" ref="AH753:AN753" ca="1" si="1417">AH752*$K$85</f>
        <v>28113.25046224269</v>
      </c>
      <c r="AI753" s="10">
        <f t="shared" ca="1" si="1417"/>
        <v>3618.6375772137676</v>
      </c>
      <c r="AJ753" s="10">
        <f t="shared" ca="1" si="1417"/>
        <v>15989.992959395538</v>
      </c>
      <c r="AK753" s="10">
        <f t="shared" ca="1" si="1417"/>
        <v>4616.1155004517159</v>
      </c>
      <c r="AL753" s="10">
        <f t="shared" ca="1" si="1417"/>
        <v>22526.439998285583</v>
      </c>
      <c r="AM753" s="10">
        <f t="shared" ca="1" si="1417"/>
        <v>42456.155927811851</v>
      </c>
      <c r="AN753" s="10">
        <f t="shared" ca="1" si="1417"/>
        <v>22078.90757864833</v>
      </c>
      <c r="AO753" s="10">
        <f ca="1">SUM(AH753:AN753)</f>
        <v>139399.50000404945</v>
      </c>
      <c r="AQ753" s="10">
        <f ca="1">AQ752*$L$85</f>
        <v>11943.38112232128</v>
      </c>
      <c r="AR753" s="10">
        <f t="shared" ref="AR753:AW753" ca="1" si="1418">AR752*$L$85</f>
        <v>5105.7823111924317</v>
      </c>
      <c r="AS753" s="10">
        <f t="shared" ca="1" si="1418"/>
        <v>31900.605351754584</v>
      </c>
      <c r="AT753" s="10">
        <f t="shared" ca="1" si="1418"/>
        <v>9285.1320901453237</v>
      </c>
      <c r="AU753" s="10">
        <f t="shared" ca="1" si="1418"/>
        <v>28730.032671681885</v>
      </c>
      <c r="AV753" s="10">
        <f t="shared" ca="1" si="1418"/>
        <v>48939.692969460964</v>
      </c>
      <c r="AW753" s="10">
        <f t="shared" ca="1" si="1418"/>
        <v>16446.249897867347</v>
      </c>
      <c r="AX753" s="10">
        <f ca="1">SUM(AQ753:AW753)</f>
        <v>152350.87641442384</v>
      </c>
      <c r="AZ753" s="10">
        <f t="shared" ref="AZ753:BF753" ca="1" si="1419">AZ752*$M$85</f>
        <v>11081.769076945786</v>
      </c>
      <c r="BA753" s="10">
        <f t="shared" ca="1" si="1419"/>
        <v>3312.8208998095474</v>
      </c>
      <c r="BB753" s="10">
        <f t="shared" ca="1" si="1419"/>
        <v>21839.051983387304</v>
      </c>
      <c r="BC753" s="10">
        <f t="shared" ca="1" si="1419"/>
        <v>6345.1402277579637</v>
      </c>
      <c r="BD753" s="10">
        <f t="shared" ca="1" si="1419"/>
        <v>21923.336628564295</v>
      </c>
      <c r="BE753" s="10">
        <f t="shared" ca="1" si="1419"/>
        <v>34121.504290085373</v>
      </c>
      <c r="BF753" s="10">
        <f t="shared" ca="1" si="1419"/>
        <v>11807.824071358918</v>
      </c>
      <c r="BG753" s="10">
        <f ca="1">SUM(AZ753:BF753)</f>
        <v>110431.44717790918</v>
      </c>
      <c r="BI753" s="10">
        <f t="shared" ref="BI753:BO753" ca="1" si="1420">BI752*$N$85</f>
        <v>2261.7715827225315</v>
      </c>
      <c r="BJ753" s="10">
        <f t="shared" ca="1" si="1420"/>
        <v>712.53921344366199</v>
      </c>
      <c r="BK753" s="10">
        <f t="shared" ca="1" si="1420"/>
        <v>4572.9110390979886</v>
      </c>
      <c r="BL753" s="10">
        <f t="shared" ca="1" si="1420"/>
        <v>1333.8491311008627</v>
      </c>
      <c r="BM753" s="10">
        <f t="shared" ca="1" si="1420"/>
        <v>4558.6898918426932</v>
      </c>
      <c r="BN753" s="10">
        <f t="shared" ca="1" si="1420"/>
        <v>7138.4830288753719</v>
      </c>
      <c r="BO753" s="10">
        <f t="shared" ca="1" si="1420"/>
        <v>2469.8293738900074</v>
      </c>
      <c r="BP753" s="10">
        <f ca="1">SUM(BI753:BO753)</f>
        <v>23048.073260973117</v>
      </c>
    </row>
    <row r="754" spans="2:68" ht="13.2" customHeight="1">
      <c r="G754" s="1122"/>
      <c r="H754" s="1122"/>
      <c r="I754" s="1128"/>
      <c r="J754" s="3454"/>
      <c r="K754" s="3454"/>
      <c r="L754" s="3454"/>
      <c r="M754" s="3455" t="s">
        <v>6039</v>
      </c>
      <c r="N754" s="756">
        <f ca="1">(W754*W752+AF754*AF752+AO754*AO752+BG754*BG752+BP754*BP752)/(W752+AF752+AO752+BG752+BP752)</f>
        <v>7.8246186517169658</v>
      </c>
      <c r="O754" s="39">
        <f>ROW()</f>
        <v>754</v>
      </c>
      <c r="V754" s="1816" t="s">
        <v>6039</v>
      </c>
      <c r="W754" s="591">
        <f ca="1">SUMPRODUCT(P752:V752,P$291:V$291)/W752</f>
        <v>6.6260927014811548</v>
      </c>
      <c r="AE754" s="1816" t="s">
        <v>6039</v>
      </c>
      <c r="AF754" s="591">
        <f ca="1">SUMPRODUCT(Y752:AE752,Y$291:AE$291)/AF752</f>
        <v>6.3490550369297809</v>
      </c>
      <c r="AN754" s="1816" t="s">
        <v>6039</v>
      </c>
      <c r="AO754" s="591">
        <f ca="1">SUMPRODUCT(AH752:AN752,AH$291:AN$291)/AO752</f>
        <v>10.600120868989393</v>
      </c>
      <c r="BF754" s="1816" t="s">
        <v>6039</v>
      </c>
      <c r="BG754" s="591">
        <f ca="1">SUMPRODUCT(AZ752:BF752,AZ$291:BF$291)/BG752</f>
        <v>13.119699771472931</v>
      </c>
      <c r="BO754" s="1816" t="s">
        <v>6039</v>
      </c>
      <c r="BP754" s="591">
        <f ca="1">SUMPRODUCT(BI752:BO752,BI$291:BO$291)/BP752</f>
        <v>11.65101764226114</v>
      </c>
    </row>
    <row r="755" spans="2:68" ht="13.2" customHeight="1">
      <c r="B755" s="308" t="s">
        <v>1010</v>
      </c>
      <c r="G755" s="1122"/>
      <c r="H755" s="1122"/>
      <c r="I755" s="1129"/>
      <c r="J755" s="1130"/>
      <c r="K755" s="1130"/>
      <c r="L755" s="1130"/>
      <c r="M755" s="1130"/>
      <c r="N755" s="3456" t="s">
        <v>6040</v>
      </c>
      <c r="O755" s="39">
        <f>ROW()</f>
        <v>755</v>
      </c>
      <c r="P755" s="10"/>
      <c r="Q755" s="10"/>
      <c r="R755" s="10"/>
      <c r="S755" s="10"/>
      <c r="T755" s="10"/>
      <c r="U755" s="10"/>
      <c r="V755" s="10"/>
      <c r="W755" s="10"/>
      <c r="Y755" s="10"/>
      <c r="Z755" s="10"/>
      <c r="AA755" s="10"/>
      <c r="AB755" s="10"/>
      <c r="AC755" s="10"/>
      <c r="AD755" s="10"/>
      <c r="AE755" s="10"/>
      <c r="AF755" s="10"/>
      <c r="AH755" s="10"/>
      <c r="AI755" s="10"/>
      <c r="AJ755" s="10"/>
      <c r="AK755" s="10"/>
      <c r="AL755" s="10"/>
      <c r="AM755" s="10"/>
      <c r="AN755" s="10"/>
      <c r="AO755" s="10"/>
      <c r="AQ755" s="10"/>
      <c r="AR755" s="10"/>
      <c r="AS755" s="10"/>
      <c r="AT755" s="10"/>
      <c r="AU755" s="10"/>
      <c r="AV755" s="10"/>
      <c r="AW755" s="10"/>
      <c r="AX755" s="10"/>
      <c r="AZ755" s="10"/>
      <c r="BA755" s="10"/>
      <c r="BB755" s="10"/>
      <c r="BC755" s="10"/>
      <c r="BD755" s="10"/>
      <c r="BE755" s="10"/>
      <c r="BF755" s="10"/>
      <c r="BG755" s="10"/>
      <c r="BI755" s="10"/>
      <c r="BJ755" s="10"/>
      <c r="BK755" s="10"/>
      <c r="BL755" s="10"/>
      <c r="BM755" s="10"/>
      <c r="BN755" s="10"/>
      <c r="BO755" s="10"/>
      <c r="BP755" s="10"/>
    </row>
    <row r="756" spans="2:68" ht="13.2" customHeight="1">
      <c r="B756" s="280" t="s">
        <v>1301</v>
      </c>
      <c r="G756" s="1122">
        <f t="shared" ref="G756:M756" ca="1" si="1421">P756+Y756+AH756+AQ756+AZ756+BI756</f>
        <v>67884.331647585626</v>
      </c>
      <c r="H756" s="1122">
        <f t="shared" ca="1" si="1421"/>
        <v>13768.36219505474</v>
      </c>
      <c r="I756" s="1122">
        <f t="shared" ca="1" si="1421"/>
        <v>80585.130146791576</v>
      </c>
      <c r="J756" s="1122">
        <f t="shared" ca="1" si="1421"/>
        <v>25260.997089091059</v>
      </c>
      <c r="K756" s="1122">
        <f t="shared" ca="1" si="1421"/>
        <v>99831.882827600566</v>
      </c>
      <c r="L756" s="1122">
        <f t="shared" ca="1" si="1421"/>
        <v>208723.56259467333</v>
      </c>
      <c r="M756" s="1122">
        <f t="shared" ca="1" si="1421"/>
        <v>80708.8347602711</v>
      </c>
      <c r="N756" s="186">
        <f ca="1">SUM(G756:M756)</f>
        <v>576763.10126106802</v>
      </c>
      <c r="O756" s="39">
        <f>ROW()</f>
        <v>756</v>
      </c>
      <c r="P756" s="10">
        <f t="shared" ref="P756:W756" ca="1" si="1422">P$135*$W750</f>
        <v>25873.956620612815</v>
      </c>
      <c r="Q756" s="10">
        <f t="shared" ca="1" si="1422"/>
        <v>4687.0656147523996</v>
      </c>
      <c r="R756" s="10">
        <f t="shared" ca="1" si="1422"/>
        <v>27011.587501634014</v>
      </c>
      <c r="S756" s="10">
        <f t="shared" ca="1" si="1422"/>
        <v>8616.6634318399301</v>
      </c>
      <c r="T756" s="10">
        <f t="shared" ca="1" si="1422"/>
        <v>35717.519997581905</v>
      </c>
      <c r="U756" s="10">
        <f t="shared" ca="1" si="1422"/>
        <v>77001.603778467586</v>
      </c>
      <c r="V756" s="10">
        <f t="shared" ca="1" si="1422"/>
        <v>30292.555419414908</v>
      </c>
      <c r="W756" s="10">
        <f t="shared" ca="1" si="1422"/>
        <v>209200.95236430358</v>
      </c>
      <c r="Y756" s="10">
        <f t="shared" ref="Y756:AE756" ca="1" si="1423">Y$135*$AF750</f>
        <v>19285.158657487624</v>
      </c>
      <c r="Z756" s="10">
        <f t="shared" ca="1" si="1423"/>
        <v>3493.5052780657365</v>
      </c>
      <c r="AA756" s="10">
        <f t="shared" ca="1" si="1423"/>
        <v>20133.092058468628</v>
      </c>
      <c r="AB756" s="10">
        <f t="shared" ca="1" si="1423"/>
        <v>6422.431784121507</v>
      </c>
      <c r="AC756" s="10">
        <f t="shared" ca="1" si="1423"/>
        <v>26622.060557085362</v>
      </c>
      <c r="AD756" s="10">
        <f t="shared" ca="1" si="1423"/>
        <v>57393.160525194333</v>
      </c>
      <c r="AE756" s="10">
        <f t="shared" ca="1" si="1423"/>
        <v>22578.56214146797</v>
      </c>
      <c r="AF756" s="10">
        <f ca="1">SUM(Y756:AE756)</f>
        <v>155927.97100189116</v>
      </c>
      <c r="AH756" s="10">
        <f t="shared" ref="AH756:AN756" ca="1" si="1424">AH$135*$AO750</f>
        <v>10775.756482226265</v>
      </c>
      <c r="AI756" s="10">
        <f t="shared" ca="1" si="1424"/>
        <v>1952.0276091269018</v>
      </c>
      <c r="AJ756" s="10">
        <f t="shared" ca="1" si="1424"/>
        <v>11249.546924109392</v>
      </c>
      <c r="AK756" s="10">
        <f t="shared" ca="1" si="1424"/>
        <v>3588.5917330803659</v>
      </c>
      <c r="AL756" s="10">
        <f t="shared" ca="1" si="1424"/>
        <v>14875.31664702442</v>
      </c>
      <c r="AM756" s="10">
        <f t="shared" ca="1" si="1424"/>
        <v>32068.94651731036</v>
      </c>
      <c r="AN756" s="10">
        <f t="shared" ca="1" si="1424"/>
        <v>12615.975407638578</v>
      </c>
      <c r="AO756" s="10">
        <f ca="1">SUM(AH756:AN756)</f>
        <v>87126.161320516272</v>
      </c>
      <c r="AQ756" s="10">
        <f t="shared" ref="AQ756:AW756" ca="1" si="1425">AQ750</f>
        <v>5971.6905611606398</v>
      </c>
      <c r="AR756" s="10">
        <f t="shared" ca="1" si="1425"/>
        <v>2552.8911555962159</v>
      </c>
      <c r="AS756" s="10">
        <f t="shared" ca="1" si="1425"/>
        <v>15950.302675877292</v>
      </c>
      <c r="AT756" s="10">
        <f t="shared" ca="1" si="1425"/>
        <v>4642.5660450726618</v>
      </c>
      <c r="AU756" s="10">
        <f t="shared" ca="1" si="1425"/>
        <v>14365.016335840943</v>
      </c>
      <c r="AV756" s="10">
        <f t="shared" ca="1" si="1425"/>
        <v>24469.846484730482</v>
      </c>
      <c r="AW756" s="10">
        <f t="shared" ca="1" si="1425"/>
        <v>8223.1249489336733</v>
      </c>
      <c r="AX756" s="10">
        <f ca="1">SUM(AQ756:AW756)</f>
        <v>76175.438207211919</v>
      </c>
      <c r="AZ756" s="10">
        <f t="shared" ref="AZ756:BF756" ca="1" si="1426">AZ$135*$BG750</f>
        <v>4552.5161563953852</v>
      </c>
      <c r="BA756" s="10">
        <f t="shared" ca="1" si="1426"/>
        <v>824.68801544818336</v>
      </c>
      <c r="BB756" s="10">
        <f t="shared" ca="1" si="1426"/>
        <v>4752.6820236341573</v>
      </c>
      <c r="BC756" s="10">
        <f t="shared" ca="1" si="1426"/>
        <v>1516.0997625087425</v>
      </c>
      <c r="BD756" s="10">
        <f t="shared" ca="1" si="1426"/>
        <v>6284.4886555087569</v>
      </c>
      <c r="BE756" s="10">
        <f t="shared" ca="1" si="1426"/>
        <v>13548.412807902707</v>
      </c>
      <c r="BF756" s="10">
        <f t="shared" ca="1" si="1426"/>
        <v>5329.9675031349216</v>
      </c>
      <c r="BG756" s="10">
        <f ca="1">SUM(AZ756:BF756)</f>
        <v>36808.854924532854</v>
      </c>
      <c r="BI756" s="10">
        <f t="shared" ref="BI756:BO756" ca="1" si="1427">BI$135*$BP750</f>
        <v>1425.2531697028994</v>
      </c>
      <c r="BJ756" s="10">
        <f t="shared" ca="1" si="1427"/>
        <v>258.1845220653039</v>
      </c>
      <c r="BK756" s="10">
        <f t="shared" ca="1" si="1427"/>
        <v>1487.9189630680953</v>
      </c>
      <c r="BL756" s="10">
        <f t="shared" ca="1" si="1427"/>
        <v>474.64433246785183</v>
      </c>
      <c r="BM756" s="10">
        <f t="shared" ca="1" si="1427"/>
        <v>1967.4806345591924</v>
      </c>
      <c r="BN756" s="10">
        <f t="shared" ca="1" si="1427"/>
        <v>4241.5924810678753</v>
      </c>
      <c r="BO756" s="10">
        <f t="shared" ca="1" si="1427"/>
        <v>1668.6493396810554</v>
      </c>
      <c r="BP756" s="10">
        <f ca="1">SUM(BI756:BO756)</f>
        <v>11523.723442612272</v>
      </c>
    </row>
    <row r="757" spans="2:68" ht="13.2" customHeight="1">
      <c r="B757" s="309"/>
      <c r="G757" s="1122"/>
      <c r="H757" s="1122"/>
      <c r="I757" s="1122"/>
      <c r="J757" s="1122"/>
      <c r="K757" s="1122"/>
      <c r="L757" s="1122"/>
      <c r="M757" s="1122"/>
      <c r="O757" s="39">
        <f>ROW()</f>
        <v>757</v>
      </c>
    </row>
    <row r="758" spans="2:68" ht="13.2" customHeight="1">
      <c r="B758" s="280" t="s">
        <v>1047</v>
      </c>
      <c r="G758" s="1122"/>
      <c r="H758" s="1122"/>
      <c r="I758" s="1122"/>
      <c r="J758" s="1122"/>
      <c r="K758" s="1122"/>
      <c r="L758" s="1122"/>
      <c r="M758" s="1122"/>
      <c r="N758" s="186"/>
      <c r="O758" s="39">
        <f>ROW()</f>
        <v>758</v>
      </c>
      <c r="P758" s="10">
        <f t="shared" ref="P758:V758" ca="1" si="1428">P756*$W752/$W750</f>
        <v>25874.385395119833</v>
      </c>
      <c r="Q758" s="10">
        <f t="shared" ca="1" si="1428"/>
        <v>4687.1432872273817</v>
      </c>
      <c r="R758" s="10">
        <f t="shared" ca="1" si="1428"/>
        <v>27012.035128577376</v>
      </c>
      <c r="S758" s="10">
        <f t="shared" ca="1" si="1428"/>
        <v>8616.8062242883079</v>
      </c>
      <c r="T758" s="10">
        <f t="shared" ca="1" si="1428"/>
        <v>35718.111896310547</v>
      </c>
      <c r="U758" s="10">
        <f t="shared" ca="1" si="1428"/>
        <v>77002.879823147712</v>
      </c>
      <c r="V758" s="10">
        <f t="shared" ca="1" si="1428"/>
        <v>30293.057417455122</v>
      </c>
      <c r="W758" s="10">
        <f ca="1">SUM(P758:V758)</f>
        <v>209204.41917212628</v>
      </c>
      <c r="Y758" s="10">
        <f t="shared" ref="Y758:AE758" ca="1" si="1429">Y756*$AF752/$AF750</f>
        <v>19285.682522992305</v>
      </c>
      <c r="Z758" s="10">
        <f t="shared" ca="1" si="1429"/>
        <v>3493.6001762689662</v>
      </c>
      <c r="AA758" s="10">
        <f t="shared" ca="1" si="1429"/>
        <v>20133.638957388117</v>
      </c>
      <c r="AB758" s="10">
        <f t="shared" ca="1" si="1429"/>
        <v>6422.6062442090597</v>
      </c>
      <c r="AC758" s="10">
        <f t="shared" ca="1" si="1429"/>
        <v>26622.78372350764</v>
      </c>
      <c r="AD758" s="10">
        <f t="shared" ca="1" si="1429"/>
        <v>57394.719563288738</v>
      </c>
      <c r="AE758" s="10">
        <f t="shared" ca="1" si="1429"/>
        <v>22579.175469574897</v>
      </c>
      <c r="AF758" s="10">
        <f ca="1">SUM(Y758:AE758)</f>
        <v>155932.20665722972</v>
      </c>
      <c r="AH758" s="10">
        <f t="shared" ref="AH758:AN758" ca="1" si="1430">AH756*$AO752/$AO750</f>
        <v>10775.574200538782</v>
      </c>
      <c r="AI758" s="10">
        <f t="shared" ca="1" si="1430"/>
        <v>1951.994588810677</v>
      </c>
      <c r="AJ758" s="10">
        <f t="shared" ca="1" si="1430"/>
        <v>11249.356627827166</v>
      </c>
      <c r="AK758" s="10">
        <f t="shared" ca="1" si="1430"/>
        <v>3588.5310287986877</v>
      </c>
      <c r="AL758" s="10">
        <f t="shared" ca="1" si="1430"/>
        <v>14875.065017561123</v>
      </c>
      <c r="AM758" s="10">
        <f t="shared" ca="1" si="1430"/>
        <v>32068.404042014397</v>
      </c>
      <c r="AN758" s="10">
        <f t="shared" ca="1" si="1430"/>
        <v>12615.761996980094</v>
      </c>
      <c r="AO758" s="10">
        <f ca="1">SUM(AH758:AN758)</f>
        <v>87124.687502530927</v>
      </c>
      <c r="AQ758" s="10">
        <f t="shared" ref="AQ758:AW758" ca="1" si="1431">AQ756*$AX752/$AX750</f>
        <v>5971.6905611606398</v>
      </c>
      <c r="AR758" s="10">
        <f t="shared" ca="1" si="1431"/>
        <v>2552.8911555962159</v>
      </c>
      <c r="AS758" s="10">
        <f t="shared" ca="1" si="1431"/>
        <v>15950.30267587729</v>
      </c>
      <c r="AT758" s="10">
        <f t="shared" ca="1" si="1431"/>
        <v>4642.5660450726618</v>
      </c>
      <c r="AU758" s="10">
        <f t="shared" ca="1" si="1431"/>
        <v>14365.016335840945</v>
      </c>
      <c r="AV758" s="10">
        <f t="shared" ca="1" si="1431"/>
        <v>24469.846484730482</v>
      </c>
      <c r="AW758" s="10">
        <f t="shared" ca="1" si="1431"/>
        <v>8223.1249489336733</v>
      </c>
      <c r="AX758" s="10">
        <f ca="1">SUM(AQ758:AW758)</f>
        <v>76175.438207211919</v>
      </c>
      <c r="AZ758" s="10">
        <f t="shared" ref="AZ758:BF758" ca="1" si="1432">AZ756*$BG752/$BG750</f>
        <v>4552.7174415168747</v>
      </c>
      <c r="BA758" s="10">
        <f t="shared" ca="1" si="1432"/>
        <v>824.72447823528353</v>
      </c>
      <c r="BB758" s="10">
        <f t="shared" ca="1" si="1432"/>
        <v>4752.8921588968706</v>
      </c>
      <c r="BC758" s="10">
        <f t="shared" ca="1" si="1432"/>
        <v>1516.1667954009727</v>
      </c>
      <c r="BD758" s="10">
        <f t="shared" ca="1" si="1432"/>
        <v>6284.7665181278162</v>
      </c>
      <c r="BE758" s="10">
        <f t="shared" ca="1" si="1432"/>
        <v>13549.011837938922</v>
      </c>
      <c r="BF758" s="10">
        <f t="shared" ca="1" si="1432"/>
        <v>5330.2031625196551</v>
      </c>
      <c r="BG758" s="10">
        <f ca="1">SUM(AZ758:BF758)</f>
        <v>36810.482392636397</v>
      </c>
      <c r="BI758" s="10">
        <f t="shared" ref="BI758:BO758" ca="1" si="1433">BI756*$BP752/$BP750</f>
        <v>1425.2919047534895</v>
      </c>
      <c r="BJ758" s="10">
        <f t="shared" ca="1" si="1433"/>
        <v>258.1915389172824</v>
      </c>
      <c r="BK758" s="10">
        <f t="shared" ca="1" si="1433"/>
        <v>1487.9594012285102</v>
      </c>
      <c r="BL758" s="10">
        <f t="shared" ca="1" si="1433"/>
        <v>474.65723219164914</v>
      </c>
      <c r="BM758" s="10">
        <f t="shared" ca="1" si="1433"/>
        <v>1967.5341060851881</v>
      </c>
      <c r="BN758" s="10">
        <f t="shared" ca="1" si="1433"/>
        <v>4241.707757639665</v>
      </c>
      <c r="BO758" s="10">
        <f t="shared" ca="1" si="1433"/>
        <v>1668.6946896707718</v>
      </c>
      <c r="BP758" s="10">
        <f ca="1">SUM(BI758:BO758)</f>
        <v>11524.036630486557</v>
      </c>
    </row>
    <row r="759" spans="2:68" ht="13.2" customHeight="1">
      <c r="B759" s="309"/>
      <c r="C759" s="309"/>
      <c r="D759" s="309"/>
      <c r="E759" s="309"/>
      <c r="F759" s="309"/>
      <c r="G759" s="1122"/>
      <c r="H759" s="1122"/>
      <c r="I759" s="1122"/>
      <c r="J759" s="1122"/>
      <c r="K759" s="1122"/>
      <c r="L759" s="1122"/>
      <c r="M759" s="1122"/>
      <c r="N759" s="186"/>
      <c r="O759" s="39">
        <f>ROW()</f>
        <v>759</v>
      </c>
      <c r="AQ759" s="10"/>
      <c r="AR759" s="10"/>
      <c r="AS759" s="10"/>
      <c r="AT759" s="10"/>
      <c r="AU759" s="10"/>
      <c r="AV759" s="10"/>
      <c r="AW759" s="10"/>
    </row>
    <row r="760" spans="2:68" ht="13.2" customHeight="1">
      <c r="B760" s="280" t="s">
        <v>1010</v>
      </c>
      <c r="G760" s="1122">
        <f t="shared" ref="G760:M760" ca="1" si="1434">P760+Y760+AH760+AQ760+AZ760+BI760</f>
        <v>99157.275594300794</v>
      </c>
      <c r="H760" s="1122">
        <f t="shared" ca="1" si="1434"/>
        <v>20169.013917402259</v>
      </c>
      <c r="I760" s="1122">
        <f t="shared" ca="1" si="1434"/>
        <v>118091.1125049439</v>
      </c>
      <c r="J760" s="1122">
        <f t="shared" ca="1" si="1434"/>
        <v>37002.579149894824</v>
      </c>
      <c r="K760" s="1122">
        <f t="shared" ca="1" si="1434"/>
        <v>146063.11582318577</v>
      </c>
      <c r="L760" s="1122">
        <f t="shared" ca="1" si="1434"/>
        <v>305141.66645646043</v>
      </c>
      <c r="M760" s="1122">
        <f t="shared" ca="1" si="1434"/>
        <v>117938.19659425669</v>
      </c>
      <c r="N760" s="186">
        <f ca="1">SUM(G760:M760)</f>
        <v>843562.96004044474</v>
      </c>
      <c r="O760" s="39">
        <f>ROW()</f>
        <v>760</v>
      </c>
      <c r="P760" s="10">
        <f t="shared" ref="P760:V760" ca="1" si="1435">P758*$I$85</f>
        <v>32342.981743899792</v>
      </c>
      <c r="Q760" s="10">
        <f t="shared" ca="1" si="1435"/>
        <v>5858.9291090342267</v>
      </c>
      <c r="R760" s="10">
        <f t="shared" ca="1" si="1435"/>
        <v>33765.043910721717</v>
      </c>
      <c r="S760" s="10">
        <f t="shared" ca="1" si="1435"/>
        <v>10771.007780360385</v>
      </c>
      <c r="T760" s="10">
        <f t="shared" ca="1" si="1435"/>
        <v>44647.639870388186</v>
      </c>
      <c r="U760" s="10">
        <f t="shared" ca="1" si="1435"/>
        <v>96253.599778934644</v>
      </c>
      <c r="V760" s="10">
        <f t="shared" ca="1" si="1435"/>
        <v>37866.321771818904</v>
      </c>
      <c r="W760" s="10">
        <f ca="1">SUM(P760:V760)</f>
        <v>261505.52396515786</v>
      </c>
      <c r="Y760" s="10">
        <f t="shared" ref="Y760:AE760" ca="1" si="1436">Y758*$J$85</f>
        <v>24107.103153740383</v>
      </c>
      <c r="Z760" s="10">
        <f t="shared" ca="1" si="1436"/>
        <v>4367.0002203362073</v>
      </c>
      <c r="AA760" s="10">
        <f t="shared" ca="1" si="1436"/>
        <v>25167.048696735146</v>
      </c>
      <c r="AB760" s="10">
        <f t="shared" ca="1" si="1436"/>
        <v>8028.2578052613244</v>
      </c>
      <c r="AC760" s="10">
        <f t="shared" ca="1" si="1436"/>
        <v>33278.479654384551</v>
      </c>
      <c r="AD760" s="10">
        <f t="shared" ca="1" si="1436"/>
        <v>71743.399454110928</v>
      </c>
      <c r="AE760" s="10">
        <f t="shared" ca="1" si="1436"/>
        <v>28223.969336968621</v>
      </c>
      <c r="AF760" s="10">
        <f ca="1">SUM(Y760:AE760)</f>
        <v>194915.25832153717</v>
      </c>
      <c r="AH760" s="10">
        <f t="shared" ref="AH760:AN760" ca="1" si="1437">AH758*$K$85</f>
        <v>17240.918720862053</v>
      </c>
      <c r="AI760" s="10">
        <f t="shared" ca="1" si="1437"/>
        <v>3123.1913420970832</v>
      </c>
      <c r="AJ760" s="10">
        <f t="shared" ca="1" si="1437"/>
        <v>17998.970604523467</v>
      </c>
      <c r="AK760" s="10">
        <f t="shared" ca="1" si="1437"/>
        <v>5741.6496460779008</v>
      </c>
      <c r="AL760" s="10">
        <f t="shared" ca="1" si="1437"/>
        <v>23800.104028097798</v>
      </c>
      <c r="AM760" s="10">
        <f t="shared" ca="1" si="1437"/>
        <v>51309.446467223039</v>
      </c>
      <c r="AN760" s="10">
        <f t="shared" ca="1" si="1437"/>
        <v>20185.219195168153</v>
      </c>
      <c r="AO760" s="10">
        <f ca="1">SUM(AH760:AN760)</f>
        <v>139399.50000404951</v>
      </c>
      <c r="AQ760" s="10">
        <f ca="1">AQ758*$L$85*Taxis!$L$130</f>
        <v>8957.5358417409589</v>
      </c>
      <c r="AR760" s="10">
        <f ca="1">AR758*$L$85*Taxis!$L$130</f>
        <v>3829.3367333943238</v>
      </c>
      <c r="AS760" s="10">
        <f ca="1">AS758*$L$85*Taxis!$L$130</f>
        <v>23925.454013815935</v>
      </c>
      <c r="AT760" s="10">
        <f ca="1">AT758*$L$85*Taxis!$L$130</f>
        <v>6963.8490676089932</v>
      </c>
      <c r="AU760" s="10">
        <f ca="1">AU758*$L$85*Taxis!$L$130</f>
        <v>21547.524503761415</v>
      </c>
      <c r="AV760" s="10">
        <f ca="1">AV758*$L$85*Taxis!$L$130</f>
        <v>36704.769727095721</v>
      </c>
      <c r="AW760" s="10">
        <f ca="1">AW758*$L$85*Taxis!$L$130</f>
        <v>12334.68742340051</v>
      </c>
      <c r="AX760" s="10">
        <f ca="1">SUM(AQ760:AW760)</f>
        <v>114263.15731081786</v>
      </c>
      <c r="AZ760" s="10">
        <f t="shared" ref="AZ760:BF760" ca="1" si="1438">AZ758*$M$85</f>
        <v>13658.152324550625</v>
      </c>
      <c r="BA760" s="10">
        <f t="shared" ca="1" si="1438"/>
        <v>2474.1734347058505</v>
      </c>
      <c r="BB760" s="10">
        <f t="shared" ca="1" si="1438"/>
        <v>14258.676476690613</v>
      </c>
      <c r="BC760" s="10">
        <f t="shared" ca="1" si="1438"/>
        <v>4548.500386202918</v>
      </c>
      <c r="BD760" s="10">
        <f t="shared" ca="1" si="1438"/>
        <v>18854.299554383448</v>
      </c>
      <c r="BE760" s="10">
        <f t="shared" ca="1" si="1438"/>
        <v>40647.035513816765</v>
      </c>
      <c r="BF760" s="10">
        <f t="shared" ca="1" si="1438"/>
        <v>15990.609487558966</v>
      </c>
      <c r="BG760" s="10">
        <f ca="1">SUM(AZ760:BF760)</f>
        <v>110431.44717790918</v>
      </c>
      <c r="BI760" s="10">
        <f t="shared" ref="BI760:BO760" ca="1" si="1439">BI758*$N$85</f>
        <v>2850.5838095069789</v>
      </c>
      <c r="BJ760" s="10">
        <f t="shared" ca="1" si="1439"/>
        <v>516.3830778345648</v>
      </c>
      <c r="BK760" s="10">
        <f t="shared" ca="1" si="1439"/>
        <v>2975.9188024570203</v>
      </c>
      <c r="BL760" s="10">
        <f t="shared" ca="1" si="1439"/>
        <v>949.31446438329829</v>
      </c>
      <c r="BM760" s="10">
        <f t="shared" ca="1" si="1439"/>
        <v>3935.0682121703762</v>
      </c>
      <c r="BN760" s="10">
        <f t="shared" ca="1" si="1439"/>
        <v>8483.4155152793301</v>
      </c>
      <c r="BO760" s="10">
        <f t="shared" ca="1" si="1439"/>
        <v>3337.3893793415436</v>
      </c>
      <c r="BP760" s="10">
        <f ca="1">SUM(BI760:BO760)</f>
        <v>23048.073260973113</v>
      </c>
    </row>
    <row r="761" spans="2:68" ht="13.2" customHeight="1">
      <c r="G761" s="1122"/>
      <c r="H761" s="1122"/>
      <c r="I761" s="1122"/>
      <c r="J761" s="1122"/>
      <c r="K761" s="1122"/>
      <c r="L761" s="1122"/>
      <c r="M761" s="1122"/>
      <c r="O761" s="39">
        <f>ROW()</f>
        <v>761</v>
      </c>
      <c r="AQ761"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761" s="10"/>
      <c r="AS761" s="10"/>
      <c r="AT761" s="10"/>
      <c r="AU761" s="10"/>
      <c r="AV761" s="10"/>
      <c r="AW761" s="10"/>
    </row>
    <row r="762" spans="2:68" ht="13.2" customHeight="1">
      <c r="B762" s="308" t="s">
        <v>1431</v>
      </c>
      <c r="G762" s="1122"/>
      <c r="H762" s="1122"/>
      <c r="I762" s="1122"/>
      <c r="J762" s="1122"/>
      <c r="K762" s="1122"/>
      <c r="L762" s="1122"/>
      <c r="M762" s="1122"/>
      <c r="O762" s="39">
        <f>ROW()</f>
        <v>762</v>
      </c>
      <c r="AQ762" s="265" t="str">
        <f>CONCATENATE("Row ",O764, " figures are set equal to ",O763, " figures, since rebound effects are presumed accounted for by taxi time-elasticity.")</f>
        <v>Row 764 figures are set equal to 763 figures, since rebound effects are presumed accounted for by taxi time-elasticity.</v>
      </c>
    </row>
    <row r="763" spans="2:68" s="1122" customFormat="1" ht="13.2" customHeight="1">
      <c r="B763" s="1123" t="s">
        <v>1112</v>
      </c>
      <c r="G763" s="1122">
        <f t="shared" ref="G763:M765" ca="1" si="1440">P763+Y763+AH763+AQ763+AZ763+BI763</f>
        <v>234271.9222180912</v>
      </c>
      <c r="H763" s="1122">
        <f t="shared" ca="1" si="1440"/>
        <v>29487.492840543084</v>
      </c>
      <c r="I763" s="1122">
        <f t="shared" ca="1" si="1440"/>
        <v>196233.85165747249</v>
      </c>
      <c r="J763" s="1122">
        <f t="shared" ca="1" si="1440"/>
        <v>70145.453887149866</v>
      </c>
      <c r="K763" s="1122">
        <f t="shared" ca="1" si="1440"/>
        <v>253663.56752073244</v>
      </c>
      <c r="L763" s="1122">
        <f t="shared" ca="1" si="1440"/>
        <v>442135.13392732001</v>
      </c>
      <c r="M763" s="1122">
        <f t="shared" ca="1" si="1440"/>
        <v>215911.59523712049</v>
      </c>
      <c r="N763" s="1127">
        <f ca="1">SUM(G763:M763)</f>
        <v>1441849.0172884297</v>
      </c>
      <c r="O763" s="39">
        <f>ROW()</f>
        <v>763</v>
      </c>
      <c r="P763" s="1122">
        <f ca="1">P716</f>
        <v>9877.9533128942803</v>
      </c>
      <c r="Q763" s="1122">
        <f t="shared" ref="Q763:V763" ca="1" si="1441">Q716</f>
        <v>2779.5692029599559</v>
      </c>
      <c r="R763" s="1122">
        <f t="shared" ca="1" si="1441"/>
        <v>18459.078729212342</v>
      </c>
      <c r="S763" s="1122">
        <f t="shared" ca="1" si="1441"/>
        <v>5513.3815525788496</v>
      </c>
      <c r="T763" s="1122">
        <f t="shared" ca="1" si="1441"/>
        <v>18738.33984384311</v>
      </c>
      <c r="U763" s="1122">
        <f t="shared" ca="1" si="1441"/>
        <v>38222.096798797458</v>
      </c>
      <c r="V763" s="1122">
        <f t="shared" ca="1" si="1441"/>
        <v>13430.536489541093</v>
      </c>
      <c r="W763" s="1122">
        <f ca="1">SUM(P763:V763)</f>
        <v>107020.95592982709</v>
      </c>
      <c r="Y763" s="1122">
        <f ca="1">Y716</f>
        <v>6947.5548744690896</v>
      </c>
      <c r="Z763" s="1122">
        <f t="shared" ref="Z763:AE763" ca="1" si="1442">Z716</f>
        <v>1954.980850105916</v>
      </c>
      <c r="AA763" s="1122">
        <f t="shared" ca="1" si="1442"/>
        <v>12982.999447460588</v>
      </c>
      <c r="AB763" s="1122">
        <f t="shared" ca="1" si="1442"/>
        <v>3877.7790972575235</v>
      </c>
      <c r="AC763" s="1122">
        <f t="shared" ca="1" si="1442"/>
        <v>13179.41482387971</v>
      </c>
      <c r="AD763" s="1122">
        <f t="shared" ca="1" si="1442"/>
        <v>26883.110955816763</v>
      </c>
      <c r="AE763" s="1122">
        <f t="shared" ca="1" si="1442"/>
        <v>9446.2269965220348</v>
      </c>
      <c r="AF763" s="1122">
        <f ca="1">SUM(Y763:AE763)</f>
        <v>75272.06704551162</v>
      </c>
      <c r="AH763" s="1122">
        <f ca="1">AH716</f>
        <v>0</v>
      </c>
      <c r="AI763" s="1122">
        <f t="shared" ref="AI763:AN763" ca="1" si="1443">AI716</f>
        <v>0</v>
      </c>
      <c r="AJ763" s="1122">
        <f t="shared" ca="1" si="1443"/>
        <v>0</v>
      </c>
      <c r="AK763" s="1122">
        <f t="shared" ca="1" si="1443"/>
        <v>0</v>
      </c>
      <c r="AL763" s="1122">
        <f t="shared" ca="1" si="1443"/>
        <v>0</v>
      </c>
      <c r="AM763" s="1122">
        <f t="shared" ca="1" si="1443"/>
        <v>0</v>
      </c>
      <c r="AN763" s="1122">
        <f t="shared" ca="1" si="1443"/>
        <v>0</v>
      </c>
      <c r="AO763" s="1122">
        <f ca="1">SUM(AH763:AN763)</f>
        <v>0</v>
      </c>
      <c r="AQ763" s="1122">
        <f>AQ716</f>
        <v>210187.34459974329</v>
      </c>
      <c r="AR763" s="1122">
        <f t="shared" ref="AR763:AW763" si="1444">AR716</f>
        <v>22748.620884765332</v>
      </c>
      <c r="AS763" s="1122">
        <f t="shared" si="1444"/>
        <v>152580.65410310062</v>
      </c>
      <c r="AT763" s="1122">
        <f t="shared" si="1444"/>
        <v>57061.666827443201</v>
      </c>
      <c r="AU763" s="1122">
        <f t="shared" si="1444"/>
        <v>208747.17643657626</v>
      </c>
      <c r="AV763" s="1122">
        <f t="shared" si="1444"/>
        <v>351862.72506223724</v>
      </c>
      <c r="AW763" s="1122">
        <f t="shared" si="1444"/>
        <v>183873.35054767228</v>
      </c>
      <c r="AX763" s="1122">
        <f>SUM(AQ763:AW763)</f>
        <v>1187061.5384615383</v>
      </c>
      <c r="AZ763" s="1122">
        <f ca="1">AZ716</f>
        <v>4841.7002199175095</v>
      </c>
      <c r="BA763" s="1122">
        <f t="shared" ref="BA763:BF763" ca="1" si="1445">BA716</f>
        <v>1334.5540253918132</v>
      </c>
      <c r="BB763" s="1122">
        <f t="shared" ca="1" si="1445"/>
        <v>8066.4343635496507</v>
      </c>
      <c r="BC763" s="1122">
        <f t="shared" ca="1" si="1445"/>
        <v>2442.0749326799946</v>
      </c>
      <c r="BD763" s="1122">
        <f t="shared" ca="1" si="1445"/>
        <v>8624.3633993001604</v>
      </c>
      <c r="BE763" s="1122">
        <f t="shared" ca="1" si="1445"/>
        <v>16617.78719200956</v>
      </c>
      <c r="BF763" s="1122">
        <f t="shared" ca="1" si="1445"/>
        <v>6069.0930060816263</v>
      </c>
      <c r="BG763" s="1122">
        <f ca="1">SUM(AZ763:BF763)</f>
        <v>47996.007138930312</v>
      </c>
      <c r="BI763" s="1122">
        <f ca="1">BI716</f>
        <v>2417.3692110670258</v>
      </c>
      <c r="BJ763" s="1122">
        <f t="shared" ref="BJ763:BO763" ca="1" si="1446">BJ716</f>
        <v>669.7678773200663</v>
      </c>
      <c r="BK763" s="1122">
        <f t="shared" ca="1" si="1446"/>
        <v>4144.6850141492896</v>
      </c>
      <c r="BL763" s="1122">
        <f t="shared" ca="1" si="1446"/>
        <v>1250.5514771902904</v>
      </c>
      <c r="BM763" s="1122">
        <f t="shared" ca="1" si="1446"/>
        <v>4374.2730171331796</v>
      </c>
      <c r="BN763" s="1122">
        <f t="shared" ca="1" si="1446"/>
        <v>8549.413918458953</v>
      </c>
      <c r="BO763" s="1122">
        <f t="shared" ca="1" si="1446"/>
        <v>3092.3881973034554</v>
      </c>
      <c r="BP763" s="1122">
        <f ca="1">SUM(BI763:BO763)</f>
        <v>24498.448712622263</v>
      </c>
    </row>
    <row r="764" spans="2:68" s="1122" customFormat="1" ht="13.2" customHeight="1">
      <c r="B764" s="1123" t="s">
        <v>114</v>
      </c>
      <c r="G764" s="1122">
        <f t="shared" ca="1" si="1440"/>
        <v>234272.99652663566</v>
      </c>
      <c r="H764" s="1122">
        <f t="shared" ca="1" si="1440"/>
        <v>29486.890762212766</v>
      </c>
      <c r="I764" s="1122">
        <f t="shared" ca="1" si="1440"/>
        <v>196226.85481371637</v>
      </c>
      <c r="J764" s="1122">
        <f t="shared" ca="1" si="1440"/>
        <v>70143.899086940306</v>
      </c>
      <c r="K764" s="1122">
        <f t="shared" ca="1" si="1440"/>
        <v>253672.69428977495</v>
      </c>
      <c r="L764" s="1122">
        <f t="shared" ca="1" si="1440"/>
        <v>442176.78247208241</v>
      </c>
      <c r="M764" s="1122">
        <f t="shared" ca="1" si="1440"/>
        <v>215916.66199560455</v>
      </c>
      <c r="N764" s="1127">
        <f ca="1">SUM(G764:M764)</f>
        <v>1441896.779946967</v>
      </c>
      <c r="O764" s="39">
        <f>ROW()</f>
        <v>764</v>
      </c>
      <c r="P764" s="1122">
        <f t="shared" ref="P764:V764" ca="1" si="1447">P763*P743</f>
        <v>9878.4934159224977</v>
      </c>
      <c r="Q764" s="1122">
        <f t="shared" ca="1" si="1447"/>
        <v>2779.2657165432533</v>
      </c>
      <c r="R764" s="1122">
        <f t="shared" ca="1" si="1447"/>
        <v>18455.51124899388</v>
      </c>
      <c r="S764" s="1122">
        <f t="shared" ca="1" si="1447"/>
        <v>5512.5900666109374</v>
      </c>
      <c r="T764" s="1122">
        <f t="shared" ca="1" si="1447"/>
        <v>18742.964605939545</v>
      </c>
      <c r="U764" s="1122">
        <f t="shared" ca="1" si="1447"/>
        <v>38243.345418918194</v>
      </c>
      <c r="V764" s="1122">
        <f t="shared" ca="1" si="1447"/>
        <v>13433.109651343648</v>
      </c>
      <c r="W764" s="1122">
        <f ca="1">SUM(P764:V764)</f>
        <v>107045.28012427196</v>
      </c>
      <c r="Y764" s="1122">
        <f t="shared" ref="Y764:AE764" ca="1" si="1448">Y763*Y743</f>
        <v>6947.9347502700321</v>
      </c>
      <c r="Z764" s="1122">
        <f t="shared" ca="1" si="1448"/>
        <v>1954.7673961173307</v>
      </c>
      <c r="AA764" s="1122">
        <f t="shared" ca="1" si="1448"/>
        <v>12980.490297660397</v>
      </c>
      <c r="AB764" s="1122">
        <f t="shared" ca="1" si="1448"/>
        <v>3877.2224139021505</v>
      </c>
      <c r="AC764" s="1122">
        <f t="shared" ca="1" si="1448"/>
        <v>13182.667601801264</v>
      </c>
      <c r="AD764" s="1122">
        <f t="shared" ca="1" si="1448"/>
        <v>26898.055949948575</v>
      </c>
      <c r="AE764" s="1122">
        <f t="shared" ca="1" si="1448"/>
        <v>9448.03680289162</v>
      </c>
      <c r="AF764" s="1122">
        <f ca="1">SUM(Y764:AE764)</f>
        <v>75289.175212591363</v>
      </c>
      <c r="AH764" s="1122">
        <f t="shared" ref="AH764:AN764" ca="1" si="1449">AH763*AH743</f>
        <v>0</v>
      </c>
      <c r="AI764" s="1122">
        <f t="shared" ca="1" si="1449"/>
        <v>0</v>
      </c>
      <c r="AJ764" s="1122">
        <f t="shared" ca="1" si="1449"/>
        <v>0</v>
      </c>
      <c r="AK764" s="1122">
        <f t="shared" ca="1" si="1449"/>
        <v>0</v>
      </c>
      <c r="AL764" s="1122">
        <f t="shared" ca="1" si="1449"/>
        <v>0</v>
      </c>
      <c r="AM764" s="1122">
        <f t="shared" ca="1" si="1449"/>
        <v>0</v>
      </c>
      <c r="AN764" s="1122">
        <f t="shared" ca="1" si="1449"/>
        <v>0</v>
      </c>
      <c r="AO764" s="1122">
        <f ca="1">SUM(AH764:AN764)</f>
        <v>0</v>
      </c>
      <c r="AQ764" s="1122">
        <f t="shared" ref="AQ764" si="1450">AQ763</f>
        <v>210187.34459974329</v>
      </c>
      <c r="AR764" s="1122">
        <f t="shared" ref="AR764" si="1451">AR763</f>
        <v>22748.620884765332</v>
      </c>
      <c r="AS764" s="1122">
        <f t="shared" ref="AS764" si="1452">AS763</f>
        <v>152580.65410310062</v>
      </c>
      <c r="AT764" s="1122">
        <f t="shared" ref="AT764" si="1453">AT763</f>
        <v>57061.666827443201</v>
      </c>
      <c r="AU764" s="1122">
        <f t="shared" ref="AU764" si="1454">AU763</f>
        <v>208747.17643657626</v>
      </c>
      <c r="AV764" s="1122">
        <f t="shared" ref="AV764" si="1455">AV763</f>
        <v>351862.72506223724</v>
      </c>
      <c r="AW764" s="1122">
        <f t="shared" ref="AW764" si="1456">AW763</f>
        <v>183873.35054767228</v>
      </c>
      <c r="AX764" s="1122">
        <f>SUM(AQ764:AW764)</f>
        <v>1187061.5384615383</v>
      </c>
      <c r="AZ764" s="1122">
        <f t="shared" ref="AZ764:BF764" ca="1" si="1457">AZ763*AZ743</f>
        <v>4841.7884625324223</v>
      </c>
      <c r="BA764" s="1122">
        <f t="shared" ca="1" si="1457"/>
        <v>1334.5054526657291</v>
      </c>
      <c r="BB764" s="1122">
        <f t="shared" ca="1" si="1457"/>
        <v>8065.9146789093356</v>
      </c>
      <c r="BC764" s="1122">
        <f t="shared" ca="1" si="1457"/>
        <v>2441.958067889414</v>
      </c>
      <c r="BD764" s="1122">
        <f t="shared" ca="1" si="1457"/>
        <v>8625.0728600168914</v>
      </c>
      <c r="BE764" s="1122">
        <f t="shared" ca="1" si="1457"/>
        <v>16620.866036131578</v>
      </c>
      <c r="BF764" s="1122">
        <f t="shared" ca="1" si="1457"/>
        <v>6069.4805746417114</v>
      </c>
      <c r="BG764" s="1122">
        <f ca="1">SUM(AZ764:BF764)</f>
        <v>47999.586132787081</v>
      </c>
      <c r="BI764" s="1122">
        <f t="shared" ref="BI764:BO764" ca="1" si="1458">BI763*BI743</f>
        <v>2417.4352981674188</v>
      </c>
      <c r="BJ764" s="1122">
        <f t="shared" ca="1" si="1458"/>
        <v>669.73131212111991</v>
      </c>
      <c r="BK764" s="1122">
        <f t="shared" ca="1" si="1458"/>
        <v>4144.2844850521715</v>
      </c>
      <c r="BL764" s="1122">
        <f t="shared" ca="1" si="1458"/>
        <v>1250.4617110946115</v>
      </c>
      <c r="BM764" s="1122">
        <f t="shared" ca="1" si="1458"/>
        <v>4374.8127854409558</v>
      </c>
      <c r="BN764" s="1122">
        <f t="shared" ca="1" si="1458"/>
        <v>8551.7900048468018</v>
      </c>
      <c r="BO764" s="1122">
        <f t="shared" ca="1" si="1458"/>
        <v>3092.6844190552515</v>
      </c>
      <c r="BP764" s="1122">
        <f ca="1">SUM(BI764:BO764)</f>
        <v>24501.20001577833</v>
      </c>
    </row>
    <row r="765" spans="2:68" ht="13.2" customHeight="1">
      <c r="B765" s="280" t="s">
        <v>1880</v>
      </c>
      <c r="G765" s="1122">
        <f t="shared" ca="1" si="1440"/>
        <v>1.0743085444655662</v>
      </c>
      <c r="H765" s="1122">
        <f t="shared" ca="1" si="1440"/>
        <v>-0.60207833031836344</v>
      </c>
      <c r="I765" s="1122">
        <f t="shared" ca="1" si="1440"/>
        <v>-6.9968437560864913</v>
      </c>
      <c r="J765" s="1122">
        <f t="shared" ca="1" si="1440"/>
        <v>-1.554800209547011</v>
      </c>
      <c r="K765" s="1122">
        <f t="shared" ca="1" si="1440"/>
        <v>9.1267690424965622</v>
      </c>
      <c r="L765" s="1122">
        <f t="shared" ca="1" si="1440"/>
        <v>41.648544762414531</v>
      </c>
      <c r="M765" s="1122">
        <f t="shared" ca="1" si="1440"/>
        <v>5.066758484021193</v>
      </c>
      <c r="N765" s="1127">
        <f ca="1">W765+AF765+AO765+AX765+BG765+BP765</f>
        <v>47.762658537445532</v>
      </c>
      <c r="O765" s="39">
        <f>ROW()</f>
        <v>765</v>
      </c>
      <c r="P765" s="10">
        <f t="shared" ref="P765:W765" ca="1" si="1459">P764-P763</f>
        <v>0.54010302821734513</v>
      </c>
      <c r="Q765" s="10">
        <f t="shared" ca="1" si="1459"/>
        <v>-0.30348641670252618</v>
      </c>
      <c r="R765" s="10">
        <f t="shared" ca="1" si="1459"/>
        <v>-3.5674802184621512</v>
      </c>
      <c r="S765" s="10">
        <f t="shared" ca="1" si="1459"/>
        <v>-0.79148596791219461</v>
      </c>
      <c r="T765" s="10">
        <f t="shared" ca="1" si="1459"/>
        <v>4.6247620964350062</v>
      </c>
      <c r="U765" s="10">
        <f t="shared" ca="1" si="1459"/>
        <v>21.248620120735723</v>
      </c>
      <c r="V765" s="10">
        <f t="shared" ca="1" si="1459"/>
        <v>2.5731618025547505</v>
      </c>
      <c r="W765" s="138">
        <f t="shared" ca="1" si="1459"/>
        <v>24.324194444867317</v>
      </c>
      <c r="Y765" s="10">
        <f t="shared" ref="Y765:AF765" ca="1" si="1460">Y764-Y763</f>
        <v>0.37987580094250006</v>
      </c>
      <c r="Z765" s="10">
        <f t="shared" ca="1" si="1460"/>
        <v>-0.21345398858534281</v>
      </c>
      <c r="AA765" s="10">
        <f t="shared" ca="1" si="1460"/>
        <v>-2.5091498001911532</v>
      </c>
      <c r="AB765" s="10">
        <f t="shared" ca="1" si="1460"/>
        <v>-0.55668335537302482</v>
      </c>
      <c r="AC765" s="10">
        <f t="shared" ca="1" si="1460"/>
        <v>3.2527779215542978</v>
      </c>
      <c r="AD765" s="10">
        <f t="shared" ca="1" si="1460"/>
        <v>14.944994131812564</v>
      </c>
      <c r="AE765" s="10">
        <f t="shared" ca="1" si="1460"/>
        <v>1.8098063695852034</v>
      </c>
      <c r="AF765" s="138">
        <f t="shared" ca="1" si="1460"/>
        <v>17.108167079742998</v>
      </c>
      <c r="AH765" s="10">
        <f t="shared" ref="AH765:AO765" ca="1" si="1461">AH764-AH763</f>
        <v>0</v>
      </c>
      <c r="AI765" s="10">
        <f t="shared" ca="1" si="1461"/>
        <v>0</v>
      </c>
      <c r="AJ765" s="10">
        <f t="shared" ca="1" si="1461"/>
        <v>0</v>
      </c>
      <c r="AK765" s="10">
        <f t="shared" ca="1" si="1461"/>
        <v>0</v>
      </c>
      <c r="AL765" s="10">
        <f t="shared" ca="1" si="1461"/>
        <v>0</v>
      </c>
      <c r="AM765" s="10">
        <f t="shared" ca="1" si="1461"/>
        <v>0</v>
      </c>
      <c r="AN765" s="10">
        <f t="shared" ca="1" si="1461"/>
        <v>0</v>
      </c>
      <c r="AO765" s="138">
        <f t="shared" ca="1" si="1461"/>
        <v>0</v>
      </c>
      <c r="AQ765" s="10">
        <f t="shared" ref="AQ765:AX765" si="1462">AQ764-AQ763</f>
        <v>0</v>
      </c>
      <c r="AR765" s="10">
        <f t="shared" si="1462"/>
        <v>0</v>
      </c>
      <c r="AS765" s="10">
        <f t="shared" si="1462"/>
        <v>0</v>
      </c>
      <c r="AT765" s="10">
        <f t="shared" si="1462"/>
        <v>0</v>
      </c>
      <c r="AU765" s="10">
        <f t="shared" si="1462"/>
        <v>0</v>
      </c>
      <c r="AV765" s="10">
        <f t="shared" si="1462"/>
        <v>0</v>
      </c>
      <c r="AW765" s="10">
        <f t="shared" si="1462"/>
        <v>0</v>
      </c>
      <c r="AX765" s="138">
        <f t="shared" si="1462"/>
        <v>0</v>
      </c>
      <c r="AZ765" s="10">
        <f t="shared" ref="AZ765:BG765" ca="1" si="1463">AZ764-AZ763</f>
        <v>8.8242614912815043E-2</v>
      </c>
      <c r="BA765" s="10">
        <f t="shared" ca="1" si="1463"/>
        <v>-4.8572726084103124E-2</v>
      </c>
      <c r="BB765" s="10">
        <f t="shared" ca="1" si="1463"/>
        <v>-0.51968464031506301</v>
      </c>
      <c r="BC765" s="10">
        <f t="shared" ca="1" si="1463"/>
        <v>-0.11686479058062105</v>
      </c>
      <c r="BD765" s="10">
        <f t="shared" ca="1" si="1463"/>
        <v>0.70946071673097322</v>
      </c>
      <c r="BE765" s="10">
        <f t="shared" ca="1" si="1463"/>
        <v>3.0788441220174718</v>
      </c>
      <c r="BF765" s="10">
        <f t="shared" ca="1" si="1463"/>
        <v>0.38756856008512841</v>
      </c>
      <c r="BG765" s="138">
        <f t="shared" ca="1" si="1463"/>
        <v>3.5789938567686477</v>
      </c>
      <c r="BI765" s="10">
        <f t="shared" ref="BI765:BP765" ca="1" si="1464">BI764-BI763</f>
        <v>6.6087100392905995E-2</v>
      </c>
      <c r="BJ765" s="10">
        <f t="shared" ca="1" si="1464"/>
        <v>-3.656519894639132E-2</v>
      </c>
      <c r="BK765" s="10">
        <f t="shared" ca="1" si="1464"/>
        <v>-0.4005290971181239</v>
      </c>
      <c r="BL765" s="10">
        <f t="shared" ca="1" si="1464"/>
        <v>-8.9766095678896818E-2</v>
      </c>
      <c r="BM765" s="10">
        <f t="shared" ca="1" si="1464"/>
        <v>0.53976830777628493</v>
      </c>
      <c r="BN765" s="10">
        <f t="shared" ca="1" si="1464"/>
        <v>2.3760863878487726</v>
      </c>
      <c r="BO765" s="10">
        <f t="shared" ca="1" si="1464"/>
        <v>0.29622175179611077</v>
      </c>
      <c r="BP765" s="138">
        <f t="shared" ca="1" si="1464"/>
        <v>2.7513031560665695</v>
      </c>
    </row>
    <row r="766" spans="2:68" ht="13.2" customHeight="1">
      <c r="G766" s="1122"/>
      <c r="H766" s="1122"/>
      <c r="I766" s="1122"/>
      <c r="J766" s="1122"/>
      <c r="K766" s="1122"/>
      <c r="L766" s="1122"/>
      <c r="M766" s="1122"/>
      <c r="N766" s="1122"/>
      <c r="O766" s="39">
        <f>ROW()</f>
        <v>766</v>
      </c>
    </row>
    <row r="767" spans="2:68" ht="13.2" customHeight="1">
      <c r="B767" s="308" t="s">
        <v>1691</v>
      </c>
      <c r="G767" s="1122">
        <f t="shared" ref="G767:N768" ca="1" si="1465">P767+Y767+AH767+AQ767+AZ767+BI767</f>
        <v>428185.7101841527</v>
      </c>
      <c r="H767" s="1122">
        <f t="shared" ca="1" si="1465"/>
        <v>76884.78038740858</v>
      </c>
      <c r="I767" s="1122">
        <f t="shared" ca="1" si="1465"/>
        <v>488207.02992815862</v>
      </c>
      <c r="J767" s="1122">
        <f t="shared" ca="1" si="1465"/>
        <v>159094.39021110069</v>
      </c>
      <c r="K767" s="1122">
        <f t="shared" ca="1" si="1465"/>
        <v>581851.85997771961</v>
      </c>
      <c r="L767" s="1122">
        <f t="shared" ca="1" si="1465"/>
        <v>1025320.9495738902</v>
      </c>
      <c r="M767" s="1122">
        <f t="shared" ca="1" si="1465"/>
        <v>432681.85982272989</v>
      </c>
      <c r="N767" s="1127">
        <f t="shared" ca="1" si="1465"/>
        <v>3192226.5800851597</v>
      </c>
      <c r="O767" s="39">
        <f>ROW()</f>
        <v>767</v>
      </c>
      <c r="P767" s="10">
        <f ca="1">P720</f>
        <v>53990.955941980574</v>
      </c>
      <c r="Q767" s="10">
        <f t="shared" ref="Q767:V767" ca="1" si="1466">Q720</f>
        <v>21084.914979592661</v>
      </c>
      <c r="R767" s="10">
        <f t="shared" ca="1" si="1466"/>
        <v>135437.28610920336</v>
      </c>
      <c r="S767" s="10">
        <f t="shared" ca="1" si="1466"/>
        <v>36160.663395959338</v>
      </c>
      <c r="T767" s="10">
        <f t="shared" ca="1" si="1466"/>
        <v>121965.17920913367</v>
      </c>
      <c r="U767" s="10">
        <f t="shared" ca="1" si="1466"/>
        <v>193735.9846023249</v>
      </c>
      <c r="V767" s="10">
        <f t="shared" ca="1" si="1466"/>
        <v>67648.352602391504</v>
      </c>
      <c r="W767" s="10">
        <f ca="1">SUM(P767:V767)</f>
        <v>630023.33684058604</v>
      </c>
      <c r="Y767" s="10">
        <f ca="1">Y720</f>
        <v>51679.829227572569</v>
      </c>
      <c r="Z767" s="10">
        <f t="shared" ref="Z767:AE767" ca="1" si="1467">Z720</f>
        <v>7833.3127077846129</v>
      </c>
      <c r="AA767" s="10">
        <f t="shared" ca="1" si="1467"/>
        <v>54907.314282147941</v>
      </c>
      <c r="AB767" s="10">
        <f t="shared" ca="1" si="1467"/>
        <v>21752.795951195792</v>
      </c>
      <c r="AC767" s="10">
        <f t="shared" ca="1" si="1467"/>
        <v>87036.318394180256</v>
      </c>
      <c r="AD767" s="10">
        <f t="shared" ca="1" si="1467"/>
        <v>179810.74962729047</v>
      </c>
      <c r="AE767" s="10">
        <f t="shared" ca="1" si="1467"/>
        <v>62071.67436006786</v>
      </c>
      <c r="AF767" s="10">
        <f ca="1">SUM(Y767:AE767)</f>
        <v>465091.99455023953</v>
      </c>
      <c r="AH767" s="10">
        <f ca="1">AH720</f>
        <v>45354.263260844491</v>
      </c>
      <c r="AI767" s="10">
        <f t="shared" ref="AI767:AN767" ca="1" si="1468">AI720</f>
        <v>6741.587725487776</v>
      </c>
      <c r="AJ767" s="10">
        <f t="shared" ca="1" si="1468"/>
        <v>33988.838306725469</v>
      </c>
      <c r="AK767" s="10">
        <f t="shared" ca="1" si="1468"/>
        <v>10358.608749547879</v>
      </c>
      <c r="AL767" s="10">
        <f t="shared" ca="1" si="1468"/>
        <v>46331.460587021938</v>
      </c>
      <c r="AM767" s="10">
        <f t="shared" ca="1" si="1468"/>
        <v>93759.097044687092</v>
      </c>
      <c r="AN767" s="10">
        <f t="shared" ca="1" si="1468"/>
        <v>42269.860551337435</v>
      </c>
      <c r="AO767" s="10">
        <f ca="1">SUM(AH767:AN767)</f>
        <v>278803.71622565208</v>
      </c>
      <c r="AQ767" s="10">
        <f ca="1">AQ720</f>
        <v>240050.42598557673</v>
      </c>
      <c r="AR767" s="10">
        <f t="shared" ref="AR767:AW767" ca="1" si="1469">AR720</f>
        <v>32205.005406578308</v>
      </c>
      <c r="AS767" s="10">
        <f t="shared" ca="1" si="1469"/>
        <v>208017.98164423773</v>
      </c>
      <c r="AT767" s="10">
        <f t="shared" ca="1" si="1469"/>
        <v>73953.314528786039</v>
      </c>
      <c r="AU767" s="10">
        <f t="shared" ca="1" si="1469"/>
        <v>264250.20000315504</v>
      </c>
      <c r="AV767" s="10">
        <f t="shared" ca="1" si="1469"/>
        <v>442462.35930972925</v>
      </c>
      <c r="AW767" s="10">
        <f t="shared" ca="1" si="1469"/>
        <v>217925.7664214203</v>
      </c>
      <c r="AX767" s="10">
        <f ca="1">SUM(AQ767:AW767)</f>
        <v>1478865.0532994834</v>
      </c>
      <c r="AZ767" s="10">
        <f ca="1">AZ720</f>
        <v>29580.643450913274</v>
      </c>
      <c r="BA767" s="10">
        <f t="shared" ref="BA767:BF767" ca="1" si="1470">BA720</f>
        <v>7121.3081494189291</v>
      </c>
      <c r="BB767" s="10">
        <f t="shared" ca="1" si="1470"/>
        <v>44162.343845958698</v>
      </c>
      <c r="BC767" s="10">
        <f t="shared" ca="1" si="1470"/>
        <v>13335.310960811765</v>
      </c>
      <c r="BD767" s="10">
        <f t="shared" ca="1" si="1470"/>
        <v>49400.709458491503</v>
      </c>
      <c r="BE767" s="10">
        <f t="shared" ca="1" si="1470"/>
        <v>91382.186596478685</v>
      </c>
      <c r="BF767" s="10">
        <f t="shared" ca="1" si="1470"/>
        <v>33866.6342240546</v>
      </c>
      <c r="BG767" s="10">
        <f ca="1">SUM(AZ767:BF767)</f>
        <v>268849.13668612746</v>
      </c>
      <c r="BI767" s="10">
        <f ca="1">BI720</f>
        <v>7529.5923172649655</v>
      </c>
      <c r="BJ767" s="10">
        <f t="shared" ref="BJ767:BO767" ca="1" si="1471">BJ720</f>
        <v>1898.6514185463029</v>
      </c>
      <c r="BK767" s="10">
        <f t="shared" ca="1" si="1471"/>
        <v>11693.26573988537</v>
      </c>
      <c r="BL767" s="10">
        <f t="shared" ca="1" si="1471"/>
        <v>3533.6966247998621</v>
      </c>
      <c r="BM767" s="10">
        <f t="shared" ca="1" si="1471"/>
        <v>12867.992325737127</v>
      </c>
      <c r="BN767" s="10">
        <f t="shared" ca="1" si="1471"/>
        <v>24170.572393379603</v>
      </c>
      <c r="BO767" s="10">
        <f t="shared" ca="1" si="1471"/>
        <v>8899.5716634581258</v>
      </c>
      <c r="BP767" s="10">
        <f ca="1">SUM(BI767:BO767)</f>
        <v>70593.342483071348</v>
      </c>
    </row>
    <row r="768" spans="2:68" ht="13.2" customHeight="1">
      <c r="B768" s="308" t="s">
        <v>1568</v>
      </c>
      <c r="G768" s="1122">
        <f t="shared" ca="1" si="1465"/>
        <v>428189.82982411503</v>
      </c>
      <c r="H768" s="1122">
        <f t="shared" ca="1" si="1465"/>
        <v>76885.591757280985</v>
      </c>
      <c r="I768" s="1122">
        <f t="shared" ca="1" si="1465"/>
        <v>488207.10448177229</v>
      </c>
      <c r="J768" s="1122">
        <f t="shared" ca="1" si="1465"/>
        <v>159091.14500962201</v>
      </c>
      <c r="K768" s="1122">
        <f t="shared" ca="1" si="1465"/>
        <v>581852.23368615366</v>
      </c>
      <c r="L768" s="1122">
        <f t="shared" ca="1" si="1465"/>
        <v>1025393.8925111019</v>
      </c>
      <c r="M768" s="1122">
        <f t="shared" ca="1" si="1465"/>
        <v>432680.10297412006</v>
      </c>
      <c r="N768" s="1127">
        <f t="shared" ca="1" si="1465"/>
        <v>3192299.9002441661</v>
      </c>
      <c r="O768" s="39">
        <f>ROW()</f>
        <v>768</v>
      </c>
      <c r="P768" s="10">
        <f t="shared" ref="P768:V768" ca="1" si="1472">P753+P760+P764</f>
        <v>53992.33653858889</v>
      </c>
      <c r="Q768" s="10">
        <f t="shared" ca="1" si="1472"/>
        <v>21085.312791869095</v>
      </c>
      <c r="R768" s="10">
        <f t="shared" ca="1" si="1472"/>
        <v>135437.3037464917</v>
      </c>
      <c r="S768" s="10">
        <f t="shared" ca="1" si="1472"/>
        <v>36158.936058308158</v>
      </c>
      <c r="T768" s="10">
        <f t="shared" ca="1" si="1472"/>
        <v>121966.52116983841</v>
      </c>
      <c r="U768" s="10">
        <f t="shared" ca="1" si="1472"/>
        <v>193765.73335085204</v>
      </c>
      <c r="V768" s="10">
        <f t="shared" ca="1" si="1472"/>
        <v>67650.18439863938</v>
      </c>
      <c r="W768" s="10">
        <f ca="1">SUM(P768:V768)</f>
        <v>630056.32805458771</v>
      </c>
      <c r="Y768" s="10">
        <f t="shared" ref="Y768:AE768" ca="1" si="1473">Y753+Y760+Y764</f>
        <v>51681.397562418839</v>
      </c>
      <c r="Z768" s="10">
        <f t="shared" ca="1" si="1473"/>
        <v>7833.2912489422661</v>
      </c>
      <c r="AA768" s="10">
        <f t="shared" ca="1" si="1473"/>
        <v>54906.09806152933</v>
      </c>
      <c r="AB768" s="10">
        <f t="shared" ca="1" si="1473"/>
        <v>21751.90528756912</v>
      </c>
      <c r="AC768" s="10">
        <f t="shared" ca="1" si="1473"/>
        <v>87037.688554358159</v>
      </c>
      <c r="AD768" s="10">
        <f t="shared" ca="1" si="1473"/>
        <v>179837.10306645054</v>
      </c>
      <c r="AE768" s="10">
        <f t="shared" ca="1" si="1473"/>
        <v>62072.208074397458</v>
      </c>
      <c r="AF768" s="10">
        <f ca="1">SUM(Y768:AE768)</f>
        <v>465119.6918556657</v>
      </c>
      <c r="AH768" s="10">
        <f t="shared" ref="AH768:AN768" ca="1" si="1474">AH753+AH760+AH764</f>
        <v>45354.169183104743</v>
      </c>
      <c r="AI768" s="10">
        <f t="shared" ca="1" si="1474"/>
        <v>6741.8289193108503</v>
      </c>
      <c r="AJ768" s="10">
        <f t="shared" ca="1" si="1474"/>
        <v>33988.963563919009</v>
      </c>
      <c r="AK768" s="10">
        <f t="shared" ca="1" si="1474"/>
        <v>10357.765146529617</v>
      </c>
      <c r="AL768" s="10">
        <f t="shared" ca="1" si="1474"/>
        <v>46326.544026383381</v>
      </c>
      <c r="AM768" s="10">
        <f t="shared" ca="1" si="1474"/>
        <v>93765.60239503489</v>
      </c>
      <c r="AN768" s="10">
        <f t="shared" ca="1" si="1474"/>
        <v>42264.126773816482</v>
      </c>
      <c r="AO768" s="10">
        <f ca="1">SUM(AH768:AN768)</f>
        <v>278799.00000809896</v>
      </c>
      <c r="AQ768" s="10">
        <f t="shared" ref="AQ768:AW768" ca="1" si="1475">AQ767</f>
        <v>240050.42598557673</v>
      </c>
      <c r="AR768" s="10">
        <f t="shared" ca="1" si="1475"/>
        <v>32205.005406578308</v>
      </c>
      <c r="AS768" s="10">
        <f t="shared" ca="1" si="1475"/>
        <v>208017.98164423773</v>
      </c>
      <c r="AT768" s="10">
        <f t="shared" ca="1" si="1475"/>
        <v>73953.314528786039</v>
      </c>
      <c r="AU768" s="10">
        <f t="shared" ca="1" si="1475"/>
        <v>264250.20000315504</v>
      </c>
      <c r="AV768" s="10">
        <f t="shared" ca="1" si="1475"/>
        <v>442462.35930972925</v>
      </c>
      <c r="AW768" s="10">
        <f t="shared" ca="1" si="1475"/>
        <v>217925.7664214203</v>
      </c>
      <c r="AX768" s="10">
        <f ca="1">SUM(AQ768:AW768)</f>
        <v>1478865.0532994834</v>
      </c>
      <c r="AZ768" s="10">
        <f t="shared" ref="AZ768:BF768" ca="1" si="1476">AZ753+AZ760+AZ764</f>
        <v>29581.709864028831</v>
      </c>
      <c r="BA768" s="10">
        <f t="shared" ca="1" si="1476"/>
        <v>7121.4997871811265</v>
      </c>
      <c r="BB768" s="10">
        <f t="shared" ca="1" si="1476"/>
        <v>44163.643138987252</v>
      </c>
      <c r="BC768" s="10">
        <f t="shared" ca="1" si="1476"/>
        <v>13335.598681850295</v>
      </c>
      <c r="BD768" s="10">
        <f t="shared" ca="1" si="1476"/>
        <v>49402.709042964634</v>
      </c>
      <c r="BE768" s="10">
        <f t="shared" ca="1" si="1476"/>
        <v>91389.405840033724</v>
      </c>
      <c r="BF768" s="10">
        <f t="shared" ca="1" si="1476"/>
        <v>33867.914133559592</v>
      </c>
      <c r="BG768" s="10">
        <f ca="1">SUM(AZ768:BF768)</f>
        <v>268862.48048860545</v>
      </c>
      <c r="BI768" s="10">
        <f t="shared" ref="BI768:BO768" ca="1" si="1477">BI753+BI760+BI764</f>
        <v>7529.7906903969288</v>
      </c>
      <c r="BJ768" s="10">
        <f t="shared" ca="1" si="1477"/>
        <v>1898.6536033993466</v>
      </c>
      <c r="BK768" s="10">
        <f t="shared" ca="1" si="1477"/>
        <v>11693.114326607181</v>
      </c>
      <c r="BL768" s="10">
        <f t="shared" ca="1" si="1477"/>
        <v>3533.6253065787723</v>
      </c>
      <c r="BM768" s="10">
        <f t="shared" ca="1" si="1477"/>
        <v>12868.570889454026</v>
      </c>
      <c r="BN768" s="10">
        <f t="shared" ca="1" si="1477"/>
        <v>24173.688549001505</v>
      </c>
      <c r="BO768" s="10">
        <f t="shared" ca="1" si="1477"/>
        <v>8899.9031722868021</v>
      </c>
      <c r="BP768" s="10">
        <f ca="1">SUM(BI768:BO768)</f>
        <v>70597.346537724559</v>
      </c>
    </row>
    <row r="769" spans="2:68" ht="13.2" customHeight="1">
      <c r="B769" s="308" t="s">
        <v>1817</v>
      </c>
      <c r="G769" s="10">
        <f t="shared" ref="G769:M769" ca="1" si="1478">G768/G$118</f>
        <v>71364.971637352501</v>
      </c>
      <c r="H769" s="10">
        <f t="shared" ca="1" si="1478"/>
        <v>76885.591757280985</v>
      </c>
      <c r="I769" s="10">
        <f t="shared" ca="1" si="1478"/>
        <v>162735.70149392411</v>
      </c>
      <c r="J769" s="10">
        <f t="shared" ca="1" si="1478"/>
        <v>159091.14500962201</v>
      </c>
      <c r="K769" s="10">
        <f t="shared" ca="1" si="1478"/>
        <v>145463.05842153842</v>
      </c>
      <c r="L769" s="10">
        <f t="shared" ca="1" si="1478"/>
        <v>170898.98208518364</v>
      </c>
      <c r="M769" s="10">
        <f t="shared" ca="1" si="1478"/>
        <v>144226.70099137336</v>
      </c>
      <c r="N769" s="6"/>
      <c r="O769" s="39">
        <f>ROW()</f>
        <v>769</v>
      </c>
      <c r="P769" s="10"/>
      <c r="Q769" s="10"/>
      <c r="R769" s="10"/>
      <c r="S769" s="10"/>
      <c r="T769" s="10"/>
      <c r="U769" s="10"/>
      <c r="V769" s="10"/>
      <c r="W769" s="10"/>
      <c r="Y769" s="10"/>
      <c r="Z769" s="10"/>
      <c r="AA769" s="10"/>
      <c r="AB769" s="10"/>
      <c r="AC769" s="10"/>
      <c r="AD769" s="10"/>
      <c r="AE769" s="10"/>
      <c r="AF769" s="10"/>
      <c r="AH769" s="10"/>
      <c r="AI769" s="10"/>
      <c r="AJ769" s="10"/>
      <c r="AK769" s="10"/>
      <c r="AL769" s="10"/>
      <c r="AM769" s="10"/>
      <c r="AN769" s="10"/>
      <c r="AO769" s="10"/>
      <c r="AQ769" s="10"/>
      <c r="AR769" s="10"/>
      <c r="AS769" s="10"/>
      <c r="AT769" s="10"/>
      <c r="AU769" s="10"/>
      <c r="AV769" s="10"/>
      <c r="AW769" s="10"/>
      <c r="AX769" s="10"/>
      <c r="AZ769" s="10"/>
      <c r="BA769" s="10"/>
      <c r="BB769" s="10"/>
      <c r="BC769" s="10"/>
      <c r="BD769" s="10"/>
      <c r="BE769" s="10"/>
      <c r="BF769" s="10"/>
      <c r="BG769" s="10"/>
      <c r="BI769" s="10"/>
      <c r="BJ769" s="10"/>
      <c r="BK769" s="10"/>
      <c r="BL769" s="10"/>
      <c r="BM769" s="10"/>
      <c r="BN769" s="10"/>
      <c r="BO769" s="10"/>
      <c r="BP769" s="10"/>
    </row>
    <row r="770" spans="2:68" ht="13.2" customHeight="1">
      <c r="B770" s="280" t="s">
        <v>2709</v>
      </c>
      <c r="G770" s="612">
        <f t="shared" ref="G770:M770" ca="1" si="1479">G768/G767</f>
        <v>1.0000096211523746</v>
      </c>
      <c r="H770" s="612">
        <f t="shared" ca="1" si="1479"/>
        <v>1.0000105530622356</v>
      </c>
      <c r="I770" s="612">
        <f t="shared" ca="1" si="1479"/>
        <v>1.000000152709013</v>
      </c>
      <c r="J770" s="612">
        <f t="shared" ca="1" si="1479"/>
        <v>0.99997960203703995</v>
      </c>
      <c r="K770" s="612">
        <f t="shared" ca="1" si="1479"/>
        <v>1.0000006422741934</v>
      </c>
      <c r="L770" s="612">
        <f t="shared" ca="1" si="1479"/>
        <v>1.0000711415652259</v>
      </c>
      <c r="M770" s="612">
        <f t="shared" ca="1" si="1479"/>
        <v>0.99999593962961486</v>
      </c>
      <c r="N770" s="186"/>
      <c r="O770" s="39">
        <f>ROW()</f>
        <v>770</v>
      </c>
      <c r="P770" s="4147" t="s">
        <v>2680</v>
      </c>
      <c r="Q770" s="4147"/>
      <c r="R770" s="4147"/>
      <c r="S770" s="4147"/>
      <c r="T770" s="4147"/>
      <c r="U770" s="4147"/>
      <c r="V770" s="4147"/>
      <c r="W770" s="4147"/>
      <c r="Y770" s="4147" t="s">
        <v>2681</v>
      </c>
      <c r="Z770" s="4147"/>
      <c r="AA770" s="4147"/>
      <c r="AB770" s="4147"/>
      <c r="AC770" s="4147"/>
      <c r="AD770" s="4147"/>
      <c r="AE770" s="4147"/>
      <c r="AF770" s="4147"/>
      <c r="AH770" s="4263" t="s">
        <v>5482</v>
      </c>
      <c r="AI770" s="4264"/>
      <c r="AJ770" s="4264"/>
      <c r="AK770" s="4264"/>
      <c r="AL770" s="4264"/>
      <c r="AM770" s="4264"/>
      <c r="AN770" s="4264"/>
      <c r="AO770" s="4264"/>
      <c r="AQ770" s="4147" t="s">
        <v>713</v>
      </c>
      <c r="AR770" s="4147"/>
      <c r="AS770" s="4147"/>
      <c r="AT770" s="4147"/>
      <c r="AU770" s="4147"/>
      <c r="AV770" s="4147"/>
      <c r="AW770" s="4147"/>
      <c r="AX770" s="4147"/>
      <c r="AZ770" s="4147" t="s">
        <v>460</v>
      </c>
      <c r="BA770" s="4147"/>
      <c r="BB770" s="4147"/>
      <c r="BC770" s="4147"/>
      <c r="BD770" s="4147"/>
      <c r="BE770" s="4147"/>
      <c r="BF770" s="4147"/>
      <c r="BG770" s="4147"/>
      <c r="BI770" s="4147" t="s">
        <v>849</v>
      </c>
      <c r="BJ770" s="4147"/>
      <c r="BK770" s="4147"/>
      <c r="BL770" s="4147"/>
      <c r="BM770" s="4147"/>
      <c r="BN770" s="4147"/>
      <c r="BO770" s="4147"/>
      <c r="BP770" s="4147"/>
    </row>
    <row r="771" spans="2:68" ht="13.2" customHeight="1">
      <c r="G771" s="612"/>
      <c r="H771" s="612"/>
      <c r="I771" s="612"/>
      <c r="J771" s="612"/>
      <c r="K771" s="612"/>
      <c r="L771" s="612"/>
      <c r="M771" s="612"/>
      <c r="N771" s="186"/>
      <c r="O771" s="39">
        <f>ROW()</f>
        <v>771</v>
      </c>
      <c r="P771" s="10"/>
      <c r="Q771" s="10"/>
      <c r="R771" s="10"/>
      <c r="S771" s="10"/>
      <c r="T771" s="10"/>
      <c r="U771" s="10"/>
      <c r="V771" s="10"/>
      <c r="W771" s="10"/>
      <c r="Y771" s="10"/>
      <c r="Z771" s="10"/>
      <c r="AA771" s="10"/>
      <c r="AB771" s="10"/>
      <c r="AC771" s="10"/>
      <c r="AD771" s="10"/>
      <c r="AE771" s="10"/>
      <c r="AF771" s="10"/>
      <c r="AO771" s="10"/>
      <c r="AQ771" s="10"/>
      <c r="AR771" s="10"/>
      <c r="AS771" s="10"/>
      <c r="AT771" s="10"/>
      <c r="AU771" s="10"/>
      <c r="AV771" s="10"/>
      <c r="AW771" s="10"/>
      <c r="AX771" s="10"/>
      <c r="AZ771" s="10"/>
      <c r="BA771" s="10"/>
      <c r="BB771" s="10"/>
      <c r="BC771" s="10"/>
      <c r="BD771" s="10"/>
      <c r="BE771" s="10"/>
      <c r="BF771" s="10"/>
      <c r="BG771" s="10"/>
      <c r="BI771" s="10"/>
      <c r="BJ771" s="10"/>
      <c r="BK771" s="10"/>
      <c r="BL771" s="10"/>
      <c r="BM771" s="10"/>
      <c r="BN771" s="10"/>
      <c r="BO771" s="10"/>
      <c r="BP771" s="10"/>
    </row>
    <row r="772" spans="2:68" ht="13.2" customHeight="1">
      <c r="B772" s="308" t="s">
        <v>587</v>
      </c>
      <c r="C772" s="280"/>
      <c r="D772" s="280"/>
      <c r="E772" s="280"/>
      <c r="F772" s="280"/>
      <c r="G772" s="280"/>
      <c r="H772" s="280"/>
      <c r="I772" s="280"/>
      <c r="J772" s="280"/>
      <c r="K772" s="280"/>
      <c r="L772" s="280"/>
      <c r="M772" s="280"/>
      <c r="N772" s="280"/>
      <c r="O772" s="39">
        <f>ROW()</f>
        <v>772</v>
      </c>
    </row>
    <row r="773" spans="2:68" ht="13.2" customHeight="1">
      <c r="B773" s="280" t="s">
        <v>2034</v>
      </c>
      <c r="E773" s="280"/>
      <c r="F773" s="280"/>
      <c r="G773" s="21">
        <f t="shared" ref="G773:M773" ca="1" si="1480">KSC/(1+0.1*(G769*$G$401/V_sub_k)^KSE)</f>
        <v>21.210465423110062</v>
      </c>
      <c r="H773" s="21">
        <f t="shared" ca="1" si="1480"/>
        <v>20.949412430909653</v>
      </c>
      <c r="I773" s="21">
        <f t="shared" ca="1" si="1480"/>
        <v>10.964389266045632</v>
      </c>
      <c r="J773" s="21">
        <f t="shared" ca="1" si="1480"/>
        <v>11.462419635622068</v>
      </c>
      <c r="K773" s="21">
        <f t="shared" ca="1" si="1480"/>
        <v>13.393995453636993</v>
      </c>
      <c r="L773" s="21">
        <f t="shared" ca="1" si="1480"/>
        <v>9.8913711483232412</v>
      </c>
      <c r="M773" s="21">
        <f t="shared" ca="1" si="1480"/>
        <v>13.57220868631242</v>
      </c>
      <c r="O773" s="39">
        <f>ROW()</f>
        <v>773</v>
      </c>
      <c r="P773" s="21">
        <f t="shared" ref="P773:V774" ca="1" si="1481">G773</f>
        <v>21.210465423110062</v>
      </c>
      <c r="Q773" s="21">
        <f t="shared" ca="1" si="1481"/>
        <v>20.949412430909653</v>
      </c>
      <c r="R773" s="21">
        <f t="shared" ca="1" si="1481"/>
        <v>10.964389266045632</v>
      </c>
      <c r="S773" s="21">
        <f t="shared" ca="1" si="1481"/>
        <v>11.462419635622068</v>
      </c>
      <c r="T773" s="21">
        <f t="shared" ca="1" si="1481"/>
        <v>13.393995453636993</v>
      </c>
      <c r="U773" s="21">
        <f t="shared" ca="1" si="1481"/>
        <v>9.8913711483232412</v>
      </c>
      <c r="V773" s="21">
        <f t="shared" ca="1" si="1481"/>
        <v>13.57220868631242</v>
      </c>
      <c r="Y773" s="21">
        <f t="shared" ref="Y773:AE774" ca="1" si="1482">G773</f>
        <v>21.210465423110062</v>
      </c>
      <c r="Z773" s="21">
        <f t="shared" ca="1" si="1482"/>
        <v>20.949412430909653</v>
      </c>
      <c r="AA773" s="21">
        <f t="shared" ca="1" si="1482"/>
        <v>10.964389266045632</v>
      </c>
      <c r="AB773" s="21">
        <f t="shared" ca="1" si="1482"/>
        <v>11.462419635622068</v>
      </c>
      <c r="AC773" s="21">
        <f t="shared" ca="1" si="1482"/>
        <v>13.393995453636993</v>
      </c>
      <c r="AD773" s="21">
        <f t="shared" ca="1" si="1482"/>
        <v>9.8913711483232412</v>
      </c>
      <c r="AE773" s="21">
        <f t="shared" ca="1" si="1482"/>
        <v>13.57220868631242</v>
      </c>
      <c r="AH773" s="21">
        <f t="shared" ref="AH773:AN774" ca="1" si="1483">P773</f>
        <v>21.210465423110062</v>
      </c>
      <c r="AI773" s="21">
        <f t="shared" ca="1" si="1483"/>
        <v>20.949412430909653</v>
      </c>
      <c r="AJ773" s="21">
        <f t="shared" ca="1" si="1483"/>
        <v>10.964389266045632</v>
      </c>
      <c r="AK773" s="21">
        <f t="shared" ca="1" si="1483"/>
        <v>11.462419635622068</v>
      </c>
      <c r="AL773" s="21">
        <f t="shared" ca="1" si="1483"/>
        <v>13.393995453636993</v>
      </c>
      <c r="AM773" s="21">
        <f t="shared" ca="1" si="1483"/>
        <v>9.8913711483232412</v>
      </c>
      <c r="AN773" s="21">
        <f t="shared" ca="1" si="1483"/>
        <v>13.57220868631242</v>
      </c>
      <c r="AQ773" s="21">
        <f t="shared" ref="AQ773:AW773" ca="1" si="1484">G773*$AU$181</f>
        <v>20.149942151954559</v>
      </c>
      <c r="AR773" s="21">
        <f t="shared" ca="1" si="1484"/>
        <v>19.901941809364171</v>
      </c>
      <c r="AS773" s="21">
        <f t="shared" ca="1" si="1484"/>
        <v>10.416169802743351</v>
      </c>
      <c r="AT773" s="21">
        <f t="shared" ca="1" si="1484"/>
        <v>10.889298653840964</v>
      </c>
      <c r="AU773" s="21">
        <f t="shared" ca="1" si="1484"/>
        <v>12.724295680955143</v>
      </c>
      <c r="AV773" s="21">
        <f t="shared" ca="1" si="1484"/>
        <v>9.3968025909070789</v>
      </c>
      <c r="AW773" s="21">
        <f t="shared" ca="1" si="1484"/>
        <v>12.893598251996799</v>
      </c>
      <c r="AZ773" s="21">
        <f t="shared" ref="AZ773:BF774" ca="1" si="1485">G773</f>
        <v>21.210465423110062</v>
      </c>
      <c r="BA773" s="21">
        <f t="shared" ca="1" si="1485"/>
        <v>20.949412430909653</v>
      </c>
      <c r="BB773" s="21">
        <f t="shared" ca="1" si="1485"/>
        <v>10.964389266045632</v>
      </c>
      <c r="BC773" s="21">
        <f t="shared" ca="1" si="1485"/>
        <v>11.462419635622068</v>
      </c>
      <c r="BD773" s="21">
        <f t="shared" ca="1" si="1485"/>
        <v>13.393995453636993</v>
      </c>
      <c r="BE773" s="21">
        <f t="shared" ca="1" si="1485"/>
        <v>9.8913711483232412</v>
      </c>
      <c r="BF773" s="21">
        <f t="shared" ca="1" si="1485"/>
        <v>13.57220868631242</v>
      </c>
      <c r="BG773" s="21"/>
      <c r="BI773" s="21">
        <f t="shared" ref="BI773:BO774" ca="1" si="1486">G773</f>
        <v>21.210465423110062</v>
      </c>
      <c r="BJ773" s="21">
        <f t="shared" ca="1" si="1486"/>
        <v>20.949412430909653</v>
      </c>
      <c r="BK773" s="21">
        <f t="shared" ca="1" si="1486"/>
        <v>10.964389266045632</v>
      </c>
      <c r="BL773" s="21">
        <f t="shared" ca="1" si="1486"/>
        <v>11.462419635622068</v>
      </c>
      <c r="BM773" s="21">
        <f t="shared" ca="1" si="1486"/>
        <v>13.393995453636993</v>
      </c>
      <c r="BN773" s="21">
        <f t="shared" ca="1" si="1486"/>
        <v>9.8913711483232412</v>
      </c>
      <c r="BO773" s="21">
        <f t="shared" ca="1" si="1486"/>
        <v>13.57220868631242</v>
      </c>
      <c r="BP773" s="21"/>
    </row>
    <row r="774" spans="2:68" ht="13.2" customHeight="1">
      <c r="B774" s="280" t="s">
        <v>1428</v>
      </c>
      <c r="E774" s="280"/>
      <c r="F774" s="280"/>
      <c r="G774" s="21">
        <f ca="1">MIN('Speed-Vol., non-Cordon'!$X$57*(G726 / 'Speed-Vol., non-Cordon'!$X$57)^G745,'Speed-Vol., non-Cordon'!$X$32)</f>
        <v>54.993764333589269</v>
      </c>
      <c r="H774" s="21">
        <f ca="1">MIN('Speed-Vol., non-Cordon'!$X$57*(H726 / 'Speed-Vol., non-Cordon'!$X$57)^H745,'Speed-Vol., non-Cordon'!$X$32)</f>
        <v>47.591898980771894</v>
      </c>
      <c r="I774" s="21">
        <f ca="1">MIN('Speed-Vol., non-Cordon'!$X$57*(I726 / 'Speed-Vol., non-Cordon'!$X$57)^I745,'Speed-Vol., non-Cordon'!$X$32)</f>
        <v>18.265990410890712</v>
      </c>
      <c r="J774" s="21">
        <f ca="1">MIN('Speed-Vol., non-Cordon'!$X$57*(J726 / 'Speed-Vol., non-Cordon'!$X$57)^J745,'Speed-Vol., non-Cordon'!$X$32)</f>
        <v>21.658877065755693</v>
      </c>
      <c r="K774" s="21">
        <f ca="1">MIN('Speed-Vol., non-Cordon'!$X$57*(K726 / 'Speed-Vol., non-Cordon'!$X$57)^K745,'Speed-Vol., non-Cordon'!$X$32)</f>
        <v>25.232096883666191</v>
      </c>
      <c r="L774" s="21">
        <f ca="1">MIN('Speed-Vol., non-Cordon'!$X$57*(L726 / 'Speed-Vol., non-Cordon'!$X$57)^L745,'Speed-Vol., non-Cordon'!$X$32)</f>
        <v>16.450393653018399</v>
      </c>
      <c r="M774" s="21">
        <f ca="1">MIN('Speed-Vol., non-Cordon'!$X$57*(M726 / 'Speed-Vol., non-Cordon'!$X$57)^M745,'Speed-Vol., non-Cordon'!$X$32)</f>
        <v>27.51460033386336</v>
      </c>
      <c r="O774" s="39">
        <f>ROW()</f>
        <v>774</v>
      </c>
      <c r="P774" s="21">
        <f t="shared" ca="1" si="1481"/>
        <v>54.993764333589269</v>
      </c>
      <c r="Q774" s="21">
        <f t="shared" ca="1" si="1481"/>
        <v>47.591898980771894</v>
      </c>
      <c r="R774" s="21">
        <f t="shared" ca="1" si="1481"/>
        <v>18.265990410890712</v>
      </c>
      <c r="S774" s="21">
        <f t="shared" ca="1" si="1481"/>
        <v>21.658877065755693</v>
      </c>
      <c r="T774" s="21">
        <f t="shared" ca="1" si="1481"/>
        <v>25.232096883666191</v>
      </c>
      <c r="U774" s="21">
        <f t="shared" ca="1" si="1481"/>
        <v>16.450393653018399</v>
      </c>
      <c r="V774" s="21">
        <f t="shared" ca="1" si="1481"/>
        <v>27.51460033386336</v>
      </c>
      <c r="W774" s="4272" t="s">
        <v>1878</v>
      </c>
      <c r="Y774" s="21">
        <f t="shared" ca="1" si="1482"/>
        <v>54.993764333589269</v>
      </c>
      <c r="Z774" s="21">
        <f t="shared" ca="1" si="1482"/>
        <v>47.591898980771894</v>
      </c>
      <c r="AA774" s="21">
        <f t="shared" ca="1" si="1482"/>
        <v>18.265990410890712</v>
      </c>
      <c r="AB774" s="21">
        <f t="shared" ca="1" si="1482"/>
        <v>21.658877065755693</v>
      </c>
      <c r="AC774" s="21">
        <f t="shared" ca="1" si="1482"/>
        <v>25.232096883666191</v>
      </c>
      <c r="AD774" s="21">
        <f t="shared" ca="1" si="1482"/>
        <v>16.450393653018399</v>
      </c>
      <c r="AE774" s="21">
        <f t="shared" ca="1" si="1482"/>
        <v>27.51460033386336</v>
      </c>
      <c r="AF774" s="4272" t="s">
        <v>1878</v>
      </c>
      <c r="AH774" s="21">
        <f t="shared" ca="1" si="1483"/>
        <v>54.993764333589269</v>
      </c>
      <c r="AI774" s="21">
        <f t="shared" ca="1" si="1483"/>
        <v>47.591898980771894</v>
      </c>
      <c r="AJ774" s="21">
        <f t="shared" ca="1" si="1483"/>
        <v>18.265990410890712</v>
      </c>
      <c r="AK774" s="21">
        <f t="shared" ca="1" si="1483"/>
        <v>21.658877065755693</v>
      </c>
      <c r="AL774" s="21">
        <f t="shared" ca="1" si="1483"/>
        <v>25.232096883666191</v>
      </c>
      <c r="AM774" s="21">
        <f t="shared" ca="1" si="1483"/>
        <v>16.450393653018399</v>
      </c>
      <c r="AN774" s="21">
        <f t="shared" ca="1" si="1483"/>
        <v>27.51460033386336</v>
      </c>
      <c r="AO774" s="4272" t="s">
        <v>1878</v>
      </c>
      <c r="AQ774" s="21">
        <f t="shared" ref="AQ774:AW774" ca="1" si="1487">G774*$AV$181</f>
        <v>54.443826690253374</v>
      </c>
      <c r="AR774" s="21">
        <f t="shared" ca="1" si="1487"/>
        <v>47.115979990964178</v>
      </c>
      <c r="AS774" s="21">
        <f t="shared" ca="1" si="1487"/>
        <v>18.083330506781806</v>
      </c>
      <c r="AT774" s="21">
        <f t="shared" ca="1" si="1487"/>
        <v>21.442288295098134</v>
      </c>
      <c r="AU774" s="21">
        <f t="shared" ca="1" si="1487"/>
        <v>24.979775914829528</v>
      </c>
      <c r="AV774" s="21">
        <f t="shared" ca="1" si="1487"/>
        <v>16.285889716488214</v>
      </c>
      <c r="AW774" s="21">
        <f t="shared" ca="1" si="1487"/>
        <v>27.239454330524726</v>
      </c>
      <c r="AX774" s="4272" t="s">
        <v>1878</v>
      </c>
      <c r="AZ774" s="21">
        <f t="shared" ca="1" si="1485"/>
        <v>54.993764333589269</v>
      </c>
      <c r="BA774" s="21">
        <f t="shared" ca="1" si="1485"/>
        <v>47.591898980771894</v>
      </c>
      <c r="BB774" s="21">
        <f t="shared" ca="1" si="1485"/>
        <v>18.265990410890712</v>
      </c>
      <c r="BC774" s="21">
        <f t="shared" ca="1" si="1485"/>
        <v>21.658877065755693</v>
      </c>
      <c r="BD774" s="21">
        <f t="shared" ca="1" si="1485"/>
        <v>25.232096883666191</v>
      </c>
      <c r="BE774" s="21">
        <f t="shared" ca="1" si="1485"/>
        <v>16.450393653018399</v>
      </c>
      <c r="BF774" s="21">
        <f t="shared" ca="1" si="1485"/>
        <v>27.51460033386336</v>
      </c>
      <c r="BG774" s="4272" t="s">
        <v>1878</v>
      </c>
      <c r="BI774" s="21">
        <f t="shared" ca="1" si="1486"/>
        <v>54.993764333589269</v>
      </c>
      <c r="BJ774" s="21">
        <f t="shared" ca="1" si="1486"/>
        <v>47.591898980771894</v>
      </c>
      <c r="BK774" s="21">
        <f t="shared" ca="1" si="1486"/>
        <v>18.265990410890712</v>
      </c>
      <c r="BL774" s="21">
        <f t="shared" ca="1" si="1486"/>
        <v>21.658877065755693</v>
      </c>
      <c r="BM774" s="21">
        <f t="shared" ca="1" si="1486"/>
        <v>25.232096883666191</v>
      </c>
      <c r="BN774" s="21">
        <f t="shared" ca="1" si="1486"/>
        <v>16.450393653018399</v>
      </c>
      <c r="BO774" s="21">
        <f t="shared" ca="1" si="1486"/>
        <v>27.51460033386336</v>
      </c>
      <c r="BP774" s="4272" t="s">
        <v>1878</v>
      </c>
    </row>
    <row r="775" spans="2:68" ht="13.2" customHeight="1">
      <c r="B775" s="280"/>
      <c r="O775" s="39">
        <f>ROW()</f>
        <v>775</v>
      </c>
      <c r="W775" s="4341"/>
      <c r="AF775" s="4341"/>
      <c r="AO775" s="4341"/>
      <c r="AX775" s="4273"/>
      <c r="BG775" s="4273"/>
      <c r="BP775" s="4273"/>
    </row>
    <row r="776" spans="2:68" ht="13.2" customHeight="1">
      <c r="B776" s="308" t="s">
        <v>2606</v>
      </c>
      <c r="F776" s="606"/>
      <c r="O776" s="39">
        <f>ROW()</f>
        <v>776</v>
      </c>
      <c r="W776" s="4342"/>
      <c r="AF776" s="4342"/>
      <c r="AO776" s="4342"/>
      <c r="AX776" s="4340"/>
      <c r="BG776" s="4340"/>
      <c r="BP776" s="4340"/>
    </row>
    <row r="777" spans="2:68" ht="13.2" customHeight="1">
      <c r="B777" s="280" t="s">
        <v>2158</v>
      </c>
      <c r="C777" s="297"/>
      <c r="D777" s="297"/>
      <c r="E777" s="297"/>
      <c r="F777" s="297"/>
      <c r="G777" s="4286" t="s">
        <v>2351</v>
      </c>
      <c r="H777" s="3775"/>
      <c r="I777" s="3775"/>
      <c r="J777" s="3775"/>
      <c r="K777" s="3775"/>
      <c r="L777" s="3776"/>
      <c r="O777" s="39">
        <f>ROW()</f>
        <v>777</v>
      </c>
      <c r="P777" s="21">
        <f t="shared" ref="P777:V777" ca="1" si="1488">($I$85)*60/P773</f>
        <v>3.5359903002544701</v>
      </c>
      <c r="Q777" s="21">
        <f t="shared" ca="1" si="1488"/>
        <v>3.5800526743815406</v>
      </c>
      <c r="R777" s="21">
        <f t="shared" ca="1" si="1488"/>
        <v>6.8403262762896384</v>
      </c>
      <c r="S777" s="21">
        <f t="shared" ca="1" si="1488"/>
        <v>6.5431211196386929</v>
      </c>
      <c r="T777" s="21">
        <f t="shared" ca="1" si="1488"/>
        <v>5.5995240747699802</v>
      </c>
      <c r="U777" s="21">
        <f t="shared" ca="1" si="1488"/>
        <v>7.5823663752334074</v>
      </c>
      <c r="V777" s="21">
        <f t="shared" ca="1" si="1488"/>
        <v>5.5259981432231839</v>
      </c>
      <c r="W777" s="613">
        <f ca="1">SUMPRODUCT(P$476:V$476,P777:V777)/W$476</f>
        <v>6.2890597432524862</v>
      </c>
      <c r="Y777" s="21">
        <f t="shared" ref="Y777:AE777" ca="1" si="1489">($J$85)*60/Y773</f>
        <v>3.5359903002544701</v>
      </c>
      <c r="Z777" s="21">
        <f t="shared" ca="1" si="1489"/>
        <v>3.5800526743815406</v>
      </c>
      <c r="AA777" s="21">
        <f t="shared" ca="1" si="1489"/>
        <v>6.8403262762896384</v>
      </c>
      <c r="AB777" s="21">
        <f t="shared" ca="1" si="1489"/>
        <v>6.5431211196386929</v>
      </c>
      <c r="AC777" s="21">
        <f t="shared" ca="1" si="1489"/>
        <v>5.5995240747699802</v>
      </c>
      <c r="AD777" s="21">
        <f t="shared" ca="1" si="1489"/>
        <v>7.5823663752334074</v>
      </c>
      <c r="AE777" s="21">
        <f t="shared" ca="1" si="1489"/>
        <v>5.5259981432231839</v>
      </c>
      <c r="AF777" s="613">
        <f ca="1">SUMPRODUCT(Y$476:AE$476,Y777:AE777)/AF$476</f>
        <v>6.296573598900018</v>
      </c>
      <c r="AH777" s="21">
        <f t="shared" ref="AH777:AN777" ca="1" si="1490">($K$85)*60/AH773</f>
        <v>4.5260675843257214</v>
      </c>
      <c r="AI777" s="21">
        <f t="shared" ca="1" si="1490"/>
        <v>4.5824674232083717</v>
      </c>
      <c r="AJ777" s="21">
        <f t="shared" ca="1" si="1490"/>
        <v>8.7556176336507363</v>
      </c>
      <c r="AK777" s="21">
        <f t="shared" ca="1" si="1490"/>
        <v>8.3751950331375262</v>
      </c>
      <c r="AL777" s="21">
        <f t="shared" ca="1" si="1490"/>
        <v>7.1673908157055743</v>
      </c>
      <c r="AM777" s="21">
        <f t="shared" ca="1" si="1490"/>
        <v>9.7054289602987609</v>
      </c>
      <c r="AN777" s="21">
        <f t="shared" ca="1" si="1490"/>
        <v>7.0732776233256756</v>
      </c>
      <c r="AO777" s="613">
        <f ca="1">SUMPRODUCT(AH$476:AN$476,AH777:AN777)/AO$476</f>
        <v>7.7925283031177592</v>
      </c>
      <c r="AQ777" s="21">
        <f t="shared" ref="AQ777:AW777" ca="1" si="1491">($L$85)*60/AQ773</f>
        <v>5.9553520846391077</v>
      </c>
      <c r="AR777" s="21">
        <f t="shared" ca="1" si="1491"/>
        <v>6.029562398958384</v>
      </c>
      <c r="AS777" s="21">
        <f t="shared" ca="1" si="1491"/>
        <v>11.520549517961495</v>
      </c>
      <c r="AT777" s="21">
        <f t="shared" ca="1" si="1491"/>
        <v>11.019993464654641</v>
      </c>
      <c r="AU777" s="21">
        <f t="shared" ca="1" si="1491"/>
        <v>9.4307773890862823</v>
      </c>
      <c r="AV777" s="21">
        <f t="shared" ca="1" si="1491"/>
        <v>12.770301263551001</v>
      </c>
      <c r="AW777" s="21">
        <f t="shared" ca="1" si="1491"/>
        <v>9.3069442412179928</v>
      </c>
      <c r="AX777" s="613">
        <f ca="1">SUMPRODUCT(AQ$476:AW$476,AQ777:AW777)/AX$476</f>
        <v>10.146902015280217</v>
      </c>
      <c r="AZ777" s="21">
        <f t="shared" ref="AZ777:BF777" ca="1" si="1492">($M$85)*60/AZ773</f>
        <v>8.4863767206107283</v>
      </c>
      <c r="BA777" s="21">
        <f t="shared" ca="1" si="1492"/>
        <v>8.5921264185156971</v>
      </c>
      <c r="BB777" s="21">
        <f t="shared" ca="1" si="1492"/>
        <v>16.416783063095131</v>
      </c>
      <c r="BC777" s="21">
        <f t="shared" ca="1" si="1492"/>
        <v>15.703490687132863</v>
      </c>
      <c r="BD777" s="21">
        <f t="shared" ca="1" si="1492"/>
        <v>13.438857779447952</v>
      </c>
      <c r="BE777" s="21">
        <f t="shared" ca="1" si="1492"/>
        <v>18.197679300560178</v>
      </c>
      <c r="BF777" s="21">
        <f t="shared" ca="1" si="1492"/>
        <v>13.262395543735641</v>
      </c>
      <c r="BG777" s="613">
        <f ca="1">SUMPRODUCT(AZ$476:BF$476,AZ777:BF777)/BG$476</f>
        <v>14.97343982129655</v>
      </c>
      <c r="BI777" s="21">
        <f t="shared" ref="BI777:BO777" ca="1" si="1493">($N$85)*60/BI773</f>
        <v>5.6575844804071522</v>
      </c>
      <c r="BJ777" s="21">
        <f t="shared" ca="1" si="1493"/>
        <v>5.7280842790104654</v>
      </c>
      <c r="BK777" s="21">
        <f t="shared" ca="1" si="1493"/>
        <v>10.94452204206342</v>
      </c>
      <c r="BL777" s="21">
        <f t="shared" ca="1" si="1493"/>
        <v>10.468993791421909</v>
      </c>
      <c r="BM777" s="21">
        <f t="shared" ca="1" si="1493"/>
        <v>8.9592385196319668</v>
      </c>
      <c r="BN777" s="21">
        <f t="shared" ca="1" si="1493"/>
        <v>12.131786200373451</v>
      </c>
      <c r="BO777" s="21">
        <f t="shared" ca="1" si="1493"/>
        <v>8.8415970291570947</v>
      </c>
      <c r="BP777" s="613">
        <f ca="1">SUMPRODUCT(BI$476:BO$476,BI777:BO777)/BP$476</f>
        <v>10.010555863865894</v>
      </c>
    </row>
    <row r="778" spans="2:68" ht="13.2" customHeight="1">
      <c r="B778" s="280" t="s">
        <v>2159</v>
      </c>
      <c r="C778" s="297"/>
      <c r="D778" s="297"/>
      <c r="E778" s="297"/>
      <c r="F778" s="297"/>
      <c r="G778" s="3738"/>
      <c r="H778" s="3739"/>
      <c r="I778" s="3739"/>
      <c r="J778" s="3739"/>
      <c r="K778" s="3739"/>
      <c r="L778" s="3922"/>
      <c r="O778" s="39">
        <f>ROW()</f>
        <v>778</v>
      </c>
      <c r="P778" s="21">
        <f t="shared" ref="P778:V778" ca="1" si="1494">60*$I$85/(1/($P$135/$P773+$Q$135/$Q773+$R$135/$R773+$S$135/$S773+$T$135/$T773+$U$135/$U773+$V$135/$V773))</f>
        <v>6.2173236804621119</v>
      </c>
      <c r="Q778" s="21">
        <f t="shared" ca="1" si="1494"/>
        <v>6.2173236804621119</v>
      </c>
      <c r="R778" s="21">
        <f t="shared" ca="1" si="1494"/>
        <v>6.2173236804621119</v>
      </c>
      <c r="S778" s="21">
        <f t="shared" ca="1" si="1494"/>
        <v>6.2173236804621119</v>
      </c>
      <c r="T778" s="21">
        <f t="shared" ca="1" si="1494"/>
        <v>6.2173236804621119</v>
      </c>
      <c r="U778" s="21">
        <f t="shared" ca="1" si="1494"/>
        <v>6.2173236804621119</v>
      </c>
      <c r="V778" s="21">
        <f t="shared" ca="1" si="1494"/>
        <v>6.2173236804621119</v>
      </c>
      <c r="W778" s="613">
        <f ca="1">SUMPRODUCT(P$383:V$383,P778:V778)/W$383</f>
        <v>6.217323680462111</v>
      </c>
      <c r="Y778" s="21">
        <f t="shared" ref="Y778:AE778" ca="1" si="1495">60*$J$85/(1/($Y$135/$Y773+$Z$135/$Z773+$AA$135/$AA773+$AB$135/$AB773+$AC$135/$AC773+$AD$135/$AD773+$AE$135/$AE773))</f>
        <v>6.2173236804621128</v>
      </c>
      <c r="Z778" s="21">
        <f t="shared" ca="1" si="1495"/>
        <v>6.2173236804621128</v>
      </c>
      <c r="AA778" s="21">
        <f t="shared" ca="1" si="1495"/>
        <v>6.2173236804621128</v>
      </c>
      <c r="AB778" s="21">
        <f t="shared" ca="1" si="1495"/>
        <v>6.2173236804621128</v>
      </c>
      <c r="AC778" s="21">
        <f t="shared" ca="1" si="1495"/>
        <v>6.2173236804621128</v>
      </c>
      <c r="AD778" s="21">
        <f t="shared" ca="1" si="1495"/>
        <v>6.2173236804621128</v>
      </c>
      <c r="AE778" s="21">
        <f t="shared" ca="1" si="1495"/>
        <v>6.2173236804621128</v>
      </c>
      <c r="AF778" s="613">
        <f ca="1">SUMPRODUCT(Y$383:AE$383,Y778:AE778)/AF$383</f>
        <v>6.2173236804621119</v>
      </c>
      <c r="AH778" s="21">
        <f t="shared" ref="AH778:AN778" ca="1" si="1496">AH777</f>
        <v>4.5260675843257214</v>
      </c>
      <c r="AI778" s="21">
        <f t="shared" ca="1" si="1496"/>
        <v>4.5824674232083717</v>
      </c>
      <c r="AJ778" s="21">
        <f t="shared" ca="1" si="1496"/>
        <v>8.7556176336507363</v>
      </c>
      <c r="AK778" s="21">
        <f t="shared" ca="1" si="1496"/>
        <v>8.3751950331375262</v>
      </c>
      <c r="AL778" s="21">
        <f t="shared" ca="1" si="1496"/>
        <v>7.1673908157055743</v>
      </c>
      <c r="AM778" s="21">
        <f t="shared" ca="1" si="1496"/>
        <v>9.7054289602987609</v>
      </c>
      <c r="AN778" s="21">
        <f t="shared" ca="1" si="1496"/>
        <v>7.0732776233256756</v>
      </c>
      <c r="AO778" s="613">
        <f ca="1">SUMPRODUCT(AH$383:AN$383,AH778:AN778)/AO$383</f>
        <v>7.7503143738559146</v>
      </c>
      <c r="AQ778" s="21"/>
      <c r="AR778" s="21"/>
      <c r="AS778" s="21"/>
      <c r="AT778" s="21"/>
      <c r="AU778" s="21"/>
      <c r="AV778" s="21"/>
      <c r="AW778" s="21"/>
      <c r="AX778" s="613"/>
      <c r="AZ778" s="21">
        <f t="shared" ref="AZ778:BF778" ca="1" si="1497">60*$M$85/(1/($AZ$135/$AZ773+$BA$135/$BA773+$BB$135/$BB773+$BC$135/$BC773+$BD$135/$BD773+$BE$135/$BE773+$BF$135/$BF773))</f>
        <v>14.92157683310907</v>
      </c>
      <c r="BA778" s="21">
        <f t="shared" ca="1" si="1497"/>
        <v>14.92157683310907</v>
      </c>
      <c r="BB778" s="21">
        <f t="shared" ca="1" si="1497"/>
        <v>14.92157683310907</v>
      </c>
      <c r="BC778" s="21">
        <f t="shared" ca="1" si="1497"/>
        <v>14.92157683310907</v>
      </c>
      <c r="BD778" s="21">
        <f t="shared" ca="1" si="1497"/>
        <v>14.92157683310907</v>
      </c>
      <c r="BE778" s="21">
        <f t="shared" ca="1" si="1497"/>
        <v>14.92157683310907</v>
      </c>
      <c r="BF778" s="21">
        <f t="shared" ca="1" si="1497"/>
        <v>14.92157683310907</v>
      </c>
      <c r="BG778" s="613">
        <f ca="1">SUMPRODUCT(AZ$383:BF$383,AZ778:BF778)/BG$383</f>
        <v>14.921576833109071</v>
      </c>
      <c r="BI778" s="21">
        <f t="shared" ref="BI778:BO778" ca="1" si="1498">60*$N$85/(1/($BI$135/$BI773+$BJ$135/$BJ773+$BK$135/$BK773+$BL$135/$BL773+$BM$135/$BM773+$BN$135/$BN773+$BO$135/$BO773))</f>
        <v>9.947717888739378</v>
      </c>
      <c r="BJ778" s="21">
        <f t="shared" ca="1" si="1498"/>
        <v>9.947717888739378</v>
      </c>
      <c r="BK778" s="21">
        <f t="shared" ca="1" si="1498"/>
        <v>9.947717888739378</v>
      </c>
      <c r="BL778" s="21">
        <f t="shared" ca="1" si="1498"/>
        <v>9.947717888739378</v>
      </c>
      <c r="BM778" s="21">
        <f t="shared" ca="1" si="1498"/>
        <v>9.947717888739378</v>
      </c>
      <c r="BN778" s="21">
        <f t="shared" ca="1" si="1498"/>
        <v>9.947717888739378</v>
      </c>
      <c r="BO778" s="21">
        <f t="shared" ca="1" si="1498"/>
        <v>9.947717888739378</v>
      </c>
      <c r="BP778" s="613">
        <f ca="1">SUMPRODUCT(BI$383:BO$383,BI778:BO778)/BP$383</f>
        <v>9.947717888739378</v>
      </c>
    </row>
    <row r="779" spans="2:68" ht="13.2" customHeight="1">
      <c r="B779" s="280" t="s">
        <v>2160</v>
      </c>
      <c r="C779" s="297"/>
      <c r="D779" s="297"/>
      <c r="E779" s="297"/>
      <c r="F779" s="297"/>
      <c r="G779" s="3738"/>
      <c r="H779" s="3739"/>
      <c r="I779" s="3739"/>
      <c r="J779" s="3739"/>
      <c r="K779" s="3739"/>
      <c r="L779" s="3922"/>
      <c r="O779" s="39">
        <f>ROW()</f>
        <v>779</v>
      </c>
      <c r="P779" s="21">
        <f t="shared" ref="P779:V779" ca="1" si="1499">($I$79)*60/P774</f>
        <v>18.438518186761701</v>
      </c>
      <c r="Q779" s="21">
        <f t="shared" ca="1" si="1499"/>
        <v>21.306221132992633</v>
      </c>
      <c r="R779" s="21">
        <f t="shared" ca="1" si="1499"/>
        <v>55.513196985956725</v>
      </c>
      <c r="S779" s="21">
        <f t="shared" ca="1" si="1499"/>
        <v>46.816994285755847</v>
      </c>
      <c r="T779" s="21">
        <f t="shared" ca="1" si="1499"/>
        <v>40.18704939579478</v>
      </c>
      <c r="U779" s="21">
        <f t="shared" ca="1" si="1499"/>
        <v>61.640076536242546</v>
      </c>
      <c r="V779" s="21">
        <f t="shared" ca="1" si="1499"/>
        <v>36.853289218066401</v>
      </c>
      <c r="W779" s="613">
        <f ca="1">SUMPRODUCT(P$476:V$476,P779:V779)/W$476</f>
        <v>47.731118125760041</v>
      </c>
      <c r="Y779" s="21">
        <f t="shared" ref="Y779:AE779" ca="1" si="1500">($J$79)*60/Y774</f>
        <v>18.438518186761701</v>
      </c>
      <c r="Z779" s="21">
        <f t="shared" ca="1" si="1500"/>
        <v>21.306221132992633</v>
      </c>
      <c r="AA779" s="21">
        <f t="shared" ca="1" si="1500"/>
        <v>55.513196985956725</v>
      </c>
      <c r="AB779" s="21">
        <f t="shared" ca="1" si="1500"/>
        <v>46.816994285755847</v>
      </c>
      <c r="AC779" s="21">
        <f t="shared" ca="1" si="1500"/>
        <v>40.18704939579478</v>
      </c>
      <c r="AD779" s="21">
        <f t="shared" ca="1" si="1500"/>
        <v>61.640076536242546</v>
      </c>
      <c r="AE779" s="21">
        <f t="shared" ca="1" si="1500"/>
        <v>36.853289218066401</v>
      </c>
      <c r="AF779" s="613">
        <f ca="1">SUMPRODUCT(Y$476:AE$476,Y779:AE779)/AF$476</f>
        <v>47.56258658547538</v>
      </c>
      <c r="AH779" s="21">
        <f t="shared" ref="AH779:AN779" ca="1" si="1501">($K$79)*60/AH774</f>
        <v>27.65777728014255</v>
      </c>
      <c r="AI779" s="21">
        <f t="shared" ca="1" si="1501"/>
        <v>31.959331699488949</v>
      </c>
      <c r="AJ779" s="21">
        <f t="shared" ca="1" si="1501"/>
        <v>83.26979547893508</v>
      </c>
      <c r="AK779" s="21">
        <f t="shared" ca="1" si="1501"/>
        <v>70.225491428633774</v>
      </c>
      <c r="AL779" s="21">
        <f t="shared" ca="1" si="1501"/>
        <v>60.280574093692167</v>
      </c>
      <c r="AM779" s="21">
        <f t="shared" ca="1" si="1501"/>
        <v>92.460114804363812</v>
      </c>
      <c r="AN779" s="21">
        <f t="shared" ca="1" si="1501"/>
        <v>55.279933827099597</v>
      </c>
      <c r="AO779" s="613">
        <f ca="1">SUMPRODUCT(AH$476:AN$476,AH779:AN779)/AO$476</f>
        <v>68.022504834270023</v>
      </c>
      <c r="AQ779" s="21">
        <f t="shared" ref="AQ779:AW779" ca="1" si="1502">($L$79)*60/AQ774</f>
        <v>6.6123199246839093</v>
      </c>
      <c r="AR779" s="21">
        <f t="shared" ca="1" si="1502"/>
        <v>7.6407197742472972</v>
      </c>
      <c r="AS779" s="21">
        <f t="shared" ca="1" si="1502"/>
        <v>19.907837213116739</v>
      </c>
      <c r="AT779" s="21">
        <f t="shared" ca="1" si="1502"/>
        <v>16.789252856109517</v>
      </c>
      <c r="AU779" s="21">
        <f t="shared" ca="1" si="1502"/>
        <v>14.411658504361599</v>
      </c>
      <c r="AV779" s="21">
        <f t="shared" ca="1" si="1502"/>
        <v>22.105025041126712</v>
      </c>
      <c r="AW779" s="21">
        <f t="shared" ca="1" si="1502"/>
        <v>13.216123775158794</v>
      </c>
      <c r="AX779" s="613">
        <f ca="1">SUMPRODUCT(AQ$476:AW$476,AQ779:AW779)/AX$476</f>
        <v>16.015814068963945</v>
      </c>
      <c r="AZ779" s="21">
        <f t="shared" ref="AZ779:BF779" ca="1" si="1503">($M$79)*60/AZ774</f>
        <v>13.659949337312987</v>
      </c>
      <c r="BA779" s="21">
        <f t="shared" ca="1" si="1503"/>
        <v>15.784451781772029</v>
      </c>
      <c r="BB779" s="21">
        <f t="shared" ca="1" si="1503"/>
        <v>41.1262689712716</v>
      </c>
      <c r="BC779" s="21">
        <f t="shared" ca="1" si="1503"/>
        <v>34.683794195991901</v>
      </c>
      <c r="BD779" s="21">
        <f t="shared" ca="1" si="1503"/>
        <v>29.772081096884612</v>
      </c>
      <c r="BE779" s="21">
        <f t="shared" ca="1" si="1503"/>
        <v>45.665292303027854</v>
      </c>
      <c r="BF779" s="21">
        <f t="shared" ca="1" si="1503"/>
        <v>27.302305886682699</v>
      </c>
      <c r="BG779" s="613">
        <f ca="1">SUMPRODUCT(AZ$476:BF$476,AZ779:BF779)/BG$476</f>
        <v>34.866233190409588</v>
      </c>
      <c r="BI779" s="21">
        <f t="shared" ref="BI779:BO779" ca="1" si="1504">($N$79)*60/BI774</f>
        <v>18.947869517887717</v>
      </c>
      <c r="BJ779" s="21">
        <f t="shared" ca="1" si="1504"/>
        <v>21.894790777550444</v>
      </c>
      <c r="BK779" s="21">
        <f t="shared" ca="1" si="1504"/>
        <v>57.046710714850569</v>
      </c>
      <c r="BL779" s="21">
        <f t="shared" ca="1" si="1504"/>
        <v>48.110281420721492</v>
      </c>
      <c r="BM779" s="21">
        <f t="shared" ca="1" si="1504"/>
        <v>41.297188881866461</v>
      </c>
      <c r="BN779" s="21">
        <f t="shared" ca="1" si="1504"/>
        <v>63.342841081442629</v>
      </c>
      <c r="BO779" s="21">
        <f t="shared" ca="1" si="1504"/>
        <v>37.871335881548902</v>
      </c>
      <c r="BP779" s="613">
        <f ca="1">SUMPRODUCT(BI$476:BO$476,BI779:BO779)/BP$476</f>
        <v>48.560666577856068</v>
      </c>
    </row>
    <row r="780" spans="2:68" ht="13.2" customHeight="1">
      <c r="B780" s="280" t="s">
        <v>1138</v>
      </c>
      <c r="C780" s="297"/>
      <c r="D780" s="297"/>
      <c r="E780" s="297"/>
      <c r="F780" s="297"/>
      <c r="G780" s="3738"/>
      <c r="H780" s="3739"/>
      <c r="I780" s="3739"/>
      <c r="J780" s="3739"/>
      <c r="K780" s="3739"/>
      <c r="L780" s="3922"/>
      <c r="O780" s="39">
        <f>ROW()</f>
        <v>780</v>
      </c>
      <c r="P780" s="21">
        <f t="shared" ref="P780:V780" ca="1" si="1505">60*$I$79/(1/($P$135/$P774+$Q$135/$Q774+$R$135/$R774+$S$135/$S774+$T$135/$T774+$U$135/$U774+$V$135/$V774))</f>
        <v>46.739719026004202</v>
      </c>
      <c r="Q780" s="21">
        <f t="shared" ca="1" si="1505"/>
        <v>46.739719026004202</v>
      </c>
      <c r="R780" s="21">
        <f t="shared" ca="1" si="1505"/>
        <v>46.739719026004202</v>
      </c>
      <c r="S780" s="21">
        <f t="shared" ca="1" si="1505"/>
        <v>46.739719026004202</v>
      </c>
      <c r="T780" s="21">
        <f t="shared" ca="1" si="1505"/>
        <v>46.739719026004202</v>
      </c>
      <c r="U780" s="21">
        <f t="shared" ca="1" si="1505"/>
        <v>46.739719026004202</v>
      </c>
      <c r="V780" s="21">
        <f t="shared" ca="1" si="1505"/>
        <v>46.739719026004202</v>
      </c>
      <c r="W780" s="613">
        <f ca="1">SUMPRODUCT(P$476:V$476,P780:V780)/W$476</f>
        <v>46.739719026004195</v>
      </c>
      <c r="Y780" s="21">
        <f t="shared" ref="Y780:AE780" ca="1" si="1506">60*$J$79/(1/($Y$135/$Y774+$Z$135/$Z774+$AA$135/$AA774+$AB$135/$AB774+$AC$135/$AC774+$AD$135/$AD774+$AE$135/$AE774))</f>
        <v>46.739719026004217</v>
      </c>
      <c r="Z780" s="21">
        <f t="shared" ca="1" si="1506"/>
        <v>46.739719026004217</v>
      </c>
      <c r="AA780" s="21">
        <f t="shared" ca="1" si="1506"/>
        <v>46.739719026004217</v>
      </c>
      <c r="AB780" s="21">
        <f t="shared" ca="1" si="1506"/>
        <v>46.739719026004217</v>
      </c>
      <c r="AC780" s="21">
        <f t="shared" ca="1" si="1506"/>
        <v>46.739719026004217</v>
      </c>
      <c r="AD780" s="21">
        <f t="shared" ca="1" si="1506"/>
        <v>46.739719026004217</v>
      </c>
      <c r="AE780" s="21">
        <f t="shared" ca="1" si="1506"/>
        <v>46.739719026004217</v>
      </c>
      <c r="AF780" s="613">
        <f ca="1">SUMPRODUCT(Y$476:AE$476,Y780:AE780)/AF$476</f>
        <v>46.739719026004224</v>
      </c>
      <c r="AH780" s="21">
        <f t="shared" ref="AH780:AN780" ca="1" si="1507">AH779</f>
        <v>27.65777728014255</v>
      </c>
      <c r="AI780" s="21">
        <f t="shared" ca="1" si="1507"/>
        <v>31.959331699488949</v>
      </c>
      <c r="AJ780" s="21">
        <f t="shared" ca="1" si="1507"/>
        <v>83.26979547893508</v>
      </c>
      <c r="AK780" s="21">
        <f t="shared" ca="1" si="1507"/>
        <v>70.225491428633774</v>
      </c>
      <c r="AL780" s="21">
        <f t="shared" ca="1" si="1507"/>
        <v>60.280574093692167</v>
      </c>
      <c r="AM780" s="21">
        <f t="shared" ca="1" si="1507"/>
        <v>92.460114804363812</v>
      </c>
      <c r="AN780" s="21">
        <f t="shared" ca="1" si="1507"/>
        <v>55.279933827099597</v>
      </c>
      <c r="AO780" s="613">
        <f ca="1">SUMPRODUCT(AH$476:AN$476,AH780:AN780)/AO$476</f>
        <v>68.022504834270023</v>
      </c>
      <c r="AX780" s="613"/>
      <c r="AZ780" s="21">
        <f t="shared" ref="AZ780:BF780" ca="1" si="1508">60*$M$79/(1/($AZ$135/$AZ774+$BA$135/$BA774+$BB$135/$BB774+$BC$135/$BC774+$BD$135/$BD774+$BE$135/$BE774+$BF$135/$BF774))</f>
        <v>34.626545770573799</v>
      </c>
      <c r="BA780" s="21">
        <f t="shared" ca="1" si="1508"/>
        <v>34.626545770573799</v>
      </c>
      <c r="BB780" s="21">
        <f t="shared" ca="1" si="1508"/>
        <v>34.626545770573799</v>
      </c>
      <c r="BC780" s="21">
        <f t="shared" ca="1" si="1508"/>
        <v>34.626545770573799</v>
      </c>
      <c r="BD780" s="21">
        <f t="shared" ca="1" si="1508"/>
        <v>34.626545770573799</v>
      </c>
      <c r="BE780" s="21">
        <f t="shared" ca="1" si="1508"/>
        <v>34.626545770573799</v>
      </c>
      <c r="BF780" s="21">
        <f t="shared" ca="1" si="1508"/>
        <v>34.626545770573799</v>
      </c>
      <c r="BG780" s="613">
        <f ca="1">SUMPRODUCT(AZ$476:BF$476,AZ780:BF780)/BG$476</f>
        <v>34.626545770573799</v>
      </c>
      <c r="BI780" s="21">
        <f t="shared" ref="BI780:BO780" ca="1" si="1509">60*$N$79/(1/($BI$135/$BI774+$BJ$135/$BJ774+$BK$135/$BK774+$BL$135/$BL774+$BM$135/$BM774+$BN$135/$BN774+$BO$135/$BO774))</f>
        <v>48.030871485286092</v>
      </c>
      <c r="BJ780" s="21">
        <f t="shared" ca="1" si="1509"/>
        <v>48.030871485286092</v>
      </c>
      <c r="BK780" s="21">
        <f t="shared" ca="1" si="1509"/>
        <v>48.030871485286092</v>
      </c>
      <c r="BL780" s="21">
        <f t="shared" ca="1" si="1509"/>
        <v>48.030871485286092</v>
      </c>
      <c r="BM780" s="21">
        <f t="shared" ca="1" si="1509"/>
        <v>48.030871485286092</v>
      </c>
      <c r="BN780" s="21">
        <f t="shared" ca="1" si="1509"/>
        <v>48.030871485286092</v>
      </c>
      <c r="BO780" s="21">
        <f t="shared" ca="1" si="1509"/>
        <v>48.030871485286092</v>
      </c>
      <c r="BP780" s="613">
        <f ca="1">SUMPRODUCT(BI$476:BO$476,BI780:BO780)/BP$476</f>
        <v>48.030871485286085</v>
      </c>
    </row>
    <row r="781" spans="2:68" ht="13.2" customHeight="1">
      <c r="B781" s="308" t="s">
        <v>2243</v>
      </c>
      <c r="C781" s="297"/>
      <c r="D781" s="297"/>
      <c r="E781" s="297"/>
      <c r="F781" s="297"/>
      <c r="G781" s="3741"/>
      <c r="H781" s="3742"/>
      <c r="I781" s="3742"/>
      <c r="J781" s="3742"/>
      <c r="K781" s="3742"/>
      <c r="L781" s="3777"/>
      <c r="O781" s="39">
        <f>ROW()</f>
        <v>781</v>
      </c>
      <c r="P781" s="21">
        <f t="shared" ref="P781:W781" ca="1" si="1510">SUM(P777:P780)</f>
        <v>74.931551193482477</v>
      </c>
      <c r="Q781" s="21">
        <f t="shared" ca="1" si="1510"/>
        <v>77.843316513840492</v>
      </c>
      <c r="R781" s="21">
        <f t="shared" ca="1" si="1510"/>
        <v>115.31056596871267</v>
      </c>
      <c r="S781" s="21">
        <f t="shared" ca="1" si="1510"/>
        <v>106.31715811186086</v>
      </c>
      <c r="T781" s="21">
        <f t="shared" ca="1" si="1510"/>
        <v>98.743616177031072</v>
      </c>
      <c r="U781" s="21">
        <f t="shared" ca="1" si="1510"/>
        <v>122.17948561794228</v>
      </c>
      <c r="V781" s="21">
        <f t="shared" ca="1" si="1510"/>
        <v>95.33633006775591</v>
      </c>
      <c r="W781" s="614">
        <f t="shared" ca="1" si="1510"/>
        <v>106.97722057547884</v>
      </c>
      <c r="Y781" s="21">
        <f t="shared" ref="Y781:AF781" ca="1" si="1511">SUM(Y777:Y780)</f>
        <v>74.931551193482505</v>
      </c>
      <c r="Z781" s="21">
        <f t="shared" ca="1" si="1511"/>
        <v>77.843316513840506</v>
      </c>
      <c r="AA781" s="21">
        <f t="shared" ca="1" si="1511"/>
        <v>115.31056596871269</v>
      </c>
      <c r="AB781" s="21">
        <f t="shared" ca="1" si="1511"/>
        <v>106.31715811186086</v>
      </c>
      <c r="AC781" s="21">
        <f t="shared" ca="1" si="1511"/>
        <v>98.7436161770311</v>
      </c>
      <c r="AD781" s="21">
        <f t="shared" ca="1" si="1511"/>
        <v>122.17948561794228</v>
      </c>
      <c r="AE781" s="21">
        <f t="shared" ca="1" si="1511"/>
        <v>95.33633006775591</v>
      </c>
      <c r="AF781" s="614">
        <f t="shared" ca="1" si="1511"/>
        <v>106.81620289084174</v>
      </c>
      <c r="AH781" s="21">
        <f t="shared" ref="AH781:AO781" ca="1" si="1512">SUM(AH777:AH780)</f>
        <v>64.36768972893654</v>
      </c>
      <c r="AI781" s="21">
        <f t="shared" ca="1" si="1512"/>
        <v>73.08359824539464</v>
      </c>
      <c r="AJ781" s="21">
        <f t="shared" ca="1" si="1512"/>
        <v>184.05082622517165</v>
      </c>
      <c r="AK781" s="21">
        <f t="shared" ca="1" si="1512"/>
        <v>157.20137292354261</v>
      </c>
      <c r="AL781" s="21">
        <f t="shared" ca="1" si="1512"/>
        <v>134.89592981879548</v>
      </c>
      <c r="AM781" s="21">
        <f t="shared" ca="1" si="1512"/>
        <v>204.33108752932515</v>
      </c>
      <c r="AN781" s="21">
        <f t="shared" ca="1" si="1512"/>
        <v>124.70642290085054</v>
      </c>
      <c r="AO781" s="614">
        <f t="shared" ca="1" si="1512"/>
        <v>151.58785234551374</v>
      </c>
      <c r="AQ781" s="21">
        <f t="shared" ref="AQ781:AX781" ca="1" si="1513">AQ777+AQ779</f>
        <v>12.567672009323017</v>
      </c>
      <c r="AR781" s="21">
        <f t="shared" ca="1" si="1513"/>
        <v>13.670282173205681</v>
      </c>
      <c r="AS781" s="21">
        <f t="shared" ca="1" si="1513"/>
        <v>31.428386731078234</v>
      </c>
      <c r="AT781" s="21">
        <f t="shared" ca="1" si="1513"/>
        <v>27.80924632076416</v>
      </c>
      <c r="AU781" s="21">
        <f t="shared" ca="1" si="1513"/>
        <v>23.842435893447881</v>
      </c>
      <c r="AV781" s="21">
        <f t="shared" ca="1" si="1513"/>
        <v>34.875326304677714</v>
      </c>
      <c r="AW781" s="21">
        <f t="shared" ca="1" si="1513"/>
        <v>22.523068016376786</v>
      </c>
      <c r="AX781" s="614">
        <f t="shared" ca="1" si="1513"/>
        <v>26.16271608424416</v>
      </c>
      <c r="AZ781" s="21">
        <f t="shared" ref="AZ781:BG781" ca="1" si="1514">SUM(AZ777:AZ780)</f>
        <v>71.694448661606586</v>
      </c>
      <c r="BA781" s="21">
        <f t="shared" ca="1" si="1514"/>
        <v>73.924700803970595</v>
      </c>
      <c r="BB781" s="21">
        <f t="shared" ca="1" si="1514"/>
        <v>107.09117463804959</v>
      </c>
      <c r="BC781" s="21">
        <f t="shared" ca="1" si="1514"/>
        <v>99.935407486807634</v>
      </c>
      <c r="BD781" s="21">
        <f t="shared" ca="1" si="1514"/>
        <v>92.759061480015433</v>
      </c>
      <c r="BE781" s="21">
        <f t="shared" ca="1" si="1514"/>
        <v>113.41109420727089</v>
      </c>
      <c r="BF781" s="21">
        <f t="shared" ca="1" si="1514"/>
        <v>90.112824034101209</v>
      </c>
      <c r="BG781" s="614">
        <f t="shared" ca="1" si="1514"/>
        <v>99.38779561538901</v>
      </c>
      <c r="BI781" s="21">
        <f t="shared" ref="BI781:BP781" ca="1" si="1515">SUM(BI777:BI780)</f>
        <v>82.584043372320338</v>
      </c>
      <c r="BJ781" s="21">
        <f t="shared" ca="1" si="1515"/>
        <v>85.60146443058639</v>
      </c>
      <c r="BK781" s="21">
        <f t="shared" ca="1" si="1515"/>
        <v>125.96982213093946</v>
      </c>
      <c r="BL781" s="21">
        <f t="shared" ca="1" si="1515"/>
        <v>116.55786458616888</v>
      </c>
      <c r="BM781" s="21">
        <f t="shared" ca="1" si="1515"/>
        <v>108.23501677552389</v>
      </c>
      <c r="BN781" s="21">
        <f t="shared" ca="1" si="1515"/>
        <v>133.45321665584154</v>
      </c>
      <c r="BO781" s="21">
        <f t="shared" ca="1" si="1515"/>
        <v>104.69152228473146</v>
      </c>
      <c r="BP781" s="614">
        <f t="shared" ca="1" si="1515"/>
        <v>116.54981181574742</v>
      </c>
    </row>
    <row r="782" spans="2:68" ht="13.2" customHeight="1">
      <c r="B782" s="308"/>
      <c r="C782" s="297"/>
      <c r="D782" s="297"/>
      <c r="E782" s="297"/>
      <c r="F782" s="297"/>
      <c r="G782" s="280"/>
      <c r="O782" s="39">
        <f>ROW()</f>
        <v>782</v>
      </c>
      <c r="P782" s="21"/>
      <c r="Q782" s="21"/>
      <c r="R782" s="21"/>
      <c r="S782" s="21"/>
      <c r="T782" s="21"/>
      <c r="U782" s="21"/>
      <c r="V782" s="21"/>
      <c r="W782" s="634"/>
      <c r="Y782" s="21"/>
      <c r="Z782" s="21"/>
      <c r="AA782" s="21"/>
      <c r="AB782" s="21"/>
      <c r="AC782" s="21"/>
      <c r="AD782" s="21"/>
      <c r="AE782" s="21"/>
      <c r="AF782" s="634"/>
      <c r="AH782" s="21"/>
      <c r="AI782" s="21"/>
      <c r="AJ782" s="21"/>
      <c r="AK782" s="21"/>
      <c r="AL782" s="21"/>
      <c r="AM782" s="21"/>
      <c r="AN782" s="21"/>
      <c r="AO782" s="634"/>
      <c r="AQ782" s="21"/>
      <c r="AR782" s="21"/>
      <c r="AS782" s="21"/>
      <c r="AT782" s="21"/>
      <c r="AU782" s="21"/>
      <c r="AV782" s="21"/>
      <c r="AW782" s="21"/>
      <c r="AX782" s="634"/>
      <c r="AZ782" s="21"/>
      <c r="BA782" s="21"/>
      <c r="BB782" s="21"/>
      <c r="BC782" s="21"/>
      <c r="BD782" s="21"/>
      <c r="BE782" s="21"/>
      <c r="BF782" s="21"/>
      <c r="BG782" s="634"/>
      <c r="BI782" s="21"/>
      <c r="BJ782" s="21"/>
      <c r="BK782" s="21"/>
      <c r="BL782" s="21"/>
      <c r="BM782" s="21"/>
      <c r="BN782" s="21"/>
      <c r="BO782" s="21"/>
      <c r="BP782" s="634"/>
    </row>
    <row r="783" spans="2:68" ht="13.2" customHeight="1">
      <c r="B783" s="308" t="s">
        <v>1345</v>
      </c>
      <c r="G783" s="4285" t="s">
        <v>2351</v>
      </c>
      <c r="H783" s="3970"/>
      <c r="I783" s="3970"/>
      <c r="J783" s="3970"/>
      <c r="K783" s="3970"/>
      <c r="L783" s="3971"/>
      <c r="O783" s="39">
        <f>ROW()</f>
        <v>783</v>
      </c>
      <c r="P783" s="117">
        <f t="shared" ref="P783:W783" ca="1" si="1516">P781/P733</f>
        <v>1.0000002246890907</v>
      </c>
      <c r="Q783" s="117">
        <f t="shared" ca="1" si="1516"/>
        <v>1.0000076253965808</v>
      </c>
      <c r="R783" s="117">
        <f t="shared" ca="1" si="1516"/>
        <v>0.99997757617769967</v>
      </c>
      <c r="S783" s="117">
        <f t="shared" ca="1" si="1516"/>
        <v>0.99990057953004641</v>
      </c>
      <c r="T783" s="117">
        <f t="shared" ca="1" si="1516"/>
        <v>0.99991581145338437</v>
      </c>
      <c r="U783" s="117">
        <f t="shared" ca="1" si="1516"/>
        <v>1.0000747851609597</v>
      </c>
      <c r="V783" s="117">
        <f t="shared" ca="1" si="1516"/>
        <v>0.99991335155588579</v>
      </c>
      <c r="W783" s="117">
        <f t="shared" ca="1" si="1516"/>
        <v>0.99999246857405255</v>
      </c>
      <c r="Y783" s="117">
        <f t="shared" ref="Y783:AF783" ca="1" si="1517">Y781/Y733</f>
        <v>1.0000002246890911</v>
      </c>
      <c r="Z783" s="117">
        <f t="shared" ca="1" si="1517"/>
        <v>1.0000076253965808</v>
      </c>
      <c r="AA783" s="117">
        <f t="shared" ca="1" si="1517"/>
        <v>0.99997757617769978</v>
      </c>
      <c r="AB783" s="117">
        <f t="shared" ca="1" si="1517"/>
        <v>0.99990057953004641</v>
      </c>
      <c r="AC783" s="117">
        <f t="shared" ca="1" si="1517"/>
        <v>0.99991581145338448</v>
      </c>
      <c r="AD783" s="117">
        <f t="shared" ca="1" si="1517"/>
        <v>1.0000747851609597</v>
      </c>
      <c r="AE783" s="117">
        <f t="shared" ca="1" si="1517"/>
        <v>0.99991335155588557</v>
      </c>
      <c r="AF783" s="117">
        <f t="shared" ca="1" si="1517"/>
        <v>1.0000011495923709</v>
      </c>
      <c r="AH783" s="117">
        <f t="shared" ref="AH783:AO783" ca="1" si="1518">AH781/AH733</f>
        <v>1.0000009069077804</v>
      </c>
      <c r="AI783" s="117">
        <f t="shared" ca="1" si="1518"/>
        <v>1.000024460053786</v>
      </c>
      <c r="AJ783" s="117">
        <f t="shared" ca="1" si="1518"/>
        <v>0.99995790366341553</v>
      </c>
      <c r="AK783" s="117">
        <f t="shared" ca="1" si="1518"/>
        <v>0.99979908205272705</v>
      </c>
      <c r="AL783" s="117">
        <f t="shared" ca="1" si="1518"/>
        <v>0.99981519681687181</v>
      </c>
      <c r="AM783" s="117">
        <f t="shared" ca="1" si="1518"/>
        <v>1.0001316525305619</v>
      </c>
      <c r="AN783" s="117">
        <f t="shared" ca="1" si="1518"/>
        <v>0.99980149921113437</v>
      </c>
      <c r="AO783" s="117">
        <f t="shared" ca="1" si="1518"/>
        <v>0.99999475224458079</v>
      </c>
      <c r="AQ783" s="117">
        <f t="shared" ref="AQ783:AX783" ca="1" si="1519">AQ781/AQ733</f>
        <v>1.0000010907825816</v>
      </c>
      <c r="AR783" s="117">
        <f t="shared" ca="1" si="1519"/>
        <v>1.0000163591361733</v>
      </c>
      <c r="AS783" s="117">
        <f t="shared" ca="1" si="1519"/>
        <v>0.99997062245280899</v>
      </c>
      <c r="AT783" s="117">
        <f t="shared" ca="1" si="1519"/>
        <v>0.99985155492185551</v>
      </c>
      <c r="AU783" s="117">
        <f t="shared" ca="1" si="1519"/>
        <v>0.9998753308998376</v>
      </c>
      <c r="AV783" s="117">
        <f t="shared" ca="1" si="1519"/>
        <v>1.0001391335142533</v>
      </c>
      <c r="AW783" s="117">
        <f t="shared" ca="1" si="1519"/>
        <v>0.99986650763631446</v>
      </c>
      <c r="AX783" s="117">
        <f t="shared" ca="1" si="1519"/>
        <v>1.0000056573873979</v>
      </c>
      <c r="AZ783" s="117">
        <f t="shared" ref="AZ783:BG783" ca="1" si="1520">AZ781/AZ733</f>
        <v>1.0000100883340581</v>
      </c>
      <c r="BA783" s="117">
        <f t="shared" ca="1" si="1520"/>
        <v>1.0000156163456673</v>
      </c>
      <c r="BB783" s="117">
        <f t="shared" ca="1" si="1520"/>
        <v>0.99998870640946536</v>
      </c>
      <c r="BC783" s="117">
        <f t="shared" ca="1" si="1520"/>
        <v>0.99992442587240671</v>
      </c>
      <c r="BD783" s="117">
        <f t="shared" ca="1" si="1520"/>
        <v>0.99994128000786564</v>
      </c>
      <c r="BE783" s="117">
        <f t="shared" ca="1" si="1520"/>
        <v>1.0000832563399487</v>
      </c>
      <c r="BF783" s="117">
        <f t="shared" ca="1" si="1520"/>
        <v>0.99993924927359257</v>
      </c>
      <c r="BG783" s="117">
        <f t="shared" ca="1" si="1520"/>
        <v>1.0000107037173853</v>
      </c>
      <c r="BI783" s="117">
        <f t="shared" ref="BI783:BP783" ca="1" si="1521">BI781/BI733</f>
        <v>1.0000031787274233</v>
      </c>
      <c r="BJ783" s="117">
        <f t="shared" ca="1" si="1521"/>
        <v>1.0000100060524244</v>
      </c>
      <c r="BK783" s="117">
        <f t="shared" ca="1" si="1521"/>
        <v>0.99998084040404955</v>
      </c>
      <c r="BL783" s="117">
        <f t="shared" ca="1" si="1521"/>
        <v>0.99990763270399863</v>
      </c>
      <c r="BM783" s="117">
        <f t="shared" ca="1" si="1521"/>
        <v>0.99992334114813985</v>
      </c>
      <c r="BN783" s="117">
        <f t="shared" ca="1" si="1521"/>
        <v>1.0000772686374948</v>
      </c>
      <c r="BO783" s="117">
        <f t="shared" ca="1" si="1521"/>
        <v>0.99992104146095473</v>
      </c>
      <c r="BP783" s="117">
        <f t="shared" ca="1" si="1521"/>
        <v>1.0000009188289725</v>
      </c>
    </row>
    <row r="784" spans="2:68" ht="13.2" customHeight="1">
      <c r="B784" s="280"/>
      <c r="G784" s="280"/>
      <c r="O784" s="39">
        <f>ROW()</f>
        <v>784</v>
      </c>
      <c r="P784" s="117"/>
      <c r="Q784" s="117"/>
      <c r="R784" s="117"/>
      <c r="S784" s="117"/>
      <c r="T784" s="117"/>
      <c r="U784" s="117"/>
      <c r="V784" s="117"/>
      <c r="W784" s="117"/>
      <c r="Y784" s="117"/>
      <c r="Z784" s="117"/>
      <c r="AA784" s="117"/>
      <c r="AB784" s="117"/>
      <c r="AC784" s="117"/>
      <c r="AD784" s="117"/>
      <c r="AE784" s="117"/>
      <c r="AF784" s="117"/>
      <c r="AH784" s="117"/>
      <c r="AI784" s="117"/>
      <c r="AJ784" s="117"/>
      <c r="AK784" s="117"/>
      <c r="AL784" s="117"/>
      <c r="AM784" s="117"/>
      <c r="AN784" s="117"/>
      <c r="AO784" s="117"/>
      <c r="AQ784" s="117"/>
      <c r="AR784" s="117"/>
      <c r="AS784" s="117"/>
      <c r="AT784" s="117"/>
      <c r="AU784" s="117"/>
      <c r="AV784" s="117"/>
      <c r="AW784" s="117"/>
      <c r="AX784" s="117"/>
      <c r="AZ784" s="117"/>
      <c r="BA784" s="117"/>
      <c r="BB784" s="117"/>
      <c r="BC784" s="117"/>
      <c r="BD784" s="117"/>
      <c r="BE784" s="117"/>
      <c r="BF784" s="117"/>
      <c r="BG784" s="117"/>
      <c r="BI784" s="117"/>
      <c r="BJ784" s="117"/>
      <c r="BK784" s="117"/>
      <c r="BL784" s="117"/>
      <c r="BM784" s="117"/>
      <c r="BN784" s="117"/>
      <c r="BO784" s="117"/>
      <c r="BP784" s="117"/>
    </row>
    <row r="785" spans="2:68" ht="13.2" customHeight="1">
      <c r="B785" s="308" t="s">
        <v>1571</v>
      </c>
      <c r="G785" s="280"/>
      <c r="O785" s="39">
        <f>ROW()</f>
        <v>785</v>
      </c>
      <c r="P785" s="117"/>
      <c r="Q785" s="117"/>
      <c r="R785" s="117"/>
      <c r="S785" s="117"/>
      <c r="T785" s="117"/>
      <c r="U785" s="117"/>
      <c r="V785" s="117"/>
      <c r="W785" s="117"/>
      <c r="Y785" s="117"/>
      <c r="Z785" s="117"/>
      <c r="AA785" s="117"/>
      <c r="AB785" s="117"/>
      <c r="AC785" s="117"/>
      <c r="AD785" s="117"/>
      <c r="AE785" s="117"/>
      <c r="AF785" s="117"/>
      <c r="AH785" s="117"/>
      <c r="AI785" s="117"/>
      <c r="AJ785" s="117"/>
      <c r="AK785" s="117"/>
      <c r="AL785" s="117"/>
      <c r="AM785" s="117"/>
      <c r="AN785" s="117"/>
      <c r="AO785" s="117"/>
      <c r="AQ785" s="117"/>
      <c r="AR785" s="117"/>
      <c r="AS785" s="117"/>
      <c r="AT785" s="117"/>
      <c r="AU785" s="117"/>
      <c r="AV785" s="117"/>
      <c r="AW785" s="117"/>
      <c r="AX785" s="117"/>
      <c r="AZ785" s="117"/>
      <c r="BA785" s="117"/>
      <c r="BB785" s="117"/>
      <c r="BC785" s="117"/>
      <c r="BD785" s="117"/>
      <c r="BE785" s="117"/>
      <c r="BF785" s="117"/>
      <c r="BG785" s="117"/>
      <c r="BI785" s="117"/>
      <c r="BJ785" s="117"/>
      <c r="BK785" s="117"/>
      <c r="BL785" s="117"/>
      <c r="BM785" s="117"/>
      <c r="BN785" s="117"/>
      <c r="BO785" s="117"/>
      <c r="BP785" s="117"/>
    </row>
    <row r="786" spans="2:68" ht="13.2" customHeight="1">
      <c r="B786" s="280" t="s">
        <v>2533</v>
      </c>
      <c r="G786" s="21">
        <f t="shared" ref="G786:M786" ca="1" si="1522">AVERAGE(G$773,G$725,G$677,G$629,G$581,G$533,G$481,G$403)</f>
        <v>21.204404752425152</v>
      </c>
      <c r="H786" s="21">
        <f t="shared" ca="1" si="1522"/>
        <v>20.961467205380306</v>
      </c>
      <c r="I786" s="21">
        <f t="shared" ca="1" si="1522"/>
        <v>10.975532158875389</v>
      </c>
      <c r="J786" s="21">
        <f t="shared" ca="1" si="1522"/>
        <v>11.470674962507596</v>
      </c>
      <c r="K786" s="21">
        <f t="shared" ca="1" si="1522"/>
        <v>13.376682021672787</v>
      </c>
      <c r="L786" s="21">
        <f t="shared" ca="1" si="1522"/>
        <v>9.8639650689156113</v>
      </c>
      <c r="M786" s="21">
        <f t="shared" ca="1" si="1522"/>
        <v>13.558501566311664</v>
      </c>
      <c r="O786" s="39">
        <f>ROW()</f>
        <v>786</v>
      </c>
      <c r="P786" s="21">
        <f t="shared" ref="P786:V787" ca="1" si="1523">G786</f>
        <v>21.204404752425152</v>
      </c>
      <c r="Q786" s="21">
        <f t="shared" ca="1" si="1523"/>
        <v>20.961467205380306</v>
      </c>
      <c r="R786" s="21">
        <f t="shared" ca="1" si="1523"/>
        <v>10.975532158875389</v>
      </c>
      <c r="S786" s="21">
        <f t="shared" ca="1" si="1523"/>
        <v>11.470674962507596</v>
      </c>
      <c r="T786" s="21">
        <f t="shared" ca="1" si="1523"/>
        <v>13.376682021672787</v>
      </c>
      <c r="U786" s="21">
        <f t="shared" ca="1" si="1523"/>
        <v>9.8639650689156113</v>
      </c>
      <c r="V786" s="21">
        <f t="shared" ca="1" si="1523"/>
        <v>13.558501566311664</v>
      </c>
      <c r="Y786" s="21">
        <f t="shared" ref="Y786:AE787" ca="1" si="1524">G786</f>
        <v>21.204404752425152</v>
      </c>
      <c r="Z786" s="21">
        <f t="shared" ca="1" si="1524"/>
        <v>20.961467205380306</v>
      </c>
      <c r="AA786" s="21">
        <f t="shared" ca="1" si="1524"/>
        <v>10.975532158875389</v>
      </c>
      <c r="AB786" s="21">
        <f t="shared" ca="1" si="1524"/>
        <v>11.470674962507596</v>
      </c>
      <c r="AC786" s="21">
        <f t="shared" ca="1" si="1524"/>
        <v>13.376682021672787</v>
      </c>
      <c r="AD786" s="21">
        <f t="shared" ca="1" si="1524"/>
        <v>9.8639650689156113</v>
      </c>
      <c r="AE786" s="21">
        <f t="shared" ca="1" si="1524"/>
        <v>13.558501566311664</v>
      </c>
      <c r="AH786" s="21">
        <f t="shared" ref="AH786:AN787" ca="1" si="1525">P786</f>
        <v>21.204404752425152</v>
      </c>
      <c r="AI786" s="21">
        <f t="shared" ca="1" si="1525"/>
        <v>20.961467205380306</v>
      </c>
      <c r="AJ786" s="21">
        <f t="shared" ca="1" si="1525"/>
        <v>10.975532158875389</v>
      </c>
      <c r="AK786" s="21">
        <f t="shared" ca="1" si="1525"/>
        <v>11.470674962507596</v>
      </c>
      <c r="AL786" s="21">
        <f t="shared" ca="1" si="1525"/>
        <v>13.376682021672787</v>
      </c>
      <c r="AM786" s="21">
        <f t="shared" ca="1" si="1525"/>
        <v>9.8639650689156113</v>
      </c>
      <c r="AN786" s="21">
        <f t="shared" ca="1" si="1525"/>
        <v>13.558501566311664</v>
      </c>
      <c r="AQ786" s="21">
        <f t="shared" ref="AQ786:AW786" ca="1" si="1526">G786*$AU$181</f>
        <v>20.144184514803893</v>
      </c>
      <c r="AR786" s="21">
        <f t="shared" ca="1" si="1526"/>
        <v>19.91339384511129</v>
      </c>
      <c r="AS786" s="21">
        <f t="shared" ca="1" si="1526"/>
        <v>10.426755550931619</v>
      </c>
      <c r="AT786" s="21">
        <f t="shared" ca="1" si="1526"/>
        <v>10.897141214382216</v>
      </c>
      <c r="AU786" s="21">
        <f t="shared" ca="1" si="1526"/>
        <v>12.707847920589147</v>
      </c>
      <c r="AV786" s="21">
        <f t="shared" ca="1" si="1526"/>
        <v>9.37076681546983</v>
      </c>
      <c r="AW786" s="21">
        <f t="shared" ca="1" si="1526"/>
        <v>12.88057648799608</v>
      </c>
      <c r="AZ786" s="21">
        <f t="shared" ref="AZ786:BF787" ca="1" si="1527">G786</f>
        <v>21.204404752425152</v>
      </c>
      <c r="BA786" s="21">
        <f t="shared" ca="1" si="1527"/>
        <v>20.961467205380306</v>
      </c>
      <c r="BB786" s="21">
        <f t="shared" ca="1" si="1527"/>
        <v>10.975532158875389</v>
      </c>
      <c r="BC786" s="21">
        <f t="shared" ca="1" si="1527"/>
        <v>11.470674962507596</v>
      </c>
      <c r="BD786" s="21">
        <f t="shared" ca="1" si="1527"/>
        <v>13.376682021672787</v>
      </c>
      <c r="BE786" s="21">
        <f t="shared" ca="1" si="1527"/>
        <v>9.8639650689156113</v>
      </c>
      <c r="BF786" s="21">
        <f t="shared" ca="1" si="1527"/>
        <v>13.558501566311664</v>
      </c>
      <c r="BG786" s="21"/>
      <c r="BI786" s="21">
        <f t="shared" ref="BI786:BO787" ca="1" si="1528">G786</f>
        <v>21.204404752425152</v>
      </c>
      <c r="BJ786" s="21">
        <f t="shared" ca="1" si="1528"/>
        <v>20.961467205380306</v>
      </c>
      <c r="BK786" s="21">
        <f t="shared" ca="1" si="1528"/>
        <v>10.975532158875389</v>
      </c>
      <c r="BL786" s="21">
        <f t="shared" ca="1" si="1528"/>
        <v>11.470674962507596</v>
      </c>
      <c r="BM786" s="21">
        <f t="shared" ca="1" si="1528"/>
        <v>13.376682021672787</v>
      </c>
      <c r="BN786" s="21">
        <f t="shared" ca="1" si="1528"/>
        <v>9.8639650689156113</v>
      </c>
      <c r="BO786" s="21">
        <f t="shared" ca="1" si="1528"/>
        <v>13.558501566311664</v>
      </c>
      <c r="BP786" s="21"/>
    </row>
    <row r="787" spans="2:68" ht="13.2" customHeight="1">
      <c r="B787" s="280" t="s">
        <v>2534</v>
      </c>
      <c r="G787" s="21">
        <f t="shared" ref="G787:M787" ca="1" si="1529">AVERAGE(G$774,G$726,G$678,G$630,G$582,G$534,G$482,G$427)</f>
        <v>54.994540589623483</v>
      </c>
      <c r="H787" s="21">
        <f t="shared" ca="1" si="1529"/>
        <v>47.605822687171475</v>
      </c>
      <c r="I787" s="21">
        <f t="shared" ca="1" si="1529"/>
        <v>18.264090170534732</v>
      </c>
      <c r="J787" s="21">
        <f t="shared" ca="1" si="1529"/>
        <v>21.646270428636512</v>
      </c>
      <c r="K787" s="21">
        <f t="shared" ca="1" si="1529"/>
        <v>25.215605280888795</v>
      </c>
      <c r="L787" s="21">
        <f t="shared" ca="1" si="1529"/>
        <v>16.45472994820404</v>
      </c>
      <c r="M787" s="21">
        <f t="shared" ca="1" si="1529"/>
        <v>27.49285069565012</v>
      </c>
      <c r="O787" s="39">
        <f>ROW()</f>
        <v>787</v>
      </c>
      <c r="P787" s="21">
        <f t="shared" ca="1" si="1523"/>
        <v>54.994540589623483</v>
      </c>
      <c r="Q787" s="21">
        <f t="shared" ca="1" si="1523"/>
        <v>47.605822687171475</v>
      </c>
      <c r="R787" s="21">
        <f t="shared" ca="1" si="1523"/>
        <v>18.264090170534732</v>
      </c>
      <c r="S787" s="21">
        <f t="shared" ca="1" si="1523"/>
        <v>21.646270428636512</v>
      </c>
      <c r="T787" s="21">
        <f t="shared" ca="1" si="1523"/>
        <v>25.215605280888795</v>
      </c>
      <c r="U787" s="21">
        <f t="shared" ca="1" si="1523"/>
        <v>16.45472994820404</v>
      </c>
      <c r="V787" s="21">
        <f t="shared" ca="1" si="1523"/>
        <v>27.49285069565012</v>
      </c>
      <c r="Y787" s="21">
        <f t="shared" ca="1" si="1524"/>
        <v>54.994540589623483</v>
      </c>
      <c r="Z787" s="21">
        <f t="shared" ca="1" si="1524"/>
        <v>47.605822687171475</v>
      </c>
      <c r="AA787" s="21">
        <f t="shared" ca="1" si="1524"/>
        <v>18.264090170534732</v>
      </c>
      <c r="AB787" s="21">
        <f t="shared" ca="1" si="1524"/>
        <v>21.646270428636512</v>
      </c>
      <c r="AC787" s="21">
        <f t="shared" ca="1" si="1524"/>
        <v>25.215605280888795</v>
      </c>
      <c r="AD787" s="21">
        <f t="shared" ca="1" si="1524"/>
        <v>16.45472994820404</v>
      </c>
      <c r="AE787" s="21">
        <f t="shared" ca="1" si="1524"/>
        <v>27.49285069565012</v>
      </c>
      <c r="AH787" s="21">
        <f t="shared" ca="1" si="1525"/>
        <v>54.994540589623483</v>
      </c>
      <c r="AI787" s="21">
        <f t="shared" ca="1" si="1525"/>
        <v>47.605822687171475</v>
      </c>
      <c r="AJ787" s="21">
        <f t="shared" ca="1" si="1525"/>
        <v>18.264090170534732</v>
      </c>
      <c r="AK787" s="21">
        <f t="shared" ca="1" si="1525"/>
        <v>21.646270428636512</v>
      </c>
      <c r="AL787" s="21">
        <f t="shared" ca="1" si="1525"/>
        <v>25.215605280888795</v>
      </c>
      <c r="AM787" s="21">
        <f t="shared" ca="1" si="1525"/>
        <v>16.45472994820404</v>
      </c>
      <c r="AN787" s="21">
        <f t="shared" ca="1" si="1525"/>
        <v>27.49285069565012</v>
      </c>
      <c r="AQ787" s="21">
        <f t="shared" ref="AQ787:AW787" ca="1" si="1530">G787*$AV$181</f>
        <v>54.444595183727245</v>
      </c>
      <c r="AR787" s="21">
        <f t="shared" ca="1" si="1530"/>
        <v>47.129764460299761</v>
      </c>
      <c r="AS787" s="21">
        <f t="shared" ca="1" si="1530"/>
        <v>18.081449268829385</v>
      </c>
      <c r="AT787" s="21">
        <f t="shared" ca="1" si="1530"/>
        <v>21.429807724350148</v>
      </c>
      <c r="AU787" s="21">
        <f t="shared" ca="1" si="1530"/>
        <v>24.963449228079906</v>
      </c>
      <c r="AV787" s="21">
        <f t="shared" ca="1" si="1530"/>
        <v>16.290182648721999</v>
      </c>
      <c r="AW787" s="21">
        <f t="shared" ca="1" si="1530"/>
        <v>27.217922188693617</v>
      </c>
      <c r="AZ787" s="21">
        <f t="shared" ca="1" si="1527"/>
        <v>54.994540589623483</v>
      </c>
      <c r="BA787" s="21">
        <f t="shared" ca="1" si="1527"/>
        <v>47.605822687171475</v>
      </c>
      <c r="BB787" s="21">
        <f t="shared" ca="1" si="1527"/>
        <v>18.264090170534732</v>
      </c>
      <c r="BC787" s="21">
        <f t="shared" ca="1" si="1527"/>
        <v>21.646270428636512</v>
      </c>
      <c r="BD787" s="21">
        <f t="shared" ca="1" si="1527"/>
        <v>25.215605280888795</v>
      </c>
      <c r="BE787" s="21">
        <f t="shared" ca="1" si="1527"/>
        <v>16.45472994820404</v>
      </c>
      <c r="BF787" s="21">
        <f t="shared" ca="1" si="1527"/>
        <v>27.49285069565012</v>
      </c>
      <c r="BG787" s="21"/>
      <c r="BI787" s="21">
        <f t="shared" ca="1" si="1528"/>
        <v>54.994540589623483</v>
      </c>
      <c r="BJ787" s="21">
        <f t="shared" ca="1" si="1528"/>
        <v>47.605822687171475</v>
      </c>
      <c r="BK787" s="21">
        <f t="shared" ca="1" si="1528"/>
        <v>18.264090170534732</v>
      </c>
      <c r="BL787" s="21">
        <f t="shared" ca="1" si="1528"/>
        <v>21.646270428636512</v>
      </c>
      <c r="BM787" s="21">
        <f t="shared" ca="1" si="1528"/>
        <v>25.215605280888795</v>
      </c>
      <c r="BN787" s="21">
        <f t="shared" ca="1" si="1528"/>
        <v>16.45472994820404</v>
      </c>
      <c r="BO787" s="21">
        <f t="shared" ca="1" si="1528"/>
        <v>27.49285069565012</v>
      </c>
      <c r="BP787" s="21"/>
    </row>
    <row r="788" spans="2:68" ht="13.2" customHeight="1">
      <c r="B788" s="280"/>
      <c r="G788" s="280"/>
      <c r="O788" s="39">
        <f>ROW()</f>
        <v>788</v>
      </c>
      <c r="P788" s="117"/>
      <c r="Q788" s="117"/>
      <c r="R788" s="117"/>
      <c r="S788" s="117"/>
      <c r="T788" s="117"/>
      <c r="U788" s="117"/>
      <c r="V788" s="117"/>
      <c r="W788" s="117"/>
      <c r="Y788" s="117"/>
      <c r="Z788" s="117"/>
      <c r="AA788" s="117"/>
      <c r="AB788" s="117"/>
      <c r="AC788" s="117"/>
      <c r="AD788" s="117"/>
      <c r="AE788" s="117"/>
      <c r="AF788" s="117"/>
      <c r="AH788" s="117"/>
      <c r="AI788" s="117"/>
      <c r="AJ788" s="117"/>
      <c r="AK788" s="117"/>
      <c r="AL788" s="117"/>
      <c r="AM788" s="117"/>
      <c r="AN788" s="117"/>
      <c r="AO788" s="117"/>
      <c r="AQ788" s="117"/>
      <c r="AR788" s="117"/>
      <c r="AS788" s="117"/>
      <c r="AT788" s="117"/>
      <c r="AU788" s="117"/>
      <c r="AV788" s="117"/>
      <c r="AW788" s="117"/>
      <c r="AX788" s="117"/>
      <c r="AZ788" s="117"/>
      <c r="BA788" s="117"/>
      <c r="BB788" s="117"/>
      <c r="BC788" s="117"/>
      <c r="BD788" s="117"/>
      <c r="BE788" s="117"/>
      <c r="BF788" s="117"/>
      <c r="BG788" s="117"/>
      <c r="BI788" s="117"/>
      <c r="BJ788" s="117"/>
      <c r="BK788" s="117"/>
      <c r="BL788" s="117"/>
      <c r="BM788" s="117"/>
      <c r="BN788" s="117"/>
      <c r="BO788" s="117"/>
      <c r="BP788" s="117"/>
    </row>
    <row r="789" spans="2:68" ht="13.2" customHeight="1">
      <c r="B789" s="6" t="s">
        <v>1643</v>
      </c>
      <c r="G789" s="880" t="s">
        <v>1472</v>
      </c>
      <c r="H789" s="880" t="s">
        <v>1087</v>
      </c>
      <c r="I789" s="880" t="s">
        <v>2445</v>
      </c>
      <c r="J789" s="880" t="s">
        <v>1088</v>
      </c>
      <c r="K789" s="880" t="s">
        <v>1089</v>
      </c>
      <c r="L789" s="880" t="s">
        <v>1151</v>
      </c>
      <c r="M789" s="880" t="s">
        <v>1090</v>
      </c>
      <c r="N789" s="880" t="s">
        <v>2684</v>
      </c>
      <c r="O789" s="39">
        <f>ROW()</f>
        <v>789</v>
      </c>
      <c r="P789" s="117">
        <f ca="1">P783^Elasticities!$G$52</f>
        <v>0.99999977531095985</v>
      </c>
      <c r="Q789" s="117">
        <f ca="1">Q783^Elasticities!$G$52</f>
        <v>0.99999237466156543</v>
      </c>
      <c r="R789" s="117">
        <f ca="1">R783^Elasticities!$G$52</f>
        <v>1.0000224243251394</v>
      </c>
      <c r="S789" s="117">
        <f ca="1">S783^Elasticities!$G$52</f>
        <v>1.0000994303553663</v>
      </c>
      <c r="T789" s="117">
        <f ca="1">T783^Elasticities!$G$52</f>
        <v>1.0000841956349238</v>
      </c>
      <c r="U789" s="117">
        <f ca="1">U783^Elasticities!$G$52</f>
        <v>0.99992522043144239</v>
      </c>
      <c r="V789" s="117">
        <f ca="1">V783^Elasticities!$G$52</f>
        <v>1.0000866559527177</v>
      </c>
      <c r="Y789" s="117">
        <f ca="1">Y783^Elasticities!$H$52</f>
        <v>0.9999997753109594</v>
      </c>
      <c r="Z789" s="117">
        <f ca="1">Z783^Elasticities!$H$52</f>
        <v>0.99999237466156543</v>
      </c>
      <c r="AA789" s="117">
        <f ca="1">AA783^Elasticities!$H$52</f>
        <v>1.0000224243251392</v>
      </c>
      <c r="AB789" s="117">
        <f ca="1">AB783^Elasticities!$H$52</f>
        <v>1.0000994303553663</v>
      </c>
      <c r="AC789" s="117">
        <f ca="1">AC783^Elasticities!$H$52</f>
        <v>1.0000841956349236</v>
      </c>
      <c r="AD789" s="117">
        <f ca="1">AD783^Elasticities!$H$52</f>
        <v>0.99992522043144239</v>
      </c>
      <c r="AE789" s="117">
        <f ca="1">AE783^Elasticities!$H$52</f>
        <v>1.000086655952718</v>
      </c>
      <c r="AH789" s="638">
        <f ca="1">AH783^Elasticities!$I$52</f>
        <v>0.99999909309304202</v>
      </c>
      <c r="AI789" s="117">
        <f ca="1">AI783^Elasticities!$I$52</f>
        <v>0.99997554054449367</v>
      </c>
      <c r="AJ789" s="117">
        <f ca="1">AJ783^Elasticities!$I$52</f>
        <v>1.0000420981087605</v>
      </c>
      <c r="AK789" s="117">
        <f ca="1">AK783^Elasticities!$I$52</f>
        <v>1.0002009583234068</v>
      </c>
      <c r="AL789" s="117">
        <f ca="1">AL783^Elasticities!$I$52</f>
        <v>1.0001848373416573</v>
      </c>
      <c r="AM789" s="117">
        <f ca="1">AM783^Elasticities!$I$52</f>
        <v>0.99986836479954533</v>
      </c>
      <c r="AN789" s="117">
        <f ca="1">AN783^Elasticities!$I$52</f>
        <v>1.0001985401992517</v>
      </c>
      <c r="AQ789" s="117">
        <f ca="1">AQ783^Elasticities!$G$54</f>
        <v>0.99999912737479135</v>
      </c>
      <c r="AR789" s="117">
        <f ca="1">AR783^Elasticities!$G$54</f>
        <v>0.99998691288374586</v>
      </c>
      <c r="AS789" s="117">
        <f ca="1">AS783^Elasticities!$G$54</f>
        <v>1.0000235026591588</v>
      </c>
      <c r="AT789" s="117">
        <f ca="1">AT783^Elasticities!$G$54</f>
        <v>1.0001187719305917</v>
      </c>
      <c r="AU789" s="117">
        <f ca="1">AU783^Elasticities!$G$54</f>
        <v>1.000099746471949</v>
      </c>
      <c r="AV789" s="117">
        <f ca="1">AV783^Elasticities!$G$54</f>
        <v>0.99988870712464462</v>
      </c>
      <c r="AW789" s="117">
        <f ca="1">AW783^Elasticities!$G$54</f>
        <v>1.0001068067230994</v>
      </c>
      <c r="AZ789" s="117">
        <f ca="1">AZ783^(Elasticities!$J$64*Elasticities!$G$52)</f>
        <v>0.99999663724459709</v>
      </c>
      <c r="BA789" s="117">
        <f ca="1">BA783^(Elasticities!$J$64*Elasticities!$G$52)</f>
        <v>0.99999479460563712</v>
      </c>
      <c r="BB789" s="117">
        <f ca="1">BB783^(Elasticities!$J$64*Elasticities!$G$52)</f>
        <v>1.0000037645585218</v>
      </c>
      <c r="BC789" s="117">
        <f ca="1">BC783^(Elasticities!$J$64*Elasticities!$G$52)</f>
        <v>1.0000251926451498</v>
      </c>
      <c r="BD789" s="117">
        <f ca="1">BD783^(Elasticities!$J$64*Elasticities!$G$52)</f>
        <v>1.0000195740969771</v>
      </c>
      <c r="BE789" s="117">
        <f ca="1">BE783^(Elasticities!$J$64*Elasticities!$G$52)</f>
        <v>0.99997224942694352</v>
      </c>
      <c r="BF789" s="117">
        <f ca="1">BF783^(Elasticities!$J$64*Elasticities!$G$52)</f>
        <v>1.0000202510623193</v>
      </c>
      <c r="BI789" s="117">
        <f ca="1">BI783^Elasticities!$G$50</f>
        <v>0.99999841064007755</v>
      </c>
      <c r="BJ789" s="117">
        <f ca="1">BJ783^Elasticities!$G$50</f>
        <v>0.99999499701133288</v>
      </c>
      <c r="BK789" s="117">
        <f ca="1">BK783^Elasticities!$G$50</f>
        <v>1.0000095799356363</v>
      </c>
      <c r="BL789" s="117">
        <f ca="1">BL783^Elasticities!$G$50</f>
        <v>1.0000461868476409</v>
      </c>
      <c r="BM789" s="117">
        <f ca="1">BM783^Elasticities!$G$50</f>
        <v>1.0000383316297883</v>
      </c>
      <c r="BN789" s="117">
        <f ca="1">BN783^Elasticities!$G$50</f>
        <v>0.99996136792002432</v>
      </c>
      <c r="BO789" s="117">
        <f ca="1">BO783^Elasticities!$G$50</f>
        <v>1.0000394816075955</v>
      </c>
    </row>
    <row r="790" spans="2:68" ht="13.2" customHeight="1">
      <c r="B790" s="6"/>
      <c r="G790" s="298" t="s">
        <v>1091</v>
      </c>
      <c r="H790" s="298" t="s">
        <v>1092</v>
      </c>
      <c r="I790" s="298" t="s">
        <v>1093</v>
      </c>
      <c r="J790" s="298" t="s">
        <v>1094</v>
      </c>
      <c r="K790" s="298" t="s">
        <v>1095</v>
      </c>
      <c r="L790" s="298" t="s">
        <v>1096</v>
      </c>
      <c r="M790" s="298" t="s">
        <v>1097</v>
      </c>
      <c r="N790" s="298"/>
      <c r="O790" s="39">
        <f>ROW()</f>
        <v>790</v>
      </c>
      <c r="P790" s="309" t="s">
        <v>3301</v>
      </c>
      <c r="Y790" s="309" t="s">
        <v>3307</v>
      </c>
      <c r="AH790" s="309" t="s">
        <v>3308</v>
      </c>
      <c r="AQ790" s="215" t="s">
        <v>3304</v>
      </c>
      <c r="AZ790" s="215" t="s">
        <v>3305</v>
      </c>
      <c r="BI790" s="215" t="s">
        <v>3306</v>
      </c>
    </row>
    <row r="791" spans="2:68" ht="13.2" customHeight="1">
      <c r="B791" s="6" t="s">
        <v>1921</v>
      </c>
      <c r="O791" s="39">
        <f>ROW()</f>
        <v>791</v>
      </c>
      <c r="P791" s="117">
        <f ca="1">(P738/P786)^Elasticities!$G$52</f>
        <v>1.0000408332826045</v>
      </c>
      <c r="Q791" s="117">
        <f ca="1">(Q738/Q786)^Elasticities!$G$52</f>
        <v>0.99991785073288686</v>
      </c>
      <c r="R791" s="117">
        <f ca="1">(R738/R786)^Elasticities!$G$52</f>
        <v>0.99985498552874863</v>
      </c>
      <c r="S791" s="117">
        <f ca="1">(S738/S786)^Elasticities!$G$52</f>
        <v>0.99989719775182795</v>
      </c>
      <c r="T791" s="117">
        <f ca="1">(T738/T786)^Elasticities!$G$52</f>
        <v>1.0001849341133893</v>
      </c>
      <c r="U791" s="117">
        <f ca="1">(U738/U786)^Elasticities!$G$52</f>
        <v>1.000397072452468</v>
      </c>
      <c r="V791" s="117">
        <f ca="1">(V738/V786)^Elasticities!$G$52</f>
        <v>1.0001444438999985</v>
      </c>
      <c r="Y791" s="117">
        <f ca="1">(Y738/Y786)^Elasticities!$H$52</f>
        <v>1.0000408332826045</v>
      </c>
      <c r="Z791" s="117">
        <f ca="1">(Z738/Z786)^Elasticities!$H$52</f>
        <v>0.99991785073288686</v>
      </c>
      <c r="AA791" s="117">
        <f ca="1">(AA738/AA786)^Elasticities!$H$52</f>
        <v>0.99985498552874863</v>
      </c>
      <c r="AB791" s="117">
        <f ca="1">(AB738/AB786)^Elasticities!$H$52</f>
        <v>0.99989719775182795</v>
      </c>
      <c r="AC791" s="117">
        <f ca="1">(AC738/AC786)^Elasticities!$H$52</f>
        <v>1.0001849341133893</v>
      </c>
      <c r="AD791" s="117">
        <f ca="1">(AD738/AD786)^Elasticities!$H$52</f>
        <v>1.000397072452468</v>
      </c>
      <c r="AE791" s="117">
        <f ca="1">(AE738/AE786)^Elasticities!$H$52</f>
        <v>1.0001444438999985</v>
      </c>
      <c r="AH791" s="117">
        <f ca="1">(AH738/AH786)^Elasticities!$I$52</f>
        <v>1.0000408332826045</v>
      </c>
      <c r="AI791" s="117">
        <f ca="1">(AI738/AI786)^Elasticities!$I$52</f>
        <v>0.99991785073288686</v>
      </c>
      <c r="AJ791" s="117">
        <f ca="1">(AJ738/AJ786)^Elasticities!$I$52</f>
        <v>0.99985498552874863</v>
      </c>
      <c r="AK791" s="117">
        <f ca="1">(AK738/AK786)^Elasticities!$I$52</f>
        <v>0.99989719775182795</v>
      </c>
      <c r="AL791" s="117">
        <f ca="1">(AL738/AL786)^Elasticities!$I$52</f>
        <v>1.0001849341133893</v>
      </c>
      <c r="AM791" s="117">
        <f ca="1">(AM738/AM786)^Elasticities!$I$52</f>
        <v>1.000397072452468</v>
      </c>
      <c r="AN791" s="117">
        <f ca="1">(AN738/AN786)^Elasticities!$I$52</f>
        <v>1.0001444438999985</v>
      </c>
      <c r="AQ791" s="117">
        <f ca="1">(AQ738/AQ786)^Elasticities!$G$54</f>
        <v>1.0000326664926973</v>
      </c>
      <c r="AR791" s="117">
        <f ca="1">(AR738/AR786)^Elasticities!$G$54</f>
        <v>0.99993428004641149</v>
      </c>
      <c r="AS791" s="117">
        <f ca="1">(AS738/AS786)^Elasticities!$G$54</f>
        <v>0.99988398674056556</v>
      </c>
      <c r="AT791" s="117">
        <f ca="1">(AT738/AT786)^Elasticities!$G$54</f>
        <v>0.99991775735596344</v>
      </c>
      <c r="AU791" s="117">
        <f ca="1">(AU738/AU786)^Elasticities!$G$54</f>
        <v>1.0001479445548638</v>
      </c>
      <c r="AV791" s="117">
        <f ca="1">(AV738/AV786)^Elasticities!$G$54</f>
        <v>1.0003176453506546</v>
      </c>
      <c r="AW791" s="117">
        <f ca="1">(AW738/AW786)^Elasticities!$G$54</f>
        <v>1.0001155534509723</v>
      </c>
      <c r="AZ791" s="117">
        <f ca="1">(AZ738/AZ786)^(Elasticities!$J$64*Elasticities!$G$52)</f>
        <v>1.0000136109089437</v>
      </c>
      <c r="BA791" s="117">
        <f ca="1">(BA738/BA786)^(Elasticities!$J$64*Elasticities!$G$52)</f>
        <v>0.99997261616109456</v>
      </c>
      <c r="BB791" s="117">
        <f ca="1">(BB738/BB786)^(Elasticities!$J$64*Elasticities!$G$52)</f>
        <v>0.9999516595061505</v>
      </c>
      <c r="BC791" s="117">
        <f ca="1">(BC738/BC786)^(Elasticities!$J$64*Elasticities!$G$52)</f>
        <v>0.99996573140961964</v>
      </c>
      <c r="BD791" s="117">
        <f ca="1">(BD738/BD786)^(Elasticities!$J$64*Elasticities!$G$52)</f>
        <v>1.000061640904784</v>
      </c>
      <c r="BE791" s="117">
        <f ca="1">(BE738/BE786)^(Elasticities!$J$64*Elasticities!$G$52)</f>
        <v>1.0001323399695159</v>
      </c>
      <c r="BF791" s="117">
        <f ca="1">(BF738/BF786)^(Elasticities!$J$64*Elasticities!$G$52)</f>
        <v>1.0000481456486257</v>
      </c>
      <c r="BI791" s="117">
        <f ca="1">(BI738/BI786)^Elasticities!$G$50</f>
        <v>1.0000204164328867</v>
      </c>
      <c r="BJ791" s="117">
        <f ca="1">(BJ738/BJ786)^Elasticities!$G$50</f>
        <v>0.99995892452284596</v>
      </c>
      <c r="BK791" s="117">
        <f ca="1">(BK738/BK786)^Elasticities!$G$50</f>
        <v>0.99992749013553406</v>
      </c>
      <c r="BL791" s="117">
        <f ca="1">(BL738/BL786)^Elasticities!$G$50</f>
        <v>0.99994859755480836</v>
      </c>
      <c r="BM791" s="117">
        <f ca="1">(BM738/BM786)^Elasticities!$G$50</f>
        <v>1.0000924627820116</v>
      </c>
      <c r="BN791" s="117">
        <f ca="1">(BN738/BN786)^Elasticities!$G$50</f>
        <v>1.0001985165218292</v>
      </c>
      <c r="BO791" s="117">
        <f ca="1">(BO738/BO786)^Elasticities!$G$50</f>
        <v>1.0000722193421825</v>
      </c>
    </row>
    <row r="792" spans="2:68" ht="13.2" customHeight="1">
      <c r="O792" s="39">
        <f>ROW()</f>
        <v>792</v>
      </c>
      <c r="P792" s="309" t="s">
        <v>529</v>
      </c>
      <c r="Y792" s="309" t="s">
        <v>530</v>
      </c>
      <c r="AH792" s="309" t="s">
        <v>2922</v>
      </c>
      <c r="AQ792" s="215" t="s">
        <v>3299</v>
      </c>
      <c r="AZ792" s="309" t="s">
        <v>2398</v>
      </c>
      <c r="BI792" s="309" t="s">
        <v>2878</v>
      </c>
    </row>
    <row r="793" spans="2:68" ht="13.2" customHeight="1">
      <c r="B793" s="6" t="s">
        <v>2164</v>
      </c>
      <c r="G793" s="633">
        <f t="shared" ref="G793:M793" ca="1" si="1531">($I$76*$I$79*P793+$J$76*$J$79*Y793+$K$76*$K$79*AH793+$L$76*$L$79*AQ793+$M$76*$M$79*AZ793+$N$76*$N$79*BI793)/SUMPRODUCT($I$76:$N$76,$I$79:$N$79)</f>
        <v>0.99999873065386202</v>
      </c>
      <c r="H793" s="633">
        <f t="shared" ca="1" si="1531"/>
        <v>0.99996784439414288</v>
      </c>
      <c r="I793" s="633">
        <f t="shared" ca="1" si="1531"/>
        <v>1.0000319197288117</v>
      </c>
      <c r="J793" s="633">
        <f t="shared" ca="1" si="1531"/>
        <v>1.000156169367602</v>
      </c>
      <c r="K793" s="633">
        <f t="shared" ca="1" si="1531"/>
        <v>1.0001528273151412</v>
      </c>
      <c r="L793" s="633">
        <f t="shared" ca="1" si="1531"/>
        <v>0.99991296341783831</v>
      </c>
      <c r="M793" s="633">
        <f t="shared" ca="1" si="1531"/>
        <v>1.0001697085382257</v>
      </c>
      <c r="O793" s="39">
        <f>ROW()</f>
        <v>793</v>
      </c>
      <c r="P793" s="117">
        <f ca="1">(P739/P787)^Elasticities!$G$52</f>
        <v>0.99999798355446989</v>
      </c>
      <c r="Q793" s="117">
        <f ca="1">(Q739/Q787)^Elasticities!$G$52</f>
        <v>0.99995821902247728</v>
      </c>
      <c r="R793" s="117">
        <f ca="1">(R739/R787)^Elasticities!$G$52</f>
        <v>1.0000148634254611</v>
      </c>
      <c r="S793" s="117">
        <f ca="1">(S739/S787)^Elasticities!$G$52</f>
        <v>1.0000832059275702</v>
      </c>
      <c r="T793" s="117">
        <f ca="1">(T739/T787)^Elasticities!$G$52</f>
        <v>1.0000934406836008</v>
      </c>
      <c r="U793" s="117">
        <f ca="1">(U739/U787)^Elasticities!$G$52</f>
        <v>0.99996235444626336</v>
      </c>
      <c r="V793" s="117">
        <f ca="1">(V739/V787)^Elasticities!$G$52</f>
        <v>1.0001130272882142</v>
      </c>
      <c r="Y793" s="117">
        <f ca="1">(Y726/Y774)^Elasticities!$H$52</f>
        <v>0.99999917069253696</v>
      </c>
      <c r="Z793" s="117">
        <f ca="1">(Z726/Z774)^Elasticities!$H$52</f>
        <v>0.99997232246873557</v>
      </c>
      <c r="AA793" s="117">
        <f ca="1">(AA726/AA774)^Elasticities!$H$52</f>
        <v>1.0000465568410146</v>
      </c>
      <c r="AB793" s="117">
        <f ca="1">(AB726/AB774)^Elasticities!$H$52</f>
        <v>1.0002202638196309</v>
      </c>
      <c r="AC793" s="117">
        <f ca="1">(AC726/AC774)^Elasticities!$H$52</f>
        <v>1.0002069340882453</v>
      </c>
      <c r="AD793" s="117">
        <f ca="1">(AD726/AD774)^Elasticities!$H$52</f>
        <v>0.99987098482163139</v>
      </c>
      <c r="AE793" s="117">
        <f ca="1">(AE726/AE774)^Elasticities!$H$52</f>
        <v>1.0002231480599941</v>
      </c>
      <c r="AH793" s="117">
        <f ca="1">(AH726/AH774)^Elasticities!$I$52</f>
        <v>0.99999917069253696</v>
      </c>
      <c r="AI793" s="117">
        <f ca="1">(AI726/AI774)^Elasticities!$I$52</f>
        <v>0.99997232246873557</v>
      </c>
      <c r="AJ793" s="117">
        <f ca="1">(AJ726/AJ774)^Elasticities!$I$52</f>
        <v>1.0000465568410146</v>
      </c>
      <c r="AK793" s="117">
        <f ca="1">(AK726/AK774)^Elasticities!$I$52</f>
        <v>1.0002202638196309</v>
      </c>
      <c r="AL793" s="117">
        <f ca="1">(AL726/AL774)^Elasticities!$I$52</f>
        <v>1.0002069340882453</v>
      </c>
      <c r="AM793" s="117">
        <f ca="1">(AM726/AM774)^Elasticities!$I$52</f>
        <v>0.99987098482163139</v>
      </c>
      <c r="AN793" s="117">
        <f ca="1">(AN726/AN774)^Elasticities!$I$52</f>
        <v>1.0002231480599941</v>
      </c>
      <c r="AQ793" s="117">
        <f ca="1">(AQ739/AQ787)^Elasticities!$G$54</f>
        <v>0.9999983868432506</v>
      </c>
      <c r="AR793" s="117">
        <f ca="1">(AR739/AR787)^Elasticities!$G$54</f>
        <v>0.99996657507832754</v>
      </c>
      <c r="AS793" s="117">
        <f ca="1">(AS739/AS787)^Elasticities!$G$54</f>
        <v>1.0000118907226954</v>
      </c>
      <c r="AT793" s="117">
        <f ca="1">(AT739/AT787)^Elasticities!$G$54</f>
        <v>1.0000665641882165</v>
      </c>
      <c r="AU793" s="117">
        <f ca="1">(AU739/AU787)^Elasticities!$G$54</f>
        <v>1.0000747518484139</v>
      </c>
      <c r="AV793" s="117">
        <f ca="1">(AV739/AV787)^Elasticities!$G$54</f>
        <v>0.99996988344363402</v>
      </c>
      <c r="AW793" s="117">
        <f ca="1">(AW739/AW787)^Elasticities!$G$54</f>
        <v>1.0000904208086041</v>
      </c>
      <c r="AZ793" s="117">
        <f ca="1">(AZ726/AZ774)^(Elasticities!$J$64*Elasticities!$G$52)</f>
        <v>0.99999972356410249</v>
      </c>
      <c r="BA793" s="117">
        <f ca="1">(BA726/BA774)^(Elasticities!$J$64*Elasticities!$G$52)</f>
        <v>0.9999907740711278</v>
      </c>
      <c r="BB793" s="117">
        <f ca="1">(BB726/BB774)^(Elasticities!$J$64*Elasticities!$G$52)</f>
        <v>1.0000155187061734</v>
      </c>
      <c r="BC793" s="117">
        <f ca="1">(BC726/BC774)^(Elasticities!$J$64*Elasticities!$G$52)</f>
        <v>1.0000734158831865</v>
      </c>
      <c r="BD793" s="117">
        <f ca="1">(BD726/BD774)^(Elasticities!$J$64*Elasticities!$G$52)</f>
        <v>1.0000689732719936</v>
      </c>
      <c r="BE793" s="117">
        <f ca="1">(BE726/BE774)^(Elasticities!$J$64*Elasticities!$G$52)</f>
        <v>0.99995699309097597</v>
      </c>
      <c r="BF793" s="117">
        <f ca="1">(BF726/BF774)^(Elasticities!$J$64*Elasticities!$G$52)</f>
        <v>1.0000743771545664</v>
      </c>
      <c r="BI793" s="117">
        <f ca="1">(BI726/BI774)^Elasticities!$G$50</f>
        <v>0.99999958534618261</v>
      </c>
      <c r="BJ793" s="117">
        <f ca="1">(BJ726/BJ774)^Elasticities!$G$50</f>
        <v>0.99998616113861061</v>
      </c>
      <c r="BK793" s="117">
        <f ca="1">(BK726/BK774)^Elasticities!$G$50</f>
        <v>1.0000232781495713</v>
      </c>
      <c r="BL793" s="117">
        <f ca="1">(BL726/BL774)^Elasticities!$G$50</f>
        <v>1.0001101258459644</v>
      </c>
      <c r="BM793" s="117">
        <f ca="1">(BM726/BM774)^Elasticities!$G$50</f>
        <v>1.000103461691962</v>
      </c>
      <c r="BN793" s="117">
        <f ca="1">(BN726/BN774)^Elasticities!$G$50</f>
        <v>0.99993549033006701</v>
      </c>
      <c r="BO793" s="117">
        <f ca="1">(BO726/BO774)^Elasticities!$G$50</f>
        <v>1.0001115678063093</v>
      </c>
    </row>
    <row r="794" spans="2:68" ht="13.2" customHeight="1" collapsed="1">
      <c r="O794" s="39">
        <f>ROW()</f>
        <v>794</v>
      </c>
      <c r="P794" s="309" t="s">
        <v>2879</v>
      </c>
      <c r="Y794" s="309" t="s">
        <v>2842</v>
      </c>
      <c r="AH794" s="309" t="s">
        <v>2808</v>
      </c>
      <c r="AQ794" s="215" t="s">
        <v>3300</v>
      </c>
      <c r="AZ794" s="309" t="s">
        <v>2903</v>
      </c>
      <c r="BI794" s="309" t="s">
        <v>91</v>
      </c>
    </row>
    <row r="795" spans="2:68" ht="13.2" customHeight="1">
      <c r="B795" s="24" t="s">
        <v>322</v>
      </c>
      <c r="I795" s="54"/>
      <c r="O795" s="39">
        <f>ROW()</f>
        <v>795</v>
      </c>
      <c r="P795" s="880" t="s">
        <v>1472</v>
      </c>
      <c r="Q795" s="880" t="s">
        <v>615</v>
      </c>
      <c r="R795" s="880" t="s">
        <v>2445</v>
      </c>
      <c r="S795" s="880" t="s">
        <v>616</v>
      </c>
      <c r="T795" s="880" t="s">
        <v>1152</v>
      </c>
      <c r="U795" s="880" t="s">
        <v>1151</v>
      </c>
      <c r="V795" s="880" t="s">
        <v>617</v>
      </c>
      <c r="W795" s="880" t="s">
        <v>2684</v>
      </c>
      <c r="Y795" s="880" t="s">
        <v>1472</v>
      </c>
      <c r="Z795" s="880" t="s">
        <v>615</v>
      </c>
      <c r="AA795" s="880" t="s">
        <v>2445</v>
      </c>
      <c r="AB795" s="880" t="s">
        <v>616</v>
      </c>
      <c r="AC795" s="880" t="s">
        <v>1152</v>
      </c>
      <c r="AD795" s="880" t="s">
        <v>1151</v>
      </c>
      <c r="AE795" s="880" t="s">
        <v>617</v>
      </c>
      <c r="AF795" s="880" t="s">
        <v>2684</v>
      </c>
      <c r="AH795" s="880" t="s">
        <v>1472</v>
      </c>
      <c r="AI795" s="880" t="s">
        <v>615</v>
      </c>
      <c r="AJ795" s="880" t="s">
        <v>2445</v>
      </c>
      <c r="AK795" s="880" t="s">
        <v>616</v>
      </c>
      <c r="AL795" s="880" t="s">
        <v>1152</v>
      </c>
      <c r="AM795" s="880" t="s">
        <v>1151</v>
      </c>
      <c r="AN795" s="880" t="s">
        <v>617</v>
      </c>
      <c r="AO795" s="880" t="s">
        <v>2684</v>
      </c>
      <c r="AQ795" s="880" t="s">
        <v>1472</v>
      </c>
      <c r="AR795" s="880" t="s">
        <v>615</v>
      </c>
      <c r="AS795" s="880" t="s">
        <v>2445</v>
      </c>
      <c r="AT795" s="880" t="s">
        <v>616</v>
      </c>
      <c r="AU795" s="880" t="s">
        <v>1152</v>
      </c>
      <c r="AV795" s="880" t="s">
        <v>1151</v>
      </c>
      <c r="AW795" s="880" t="s">
        <v>617</v>
      </c>
      <c r="AX795" s="880" t="s">
        <v>2684</v>
      </c>
      <c r="AZ795" s="880" t="s">
        <v>1472</v>
      </c>
      <c r="BA795" s="880" t="s">
        <v>615</v>
      </c>
      <c r="BB795" s="880" t="s">
        <v>2445</v>
      </c>
      <c r="BC795" s="880" t="s">
        <v>616</v>
      </c>
      <c r="BD795" s="880" t="s">
        <v>1152</v>
      </c>
      <c r="BE795" s="880" t="s">
        <v>1151</v>
      </c>
      <c r="BF795" s="880" t="s">
        <v>617</v>
      </c>
      <c r="BG795" s="880" t="s">
        <v>2684</v>
      </c>
      <c r="BI795" s="880" t="s">
        <v>1472</v>
      </c>
      <c r="BJ795" s="880" t="s">
        <v>615</v>
      </c>
      <c r="BK795" s="880" t="s">
        <v>2445</v>
      </c>
      <c r="BL795" s="880" t="s">
        <v>616</v>
      </c>
      <c r="BM795" s="880" t="s">
        <v>1152</v>
      </c>
      <c r="BN795" s="880" t="s">
        <v>1151</v>
      </c>
      <c r="BO795" s="880" t="s">
        <v>617</v>
      </c>
      <c r="BP795" s="880" t="s">
        <v>2684</v>
      </c>
    </row>
    <row r="796" spans="2:68" ht="13.2" customHeight="1">
      <c r="O796" s="39">
        <f>ROW()</f>
        <v>796</v>
      </c>
      <c r="P796" s="298" t="s">
        <v>2678</v>
      </c>
      <c r="Q796" s="298" t="s">
        <v>665</v>
      </c>
      <c r="R796" s="298" t="s">
        <v>666</v>
      </c>
      <c r="S796" s="298" t="s">
        <v>667</v>
      </c>
      <c r="T796" s="298" t="s">
        <v>668</v>
      </c>
      <c r="U796" s="298" t="s">
        <v>434</v>
      </c>
      <c r="V796" s="298" t="s">
        <v>435</v>
      </c>
      <c r="W796" s="298"/>
      <c r="Y796" s="298" t="s">
        <v>2678</v>
      </c>
      <c r="Z796" s="298" t="s">
        <v>665</v>
      </c>
      <c r="AA796" s="298" t="s">
        <v>666</v>
      </c>
      <c r="AB796" s="298" t="s">
        <v>667</v>
      </c>
      <c r="AC796" s="298" t="s">
        <v>668</v>
      </c>
      <c r="AD796" s="298" t="s">
        <v>434</v>
      </c>
      <c r="AE796" s="298" t="s">
        <v>435</v>
      </c>
      <c r="AF796" s="298"/>
      <c r="AH796" s="298" t="s">
        <v>2678</v>
      </c>
      <c r="AI796" s="298" t="s">
        <v>665</v>
      </c>
      <c r="AJ796" s="298" t="s">
        <v>666</v>
      </c>
      <c r="AK796" s="298" t="s">
        <v>667</v>
      </c>
      <c r="AL796" s="298" t="s">
        <v>668</v>
      </c>
      <c r="AM796" s="298" t="s">
        <v>434</v>
      </c>
      <c r="AN796" s="298" t="s">
        <v>435</v>
      </c>
      <c r="AO796" s="298"/>
      <c r="AQ796" s="298" t="s">
        <v>2678</v>
      </c>
      <c r="AR796" s="298" t="s">
        <v>665</v>
      </c>
      <c r="AS796" s="298" t="s">
        <v>666</v>
      </c>
      <c r="AT796" s="298" t="s">
        <v>667</v>
      </c>
      <c r="AU796" s="298" t="s">
        <v>668</v>
      </c>
      <c r="AV796" s="298" t="s">
        <v>434</v>
      </c>
      <c r="AW796" s="298" t="s">
        <v>435</v>
      </c>
      <c r="AX796" s="298"/>
      <c r="AZ796" s="298" t="s">
        <v>2678</v>
      </c>
      <c r="BA796" s="298" t="s">
        <v>665</v>
      </c>
      <c r="BB796" s="298" t="s">
        <v>666</v>
      </c>
      <c r="BC796" s="298" t="s">
        <v>667</v>
      </c>
      <c r="BD796" s="298" t="s">
        <v>668</v>
      </c>
      <c r="BE796" s="298" t="s">
        <v>434</v>
      </c>
      <c r="BF796" s="298" t="s">
        <v>435</v>
      </c>
      <c r="BG796" s="298"/>
      <c r="BI796" s="298" t="s">
        <v>2678</v>
      </c>
      <c r="BJ796" s="298" t="s">
        <v>665</v>
      </c>
      <c r="BK796" s="298" t="s">
        <v>666</v>
      </c>
      <c r="BL796" s="298" t="s">
        <v>667</v>
      </c>
      <c r="BM796" s="298" t="s">
        <v>668</v>
      </c>
      <c r="BN796" s="298" t="s">
        <v>434</v>
      </c>
      <c r="BO796" s="298" t="s">
        <v>435</v>
      </c>
      <c r="BP796" s="298"/>
    </row>
    <row r="797" spans="2:68" ht="13.2" customHeight="1">
      <c r="B797" s="308" t="s">
        <v>112</v>
      </c>
      <c r="O797" s="39">
        <f>ROW()</f>
        <v>797</v>
      </c>
    </row>
    <row r="798" spans="2:68" ht="13.2" customHeight="1">
      <c r="B798" s="280" t="s">
        <v>1845</v>
      </c>
      <c r="G798" s="1122">
        <f t="shared" ref="G798:M798" ca="1" si="1532">P798+Y798+AH798+AQ798+AZ798+BI798</f>
        <v>54285.057746812199</v>
      </c>
      <c r="H798" s="1122">
        <f t="shared" ca="1" si="1532"/>
        <v>17441.996160370774</v>
      </c>
      <c r="I798" s="1122">
        <f t="shared" ca="1" si="1532"/>
        <v>115490.43391263885</v>
      </c>
      <c r="J798" s="1122">
        <f t="shared" ca="1" si="1532"/>
        <v>34087.02016478539</v>
      </c>
      <c r="K798" s="1122">
        <f t="shared" ca="1" si="1532"/>
        <v>117353.13155022527</v>
      </c>
      <c r="L798" s="1122">
        <f t="shared" ca="1" si="1532"/>
        <v>178319.56886972458</v>
      </c>
      <c r="M798" s="1122">
        <f t="shared" ca="1" si="1532"/>
        <v>59794.062157664754</v>
      </c>
      <c r="N798" s="186">
        <f ca="1">SUM(G798:M798)</f>
        <v>576771.27056222176</v>
      </c>
      <c r="O798" s="39">
        <f>ROW()</f>
        <v>798</v>
      </c>
      <c r="P798" s="10">
        <f t="shared" ref="P798:V798" ca="1" si="1533">P752</f>
        <v>9416.6891030132774</v>
      </c>
      <c r="Q798" s="10">
        <f t="shared" ca="1" si="1533"/>
        <v>9957.6943730332932</v>
      </c>
      <c r="R798" s="10">
        <f t="shared" ca="1" si="1533"/>
        <v>66573.398869420882</v>
      </c>
      <c r="S798" s="10">
        <f t="shared" ca="1" si="1533"/>
        <v>15900.270569069469</v>
      </c>
      <c r="T798" s="10">
        <f t="shared" ca="1" si="1533"/>
        <v>46860.733354808544</v>
      </c>
      <c r="U798" s="10">
        <f t="shared" ca="1" si="1533"/>
        <v>47415.030522399378</v>
      </c>
      <c r="V798" s="10">
        <f t="shared" ca="1" si="1533"/>
        <v>13080.602380381462</v>
      </c>
      <c r="W798" s="10">
        <f ca="1">SUM(P798:V798)</f>
        <v>209204.41917212631</v>
      </c>
      <c r="Y798" s="10">
        <f t="shared" ref="Y798:AE798" ca="1" si="1534">Y752</f>
        <v>16501.087726726739</v>
      </c>
      <c r="Z798" s="10">
        <f t="shared" ca="1" si="1534"/>
        <v>1209.2189059909824</v>
      </c>
      <c r="AA798" s="10">
        <f t="shared" ca="1" si="1534"/>
        <v>13406.847253707032</v>
      </c>
      <c r="AB798" s="10">
        <f t="shared" ca="1" si="1534"/>
        <v>7877.1400547245175</v>
      </c>
      <c r="AC798" s="10">
        <f t="shared" ca="1" si="1534"/>
        <v>32461.233038537866</v>
      </c>
      <c r="AD798" s="10">
        <f t="shared" ca="1" si="1534"/>
        <v>64956.518129912831</v>
      </c>
      <c r="AE798" s="10">
        <f t="shared" ca="1" si="1534"/>
        <v>19520.161547629777</v>
      </c>
      <c r="AF798" s="10">
        <f ca="1">SUM(Y798:AE798)</f>
        <v>155932.20665722972</v>
      </c>
      <c r="AH798" s="10">
        <f t="shared" ref="AH798:AN798" ca="1" si="1535">AH752</f>
        <v>17570.78153890168</v>
      </c>
      <c r="AI798" s="10">
        <f t="shared" ca="1" si="1535"/>
        <v>2261.6484857586047</v>
      </c>
      <c r="AJ798" s="10">
        <f t="shared" ca="1" si="1535"/>
        <v>9993.7455996222106</v>
      </c>
      <c r="AK798" s="10">
        <f t="shared" ca="1" si="1535"/>
        <v>2885.0721877823225</v>
      </c>
      <c r="AL798" s="10">
        <f t="shared" ca="1" si="1535"/>
        <v>14079.024998928489</v>
      </c>
      <c r="AM798" s="10">
        <f t="shared" ca="1" si="1535"/>
        <v>26535.097454882405</v>
      </c>
      <c r="AN798" s="10">
        <f t="shared" ca="1" si="1535"/>
        <v>13799.317236655204</v>
      </c>
      <c r="AO798" s="10">
        <f ca="1">SUM(AH798:AN798)</f>
        <v>87124.687502530913</v>
      </c>
      <c r="AQ798" s="10">
        <f t="shared" ref="AQ798:AW798" ca="1" si="1536">AQ752</f>
        <v>5971.6905611606398</v>
      </c>
      <c r="AR798" s="10">
        <f t="shared" ca="1" si="1536"/>
        <v>2552.8911555962159</v>
      </c>
      <c r="AS798" s="10">
        <f t="shared" ca="1" si="1536"/>
        <v>15950.302675877292</v>
      </c>
      <c r="AT798" s="10">
        <f t="shared" ca="1" si="1536"/>
        <v>4642.5660450726618</v>
      </c>
      <c r="AU798" s="10">
        <f t="shared" ca="1" si="1536"/>
        <v>14365.016335840943</v>
      </c>
      <c r="AV798" s="10">
        <f t="shared" ca="1" si="1536"/>
        <v>24469.846484730482</v>
      </c>
      <c r="AW798" s="10">
        <f t="shared" ca="1" si="1536"/>
        <v>8223.1249489336733</v>
      </c>
      <c r="AX798" s="10">
        <f ca="1">SUM(AQ798:AW798)</f>
        <v>76175.438207211919</v>
      </c>
      <c r="AZ798" s="10">
        <f t="shared" ref="AZ798:BF798" ca="1" si="1537">AZ752</f>
        <v>3693.9230256485953</v>
      </c>
      <c r="BA798" s="10">
        <f t="shared" ca="1" si="1537"/>
        <v>1104.2736332698491</v>
      </c>
      <c r="BB798" s="10">
        <f t="shared" ca="1" si="1537"/>
        <v>7279.6839944624353</v>
      </c>
      <c r="BC798" s="10">
        <f t="shared" ca="1" si="1537"/>
        <v>2115.0467425859879</v>
      </c>
      <c r="BD798" s="10">
        <f t="shared" ca="1" si="1537"/>
        <v>7307.7788761880984</v>
      </c>
      <c r="BE798" s="10">
        <f t="shared" ca="1" si="1537"/>
        <v>11373.834763361792</v>
      </c>
      <c r="BF798" s="10">
        <f t="shared" ca="1" si="1537"/>
        <v>3935.9413571196392</v>
      </c>
      <c r="BG798" s="10">
        <f ca="1">SUM(AZ798:BF798)</f>
        <v>36810.482392636397</v>
      </c>
      <c r="BI798" s="10">
        <f t="shared" ref="BI798:BO798" ca="1" si="1538">BI752</f>
        <v>1130.8857913612658</v>
      </c>
      <c r="BJ798" s="10">
        <f t="shared" ca="1" si="1538"/>
        <v>356.269606721831</v>
      </c>
      <c r="BK798" s="10">
        <f t="shared" ca="1" si="1538"/>
        <v>2286.4555195489943</v>
      </c>
      <c r="BL798" s="10">
        <f t="shared" ca="1" si="1538"/>
        <v>666.92456555043134</v>
      </c>
      <c r="BM798" s="10">
        <f t="shared" ca="1" si="1538"/>
        <v>2279.3449459213466</v>
      </c>
      <c r="BN798" s="10">
        <f t="shared" ca="1" si="1538"/>
        <v>3569.241514437686</v>
      </c>
      <c r="BO798" s="10">
        <f t="shared" ca="1" si="1538"/>
        <v>1234.9146869450037</v>
      </c>
      <c r="BP798" s="10">
        <f ca="1">SUM(BI798:BO798)</f>
        <v>11524.036630486558</v>
      </c>
    </row>
    <row r="799" spans="2:68" ht="13.2" customHeight="1">
      <c r="B799" s="309" t="str">
        <f>CONCATENATE("Above row repeats figures in Row ",O752,".")</f>
        <v>Above row repeats figures in Row 752.</v>
      </c>
      <c r="G799" s="1126" t="s">
        <v>1009</v>
      </c>
      <c r="H799" s="1122"/>
      <c r="I799" s="1122"/>
      <c r="J799" s="1122"/>
      <c r="K799" s="1122"/>
      <c r="L799" s="1122"/>
      <c r="M799" s="1122"/>
      <c r="O799" s="39">
        <f>ROW()</f>
        <v>799</v>
      </c>
      <c r="AQ799" s="265" t="str">
        <f>CONCATENATE("Row ",O800, " figures are set equal to ",O798, " figures, since rebound effects are presumed accounted for by taxi time-elasticity.")</f>
        <v>Row 800 figures are set equal to 798 figures, since rebound effects are presumed accounted for by taxi time-elasticity.</v>
      </c>
    </row>
    <row r="800" spans="2:68" ht="13.2" customHeight="1">
      <c r="B800" s="280" t="s">
        <v>1300</v>
      </c>
      <c r="G800" s="1122">
        <f t="shared" ref="G800:M801" ca="1" si="1539">P800+Y800+AH800+AQ800+AZ800+BI800</f>
        <v>54285.021769163584</v>
      </c>
      <c r="H800" s="1122">
        <f t="shared" ca="1" si="1539"/>
        <v>17441.848159594694</v>
      </c>
      <c r="I800" s="1122">
        <f t="shared" ca="1" si="1539"/>
        <v>115492.69744236495</v>
      </c>
      <c r="J800" s="1122">
        <f t="shared" ca="1" si="1539"/>
        <v>34090.048227208521</v>
      </c>
      <c r="K800" s="1122">
        <f t="shared" ca="1" si="1539"/>
        <v>117362.64285728212</v>
      </c>
      <c r="L800" s="1122">
        <f t="shared" ca="1" si="1539"/>
        <v>178307.21930326946</v>
      </c>
      <c r="M800" s="1122">
        <f t="shared" ca="1" si="1539"/>
        <v>59799.755390526756</v>
      </c>
      <c r="N800" s="617">
        <f ca="1">SUM(G800:M800)</f>
        <v>576779.23314941011</v>
      </c>
      <c r="O800" s="39">
        <f>ROW()</f>
        <v>800</v>
      </c>
      <c r="P800" s="10">
        <f t="shared" ref="P800:V800" ca="1" si="1540">P798*P789</f>
        <v>9416.6869871864419</v>
      </c>
      <c r="Q800" s="10">
        <f t="shared" ca="1" si="1540"/>
        <v>9957.6184422436709</v>
      </c>
      <c r="R800" s="10">
        <f t="shared" ca="1" si="1540"/>
        <v>66574.891732962773</v>
      </c>
      <c r="S800" s="10">
        <f t="shared" ca="1" si="1540"/>
        <v>15901.851538622572</v>
      </c>
      <c r="T800" s="10">
        <f t="shared" ca="1" si="1540"/>
        <v>46864.678824006347</v>
      </c>
      <c r="U800" s="10">
        <f t="shared" ca="1" si="1540"/>
        <v>47411.484846873769</v>
      </c>
      <c r="V800" s="10">
        <f t="shared" ca="1" si="1540"/>
        <v>13081.735892442855</v>
      </c>
      <c r="W800" s="10">
        <f ca="1">SUM(P800:V800)</f>
        <v>209208.94826433843</v>
      </c>
      <c r="Y800" s="10">
        <f t="shared" ref="Y800:AE800" ca="1" si="1541">Y798*Y789</f>
        <v>16501.084019113168</v>
      </c>
      <c r="Z800" s="10">
        <f t="shared" ca="1" si="1541"/>
        <v>1209.2096852875827</v>
      </c>
      <c r="AA800" s="10">
        <f t="shared" ca="1" si="1541"/>
        <v>13407.147893208941</v>
      </c>
      <c r="AB800" s="10">
        <f t="shared" ca="1" si="1541"/>
        <v>7877.9232815594287</v>
      </c>
      <c r="AC800" s="10">
        <f t="shared" ca="1" si="1541"/>
        <v>32463.966132663947</v>
      </c>
      <c r="AD800" s="10">
        <f t="shared" ca="1" si="1541"/>
        <v>64951.660709512071</v>
      </c>
      <c r="AE800" s="10">
        <f t="shared" ca="1" si="1541"/>
        <v>19521.853085825896</v>
      </c>
      <c r="AF800" s="10">
        <f ca="1">SUM(Y800:AE800)</f>
        <v>155932.84480717103</v>
      </c>
      <c r="AH800" s="10">
        <f t="shared" ref="AH800:AN800" ca="1" si="1542">AH798*AH789</f>
        <v>17570.765603837644</v>
      </c>
      <c r="AI800" s="10">
        <f t="shared" ca="1" si="1542"/>
        <v>2261.5931670680961</v>
      </c>
      <c r="AJ800" s="10">
        <f t="shared" ca="1" si="1542"/>
        <v>9994.1663174113892</v>
      </c>
      <c r="AK800" s="10">
        <f t="shared" ca="1" si="1542"/>
        <v>2885.651967052087</v>
      </c>
      <c r="AL800" s="10">
        <f t="shared" ca="1" si="1542"/>
        <v>14081.627328482418</v>
      </c>
      <c r="AM800" s="10">
        <f t="shared" ca="1" si="1542"/>
        <v>26531.604502009846</v>
      </c>
      <c r="AN800" s="10">
        <f t="shared" ca="1" si="1542"/>
        <v>13802.056955848908</v>
      </c>
      <c r="AO800" s="10">
        <f ca="1">SUM(AH800:AN800)</f>
        <v>87127.465841710393</v>
      </c>
      <c r="AQ800" s="10">
        <f ca="1">AQ798</f>
        <v>5971.6905611606398</v>
      </c>
      <c r="AR800" s="10">
        <f t="shared" ref="AR800:AW800" ca="1" si="1543">AR798</f>
        <v>2552.8911555962159</v>
      </c>
      <c r="AS800" s="10">
        <f t="shared" ca="1" si="1543"/>
        <v>15950.302675877292</v>
      </c>
      <c r="AT800" s="10">
        <f t="shared" ca="1" si="1543"/>
        <v>4642.5660450726618</v>
      </c>
      <c r="AU800" s="10">
        <f t="shared" ca="1" si="1543"/>
        <v>14365.016335840943</v>
      </c>
      <c r="AV800" s="10">
        <f t="shared" ca="1" si="1543"/>
        <v>24469.846484730482</v>
      </c>
      <c r="AW800" s="10">
        <f t="shared" ca="1" si="1543"/>
        <v>8223.1249489336733</v>
      </c>
      <c r="AX800" s="10">
        <f ca="1">SUM(AQ800:AW800)</f>
        <v>76175.438207211919</v>
      </c>
      <c r="AZ800" s="10">
        <f t="shared" ref="AZ800:BF800" ca="1" si="1544">AZ798*AZ789</f>
        <v>3693.9106038889827</v>
      </c>
      <c r="BA800" s="10">
        <f t="shared" ca="1" si="1544"/>
        <v>1104.2678850901034</v>
      </c>
      <c r="BB800" s="10">
        <f t="shared" ca="1" si="1544"/>
        <v>7279.7113992588529</v>
      </c>
      <c r="BC800" s="10">
        <f t="shared" ca="1" si="1544"/>
        <v>2115.1000262080493</v>
      </c>
      <c r="BD800" s="10">
        <f t="shared" ca="1" si="1544"/>
        <v>7307.9219193605077</v>
      </c>
      <c r="BE800" s="10">
        <f t="shared" ca="1" si="1544"/>
        <v>11373.519132929259</v>
      </c>
      <c r="BF800" s="10">
        <f t="shared" ca="1" si="1544"/>
        <v>3936.0210641133472</v>
      </c>
      <c r="BG800" s="10">
        <f ca="1">SUM(AZ800:BF800)</f>
        <v>36810.452030849097</v>
      </c>
      <c r="BI800" s="10">
        <f t="shared" ref="BI800:BO800" ca="1" si="1545">BI798*BI789</f>
        <v>1130.8839939767122</v>
      </c>
      <c r="BJ800" s="10">
        <f t="shared" ca="1" si="1545"/>
        <v>356.26782430902614</v>
      </c>
      <c r="BK800" s="10">
        <f t="shared" ca="1" si="1545"/>
        <v>2286.4774236457069</v>
      </c>
      <c r="BL800" s="10">
        <f t="shared" ca="1" si="1545"/>
        <v>666.95536869372836</v>
      </c>
      <c r="BM800" s="10">
        <f t="shared" ca="1" si="1545"/>
        <v>2279.4323169279733</v>
      </c>
      <c r="BN800" s="10">
        <f t="shared" ca="1" si="1545"/>
        <v>3569.1036272140477</v>
      </c>
      <c r="BO800" s="10">
        <f t="shared" ca="1" si="1545"/>
        <v>1234.9634433620877</v>
      </c>
      <c r="BP800" s="10">
        <f ca="1">SUM(BI800:BO800)</f>
        <v>11524.083998129281</v>
      </c>
    </row>
    <row r="801" spans="2:68" ht="13.2" customHeight="1">
      <c r="B801" s="280" t="s">
        <v>112</v>
      </c>
      <c r="G801" s="1122">
        <f t="shared" ca="1" si="1539"/>
        <v>85797.319645956391</v>
      </c>
      <c r="H801" s="1122">
        <f t="shared" ca="1" si="1539"/>
        <v>26708.20584180381</v>
      </c>
      <c r="I801" s="1122">
        <f t="shared" ca="1" si="1539"/>
        <v>174280.91003739543</v>
      </c>
      <c r="J801" s="1122">
        <f t="shared" ca="1" si="1539"/>
        <v>51306.104578667764</v>
      </c>
      <c r="K801" s="1122">
        <f t="shared" ca="1" si="1539"/>
        <v>176904.07298502908</v>
      </c>
      <c r="L801" s="1122">
        <f t="shared" ca="1" si="1539"/>
        <v>273102.9567713748</v>
      </c>
      <c r="M801" s="1122">
        <f t="shared" ca="1" si="1539"/>
        <v>93562.017329125738</v>
      </c>
      <c r="N801" s="186">
        <f ca="1">SUM(G801:M801)</f>
        <v>881661.58718935307</v>
      </c>
      <c r="O801" s="39">
        <f>ROW()</f>
        <v>801</v>
      </c>
      <c r="P801" s="10">
        <f t="shared" ref="P801:V801" ca="1" si="1546">P800*$I$85</f>
        <v>11770.858733983052</v>
      </c>
      <c r="Q801" s="10">
        <f t="shared" ca="1" si="1546"/>
        <v>12447.023052804589</v>
      </c>
      <c r="R801" s="10">
        <f t="shared" ca="1" si="1546"/>
        <v>83218.614666203473</v>
      </c>
      <c r="S801" s="10">
        <f t="shared" ca="1" si="1546"/>
        <v>19877.314423278214</v>
      </c>
      <c r="T801" s="10">
        <f t="shared" ca="1" si="1546"/>
        <v>58580.848530007934</v>
      </c>
      <c r="U801" s="10">
        <f t="shared" ca="1" si="1546"/>
        <v>59264.35605859221</v>
      </c>
      <c r="V801" s="10">
        <f t="shared" ca="1" si="1546"/>
        <v>16352.169865553569</v>
      </c>
      <c r="W801" s="10">
        <f ca="1">SUM(P801:V801)</f>
        <v>261511.18533042303</v>
      </c>
      <c r="Y801" s="10">
        <f t="shared" ref="Y801:AE801" ca="1" si="1547">Y800*$J$85</f>
        <v>20626.355023891461</v>
      </c>
      <c r="Z801" s="10">
        <f t="shared" ca="1" si="1547"/>
        <v>1511.5121066094785</v>
      </c>
      <c r="AA801" s="10">
        <f t="shared" ca="1" si="1547"/>
        <v>16758.934866511176</v>
      </c>
      <c r="AB801" s="10">
        <f t="shared" ca="1" si="1547"/>
        <v>9847.4041019492852</v>
      </c>
      <c r="AC801" s="10">
        <f t="shared" ca="1" si="1547"/>
        <v>40579.957665829934</v>
      </c>
      <c r="AD801" s="10">
        <f t="shared" ca="1" si="1547"/>
        <v>81189.575886890088</v>
      </c>
      <c r="AE801" s="10">
        <f t="shared" ca="1" si="1547"/>
        <v>24402.316357282369</v>
      </c>
      <c r="AF801" s="10">
        <f ca="1">SUM(Y801:AE801)</f>
        <v>194916.05600896379</v>
      </c>
      <c r="AH801" s="10">
        <f t="shared" ref="AH801:AN801" ca="1" si="1548">AH800*$K$85</f>
        <v>28113.224966140231</v>
      </c>
      <c r="AI801" s="10">
        <f t="shared" ca="1" si="1548"/>
        <v>3618.5490673089539</v>
      </c>
      <c r="AJ801" s="10">
        <f t="shared" ca="1" si="1548"/>
        <v>15990.666107858224</v>
      </c>
      <c r="AK801" s="10">
        <f t="shared" ca="1" si="1548"/>
        <v>4617.0431472833397</v>
      </c>
      <c r="AL801" s="10">
        <f t="shared" ca="1" si="1548"/>
        <v>22530.603725571869</v>
      </c>
      <c r="AM801" s="10">
        <f t="shared" ca="1" si="1548"/>
        <v>42450.56720321576</v>
      </c>
      <c r="AN801" s="10">
        <f t="shared" ca="1" si="1548"/>
        <v>22083.291129358255</v>
      </c>
      <c r="AO801" s="10">
        <f ca="1">SUM(AH801:AN801)</f>
        <v>139403.94534673664</v>
      </c>
      <c r="AQ801" s="10">
        <f ca="1">AQ800*$L$85</f>
        <v>11943.38112232128</v>
      </c>
      <c r="AR801" s="10">
        <f t="shared" ref="AR801:AW801" ca="1" si="1549">AR800*$L$85</f>
        <v>5105.7823111924317</v>
      </c>
      <c r="AS801" s="10">
        <f t="shared" ca="1" si="1549"/>
        <v>31900.605351754584</v>
      </c>
      <c r="AT801" s="10">
        <f t="shared" ca="1" si="1549"/>
        <v>9285.1320901453237</v>
      </c>
      <c r="AU801" s="10">
        <f t="shared" ca="1" si="1549"/>
        <v>28730.032671681885</v>
      </c>
      <c r="AV801" s="10">
        <f t="shared" ca="1" si="1549"/>
        <v>48939.692969460964</v>
      </c>
      <c r="AW801" s="10">
        <f t="shared" ca="1" si="1549"/>
        <v>16446.249897867347</v>
      </c>
      <c r="AX801" s="10">
        <f ca="1">SUM(AQ801:AW801)</f>
        <v>152350.87641442384</v>
      </c>
      <c r="AZ801" s="10">
        <f t="shared" ref="AZ801:BF801" ca="1" si="1550">AZ800*$M$85</f>
        <v>11081.731811666948</v>
      </c>
      <c r="BA801" s="10">
        <f t="shared" ca="1" si="1550"/>
        <v>3312.8036552703102</v>
      </c>
      <c r="BB801" s="10">
        <f t="shared" ca="1" si="1550"/>
        <v>21839.134197776559</v>
      </c>
      <c r="BC801" s="10">
        <f t="shared" ca="1" si="1550"/>
        <v>6345.3000786241482</v>
      </c>
      <c r="BD801" s="10">
        <f t="shared" ca="1" si="1550"/>
        <v>21923.765758081521</v>
      </c>
      <c r="BE801" s="10">
        <f t="shared" ca="1" si="1550"/>
        <v>34120.55739878778</v>
      </c>
      <c r="BF801" s="10">
        <f t="shared" ca="1" si="1550"/>
        <v>11808.063192340041</v>
      </c>
      <c r="BG801" s="10">
        <f ca="1">SUM(AZ801:BF801)</f>
        <v>110431.3560925473</v>
      </c>
      <c r="BI801" s="10">
        <f t="shared" ref="BI801:BO801" ca="1" si="1551">BI800*$N$85</f>
        <v>2261.7679879534244</v>
      </c>
      <c r="BJ801" s="10">
        <f t="shared" ca="1" si="1551"/>
        <v>712.53564861805228</v>
      </c>
      <c r="BK801" s="10">
        <f t="shared" ca="1" si="1551"/>
        <v>4572.9548472914139</v>
      </c>
      <c r="BL801" s="10">
        <f t="shared" ca="1" si="1551"/>
        <v>1333.9107373874567</v>
      </c>
      <c r="BM801" s="10">
        <f t="shared" ca="1" si="1551"/>
        <v>4558.8646338559465</v>
      </c>
      <c r="BN801" s="10">
        <f t="shared" ca="1" si="1551"/>
        <v>7138.2072544280954</v>
      </c>
      <c r="BO801" s="10">
        <f t="shared" ca="1" si="1551"/>
        <v>2469.9268867241753</v>
      </c>
      <c r="BP801" s="10">
        <f ca="1">SUM(BI801:BO801)</f>
        <v>23048.167996258562</v>
      </c>
    </row>
    <row r="802" spans="2:68" ht="13.2" customHeight="1">
      <c r="G802" s="1122"/>
      <c r="H802" s="1122"/>
      <c r="I802" s="1128"/>
      <c r="J802" s="3454"/>
      <c r="K802" s="3454"/>
      <c r="L802" s="3454"/>
      <c r="M802" s="3455" t="s">
        <v>6039</v>
      </c>
      <c r="N802" s="756">
        <f ca="1">(W802*W800+AF802*AF800+AO802*AO800+BG802*BG800+BP802*BP800)/(W800+AF800+AO800+BG800+BP800)</f>
        <v>7.8245753106462592</v>
      </c>
      <c r="O802" s="39">
        <f>ROW()</f>
        <v>802</v>
      </c>
      <c r="V802" s="1816" t="s">
        <v>6039</v>
      </c>
      <c r="W802" s="591">
        <f ca="1">SUMPRODUCT(P800:V800,P$291:V$291)/W800</f>
        <v>6.6260668337281414</v>
      </c>
      <c r="AE802" s="1816" t="s">
        <v>6039</v>
      </c>
      <c r="AF802" s="591">
        <f ca="1">SUMPRODUCT(Y800:AE800,Y$291:AE$291)/AF800</f>
        <v>6.3490082639237277</v>
      </c>
      <c r="AN802" s="1816" t="s">
        <v>6039</v>
      </c>
      <c r="AO802" s="591">
        <f ca="1">SUMPRODUCT(AH800:AN800,AH$291:AN$291)/AO800</f>
        <v>10.600015172984401</v>
      </c>
      <c r="BF802" s="1816" t="s">
        <v>6039</v>
      </c>
      <c r="BG802" s="591">
        <f ca="1">SUMPRODUCT(AZ800:BF800,AZ$291:BF$291)/BG800</f>
        <v>13.119678186740042</v>
      </c>
      <c r="BO802" s="1816" t="s">
        <v>6039</v>
      </c>
      <c r="BP802" s="591">
        <f ca="1">SUMPRODUCT(BI800:BO800,BI$291:BO$291)/BP800</f>
        <v>11.650987286453057</v>
      </c>
    </row>
    <row r="803" spans="2:68" ht="13.2" customHeight="1">
      <c r="B803" s="308" t="s">
        <v>1010</v>
      </c>
      <c r="G803" s="1122"/>
      <c r="H803" s="1122"/>
      <c r="I803" s="1129"/>
      <c r="J803" s="1130"/>
      <c r="K803" s="1130"/>
      <c r="L803" s="1130"/>
      <c r="M803" s="1130"/>
      <c r="N803" s="3456" t="s">
        <v>6040</v>
      </c>
      <c r="O803" s="39">
        <f>ROW()</f>
        <v>803</v>
      </c>
      <c r="P803" s="10"/>
      <c r="Q803" s="10"/>
      <c r="R803" s="10"/>
      <c r="S803" s="10"/>
      <c r="T803" s="10"/>
      <c r="U803" s="10"/>
      <c r="V803" s="10"/>
      <c r="W803" s="10"/>
      <c r="Y803" s="10"/>
      <c r="Z803" s="10"/>
      <c r="AA803" s="10"/>
      <c r="AB803" s="10"/>
      <c r="AC803" s="10"/>
      <c r="AD803" s="10"/>
      <c r="AE803" s="10"/>
      <c r="AF803" s="10"/>
      <c r="AH803" s="10"/>
      <c r="AI803" s="10"/>
      <c r="AJ803" s="10"/>
      <c r="AK803" s="10"/>
      <c r="AL803" s="10"/>
      <c r="AM803" s="10"/>
      <c r="AN803" s="10"/>
      <c r="AO803" s="10"/>
      <c r="AQ803" s="10"/>
      <c r="AR803" s="10"/>
      <c r="AS803" s="10"/>
      <c r="AT803" s="10"/>
      <c r="AU803" s="10"/>
      <c r="AV803" s="10"/>
      <c r="AW803" s="10"/>
      <c r="AX803" s="10"/>
      <c r="AZ803" s="10"/>
      <c r="BA803" s="10"/>
      <c r="BB803" s="10"/>
      <c r="BC803" s="10"/>
      <c r="BD803" s="10"/>
      <c r="BE803" s="10"/>
      <c r="BF803" s="10"/>
      <c r="BG803" s="10"/>
      <c r="BI803" s="10"/>
      <c r="BJ803" s="10"/>
      <c r="BK803" s="10"/>
      <c r="BL803" s="10"/>
      <c r="BM803" s="10"/>
      <c r="BN803" s="10"/>
      <c r="BO803" s="10"/>
      <c r="BP803" s="10"/>
    </row>
    <row r="804" spans="2:68" ht="13.2" customHeight="1">
      <c r="B804" s="280" t="s">
        <v>1301</v>
      </c>
      <c r="G804" s="1122">
        <f t="shared" ref="G804:M804" ca="1" si="1552">P804+Y804+AH804+AQ804+AZ804+BI804</f>
        <v>67885.342026081926</v>
      </c>
      <c r="H804" s="1122">
        <f t="shared" ca="1" si="1552"/>
        <v>13768.545225055808</v>
      </c>
      <c r="I804" s="1122">
        <f t="shared" ca="1" si="1552"/>
        <v>80586.184949795323</v>
      </c>
      <c r="J804" s="1122">
        <f t="shared" ca="1" si="1552"/>
        <v>25261.333569961338</v>
      </c>
      <c r="K804" s="1122">
        <f t="shared" ca="1" si="1552"/>
        <v>99833.277597433276</v>
      </c>
      <c r="L804" s="1122">
        <f t="shared" ca="1" si="1552"/>
        <v>208726.56950875992</v>
      </c>
      <c r="M804" s="1122">
        <f t="shared" ca="1" si="1552"/>
        <v>80710.017685134211</v>
      </c>
      <c r="N804" s="186">
        <f ca="1">SUM(G804:M804)</f>
        <v>576771.27056222176</v>
      </c>
      <c r="O804" s="39">
        <f>ROW()</f>
        <v>804</v>
      </c>
      <c r="P804" s="10">
        <f t="shared" ref="P804:W804" ca="1" si="1553">P$135*$W798</f>
        <v>25874.385395119829</v>
      </c>
      <c r="Q804" s="10">
        <f t="shared" ca="1" si="1553"/>
        <v>4687.1432872273817</v>
      </c>
      <c r="R804" s="10">
        <f t="shared" ca="1" si="1553"/>
        <v>27012.035128577376</v>
      </c>
      <c r="S804" s="10">
        <f t="shared" ca="1" si="1553"/>
        <v>8616.8062242883079</v>
      </c>
      <c r="T804" s="10">
        <f t="shared" ca="1" si="1553"/>
        <v>35718.111896310555</v>
      </c>
      <c r="U804" s="10">
        <f t="shared" ca="1" si="1553"/>
        <v>77002.879823147712</v>
      </c>
      <c r="V804" s="10">
        <f t="shared" ca="1" si="1553"/>
        <v>30293.057417455126</v>
      </c>
      <c r="W804" s="10">
        <f t="shared" ca="1" si="1553"/>
        <v>209204.41917212631</v>
      </c>
      <c r="Y804" s="10">
        <f t="shared" ref="Y804:AE804" ca="1" si="1554">Y$135*$AF798</f>
        <v>19285.682522992302</v>
      </c>
      <c r="Z804" s="10">
        <f t="shared" ca="1" si="1554"/>
        <v>3493.6001762689662</v>
      </c>
      <c r="AA804" s="10">
        <f t="shared" ca="1" si="1554"/>
        <v>20133.638957388121</v>
      </c>
      <c r="AB804" s="10">
        <f t="shared" ca="1" si="1554"/>
        <v>6422.6062442090606</v>
      </c>
      <c r="AC804" s="10">
        <f t="shared" ca="1" si="1554"/>
        <v>26622.783723507637</v>
      </c>
      <c r="AD804" s="10">
        <f t="shared" ca="1" si="1554"/>
        <v>57394.719563288745</v>
      </c>
      <c r="AE804" s="10">
        <f t="shared" ca="1" si="1554"/>
        <v>22579.175469574897</v>
      </c>
      <c r="AF804" s="10">
        <f ca="1">SUM(Y804:AE804)</f>
        <v>155932.20665722972</v>
      </c>
      <c r="AH804" s="10">
        <f t="shared" ref="AH804:AN804" ca="1" si="1555">AH$135*$AO798</f>
        <v>10775.574200538784</v>
      </c>
      <c r="AI804" s="10">
        <f t="shared" ca="1" si="1555"/>
        <v>1951.9945888106772</v>
      </c>
      <c r="AJ804" s="10">
        <f t="shared" ca="1" si="1555"/>
        <v>11249.356627827166</v>
      </c>
      <c r="AK804" s="10">
        <f t="shared" ca="1" si="1555"/>
        <v>3588.5310287986881</v>
      </c>
      <c r="AL804" s="10">
        <f t="shared" ca="1" si="1555"/>
        <v>14875.065017561123</v>
      </c>
      <c r="AM804" s="10">
        <f t="shared" ca="1" si="1555"/>
        <v>32068.404042014394</v>
      </c>
      <c r="AN804" s="10">
        <f t="shared" ca="1" si="1555"/>
        <v>12615.761996980093</v>
      </c>
      <c r="AO804" s="10">
        <f ca="1">SUM(AH804:AN804)</f>
        <v>87124.687502530927</v>
      </c>
      <c r="AQ804" s="10">
        <f t="shared" ref="AQ804:AW804" ca="1" si="1556">AQ798</f>
        <v>5971.6905611606398</v>
      </c>
      <c r="AR804" s="10">
        <f t="shared" ca="1" si="1556"/>
        <v>2552.8911555962159</v>
      </c>
      <c r="AS804" s="10">
        <f t="shared" ca="1" si="1556"/>
        <v>15950.302675877292</v>
      </c>
      <c r="AT804" s="10">
        <f t="shared" ca="1" si="1556"/>
        <v>4642.5660450726618</v>
      </c>
      <c r="AU804" s="10">
        <f t="shared" ca="1" si="1556"/>
        <v>14365.016335840943</v>
      </c>
      <c r="AV804" s="10">
        <f t="shared" ca="1" si="1556"/>
        <v>24469.846484730482</v>
      </c>
      <c r="AW804" s="10">
        <f t="shared" ca="1" si="1556"/>
        <v>8223.1249489336733</v>
      </c>
      <c r="AX804" s="10">
        <f ca="1">SUM(AQ804:AW804)</f>
        <v>76175.438207211919</v>
      </c>
      <c r="AZ804" s="10">
        <f t="shared" ref="AZ804:BF804" ca="1" si="1557">AZ$135*$BG798</f>
        <v>4552.7174415168756</v>
      </c>
      <c r="BA804" s="10">
        <f t="shared" ca="1" si="1557"/>
        <v>824.72447823528364</v>
      </c>
      <c r="BB804" s="10">
        <f t="shared" ca="1" si="1557"/>
        <v>4752.8921588968706</v>
      </c>
      <c r="BC804" s="10">
        <f t="shared" ca="1" si="1557"/>
        <v>1516.1667954009727</v>
      </c>
      <c r="BD804" s="10">
        <f t="shared" ca="1" si="1557"/>
        <v>6284.7665181278162</v>
      </c>
      <c r="BE804" s="10">
        <f t="shared" ca="1" si="1557"/>
        <v>13549.011837938922</v>
      </c>
      <c r="BF804" s="10">
        <f t="shared" ca="1" si="1557"/>
        <v>5330.203162519656</v>
      </c>
      <c r="BG804" s="10">
        <f ca="1">SUM(AZ804:BF804)</f>
        <v>36810.482392636397</v>
      </c>
      <c r="BI804" s="10">
        <f t="shared" ref="BI804:BO804" ca="1" si="1558">BI$135*$BP798</f>
        <v>1425.2919047534892</v>
      </c>
      <c r="BJ804" s="10">
        <f t="shared" ca="1" si="1558"/>
        <v>258.1915389172824</v>
      </c>
      <c r="BK804" s="10">
        <f t="shared" ca="1" si="1558"/>
        <v>1487.9594012285102</v>
      </c>
      <c r="BL804" s="10">
        <f t="shared" ca="1" si="1558"/>
        <v>474.65723219164909</v>
      </c>
      <c r="BM804" s="10">
        <f t="shared" ca="1" si="1558"/>
        <v>1967.5341060851881</v>
      </c>
      <c r="BN804" s="10">
        <f t="shared" ca="1" si="1558"/>
        <v>4241.707757639665</v>
      </c>
      <c r="BO804" s="10">
        <f t="shared" ca="1" si="1558"/>
        <v>1668.6946896707718</v>
      </c>
      <c r="BP804" s="10">
        <f ca="1">SUM(BI804:BO804)</f>
        <v>11524.036630486557</v>
      </c>
    </row>
    <row r="805" spans="2:68" ht="13.2" customHeight="1">
      <c r="B805" s="309"/>
      <c r="G805" s="1122"/>
      <c r="H805" s="1122"/>
      <c r="I805" s="1122"/>
      <c r="J805" s="1122"/>
      <c r="K805" s="1122"/>
      <c r="L805" s="1122"/>
      <c r="M805" s="1122"/>
      <c r="O805" s="39">
        <f>ROW()</f>
        <v>805</v>
      </c>
    </row>
    <row r="806" spans="2:68" ht="13.2" customHeight="1">
      <c r="B806" s="280" t="s">
        <v>1047</v>
      </c>
      <c r="G806" s="1122"/>
      <c r="H806" s="1122"/>
      <c r="I806" s="1122"/>
      <c r="J806" s="1122"/>
      <c r="K806" s="1122"/>
      <c r="L806" s="1122"/>
      <c r="M806" s="1122"/>
      <c r="N806" s="186"/>
      <c r="O806" s="39">
        <f>ROW()</f>
        <v>806</v>
      </c>
      <c r="P806" s="10">
        <f t="shared" ref="P806:V806" ca="1" si="1559">P804*$W800/$W798</f>
        <v>25874.945552872949</v>
      </c>
      <c r="Q806" s="10">
        <f t="shared" ca="1" si="1559"/>
        <v>4687.2447597691344</v>
      </c>
      <c r="R806" s="10">
        <f t="shared" ca="1" si="1559"/>
        <v>27012.619915449559</v>
      </c>
      <c r="S806" s="10">
        <f t="shared" ca="1" si="1559"/>
        <v>8616.9927705865084</v>
      </c>
      <c r="T806" s="10">
        <f t="shared" ca="1" si="1559"/>
        <v>35718.885162109917</v>
      </c>
      <c r="U806" s="10">
        <f t="shared" ca="1" si="1559"/>
        <v>77004.546867967787</v>
      </c>
      <c r="V806" s="10">
        <f t="shared" ca="1" si="1559"/>
        <v>30293.713235582552</v>
      </c>
      <c r="W806" s="10">
        <f ca="1">SUM(P806:V806)</f>
        <v>209208.9482643384</v>
      </c>
      <c r="Y806" s="10">
        <f t="shared" ref="Y806:AE806" ca="1" si="1560">Y804*$AF800/$AF798</f>
        <v>19285.761449324673</v>
      </c>
      <c r="Z806" s="10">
        <f t="shared" ca="1" si="1560"/>
        <v>3493.614473769112</v>
      </c>
      <c r="AA806" s="10">
        <f t="shared" ca="1" si="1560"/>
        <v>20133.721353967983</v>
      </c>
      <c r="AB806" s="10">
        <f t="shared" ca="1" si="1560"/>
        <v>6422.6325286174306</v>
      </c>
      <c r="AC806" s="10">
        <f t="shared" ca="1" si="1560"/>
        <v>26622.892676803654</v>
      </c>
      <c r="AD806" s="10">
        <f t="shared" ca="1" si="1560"/>
        <v>57394.954450216246</v>
      </c>
      <c r="AE806" s="10">
        <f t="shared" ca="1" si="1560"/>
        <v>22579.267874471934</v>
      </c>
      <c r="AF806" s="10">
        <f ca="1">SUM(Y806:AE806)</f>
        <v>155932.84480717103</v>
      </c>
      <c r="AH806" s="10">
        <f t="shared" ref="AH806:AN806" ca="1" si="1561">AH804*$AO800/$AO798</f>
        <v>10775.917825300501</v>
      </c>
      <c r="AI806" s="10">
        <f t="shared" ca="1" si="1561"/>
        <v>1952.0568364146536</v>
      </c>
      <c r="AJ806" s="10">
        <f t="shared" ca="1" si="1561"/>
        <v>11249.715361145574</v>
      </c>
      <c r="AK806" s="10">
        <f t="shared" ca="1" si="1561"/>
        <v>3588.6454642892463</v>
      </c>
      <c r="AL806" s="10">
        <f t="shared" ca="1" si="1561"/>
        <v>14875.539371927496</v>
      </c>
      <c r="AM806" s="10">
        <f t="shared" ca="1" si="1561"/>
        <v>32069.426678719639</v>
      </c>
      <c r="AN806" s="10">
        <f t="shared" ca="1" si="1561"/>
        <v>12616.164303913292</v>
      </c>
      <c r="AO806" s="10">
        <f ca="1">SUM(AH806:AN806)</f>
        <v>87127.465841710407</v>
      </c>
      <c r="AQ806" s="10">
        <f t="shared" ref="AQ806:AW806" ca="1" si="1562">AQ804*$AX800/$AX798</f>
        <v>5971.6905611606398</v>
      </c>
      <c r="AR806" s="10">
        <f t="shared" ca="1" si="1562"/>
        <v>2552.8911555962159</v>
      </c>
      <c r="AS806" s="10">
        <f t="shared" ca="1" si="1562"/>
        <v>15950.30267587729</v>
      </c>
      <c r="AT806" s="10">
        <f t="shared" ca="1" si="1562"/>
        <v>4642.5660450726618</v>
      </c>
      <c r="AU806" s="10">
        <f t="shared" ca="1" si="1562"/>
        <v>14365.016335840945</v>
      </c>
      <c r="AV806" s="10">
        <f t="shared" ca="1" si="1562"/>
        <v>24469.846484730482</v>
      </c>
      <c r="AW806" s="10">
        <f t="shared" ca="1" si="1562"/>
        <v>8223.1249489336733</v>
      </c>
      <c r="AX806" s="10">
        <f ca="1">SUM(AQ806:AW806)</f>
        <v>76175.438207211919</v>
      </c>
      <c r="AZ806" s="10">
        <f t="shared" ref="AZ806:BF806" ca="1" si="1563">AZ804*$BG800/$BG798</f>
        <v>4552.7136863735141</v>
      </c>
      <c r="BA806" s="10">
        <f t="shared" ca="1" si="1563"/>
        <v>824.72379799129976</v>
      </c>
      <c r="BB806" s="10">
        <f t="shared" ca="1" si="1563"/>
        <v>4752.8882386466757</v>
      </c>
      <c r="BC806" s="10">
        <f t="shared" ca="1" si="1563"/>
        <v>1516.1655448459469</v>
      </c>
      <c r="BD806" s="10">
        <f t="shared" ca="1" si="1563"/>
        <v>6284.7613343667826</v>
      </c>
      <c r="BE806" s="10">
        <f t="shared" ca="1" si="1563"/>
        <v>13549.000662529397</v>
      </c>
      <c r="BF806" s="10">
        <f t="shared" ca="1" si="1563"/>
        <v>5330.198766095481</v>
      </c>
      <c r="BG806" s="10">
        <f ca="1">SUM(AZ806:BF806)</f>
        <v>36810.452030849097</v>
      </c>
      <c r="BI806" s="10">
        <f t="shared" ref="BI806:BO806" ca="1" si="1564">BI804*$BP800/$BP798</f>
        <v>1425.2977631796541</v>
      </c>
      <c r="BJ806" s="10">
        <f t="shared" ca="1" si="1564"/>
        <v>258.19260017081376</v>
      </c>
      <c r="BK806" s="10">
        <f t="shared" ca="1" si="1564"/>
        <v>1487.9655172390337</v>
      </c>
      <c r="BL806" s="10">
        <f t="shared" ca="1" si="1564"/>
        <v>474.65918319153843</v>
      </c>
      <c r="BM806" s="10">
        <f t="shared" ca="1" si="1564"/>
        <v>1967.5421933080572</v>
      </c>
      <c r="BN806" s="10">
        <f t="shared" ca="1" si="1564"/>
        <v>4241.725192476436</v>
      </c>
      <c r="BO806" s="10">
        <f t="shared" ca="1" si="1564"/>
        <v>1668.7015485637455</v>
      </c>
      <c r="BP806" s="10">
        <f ca="1">SUM(BI806:BO806)</f>
        <v>11524.083998129277</v>
      </c>
    </row>
    <row r="807" spans="2:68" ht="13.2" customHeight="1">
      <c r="B807" s="309"/>
      <c r="C807" s="309"/>
      <c r="D807" s="309"/>
      <c r="E807" s="309"/>
      <c r="F807" s="309"/>
      <c r="G807" s="1122"/>
      <c r="H807" s="1122"/>
      <c r="I807" s="1122"/>
      <c r="J807" s="1122"/>
      <c r="K807" s="1122"/>
      <c r="L807" s="1122"/>
      <c r="M807" s="1122"/>
      <c r="N807" s="186"/>
      <c r="O807" s="39">
        <f>ROW()</f>
        <v>807</v>
      </c>
      <c r="AQ807" s="10"/>
      <c r="AR807" s="10"/>
      <c r="AS807" s="10"/>
      <c r="AT807" s="10"/>
      <c r="AU807" s="10"/>
      <c r="AV807" s="10"/>
      <c r="AW807" s="10"/>
    </row>
    <row r="808" spans="2:68" ht="13.2" customHeight="1">
      <c r="B808" s="280" t="s">
        <v>1010</v>
      </c>
      <c r="G808" s="1122">
        <f t="shared" ref="G808:M808" ca="1" si="1565">P808+Y808+AH808+AQ808+AZ808+BI808</f>
        <v>99158.624700448621</v>
      </c>
      <c r="H808" s="1122">
        <f t="shared" ca="1" si="1565"/>
        <v>20169.258307896103</v>
      </c>
      <c r="I808" s="1122">
        <f t="shared" ca="1" si="1565"/>
        <v>118092.52092883887</v>
      </c>
      <c r="J808" s="1122">
        <f t="shared" ca="1" si="1565"/>
        <v>37003.028435397631</v>
      </c>
      <c r="K808" s="1122">
        <f t="shared" ca="1" si="1565"/>
        <v>146064.97818720381</v>
      </c>
      <c r="L808" s="1122">
        <f t="shared" ca="1" si="1565"/>
        <v>305145.68143331824</v>
      </c>
      <c r="M808" s="1122">
        <f t="shared" ca="1" si="1565"/>
        <v>117939.77609264381</v>
      </c>
      <c r="N808" s="186">
        <f ca="1">SUM(G808:M808)</f>
        <v>843573.86808574712</v>
      </c>
      <c r="O808" s="39">
        <f>ROW()</f>
        <v>808</v>
      </c>
      <c r="P808" s="10">
        <f t="shared" ref="P808:V808" ca="1" si="1566">P806*$I$85</f>
        <v>32343.681941091185</v>
      </c>
      <c r="Q808" s="10">
        <f t="shared" ca="1" si="1566"/>
        <v>5859.0559497114182</v>
      </c>
      <c r="R808" s="10">
        <f t="shared" ca="1" si="1566"/>
        <v>33765.774894311951</v>
      </c>
      <c r="S808" s="10">
        <f t="shared" ca="1" si="1566"/>
        <v>10771.240963233136</v>
      </c>
      <c r="T808" s="10">
        <f t="shared" ca="1" si="1566"/>
        <v>44648.606452637396</v>
      </c>
      <c r="U808" s="10">
        <f t="shared" ca="1" si="1566"/>
        <v>96255.683584959741</v>
      </c>
      <c r="V808" s="10">
        <f t="shared" ca="1" si="1566"/>
        <v>37867.141544478189</v>
      </c>
      <c r="W808" s="10">
        <f ca="1">SUM(P808:V808)</f>
        <v>261511.185330423</v>
      </c>
      <c r="Y808" s="10">
        <f t="shared" ref="Y808:AE808" ca="1" si="1567">Y806*$J$85</f>
        <v>24107.201811655839</v>
      </c>
      <c r="Z808" s="10">
        <f t="shared" ca="1" si="1567"/>
        <v>4367.0180922113905</v>
      </c>
      <c r="AA808" s="10">
        <f t="shared" ca="1" si="1567"/>
        <v>25167.151692459978</v>
      </c>
      <c r="AB808" s="10">
        <f t="shared" ca="1" si="1567"/>
        <v>8028.2906607717887</v>
      </c>
      <c r="AC808" s="10">
        <f t="shared" ca="1" si="1567"/>
        <v>33278.61584600457</v>
      </c>
      <c r="AD808" s="10">
        <f t="shared" ca="1" si="1567"/>
        <v>71743.693062770311</v>
      </c>
      <c r="AE808" s="10">
        <f t="shared" ca="1" si="1567"/>
        <v>28224.084843089917</v>
      </c>
      <c r="AF808" s="10">
        <f ca="1">SUM(Y808:AE808)</f>
        <v>194916.05600896379</v>
      </c>
      <c r="AH808" s="10">
        <f t="shared" ref="AH808:AN808" ca="1" si="1568">AH806*$K$85</f>
        <v>17241.468520480801</v>
      </c>
      <c r="AI808" s="10">
        <f t="shared" ca="1" si="1568"/>
        <v>3123.2909382634462</v>
      </c>
      <c r="AJ808" s="10">
        <f t="shared" ca="1" si="1568"/>
        <v>17999.544577832919</v>
      </c>
      <c r="AK808" s="10">
        <f t="shared" ca="1" si="1568"/>
        <v>5741.8327428627945</v>
      </c>
      <c r="AL808" s="10">
        <f t="shared" ca="1" si="1568"/>
        <v>23800.862995083997</v>
      </c>
      <c r="AM808" s="10">
        <f t="shared" ca="1" si="1568"/>
        <v>51311.082685951427</v>
      </c>
      <c r="AN808" s="10">
        <f t="shared" ca="1" si="1568"/>
        <v>20185.862886261268</v>
      </c>
      <c r="AO808" s="10">
        <f ca="1">SUM(AH808:AN808)</f>
        <v>139403.94534673664</v>
      </c>
      <c r="AQ808" s="10">
        <f ca="1">AQ806*$L$85*Taxis!$L$130</f>
        <v>8957.5358417409589</v>
      </c>
      <c r="AR808" s="10">
        <f ca="1">AR806*$L$85*Taxis!$L$130</f>
        <v>3829.3367333943238</v>
      </c>
      <c r="AS808" s="10">
        <f ca="1">AS806*$L$85*Taxis!$L$130</f>
        <v>23925.454013815935</v>
      </c>
      <c r="AT808" s="10">
        <f ca="1">AT806*$L$85*Taxis!$L$130</f>
        <v>6963.8490676089932</v>
      </c>
      <c r="AU808" s="10">
        <f ca="1">AU806*$L$85*Taxis!$L$130</f>
        <v>21547.524503761415</v>
      </c>
      <c r="AV808" s="10">
        <f ca="1">AV806*$L$85*Taxis!$L$130</f>
        <v>36704.769727095721</v>
      </c>
      <c r="AW808" s="10">
        <f ca="1">AW806*$L$85*Taxis!$L$130</f>
        <v>12334.68742340051</v>
      </c>
      <c r="AX808" s="10">
        <f ca="1">SUM(AQ808:AW808)</f>
        <v>114263.15731081786</v>
      </c>
      <c r="AZ808" s="10">
        <f t="shared" ref="AZ808:BF808" ca="1" si="1569">AZ806*$M$85</f>
        <v>13658.141059120542</v>
      </c>
      <c r="BA808" s="10">
        <f t="shared" ca="1" si="1569"/>
        <v>2474.1713939738993</v>
      </c>
      <c r="BB808" s="10">
        <f t="shared" ca="1" si="1569"/>
        <v>14258.664715940027</v>
      </c>
      <c r="BC808" s="10">
        <f t="shared" ca="1" si="1569"/>
        <v>4548.4966345378407</v>
      </c>
      <c r="BD808" s="10">
        <f t="shared" ca="1" si="1569"/>
        <v>18854.284003100347</v>
      </c>
      <c r="BE808" s="10">
        <f t="shared" ca="1" si="1569"/>
        <v>40647.001987588192</v>
      </c>
      <c r="BF808" s="10">
        <f t="shared" ca="1" si="1569"/>
        <v>15990.596298286444</v>
      </c>
      <c r="BG808" s="10">
        <f ca="1">SUM(AZ808:BF808)</f>
        <v>110431.35609254728</v>
      </c>
      <c r="BI808" s="10">
        <f t="shared" ref="BI808:BO808" ca="1" si="1570">BI806*$N$85</f>
        <v>2850.5955263593082</v>
      </c>
      <c r="BJ808" s="10">
        <f t="shared" ca="1" si="1570"/>
        <v>516.38520034162752</v>
      </c>
      <c r="BK808" s="10">
        <f t="shared" ca="1" si="1570"/>
        <v>2975.9310344780674</v>
      </c>
      <c r="BL808" s="10">
        <f t="shared" ca="1" si="1570"/>
        <v>949.31836638307686</v>
      </c>
      <c r="BM808" s="10">
        <f t="shared" ca="1" si="1570"/>
        <v>3935.0843866161144</v>
      </c>
      <c r="BN808" s="10">
        <f t="shared" ca="1" si="1570"/>
        <v>8483.4503849528719</v>
      </c>
      <c r="BO808" s="10">
        <f t="shared" ca="1" si="1570"/>
        <v>3337.403097127491</v>
      </c>
      <c r="BP808" s="10">
        <f ca="1">SUM(BI808:BO808)</f>
        <v>23048.167996258555</v>
      </c>
    </row>
    <row r="809" spans="2:68" ht="13.2" customHeight="1">
      <c r="G809" s="1122"/>
      <c r="H809" s="1122"/>
      <c r="I809" s="1122"/>
      <c r="J809" s="1122"/>
      <c r="K809" s="1122"/>
      <c r="L809" s="1122"/>
      <c r="M809" s="1122"/>
      <c r="O809" s="39">
        <f>ROW()</f>
        <v>809</v>
      </c>
      <c r="AQ809"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809" s="10"/>
      <c r="AS809" s="10"/>
      <c r="AT809" s="10"/>
      <c r="AU809" s="10"/>
      <c r="AV809" s="10"/>
      <c r="AW809" s="10"/>
    </row>
    <row r="810" spans="2:68" ht="13.2" customHeight="1">
      <c r="B810" s="308" t="s">
        <v>1431</v>
      </c>
      <c r="G810" s="1122"/>
      <c r="H810" s="1122"/>
      <c r="I810" s="1122"/>
      <c r="J810" s="1122"/>
      <c r="K810" s="1122"/>
      <c r="L810" s="1122"/>
      <c r="M810" s="1122"/>
      <c r="O810" s="39">
        <f>ROW()</f>
        <v>810</v>
      </c>
      <c r="AQ810" s="265" t="str">
        <f>CONCATENATE("Row ",O812, " figures are set equal to ",O811, " figures, since rebound effects are presumed accounted for by taxi time-elasticity.")</f>
        <v>Row 812 figures are set equal to 811 figures, since rebound effects are presumed accounted for by taxi time-elasticity.</v>
      </c>
    </row>
    <row r="811" spans="2:68" s="1122" customFormat="1" ht="13.2" customHeight="1">
      <c r="B811" s="1123" t="s">
        <v>1112</v>
      </c>
      <c r="G811" s="1122">
        <f t="shared" ref="G811:M813" ca="1" si="1571">P811+Y811+AH811+AQ811+AZ811+BI811</f>
        <v>234272.99652663566</v>
      </c>
      <c r="H811" s="1122">
        <f t="shared" ca="1" si="1571"/>
        <v>29486.890762212766</v>
      </c>
      <c r="I811" s="1122">
        <f t="shared" ca="1" si="1571"/>
        <v>196226.85481371637</v>
      </c>
      <c r="J811" s="1122">
        <f t="shared" ca="1" si="1571"/>
        <v>70143.899086940306</v>
      </c>
      <c r="K811" s="1122">
        <f t="shared" ca="1" si="1571"/>
        <v>253672.69428977495</v>
      </c>
      <c r="L811" s="1122">
        <f t="shared" ca="1" si="1571"/>
        <v>442176.78247208241</v>
      </c>
      <c r="M811" s="1122">
        <f t="shared" ca="1" si="1571"/>
        <v>215916.66199560455</v>
      </c>
      <c r="N811" s="1127">
        <f ca="1">SUM(G811:M811)</f>
        <v>1441896.779946967</v>
      </c>
      <c r="O811" s="39">
        <f>ROW()</f>
        <v>811</v>
      </c>
      <c r="P811" s="1122">
        <f ca="1">P764</f>
        <v>9878.4934159224977</v>
      </c>
      <c r="Q811" s="1122">
        <f t="shared" ref="Q811:V811" ca="1" si="1572">Q764</f>
        <v>2779.2657165432533</v>
      </c>
      <c r="R811" s="1122">
        <f t="shared" ca="1" si="1572"/>
        <v>18455.51124899388</v>
      </c>
      <c r="S811" s="1122">
        <f t="shared" ca="1" si="1572"/>
        <v>5512.5900666109374</v>
      </c>
      <c r="T811" s="1122">
        <f t="shared" ca="1" si="1572"/>
        <v>18742.964605939545</v>
      </c>
      <c r="U811" s="1122">
        <f t="shared" ca="1" si="1572"/>
        <v>38243.345418918194</v>
      </c>
      <c r="V811" s="1122">
        <f t="shared" ca="1" si="1572"/>
        <v>13433.109651343648</v>
      </c>
      <c r="W811" s="1122">
        <f ca="1">SUM(P811:V811)</f>
        <v>107045.28012427196</v>
      </c>
      <c r="Y811" s="1122">
        <f ca="1">Y764</f>
        <v>6947.9347502700321</v>
      </c>
      <c r="Z811" s="1122">
        <f t="shared" ref="Z811:AE811" ca="1" si="1573">Z764</f>
        <v>1954.7673961173307</v>
      </c>
      <c r="AA811" s="1122">
        <f t="shared" ca="1" si="1573"/>
        <v>12980.490297660397</v>
      </c>
      <c r="AB811" s="1122">
        <f t="shared" ca="1" si="1573"/>
        <v>3877.2224139021505</v>
      </c>
      <c r="AC811" s="1122">
        <f t="shared" ca="1" si="1573"/>
        <v>13182.667601801264</v>
      </c>
      <c r="AD811" s="1122">
        <f t="shared" ca="1" si="1573"/>
        <v>26898.055949948575</v>
      </c>
      <c r="AE811" s="1122">
        <f t="shared" ca="1" si="1573"/>
        <v>9448.03680289162</v>
      </c>
      <c r="AF811" s="1122">
        <f ca="1">SUM(Y811:AE811)</f>
        <v>75289.175212591363</v>
      </c>
      <c r="AH811" s="1122">
        <f ca="1">AH764</f>
        <v>0</v>
      </c>
      <c r="AI811" s="1122">
        <f t="shared" ref="AI811:AN811" ca="1" si="1574">AI764</f>
        <v>0</v>
      </c>
      <c r="AJ811" s="1122">
        <f t="shared" ca="1" si="1574"/>
        <v>0</v>
      </c>
      <c r="AK811" s="1122">
        <f t="shared" ca="1" si="1574"/>
        <v>0</v>
      </c>
      <c r="AL811" s="1122">
        <f t="shared" ca="1" si="1574"/>
        <v>0</v>
      </c>
      <c r="AM811" s="1122">
        <f t="shared" ca="1" si="1574"/>
        <v>0</v>
      </c>
      <c r="AN811" s="1122">
        <f t="shared" ca="1" si="1574"/>
        <v>0</v>
      </c>
      <c r="AO811" s="1122">
        <f ca="1">SUM(AH811:AN811)</f>
        <v>0</v>
      </c>
      <c r="AQ811" s="1122">
        <f>AQ764</f>
        <v>210187.34459974329</v>
      </c>
      <c r="AR811" s="1122">
        <f t="shared" ref="AR811:AW811" si="1575">AR764</f>
        <v>22748.620884765332</v>
      </c>
      <c r="AS811" s="1122">
        <f t="shared" si="1575"/>
        <v>152580.65410310062</v>
      </c>
      <c r="AT811" s="1122">
        <f t="shared" si="1575"/>
        <v>57061.666827443201</v>
      </c>
      <c r="AU811" s="1122">
        <f t="shared" si="1575"/>
        <v>208747.17643657626</v>
      </c>
      <c r="AV811" s="1122">
        <f t="shared" si="1575"/>
        <v>351862.72506223724</v>
      </c>
      <c r="AW811" s="1122">
        <f t="shared" si="1575"/>
        <v>183873.35054767228</v>
      </c>
      <c r="AX811" s="1122">
        <f>SUM(AQ811:AW811)</f>
        <v>1187061.5384615383</v>
      </c>
      <c r="AZ811" s="1122">
        <f ca="1">AZ764</f>
        <v>4841.7884625324223</v>
      </c>
      <c r="BA811" s="1122">
        <f t="shared" ref="BA811:BF811" ca="1" si="1576">BA764</f>
        <v>1334.5054526657291</v>
      </c>
      <c r="BB811" s="1122">
        <f t="shared" ca="1" si="1576"/>
        <v>8065.9146789093356</v>
      </c>
      <c r="BC811" s="1122">
        <f t="shared" ca="1" si="1576"/>
        <v>2441.958067889414</v>
      </c>
      <c r="BD811" s="1122">
        <f t="shared" ca="1" si="1576"/>
        <v>8625.0728600168914</v>
      </c>
      <c r="BE811" s="1122">
        <f t="shared" ca="1" si="1576"/>
        <v>16620.866036131578</v>
      </c>
      <c r="BF811" s="1122">
        <f t="shared" ca="1" si="1576"/>
        <v>6069.4805746417114</v>
      </c>
      <c r="BG811" s="1122">
        <f ca="1">SUM(AZ811:BF811)</f>
        <v>47999.586132787081</v>
      </c>
      <c r="BI811" s="1122">
        <f ca="1">BI764</f>
        <v>2417.4352981674188</v>
      </c>
      <c r="BJ811" s="1122">
        <f t="shared" ref="BJ811:BO811" ca="1" si="1577">BJ764</f>
        <v>669.73131212111991</v>
      </c>
      <c r="BK811" s="1122">
        <f t="shared" ca="1" si="1577"/>
        <v>4144.2844850521715</v>
      </c>
      <c r="BL811" s="1122">
        <f t="shared" ca="1" si="1577"/>
        <v>1250.4617110946115</v>
      </c>
      <c r="BM811" s="1122">
        <f t="shared" ca="1" si="1577"/>
        <v>4374.8127854409558</v>
      </c>
      <c r="BN811" s="1122">
        <f t="shared" ca="1" si="1577"/>
        <v>8551.7900048468018</v>
      </c>
      <c r="BO811" s="1122">
        <f t="shared" ca="1" si="1577"/>
        <v>3092.6844190552515</v>
      </c>
      <c r="BP811" s="1122">
        <f ca="1">SUM(BI811:BO811)</f>
        <v>24501.20001577833</v>
      </c>
    </row>
    <row r="812" spans="2:68" s="1122" customFormat="1" ht="13.2" customHeight="1">
      <c r="B812" s="1123" t="s">
        <v>114</v>
      </c>
      <c r="G812" s="1122">
        <f t="shared" ca="1" si="1571"/>
        <v>234273.79886147959</v>
      </c>
      <c r="H812" s="1122">
        <f t="shared" ca="1" si="1571"/>
        <v>29486.437811446525</v>
      </c>
      <c r="I812" s="1122">
        <f t="shared" ca="1" si="1571"/>
        <v>196221.60572676861</v>
      </c>
      <c r="J812" s="1122">
        <f t="shared" ca="1" si="1571"/>
        <v>70142.785833857066</v>
      </c>
      <c r="K812" s="1122">
        <f t="shared" ca="1" si="1571"/>
        <v>253679.53459291751</v>
      </c>
      <c r="L812" s="1122">
        <f t="shared" ca="1" si="1571"/>
        <v>442206.54560459283</v>
      </c>
      <c r="M812" s="1122">
        <f t="shared" ca="1" si="1571"/>
        <v>215920.48260834822</v>
      </c>
      <c r="N812" s="1127">
        <f ca="1">SUM(G812:M812)</f>
        <v>1441931.1910394102</v>
      </c>
      <c r="O812" s="39">
        <f>ROW()</f>
        <v>812</v>
      </c>
      <c r="P812" s="1122">
        <f t="shared" ref="P812:V812" ca="1" si="1578">P811*P791</f>
        <v>9878.8967872358571</v>
      </c>
      <c r="Q812" s="1122">
        <f t="shared" ca="1" si="1578"/>
        <v>2779.0374019015267</v>
      </c>
      <c r="R812" s="1122">
        <f t="shared" ca="1" si="1578"/>
        <v>18452.834932788435</v>
      </c>
      <c r="S812" s="1122">
        <f t="shared" ca="1" si="1578"/>
        <v>5512.0233599588391</v>
      </c>
      <c r="T812" s="1122">
        <f t="shared" ca="1" si="1578"/>
        <v>18746.430819481233</v>
      </c>
      <c r="U812" s="1122">
        <f t="shared" ca="1" si="1578"/>
        <v>38258.530797874264</v>
      </c>
      <c r="V812" s="1122">
        <f t="shared" ca="1" si="1578"/>
        <v>13435.049982090795</v>
      </c>
      <c r="W812" s="1122">
        <f ca="1">SUM(P812:V812)</f>
        <v>107062.80408133095</v>
      </c>
      <c r="Y812" s="1122">
        <f t="shared" ref="Y812:AE812" ca="1" si="1579">Y811*Y791</f>
        <v>6948.2184572532078</v>
      </c>
      <c r="Z812" s="1122">
        <f t="shared" ca="1" si="1579"/>
        <v>1954.606813408363</v>
      </c>
      <c r="AA812" s="1122">
        <f t="shared" ca="1" si="1579"/>
        <v>12978.607938723299</v>
      </c>
      <c r="AB812" s="1122">
        <f t="shared" ca="1" si="1579"/>
        <v>3876.8238267213383</v>
      </c>
      <c r="AC812" s="1122">
        <f t="shared" ca="1" si="1579"/>
        <v>13185.105526746309</v>
      </c>
      <c r="AD812" s="1122">
        <f t="shared" ca="1" si="1579"/>
        <v>26908.736426991243</v>
      </c>
      <c r="AE812" s="1122">
        <f t="shared" ca="1" si="1579"/>
        <v>9449.4015141747586</v>
      </c>
      <c r="AF812" s="1122">
        <f ca="1">SUM(Y812:AE812)</f>
        <v>75301.500504018535</v>
      </c>
      <c r="AH812" s="1122">
        <f t="shared" ref="AH812:AN812" ca="1" si="1580">AH811*AH791</f>
        <v>0</v>
      </c>
      <c r="AI812" s="1122">
        <f t="shared" ca="1" si="1580"/>
        <v>0</v>
      </c>
      <c r="AJ812" s="1122">
        <f t="shared" ca="1" si="1580"/>
        <v>0</v>
      </c>
      <c r="AK812" s="1122">
        <f t="shared" ca="1" si="1580"/>
        <v>0</v>
      </c>
      <c r="AL812" s="1122">
        <f t="shared" ca="1" si="1580"/>
        <v>0</v>
      </c>
      <c r="AM812" s="1122">
        <f t="shared" ca="1" si="1580"/>
        <v>0</v>
      </c>
      <c r="AN812" s="1122">
        <f t="shared" ca="1" si="1580"/>
        <v>0</v>
      </c>
      <c r="AO812" s="1122">
        <f ca="1">SUM(AH812:AN812)</f>
        <v>0</v>
      </c>
      <c r="AQ812" s="1122">
        <f t="shared" ref="AQ812" si="1581">AQ811</f>
        <v>210187.34459974329</v>
      </c>
      <c r="AR812" s="1122">
        <f t="shared" ref="AR812" si="1582">AR811</f>
        <v>22748.620884765332</v>
      </c>
      <c r="AS812" s="1122">
        <f t="shared" ref="AS812" si="1583">AS811</f>
        <v>152580.65410310062</v>
      </c>
      <c r="AT812" s="1122">
        <f t="shared" ref="AT812" si="1584">AT811</f>
        <v>57061.666827443201</v>
      </c>
      <c r="AU812" s="1122">
        <f t="shared" ref="AU812" si="1585">AU811</f>
        <v>208747.17643657626</v>
      </c>
      <c r="AV812" s="1122">
        <f t="shared" ref="AV812" si="1586">AV811</f>
        <v>351862.72506223724</v>
      </c>
      <c r="AW812" s="1122">
        <f t="shared" ref="AW812" si="1587">AW811</f>
        <v>183873.35054767228</v>
      </c>
      <c r="AX812" s="1122">
        <f>SUM(AQ812:AW812)</f>
        <v>1187061.5384615383</v>
      </c>
      <c r="AZ812" s="1122">
        <f t="shared" ref="AZ812:BF812" ca="1" si="1588">AZ811*AZ791</f>
        <v>4841.8543636743107</v>
      </c>
      <c r="BA812" s="1122">
        <f t="shared" ca="1" si="1588"/>
        <v>1334.4689087833949</v>
      </c>
      <c r="BB812" s="1122">
        <f t="shared" ca="1" si="1588"/>
        <v>8065.5247686104094</v>
      </c>
      <c r="BC812" s="1122">
        <f t="shared" ca="1" si="1588"/>
        <v>2441.8743854286595</v>
      </c>
      <c r="BD812" s="1122">
        <f t="shared" ca="1" si="1588"/>
        <v>8625.6045173118109</v>
      </c>
      <c r="BE812" s="1122">
        <f t="shared" ca="1" si="1588"/>
        <v>16623.065641036126</v>
      </c>
      <c r="BF812" s="1122">
        <f t="shared" ca="1" si="1588"/>
        <v>6069.7727937207983</v>
      </c>
      <c r="BG812" s="1122">
        <f ca="1">SUM(AZ812:BF812)</f>
        <v>48002.165378565507</v>
      </c>
      <c r="BI812" s="1122">
        <f t="shared" ref="BI812:BO812" ca="1" si="1589">BI811*BI791</f>
        <v>2417.4846535729416</v>
      </c>
      <c r="BJ812" s="1122">
        <f t="shared" ca="1" si="1589"/>
        <v>669.70380258790954</v>
      </c>
      <c r="BK812" s="1122">
        <f t="shared" ca="1" si="1589"/>
        <v>4143.9839835458524</v>
      </c>
      <c r="BL812" s="1122">
        <f t="shared" ca="1" si="1589"/>
        <v>1250.3974343050427</v>
      </c>
      <c r="BM812" s="1122">
        <f t="shared" ca="1" si="1589"/>
        <v>4375.2172928018772</v>
      </c>
      <c r="BN812" s="1122">
        <f t="shared" ca="1" si="1589"/>
        <v>8553.4876764539786</v>
      </c>
      <c r="BO812" s="1122">
        <f t="shared" ca="1" si="1589"/>
        <v>3092.9077706895737</v>
      </c>
      <c r="BP812" s="1122">
        <f ca="1">SUM(BI812:BO812)</f>
        <v>24503.182613957175</v>
      </c>
    </row>
    <row r="813" spans="2:68" s="202" customFormat="1" ht="13.2" customHeight="1">
      <c r="B813" s="280" t="s">
        <v>1880</v>
      </c>
      <c r="C813" s="1"/>
      <c r="D813" s="1"/>
      <c r="E813" s="1"/>
      <c r="F813" s="1"/>
      <c r="G813" s="1122">
        <f t="shared" ca="1" si="1571"/>
        <v>0.80233484394648258</v>
      </c>
      <c r="H813" s="1122">
        <f t="shared" ca="1" si="1571"/>
        <v>-0.45295076623892783</v>
      </c>
      <c r="I813" s="1122">
        <f t="shared" ca="1" si="1571"/>
        <v>-5.2490869477887827</v>
      </c>
      <c r="J813" s="1122">
        <f t="shared" ca="1" si="1571"/>
        <v>-1.1132530832314842</v>
      </c>
      <c r="K813" s="1122">
        <f t="shared" ca="1" si="1571"/>
        <v>6.8403031425732479</v>
      </c>
      <c r="L813" s="1122">
        <f t="shared" ca="1" si="1571"/>
        <v>29.763132510432115</v>
      </c>
      <c r="M813" s="1122">
        <f t="shared" ca="1" si="1571"/>
        <v>3.8206127436951647</v>
      </c>
      <c r="N813" s="1127">
        <f ca="1">W813+AF813+AO813+AX813+BG813+BP813</f>
        <v>34.411092443406233</v>
      </c>
      <c r="O813" s="39">
        <f>ROW()</f>
        <v>813</v>
      </c>
      <c r="P813" s="203">
        <f t="shared" ref="P813:W813" ca="1" si="1590">P812-P811</f>
        <v>0.40337131335945742</v>
      </c>
      <c r="Q813" s="203">
        <f t="shared" ca="1" si="1590"/>
        <v>-0.22831464172668348</v>
      </c>
      <c r="R813" s="203">
        <f t="shared" ca="1" si="1590"/>
        <v>-2.6763162054448912</v>
      </c>
      <c r="S813" s="203">
        <f t="shared" ca="1" si="1590"/>
        <v>-0.56670665209821891</v>
      </c>
      <c r="T813" s="203">
        <f t="shared" ca="1" si="1590"/>
        <v>3.4662135416874662</v>
      </c>
      <c r="U813" s="203">
        <f t="shared" ca="1" si="1590"/>
        <v>15.185378956070053</v>
      </c>
      <c r="V813" s="203">
        <f t="shared" ca="1" si="1590"/>
        <v>1.9403307471475273</v>
      </c>
      <c r="W813" s="203">
        <f t="shared" ca="1" si="1590"/>
        <v>17.523957058991073</v>
      </c>
      <c r="Y813" s="203">
        <f t="shared" ref="Y813:AF813" ca="1" si="1591">Y812-Y811</f>
        <v>0.28370698317576171</v>
      </c>
      <c r="Z813" s="203">
        <f t="shared" ca="1" si="1591"/>
        <v>-0.160582708967695</v>
      </c>
      <c r="AA813" s="203">
        <f t="shared" ca="1" si="1591"/>
        <v>-1.8823589370986156</v>
      </c>
      <c r="AB813" s="203">
        <f t="shared" ca="1" si="1591"/>
        <v>-0.39858718081222833</v>
      </c>
      <c r="AC813" s="203">
        <f t="shared" ca="1" si="1591"/>
        <v>2.4379249450448697</v>
      </c>
      <c r="AD813" s="203">
        <f t="shared" ca="1" si="1591"/>
        <v>10.680477042667917</v>
      </c>
      <c r="AE813" s="203">
        <f t="shared" ca="1" si="1591"/>
        <v>1.3647112831386039</v>
      </c>
      <c r="AF813" s="203">
        <f t="shared" ca="1" si="1591"/>
        <v>12.325291427172488</v>
      </c>
      <c r="AH813" s="10">
        <f t="shared" ref="AH813:AO813" ca="1" si="1592">AH812-AH811</f>
        <v>0</v>
      </c>
      <c r="AI813" s="10">
        <f t="shared" ca="1" si="1592"/>
        <v>0</v>
      </c>
      <c r="AJ813" s="10">
        <f t="shared" ca="1" si="1592"/>
        <v>0</v>
      </c>
      <c r="AK813" s="10">
        <f t="shared" ca="1" si="1592"/>
        <v>0</v>
      </c>
      <c r="AL813" s="10">
        <f t="shared" ca="1" si="1592"/>
        <v>0</v>
      </c>
      <c r="AM813" s="10">
        <f t="shared" ca="1" si="1592"/>
        <v>0</v>
      </c>
      <c r="AN813" s="10">
        <f t="shared" ca="1" si="1592"/>
        <v>0</v>
      </c>
      <c r="AO813" s="203">
        <f t="shared" ca="1" si="1592"/>
        <v>0</v>
      </c>
      <c r="AQ813" s="203">
        <f t="shared" ref="AQ813:AX813" si="1593">AQ812-AQ811</f>
        <v>0</v>
      </c>
      <c r="AR813" s="203">
        <f t="shared" si="1593"/>
        <v>0</v>
      </c>
      <c r="AS813" s="203">
        <f t="shared" si="1593"/>
        <v>0</v>
      </c>
      <c r="AT813" s="203">
        <f t="shared" si="1593"/>
        <v>0</v>
      </c>
      <c r="AU813" s="203">
        <f t="shared" si="1593"/>
        <v>0</v>
      </c>
      <c r="AV813" s="203">
        <f t="shared" si="1593"/>
        <v>0</v>
      </c>
      <c r="AW813" s="203">
        <f t="shared" si="1593"/>
        <v>0</v>
      </c>
      <c r="AX813" s="203">
        <f t="shared" si="1593"/>
        <v>0</v>
      </c>
      <c r="AZ813" s="203">
        <f t="shared" ref="AZ813:BG813" ca="1" si="1594">AZ812-AZ811</f>
        <v>6.5901141888389247E-2</v>
      </c>
      <c r="BA813" s="203">
        <f t="shared" ca="1" si="1594"/>
        <v>-3.654388233417194E-2</v>
      </c>
      <c r="BB813" s="203">
        <f t="shared" ca="1" si="1594"/>
        <v>-0.38991029892622464</v>
      </c>
      <c r="BC813" s="203">
        <f t="shared" ca="1" si="1594"/>
        <v>-8.3682460754516796E-2</v>
      </c>
      <c r="BD813" s="203">
        <f t="shared" ca="1" si="1594"/>
        <v>0.53165729491956881</v>
      </c>
      <c r="BE813" s="203">
        <f t="shared" ca="1" si="1594"/>
        <v>2.1996049045483232</v>
      </c>
      <c r="BF813" s="203">
        <f t="shared" ca="1" si="1594"/>
        <v>0.29221907908686262</v>
      </c>
      <c r="BG813" s="203">
        <f t="shared" ca="1" si="1594"/>
        <v>2.5792457784264116</v>
      </c>
      <c r="BI813" s="203">
        <f t="shared" ref="BI813:BP813" ca="1" si="1595">BI812-BI811</f>
        <v>4.9355405522874207E-2</v>
      </c>
      <c r="BJ813" s="203">
        <f t="shared" ca="1" si="1595"/>
        <v>-2.7509533210377413E-2</v>
      </c>
      <c r="BK813" s="203">
        <f t="shared" ca="1" si="1595"/>
        <v>-0.30050150631905126</v>
      </c>
      <c r="BL813" s="203">
        <f t="shared" ca="1" si="1595"/>
        <v>-6.4276789568793902E-2</v>
      </c>
      <c r="BM813" s="203">
        <f t="shared" ca="1" si="1595"/>
        <v>0.40450736092134321</v>
      </c>
      <c r="BN813" s="203">
        <f t="shared" ca="1" si="1595"/>
        <v>1.6976716071767441</v>
      </c>
      <c r="BO813" s="203">
        <f t="shared" ca="1" si="1595"/>
        <v>0.22335163432217087</v>
      </c>
      <c r="BP813" s="203">
        <f t="shared" ca="1" si="1595"/>
        <v>1.9825981788453646</v>
      </c>
    </row>
    <row r="814" spans="2:68" ht="13.2" customHeight="1">
      <c r="G814" s="1122"/>
      <c r="H814" s="1122"/>
      <c r="I814" s="1122"/>
      <c r="J814" s="1122"/>
      <c r="K814" s="1122"/>
      <c r="L814" s="1122"/>
      <c r="M814" s="1122"/>
      <c r="N814" s="1122"/>
      <c r="O814" s="39">
        <f>ROW()</f>
        <v>814</v>
      </c>
    </row>
    <row r="815" spans="2:68" ht="13.2" customHeight="1">
      <c r="B815" s="308" t="s">
        <v>1569</v>
      </c>
      <c r="G815" s="1122">
        <f t="shared" ref="G815:N816" ca="1" si="1596">P815+Y815+AH815+AQ815+AZ815+BI815</f>
        <v>428189.82982411503</v>
      </c>
      <c r="H815" s="1122">
        <f t="shared" ca="1" si="1596"/>
        <v>76885.591757280985</v>
      </c>
      <c r="I815" s="1122">
        <f t="shared" ca="1" si="1596"/>
        <v>488207.10448177229</v>
      </c>
      <c r="J815" s="1122">
        <f t="shared" ca="1" si="1596"/>
        <v>159091.14500962201</v>
      </c>
      <c r="K815" s="1122">
        <f t="shared" ca="1" si="1596"/>
        <v>581852.23368615366</v>
      </c>
      <c r="L815" s="1122">
        <f t="shared" ca="1" si="1596"/>
        <v>1025393.8925111019</v>
      </c>
      <c r="M815" s="1122">
        <f t="shared" ca="1" si="1596"/>
        <v>432680.10297412006</v>
      </c>
      <c r="N815" s="1127">
        <f t="shared" ca="1" si="1596"/>
        <v>3192299.9002441661</v>
      </c>
      <c r="O815" s="39">
        <f>ROW()</f>
        <v>815</v>
      </c>
      <c r="P815" s="10">
        <f ca="1">P768</f>
        <v>53992.33653858889</v>
      </c>
      <c r="Q815" s="10">
        <f t="shared" ref="Q815:V815" ca="1" si="1597">Q768</f>
        <v>21085.312791869095</v>
      </c>
      <c r="R815" s="10">
        <f t="shared" ca="1" si="1597"/>
        <v>135437.3037464917</v>
      </c>
      <c r="S815" s="10">
        <f t="shared" ca="1" si="1597"/>
        <v>36158.936058308158</v>
      </c>
      <c r="T815" s="10">
        <f t="shared" ca="1" si="1597"/>
        <v>121966.52116983841</v>
      </c>
      <c r="U815" s="10">
        <f t="shared" ca="1" si="1597"/>
        <v>193765.73335085204</v>
      </c>
      <c r="V815" s="10">
        <f t="shared" ca="1" si="1597"/>
        <v>67650.18439863938</v>
      </c>
      <c r="W815" s="10">
        <f ca="1">SUM(P815:V815)</f>
        <v>630056.32805458771</v>
      </c>
      <c r="Y815" s="10">
        <f ca="1">Y768</f>
        <v>51681.397562418839</v>
      </c>
      <c r="Z815" s="10">
        <f t="shared" ref="Z815:AE815" ca="1" si="1598">Z768</f>
        <v>7833.2912489422661</v>
      </c>
      <c r="AA815" s="10">
        <f t="shared" ca="1" si="1598"/>
        <v>54906.09806152933</v>
      </c>
      <c r="AB815" s="10">
        <f t="shared" ca="1" si="1598"/>
        <v>21751.90528756912</v>
      </c>
      <c r="AC815" s="10">
        <f t="shared" ca="1" si="1598"/>
        <v>87037.688554358159</v>
      </c>
      <c r="AD815" s="10">
        <f t="shared" ca="1" si="1598"/>
        <v>179837.10306645054</v>
      </c>
      <c r="AE815" s="10">
        <f t="shared" ca="1" si="1598"/>
        <v>62072.208074397458</v>
      </c>
      <c r="AF815" s="10">
        <f ca="1">SUM(Y815:AE815)</f>
        <v>465119.6918556657</v>
      </c>
      <c r="AH815" s="10">
        <f ca="1">AH768</f>
        <v>45354.169183104743</v>
      </c>
      <c r="AI815" s="10">
        <f t="shared" ref="AI815:AN815" ca="1" si="1599">AI768</f>
        <v>6741.8289193108503</v>
      </c>
      <c r="AJ815" s="10">
        <f t="shared" ca="1" si="1599"/>
        <v>33988.963563919009</v>
      </c>
      <c r="AK815" s="10">
        <f t="shared" ca="1" si="1599"/>
        <v>10357.765146529617</v>
      </c>
      <c r="AL815" s="10">
        <f t="shared" ca="1" si="1599"/>
        <v>46326.544026383381</v>
      </c>
      <c r="AM815" s="10">
        <f t="shared" ca="1" si="1599"/>
        <v>93765.60239503489</v>
      </c>
      <c r="AN815" s="10">
        <f t="shared" ca="1" si="1599"/>
        <v>42264.126773816482</v>
      </c>
      <c r="AO815" s="10">
        <f ca="1">SUM(AH815:AN815)</f>
        <v>278799.00000809896</v>
      </c>
      <c r="AQ815" s="10">
        <f ca="1">AQ768</f>
        <v>240050.42598557673</v>
      </c>
      <c r="AR815" s="10">
        <f t="shared" ref="AR815:AW815" ca="1" si="1600">AR768</f>
        <v>32205.005406578308</v>
      </c>
      <c r="AS815" s="10">
        <f t="shared" ca="1" si="1600"/>
        <v>208017.98164423773</v>
      </c>
      <c r="AT815" s="10">
        <f t="shared" ca="1" si="1600"/>
        <v>73953.314528786039</v>
      </c>
      <c r="AU815" s="10">
        <f t="shared" ca="1" si="1600"/>
        <v>264250.20000315504</v>
      </c>
      <c r="AV815" s="10">
        <f t="shared" ca="1" si="1600"/>
        <v>442462.35930972925</v>
      </c>
      <c r="AW815" s="10">
        <f t="shared" ca="1" si="1600"/>
        <v>217925.7664214203</v>
      </c>
      <c r="AX815" s="10">
        <f ca="1">SUM(AQ815:AW815)</f>
        <v>1478865.0532994834</v>
      </c>
      <c r="AZ815" s="10">
        <f ca="1">AZ768</f>
        <v>29581.709864028831</v>
      </c>
      <c r="BA815" s="10">
        <f t="shared" ref="BA815:BF815" ca="1" si="1601">BA768</f>
        <v>7121.4997871811265</v>
      </c>
      <c r="BB815" s="10">
        <f t="shared" ca="1" si="1601"/>
        <v>44163.643138987252</v>
      </c>
      <c r="BC815" s="10">
        <f t="shared" ca="1" si="1601"/>
        <v>13335.598681850295</v>
      </c>
      <c r="BD815" s="10">
        <f t="shared" ca="1" si="1601"/>
        <v>49402.709042964634</v>
      </c>
      <c r="BE815" s="10">
        <f t="shared" ca="1" si="1601"/>
        <v>91389.405840033724</v>
      </c>
      <c r="BF815" s="10">
        <f t="shared" ca="1" si="1601"/>
        <v>33867.914133559592</v>
      </c>
      <c r="BG815" s="10">
        <f ca="1">SUM(AZ815:BF815)</f>
        <v>268862.48048860545</v>
      </c>
      <c r="BI815" s="10">
        <f ca="1">BI768</f>
        <v>7529.7906903969288</v>
      </c>
      <c r="BJ815" s="10">
        <f t="shared" ref="BJ815:BO815" ca="1" si="1602">BJ768</f>
        <v>1898.6536033993466</v>
      </c>
      <c r="BK815" s="10">
        <f t="shared" ca="1" si="1602"/>
        <v>11693.114326607181</v>
      </c>
      <c r="BL815" s="10">
        <f t="shared" ca="1" si="1602"/>
        <v>3533.6253065787723</v>
      </c>
      <c r="BM815" s="10">
        <f t="shared" ca="1" si="1602"/>
        <v>12868.570889454026</v>
      </c>
      <c r="BN815" s="10">
        <f t="shared" ca="1" si="1602"/>
        <v>24173.688549001505</v>
      </c>
      <c r="BO815" s="10">
        <f t="shared" ca="1" si="1602"/>
        <v>8899.9031722868021</v>
      </c>
      <c r="BP815" s="10">
        <f ca="1">SUM(BI815:BO815)</f>
        <v>70597.346537724559</v>
      </c>
    </row>
    <row r="816" spans="2:68" ht="13.2" customHeight="1">
      <c r="B816" s="308" t="s">
        <v>1570</v>
      </c>
      <c r="G816" s="1122">
        <f t="shared" ca="1" si="1596"/>
        <v>428191.90762965591</v>
      </c>
      <c r="H816" s="1122">
        <f t="shared" ca="1" si="1596"/>
        <v>76885.167438372664</v>
      </c>
      <c r="I816" s="1122">
        <f t="shared" ca="1" si="1596"/>
        <v>488206.3048685696</v>
      </c>
      <c r="J816" s="1122">
        <f t="shared" ca="1" si="1596"/>
        <v>159094.58539151101</v>
      </c>
      <c r="K816" s="1122">
        <f t="shared" ca="1" si="1596"/>
        <v>581874.05215628596</v>
      </c>
      <c r="L816" s="1122">
        <f t="shared" ca="1" si="1596"/>
        <v>1025410.3553602212</v>
      </c>
      <c r="M816" s="1122">
        <f t="shared" ca="1" si="1596"/>
        <v>432693.75458259793</v>
      </c>
      <c r="N816" s="1127">
        <f t="shared" ca="1" si="1596"/>
        <v>3192356.1274272143</v>
      </c>
      <c r="O816" s="39">
        <f>ROW()</f>
        <v>816</v>
      </c>
      <c r="P816" s="10">
        <f t="shared" ref="P816:V816" ca="1" si="1603">P801+P808+P812</f>
        <v>53993.437462310096</v>
      </c>
      <c r="Q816" s="10">
        <f t="shared" ca="1" si="1603"/>
        <v>21085.116404417531</v>
      </c>
      <c r="R816" s="10">
        <f t="shared" ca="1" si="1603"/>
        <v>135437.22449330386</v>
      </c>
      <c r="S816" s="10">
        <f t="shared" ca="1" si="1603"/>
        <v>36160.578746470186</v>
      </c>
      <c r="T816" s="10">
        <f t="shared" ca="1" si="1603"/>
        <v>121975.88580212656</v>
      </c>
      <c r="U816" s="10">
        <f t="shared" ca="1" si="1603"/>
        <v>193778.57044142621</v>
      </c>
      <c r="V816" s="10">
        <f t="shared" ca="1" si="1603"/>
        <v>67654.361392122562</v>
      </c>
      <c r="W816" s="10">
        <f ca="1">SUM(P816:V816)</f>
        <v>630085.17474217701</v>
      </c>
      <c r="Y816" s="10">
        <f t="shared" ref="Y816:AE816" ca="1" si="1604">Y801+Y808+Y812</f>
        <v>51681.775292800507</v>
      </c>
      <c r="Z816" s="10">
        <f t="shared" ca="1" si="1604"/>
        <v>7833.1370122292319</v>
      </c>
      <c r="AA816" s="10">
        <f t="shared" ca="1" si="1604"/>
        <v>54904.694497694451</v>
      </c>
      <c r="AB816" s="10">
        <f t="shared" ca="1" si="1604"/>
        <v>21752.518589442414</v>
      </c>
      <c r="AC816" s="10">
        <f t="shared" ca="1" si="1604"/>
        <v>87043.679038580813</v>
      </c>
      <c r="AD816" s="10">
        <f t="shared" ca="1" si="1604"/>
        <v>179842.00537665165</v>
      </c>
      <c r="AE816" s="10">
        <f t="shared" ca="1" si="1604"/>
        <v>62075.802714547048</v>
      </c>
      <c r="AF816" s="10">
        <f ca="1">SUM(Y816:AE816)</f>
        <v>465133.61252194608</v>
      </c>
      <c r="AH816" s="10">
        <f t="shared" ref="AH816:AN816" ca="1" si="1605">AH801+AH808+AH812</f>
        <v>45354.693486621036</v>
      </c>
      <c r="AI816" s="10">
        <f t="shared" ca="1" si="1605"/>
        <v>6741.8400055723996</v>
      </c>
      <c r="AJ816" s="10">
        <f t="shared" ca="1" si="1605"/>
        <v>33990.210685691141</v>
      </c>
      <c r="AK816" s="10">
        <f t="shared" ca="1" si="1605"/>
        <v>10358.875890146133</v>
      </c>
      <c r="AL816" s="10">
        <f t="shared" ca="1" si="1605"/>
        <v>46331.466720655866</v>
      </c>
      <c r="AM816" s="10">
        <f t="shared" ca="1" si="1605"/>
        <v>93761.649889167194</v>
      </c>
      <c r="AN816" s="10">
        <f t="shared" ca="1" si="1605"/>
        <v>42269.154015619526</v>
      </c>
      <c r="AO816" s="10">
        <f ca="1">SUM(AH816:AN816)</f>
        <v>278807.89069347328</v>
      </c>
      <c r="AQ816" s="10">
        <f t="shared" ref="AQ816:AW816" ca="1" si="1606">AQ815</f>
        <v>240050.42598557673</v>
      </c>
      <c r="AR816" s="10">
        <f t="shared" ca="1" si="1606"/>
        <v>32205.005406578308</v>
      </c>
      <c r="AS816" s="10">
        <f t="shared" ca="1" si="1606"/>
        <v>208017.98164423773</v>
      </c>
      <c r="AT816" s="10">
        <f t="shared" ca="1" si="1606"/>
        <v>73953.314528786039</v>
      </c>
      <c r="AU816" s="10">
        <f t="shared" ca="1" si="1606"/>
        <v>264250.20000315504</v>
      </c>
      <c r="AV816" s="10">
        <f t="shared" ca="1" si="1606"/>
        <v>442462.35930972925</v>
      </c>
      <c r="AW816" s="10">
        <f t="shared" ca="1" si="1606"/>
        <v>217925.7664214203</v>
      </c>
      <c r="AX816" s="10">
        <f ca="1">SUM(AQ816:AW816)</f>
        <v>1478865.0532994834</v>
      </c>
      <c r="AZ816" s="10">
        <f t="shared" ref="AZ816:BF816" ca="1" si="1607">AZ801+AZ808+AZ812</f>
        <v>29581.727234461803</v>
      </c>
      <c r="BA816" s="10">
        <f t="shared" ca="1" si="1607"/>
        <v>7121.4439580276039</v>
      </c>
      <c r="BB816" s="10">
        <f t="shared" ca="1" si="1607"/>
        <v>44163.323682326998</v>
      </c>
      <c r="BC816" s="10">
        <f t="shared" ca="1" si="1607"/>
        <v>13335.671098590647</v>
      </c>
      <c r="BD816" s="10">
        <f t="shared" ca="1" si="1607"/>
        <v>49403.654278493683</v>
      </c>
      <c r="BE816" s="10">
        <f t="shared" ca="1" si="1607"/>
        <v>91390.625027412098</v>
      </c>
      <c r="BF816" s="10">
        <f t="shared" ca="1" si="1607"/>
        <v>33868.432284347284</v>
      </c>
      <c r="BG816" s="10">
        <f ca="1">SUM(AZ816:BF816)</f>
        <v>268864.87756366015</v>
      </c>
      <c r="BI816" s="10">
        <f t="shared" ref="BI816:BO816" ca="1" si="1608">BI801+BI808+BI812</f>
        <v>7529.8481678856733</v>
      </c>
      <c r="BJ816" s="10">
        <f t="shared" ca="1" si="1608"/>
        <v>1898.6246515475896</v>
      </c>
      <c r="BK816" s="10">
        <f t="shared" ca="1" si="1608"/>
        <v>11692.869865315333</v>
      </c>
      <c r="BL816" s="10">
        <f t="shared" ca="1" si="1608"/>
        <v>3533.6265380755763</v>
      </c>
      <c r="BM816" s="10">
        <f t="shared" ca="1" si="1608"/>
        <v>12869.166313273938</v>
      </c>
      <c r="BN816" s="10">
        <f t="shared" ca="1" si="1608"/>
        <v>24175.145315834947</v>
      </c>
      <c r="BO816" s="10">
        <f t="shared" ca="1" si="1608"/>
        <v>8900.2377545412401</v>
      </c>
      <c r="BP816" s="10">
        <f ca="1">SUM(BI816:BO816)</f>
        <v>70599.518606474303</v>
      </c>
    </row>
    <row r="817" spans="2:68" ht="13.2" customHeight="1">
      <c r="B817" s="308" t="s">
        <v>1818</v>
      </c>
      <c r="G817" s="10">
        <f t="shared" ref="G817:M817" ca="1" si="1609">G816/G$118</f>
        <v>71365.317938275984</v>
      </c>
      <c r="H817" s="10">
        <f t="shared" ca="1" si="1609"/>
        <v>76885.167438372664</v>
      </c>
      <c r="I817" s="10">
        <f t="shared" ca="1" si="1609"/>
        <v>162735.43495618986</v>
      </c>
      <c r="J817" s="10">
        <f t="shared" ca="1" si="1609"/>
        <v>159094.58539151101</v>
      </c>
      <c r="K817" s="10">
        <f t="shared" ca="1" si="1609"/>
        <v>145468.51303907149</v>
      </c>
      <c r="L817" s="10">
        <f t="shared" ca="1" si="1609"/>
        <v>170901.7258933702</v>
      </c>
      <c r="M817" s="10">
        <f t="shared" ca="1" si="1609"/>
        <v>144231.25152753264</v>
      </c>
      <c r="N817" s="6"/>
      <c r="O817" s="39">
        <f>ROW()</f>
        <v>817</v>
      </c>
      <c r="P817" s="10"/>
      <c r="Q817" s="10"/>
      <c r="R817" s="10"/>
      <c r="S817" s="10"/>
      <c r="T817" s="10"/>
      <c r="U817" s="10"/>
      <c r="V817" s="10"/>
      <c r="W817" s="10"/>
      <c r="Y817" s="10"/>
      <c r="Z817" s="10"/>
      <c r="AA817" s="10"/>
      <c r="AB817" s="10"/>
      <c r="AC817" s="10"/>
      <c r="AD817" s="10"/>
      <c r="AE817" s="10"/>
      <c r="AF817" s="10"/>
      <c r="AH817" s="10"/>
      <c r="AI817" s="10"/>
      <c r="AJ817" s="10"/>
      <c r="AK817" s="10"/>
      <c r="AL817" s="10"/>
      <c r="AM817" s="10"/>
      <c r="AN817" s="10"/>
      <c r="AO817" s="10"/>
      <c r="AQ817" s="10"/>
      <c r="AR817" s="10"/>
      <c r="AS817" s="10"/>
      <c r="AT817" s="10"/>
      <c r="AU817" s="10"/>
      <c r="AV817" s="10"/>
      <c r="AW817" s="10"/>
      <c r="AX817" s="10"/>
      <c r="AZ817" s="10"/>
      <c r="BA817" s="10"/>
      <c r="BB817" s="10"/>
      <c r="BC817" s="10"/>
      <c r="BD817" s="10"/>
      <c r="BE817" s="10"/>
      <c r="BF817" s="10"/>
      <c r="BG817" s="10"/>
      <c r="BI817" s="10"/>
      <c r="BJ817" s="10"/>
      <c r="BK817" s="10"/>
      <c r="BL817" s="10"/>
      <c r="BM817" s="10"/>
      <c r="BN817" s="10"/>
      <c r="BO817" s="10"/>
      <c r="BP817" s="10"/>
    </row>
    <row r="818" spans="2:68" ht="13.2" customHeight="1">
      <c r="B818" s="280" t="s">
        <v>2709</v>
      </c>
      <c r="G818" s="612">
        <f t="shared" ref="G818:M818" ca="1" si="1610">G816/G815</f>
        <v>1.0000048525336105</v>
      </c>
      <c r="H818" s="612">
        <f t="shared" ca="1" si="1610"/>
        <v>0.99999448116482392</v>
      </c>
      <c r="I818" s="612">
        <f t="shared" ca="1" si="1610"/>
        <v>0.99999836214345239</v>
      </c>
      <c r="J818" s="612">
        <f t="shared" ca="1" si="1610"/>
        <v>1.0000216252255196</v>
      </c>
      <c r="K818" s="612">
        <f t="shared" ca="1" si="1610"/>
        <v>1.0000374983008899</v>
      </c>
      <c r="L818" s="612">
        <f t="shared" ca="1" si="1610"/>
        <v>1.0000160551464561</v>
      </c>
      <c r="M818" s="612">
        <f t="shared" ca="1" si="1610"/>
        <v>1.0000315512739875</v>
      </c>
      <c r="N818" s="186"/>
      <c r="O818" s="39">
        <f>ROW()</f>
        <v>818</v>
      </c>
      <c r="P818" s="4147" t="s">
        <v>2680</v>
      </c>
      <c r="Q818" s="4147"/>
      <c r="R818" s="4147"/>
      <c r="S818" s="4147"/>
      <c r="T818" s="4147"/>
      <c r="U818" s="4147"/>
      <c r="V818" s="4147"/>
      <c r="W818" s="4147"/>
      <c r="Y818" s="4147" t="s">
        <v>2681</v>
      </c>
      <c r="Z818" s="4147"/>
      <c r="AA818" s="4147"/>
      <c r="AB818" s="4147"/>
      <c r="AC818" s="4147"/>
      <c r="AD818" s="4147"/>
      <c r="AE818" s="4147"/>
      <c r="AF818" s="4147"/>
      <c r="AH818" s="4263" t="s">
        <v>5482</v>
      </c>
      <c r="AI818" s="4264"/>
      <c r="AJ818" s="4264"/>
      <c r="AK818" s="4264"/>
      <c r="AL818" s="4264"/>
      <c r="AM818" s="4264"/>
      <c r="AN818" s="4264"/>
      <c r="AO818" s="4264"/>
      <c r="AQ818" s="4147" t="s">
        <v>713</v>
      </c>
      <c r="AR818" s="4147"/>
      <c r="AS818" s="4147"/>
      <c r="AT818" s="4147"/>
      <c r="AU818" s="4147"/>
      <c r="AV818" s="4147"/>
      <c r="AW818" s="4147"/>
      <c r="AX818" s="4147"/>
      <c r="AZ818" s="4147" t="s">
        <v>460</v>
      </c>
      <c r="BA818" s="4147"/>
      <c r="BB818" s="4147"/>
      <c r="BC818" s="4147"/>
      <c r="BD818" s="4147"/>
      <c r="BE818" s="4147"/>
      <c r="BF818" s="4147"/>
      <c r="BG818" s="4147"/>
      <c r="BI818" s="4147" t="s">
        <v>849</v>
      </c>
      <c r="BJ818" s="4147"/>
      <c r="BK818" s="4147"/>
      <c r="BL818" s="4147"/>
      <c r="BM818" s="4147"/>
      <c r="BN818" s="4147"/>
      <c r="BO818" s="4147"/>
      <c r="BP818" s="4147"/>
    </row>
    <row r="819" spans="2:68" ht="13.2" customHeight="1">
      <c r="G819" s="612"/>
      <c r="H819" s="612"/>
      <c r="I819" s="612"/>
      <c r="J819" s="612"/>
      <c r="K819" s="612"/>
      <c r="L819" s="612"/>
      <c r="M819" s="612"/>
      <c r="N819" s="186"/>
      <c r="O819" s="39">
        <f>ROW()</f>
        <v>819</v>
      </c>
      <c r="P819" s="10"/>
      <c r="Q819" s="10"/>
      <c r="R819" s="10"/>
      <c r="S819" s="10"/>
      <c r="T819" s="10"/>
      <c r="U819" s="10"/>
      <c r="V819" s="10"/>
      <c r="W819" s="10"/>
      <c r="Y819" s="10"/>
      <c r="Z819" s="10"/>
      <c r="AA819" s="10"/>
      <c r="AB819" s="10"/>
      <c r="AC819" s="10"/>
      <c r="AD819" s="10"/>
      <c r="AE819" s="10"/>
      <c r="AF819" s="10"/>
      <c r="AO819" s="10"/>
      <c r="AQ819" s="10"/>
      <c r="AR819" s="10"/>
      <c r="AS819" s="10"/>
      <c r="AT819" s="10"/>
      <c r="AU819" s="10"/>
      <c r="AV819" s="10"/>
      <c r="AW819" s="10"/>
      <c r="AX819" s="10"/>
      <c r="AZ819" s="10"/>
      <c r="BA819" s="10"/>
      <c r="BB819" s="10"/>
      <c r="BC819" s="10"/>
      <c r="BD819" s="10"/>
      <c r="BE819" s="10"/>
      <c r="BF819" s="10"/>
      <c r="BG819" s="10"/>
      <c r="BI819" s="10"/>
      <c r="BJ819" s="10"/>
      <c r="BK819" s="10"/>
      <c r="BL819" s="10"/>
      <c r="BM819" s="10"/>
      <c r="BN819" s="10"/>
      <c r="BO819" s="10"/>
      <c r="BP819" s="10"/>
    </row>
    <row r="820" spans="2:68" ht="13.2" customHeight="1">
      <c r="B820" s="308" t="s">
        <v>587</v>
      </c>
      <c r="C820" s="280"/>
      <c r="D820" s="280"/>
      <c r="E820" s="280"/>
      <c r="F820" s="280"/>
      <c r="G820" s="280"/>
      <c r="H820" s="280"/>
      <c r="I820" s="280"/>
      <c r="J820" s="280"/>
      <c r="K820" s="280"/>
      <c r="L820" s="280"/>
      <c r="M820" s="280"/>
      <c r="N820" s="280"/>
      <c r="O820" s="39">
        <f>ROW()</f>
        <v>820</v>
      </c>
    </row>
    <row r="821" spans="2:68" ht="13.2" customHeight="1">
      <c r="B821" s="280" t="s">
        <v>2034</v>
      </c>
      <c r="E821" s="280"/>
      <c r="F821" s="280"/>
      <c r="G821" s="21">
        <f t="shared" ref="G821:M821" ca="1" si="1611">KSC/(1+0.1*(G817*$G$401/V_sub_k)^KSE)</f>
        <v>21.210450648022139</v>
      </c>
      <c r="H821" s="21">
        <f t="shared" ca="1" si="1611"/>
        <v>20.949434515314575</v>
      </c>
      <c r="I821" s="21">
        <f t="shared" ca="1" si="1611"/>
        <v>10.964425298541936</v>
      </c>
      <c r="J821" s="21">
        <f t="shared" ca="1" si="1611"/>
        <v>11.461944725689461</v>
      </c>
      <c r="K821" s="21">
        <f t="shared" ca="1" si="1611"/>
        <v>13.393209567616424</v>
      </c>
      <c r="L821" s="21">
        <f t="shared" ca="1" si="1611"/>
        <v>9.8910215268039448</v>
      </c>
      <c r="M821" s="21">
        <f t="shared" ca="1" si="1611"/>
        <v>13.57155251374639</v>
      </c>
      <c r="O821" s="39">
        <f>ROW()</f>
        <v>821</v>
      </c>
      <c r="P821" s="21">
        <f t="shared" ref="P821:V822" ca="1" si="1612">G821</f>
        <v>21.210450648022139</v>
      </c>
      <c r="Q821" s="21">
        <f t="shared" ca="1" si="1612"/>
        <v>20.949434515314575</v>
      </c>
      <c r="R821" s="21">
        <f t="shared" ca="1" si="1612"/>
        <v>10.964425298541936</v>
      </c>
      <c r="S821" s="21">
        <f t="shared" ca="1" si="1612"/>
        <v>11.461944725689461</v>
      </c>
      <c r="T821" s="21">
        <f t="shared" ca="1" si="1612"/>
        <v>13.393209567616424</v>
      </c>
      <c r="U821" s="21">
        <f t="shared" ca="1" si="1612"/>
        <v>9.8910215268039448</v>
      </c>
      <c r="V821" s="21">
        <f t="shared" ca="1" si="1612"/>
        <v>13.57155251374639</v>
      </c>
      <c r="Y821" s="21">
        <f t="shared" ref="Y821:AE822" ca="1" si="1613">G821</f>
        <v>21.210450648022139</v>
      </c>
      <c r="Z821" s="21">
        <f t="shared" ca="1" si="1613"/>
        <v>20.949434515314575</v>
      </c>
      <c r="AA821" s="21">
        <f t="shared" ca="1" si="1613"/>
        <v>10.964425298541936</v>
      </c>
      <c r="AB821" s="21">
        <f t="shared" ca="1" si="1613"/>
        <v>11.461944725689461</v>
      </c>
      <c r="AC821" s="21">
        <f t="shared" ca="1" si="1613"/>
        <v>13.393209567616424</v>
      </c>
      <c r="AD821" s="21">
        <f t="shared" ca="1" si="1613"/>
        <v>9.8910215268039448</v>
      </c>
      <c r="AE821" s="21">
        <f t="shared" ca="1" si="1613"/>
        <v>13.57155251374639</v>
      </c>
      <c r="AH821" s="21">
        <f t="shared" ref="AH821:AN822" ca="1" si="1614">P821</f>
        <v>21.210450648022139</v>
      </c>
      <c r="AI821" s="21">
        <f t="shared" ca="1" si="1614"/>
        <v>20.949434515314575</v>
      </c>
      <c r="AJ821" s="21">
        <f t="shared" ca="1" si="1614"/>
        <v>10.964425298541936</v>
      </c>
      <c r="AK821" s="21">
        <f t="shared" ca="1" si="1614"/>
        <v>11.461944725689461</v>
      </c>
      <c r="AL821" s="21">
        <f t="shared" ca="1" si="1614"/>
        <v>13.393209567616424</v>
      </c>
      <c r="AM821" s="21">
        <f t="shared" ca="1" si="1614"/>
        <v>9.8910215268039448</v>
      </c>
      <c r="AN821" s="21">
        <f t="shared" ca="1" si="1614"/>
        <v>13.57155251374639</v>
      </c>
      <c r="AQ821" s="21">
        <f t="shared" ref="AQ821:AW821" ca="1" si="1615">G821*$AU$181</f>
        <v>20.14992811562103</v>
      </c>
      <c r="AR821" s="21">
        <f t="shared" ca="1" si="1615"/>
        <v>19.901962789548847</v>
      </c>
      <c r="AS821" s="21">
        <f t="shared" ca="1" si="1615"/>
        <v>10.416204033614839</v>
      </c>
      <c r="AT821" s="21">
        <f t="shared" ca="1" si="1615"/>
        <v>10.888847489404988</v>
      </c>
      <c r="AU821" s="21">
        <f t="shared" ca="1" si="1615"/>
        <v>12.723549089235602</v>
      </c>
      <c r="AV821" s="21">
        <f t="shared" ca="1" si="1615"/>
        <v>9.3964704504637471</v>
      </c>
      <c r="AW821" s="21">
        <f t="shared" ca="1" si="1615"/>
        <v>12.89297488805907</v>
      </c>
      <c r="AZ821" s="21">
        <f t="shared" ref="AZ821:BF822" ca="1" si="1616">G821</f>
        <v>21.210450648022139</v>
      </c>
      <c r="BA821" s="21">
        <f t="shared" ca="1" si="1616"/>
        <v>20.949434515314575</v>
      </c>
      <c r="BB821" s="21">
        <f t="shared" ca="1" si="1616"/>
        <v>10.964425298541936</v>
      </c>
      <c r="BC821" s="21">
        <f t="shared" ca="1" si="1616"/>
        <v>11.461944725689461</v>
      </c>
      <c r="BD821" s="21">
        <f t="shared" ca="1" si="1616"/>
        <v>13.393209567616424</v>
      </c>
      <c r="BE821" s="21">
        <f t="shared" ca="1" si="1616"/>
        <v>9.8910215268039448</v>
      </c>
      <c r="BF821" s="21">
        <f t="shared" ca="1" si="1616"/>
        <v>13.57155251374639</v>
      </c>
      <c r="BG821" s="21"/>
      <c r="BI821" s="21">
        <f t="shared" ref="BI821:BO822" ca="1" si="1617">G821</f>
        <v>21.210450648022139</v>
      </c>
      <c r="BJ821" s="21">
        <f t="shared" ca="1" si="1617"/>
        <v>20.949434515314575</v>
      </c>
      <c r="BK821" s="21">
        <f t="shared" ca="1" si="1617"/>
        <v>10.964425298541936</v>
      </c>
      <c r="BL821" s="21">
        <f t="shared" ca="1" si="1617"/>
        <v>11.461944725689461</v>
      </c>
      <c r="BM821" s="21">
        <f t="shared" ca="1" si="1617"/>
        <v>13.393209567616424</v>
      </c>
      <c r="BN821" s="21">
        <f t="shared" ca="1" si="1617"/>
        <v>9.8910215268039448</v>
      </c>
      <c r="BO821" s="21">
        <f t="shared" ca="1" si="1617"/>
        <v>13.57155251374639</v>
      </c>
      <c r="BP821" s="21"/>
    </row>
    <row r="822" spans="2:68" ht="13.2" customHeight="1">
      <c r="B822" s="280" t="s">
        <v>1428</v>
      </c>
      <c r="E822" s="280"/>
      <c r="F822" s="280"/>
      <c r="G822" s="21">
        <f ca="1">MIN('Speed-Vol., non-Cordon'!$X$57*(G774 / 'Speed-Vol., non-Cordon'!$X$57)^G793,'Speed-Vol., non-Cordon'!$X$32)</f>
        <v>54.993824726326125</v>
      </c>
      <c r="H822" s="21">
        <f ca="1">MIN('Speed-Vol., non-Cordon'!$X$57*(H774 / 'Speed-Vol., non-Cordon'!$X$57)^H793,'Speed-Vol., non-Cordon'!$X$32)</f>
        <v>47.593444206267705</v>
      </c>
      <c r="I822" s="21">
        <f ca="1">MIN('Speed-Vol., non-Cordon'!$X$57*(I774 / 'Speed-Vol., non-Cordon'!$X$57)^I793,'Speed-Vol., non-Cordon'!$X$32)</f>
        <v>18.264843405236153</v>
      </c>
      <c r="J822" s="21">
        <f ca="1">MIN('Speed-Vol., non-Cordon'!$X$57*(J774 / 'Speed-Vol., non-Cordon'!$X$57)^J793,'Speed-Vol., non-Cordon'!$X$32)</f>
        <v>21.652799807514995</v>
      </c>
      <c r="K822" s="21">
        <f ca="1">MIN('Speed-Vol., non-Cordon'!$X$57*(K774 / 'Speed-Vol., non-Cordon'!$X$57)^K793,'Speed-Vol., non-Cordon'!$X$32)</f>
        <v>25.225757191819934</v>
      </c>
      <c r="L822" s="21">
        <f ca="1">MIN('Speed-Vol., non-Cordon'!$X$57*(L774 / 'Speed-Vol., non-Cordon'!$X$57)^L793,'Speed-Vol., non-Cordon'!$X$32)</f>
        <v>16.45336060912414</v>
      </c>
      <c r="M822" s="21">
        <f ca="1">MIN('Speed-Vol., non-Cordon'!$X$57*(M774 / 'Speed-Vol., non-Cordon'!$X$57)^M793,'Speed-Vol., non-Cordon'!$X$32)</f>
        <v>27.507327896832347</v>
      </c>
      <c r="O822" s="39">
        <f>ROW()</f>
        <v>822</v>
      </c>
      <c r="P822" s="21">
        <f t="shared" ca="1" si="1612"/>
        <v>54.993824726326125</v>
      </c>
      <c r="Q822" s="21">
        <f t="shared" ca="1" si="1612"/>
        <v>47.593444206267705</v>
      </c>
      <c r="R822" s="21">
        <f t="shared" ca="1" si="1612"/>
        <v>18.264843405236153</v>
      </c>
      <c r="S822" s="21">
        <f t="shared" ca="1" si="1612"/>
        <v>21.652799807514995</v>
      </c>
      <c r="T822" s="21">
        <f t="shared" ca="1" si="1612"/>
        <v>25.225757191819934</v>
      </c>
      <c r="U822" s="21">
        <f t="shared" ca="1" si="1612"/>
        <v>16.45336060912414</v>
      </c>
      <c r="V822" s="21">
        <f t="shared" ca="1" si="1612"/>
        <v>27.507327896832347</v>
      </c>
      <c r="W822" s="4272" t="s">
        <v>1878</v>
      </c>
      <c r="Y822" s="21">
        <f t="shared" ca="1" si="1613"/>
        <v>54.993824726326125</v>
      </c>
      <c r="Z822" s="21">
        <f t="shared" ca="1" si="1613"/>
        <v>47.593444206267705</v>
      </c>
      <c r="AA822" s="21">
        <f t="shared" ca="1" si="1613"/>
        <v>18.264843405236153</v>
      </c>
      <c r="AB822" s="21">
        <f t="shared" ca="1" si="1613"/>
        <v>21.652799807514995</v>
      </c>
      <c r="AC822" s="21">
        <f t="shared" ca="1" si="1613"/>
        <v>25.225757191819934</v>
      </c>
      <c r="AD822" s="21">
        <f t="shared" ca="1" si="1613"/>
        <v>16.45336060912414</v>
      </c>
      <c r="AE822" s="21">
        <f t="shared" ca="1" si="1613"/>
        <v>27.507327896832347</v>
      </c>
      <c r="AF822" s="4272" t="s">
        <v>1878</v>
      </c>
      <c r="AH822" s="21">
        <f t="shared" ca="1" si="1614"/>
        <v>54.993824726326125</v>
      </c>
      <c r="AI822" s="21">
        <f t="shared" ca="1" si="1614"/>
        <v>47.593444206267705</v>
      </c>
      <c r="AJ822" s="21">
        <f t="shared" ca="1" si="1614"/>
        <v>18.264843405236153</v>
      </c>
      <c r="AK822" s="21">
        <f t="shared" ca="1" si="1614"/>
        <v>21.652799807514995</v>
      </c>
      <c r="AL822" s="21">
        <f t="shared" ca="1" si="1614"/>
        <v>25.225757191819934</v>
      </c>
      <c r="AM822" s="21">
        <f t="shared" ca="1" si="1614"/>
        <v>16.45336060912414</v>
      </c>
      <c r="AN822" s="21">
        <f t="shared" ca="1" si="1614"/>
        <v>27.507327896832347</v>
      </c>
      <c r="AO822" s="4272" t="s">
        <v>1878</v>
      </c>
      <c r="AQ822" s="21">
        <f t="shared" ref="AQ822:AW822" ca="1" si="1618">G822*$AV$181</f>
        <v>54.443886479062861</v>
      </c>
      <c r="AR822" s="21">
        <f t="shared" ca="1" si="1618"/>
        <v>47.117509764205025</v>
      </c>
      <c r="AS822" s="21">
        <f t="shared" ca="1" si="1618"/>
        <v>18.082194971183792</v>
      </c>
      <c r="AT822" s="21">
        <f t="shared" ca="1" si="1618"/>
        <v>21.436271809439845</v>
      </c>
      <c r="AU822" s="21">
        <f t="shared" ca="1" si="1618"/>
        <v>24.973499619901734</v>
      </c>
      <c r="AV822" s="21">
        <f t="shared" ca="1" si="1618"/>
        <v>16.2888270030329</v>
      </c>
      <c r="AW822" s="21">
        <f t="shared" ca="1" si="1618"/>
        <v>27.232254617864022</v>
      </c>
      <c r="AX822" s="4272" t="s">
        <v>1878</v>
      </c>
      <c r="AZ822" s="21">
        <f t="shared" ca="1" si="1616"/>
        <v>54.993824726326125</v>
      </c>
      <c r="BA822" s="21">
        <f t="shared" ca="1" si="1616"/>
        <v>47.593444206267705</v>
      </c>
      <c r="BB822" s="21">
        <f t="shared" ca="1" si="1616"/>
        <v>18.264843405236153</v>
      </c>
      <c r="BC822" s="21">
        <f t="shared" ca="1" si="1616"/>
        <v>21.652799807514995</v>
      </c>
      <c r="BD822" s="21">
        <f t="shared" ca="1" si="1616"/>
        <v>25.225757191819934</v>
      </c>
      <c r="BE822" s="21">
        <f t="shared" ca="1" si="1616"/>
        <v>16.45336060912414</v>
      </c>
      <c r="BF822" s="21">
        <f t="shared" ca="1" si="1616"/>
        <v>27.507327896832347</v>
      </c>
      <c r="BG822" s="4272" t="s">
        <v>1878</v>
      </c>
      <c r="BI822" s="21">
        <f t="shared" ca="1" si="1617"/>
        <v>54.993824726326125</v>
      </c>
      <c r="BJ822" s="21">
        <f t="shared" ca="1" si="1617"/>
        <v>47.593444206267705</v>
      </c>
      <c r="BK822" s="21">
        <f t="shared" ca="1" si="1617"/>
        <v>18.264843405236153</v>
      </c>
      <c r="BL822" s="21">
        <f t="shared" ca="1" si="1617"/>
        <v>21.652799807514995</v>
      </c>
      <c r="BM822" s="21">
        <f t="shared" ca="1" si="1617"/>
        <v>25.225757191819934</v>
      </c>
      <c r="BN822" s="21">
        <f t="shared" ca="1" si="1617"/>
        <v>16.45336060912414</v>
      </c>
      <c r="BO822" s="21">
        <f t="shared" ca="1" si="1617"/>
        <v>27.507327896832347</v>
      </c>
      <c r="BP822" s="4272" t="s">
        <v>1878</v>
      </c>
    </row>
    <row r="823" spans="2:68" ht="13.2" customHeight="1">
      <c r="B823" s="280"/>
      <c r="O823" s="39">
        <f>ROW()</f>
        <v>823</v>
      </c>
      <c r="W823" s="4273"/>
      <c r="AF823" s="4273"/>
      <c r="AO823" s="4273"/>
      <c r="AX823" s="4273"/>
      <c r="BG823" s="4273"/>
      <c r="BP823" s="4273"/>
    </row>
    <row r="824" spans="2:68" ht="13.2" customHeight="1">
      <c r="B824" s="308" t="s">
        <v>2606</v>
      </c>
      <c r="F824" s="606"/>
      <c r="O824" s="39">
        <f>ROW()</f>
        <v>824</v>
      </c>
      <c r="W824" s="4340"/>
      <c r="AF824" s="4340"/>
      <c r="AO824" s="4340"/>
      <c r="AX824" s="4340"/>
      <c r="BG824" s="4340"/>
      <c r="BP824" s="4340"/>
    </row>
    <row r="825" spans="2:68" ht="13.2" customHeight="1">
      <c r="B825" s="280" t="s">
        <v>2158</v>
      </c>
      <c r="C825" s="297"/>
      <c r="D825" s="297"/>
      <c r="E825" s="297"/>
      <c r="F825" s="297"/>
      <c r="G825" s="4286" t="s">
        <v>2351</v>
      </c>
      <c r="H825" s="3775"/>
      <c r="I825" s="3775"/>
      <c r="J825" s="3775"/>
      <c r="K825" s="3775"/>
      <c r="L825" s="3776"/>
      <c r="O825" s="39">
        <f>ROW()</f>
        <v>825</v>
      </c>
      <c r="P825" s="21">
        <f t="shared" ref="P825:V825" ca="1" si="1619">($I$85)*60/P821</f>
        <v>3.5359927634066417</v>
      </c>
      <c r="Q825" s="21">
        <f t="shared" ca="1" si="1619"/>
        <v>3.5800489003735674</v>
      </c>
      <c r="R825" s="21">
        <f t="shared" ca="1" si="1619"/>
        <v>6.8403037968596125</v>
      </c>
      <c r="S825" s="21">
        <f t="shared" ca="1" si="1619"/>
        <v>6.5433922248729557</v>
      </c>
      <c r="T825" s="21">
        <f t="shared" ca="1" si="1619"/>
        <v>5.5998526433382523</v>
      </c>
      <c r="U825" s="21">
        <f t="shared" ca="1" si="1619"/>
        <v>7.5826343918831318</v>
      </c>
      <c r="V825" s="21">
        <f t="shared" ca="1" si="1619"/>
        <v>5.5262653203481182</v>
      </c>
      <c r="W825" s="613">
        <f ca="1">SUMPRODUCT(P$476:V$476,P825:V825)/W$476</f>
        <v>6.2892448946592614</v>
      </c>
      <c r="Y825" s="21">
        <f t="shared" ref="Y825:AE825" ca="1" si="1620">($J$85)*60/Y821</f>
        <v>3.5359927634066417</v>
      </c>
      <c r="Z825" s="21">
        <f t="shared" ca="1" si="1620"/>
        <v>3.5800489003735674</v>
      </c>
      <c r="AA825" s="21">
        <f t="shared" ca="1" si="1620"/>
        <v>6.8403037968596125</v>
      </c>
      <c r="AB825" s="21">
        <f t="shared" ca="1" si="1620"/>
        <v>6.5433922248729557</v>
      </c>
      <c r="AC825" s="21">
        <f t="shared" ca="1" si="1620"/>
        <v>5.5998526433382523</v>
      </c>
      <c r="AD825" s="21">
        <f t="shared" ca="1" si="1620"/>
        <v>7.5826343918831318</v>
      </c>
      <c r="AE825" s="21">
        <f t="shared" ca="1" si="1620"/>
        <v>5.5262653203481182</v>
      </c>
      <c r="AF825" s="613">
        <f ca="1">SUMPRODUCT(Y$476:AE$476,Y825:AE825)/AF$476</f>
        <v>6.2967847643518731</v>
      </c>
      <c r="AH825" s="21">
        <f t="shared" ref="AH825:AN825" ca="1" si="1621">($K$85)*60/AH821</f>
        <v>4.5260707371605013</v>
      </c>
      <c r="AI825" s="21">
        <f t="shared" ca="1" si="1621"/>
        <v>4.5824625924781657</v>
      </c>
      <c r="AJ825" s="21">
        <f t="shared" ca="1" si="1621"/>
        <v>8.7555888599803051</v>
      </c>
      <c r="AK825" s="21">
        <f t="shared" ca="1" si="1621"/>
        <v>8.3755420478373832</v>
      </c>
      <c r="AL825" s="21">
        <f t="shared" ca="1" si="1621"/>
        <v>7.1678113834729631</v>
      </c>
      <c r="AM825" s="21">
        <f t="shared" ca="1" si="1621"/>
        <v>9.7057720216104091</v>
      </c>
      <c r="AN825" s="21">
        <f t="shared" ca="1" si="1621"/>
        <v>7.0736196100455908</v>
      </c>
      <c r="AO825" s="613">
        <f ca="1">SUMPRODUCT(AH$476:AN$476,AH825:AN825)/AO$476</f>
        <v>7.7927769395848365</v>
      </c>
      <c r="AQ825" s="21">
        <f t="shared" ref="AQ825:AW825" ca="1" si="1622">($L$85)*60/AQ821</f>
        <v>5.955356233105924</v>
      </c>
      <c r="AR825" s="21">
        <f t="shared" ca="1" si="1622"/>
        <v>6.0295560427344288</v>
      </c>
      <c r="AS825" s="21">
        <f t="shared" ca="1" si="1622"/>
        <v>11.520511657868822</v>
      </c>
      <c r="AT825" s="21">
        <f t="shared" ca="1" si="1622"/>
        <v>11.020450062943926</v>
      </c>
      <c r="AU825" s="21">
        <f t="shared" ca="1" si="1622"/>
        <v>9.4313307677275837</v>
      </c>
      <c r="AV825" s="21">
        <f t="shared" ca="1" si="1622"/>
        <v>12.770752660013697</v>
      </c>
      <c r="AW825" s="21">
        <f t="shared" ca="1" si="1622"/>
        <v>9.3073942237441987</v>
      </c>
      <c r="AX825" s="613">
        <f ca="1">SUMPRODUCT(AQ$476:AW$476,AQ825:AW825)/AX$476</f>
        <v>10.147220301023868</v>
      </c>
      <c r="AZ825" s="21">
        <f t="shared" ref="AZ825:BF825" ca="1" si="1623">($M$85)*60/AZ821</f>
        <v>8.4863826321759408</v>
      </c>
      <c r="BA825" s="21">
        <f t="shared" ca="1" si="1623"/>
        <v>8.5921173608965606</v>
      </c>
      <c r="BB825" s="21">
        <f t="shared" ca="1" si="1623"/>
        <v>16.41672911246307</v>
      </c>
      <c r="BC825" s="21">
        <f t="shared" ca="1" si="1623"/>
        <v>15.704141339695093</v>
      </c>
      <c r="BD825" s="21">
        <f t="shared" ca="1" si="1623"/>
        <v>13.439646344011805</v>
      </c>
      <c r="BE825" s="21">
        <f t="shared" ca="1" si="1623"/>
        <v>18.198322540519516</v>
      </c>
      <c r="BF825" s="21">
        <f t="shared" ca="1" si="1623"/>
        <v>13.263036768835484</v>
      </c>
      <c r="BG825" s="613">
        <f ca="1">SUMPRODUCT(AZ$476:BF$476,AZ825:BF825)/BG$476</f>
        <v>14.973907913764609</v>
      </c>
      <c r="BI825" s="21">
        <f t="shared" ref="BI825:BO825" ca="1" si="1624">($N$85)*60/BI821</f>
        <v>5.6575884214506269</v>
      </c>
      <c r="BJ825" s="21">
        <f t="shared" ca="1" si="1624"/>
        <v>5.728078240597708</v>
      </c>
      <c r="BK825" s="21">
        <f t="shared" ca="1" si="1624"/>
        <v>10.94448607497538</v>
      </c>
      <c r="BL825" s="21">
        <f t="shared" ca="1" si="1624"/>
        <v>10.469427559796728</v>
      </c>
      <c r="BM825" s="21">
        <f t="shared" ca="1" si="1624"/>
        <v>8.9597642293412036</v>
      </c>
      <c r="BN825" s="21">
        <f t="shared" ca="1" si="1624"/>
        <v>12.132215027013011</v>
      </c>
      <c r="BO825" s="21">
        <f t="shared" ca="1" si="1624"/>
        <v>8.8420245125569892</v>
      </c>
      <c r="BP825" s="613">
        <f ca="1">SUMPRODUCT(BI$476:BO$476,BI825:BO825)/BP$476</f>
        <v>10.010868392780598</v>
      </c>
    </row>
    <row r="826" spans="2:68" ht="13.2" customHeight="1">
      <c r="B826" s="280" t="s">
        <v>2159</v>
      </c>
      <c r="C826" s="297"/>
      <c r="D826" s="297"/>
      <c r="E826" s="297"/>
      <c r="F826" s="297"/>
      <c r="G826" s="3738"/>
      <c r="H826" s="3739"/>
      <c r="I826" s="3739"/>
      <c r="J826" s="3739"/>
      <c r="K826" s="3739"/>
      <c r="L826" s="3922"/>
      <c r="O826" s="39">
        <f>ROW()</f>
        <v>826</v>
      </c>
      <c r="P826" s="21">
        <f t="shared" ref="P826:V826" ca="1" si="1625">60*$I$85/(1/($P$135/$P821+$Q$135/$Q821+$R$135/$R821+$S$135/$S821+$T$135/$T821+$U$135/$U821+$V$135/$V821))</f>
        <v>6.2175255997344623</v>
      </c>
      <c r="Q826" s="21">
        <f t="shared" ca="1" si="1625"/>
        <v>6.2175255997344623</v>
      </c>
      <c r="R826" s="21">
        <f t="shared" ca="1" si="1625"/>
        <v>6.2175255997344623</v>
      </c>
      <c r="S826" s="21">
        <f t="shared" ca="1" si="1625"/>
        <v>6.2175255997344623</v>
      </c>
      <c r="T826" s="21">
        <f t="shared" ca="1" si="1625"/>
        <v>6.2175255997344623</v>
      </c>
      <c r="U826" s="21">
        <f t="shared" ca="1" si="1625"/>
        <v>6.2175255997344623</v>
      </c>
      <c r="V826" s="21">
        <f t="shared" ca="1" si="1625"/>
        <v>6.2175255997344623</v>
      </c>
      <c r="W826" s="613">
        <f ca="1">SUMPRODUCT(P$383:V$383,P826:V826)/W$383</f>
        <v>6.2175255997344605</v>
      </c>
      <c r="Y826" s="21">
        <f t="shared" ref="Y826:AE826" ca="1" si="1626">60*$J$85/(1/($Y$135/$Y821+$Z$135/$Z821+$AA$135/$AA821+$AB$135/$AB821+$AC$135/$AC821+$AD$135/$AD821+$AE$135/$AE821))</f>
        <v>6.2175255997344632</v>
      </c>
      <c r="Z826" s="21">
        <f t="shared" ca="1" si="1626"/>
        <v>6.2175255997344632</v>
      </c>
      <c r="AA826" s="21">
        <f t="shared" ca="1" si="1626"/>
        <v>6.2175255997344632</v>
      </c>
      <c r="AB826" s="21">
        <f t="shared" ca="1" si="1626"/>
        <v>6.2175255997344632</v>
      </c>
      <c r="AC826" s="21">
        <f t="shared" ca="1" si="1626"/>
        <v>6.2175255997344632</v>
      </c>
      <c r="AD826" s="21">
        <f t="shared" ca="1" si="1626"/>
        <v>6.2175255997344632</v>
      </c>
      <c r="AE826" s="21">
        <f t="shared" ca="1" si="1626"/>
        <v>6.2175255997344632</v>
      </c>
      <c r="AF826" s="613">
        <f ca="1">SUMPRODUCT(Y$383:AE$383,Y826:AE826)/AF$383</f>
        <v>6.2175255997344623</v>
      </c>
      <c r="AH826" s="21">
        <f t="shared" ref="AH826:AN826" ca="1" si="1627">AH825</f>
        <v>4.5260707371605013</v>
      </c>
      <c r="AI826" s="21">
        <f t="shared" ca="1" si="1627"/>
        <v>4.5824625924781657</v>
      </c>
      <c r="AJ826" s="21">
        <f t="shared" ca="1" si="1627"/>
        <v>8.7555888599803051</v>
      </c>
      <c r="AK826" s="21">
        <f t="shared" ca="1" si="1627"/>
        <v>8.3755420478373832</v>
      </c>
      <c r="AL826" s="21">
        <f t="shared" ca="1" si="1627"/>
        <v>7.1678113834729631</v>
      </c>
      <c r="AM826" s="21">
        <f t="shared" ca="1" si="1627"/>
        <v>9.7057720216104091</v>
      </c>
      <c r="AN826" s="21">
        <f t="shared" ca="1" si="1627"/>
        <v>7.0736196100455908</v>
      </c>
      <c r="AO826" s="613">
        <f ca="1">SUMPRODUCT(AH$383:AN$383,AH826:AN826)/AO$383</f>
        <v>7.7505625810046288</v>
      </c>
      <c r="AQ826" s="21"/>
      <c r="AR826" s="21"/>
      <c r="AS826" s="21"/>
      <c r="AT826" s="21"/>
      <c r="AU826" s="21"/>
      <c r="AV826" s="21"/>
      <c r="AW826" s="21"/>
      <c r="AX826" s="613"/>
      <c r="AZ826" s="21">
        <f t="shared" ref="AZ826:BF826" ca="1" si="1628">60*$M$85/(1/($AZ$135/$AZ821+$BA$135/$BA821+$BB$135/$BB821+$BC$135/$BC821+$BD$135/$BD821+$BE$135/$BE821+$BF$135/$BF821))</f>
        <v>14.922061439362711</v>
      </c>
      <c r="BA826" s="21">
        <f t="shared" ca="1" si="1628"/>
        <v>14.922061439362711</v>
      </c>
      <c r="BB826" s="21">
        <f t="shared" ca="1" si="1628"/>
        <v>14.922061439362711</v>
      </c>
      <c r="BC826" s="21">
        <f t="shared" ca="1" si="1628"/>
        <v>14.922061439362711</v>
      </c>
      <c r="BD826" s="21">
        <f t="shared" ca="1" si="1628"/>
        <v>14.922061439362711</v>
      </c>
      <c r="BE826" s="21">
        <f t="shared" ca="1" si="1628"/>
        <v>14.922061439362711</v>
      </c>
      <c r="BF826" s="21">
        <f t="shared" ca="1" si="1628"/>
        <v>14.922061439362711</v>
      </c>
      <c r="BG826" s="613">
        <f ca="1">SUMPRODUCT(AZ$383:BF$383,AZ826:BF826)/BG$383</f>
        <v>14.922061439362711</v>
      </c>
      <c r="BI826" s="21">
        <f t="shared" ref="BI826:BO826" ca="1" si="1629">60*$N$85/(1/($BI$135/$BI821+$BJ$135/$BJ821+$BK$135/$BK821+$BL$135/$BL821+$BM$135/$BM821+$BN$135/$BN821+$BO$135/$BO821))</f>
        <v>9.9480409595751382</v>
      </c>
      <c r="BJ826" s="21">
        <f t="shared" ca="1" si="1629"/>
        <v>9.9480409595751382</v>
      </c>
      <c r="BK826" s="21">
        <f t="shared" ca="1" si="1629"/>
        <v>9.9480409595751382</v>
      </c>
      <c r="BL826" s="21">
        <f t="shared" ca="1" si="1629"/>
        <v>9.9480409595751382</v>
      </c>
      <c r="BM826" s="21">
        <f t="shared" ca="1" si="1629"/>
        <v>9.9480409595751382</v>
      </c>
      <c r="BN826" s="21">
        <f t="shared" ca="1" si="1629"/>
        <v>9.9480409595751382</v>
      </c>
      <c r="BO826" s="21">
        <f t="shared" ca="1" si="1629"/>
        <v>9.9480409595751382</v>
      </c>
      <c r="BP826" s="613">
        <f ca="1">SUMPRODUCT(BI$383:BO$383,BI826:BO826)/BP$383</f>
        <v>9.9480409595751382</v>
      </c>
    </row>
    <row r="827" spans="2:68" ht="13.2" customHeight="1">
      <c r="B827" s="280" t="s">
        <v>2160</v>
      </c>
      <c r="C827" s="297"/>
      <c r="D827" s="297"/>
      <c r="E827" s="297"/>
      <c r="F827" s="297"/>
      <c r="G827" s="3738"/>
      <c r="H827" s="3739"/>
      <c r="I827" s="3739"/>
      <c r="J827" s="3739"/>
      <c r="K827" s="3739"/>
      <c r="L827" s="3922"/>
      <c r="O827" s="39">
        <f>ROW()</f>
        <v>827</v>
      </c>
      <c r="P827" s="21">
        <f t="shared" ref="P827:V827" ca="1" si="1630">($I$79)*60/P822</f>
        <v>18.438497938077738</v>
      </c>
      <c r="Q827" s="21">
        <f t="shared" ca="1" si="1630"/>
        <v>21.305529379818154</v>
      </c>
      <c r="R827" s="21">
        <f t="shared" ca="1" si="1630"/>
        <v>55.516683134150433</v>
      </c>
      <c r="S827" s="21">
        <f t="shared" ca="1" si="1630"/>
        <v>46.830134340014745</v>
      </c>
      <c r="T827" s="21">
        <f t="shared" ca="1" si="1630"/>
        <v>40.197149132640824</v>
      </c>
      <c r="U827" s="21">
        <f t="shared" ca="1" si="1630"/>
        <v>61.628961275003078</v>
      </c>
      <c r="V827" s="21">
        <f t="shared" ca="1" si="1630"/>
        <v>36.863032557231485</v>
      </c>
      <c r="W827" s="613">
        <f ca="1">SUMPRODUCT(P$476:V$476,P827:V827)/W$476</f>
        <v>47.732154053406283</v>
      </c>
      <c r="Y827" s="21">
        <f t="shared" ref="Y827:AE827" ca="1" si="1631">($J$79)*60/Y822</f>
        <v>18.438497938077738</v>
      </c>
      <c r="Z827" s="21">
        <f t="shared" ca="1" si="1631"/>
        <v>21.305529379818154</v>
      </c>
      <c r="AA827" s="21">
        <f t="shared" ca="1" si="1631"/>
        <v>55.516683134150433</v>
      </c>
      <c r="AB827" s="21">
        <f t="shared" ca="1" si="1631"/>
        <v>46.830134340014745</v>
      </c>
      <c r="AC827" s="21">
        <f t="shared" ca="1" si="1631"/>
        <v>40.197149132640824</v>
      </c>
      <c r="AD827" s="21">
        <f t="shared" ca="1" si="1631"/>
        <v>61.628961275003078</v>
      </c>
      <c r="AE827" s="21">
        <f t="shared" ca="1" si="1631"/>
        <v>36.863032557231485</v>
      </c>
      <c r="AF827" s="613">
        <f ca="1">SUMPRODUCT(Y$476:AE$476,Y827:AE827)/AF$476</f>
        <v>47.562448031991458</v>
      </c>
      <c r="AH827" s="21">
        <f t="shared" ref="AH827:AN827" ca="1" si="1632">($K$79)*60/AH822</f>
        <v>27.657746907116604</v>
      </c>
      <c r="AI827" s="21">
        <f t="shared" ca="1" si="1632"/>
        <v>31.958294069727231</v>
      </c>
      <c r="AJ827" s="21">
        <f t="shared" ca="1" si="1632"/>
        <v>83.275024701225647</v>
      </c>
      <c r="AK827" s="21">
        <f t="shared" ca="1" si="1632"/>
        <v>70.245201510022127</v>
      </c>
      <c r="AL827" s="21">
        <f t="shared" ca="1" si="1632"/>
        <v>60.29572369896124</v>
      </c>
      <c r="AM827" s="21">
        <f t="shared" ca="1" si="1632"/>
        <v>92.443441912504625</v>
      </c>
      <c r="AN827" s="21">
        <f t="shared" ca="1" si="1632"/>
        <v>55.29454883584723</v>
      </c>
      <c r="AO827" s="613">
        <f ca="1">SUMPRODUCT(AH$476:AN$476,AH827:AN827)/AO$476</f>
        <v>68.02289600588756</v>
      </c>
      <c r="AQ827" s="21">
        <f t="shared" ref="AQ827:AW827" ca="1" si="1633">($L$79)*60/AQ822</f>
        <v>6.612312663212295</v>
      </c>
      <c r="AR827" s="21">
        <f t="shared" ca="1" si="1633"/>
        <v>7.6404717015305952</v>
      </c>
      <c r="AS827" s="21">
        <f t="shared" ca="1" si="1633"/>
        <v>19.909087396397638</v>
      </c>
      <c r="AT827" s="21">
        <f t="shared" ca="1" si="1633"/>
        <v>16.793965070057919</v>
      </c>
      <c r="AU827" s="21">
        <f t="shared" ca="1" si="1633"/>
        <v>14.415280416410319</v>
      </c>
      <c r="AV827" s="21">
        <f t="shared" ca="1" si="1633"/>
        <v>22.101038947308471</v>
      </c>
      <c r="AW827" s="21">
        <f t="shared" ca="1" si="1633"/>
        <v>13.21961787783243</v>
      </c>
      <c r="AX827" s="613">
        <f ca="1">SUMPRODUCT(AQ$476:AW$476,AQ827:AW827)/AX$476</f>
        <v>16.016188451772159</v>
      </c>
      <c r="AZ827" s="21">
        <f t="shared" ref="AZ827:BF827" ca="1" si="1634">($M$79)*60/AZ822</f>
        <v>13.659934336324605</v>
      </c>
      <c r="BA827" s="21">
        <f t="shared" ca="1" si="1634"/>
        <v>15.783939304943816</v>
      </c>
      <c r="BB827" s="21">
        <f t="shared" ca="1" si="1634"/>
        <v>41.128851641268511</v>
      </c>
      <c r="BC827" s="21">
        <f t="shared" ca="1" si="1634"/>
        <v>34.693528843518777</v>
      </c>
      <c r="BD827" s="21">
        <f t="shared" ca="1" si="1634"/>
        <v>29.779563362663229</v>
      </c>
      <c r="BE827" s="21">
        <f t="shared" ca="1" si="1634"/>
        <v>45.657057698497049</v>
      </c>
      <c r="BF827" s="21">
        <f t="shared" ca="1" si="1634"/>
        <v>27.309524119624371</v>
      </c>
      <c r="BG827" s="613">
        <f ca="1">SUMPRODUCT(AZ$476:BF$476,AZ827:BF827)/BG$476</f>
        <v>34.866602074038724</v>
      </c>
      <c r="BI827" s="21">
        <f t="shared" ref="BI827:BO827" ca="1" si="1635">($N$79)*60/BI822</f>
        <v>18.947848709847843</v>
      </c>
      <c r="BJ827" s="21">
        <f t="shared" ca="1" si="1635"/>
        <v>21.894079915172252</v>
      </c>
      <c r="BK827" s="21">
        <f t="shared" ca="1" si="1635"/>
        <v>57.050293165480568</v>
      </c>
      <c r="BL827" s="21">
        <f t="shared" ca="1" si="1635"/>
        <v>48.12378445990467</v>
      </c>
      <c r="BM827" s="21">
        <f t="shared" ca="1" si="1635"/>
        <v>41.30756761696793</v>
      </c>
      <c r="BN827" s="21">
        <f t="shared" ca="1" si="1635"/>
        <v>63.331418768787707</v>
      </c>
      <c r="BO827" s="21">
        <f t="shared" ca="1" si="1635"/>
        <v>37.881348373729601</v>
      </c>
      <c r="BP827" s="613">
        <f ca="1">SUMPRODUCT(BI$476:BO$476,BI827:BO827)/BP$476</f>
        <v>48.561136427401415</v>
      </c>
    </row>
    <row r="828" spans="2:68" ht="13.2" customHeight="1">
      <c r="B828" s="280" t="s">
        <v>1138</v>
      </c>
      <c r="C828" s="297"/>
      <c r="D828" s="297"/>
      <c r="E828" s="297"/>
      <c r="F828" s="297"/>
      <c r="G828" s="3738"/>
      <c r="H828" s="3739"/>
      <c r="I828" s="3739"/>
      <c r="J828" s="3739"/>
      <c r="K828" s="3739"/>
      <c r="L828" s="3922"/>
      <c r="O828" s="39">
        <f>ROW()</f>
        <v>828</v>
      </c>
      <c r="P828" s="21">
        <f t="shared" ref="P828:V828" ca="1" si="1636">60*$I$79/(1/($P$135/$P822+$Q$135/$Q822+$R$135/$R822+$S$135/$S822+$T$135/$T822+$U$135/$U822+$V$135/$V822))</f>
        <v>46.739736324531854</v>
      </c>
      <c r="Q828" s="21">
        <f t="shared" ca="1" si="1636"/>
        <v>46.739736324531854</v>
      </c>
      <c r="R828" s="21">
        <f t="shared" ca="1" si="1636"/>
        <v>46.739736324531854</v>
      </c>
      <c r="S828" s="21">
        <f t="shared" ca="1" si="1636"/>
        <v>46.739736324531854</v>
      </c>
      <c r="T828" s="21">
        <f t="shared" ca="1" si="1636"/>
        <v>46.739736324531854</v>
      </c>
      <c r="U828" s="21">
        <f t="shared" ca="1" si="1636"/>
        <v>46.739736324531854</v>
      </c>
      <c r="V828" s="21">
        <f t="shared" ca="1" si="1636"/>
        <v>46.739736324531854</v>
      </c>
      <c r="W828" s="613">
        <f ca="1">SUMPRODUCT(P$476:V$476,P828:V828)/W$476</f>
        <v>46.739736324531847</v>
      </c>
      <c r="Y828" s="21">
        <f t="shared" ref="Y828:AE828" ca="1" si="1637">60*$J$79/(1/($Y$135/$Y822+$Z$135/$Z822+$AA$135/$AA822+$AB$135/$AB822+$AC$135/$AC822+$AD$135/$AD822+$AE$135/$AE822))</f>
        <v>46.739736324531854</v>
      </c>
      <c r="Z828" s="21">
        <f t="shared" ca="1" si="1637"/>
        <v>46.739736324531854</v>
      </c>
      <c r="AA828" s="21">
        <f t="shared" ca="1" si="1637"/>
        <v>46.739736324531854</v>
      </c>
      <c r="AB828" s="21">
        <f t="shared" ca="1" si="1637"/>
        <v>46.739736324531854</v>
      </c>
      <c r="AC828" s="21">
        <f t="shared" ca="1" si="1637"/>
        <v>46.739736324531854</v>
      </c>
      <c r="AD828" s="21">
        <f t="shared" ca="1" si="1637"/>
        <v>46.739736324531854</v>
      </c>
      <c r="AE828" s="21">
        <f t="shared" ca="1" si="1637"/>
        <v>46.739736324531854</v>
      </c>
      <c r="AF828" s="613">
        <f ca="1">SUMPRODUCT(Y$476:AE$476,Y828:AE828)/AF$476</f>
        <v>46.739736324531862</v>
      </c>
      <c r="AH828" s="21">
        <f t="shared" ref="AH828:AN828" ca="1" si="1638">AH827</f>
        <v>27.657746907116604</v>
      </c>
      <c r="AI828" s="21">
        <f t="shared" ca="1" si="1638"/>
        <v>31.958294069727231</v>
      </c>
      <c r="AJ828" s="21">
        <f t="shared" ca="1" si="1638"/>
        <v>83.275024701225647</v>
      </c>
      <c r="AK828" s="21">
        <f t="shared" ca="1" si="1638"/>
        <v>70.245201510022127</v>
      </c>
      <c r="AL828" s="21">
        <f t="shared" ca="1" si="1638"/>
        <v>60.29572369896124</v>
      </c>
      <c r="AM828" s="21">
        <f t="shared" ca="1" si="1638"/>
        <v>92.443441912504625</v>
      </c>
      <c r="AN828" s="21">
        <f t="shared" ca="1" si="1638"/>
        <v>55.29454883584723</v>
      </c>
      <c r="AO828" s="613">
        <f ca="1">SUMPRODUCT(AH$476:AN$476,AH828:AN828)/AO$476</f>
        <v>68.02289600588756</v>
      </c>
      <c r="AX828" s="613"/>
      <c r="AZ828" s="21">
        <f t="shared" ref="AZ828:BF828" ca="1" si="1639">60*$M$79/(1/($AZ$135/$AZ822+$BA$135/$BA822+$BB$135/$BB822+$BC$135/$BC822+$BD$135/$BD822+$BE$135/$BE822+$BF$135/$BF822))</f>
        <v>34.626558585975168</v>
      </c>
      <c r="BA828" s="21">
        <f t="shared" ca="1" si="1639"/>
        <v>34.626558585975168</v>
      </c>
      <c r="BB828" s="21">
        <f t="shared" ca="1" si="1639"/>
        <v>34.626558585975168</v>
      </c>
      <c r="BC828" s="21">
        <f t="shared" ca="1" si="1639"/>
        <v>34.626558585975168</v>
      </c>
      <c r="BD828" s="21">
        <f t="shared" ca="1" si="1639"/>
        <v>34.626558585975168</v>
      </c>
      <c r="BE828" s="21">
        <f t="shared" ca="1" si="1639"/>
        <v>34.626558585975168</v>
      </c>
      <c r="BF828" s="21">
        <f t="shared" ca="1" si="1639"/>
        <v>34.626558585975168</v>
      </c>
      <c r="BG828" s="613">
        <f ca="1">SUMPRODUCT(AZ$476:BF$476,AZ828:BF828)/BG$476</f>
        <v>34.626558585975175</v>
      </c>
      <c r="BI828" s="21">
        <f t="shared" ref="BI828:BO828" ca="1" si="1640">60*$N$79/(1/($BI$135/$BI822+$BJ$135/$BJ822+$BK$135/$BK822+$BL$135/$BL822+$BM$135/$BM822+$BN$135/$BN822+$BO$135/$BO822))</f>
        <v>48.030889261673614</v>
      </c>
      <c r="BJ828" s="21">
        <f t="shared" ca="1" si="1640"/>
        <v>48.030889261673614</v>
      </c>
      <c r="BK828" s="21">
        <f t="shared" ca="1" si="1640"/>
        <v>48.030889261673614</v>
      </c>
      <c r="BL828" s="21">
        <f t="shared" ca="1" si="1640"/>
        <v>48.030889261673614</v>
      </c>
      <c r="BM828" s="21">
        <f t="shared" ca="1" si="1640"/>
        <v>48.030889261673614</v>
      </c>
      <c r="BN828" s="21">
        <f t="shared" ca="1" si="1640"/>
        <v>48.030889261673614</v>
      </c>
      <c r="BO828" s="21">
        <f t="shared" ca="1" si="1640"/>
        <v>48.030889261673614</v>
      </c>
      <c r="BP828" s="613">
        <f ca="1">SUMPRODUCT(BI$476:BO$476,BI828:BO828)/BP$476</f>
        <v>48.030889261673607</v>
      </c>
    </row>
    <row r="829" spans="2:68" ht="13.2" customHeight="1">
      <c r="B829" s="308" t="s">
        <v>2243</v>
      </c>
      <c r="C829" s="297"/>
      <c r="D829" s="297"/>
      <c r="E829" s="297"/>
      <c r="F829" s="297"/>
      <c r="G829" s="3741"/>
      <c r="H829" s="3742"/>
      <c r="I829" s="3742"/>
      <c r="J829" s="3742"/>
      <c r="K829" s="3742"/>
      <c r="L829" s="3777"/>
      <c r="O829" s="39">
        <f>ROW()</f>
        <v>829</v>
      </c>
      <c r="P829" s="21">
        <f t="shared" ref="P829:W829" ca="1" si="1641">SUM(P825:P828)</f>
        <v>74.931752625750704</v>
      </c>
      <c r="Q829" s="21">
        <f t="shared" ca="1" si="1641"/>
        <v>77.842840204458042</v>
      </c>
      <c r="R829" s="21">
        <f t="shared" ca="1" si="1641"/>
        <v>115.31424885527636</v>
      </c>
      <c r="S829" s="21">
        <f t="shared" ca="1" si="1641"/>
        <v>106.33078848915402</v>
      </c>
      <c r="T829" s="21">
        <f t="shared" ca="1" si="1641"/>
        <v>98.754263700245389</v>
      </c>
      <c r="U829" s="21">
        <f t="shared" ca="1" si="1641"/>
        <v>122.16885759115252</v>
      </c>
      <c r="V829" s="21">
        <f t="shared" ca="1" si="1641"/>
        <v>95.346559801845927</v>
      </c>
      <c r="W829" s="614">
        <f t="shared" ca="1" si="1641"/>
        <v>106.97866087233186</v>
      </c>
      <c r="Y829" s="21">
        <f t="shared" ref="Y829:AF829" ca="1" si="1642">SUM(Y825:Y828)</f>
        <v>74.931752625750704</v>
      </c>
      <c r="Z829" s="21">
        <f t="shared" ca="1" si="1642"/>
        <v>77.842840204458042</v>
      </c>
      <c r="AA829" s="21">
        <f t="shared" ca="1" si="1642"/>
        <v>115.31424885527636</v>
      </c>
      <c r="AB829" s="21">
        <f t="shared" ca="1" si="1642"/>
        <v>106.33078848915402</v>
      </c>
      <c r="AC829" s="21">
        <f t="shared" ca="1" si="1642"/>
        <v>98.754263700245389</v>
      </c>
      <c r="AD829" s="21">
        <f t="shared" ca="1" si="1642"/>
        <v>122.16885759115252</v>
      </c>
      <c r="AE829" s="21">
        <f t="shared" ca="1" si="1642"/>
        <v>95.346559801845927</v>
      </c>
      <c r="AF829" s="614">
        <f t="shared" ca="1" si="1642"/>
        <v>106.81649472060965</v>
      </c>
      <c r="AH829" s="21">
        <f t="shared" ref="AH829:AO829" ca="1" si="1643">SUM(AH825:AH828)</f>
        <v>64.367635288554212</v>
      </c>
      <c r="AI829" s="21">
        <f t="shared" ca="1" si="1643"/>
        <v>73.081513324410793</v>
      </c>
      <c r="AJ829" s="21">
        <f t="shared" ca="1" si="1643"/>
        <v>184.06122712241191</v>
      </c>
      <c r="AK829" s="21">
        <f t="shared" ca="1" si="1643"/>
        <v>157.24148711571902</v>
      </c>
      <c r="AL829" s="21">
        <f t="shared" ca="1" si="1643"/>
        <v>134.92707016486841</v>
      </c>
      <c r="AM829" s="21">
        <f t="shared" ca="1" si="1643"/>
        <v>204.29842786823008</v>
      </c>
      <c r="AN829" s="21">
        <f t="shared" ca="1" si="1643"/>
        <v>124.73633689178564</v>
      </c>
      <c r="AO829" s="614">
        <f t="shared" ca="1" si="1643"/>
        <v>151.5891315323646</v>
      </c>
      <c r="AQ829" s="21">
        <f t="shared" ref="AQ829:AX829" ca="1" si="1644">AQ825+AQ827</f>
        <v>12.567668896318219</v>
      </c>
      <c r="AR829" s="21">
        <f t="shared" ca="1" si="1644"/>
        <v>13.670027744265024</v>
      </c>
      <c r="AS829" s="21">
        <f t="shared" ca="1" si="1644"/>
        <v>31.429599054266461</v>
      </c>
      <c r="AT829" s="21">
        <f t="shared" ca="1" si="1644"/>
        <v>27.814415133001845</v>
      </c>
      <c r="AU829" s="21">
        <f t="shared" ca="1" si="1644"/>
        <v>23.846611184137902</v>
      </c>
      <c r="AV829" s="21">
        <f t="shared" ca="1" si="1644"/>
        <v>34.871791607322166</v>
      </c>
      <c r="AW829" s="21">
        <f t="shared" ca="1" si="1644"/>
        <v>22.527012101576631</v>
      </c>
      <c r="AX829" s="614">
        <f t="shared" ca="1" si="1644"/>
        <v>26.163408752796027</v>
      </c>
      <c r="AZ829" s="21">
        <f t="shared" ref="AZ829:BG829" ca="1" si="1645">SUM(AZ825:AZ828)</f>
        <v>71.694936993838425</v>
      </c>
      <c r="BA829" s="21">
        <f t="shared" ca="1" si="1645"/>
        <v>73.924676691178263</v>
      </c>
      <c r="BB829" s="21">
        <f t="shared" ca="1" si="1645"/>
        <v>107.09420077906947</v>
      </c>
      <c r="BC829" s="21">
        <f t="shared" ca="1" si="1645"/>
        <v>99.946290208551744</v>
      </c>
      <c r="BD829" s="21">
        <f t="shared" ca="1" si="1645"/>
        <v>92.767829732012913</v>
      </c>
      <c r="BE829" s="21">
        <f t="shared" ca="1" si="1645"/>
        <v>113.40400026435444</v>
      </c>
      <c r="BF829" s="21">
        <f t="shared" ca="1" si="1645"/>
        <v>90.12118091379773</v>
      </c>
      <c r="BG829" s="614">
        <f t="shared" ca="1" si="1645"/>
        <v>99.389130013141227</v>
      </c>
      <c r="BI829" s="21">
        <f t="shared" ref="BI829:BP829" ca="1" si="1646">SUM(BI825:BI828)</f>
        <v>82.584367352547218</v>
      </c>
      <c r="BJ829" s="21">
        <f t="shared" ca="1" si="1646"/>
        <v>85.601088377018712</v>
      </c>
      <c r="BK829" s="21">
        <f t="shared" ca="1" si="1646"/>
        <v>125.97370946170471</v>
      </c>
      <c r="BL829" s="21">
        <f t="shared" ca="1" si="1646"/>
        <v>116.57214224095014</v>
      </c>
      <c r="BM829" s="21">
        <f t="shared" ca="1" si="1646"/>
        <v>108.24626206755789</v>
      </c>
      <c r="BN829" s="21">
        <f t="shared" ca="1" si="1646"/>
        <v>133.44256401704948</v>
      </c>
      <c r="BO829" s="21">
        <f t="shared" ca="1" si="1646"/>
        <v>104.70230310753534</v>
      </c>
      <c r="BP829" s="614">
        <f t="shared" ca="1" si="1646"/>
        <v>116.55093504143076</v>
      </c>
    </row>
    <row r="830" spans="2:68" ht="13.2" customHeight="1">
      <c r="B830" s="308"/>
      <c r="C830" s="297"/>
      <c r="D830" s="297"/>
      <c r="E830" s="297"/>
      <c r="F830" s="297"/>
      <c r="G830" s="280"/>
      <c r="O830" s="39">
        <f>ROW()</f>
        <v>830</v>
      </c>
      <c r="P830" s="21"/>
      <c r="Q830" s="21"/>
      <c r="R830" s="21"/>
      <c r="S830" s="21"/>
      <c r="T830" s="21"/>
      <c r="U830" s="21"/>
      <c r="V830" s="21"/>
      <c r="W830" s="634"/>
      <c r="Y830" s="21"/>
      <c r="Z830" s="21"/>
      <c r="AA830" s="21"/>
      <c r="AB830" s="21"/>
      <c r="AC830" s="21"/>
      <c r="AD830" s="21"/>
      <c r="AE830" s="21"/>
      <c r="AF830" s="634"/>
      <c r="AH830" s="21"/>
      <c r="AI830" s="21"/>
      <c r="AJ830" s="21"/>
      <c r="AK830" s="21"/>
      <c r="AL830" s="21"/>
      <c r="AM830" s="21"/>
      <c r="AN830" s="21"/>
      <c r="AO830" s="634"/>
      <c r="AQ830" s="21"/>
      <c r="AR830" s="21"/>
      <c r="AS830" s="21"/>
      <c r="AT830" s="21"/>
      <c r="AU830" s="21"/>
      <c r="AV830" s="21"/>
      <c r="AW830" s="21"/>
      <c r="AX830" s="634"/>
      <c r="AZ830" s="21"/>
      <c r="BA830" s="21"/>
      <c r="BB830" s="21"/>
      <c r="BC830" s="21"/>
      <c r="BD830" s="21"/>
      <c r="BE830" s="21"/>
      <c r="BF830" s="21"/>
      <c r="BG830" s="634"/>
      <c r="BI830" s="21"/>
      <c r="BJ830" s="21"/>
      <c r="BK830" s="21"/>
      <c r="BL830" s="21"/>
      <c r="BM830" s="21"/>
      <c r="BN830" s="21"/>
      <c r="BO830" s="21"/>
      <c r="BP830" s="634"/>
    </row>
    <row r="831" spans="2:68" ht="13.2" customHeight="1">
      <c r="B831" s="308" t="s">
        <v>1345</v>
      </c>
      <c r="G831" s="4285" t="s">
        <v>2351</v>
      </c>
      <c r="H831" s="3970"/>
      <c r="I831" s="3970"/>
      <c r="J831" s="3970"/>
      <c r="K831" s="3970"/>
      <c r="L831" s="3971"/>
      <c r="O831" s="39">
        <f>ROW()</f>
        <v>831</v>
      </c>
      <c r="P831" s="117">
        <f t="shared" ref="P831:W831" ca="1" si="1647">P829/P781</f>
        <v>1.0000026882169797</v>
      </c>
      <c r="Q831" s="117">
        <f t="shared" ca="1" si="1647"/>
        <v>0.9999938811781951</v>
      </c>
      <c r="R831" s="117">
        <f t="shared" ca="1" si="1647"/>
        <v>1.0000319388473446</v>
      </c>
      <c r="S831" s="117">
        <f t="shared" ca="1" si="1647"/>
        <v>1.0001282048686706</v>
      </c>
      <c r="T831" s="117">
        <f t="shared" ca="1" si="1647"/>
        <v>1.0001078299907027</v>
      </c>
      <c r="U831" s="117">
        <f t="shared" ca="1" si="1647"/>
        <v>0.99991301300102875</v>
      </c>
      <c r="V831" s="117">
        <f t="shared" ca="1" si="1647"/>
        <v>1.0001073015300961</v>
      </c>
      <c r="W831" s="117">
        <f t="shared" ca="1" si="1647"/>
        <v>1.0000134635845395</v>
      </c>
      <c r="Y831" s="117">
        <f t="shared" ref="Y831:AF831" ca="1" si="1648">Y829/Y781</f>
        <v>1.0000026882169792</v>
      </c>
      <c r="Z831" s="117">
        <f t="shared" ca="1" si="1648"/>
        <v>0.99999388117819499</v>
      </c>
      <c r="AA831" s="117">
        <f t="shared" ca="1" si="1648"/>
        <v>1.0000319388473444</v>
      </c>
      <c r="AB831" s="117">
        <f t="shared" ca="1" si="1648"/>
        <v>1.0001282048686706</v>
      </c>
      <c r="AC831" s="117">
        <f t="shared" ca="1" si="1648"/>
        <v>1.0001078299907025</v>
      </c>
      <c r="AD831" s="117">
        <f t="shared" ca="1" si="1648"/>
        <v>0.99991301300102875</v>
      </c>
      <c r="AE831" s="117">
        <f t="shared" ca="1" si="1648"/>
        <v>1.0001073015300961</v>
      </c>
      <c r="AF831" s="117">
        <f t="shared" ca="1" si="1648"/>
        <v>1.0000027320739739</v>
      </c>
      <c r="AH831" s="117">
        <f t="shared" ref="AH831:AO831" ca="1" si="1649">AH829/AH781</f>
        <v>0.99999915422811414</v>
      </c>
      <c r="AI831" s="117">
        <f t="shared" ca="1" si="1649"/>
        <v>0.99997147210818982</v>
      </c>
      <c r="AJ831" s="117">
        <f t="shared" ca="1" si="1649"/>
        <v>1.0000565110054302</v>
      </c>
      <c r="AK831" s="117">
        <f t="shared" ca="1" si="1649"/>
        <v>1.0002551771109272</v>
      </c>
      <c r="AL831" s="117">
        <f t="shared" ca="1" si="1649"/>
        <v>1.0002308471880119</v>
      </c>
      <c r="AM831" s="117">
        <f t="shared" ca="1" si="1649"/>
        <v>0.99984016303397605</v>
      </c>
      <c r="AN831" s="117">
        <f t="shared" ca="1" si="1649"/>
        <v>1.0002398753026449</v>
      </c>
      <c r="AO831" s="117">
        <f t="shared" ca="1" si="1649"/>
        <v>1.0000084385841681</v>
      </c>
      <c r="AQ831" s="117">
        <f t="shared" ref="AQ831:AX831" ca="1" si="1650">AQ829/AQ781</f>
        <v>0.99999975230060145</v>
      </c>
      <c r="AR831" s="117">
        <f t="shared" ca="1" si="1650"/>
        <v>0.99998138817198989</v>
      </c>
      <c r="AS831" s="117">
        <f t="shared" ca="1" si="1650"/>
        <v>1.0000385741463156</v>
      </c>
      <c r="AT831" s="117">
        <f t="shared" ca="1" si="1650"/>
        <v>1.0001858666782286</v>
      </c>
      <c r="AU831" s="117">
        <f t="shared" ca="1" si="1650"/>
        <v>1.0001751201390949</v>
      </c>
      <c r="AV831" s="117">
        <f t="shared" ca="1" si="1650"/>
        <v>0.99989864761910274</v>
      </c>
      <c r="AW831" s="117">
        <f t="shared" ca="1" si="1650"/>
        <v>1.0001751131416456</v>
      </c>
      <c r="AX831" s="117">
        <f t="shared" ca="1" si="1650"/>
        <v>1.0000264754068209</v>
      </c>
      <c r="AZ831" s="117">
        <f t="shared" ref="AZ831:BG831" ca="1" si="1651">AZ829/AZ781</f>
        <v>1.0000068112976801</v>
      </c>
      <c r="BA831" s="117">
        <f t="shared" ca="1" si="1651"/>
        <v>0.99999967381954791</v>
      </c>
      <c r="BB831" s="117">
        <f t="shared" ca="1" si="1651"/>
        <v>1.0000282576134785</v>
      </c>
      <c r="BC831" s="117">
        <f t="shared" ca="1" si="1651"/>
        <v>1.00010889755711</v>
      </c>
      <c r="BD831" s="117">
        <f t="shared" ca="1" si="1651"/>
        <v>1.00009452717457</v>
      </c>
      <c r="BE831" s="117">
        <f t="shared" ca="1" si="1651"/>
        <v>0.99993744930365025</v>
      </c>
      <c r="BF831" s="117">
        <f t="shared" ca="1" si="1651"/>
        <v>1.0000927379625053</v>
      </c>
      <c r="BG831" s="117">
        <f t="shared" ca="1" si="1651"/>
        <v>1.0000134261731428</v>
      </c>
      <c r="BI831" s="117">
        <f t="shared" ref="BI831:BP831" ca="1" si="1652">BI829/BI781</f>
        <v>1.000003923036626</v>
      </c>
      <c r="BJ831" s="117">
        <f t="shared" ca="1" si="1652"/>
        <v>0.99999560692600087</v>
      </c>
      <c r="BK831" s="117">
        <f t="shared" ca="1" si="1652"/>
        <v>1.0000308592224669</v>
      </c>
      <c r="BL831" s="117">
        <f t="shared" ca="1" si="1652"/>
        <v>1.0001224941348399</v>
      </c>
      <c r="BM831" s="117">
        <f t="shared" ca="1" si="1652"/>
        <v>1.0001038969861051</v>
      </c>
      <c r="BN831" s="117">
        <f t="shared" ca="1" si="1652"/>
        <v>0.99992017697992597</v>
      </c>
      <c r="BO831" s="117">
        <f t="shared" ca="1" si="1652"/>
        <v>1.0001029770373819</v>
      </c>
      <c r="BP831" s="117">
        <f t="shared" ca="1" si="1652"/>
        <v>1.000009637301561</v>
      </c>
    </row>
    <row r="832" spans="2:68" ht="13.2" customHeight="1">
      <c r="B832" s="280"/>
      <c r="G832" s="280"/>
      <c r="O832" s="39">
        <f>ROW()</f>
        <v>832</v>
      </c>
      <c r="P832" s="117"/>
      <c r="Q832" s="117"/>
      <c r="R832" s="117"/>
      <c r="S832" s="117"/>
      <c r="T832" s="117"/>
      <c r="U832" s="117"/>
      <c r="V832" s="117"/>
      <c r="W832" s="117"/>
      <c r="Y832" s="117"/>
      <c r="Z832" s="117"/>
      <c r="AA832" s="117"/>
      <c r="AB832" s="117"/>
      <c r="AC832" s="117"/>
      <c r="AD832" s="117"/>
      <c r="AE832" s="117"/>
      <c r="AF832" s="117"/>
      <c r="AH832" s="117"/>
      <c r="AI832" s="117"/>
      <c r="AJ832" s="117"/>
      <c r="AK832" s="117"/>
      <c r="AL832" s="117"/>
      <c r="AM832" s="117"/>
      <c r="AN832" s="117"/>
      <c r="AO832" s="117"/>
      <c r="AQ832" s="117"/>
      <c r="AR832" s="117"/>
      <c r="AS832" s="117"/>
      <c r="AT832" s="117"/>
      <c r="AU832" s="117"/>
      <c r="AV832" s="117"/>
      <c r="AW832" s="117"/>
      <c r="AX832" s="117"/>
      <c r="AZ832" s="117"/>
      <c r="BA832" s="117"/>
      <c r="BB832" s="117"/>
      <c r="BC832" s="117"/>
      <c r="BD832" s="117"/>
      <c r="BE832" s="117"/>
      <c r="BF832" s="117"/>
      <c r="BG832" s="117"/>
      <c r="BI832" s="117"/>
      <c r="BJ832" s="117"/>
      <c r="BK832" s="117"/>
      <c r="BL832" s="117"/>
      <c r="BM832" s="117"/>
      <c r="BN832" s="117"/>
      <c r="BO832" s="117"/>
      <c r="BP832" s="117"/>
    </row>
    <row r="833" spans="2:68" ht="13.2" customHeight="1">
      <c r="B833" s="308" t="s">
        <v>1571</v>
      </c>
      <c r="G833" s="280"/>
      <c r="O833" s="39">
        <f>ROW()</f>
        <v>833</v>
      </c>
      <c r="P833" s="117"/>
      <c r="Q833" s="117"/>
      <c r="R833" s="117"/>
      <c r="S833" s="117"/>
      <c r="T833" s="117"/>
      <c r="U833" s="117"/>
      <c r="V833" s="117"/>
      <c r="W833" s="117"/>
      <c r="Y833" s="117"/>
      <c r="Z833" s="117"/>
      <c r="AA833" s="117"/>
      <c r="AB833" s="117"/>
      <c r="AC833" s="117"/>
      <c r="AD833" s="117"/>
      <c r="AE833" s="117"/>
      <c r="AF833" s="117"/>
      <c r="AH833" s="117"/>
      <c r="AI833" s="117"/>
      <c r="AJ833" s="117"/>
      <c r="AK833" s="117"/>
      <c r="AL833" s="117"/>
      <c r="AM833" s="117"/>
      <c r="AN833" s="117"/>
      <c r="AO833" s="117"/>
      <c r="AQ833" s="117"/>
      <c r="AR833" s="117"/>
      <c r="AS833" s="117"/>
      <c r="AT833" s="117"/>
      <c r="AU833" s="117"/>
      <c r="AV833" s="117"/>
      <c r="AW833" s="117"/>
      <c r="AX833" s="117"/>
      <c r="AZ833" s="117"/>
      <c r="BA833" s="117"/>
      <c r="BB833" s="117"/>
      <c r="BC833" s="117"/>
      <c r="BD833" s="117"/>
      <c r="BE833" s="117"/>
      <c r="BF833" s="117"/>
      <c r="BG833" s="117"/>
      <c r="BI833" s="117"/>
      <c r="BJ833" s="117"/>
      <c r="BK833" s="117"/>
      <c r="BL833" s="117"/>
      <c r="BM833" s="117"/>
      <c r="BN833" s="117"/>
      <c r="BO833" s="117"/>
      <c r="BP833" s="117"/>
    </row>
    <row r="834" spans="2:68" ht="13.2" customHeight="1">
      <c r="B834" s="280" t="s">
        <v>2533</v>
      </c>
      <c r="G834" s="21">
        <f t="shared" ref="G834:M834" ca="1" si="1653">AVERAGE(G$821,G$773,G$725,G$677,G$629,G$581,G$533,G$481,G$403)</f>
        <v>21.205076518602596</v>
      </c>
      <c r="H834" s="21">
        <f t="shared" ca="1" si="1653"/>
        <v>20.960130239817449</v>
      </c>
      <c r="I834" s="21">
        <f t="shared" ca="1" si="1653"/>
        <v>10.974298063282783</v>
      </c>
      <c r="J834" s="21">
        <f t="shared" ca="1" si="1653"/>
        <v>11.469704936194471</v>
      </c>
      <c r="K834" s="21">
        <f t="shared" ca="1" si="1653"/>
        <v>13.378518415666525</v>
      </c>
      <c r="L834" s="21">
        <f t="shared" ca="1" si="1653"/>
        <v>9.866971342014315</v>
      </c>
      <c r="M834" s="21">
        <f t="shared" ca="1" si="1653"/>
        <v>13.559951671582191</v>
      </c>
      <c r="O834" s="39">
        <f>ROW()</f>
        <v>834</v>
      </c>
      <c r="P834" s="21">
        <f t="shared" ref="P834:V835" ca="1" si="1654">G834</f>
        <v>21.205076518602596</v>
      </c>
      <c r="Q834" s="21">
        <f t="shared" ca="1" si="1654"/>
        <v>20.960130239817449</v>
      </c>
      <c r="R834" s="21">
        <f t="shared" ca="1" si="1654"/>
        <v>10.974298063282783</v>
      </c>
      <c r="S834" s="21">
        <f t="shared" ca="1" si="1654"/>
        <v>11.469704936194471</v>
      </c>
      <c r="T834" s="21">
        <f t="shared" ca="1" si="1654"/>
        <v>13.378518415666525</v>
      </c>
      <c r="U834" s="21">
        <f t="shared" ca="1" si="1654"/>
        <v>9.866971342014315</v>
      </c>
      <c r="V834" s="21">
        <f t="shared" ca="1" si="1654"/>
        <v>13.559951671582191</v>
      </c>
      <c r="Y834" s="21">
        <f t="shared" ref="Y834:AE835" ca="1" si="1655">G834</f>
        <v>21.205076518602596</v>
      </c>
      <c r="Z834" s="21">
        <f t="shared" ca="1" si="1655"/>
        <v>20.960130239817449</v>
      </c>
      <c r="AA834" s="21">
        <f t="shared" ca="1" si="1655"/>
        <v>10.974298063282783</v>
      </c>
      <c r="AB834" s="21">
        <f t="shared" ca="1" si="1655"/>
        <v>11.469704936194471</v>
      </c>
      <c r="AC834" s="21">
        <f t="shared" ca="1" si="1655"/>
        <v>13.378518415666525</v>
      </c>
      <c r="AD834" s="21">
        <f t="shared" ca="1" si="1655"/>
        <v>9.866971342014315</v>
      </c>
      <c r="AE834" s="21">
        <f t="shared" ca="1" si="1655"/>
        <v>13.559951671582191</v>
      </c>
      <c r="AH834" s="21">
        <f t="shared" ref="AH834:AN835" ca="1" si="1656">P834</f>
        <v>21.205076518602596</v>
      </c>
      <c r="AI834" s="21">
        <f t="shared" ca="1" si="1656"/>
        <v>20.960130239817449</v>
      </c>
      <c r="AJ834" s="21">
        <f t="shared" ca="1" si="1656"/>
        <v>10.974298063282783</v>
      </c>
      <c r="AK834" s="21">
        <f t="shared" ca="1" si="1656"/>
        <v>11.469704936194471</v>
      </c>
      <c r="AL834" s="21">
        <f t="shared" ca="1" si="1656"/>
        <v>13.378518415666525</v>
      </c>
      <c r="AM834" s="21">
        <f t="shared" ca="1" si="1656"/>
        <v>9.866971342014315</v>
      </c>
      <c r="AN834" s="21">
        <f t="shared" ca="1" si="1656"/>
        <v>13.559951671582191</v>
      </c>
      <c r="AQ834" s="21">
        <f t="shared" ref="AQ834:AW834" ca="1" si="1657">G834*$AU$181</f>
        <v>20.144822692672467</v>
      </c>
      <c r="AR834" s="21">
        <f t="shared" ca="1" si="1657"/>
        <v>19.912123727826575</v>
      </c>
      <c r="AS834" s="21">
        <f t="shared" ca="1" si="1657"/>
        <v>10.425583160118643</v>
      </c>
      <c r="AT834" s="21">
        <f t="shared" ca="1" si="1657"/>
        <v>10.896219689384747</v>
      </c>
      <c r="AU834" s="21">
        <f t="shared" ca="1" si="1657"/>
        <v>12.709592494883198</v>
      </c>
      <c r="AV834" s="21">
        <f t="shared" ca="1" si="1657"/>
        <v>9.3736227749135992</v>
      </c>
      <c r="AW834" s="21">
        <f t="shared" ca="1" si="1657"/>
        <v>12.881954088003081</v>
      </c>
      <c r="AZ834" s="21">
        <f t="shared" ref="AZ834:BF835" ca="1" si="1658">G834</f>
        <v>21.205076518602596</v>
      </c>
      <c r="BA834" s="21">
        <f t="shared" ca="1" si="1658"/>
        <v>20.960130239817449</v>
      </c>
      <c r="BB834" s="21">
        <f t="shared" ca="1" si="1658"/>
        <v>10.974298063282783</v>
      </c>
      <c r="BC834" s="21">
        <f t="shared" ca="1" si="1658"/>
        <v>11.469704936194471</v>
      </c>
      <c r="BD834" s="21">
        <f t="shared" ca="1" si="1658"/>
        <v>13.378518415666525</v>
      </c>
      <c r="BE834" s="21">
        <f t="shared" ca="1" si="1658"/>
        <v>9.866971342014315</v>
      </c>
      <c r="BF834" s="21">
        <f t="shared" ca="1" si="1658"/>
        <v>13.559951671582191</v>
      </c>
      <c r="BG834" s="21"/>
      <c r="BI834" s="21">
        <f t="shared" ref="BI834:BO835" ca="1" si="1659">G834</f>
        <v>21.205076518602596</v>
      </c>
      <c r="BJ834" s="21">
        <f t="shared" ca="1" si="1659"/>
        <v>20.960130239817449</v>
      </c>
      <c r="BK834" s="21">
        <f t="shared" ca="1" si="1659"/>
        <v>10.974298063282783</v>
      </c>
      <c r="BL834" s="21">
        <f t="shared" ca="1" si="1659"/>
        <v>11.469704936194471</v>
      </c>
      <c r="BM834" s="21">
        <f t="shared" ca="1" si="1659"/>
        <v>13.378518415666525</v>
      </c>
      <c r="BN834" s="21">
        <f t="shared" ca="1" si="1659"/>
        <v>9.866971342014315</v>
      </c>
      <c r="BO834" s="21">
        <f t="shared" ca="1" si="1659"/>
        <v>13.559951671582191</v>
      </c>
      <c r="BP834" s="21"/>
    </row>
    <row r="835" spans="2:68" ht="13.2" customHeight="1">
      <c r="B835" s="280" t="s">
        <v>2534</v>
      </c>
      <c r="G835" s="21">
        <f t="shared" ref="G835:M835" ca="1" si="1660">AVERAGE(G$822,G$774,G$726,G$678,G$630,G$582,G$534,G$482,G$427)</f>
        <v>54.994461049257112</v>
      </c>
      <c r="H835" s="21">
        <f t="shared" ca="1" si="1660"/>
        <v>47.604447300404388</v>
      </c>
      <c r="I835" s="21">
        <f t="shared" ca="1" si="1660"/>
        <v>18.264173863279336</v>
      </c>
      <c r="J835" s="21">
        <f t="shared" ca="1" si="1660"/>
        <v>21.646995915178568</v>
      </c>
      <c r="K835" s="21">
        <f t="shared" ca="1" si="1660"/>
        <v>25.216733270992254</v>
      </c>
      <c r="L835" s="21">
        <f t="shared" ca="1" si="1660"/>
        <v>16.454577799417386</v>
      </c>
      <c r="M835" s="21">
        <f t="shared" ca="1" si="1660"/>
        <v>27.494459273559258</v>
      </c>
      <c r="O835" s="39">
        <f>ROW()</f>
        <v>835</v>
      </c>
      <c r="P835" s="21">
        <f t="shared" ca="1" si="1654"/>
        <v>54.994461049257112</v>
      </c>
      <c r="Q835" s="21">
        <f t="shared" ca="1" si="1654"/>
        <v>47.604447300404388</v>
      </c>
      <c r="R835" s="21">
        <f t="shared" ca="1" si="1654"/>
        <v>18.264173863279336</v>
      </c>
      <c r="S835" s="21">
        <f t="shared" ca="1" si="1654"/>
        <v>21.646995915178568</v>
      </c>
      <c r="T835" s="21">
        <f t="shared" ca="1" si="1654"/>
        <v>25.216733270992254</v>
      </c>
      <c r="U835" s="21">
        <f t="shared" ca="1" si="1654"/>
        <v>16.454577799417386</v>
      </c>
      <c r="V835" s="21">
        <f t="shared" ca="1" si="1654"/>
        <v>27.494459273559258</v>
      </c>
      <c r="Y835" s="21">
        <f t="shared" ca="1" si="1655"/>
        <v>54.994461049257112</v>
      </c>
      <c r="Z835" s="21">
        <f t="shared" ca="1" si="1655"/>
        <v>47.604447300404388</v>
      </c>
      <c r="AA835" s="21">
        <f t="shared" ca="1" si="1655"/>
        <v>18.264173863279336</v>
      </c>
      <c r="AB835" s="21">
        <f t="shared" ca="1" si="1655"/>
        <v>21.646995915178568</v>
      </c>
      <c r="AC835" s="21">
        <f t="shared" ca="1" si="1655"/>
        <v>25.216733270992254</v>
      </c>
      <c r="AD835" s="21">
        <f t="shared" ca="1" si="1655"/>
        <v>16.454577799417386</v>
      </c>
      <c r="AE835" s="21">
        <f t="shared" ca="1" si="1655"/>
        <v>27.494459273559258</v>
      </c>
      <c r="AH835" s="21">
        <f t="shared" ca="1" si="1656"/>
        <v>54.994461049257112</v>
      </c>
      <c r="AI835" s="21">
        <f t="shared" ca="1" si="1656"/>
        <v>47.604447300404388</v>
      </c>
      <c r="AJ835" s="21">
        <f t="shared" ca="1" si="1656"/>
        <v>18.264173863279336</v>
      </c>
      <c r="AK835" s="21">
        <f t="shared" ca="1" si="1656"/>
        <v>21.646995915178568</v>
      </c>
      <c r="AL835" s="21">
        <f t="shared" ca="1" si="1656"/>
        <v>25.216733270992254</v>
      </c>
      <c r="AM835" s="21">
        <f t="shared" ca="1" si="1656"/>
        <v>16.454577799417386</v>
      </c>
      <c r="AN835" s="21">
        <f t="shared" ca="1" si="1656"/>
        <v>27.494459273559258</v>
      </c>
      <c r="AQ835" s="21">
        <f t="shared" ref="AQ835:AW835" ca="1" si="1661">G835*$AV$181</f>
        <v>54.444516438764538</v>
      </c>
      <c r="AR835" s="21">
        <f t="shared" ca="1" si="1661"/>
        <v>47.128402827400343</v>
      </c>
      <c r="AS835" s="21">
        <f t="shared" ca="1" si="1661"/>
        <v>18.081532124646543</v>
      </c>
      <c r="AT835" s="21">
        <f t="shared" ca="1" si="1661"/>
        <v>21.430525956026781</v>
      </c>
      <c r="AU835" s="21">
        <f t="shared" ca="1" si="1661"/>
        <v>24.96456593828233</v>
      </c>
      <c r="AV835" s="21">
        <f t="shared" ca="1" si="1661"/>
        <v>16.290032021423212</v>
      </c>
      <c r="AW835" s="21">
        <f t="shared" ca="1" si="1661"/>
        <v>27.219514680823664</v>
      </c>
      <c r="AZ835" s="21">
        <f t="shared" ca="1" si="1658"/>
        <v>54.994461049257112</v>
      </c>
      <c r="BA835" s="21">
        <f t="shared" ca="1" si="1658"/>
        <v>47.604447300404388</v>
      </c>
      <c r="BB835" s="21">
        <f t="shared" ca="1" si="1658"/>
        <v>18.264173863279336</v>
      </c>
      <c r="BC835" s="21">
        <f t="shared" ca="1" si="1658"/>
        <v>21.646995915178568</v>
      </c>
      <c r="BD835" s="21">
        <f t="shared" ca="1" si="1658"/>
        <v>25.216733270992254</v>
      </c>
      <c r="BE835" s="21">
        <f t="shared" ca="1" si="1658"/>
        <v>16.454577799417386</v>
      </c>
      <c r="BF835" s="21">
        <f t="shared" ca="1" si="1658"/>
        <v>27.494459273559258</v>
      </c>
      <c r="BG835" s="21"/>
      <c r="BI835" s="21">
        <f t="shared" ca="1" si="1659"/>
        <v>54.994461049257112</v>
      </c>
      <c r="BJ835" s="21">
        <f t="shared" ca="1" si="1659"/>
        <v>47.604447300404388</v>
      </c>
      <c r="BK835" s="21">
        <f t="shared" ca="1" si="1659"/>
        <v>18.264173863279336</v>
      </c>
      <c r="BL835" s="21">
        <f t="shared" ca="1" si="1659"/>
        <v>21.646995915178568</v>
      </c>
      <c r="BM835" s="21">
        <f t="shared" ca="1" si="1659"/>
        <v>25.216733270992254</v>
      </c>
      <c r="BN835" s="21">
        <f t="shared" ca="1" si="1659"/>
        <v>16.454577799417386</v>
      </c>
      <c r="BO835" s="21">
        <f t="shared" ca="1" si="1659"/>
        <v>27.494459273559258</v>
      </c>
      <c r="BP835" s="21"/>
    </row>
    <row r="836" spans="2:68" ht="13.2" customHeight="1">
      <c r="B836" s="280"/>
      <c r="G836" s="280"/>
      <c r="O836" s="39">
        <f>ROW()</f>
        <v>836</v>
      </c>
      <c r="P836" s="117"/>
      <c r="Q836" s="117"/>
      <c r="R836" s="117"/>
      <c r="S836" s="117"/>
      <c r="T836" s="117"/>
      <c r="U836" s="117"/>
      <c r="V836" s="117"/>
      <c r="W836" s="117"/>
      <c r="Y836" s="117"/>
      <c r="Z836" s="117"/>
      <c r="AA836" s="117"/>
      <c r="AB836" s="117"/>
      <c r="AC836" s="117"/>
      <c r="AD836" s="117"/>
      <c r="AE836" s="117"/>
      <c r="AF836" s="117"/>
      <c r="AH836" s="117"/>
      <c r="AI836" s="117"/>
      <c r="AJ836" s="117"/>
      <c r="AK836" s="117"/>
      <c r="AL836" s="117"/>
      <c r="AM836" s="117"/>
      <c r="AN836" s="117"/>
      <c r="AO836" s="117"/>
      <c r="AQ836" s="117"/>
      <c r="AR836" s="117"/>
      <c r="AS836" s="117"/>
      <c r="AT836" s="117"/>
      <c r="AU836" s="117"/>
      <c r="AV836" s="117"/>
      <c r="AW836" s="117"/>
      <c r="AX836" s="117"/>
      <c r="AZ836" s="117"/>
      <c r="BA836" s="117"/>
      <c r="BB836" s="117"/>
      <c r="BC836" s="117"/>
      <c r="BD836" s="117"/>
      <c r="BE836" s="117"/>
      <c r="BF836" s="117"/>
      <c r="BG836" s="117"/>
      <c r="BI836" s="117"/>
      <c r="BJ836" s="117"/>
      <c r="BK836" s="117"/>
      <c r="BL836" s="117"/>
      <c r="BM836" s="117"/>
      <c r="BN836" s="117"/>
      <c r="BO836" s="117"/>
      <c r="BP836" s="117"/>
    </row>
    <row r="837" spans="2:68" ht="13.2" customHeight="1">
      <c r="B837" s="6" t="s">
        <v>1643</v>
      </c>
      <c r="G837" s="880" t="s">
        <v>1472</v>
      </c>
      <c r="H837" s="880" t="s">
        <v>1087</v>
      </c>
      <c r="I837" s="880" t="s">
        <v>2445</v>
      </c>
      <c r="J837" s="880" t="s">
        <v>1088</v>
      </c>
      <c r="K837" s="880" t="s">
        <v>1089</v>
      </c>
      <c r="L837" s="880" t="s">
        <v>1151</v>
      </c>
      <c r="M837" s="880" t="s">
        <v>1090</v>
      </c>
      <c r="N837" s="880" t="s">
        <v>2684</v>
      </c>
      <c r="O837" s="39">
        <f>ROW()</f>
        <v>837</v>
      </c>
      <c r="P837" s="117">
        <f ca="1">P831^Elasticities!$G$52</f>
        <v>0.99999731179024676</v>
      </c>
      <c r="Q837" s="117">
        <f ca="1">Q831^Elasticities!$G$52</f>
        <v>1.0000061188592451</v>
      </c>
      <c r="R837" s="117">
        <f ca="1">R831^Elasticities!$G$52</f>
        <v>0.99996806217271272</v>
      </c>
      <c r="S837" s="117">
        <f ca="1">S831^Elasticities!$G$52</f>
        <v>0.99987181156571081</v>
      </c>
      <c r="T837" s="117">
        <f ca="1">T831^Elasticities!$G$52</f>
        <v>0.99989218163535054</v>
      </c>
      <c r="U837" s="117">
        <f ca="1">U831^Elasticities!$G$52</f>
        <v>1.0000869945663675</v>
      </c>
      <c r="V837" s="117">
        <f ca="1">V831^Elasticities!$G$52</f>
        <v>0.99989270998228696</v>
      </c>
      <c r="Y837" s="117">
        <f ca="1">Y831^Elasticities!$H$52</f>
        <v>0.9999973117902472</v>
      </c>
      <c r="Z837" s="117">
        <f ca="1">Z831^Elasticities!$H$52</f>
        <v>1.0000061188592453</v>
      </c>
      <c r="AA837" s="117">
        <f ca="1">AA831^Elasticities!$H$52</f>
        <v>0.99996806217271295</v>
      </c>
      <c r="AB837" s="117">
        <f ca="1">AB831^Elasticities!$H$52</f>
        <v>0.99987181156571081</v>
      </c>
      <c r="AC837" s="117">
        <f ca="1">AC831^Elasticities!$H$52</f>
        <v>0.99989218163535076</v>
      </c>
      <c r="AD837" s="117">
        <f ca="1">AD831^Elasticities!$H$52</f>
        <v>1.0000869945663675</v>
      </c>
      <c r="AE837" s="117">
        <f ca="1">AE831^Elasticities!$H$52</f>
        <v>0.99989270998228696</v>
      </c>
      <c r="AH837" s="638">
        <f ca="1">AH831^Elasticities!$I$52</f>
        <v>1.0000008457726013</v>
      </c>
      <c r="AI837" s="117">
        <f ca="1">AI831^Elasticities!$I$52</f>
        <v>1.000028528705674</v>
      </c>
      <c r="AJ837" s="117">
        <f ca="1">AJ831^Elasticities!$I$52</f>
        <v>0.99994349218788303</v>
      </c>
      <c r="AK837" s="117">
        <f ca="1">AK831^Elasticities!$I$52</f>
        <v>0.99974488798781913</v>
      </c>
      <c r="AL837" s="117">
        <f ca="1">AL831^Elasticities!$I$52</f>
        <v>0.99976920609011322</v>
      </c>
      <c r="AM837" s="117">
        <f ca="1">AM831^Elasticities!$I$52</f>
        <v>1.0001598625179637</v>
      </c>
      <c r="AN837" s="117">
        <f ca="1">AN831^Elasticities!$I$52</f>
        <v>0.99976018222371676</v>
      </c>
      <c r="AQ837" s="117">
        <f ca="1">AQ831^Elasticities!$G$54</f>
        <v>1.000000198159563</v>
      </c>
      <c r="AR837" s="117">
        <f ca="1">AR831^Elasticities!$G$54</f>
        <v>1.0000148897118206</v>
      </c>
      <c r="AS837" s="117">
        <f ca="1">AS831^Elasticities!$G$54</f>
        <v>0.99996914175424356</v>
      </c>
      <c r="AT837" s="117">
        <f ca="1">AT831^Elasticities!$G$54</f>
        <v>0.99985133152652683</v>
      </c>
      <c r="AU837" s="117">
        <f ca="1">AU831^Elasticities!$G$54</f>
        <v>0.9998599259654013</v>
      </c>
      <c r="AV837" s="117">
        <f ca="1">AV831^Elasticities!$G$54</f>
        <v>1.0000810893014771</v>
      </c>
      <c r="AW837" s="117">
        <f ca="1">AW831^Elasticities!$G$54</f>
        <v>0.99985993156159658</v>
      </c>
      <c r="AZ837" s="117">
        <f ca="1">AZ831^(Elasticities!$J$64*Elasticities!$G$52)</f>
        <v>0.99999772957774968</v>
      </c>
      <c r="BA837" s="117">
        <f ca="1">BA831^(Elasticities!$J$64*Elasticities!$G$52)</f>
        <v>1.0000001087268411</v>
      </c>
      <c r="BB837" s="117">
        <f ca="1">BB831^(Elasticities!$J$64*Elasticities!$G$52)</f>
        <v>0.99999058097294602</v>
      </c>
      <c r="BC837" s="117">
        <f ca="1">BC831^(Elasticities!$J$64*Elasticities!$G$52)</f>
        <v>0.99996370344933538</v>
      </c>
      <c r="BD837" s="117">
        <f ca="1">BD831^(Elasticities!$J$64*Elasticities!$G$52)</f>
        <v>0.9999684929273055</v>
      </c>
      <c r="BE837" s="117">
        <f ca="1">BE831^(Elasticities!$J$64*Elasticities!$G$52)</f>
        <v>1.0000208511016233</v>
      </c>
      <c r="BF837" s="117">
        <f ca="1">BF831^(Elasticities!$J$64*Elasticities!$G$52)</f>
        <v>0.99996908925687811</v>
      </c>
      <c r="BI837" s="117">
        <f ca="1">BI831^Elasticities!$G$50</f>
        <v>0.99999803848745827</v>
      </c>
      <c r="BJ837" s="117">
        <f ca="1">BJ831^Elasticities!$G$50</f>
        <v>1.0000021965442367</v>
      </c>
      <c r="BK837" s="117">
        <f ca="1">BK831^Elasticities!$G$50</f>
        <v>0.99998457074586677</v>
      </c>
      <c r="BL837" s="117">
        <f ca="1">BL831^Elasticities!$G$50</f>
        <v>0.99993875855881076</v>
      </c>
      <c r="BM837" s="117">
        <f ca="1">BM831^Elasticities!$G$50</f>
        <v>0.9999480555545659</v>
      </c>
      <c r="BN837" s="117">
        <f ca="1">BN831^Elasticities!$G$50</f>
        <v>1.0000399138995888</v>
      </c>
      <c r="BO837" s="117">
        <f ca="1">BO831^Elasticities!$G$50</f>
        <v>0.99994851545756924</v>
      </c>
    </row>
    <row r="838" spans="2:68" ht="13.2" customHeight="1">
      <c r="B838" s="6"/>
      <c r="G838" s="298" t="s">
        <v>1091</v>
      </c>
      <c r="H838" s="298" t="s">
        <v>1092</v>
      </c>
      <c r="I838" s="298" t="s">
        <v>1093</v>
      </c>
      <c r="J838" s="298" t="s">
        <v>1094</v>
      </c>
      <c r="K838" s="298" t="s">
        <v>1095</v>
      </c>
      <c r="L838" s="298" t="s">
        <v>1096</v>
      </c>
      <c r="M838" s="298" t="s">
        <v>1097</v>
      </c>
      <c r="N838" s="298"/>
      <c r="O838" s="39">
        <f>ROW()</f>
        <v>838</v>
      </c>
      <c r="P838" s="309" t="s">
        <v>3301</v>
      </c>
      <c r="Y838" s="309" t="s">
        <v>3307</v>
      </c>
      <c r="AH838" s="309" t="s">
        <v>3308</v>
      </c>
      <c r="AQ838" s="215" t="s">
        <v>3304</v>
      </c>
      <c r="AZ838" s="215" t="s">
        <v>3305</v>
      </c>
      <c r="BI838" s="215" t="s">
        <v>3306</v>
      </c>
    </row>
    <row r="839" spans="2:68" ht="13.2" customHeight="1">
      <c r="B839" s="6" t="s">
        <v>1921</v>
      </c>
      <c r="O839" s="39">
        <f>ROW()</f>
        <v>839</v>
      </c>
      <c r="P839" s="117">
        <f ca="1">(P786/P834)^Elasticities!$G$52</f>
        <v>1.0000316805015415</v>
      </c>
      <c r="Q839" s="117">
        <f ca="1">(Q786/Q834)^Elasticities!$G$52</f>
        <v>0.99993621793981524</v>
      </c>
      <c r="R839" s="117">
        <f ca="1">(R786/R834)^Elasticities!$G$52</f>
        <v>0.99988755938438878</v>
      </c>
      <c r="S839" s="117">
        <f ca="1">(S786/S834)^Elasticities!$G$52</f>
        <v>0.99991543424285889</v>
      </c>
      <c r="T839" s="117">
        <f ca="1">(T786/T834)^Elasticities!$G$52</f>
        <v>1.0001372832209634</v>
      </c>
      <c r="U839" s="117">
        <f ca="1">(U786/U834)^Elasticities!$G$52</f>
        <v>1.0003047732912373</v>
      </c>
      <c r="V839" s="117">
        <f ca="1">(V786/V834)^Elasticities!$G$52</f>
        <v>1.0001069517352956</v>
      </c>
      <c r="Y839" s="117">
        <f ca="1">(Y786/Y834)^Elasticities!$H$52</f>
        <v>1.0000316805015415</v>
      </c>
      <c r="Z839" s="117">
        <f ca="1">(Z786/Z834)^Elasticities!$H$52</f>
        <v>0.99993621793981524</v>
      </c>
      <c r="AA839" s="117">
        <f ca="1">(AA786/AA834)^Elasticities!$H$52</f>
        <v>0.99988755938438878</v>
      </c>
      <c r="AB839" s="117">
        <f ca="1">(AB786/AB834)^Elasticities!$H$52</f>
        <v>0.99991543424285889</v>
      </c>
      <c r="AC839" s="117">
        <f ca="1">(AC786/AC834)^Elasticities!$H$52</f>
        <v>1.0001372832209634</v>
      </c>
      <c r="AD839" s="117">
        <f ca="1">(AD786/AD834)^Elasticities!$H$52</f>
        <v>1.0003047732912373</v>
      </c>
      <c r="AE839" s="117">
        <f ca="1">(AE786/AE834)^Elasticities!$H$52</f>
        <v>1.0001069517352956</v>
      </c>
      <c r="AH839" s="117">
        <f ca="1">(AH786/AH834)^Elasticities!$I$52</f>
        <v>1.0000316805015415</v>
      </c>
      <c r="AI839" s="117">
        <f ca="1">(AI786/AI834)^Elasticities!$I$52</f>
        <v>0.99993621793981524</v>
      </c>
      <c r="AJ839" s="117">
        <f ca="1">(AJ786/AJ834)^Elasticities!$I$52</f>
        <v>0.99988755938438878</v>
      </c>
      <c r="AK839" s="117">
        <f ca="1">(AK786/AK834)^Elasticities!$I$52</f>
        <v>0.99991543424285889</v>
      </c>
      <c r="AL839" s="117">
        <f ca="1">(AL786/AL834)^Elasticities!$I$52</f>
        <v>1.0001372832209634</v>
      </c>
      <c r="AM839" s="117">
        <f ca="1">(AM786/AM834)^Elasticities!$I$52</f>
        <v>1.0003047732912373</v>
      </c>
      <c r="AN839" s="117">
        <f ca="1">(AN786/AN834)^Elasticities!$I$52</f>
        <v>1.0001069517352956</v>
      </c>
      <c r="AQ839" s="117">
        <f ca="1">(AQ786/AQ834)^Elasticities!$G$54</f>
        <v>1.0000253443209419</v>
      </c>
      <c r="AR839" s="117">
        <f ca="1">(AR786/AR834)^Elasticities!$G$54</f>
        <v>0.99994897402639171</v>
      </c>
      <c r="AS839" s="117">
        <f ca="1">(AS786/AS834)^Elasticities!$G$54</f>
        <v>0.99991004649603421</v>
      </c>
      <c r="AT839" s="117">
        <f ca="1">(AT786/AT834)^Elasticities!$G$54</f>
        <v>0.99993234682215815</v>
      </c>
      <c r="AU839" s="117">
        <f ca="1">(AU786/AU834)^Elasticities!$G$54</f>
        <v>1.0001098250691189</v>
      </c>
      <c r="AV839" s="117">
        <f ca="1">(AV786/AV834)^Elasticities!$G$54</f>
        <v>1.000243811202955</v>
      </c>
      <c r="AW839" s="117">
        <f ca="1">(AW786/AW834)^Elasticities!$G$54</f>
        <v>1.0000855604731818</v>
      </c>
      <c r="AZ839" s="117">
        <f ca="1">(AZ786/AZ834)^(Elasticities!$J$64*Elasticities!$G$52)</f>
        <v>1.0000105600556652</v>
      </c>
      <c r="BA839" s="117">
        <f ca="1">(BA786/BA834)^(Elasticities!$J$64*Elasticities!$G$52)</f>
        <v>0.999978738861239</v>
      </c>
      <c r="BB839" s="117">
        <f ca="1">(BB786/BB834)^(Elasticities!$J$64*Elasticities!$G$52)</f>
        <v>0.99996251838994277</v>
      </c>
      <c r="BC839" s="117">
        <f ca="1">(BC786/BC834)^(Elasticities!$J$64*Elasticities!$G$52)</f>
        <v>0.99997181061965257</v>
      </c>
      <c r="BD839" s="117">
        <f ca="1">(BD786/BD834)^(Elasticities!$J$64*Elasticities!$G$52)</f>
        <v>1.0000457589797382</v>
      </c>
      <c r="BE839" s="117">
        <f ca="1">(BE786/BE834)^(Elasticities!$J$64*Elasticities!$G$52)</f>
        <v>1.0001015807780753</v>
      </c>
      <c r="BF839" s="117">
        <f ca="1">(BF786/BF834)^(Elasticities!$J$64*Elasticities!$G$52)</f>
        <v>1.0000356493075437</v>
      </c>
      <c r="BI839" s="117">
        <f ca="1">(BI786/BI834)^Elasticities!$G$50</f>
        <v>1.0000158401253159</v>
      </c>
      <c r="BJ839" s="117">
        <f ca="1">(BJ786/BJ834)^Elasticities!$G$50</f>
        <v>0.99996810846137252</v>
      </c>
      <c r="BK839" s="117">
        <f ca="1">(BK786/BK834)^Elasticities!$G$50</f>
        <v>0.99994377811174406</v>
      </c>
      <c r="BL839" s="117">
        <f ca="1">(BL786/BL834)^Elasticities!$G$50</f>
        <v>0.99995771622747076</v>
      </c>
      <c r="BM839" s="117">
        <f ca="1">(BM786/BM834)^Elasticities!$G$50</f>
        <v>1.0000686392548079</v>
      </c>
      <c r="BN839" s="117">
        <f ca="1">(BN786/BN834)^Elasticities!$G$50</f>
        <v>1.0001523750365429</v>
      </c>
      <c r="BO839" s="117">
        <f ca="1">(BO786/BO834)^Elasticities!$G$50</f>
        <v>1.0000534744378902</v>
      </c>
    </row>
    <row r="840" spans="2:68" ht="13.2" customHeight="1">
      <c r="O840" s="39">
        <f>ROW()</f>
        <v>840</v>
      </c>
      <c r="P840" s="309" t="s">
        <v>529</v>
      </c>
      <c r="Y840" s="309" t="s">
        <v>530</v>
      </c>
      <c r="AH840" s="309" t="s">
        <v>2922</v>
      </c>
      <c r="AQ840" s="215" t="s">
        <v>3299</v>
      </c>
      <c r="AZ840" s="309" t="s">
        <v>2398</v>
      </c>
      <c r="BI840" s="309" t="s">
        <v>2878</v>
      </c>
    </row>
    <row r="841" spans="2:68" ht="13.2" customHeight="1">
      <c r="B841" s="6" t="s">
        <v>2164</v>
      </c>
      <c r="G841" s="633">
        <f t="shared" ref="G841:M841" ca="1" si="1662">($I$76*$I$79*P841+$J$76*$J$79*Y841+$K$76*$K$79*AH841+$L$76*$L$79*AQ841+$M$76*$M$79*AZ841+$N$76*$N$79*BI841)/SUMPRODUCT($I$76:$N$76,$I$79:$N$79)</f>
        <v>1.0000000340518604</v>
      </c>
      <c r="H841" s="633">
        <f t="shared" ca="1" si="1662"/>
        <v>1.0000065557290718</v>
      </c>
      <c r="I841" s="633">
        <f t="shared" ca="1" si="1662"/>
        <v>0.99996680067899124</v>
      </c>
      <c r="J841" s="633">
        <f t="shared" ca="1" si="1662"/>
        <v>0.99985686925539419</v>
      </c>
      <c r="K841" s="633">
        <f t="shared" ca="1" si="1662"/>
        <v>0.99987772276635878</v>
      </c>
      <c r="L841" s="633">
        <f t="shared" ca="1" si="1662"/>
        <v>1.0000969204838364</v>
      </c>
      <c r="M841" s="633">
        <f t="shared" ca="1" si="1662"/>
        <v>0.99987594919745948</v>
      </c>
      <c r="O841" s="39">
        <f>ROW()</f>
        <v>841</v>
      </c>
      <c r="P841" s="117">
        <f ca="1">(P787/P835)^Elasticities!$G$52</f>
        <v>0.99999855366795476</v>
      </c>
      <c r="Q841" s="117">
        <f ca="1">(Q787/Q835)^Elasticities!$G$52</f>
        <v>0.99997110885413909</v>
      </c>
      <c r="R841" s="117">
        <f ca="1">(R787/R835)^Elasticities!$G$52</f>
        <v>1.0000045823659336</v>
      </c>
      <c r="S841" s="117">
        <f ca="1">(S787/S835)^Elasticities!$G$52</f>
        <v>1.0000335155446038</v>
      </c>
      <c r="T841" s="117">
        <f ca="1">(T787/T835)^Elasticities!$G$52</f>
        <v>1.0000447338103089</v>
      </c>
      <c r="U841" s="117">
        <f ca="1">(U787/U835)^Elasticities!$G$52</f>
        <v>0.99999075349233113</v>
      </c>
      <c r="V841" s="117">
        <f ca="1">(V787/V835)^Elasticities!$G$52</f>
        <v>1.0000585089529983</v>
      </c>
      <c r="Y841" s="117">
        <f ca="1">(Y774/Y822)^Elasticities!$H$52</f>
        <v>1.0000010981742673</v>
      </c>
      <c r="Z841" s="117">
        <f ca="1">(Z774/Z822)^Elasticities!$H$52</f>
        <v>1.0000324682462542</v>
      </c>
      <c r="AA841" s="117">
        <f ca="1">(AA774/AA822)^Elasticities!$H$52</f>
        <v>0.99993720539490294</v>
      </c>
      <c r="AB841" s="117">
        <f ca="1">(AB774/AB822)^Elasticities!$H$52</f>
        <v>0.99971941028049383</v>
      </c>
      <c r="AC841" s="117">
        <f ca="1">(AC774/AC822)^Elasticities!$H$52</f>
        <v>0.99974874494674437</v>
      </c>
      <c r="AD841" s="117">
        <f ca="1">(AD774/AD822)^Elasticities!$H$52</f>
        <v>1.0001803577572868</v>
      </c>
      <c r="AE841" s="117">
        <f ca="1">(AE774/AE822)^Elasticities!$H$52</f>
        <v>0.9997356880731405</v>
      </c>
      <c r="AH841" s="117">
        <f ca="1">(AH774/AH822)^Elasticities!$I$52</f>
        <v>1.0000010981742673</v>
      </c>
      <c r="AI841" s="117">
        <f ca="1">(AI774/AI822)^Elasticities!$I$52</f>
        <v>1.0000324682462542</v>
      </c>
      <c r="AJ841" s="117">
        <f ca="1">(AJ774/AJ822)^Elasticities!$I$52</f>
        <v>0.99993720539490294</v>
      </c>
      <c r="AK841" s="117">
        <f ca="1">(AK774/AK822)^Elasticities!$I$52</f>
        <v>0.99971941028049383</v>
      </c>
      <c r="AL841" s="117">
        <f ca="1">(AL774/AL822)^Elasticities!$I$52</f>
        <v>0.99974874494674437</v>
      </c>
      <c r="AM841" s="117">
        <f ca="1">(AM774/AM822)^Elasticities!$I$52</f>
        <v>1.0001803577572868</v>
      </c>
      <c r="AN841" s="117">
        <f ca="1">(AN774/AN822)^Elasticities!$I$52</f>
        <v>0.9997356880731405</v>
      </c>
      <c r="AQ841" s="117">
        <f ca="1">(AQ787/AQ835)^Elasticities!$G$54</f>
        <v>0.9999988429341965</v>
      </c>
      <c r="AR841" s="117">
        <f ca="1">(AR787/AR835)^Elasticities!$G$54</f>
        <v>0.99997688701653453</v>
      </c>
      <c r="AS841" s="117">
        <f ca="1">(AS787/AS835)^Elasticities!$G$54</f>
        <v>1.0000036658910669</v>
      </c>
      <c r="AT841" s="117">
        <f ca="1">(AT787/AT835)^Elasticities!$G$54</f>
        <v>1.0000268123458207</v>
      </c>
      <c r="AU841" s="117">
        <f ca="1">(AU787/AU835)^Elasticities!$G$54</f>
        <v>1.0000357868881609</v>
      </c>
      <c r="AV841" s="117">
        <f ca="1">(AV787/AV835)^Elasticities!$G$54</f>
        <v>0.99999260278702518</v>
      </c>
      <c r="AW841" s="117">
        <f ca="1">(AW787/AW835)^Elasticities!$G$54</f>
        <v>1.0000468068885413</v>
      </c>
      <c r="AZ841" s="117">
        <f ca="1">(AZ774/AZ822)^(Elasticities!$J$64*Elasticities!$G$52)</f>
        <v>1.0000003660579551</v>
      </c>
      <c r="BA841" s="117">
        <f ca="1">(BA774/BA822)^(Elasticities!$J$64*Elasticities!$G$52)</f>
        <v>1.0000108226316216</v>
      </c>
      <c r="BB841" s="117">
        <f ca="1">(BB774/BB822)^(Elasticities!$J$64*Elasticities!$G$52)</f>
        <v>0.99997906802682324</v>
      </c>
      <c r="BC841" s="117">
        <f ca="1">(BC774/BC822)^(Elasticities!$J$64*Elasticities!$G$52)</f>
        <v>0.99990646134429062</v>
      </c>
      <c r="BD841" s="117">
        <f ca="1">(BD774/BD822)^(Elasticities!$J$64*Elasticities!$G$52)</f>
        <v>0.99991624130025758</v>
      </c>
      <c r="BE841" s="117">
        <f ca="1">(BE774/BE822)^(Elasticities!$J$64*Elasticities!$G$52)</f>
        <v>1.0000601156384665</v>
      </c>
      <c r="BF841" s="117">
        <f ca="1">(BF774/BF822)^(Elasticities!$J$64*Elasticities!$G$52)</f>
        <v>0.99991188826092969</v>
      </c>
      <c r="BI841" s="117">
        <f ca="1">(BI774/BI822)^Elasticities!$G$50</f>
        <v>1.000000549086983</v>
      </c>
      <c r="BJ841" s="117">
        <f ca="1">(BJ774/BJ822)^Elasticities!$G$50</f>
        <v>1.0000162339913559</v>
      </c>
      <c r="BK841" s="117">
        <f ca="1">(BK774/BK822)^Elasticities!$G$50</f>
        <v>0.99996860220454065</v>
      </c>
      <c r="BL841" s="117">
        <f ca="1">(BL774/BL822)^Elasticities!$G$50</f>
        <v>0.99985969529754215</v>
      </c>
      <c r="BM841" s="117">
        <f ca="1">(BM774/BM822)^Elasticities!$G$50</f>
        <v>0.99987436458124301</v>
      </c>
      <c r="BN841" s="117">
        <f ca="1">(BN774/BN822)^Elasticities!$G$50</f>
        <v>1.000090174812895</v>
      </c>
      <c r="BO841" s="117">
        <f ca="1">(BO774/BO822)^Elasticities!$G$50</f>
        <v>0.99986783530281653</v>
      </c>
    </row>
    <row r="842" spans="2:68" ht="13.2" customHeight="1" collapsed="1">
      <c r="O842" s="39">
        <f>ROW()</f>
        <v>842</v>
      </c>
      <c r="P842" s="309" t="s">
        <v>2879</v>
      </c>
      <c r="Y842" s="309" t="s">
        <v>2842</v>
      </c>
      <c r="AH842" s="309" t="s">
        <v>2808</v>
      </c>
      <c r="AQ842" s="215" t="s">
        <v>3300</v>
      </c>
      <c r="AZ842" s="309" t="s">
        <v>2903</v>
      </c>
      <c r="BI842" s="309" t="s">
        <v>91</v>
      </c>
    </row>
    <row r="843" spans="2:68" ht="13.2" customHeight="1">
      <c r="B843" s="24" t="s">
        <v>323</v>
      </c>
      <c r="I843" s="54"/>
      <c r="O843" s="39">
        <f>ROW()</f>
        <v>843</v>
      </c>
      <c r="P843" s="880" t="s">
        <v>1472</v>
      </c>
      <c r="Q843" s="880" t="s">
        <v>615</v>
      </c>
      <c r="R843" s="880" t="s">
        <v>2445</v>
      </c>
      <c r="S843" s="880" t="s">
        <v>616</v>
      </c>
      <c r="T843" s="880" t="s">
        <v>1152</v>
      </c>
      <c r="U843" s="880" t="s">
        <v>1151</v>
      </c>
      <c r="V843" s="880" t="s">
        <v>617</v>
      </c>
      <c r="W843" s="880" t="s">
        <v>2684</v>
      </c>
      <c r="Y843" s="880" t="s">
        <v>1472</v>
      </c>
      <c r="Z843" s="880" t="s">
        <v>615</v>
      </c>
      <c r="AA843" s="880" t="s">
        <v>2445</v>
      </c>
      <c r="AB843" s="880" t="s">
        <v>616</v>
      </c>
      <c r="AC843" s="880" t="s">
        <v>1152</v>
      </c>
      <c r="AD843" s="880" t="s">
        <v>1151</v>
      </c>
      <c r="AE843" s="880" t="s">
        <v>617</v>
      </c>
      <c r="AF843" s="880" t="s">
        <v>2684</v>
      </c>
      <c r="AH843" s="880" t="s">
        <v>1472</v>
      </c>
      <c r="AI843" s="880" t="s">
        <v>615</v>
      </c>
      <c r="AJ843" s="880" t="s">
        <v>2445</v>
      </c>
      <c r="AK843" s="880" t="s">
        <v>616</v>
      </c>
      <c r="AL843" s="880" t="s">
        <v>1152</v>
      </c>
      <c r="AM843" s="880" t="s">
        <v>1151</v>
      </c>
      <c r="AN843" s="880" t="s">
        <v>617</v>
      </c>
      <c r="AO843" s="880" t="s">
        <v>2684</v>
      </c>
      <c r="AQ843" s="880" t="s">
        <v>1472</v>
      </c>
      <c r="AR843" s="880" t="s">
        <v>615</v>
      </c>
      <c r="AS843" s="880" t="s">
        <v>2445</v>
      </c>
      <c r="AT843" s="880" t="s">
        <v>616</v>
      </c>
      <c r="AU843" s="880" t="s">
        <v>1152</v>
      </c>
      <c r="AV843" s="880" t="s">
        <v>1151</v>
      </c>
      <c r="AW843" s="880" t="s">
        <v>617</v>
      </c>
      <c r="AX843" s="880" t="s">
        <v>2684</v>
      </c>
      <c r="AZ843" s="880" t="s">
        <v>1472</v>
      </c>
      <c r="BA843" s="880" t="s">
        <v>615</v>
      </c>
      <c r="BB843" s="880" t="s">
        <v>2445</v>
      </c>
      <c r="BC843" s="880" t="s">
        <v>616</v>
      </c>
      <c r="BD843" s="880" t="s">
        <v>1152</v>
      </c>
      <c r="BE843" s="880" t="s">
        <v>1151</v>
      </c>
      <c r="BF843" s="880" t="s">
        <v>617</v>
      </c>
      <c r="BG843" s="880" t="s">
        <v>2684</v>
      </c>
      <c r="BI843" s="880" t="s">
        <v>1472</v>
      </c>
      <c r="BJ843" s="880" t="s">
        <v>615</v>
      </c>
      <c r="BK843" s="880" t="s">
        <v>2445</v>
      </c>
      <c r="BL843" s="880" t="s">
        <v>616</v>
      </c>
      <c r="BM843" s="880" t="s">
        <v>1152</v>
      </c>
      <c r="BN843" s="880" t="s">
        <v>1151</v>
      </c>
      <c r="BO843" s="880" t="s">
        <v>617</v>
      </c>
      <c r="BP843" s="880" t="s">
        <v>2684</v>
      </c>
    </row>
    <row r="844" spans="2:68" ht="13.2" customHeight="1">
      <c r="O844" s="39">
        <f>ROW()</f>
        <v>844</v>
      </c>
      <c r="P844" s="298" t="s">
        <v>2678</v>
      </c>
      <c r="Q844" s="298" t="s">
        <v>665</v>
      </c>
      <c r="R844" s="298" t="s">
        <v>666</v>
      </c>
      <c r="S844" s="298" t="s">
        <v>667</v>
      </c>
      <c r="T844" s="298" t="s">
        <v>668</v>
      </c>
      <c r="U844" s="298" t="s">
        <v>434</v>
      </c>
      <c r="V844" s="298" t="s">
        <v>435</v>
      </c>
      <c r="W844" s="298"/>
      <c r="Y844" s="298" t="s">
        <v>2678</v>
      </c>
      <c r="Z844" s="298" t="s">
        <v>665</v>
      </c>
      <c r="AA844" s="298" t="s">
        <v>666</v>
      </c>
      <c r="AB844" s="298" t="s">
        <v>667</v>
      </c>
      <c r="AC844" s="298" t="s">
        <v>668</v>
      </c>
      <c r="AD844" s="298" t="s">
        <v>434</v>
      </c>
      <c r="AE844" s="298" t="s">
        <v>435</v>
      </c>
      <c r="AF844" s="298"/>
      <c r="AH844" s="298" t="s">
        <v>2678</v>
      </c>
      <c r="AI844" s="298" t="s">
        <v>665</v>
      </c>
      <c r="AJ844" s="298" t="s">
        <v>666</v>
      </c>
      <c r="AK844" s="298" t="s">
        <v>667</v>
      </c>
      <c r="AL844" s="298" t="s">
        <v>668</v>
      </c>
      <c r="AM844" s="298" t="s">
        <v>434</v>
      </c>
      <c r="AN844" s="298" t="s">
        <v>435</v>
      </c>
      <c r="AO844" s="298"/>
      <c r="AQ844" s="298" t="s">
        <v>2678</v>
      </c>
      <c r="AR844" s="298" t="s">
        <v>665</v>
      </c>
      <c r="AS844" s="298" t="s">
        <v>666</v>
      </c>
      <c r="AT844" s="298" t="s">
        <v>667</v>
      </c>
      <c r="AU844" s="298" t="s">
        <v>668</v>
      </c>
      <c r="AV844" s="298" t="s">
        <v>434</v>
      </c>
      <c r="AW844" s="298" t="s">
        <v>435</v>
      </c>
      <c r="AX844" s="298"/>
      <c r="AZ844" s="298" t="s">
        <v>2678</v>
      </c>
      <c r="BA844" s="298" t="s">
        <v>665</v>
      </c>
      <c r="BB844" s="298" t="s">
        <v>666</v>
      </c>
      <c r="BC844" s="298" t="s">
        <v>667</v>
      </c>
      <c r="BD844" s="298" t="s">
        <v>668</v>
      </c>
      <c r="BE844" s="298" t="s">
        <v>434</v>
      </c>
      <c r="BF844" s="298" t="s">
        <v>435</v>
      </c>
      <c r="BG844" s="298"/>
      <c r="BI844" s="298" t="s">
        <v>2678</v>
      </c>
      <c r="BJ844" s="298" t="s">
        <v>665</v>
      </c>
      <c r="BK844" s="298" t="s">
        <v>666</v>
      </c>
      <c r="BL844" s="298" t="s">
        <v>667</v>
      </c>
      <c r="BM844" s="298" t="s">
        <v>668</v>
      </c>
      <c r="BN844" s="298" t="s">
        <v>434</v>
      </c>
      <c r="BO844" s="298" t="s">
        <v>435</v>
      </c>
      <c r="BP844" s="298"/>
    </row>
    <row r="845" spans="2:68" ht="13.2" customHeight="1">
      <c r="B845" s="308" t="s">
        <v>112</v>
      </c>
      <c r="O845" s="39">
        <f>ROW()</f>
        <v>845</v>
      </c>
    </row>
    <row r="846" spans="2:68" ht="13.2" customHeight="1">
      <c r="B846" s="280" t="s">
        <v>1846</v>
      </c>
      <c r="G846" s="1122">
        <f t="shared" ref="G846:M846" ca="1" si="1663">P846+Y846+AH846+AQ846+AZ846+BI846</f>
        <v>54285.021769163584</v>
      </c>
      <c r="H846" s="1122">
        <f t="shared" ca="1" si="1663"/>
        <v>17441.848159594694</v>
      </c>
      <c r="I846" s="1122">
        <f t="shared" ca="1" si="1663"/>
        <v>115492.69744236495</v>
      </c>
      <c r="J846" s="1122">
        <f t="shared" ca="1" si="1663"/>
        <v>34090.048227208521</v>
      </c>
      <c r="K846" s="1122">
        <f t="shared" ca="1" si="1663"/>
        <v>117362.64285728212</v>
      </c>
      <c r="L846" s="1122">
        <f t="shared" ca="1" si="1663"/>
        <v>178307.21930326946</v>
      </c>
      <c r="M846" s="1122">
        <f t="shared" ca="1" si="1663"/>
        <v>59799.755390526756</v>
      </c>
      <c r="N846" s="186">
        <f ca="1">SUM(G846:M846)</f>
        <v>576779.23314941011</v>
      </c>
      <c r="O846" s="39">
        <f>ROW()</f>
        <v>846</v>
      </c>
      <c r="P846" s="10">
        <f t="shared" ref="P846:V846" ca="1" si="1664">P800</f>
        <v>9416.6869871864419</v>
      </c>
      <c r="Q846" s="10">
        <f t="shared" ca="1" si="1664"/>
        <v>9957.6184422436709</v>
      </c>
      <c r="R846" s="10">
        <f t="shared" ca="1" si="1664"/>
        <v>66574.891732962773</v>
      </c>
      <c r="S846" s="10">
        <f t="shared" ca="1" si="1664"/>
        <v>15901.851538622572</v>
      </c>
      <c r="T846" s="10">
        <f t="shared" ca="1" si="1664"/>
        <v>46864.678824006347</v>
      </c>
      <c r="U846" s="10">
        <f t="shared" ca="1" si="1664"/>
        <v>47411.484846873769</v>
      </c>
      <c r="V846" s="10">
        <f t="shared" ca="1" si="1664"/>
        <v>13081.735892442855</v>
      </c>
      <c r="W846" s="10">
        <f ca="1">SUM(P846:V846)</f>
        <v>209208.94826433843</v>
      </c>
      <c r="Y846" s="10">
        <f t="shared" ref="Y846:AE846" ca="1" si="1665">Y800</f>
        <v>16501.084019113168</v>
      </c>
      <c r="Z846" s="10">
        <f t="shared" ca="1" si="1665"/>
        <v>1209.2096852875827</v>
      </c>
      <c r="AA846" s="10">
        <f t="shared" ca="1" si="1665"/>
        <v>13407.147893208941</v>
      </c>
      <c r="AB846" s="10">
        <f t="shared" ca="1" si="1665"/>
        <v>7877.9232815594287</v>
      </c>
      <c r="AC846" s="10">
        <f t="shared" ca="1" si="1665"/>
        <v>32463.966132663947</v>
      </c>
      <c r="AD846" s="10">
        <f t="shared" ca="1" si="1665"/>
        <v>64951.660709512071</v>
      </c>
      <c r="AE846" s="10">
        <f t="shared" ca="1" si="1665"/>
        <v>19521.853085825896</v>
      </c>
      <c r="AF846" s="10">
        <f ca="1">SUM(Y846:AE846)</f>
        <v>155932.84480717103</v>
      </c>
      <c r="AH846" s="10">
        <f t="shared" ref="AH846:AN846" ca="1" si="1666">AH800</f>
        <v>17570.765603837644</v>
      </c>
      <c r="AI846" s="10">
        <f t="shared" ca="1" si="1666"/>
        <v>2261.5931670680961</v>
      </c>
      <c r="AJ846" s="10">
        <f t="shared" ca="1" si="1666"/>
        <v>9994.1663174113892</v>
      </c>
      <c r="AK846" s="10">
        <f t="shared" ca="1" si="1666"/>
        <v>2885.651967052087</v>
      </c>
      <c r="AL846" s="10">
        <f t="shared" ca="1" si="1666"/>
        <v>14081.627328482418</v>
      </c>
      <c r="AM846" s="10">
        <f t="shared" ca="1" si="1666"/>
        <v>26531.604502009846</v>
      </c>
      <c r="AN846" s="10">
        <f t="shared" ca="1" si="1666"/>
        <v>13802.056955848908</v>
      </c>
      <c r="AO846" s="10">
        <f ca="1">SUM(AH846:AN846)</f>
        <v>87127.465841710393</v>
      </c>
      <c r="AQ846" s="10">
        <f t="shared" ref="AQ846:AW846" ca="1" si="1667">AQ800</f>
        <v>5971.6905611606398</v>
      </c>
      <c r="AR846" s="10">
        <f t="shared" ca="1" si="1667"/>
        <v>2552.8911555962159</v>
      </c>
      <c r="AS846" s="10">
        <f t="shared" ca="1" si="1667"/>
        <v>15950.302675877292</v>
      </c>
      <c r="AT846" s="10">
        <f t="shared" ca="1" si="1667"/>
        <v>4642.5660450726618</v>
      </c>
      <c r="AU846" s="10">
        <f t="shared" ca="1" si="1667"/>
        <v>14365.016335840943</v>
      </c>
      <c r="AV846" s="10">
        <f t="shared" ca="1" si="1667"/>
        <v>24469.846484730482</v>
      </c>
      <c r="AW846" s="10">
        <f t="shared" ca="1" si="1667"/>
        <v>8223.1249489336733</v>
      </c>
      <c r="AX846" s="10">
        <f ca="1">SUM(AQ846:AW846)</f>
        <v>76175.438207211919</v>
      </c>
      <c r="AZ846" s="10">
        <f t="shared" ref="AZ846:BF846" ca="1" si="1668">AZ800</f>
        <v>3693.9106038889827</v>
      </c>
      <c r="BA846" s="10">
        <f t="shared" ca="1" si="1668"/>
        <v>1104.2678850901034</v>
      </c>
      <c r="BB846" s="10">
        <f t="shared" ca="1" si="1668"/>
        <v>7279.7113992588529</v>
      </c>
      <c r="BC846" s="10">
        <f t="shared" ca="1" si="1668"/>
        <v>2115.1000262080493</v>
      </c>
      <c r="BD846" s="10">
        <f t="shared" ca="1" si="1668"/>
        <v>7307.9219193605077</v>
      </c>
      <c r="BE846" s="10">
        <f t="shared" ca="1" si="1668"/>
        <v>11373.519132929259</v>
      </c>
      <c r="BF846" s="10">
        <f t="shared" ca="1" si="1668"/>
        <v>3936.0210641133472</v>
      </c>
      <c r="BG846" s="10">
        <f ca="1">SUM(AZ846:BF846)</f>
        <v>36810.452030849097</v>
      </c>
      <c r="BI846" s="10">
        <f t="shared" ref="BI846:BO846" ca="1" si="1669">BI800</f>
        <v>1130.8839939767122</v>
      </c>
      <c r="BJ846" s="10">
        <f t="shared" ca="1" si="1669"/>
        <v>356.26782430902614</v>
      </c>
      <c r="BK846" s="10">
        <f t="shared" ca="1" si="1669"/>
        <v>2286.4774236457069</v>
      </c>
      <c r="BL846" s="10">
        <f t="shared" ca="1" si="1669"/>
        <v>666.95536869372836</v>
      </c>
      <c r="BM846" s="10">
        <f t="shared" ca="1" si="1669"/>
        <v>2279.4323169279733</v>
      </c>
      <c r="BN846" s="10">
        <f t="shared" ca="1" si="1669"/>
        <v>3569.1036272140477</v>
      </c>
      <c r="BO846" s="10">
        <f t="shared" ca="1" si="1669"/>
        <v>1234.9634433620877</v>
      </c>
      <c r="BP846" s="10">
        <f ca="1">SUM(BI846:BO846)</f>
        <v>11524.083998129281</v>
      </c>
    </row>
    <row r="847" spans="2:68" ht="13.2" customHeight="1">
      <c r="B847" s="309" t="str">
        <f>CONCATENATE("Above row repeats figures in Row ",O800,".")</f>
        <v>Above row repeats figures in Row 800.</v>
      </c>
      <c r="G847" s="1126" t="s">
        <v>1009</v>
      </c>
      <c r="H847" s="1122"/>
      <c r="I847" s="1122"/>
      <c r="J847" s="1122"/>
      <c r="K847" s="1122"/>
      <c r="L847" s="1122"/>
      <c r="M847" s="1122"/>
      <c r="O847" s="39">
        <f>ROW()</f>
        <v>847</v>
      </c>
      <c r="AQ847" s="265" t="str">
        <f>CONCATENATE("Row ",O848, " figures are set equal to ",O846, " figures, since rebound effects are presumed accounted for by taxi time-elasticity.")</f>
        <v>Row 848 figures are set equal to 846 figures, since rebound effects are presumed accounted for by taxi time-elasticity.</v>
      </c>
    </row>
    <row r="848" spans="2:68" ht="13.2" customHeight="1">
      <c r="B848" s="280" t="s">
        <v>1300</v>
      </c>
      <c r="G848" s="1122">
        <f t="shared" ref="G848:M849" ca="1" si="1670">P848+Y848+AH848+AQ848+AZ848+BI848</f>
        <v>54284.956352650974</v>
      </c>
      <c r="H848" s="1122">
        <f t="shared" ca="1" si="1670"/>
        <v>17441.981910791634</v>
      </c>
      <c r="I848" s="1122">
        <f t="shared" ca="1" si="1670"/>
        <v>115489.47439488491</v>
      </c>
      <c r="J848" s="1122">
        <f t="shared" ca="1" si="1670"/>
        <v>34086.146154483562</v>
      </c>
      <c r="K848" s="1122">
        <f t="shared" ca="1" si="1670"/>
        <v>117350.49116360958</v>
      </c>
      <c r="L848" s="1122">
        <f t="shared" ca="1" si="1670"/>
        <v>178321.61530274118</v>
      </c>
      <c r="M848" s="1122">
        <f t="shared" ca="1" si="1670"/>
        <v>59792.762125416659</v>
      </c>
      <c r="N848" s="617">
        <f ca="1">SUM(G848:M848)</f>
        <v>576767.42740457843</v>
      </c>
      <c r="O848" s="39">
        <f>ROW()</f>
        <v>848</v>
      </c>
      <c r="P848" s="10">
        <f t="shared" ref="P848:V848" ca="1" si="1671">P846*P837</f>
        <v>9416.6616731566392</v>
      </c>
      <c r="Q848" s="10">
        <f t="shared" ca="1" si="1671"/>
        <v>9957.6793715093354</v>
      </c>
      <c r="R848" s="10">
        <f t="shared" ca="1" si="1671"/>
        <v>66572.765475568944</v>
      </c>
      <c r="S848" s="10">
        <f t="shared" ca="1" si="1671"/>
        <v>15899.813105171537</v>
      </c>
      <c r="T848" s="10">
        <f t="shared" ca="1" si="1671"/>
        <v>46859.625950975722</v>
      </c>
      <c r="U848" s="10">
        <f t="shared" ca="1" si="1671"/>
        <v>47415.609388438861</v>
      </c>
      <c r="V848" s="10">
        <f t="shared" ca="1" si="1671"/>
        <v>13080.332352767238</v>
      </c>
      <c r="W848" s="10">
        <f ca="1">SUM(P848:V848)</f>
        <v>209202.4873175883</v>
      </c>
      <c r="Y848" s="10">
        <f t="shared" ref="Y848:AE848" ca="1" si="1672">Y846*Y837</f>
        <v>16501.039660738177</v>
      </c>
      <c r="Z848" s="10">
        <f t="shared" ca="1" si="1672"/>
        <v>1209.2170842714449</v>
      </c>
      <c r="AA848" s="10">
        <f t="shared" ca="1" si="1672"/>
        <v>13406.719698035116</v>
      </c>
      <c r="AB848" s="10">
        <f t="shared" ca="1" si="1672"/>
        <v>7876.9134229085148</v>
      </c>
      <c r="AC848" s="10">
        <f t="shared" ca="1" si="1672"/>
        <v>32460.465920925493</v>
      </c>
      <c r="AD848" s="10">
        <f t="shared" ca="1" si="1672"/>
        <v>64957.311151070346</v>
      </c>
      <c r="AE848" s="10">
        <f t="shared" ca="1" si="1672"/>
        <v>19519.758585862528</v>
      </c>
      <c r="AF848" s="10">
        <f ca="1">SUM(Y848:AE848)</f>
        <v>155931.4255238116</v>
      </c>
      <c r="AH848" s="10">
        <f t="shared" ref="AH848:AN848" ca="1" si="1673">AH846*AH837</f>
        <v>17570.780464709776</v>
      </c>
      <c r="AI848" s="10">
        <f t="shared" ca="1" si="1673"/>
        <v>2261.6576873939139</v>
      </c>
      <c r="AJ848" s="10">
        <f t="shared" ca="1" si="1673"/>
        <v>9993.6015689388587</v>
      </c>
      <c r="AK848" s="10">
        <f t="shared" ca="1" si="1673"/>
        <v>2884.9158025723186</v>
      </c>
      <c r="AL848" s="10">
        <f t="shared" ca="1" si="1673"/>
        <v>14078.37737465371</v>
      </c>
      <c r="AM848" s="10">
        <f t="shared" ca="1" si="1673"/>
        <v>26535.845911111155</v>
      </c>
      <c r="AN848" s="10">
        <f t="shared" ca="1" si="1673"/>
        <v>13798.746977241621</v>
      </c>
      <c r="AO848" s="10">
        <f ca="1">SUM(AH848:AN848)</f>
        <v>87123.925786621359</v>
      </c>
      <c r="AQ848" s="10">
        <f ca="1">AQ846</f>
        <v>5971.6905611606398</v>
      </c>
      <c r="AR848" s="10">
        <f t="shared" ref="AR848:AW848" ca="1" si="1674">AR846</f>
        <v>2552.8911555962159</v>
      </c>
      <c r="AS848" s="10">
        <f t="shared" ca="1" si="1674"/>
        <v>15950.302675877292</v>
      </c>
      <c r="AT848" s="10">
        <f t="shared" ca="1" si="1674"/>
        <v>4642.5660450726618</v>
      </c>
      <c r="AU848" s="10">
        <f t="shared" ca="1" si="1674"/>
        <v>14365.016335840943</v>
      </c>
      <c r="AV848" s="10">
        <f t="shared" ca="1" si="1674"/>
        <v>24469.846484730482</v>
      </c>
      <c r="AW848" s="10">
        <f t="shared" ca="1" si="1674"/>
        <v>8223.1249489336733</v>
      </c>
      <c r="AX848" s="10">
        <f ca="1">SUM(AQ848:AW848)</f>
        <v>76175.438207211919</v>
      </c>
      <c r="AZ848" s="10">
        <f t="shared" ref="AZ848:BF848" ca="1" si="1675">AZ846*AZ837</f>
        <v>3693.9022171521569</v>
      </c>
      <c r="BA848" s="10">
        <f t="shared" ca="1" si="1675"/>
        <v>1104.2680051536622</v>
      </c>
      <c r="BB848" s="10">
        <f t="shared" ca="1" si="1675"/>
        <v>7279.6428314602381</v>
      </c>
      <c r="BC848" s="10">
        <f t="shared" ca="1" si="1675"/>
        <v>2115.0232553727874</v>
      </c>
      <c r="BD848" s="10">
        <f t="shared" ca="1" si="1675"/>
        <v>7307.6916681333487</v>
      </c>
      <c r="BE848" s="10">
        <f t="shared" ca="1" si="1675"/>
        <v>11373.756283332516</v>
      </c>
      <c r="BF848" s="10">
        <f t="shared" ca="1" si="1675"/>
        <v>3935.8993987773119</v>
      </c>
      <c r="BG848" s="10">
        <f ca="1">SUM(AZ848:BF848)</f>
        <v>36810.183659382026</v>
      </c>
      <c r="BI848" s="10">
        <f t="shared" ref="BI848:BO848" ca="1" si="1676">BI846*BI837</f>
        <v>1130.8817757335748</v>
      </c>
      <c r="BJ848" s="10">
        <f t="shared" ca="1" si="1676"/>
        <v>356.26860686706237</v>
      </c>
      <c r="BK848" s="10">
        <f t="shared" ca="1" si="1676"/>
        <v>2286.4421450044674</v>
      </c>
      <c r="BL848" s="10">
        <f t="shared" ca="1" si="1676"/>
        <v>666.91452338574061</v>
      </c>
      <c r="BM848" s="10">
        <f t="shared" ca="1" si="1676"/>
        <v>2279.3139130803656</v>
      </c>
      <c r="BN848" s="10">
        <f t="shared" ca="1" si="1676"/>
        <v>3569.2460840578465</v>
      </c>
      <c r="BO848" s="10">
        <f t="shared" ca="1" si="1676"/>
        <v>1234.8998618342875</v>
      </c>
      <c r="BP848" s="10">
        <f ca="1">SUM(BI848:BO848)</f>
        <v>11523.966909963347</v>
      </c>
    </row>
    <row r="849" spans="2:68" ht="13.2" customHeight="1">
      <c r="B849" s="280" t="s">
        <v>112</v>
      </c>
      <c r="G849" s="1122">
        <f t="shared" ca="1" si="1670"/>
        <v>85797.226736149052</v>
      </c>
      <c r="H849" s="1122">
        <f t="shared" ca="1" si="1670"/>
        <v>26708.39640994378</v>
      </c>
      <c r="I849" s="1122">
        <f t="shared" ca="1" si="1670"/>
        <v>174276.53711345146</v>
      </c>
      <c r="J849" s="1122">
        <f t="shared" ca="1" si="1670"/>
        <v>51300.804347250938</v>
      </c>
      <c r="K849" s="1122">
        <f t="shared" ca="1" si="1670"/>
        <v>176887.25414156509</v>
      </c>
      <c r="L849" s="1122">
        <f t="shared" ca="1" si="1670"/>
        <v>273122.9581197385</v>
      </c>
      <c r="M849" s="1122">
        <f t="shared" ca="1" si="1670"/>
        <v>93551.856654741656</v>
      </c>
      <c r="N849" s="186">
        <f ca="1">SUM(G849:M849)</f>
        <v>881645.03352284047</v>
      </c>
      <c r="O849" s="39">
        <f>ROW()</f>
        <v>849</v>
      </c>
      <c r="P849" s="10">
        <f t="shared" ref="P849:V849" ca="1" si="1677">P848*$I$85</f>
        <v>11770.827091445799</v>
      </c>
      <c r="Q849" s="10">
        <f t="shared" ca="1" si="1677"/>
        <v>12447.09921438667</v>
      </c>
      <c r="R849" s="10">
        <f t="shared" ca="1" si="1677"/>
        <v>83215.95684446118</v>
      </c>
      <c r="S849" s="10">
        <f t="shared" ca="1" si="1677"/>
        <v>19874.766381464422</v>
      </c>
      <c r="T849" s="10">
        <f t="shared" ca="1" si="1677"/>
        <v>58574.532438719652</v>
      </c>
      <c r="U849" s="10">
        <f t="shared" ca="1" si="1677"/>
        <v>59269.511735548578</v>
      </c>
      <c r="V849" s="10">
        <f t="shared" ca="1" si="1677"/>
        <v>16350.415440959048</v>
      </c>
      <c r="W849" s="10">
        <f ca="1">SUM(P849:V849)</f>
        <v>261503.10914698534</v>
      </c>
      <c r="Y849" s="10">
        <f t="shared" ref="Y849:AE849" ca="1" si="1678">Y848*$J$85</f>
        <v>20626.29957592272</v>
      </c>
      <c r="Z849" s="10">
        <f t="shared" ca="1" si="1678"/>
        <v>1511.5213553393062</v>
      </c>
      <c r="AA849" s="10">
        <f t="shared" ca="1" si="1678"/>
        <v>16758.399622543897</v>
      </c>
      <c r="AB849" s="10">
        <f t="shared" ca="1" si="1678"/>
        <v>9846.1417786356433</v>
      </c>
      <c r="AC849" s="10">
        <f t="shared" ca="1" si="1678"/>
        <v>40575.582401156869</v>
      </c>
      <c r="AD849" s="10">
        <f t="shared" ca="1" si="1678"/>
        <v>81196.638938837932</v>
      </c>
      <c r="AE849" s="10">
        <f t="shared" ca="1" si="1678"/>
        <v>24399.698232328159</v>
      </c>
      <c r="AF849" s="10">
        <f ca="1">SUM(Y849:AE849)</f>
        <v>194914.28190476453</v>
      </c>
      <c r="AH849" s="10">
        <f t="shared" ref="AH849:AN849" ca="1" si="1679">AH848*$K$85</f>
        <v>28113.248743535645</v>
      </c>
      <c r="AI849" s="10">
        <f t="shared" ca="1" si="1679"/>
        <v>3618.6522998302626</v>
      </c>
      <c r="AJ849" s="10">
        <f t="shared" ca="1" si="1679"/>
        <v>15989.762510302175</v>
      </c>
      <c r="AK849" s="10">
        <f t="shared" ca="1" si="1679"/>
        <v>4615.86528411571</v>
      </c>
      <c r="AL849" s="10">
        <f t="shared" ca="1" si="1679"/>
        <v>22525.403799445936</v>
      </c>
      <c r="AM849" s="10">
        <f t="shared" ca="1" si="1679"/>
        <v>42457.353457777848</v>
      </c>
      <c r="AN849" s="10">
        <f t="shared" ca="1" si="1679"/>
        <v>22077.995163586595</v>
      </c>
      <c r="AO849" s="10">
        <f ca="1">SUM(AH849:AN849)</f>
        <v>139398.28125859419</v>
      </c>
      <c r="AQ849" s="10">
        <f ca="1">AQ848*$L$85</f>
        <v>11943.38112232128</v>
      </c>
      <c r="AR849" s="10">
        <f t="shared" ref="AR849:AW849" ca="1" si="1680">AR848*$L$85</f>
        <v>5105.7823111924317</v>
      </c>
      <c r="AS849" s="10">
        <f t="shared" ca="1" si="1680"/>
        <v>31900.605351754584</v>
      </c>
      <c r="AT849" s="10">
        <f t="shared" ca="1" si="1680"/>
        <v>9285.1320901453237</v>
      </c>
      <c r="AU849" s="10">
        <f t="shared" ca="1" si="1680"/>
        <v>28730.032671681885</v>
      </c>
      <c r="AV849" s="10">
        <f t="shared" ca="1" si="1680"/>
        <v>48939.692969460964</v>
      </c>
      <c r="AW849" s="10">
        <f t="shared" ca="1" si="1680"/>
        <v>16446.249897867347</v>
      </c>
      <c r="AX849" s="10">
        <f ca="1">SUM(AQ849:AW849)</f>
        <v>152350.87641442384</v>
      </c>
      <c r="AZ849" s="10">
        <f t="shared" ref="AZ849:BF849" ca="1" si="1681">AZ848*$M$85</f>
        <v>11081.70665145647</v>
      </c>
      <c r="BA849" s="10">
        <f t="shared" ca="1" si="1681"/>
        <v>3312.8040154609866</v>
      </c>
      <c r="BB849" s="10">
        <f t="shared" ca="1" si="1681"/>
        <v>21838.928494380714</v>
      </c>
      <c r="BC849" s="10">
        <f t="shared" ca="1" si="1681"/>
        <v>6345.0697661183622</v>
      </c>
      <c r="BD849" s="10">
        <f t="shared" ca="1" si="1681"/>
        <v>21923.075004400045</v>
      </c>
      <c r="BE849" s="10">
        <f t="shared" ca="1" si="1681"/>
        <v>34121.268849997548</v>
      </c>
      <c r="BF849" s="10">
        <f t="shared" ca="1" si="1681"/>
        <v>11807.698196331936</v>
      </c>
      <c r="BG849" s="10">
        <f ca="1">SUM(AZ849:BF849)</f>
        <v>110430.55097814607</v>
      </c>
      <c r="BI849" s="10">
        <f t="shared" ref="BI849:BO849" ca="1" si="1682">BI848*$N$85</f>
        <v>2261.7635514671497</v>
      </c>
      <c r="BJ849" s="10">
        <f t="shared" ca="1" si="1682"/>
        <v>712.53721373412475</v>
      </c>
      <c r="BK849" s="10">
        <f t="shared" ca="1" si="1682"/>
        <v>4572.8842900089348</v>
      </c>
      <c r="BL849" s="10">
        <f t="shared" ca="1" si="1682"/>
        <v>1333.8290467714812</v>
      </c>
      <c r="BM849" s="10">
        <f t="shared" ca="1" si="1682"/>
        <v>4558.6278261607313</v>
      </c>
      <c r="BN849" s="10">
        <f t="shared" ca="1" si="1682"/>
        <v>7138.4921681156929</v>
      </c>
      <c r="BO849" s="10">
        <f t="shared" ca="1" si="1682"/>
        <v>2469.7997236685751</v>
      </c>
      <c r="BP849" s="10">
        <f ca="1">SUM(BI849:BO849)</f>
        <v>23047.933819926693</v>
      </c>
    </row>
    <row r="850" spans="2:68" ht="13.2" customHeight="1">
      <c r="G850" s="1122"/>
      <c r="H850" s="1122"/>
      <c r="I850" s="1128"/>
      <c r="J850" s="3454"/>
      <c r="K850" s="3454"/>
      <c r="L850" s="3454"/>
      <c r="M850" s="3455" t="s">
        <v>6039</v>
      </c>
      <c r="N850" s="756">
        <f ca="1">(W850*W848+AF850*AF848+AO850*AO848+BG850*BG848+BP850*BP848)/(W848+AF848+AO848+BG848+BP848)</f>
        <v>7.8246265845948972</v>
      </c>
      <c r="O850" s="39">
        <f>ROW()</f>
        <v>850</v>
      </c>
      <c r="V850" s="1816" t="s">
        <v>6039</v>
      </c>
      <c r="W850" s="591">
        <f ca="1">SUMPRODUCT(P848:V848,P$291:V$291)/W848</f>
        <v>6.6260979127944557</v>
      </c>
      <c r="AE850" s="1816" t="s">
        <v>6039</v>
      </c>
      <c r="AF850" s="591">
        <f ca="1">SUMPRODUCT(Y848:AE848,Y$291:AE$291)/AF848</f>
        <v>6.3490645636210168</v>
      </c>
      <c r="AN850" s="1816" t="s">
        <v>6039</v>
      </c>
      <c r="AO850" s="591">
        <f ca="1">SUMPRODUCT(AH848:AN848,AH$291:AN$291)/AO848</f>
        <v>10.600141480506514</v>
      </c>
      <c r="BF850" s="1816" t="s">
        <v>6039</v>
      </c>
      <c r="BG850" s="591">
        <f ca="1">SUMPRODUCT(AZ848:BF848,AZ$291:BF$291)/BG848</f>
        <v>13.119700837160787</v>
      </c>
      <c r="BO850" s="1816" t="s">
        <v>6039</v>
      </c>
      <c r="BP850" s="591">
        <f ca="1">SUMPRODUCT(BI848:BO848,BI$291:BO$291)/BP848</f>
        <v>11.651022429687716</v>
      </c>
    </row>
    <row r="851" spans="2:68" ht="13.2" customHeight="1">
      <c r="B851" s="308" t="s">
        <v>1010</v>
      </c>
      <c r="G851" s="1122"/>
      <c r="H851" s="1122"/>
      <c r="I851" s="1129"/>
      <c r="J851" s="1130"/>
      <c r="K851" s="1130"/>
      <c r="L851" s="1130"/>
      <c r="M851" s="1130"/>
      <c r="N851" s="3456" t="s">
        <v>6040</v>
      </c>
      <c r="O851" s="39">
        <f>ROW()</f>
        <v>851</v>
      </c>
      <c r="P851" s="10"/>
      <c r="Q851" s="10"/>
      <c r="R851" s="10"/>
      <c r="S851" s="10"/>
      <c r="T851" s="10"/>
      <c r="U851" s="10"/>
      <c r="V851" s="10"/>
      <c r="W851" s="10"/>
      <c r="Y851" s="10"/>
      <c r="Z851" s="10"/>
      <c r="AA851" s="10"/>
      <c r="AB851" s="10"/>
      <c r="AC851" s="10"/>
      <c r="AD851" s="10"/>
      <c r="AE851" s="10"/>
      <c r="AF851" s="10"/>
      <c r="AH851" s="10"/>
      <c r="AI851" s="10"/>
      <c r="AJ851" s="10"/>
      <c r="AK851" s="10"/>
      <c r="AL851" s="10"/>
      <c r="AM851" s="10"/>
      <c r="AN851" s="10"/>
      <c r="AO851" s="10"/>
      <c r="AQ851" s="10"/>
      <c r="AR851" s="10"/>
      <c r="AS851" s="10"/>
      <c r="AT851" s="10"/>
      <c r="AU851" s="10"/>
      <c r="AV851" s="10"/>
      <c r="AW851" s="10"/>
      <c r="AX851" s="10"/>
      <c r="AZ851" s="10"/>
      <c r="BA851" s="10"/>
      <c r="BB851" s="10"/>
      <c r="BC851" s="10"/>
      <c r="BD851" s="10"/>
      <c r="BE851" s="10"/>
      <c r="BF851" s="10"/>
      <c r="BG851" s="10"/>
      <c r="BI851" s="10"/>
      <c r="BJ851" s="10"/>
      <c r="BK851" s="10"/>
      <c r="BL851" s="10"/>
      <c r="BM851" s="10"/>
      <c r="BN851" s="10"/>
      <c r="BO851" s="10"/>
      <c r="BP851" s="10"/>
    </row>
    <row r="852" spans="2:68" ht="13.2" customHeight="1">
      <c r="B852" s="280" t="s">
        <v>1301</v>
      </c>
      <c r="G852" s="1122">
        <f t="shared" ref="G852:M854" ca="1" si="1683">P852+Y852+AH852+AQ852+AZ852+BI852</f>
        <v>67886.326838211928</v>
      </c>
      <c r="H852" s="1122">
        <f t="shared" ca="1" si="1683"/>
        <v>13768.723623711228</v>
      </c>
      <c r="I852" s="1122">
        <f t="shared" ca="1" si="1683"/>
        <v>80587.213062326104</v>
      </c>
      <c r="J852" s="1122">
        <f t="shared" ca="1" si="1683"/>
        <v>25261.661536603329</v>
      </c>
      <c r="K852" s="1122">
        <f t="shared" ca="1" si="1683"/>
        <v>99834.637074356826</v>
      </c>
      <c r="L852" s="1122">
        <f t="shared" ca="1" si="1683"/>
        <v>208729.50033663999</v>
      </c>
      <c r="M852" s="1122">
        <f t="shared" ca="1" si="1683"/>
        <v>80711.170677560658</v>
      </c>
      <c r="N852" s="186">
        <f ca="1">SUM(G852:M852)</f>
        <v>576779.23314940999</v>
      </c>
      <c r="O852" s="39">
        <f>ROW()</f>
        <v>852</v>
      </c>
      <c r="P852" s="10">
        <f t="shared" ref="P852:W852" ca="1" si="1684">P$135*$W846</f>
        <v>25874.945552872949</v>
      </c>
      <c r="Q852" s="10">
        <f t="shared" ca="1" si="1684"/>
        <v>4687.2447597691344</v>
      </c>
      <c r="R852" s="10">
        <f t="shared" ca="1" si="1684"/>
        <v>27012.619915449559</v>
      </c>
      <c r="S852" s="10">
        <f t="shared" ca="1" si="1684"/>
        <v>8616.9927705865084</v>
      </c>
      <c r="T852" s="10">
        <f t="shared" ca="1" si="1684"/>
        <v>35718.885162109917</v>
      </c>
      <c r="U852" s="10">
        <f t="shared" ca="1" si="1684"/>
        <v>77004.546867967787</v>
      </c>
      <c r="V852" s="10">
        <f t="shared" ca="1" si="1684"/>
        <v>30293.713235582552</v>
      </c>
      <c r="W852" s="10">
        <f t="shared" ca="1" si="1684"/>
        <v>209208.94826433843</v>
      </c>
      <c r="Y852" s="10">
        <f t="shared" ref="Y852:AE852" ca="1" si="1685">Y$135*$AF846</f>
        <v>19285.761449324677</v>
      </c>
      <c r="Z852" s="10">
        <f t="shared" ca="1" si="1685"/>
        <v>3493.6144737691125</v>
      </c>
      <c r="AA852" s="10">
        <f t="shared" ca="1" si="1685"/>
        <v>20133.721353967983</v>
      </c>
      <c r="AB852" s="10">
        <f t="shared" ca="1" si="1685"/>
        <v>6422.6325286174297</v>
      </c>
      <c r="AC852" s="10">
        <f t="shared" ca="1" si="1685"/>
        <v>26622.892676803658</v>
      </c>
      <c r="AD852" s="10">
        <f t="shared" ca="1" si="1685"/>
        <v>57394.954450216246</v>
      </c>
      <c r="AE852" s="10">
        <f t="shared" ca="1" si="1685"/>
        <v>22579.267874471934</v>
      </c>
      <c r="AF852" s="10">
        <f ca="1">SUM(Y852:AE852)</f>
        <v>155932.84480717106</v>
      </c>
      <c r="AH852" s="10">
        <f t="shared" ref="AH852:AN852" ca="1" si="1686">AH$135*$AO846</f>
        <v>10775.917825300501</v>
      </c>
      <c r="AI852" s="10">
        <f t="shared" ca="1" si="1686"/>
        <v>1952.0568364146536</v>
      </c>
      <c r="AJ852" s="10">
        <f t="shared" ca="1" si="1686"/>
        <v>11249.715361145574</v>
      </c>
      <c r="AK852" s="10">
        <f t="shared" ca="1" si="1686"/>
        <v>3588.6454642892463</v>
      </c>
      <c r="AL852" s="10">
        <f t="shared" ca="1" si="1686"/>
        <v>14875.539371927494</v>
      </c>
      <c r="AM852" s="10">
        <f t="shared" ca="1" si="1686"/>
        <v>32069.426678719643</v>
      </c>
      <c r="AN852" s="10">
        <f t="shared" ca="1" si="1686"/>
        <v>12616.164303913294</v>
      </c>
      <c r="AO852" s="10">
        <f ca="1">SUM(AH852:AN852)</f>
        <v>87127.465841710393</v>
      </c>
      <c r="AQ852" s="10">
        <f t="shared" ref="AQ852:AW852" ca="1" si="1687">AQ846</f>
        <v>5971.6905611606398</v>
      </c>
      <c r="AR852" s="10">
        <f t="shared" ca="1" si="1687"/>
        <v>2552.8911555962159</v>
      </c>
      <c r="AS852" s="10">
        <f t="shared" ca="1" si="1687"/>
        <v>15950.302675877292</v>
      </c>
      <c r="AT852" s="10">
        <f t="shared" ca="1" si="1687"/>
        <v>4642.5660450726618</v>
      </c>
      <c r="AU852" s="10">
        <f t="shared" ca="1" si="1687"/>
        <v>14365.016335840943</v>
      </c>
      <c r="AV852" s="10">
        <f t="shared" ca="1" si="1687"/>
        <v>24469.846484730482</v>
      </c>
      <c r="AW852" s="10">
        <f t="shared" ca="1" si="1687"/>
        <v>8223.1249489336733</v>
      </c>
      <c r="AX852" s="10">
        <f ca="1">SUM(AQ852:AW852)</f>
        <v>76175.438207211919</v>
      </c>
      <c r="AZ852" s="10">
        <f t="shared" ref="AZ852:BF852" ca="1" si="1688">AZ$135*$BG846</f>
        <v>4552.7136863735141</v>
      </c>
      <c r="BA852" s="10">
        <f t="shared" ca="1" si="1688"/>
        <v>824.72379799129976</v>
      </c>
      <c r="BB852" s="10">
        <f t="shared" ca="1" si="1688"/>
        <v>4752.8882386466757</v>
      </c>
      <c r="BC852" s="10">
        <f t="shared" ca="1" si="1688"/>
        <v>1516.1655448459469</v>
      </c>
      <c r="BD852" s="10">
        <f t="shared" ca="1" si="1688"/>
        <v>6284.7613343667836</v>
      </c>
      <c r="BE852" s="10">
        <f t="shared" ca="1" si="1688"/>
        <v>13549.000662529399</v>
      </c>
      <c r="BF852" s="10">
        <f t="shared" ca="1" si="1688"/>
        <v>5330.198766095481</v>
      </c>
      <c r="BG852" s="10">
        <f ca="1">SUM(AZ852:BF852)</f>
        <v>36810.452030849105</v>
      </c>
      <c r="BI852" s="10">
        <f t="shared" ref="BI852:BO852" ca="1" si="1689">BI$135*$BP846</f>
        <v>1425.2977631796541</v>
      </c>
      <c r="BJ852" s="10">
        <f t="shared" ca="1" si="1689"/>
        <v>258.19260017081376</v>
      </c>
      <c r="BK852" s="10">
        <f t="shared" ca="1" si="1689"/>
        <v>1487.9655172390335</v>
      </c>
      <c r="BL852" s="10">
        <f t="shared" ca="1" si="1689"/>
        <v>474.65918319153838</v>
      </c>
      <c r="BM852" s="10">
        <f t="shared" ca="1" si="1689"/>
        <v>1967.5421933080572</v>
      </c>
      <c r="BN852" s="10">
        <f t="shared" ca="1" si="1689"/>
        <v>4241.7251924764369</v>
      </c>
      <c r="BO852" s="10">
        <f t="shared" ca="1" si="1689"/>
        <v>1668.7015485637455</v>
      </c>
      <c r="BP852" s="10">
        <f ca="1">SUM(BI852:BO852)</f>
        <v>11524.083998129279</v>
      </c>
    </row>
    <row r="853" spans="2:68" ht="13.2" customHeight="1">
      <c r="B853" s="309"/>
      <c r="G853" s="1122"/>
      <c r="H853" s="1122"/>
      <c r="I853" s="1122"/>
      <c r="J853" s="1122"/>
      <c r="K853" s="1122"/>
      <c r="L853" s="1122"/>
      <c r="M853" s="1122"/>
      <c r="O853" s="39">
        <f>ROW()</f>
        <v>853</v>
      </c>
    </row>
    <row r="854" spans="2:68" ht="13.2" customHeight="1">
      <c r="B854" s="280" t="s">
        <v>1047</v>
      </c>
      <c r="G854" s="1122">
        <f t="shared" ca="1" si="1683"/>
        <v>67884.866704659988</v>
      </c>
      <c r="H854" s="1122">
        <f t="shared" ca="1" si="1683"/>
        <v>13768.459120610112</v>
      </c>
      <c r="I854" s="1122">
        <f t="shared" ca="1" si="1683"/>
        <v>80585.688729353744</v>
      </c>
      <c r="J854" s="1122">
        <f t="shared" ca="1" si="1683"/>
        <v>25261.175276246358</v>
      </c>
      <c r="K854" s="1122">
        <f t="shared" ca="1" si="1683"/>
        <v>99832.621443345881</v>
      </c>
      <c r="L854" s="1122">
        <f t="shared" ca="1" si="1683"/>
        <v>208725.15493918577</v>
      </c>
      <c r="M854" s="1122">
        <f t="shared" ca="1" si="1683"/>
        <v>80709.461191176728</v>
      </c>
      <c r="N854" s="186">
        <f ca="1">SUM(G854:M854)</f>
        <v>576767.42740457854</v>
      </c>
      <c r="O854" s="39">
        <f>ROW()</f>
        <v>854</v>
      </c>
      <c r="P854" s="10">
        <f t="shared" ref="P854:V854" ca="1" si="1690">P852*$W848/$W846</f>
        <v>25874.146463509103</v>
      </c>
      <c r="Q854" s="10">
        <f t="shared" ca="1" si="1690"/>
        <v>4687.100004781124</v>
      </c>
      <c r="R854" s="10">
        <f t="shared" ca="1" si="1690"/>
        <v>27011.785691577668</v>
      </c>
      <c r="S854" s="10">
        <f t="shared" ca="1" si="1690"/>
        <v>8616.7266541899626</v>
      </c>
      <c r="T854" s="10">
        <f t="shared" ca="1" si="1690"/>
        <v>35717.782064862302</v>
      </c>
      <c r="U854" s="10">
        <f t="shared" ca="1" si="1690"/>
        <v>77002.168756128129</v>
      </c>
      <c r="V854" s="10">
        <f t="shared" ca="1" si="1690"/>
        <v>30292.777682539996</v>
      </c>
      <c r="W854" s="10">
        <f ca="1">SUM(P854:V854)</f>
        <v>209202.4873175883</v>
      </c>
      <c r="Y854" s="10">
        <f t="shared" ref="Y854:AE854" ca="1" si="1691">Y852*$AF848/$AF846</f>
        <v>19285.585912475253</v>
      </c>
      <c r="Z854" s="10">
        <f t="shared" ca="1" si="1691"/>
        <v>3493.582675279878</v>
      </c>
      <c r="AA854" s="10">
        <f t="shared" ca="1" si="1691"/>
        <v>20133.538099082096</v>
      </c>
      <c r="AB854" s="10">
        <f t="shared" ca="1" si="1691"/>
        <v>6422.574070532587</v>
      </c>
      <c r="AC854" s="10">
        <f t="shared" ca="1" si="1691"/>
        <v>26622.650358204246</v>
      </c>
      <c r="AD854" s="10">
        <f t="shared" ca="1" si="1691"/>
        <v>57394.432047743132</v>
      </c>
      <c r="AE854" s="10">
        <f t="shared" ca="1" si="1691"/>
        <v>22579.062360494416</v>
      </c>
      <c r="AF854" s="10">
        <f ca="1">SUM(Y854:AE854)</f>
        <v>155931.42552381163</v>
      </c>
      <c r="AH854" s="10">
        <f t="shared" ref="AH854:AN854" ca="1" si="1692">AH852*$AO848/$AO846</f>
        <v>10775.479991577598</v>
      </c>
      <c r="AI854" s="10">
        <f t="shared" ca="1" si="1692"/>
        <v>1951.977522863283</v>
      </c>
      <c r="AJ854" s="10">
        <f t="shared" ca="1" si="1692"/>
        <v>11249.258276669058</v>
      </c>
      <c r="AK854" s="10">
        <f t="shared" ca="1" si="1692"/>
        <v>3588.4996548993386</v>
      </c>
      <c r="AL854" s="10">
        <f t="shared" ca="1" si="1692"/>
        <v>14874.9349674685</v>
      </c>
      <c r="AM854" s="10">
        <f t="shared" ca="1" si="1692"/>
        <v>32068.123673564845</v>
      </c>
      <c r="AN854" s="10">
        <f t="shared" ca="1" si="1692"/>
        <v>12615.651699578752</v>
      </c>
      <c r="AO854" s="10">
        <f ca="1">SUM(AH854:AN854)</f>
        <v>87123.925786621374</v>
      </c>
      <c r="AQ854" s="10">
        <f t="shared" ref="AQ854:AW854" ca="1" si="1693">AQ852*$AX848/$AX846</f>
        <v>5971.6905611606398</v>
      </c>
      <c r="AR854" s="10">
        <f t="shared" ca="1" si="1693"/>
        <v>2552.8911555962159</v>
      </c>
      <c r="AS854" s="10">
        <f t="shared" ca="1" si="1693"/>
        <v>15950.30267587729</v>
      </c>
      <c r="AT854" s="10">
        <f t="shared" ca="1" si="1693"/>
        <v>4642.5660450726618</v>
      </c>
      <c r="AU854" s="10">
        <f t="shared" ca="1" si="1693"/>
        <v>14365.016335840945</v>
      </c>
      <c r="AV854" s="10">
        <f t="shared" ca="1" si="1693"/>
        <v>24469.846484730482</v>
      </c>
      <c r="AW854" s="10">
        <f t="shared" ca="1" si="1693"/>
        <v>8223.1249489336733</v>
      </c>
      <c r="AX854" s="10">
        <f ca="1">SUM(AQ854:AW854)</f>
        <v>76175.438207211919</v>
      </c>
      <c r="AZ854" s="10">
        <f t="shared" ref="AZ854:BF854" ca="1" si="1694">AZ852*$BG848/$BG846</f>
        <v>4552.6804942124909</v>
      </c>
      <c r="BA854" s="10">
        <f t="shared" ca="1" si="1694"/>
        <v>824.71778523341754</v>
      </c>
      <c r="BB854" s="10">
        <f t="shared" ca="1" si="1694"/>
        <v>4752.8535870866144</v>
      </c>
      <c r="BC854" s="10">
        <f t="shared" ca="1" si="1694"/>
        <v>1516.1544910405969</v>
      </c>
      <c r="BD854" s="10">
        <f t="shared" ca="1" si="1694"/>
        <v>6284.715514483396</v>
      </c>
      <c r="BE854" s="10">
        <f t="shared" ca="1" si="1694"/>
        <v>13548.901881748818</v>
      </c>
      <c r="BF854" s="10">
        <f t="shared" ca="1" si="1694"/>
        <v>5330.1599055766956</v>
      </c>
      <c r="BG854" s="10">
        <f ca="1">SUM(AZ854:BF854)</f>
        <v>36810.183659382026</v>
      </c>
      <c r="BI854" s="10">
        <f t="shared" ref="BI854:BO854" ca="1" si="1695">BI852*$BP848/$BP846</f>
        <v>1425.2832817249</v>
      </c>
      <c r="BJ854" s="10">
        <f t="shared" ca="1" si="1695"/>
        <v>258.1899768561957</v>
      </c>
      <c r="BK854" s="10">
        <f t="shared" ca="1" si="1695"/>
        <v>1487.9503990610147</v>
      </c>
      <c r="BL854" s="10">
        <f t="shared" ca="1" si="1695"/>
        <v>474.65436051120969</v>
      </c>
      <c r="BM854" s="10">
        <f t="shared" ca="1" si="1695"/>
        <v>1967.5222024865004</v>
      </c>
      <c r="BN854" s="10">
        <f t="shared" ca="1" si="1695"/>
        <v>4241.6820952703365</v>
      </c>
      <c r="BO854" s="10">
        <f t="shared" ca="1" si="1695"/>
        <v>1668.6845940531878</v>
      </c>
      <c r="BP854" s="10">
        <f ca="1">SUM(BI854:BO854)</f>
        <v>11523.966909963345</v>
      </c>
    </row>
    <row r="855" spans="2:68" ht="13.2" customHeight="1">
      <c r="B855" s="309"/>
      <c r="C855" s="309"/>
      <c r="D855" s="309"/>
      <c r="E855" s="309"/>
      <c r="F855" s="309"/>
      <c r="G855" s="1122"/>
      <c r="H855" s="1122"/>
      <c r="I855" s="1122"/>
      <c r="J855" s="1122"/>
      <c r="K855" s="1122"/>
      <c r="L855" s="1122"/>
      <c r="M855" s="1122"/>
      <c r="N855" s="186"/>
      <c r="O855" s="39">
        <f>ROW()</f>
        <v>855</v>
      </c>
      <c r="AQ855" s="10"/>
      <c r="AR855" s="10"/>
      <c r="AS855" s="10"/>
      <c r="AT855" s="10"/>
      <c r="AU855" s="10"/>
      <c r="AV855" s="10"/>
      <c r="AW855" s="10"/>
    </row>
    <row r="856" spans="2:68" ht="13.2" customHeight="1">
      <c r="B856" s="280" t="s">
        <v>1010</v>
      </c>
      <c r="G856" s="1122">
        <f t="shared" ref="G856:M856" ca="1" si="1696">P856+Y856+AH856+AQ856+AZ856+BI856</f>
        <v>99156.577344332836</v>
      </c>
      <c r="H856" s="1122">
        <f t="shared" ca="1" si="1696"/>
        <v>20168.887429464474</v>
      </c>
      <c r="I856" s="1122">
        <f t="shared" ca="1" si="1696"/>
        <v>118090.38355419302</v>
      </c>
      <c r="J856" s="1122">
        <f t="shared" ca="1" si="1696"/>
        <v>37002.346615495328</v>
      </c>
      <c r="K856" s="1122">
        <f t="shared" ca="1" si="1696"/>
        <v>146062.15192896739</v>
      </c>
      <c r="L856" s="1122">
        <f t="shared" ca="1" si="1696"/>
        <v>305139.58844542567</v>
      </c>
      <c r="M856" s="1122">
        <f t="shared" ca="1" si="1696"/>
        <v>117937.37910135598</v>
      </c>
      <c r="N856" s="186">
        <f ca="1">SUM(G856:M856)</f>
        <v>843557.31441923475</v>
      </c>
      <c r="O856" s="39">
        <f>ROW()</f>
        <v>856</v>
      </c>
      <c r="P856" s="10">
        <f t="shared" ref="P856:V856" ca="1" si="1697">P854*$I$85</f>
        <v>32342.683079386377</v>
      </c>
      <c r="Q856" s="10">
        <f t="shared" ca="1" si="1697"/>
        <v>5858.8750059764052</v>
      </c>
      <c r="R856" s="10">
        <f t="shared" ca="1" si="1697"/>
        <v>33764.732114472085</v>
      </c>
      <c r="S856" s="10">
        <f t="shared" ca="1" si="1697"/>
        <v>10770.908317737452</v>
      </c>
      <c r="T856" s="10">
        <f t="shared" ca="1" si="1697"/>
        <v>44647.227581077881</v>
      </c>
      <c r="U856" s="10">
        <f t="shared" ca="1" si="1697"/>
        <v>96252.710945160157</v>
      </c>
      <c r="V856" s="10">
        <f t="shared" ca="1" si="1697"/>
        <v>37865.972103174994</v>
      </c>
      <c r="W856" s="10">
        <f ca="1">SUM(P856:V856)</f>
        <v>261503.10914698534</v>
      </c>
      <c r="Y856" s="10">
        <f t="shared" ref="Y856:AE856" ca="1" si="1698">Y854*$J$85</f>
        <v>24106.982390594065</v>
      </c>
      <c r="Z856" s="10">
        <f t="shared" ca="1" si="1698"/>
        <v>4366.9783440998472</v>
      </c>
      <c r="AA856" s="10">
        <f t="shared" ca="1" si="1698"/>
        <v>25166.922623852621</v>
      </c>
      <c r="AB856" s="10">
        <f t="shared" ca="1" si="1698"/>
        <v>8028.217588165734</v>
      </c>
      <c r="AC856" s="10">
        <f t="shared" ca="1" si="1698"/>
        <v>33278.312947755308</v>
      </c>
      <c r="AD856" s="10">
        <f t="shared" ca="1" si="1698"/>
        <v>71743.040059678911</v>
      </c>
      <c r="AE856" s="10">
        <f t="shared" ca="1" si="1698"/>
        <v>28223.827950618019</v>
      </c>
      <c r="AF856" s="10">
        <f ca="1">SUM(Y856:AE856)</f>
        <v>194914.2819047645</v>
      </c>
      <c r="AH856" s="10">
        <f t="shared" ref="AH856:AN856" ca="1" si="1699">AH854*$K$85</f>
        <v>17240.767986524159</v>
      </c>
      <c r="AI856" s="10">
        <f t="shared" ca="1" si="1699"/>
        <v>3123.1640365812527</v>
      </c>
      <c r="AJ856" s="10">
        <f t="shared" ca="1" si="1699"/>
        <v>17998.813242670494</v>
      </c>
      <c r="AK856" s="10">
        <f t="shared" ca="1" si="1699"/>
        <v>5741.5994478389421</v>
      </c>
      <c r="AL856" s="10">
        <f t="shared" ca="1" si="1699"/>
        <v>23799.895947949601</v>
      </c>
      <c r="AM856" s="10">
        <f t="shared" ca="1" si="1699"/>
        <v>51308.997877703754</v>
      </c>
      <c r="AN856" s="10">
        <f t="shared" ca="1" si="1699"/>
        <v>20185.042719326004</v>
      </c>
      <c r="AO856" s="10">
        <f ca="1">SUM(AH856:AN856)</f>
        <v>139398.28125859422</v>
      </c>
      <c r="AQ856" s="10">
        <f ca="1">AQ854*$L$85*Taxis!$L$130</f>
        <v>8957.5358417409589</v>
      </c>
      <c r="AR856" s="10">
        <f ca="1">AR854*$L$85*Taxis!$L$130</f>
        <v>3829.3367333943238</v>
      </c>
      <c r="AS856" s="10">
        <f ca="1">AS854*$L$85*Taxis!$L$130</f>
        <v>23925.454013815935</v>
      </c>
      <c r="AT856" s="10">
        <f ca="1">AT854*$L$85*Taxis!$L$130</f>
        <v>6963.8490676089932</v>
      </c>
      <c r="AU856" s="10">
        <f ca="1">AU854*$L$85*Taxis!$L$130</f>
        <v>21547.524503761415</v>
      </c>
      <c r="AV856" s="10">
        <f ca="1">AV854*$L$85*Taxis!$L$130</f>
        <v>36704.769727095721</v>
      </c>
      <c r="AW856" s="10">
        <f ca="1">AW854*$L$85*Taxis!$L$130</f>
        <v>12334.68742340051</v>
      </c>
      <c r="AX856" s="10">
        <f ca="1">SUM(AQ856:AW856)</f>
        <v>114263.15731081786</v>
      </c>
      <c r="AZ856" s="10">
        <f t="shared" ref="AZ856:BF856" ca="1" si="1700">AZ854*$M$85</f>
        <v>13658.041482637473</v>
      </c>
      <c r="BA856" s="10">
        <f t="shared" ca="1" si="1700"/>
        <v>2474.1533557002526</v>
      </c>
      <c r="BB856" s="10">
        <f t="shared" ca="1" si="1700"/>
        <v>14258.560761259843</v>
      </c>
      <c r="BC856" s="10">
        <f t="shared" ca="1" si="1700"/>
        <v>4548.4634731217902</v>
      </c>
      <c r="BD856" s="10">
        <f t="shared" ca="1" si="1700"/>
        <v>18854.146543450188</v>
      </c>
      <c r="BE856" s="10">
        <f t="shared" ca="1" si="1700"/>
        <v>40646.705645246453</v>
      </c>
      <c r="BF856" s="10">
        <f t="shared" ca="1" si="1700"/>
        <v>15990.479716730086</v>
      </c>
      <c r="BG856" s="10">
        <f ca="1">SUM(AZ856:BF856)</f>
        <v>110430.55097814609</v>
      </c>
      <c r="BI856" s="10">
        <f t="shared" ref="BI856:BO856" ca="1" si="1701">BI854*$N$85</f>
        <v>2850.5665634498</v>
      </c>
      <c r="BJ856" s="10">
        <f t="shared" ca="1" si="1701"/>
        <v>516.3799537123914</v>
      </c>
      <c r="BK856" s="10">
        <f t="shared" ca="1" si="1701"/>
        <v>2975.9007981220293</v>
      </c>
      <c r="BL856" s="10">
        <f t="shared" ca="1" si="1701"/>
        <v>949.30872102241938</v>
      </c>
      <c r="BM856" s="10">
        <f t="shared" ca="1" si="1701"/>
        <v>3935.0444049730008</v>
      </c>
      <c r="BN856" s="10">
        <f t="shared" ca="1" si="1701"/>
        <v>8483.364190540673</v>
      </c>
      <c r="BO856" s="10">
        <f t="shared" ca="1" si="1701"/>
        <v>3337.3691881063755</v>
      </c>
      <c r="BP856" s="10">
        <f ca="1">SUM(BI856:BO856)</f>
        <v>23047.933819926689</v>
      </c>
    </row>
    <row r="857" spans="2:68" ht="13.2" customHeight="1">
      <c r="G857" s="1122"/>
      <c r="H857" s="1122"/>
      <c r="I857" s="1122"/>
      <c r="J857" s="1122"/>
      <c r="K857" s="1122"/>
      <c r="L857" s="1122"/>
      <c r="M857" s="1122"/>
      <c r="N857" s="186"/>
      <c r="O857" s="39">
        <f>ROW()</f>
        <v>857</v>
      </c>
      <c r="AQ857"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857" s="10"/>
      <c r="AS857" s="10"/>
      <c r="AT857" s="10"/>
      <c r="AU857" s="10"/>
      <c r="AV857" s="10"/>
      <c r="AW857" s="10"/>
    </row>
    <row r="858" spans="2:68" ht="13.2" customHeight="1">
      <c r="B858" s="308" t="s">
        <v>1431</v>
      </c>
      <c r="G858" s="1122"/>
      <c r="H858" s="1122"/>
      <c r="I858" s="1122"/>
      <c r="J858" s="1122"/>
      <c r="K858" s="1122"/>
      <c r="L858" s="1122"/>
      <c r="M858" s="1122"/>
      <c r="O858" s="39">
        <f>ROW()</f>
        <v>858</v>
      </c>
      <c r="AQ858" s="265" t="str">
        <f>CONCATENATE("Row ",O860, " figures are set equal to ",O859, " figures, since rebound effects are presumed accounted for by taxi time-elasticity.")</f>
        <v>Row 860 figures are set equal to 859 figures, since rebound effects are presumed accounted for by taxi time-elasticity.</v>
      </c>
    </row>
    <row r="859" spans="2:68" s="1122" customFormat="1" ht="13.2" customHeight="1">
      <c r="B859" s="1123" t="s">
        <v>1112</v>
      </c>
      <c r="G859" s="1122">
        <f t="shared" ref="G859:M861" ca="1" si="1702">P859+Y859+AH859+AQ859+AZ859+BI859</f>
        <v>234273.79886147959</v>
      </c>
      <c r="H859" s="1122">
        <f t="shared" ca="1" si="1702"/>
        <v>29486.437811446525</v>
      </c>
      <c r="I859" s="1122">
        <f t="shared" ca="1" si="1702"/>
        <v>196221.60572676861</v>
      </c>
      <c r="J859" s="1122">
        <f t="shared" ca="1" si="1702"/>
        <v>70142.785833857066</v>
      </c>
      <c r="K859" s="1122">
        <f t="shared" ca="1" si="1702"/>
        <v>253679.53459291751</v>
      </c>
      <c r="L859" s="1122">
        <f t="shared" ca="1" si="1702"/>
        <v>442206.54560459283</v>
      </c>
      <c r="M859" s="1122">
        <f t="shared" ca="1" si="1702"/>
        <v>215920.48260834822</v>
      </c>
      <c r="N859" s="1127">
        <f ca="1">SUM(G859:M859)</f>
        <v>1441931.1910394102</v>
      </c>
      <c r="O859" s="39">
        <f>ROW()</f>
        <v>859</v>
      </c>
      <c r="P859" s="1122">
        <f ca="1">P812</f>
        <v>9878.8967872358571</v>
      </c>
      <c r="Q859" s="1122">
        <f t="shared" ref="Q859:V859" ca="1" si="1703">Q812</f>
        <v>2779.0374019015267</v>
      </c>
      <c r="R859" s="1122">
        <f t="shared" ca="1" si="1703"/>
        <v>18452.834932788435</v>
      </c>
      <c r="S859" s="1122">
        <f t="shared" ca="1" si="1703"/>
        <v>5512.0233599588391</v>
      </c>
      <c r="T859" s="1122">
        <f t="shared" ca="1" si="1703"/>
        <v>18746.430819481233</v>
      </c>
      <c r="U859" s="1122">
        <f t="shared" ca="1" si="1703"/>
        <v>38258.530797874264</v>
      </c>
      <c r="V859" s="1122">
        <f t="shared" ca="1" si="1703"/>
        <v>13435.049982090795</v>
      </c>
      <c r="W859" s="1122">
        <f ca="1">SUM(P859:V859)</f>
        <v>107062.80408133095</v>
      </c>
      <c r="Y859" s="1122">
        <f ca="1">Y812</f>
        <v>6948.2184572532078</v>
      </c>
      <c r="Z859" s="1122">
        <f t="shared" ref="Z859:AE859" ca="1" si="1704">Z812</f>
        <v>1954.606813408363</v>
      </c>
      <c r="AA859" s="1122">
        <f t="shared" ca="1" si="1704"/>
        <v>12978.607938723299</v>
      </c>
      <c r="AB859" s="1122">
        <f t="shared" ca="1" si="1704"/>
        <v>3876.8238267213383</v>
      </c>
      <c r="AC859" s="1122">
        <f t="shared" ca="1" si="1704"/>
        <v>13185.105526746309</v>
      </c>
      <c r="AD859" s="1122">
        <f t="shared" ca="1" si="1704"/>
        <v>26908.736426991243</v>
      </c>
      <c r="AE859" s="1122">
        <f t="shared" ca="1" si="1704"/>
        <v>9449.4015141747586</v>
      </c>
      <c r="AF859" s="1122">
        <f ca="1">SUM(Y859:AE859)</f>
        <v>75301.500504018535</v>
      </c>
      <c r="AH859" s="1122">
        <f ca="1">AH812</f>
        <v>0</v>
      </c>
      <c r="AI859" s="1122">
        <f t="shared" ref="AI859:AN859" ca="1" si="1705">AI812</f>
        <v>0</v>
      </c>
      <c r="AJ859" s="1122">
        <f t="shared" ca="1" si="1705"/>
        <v>0</v>
      </c>
      <c r="AK859" s="1122">
        <f t="shared" ca="1" si="1705"/>
        <v>0</v>
      </c>
      <c r="AL859" s="1122">
        <f t="shared" ca="1" si="1705"/>
        <v>0</v>
      </c>
      <c r="AM859" s="1122">
        <f t="shared" ca="1" si="1705"/>
        <v>0</v>
      </c>
      <c r="AN859" s="1122">
        <f t="shared" ca="1" si="1705"/>
        <v>0</v>
      </c>
      <c r="AO859" s="1122">
        <f ca="1">SUM(AH859:AN859)</f>
        <v>0</v>
      </c>
      <c r="AQ859" s="1122">
        <f>AQ812</f>
        <v>210187.34459974329</v>
      </c>
      <c r="AR859" s="1122">
        <f t="shared" ref="AR859:AW859" si="1706">AR812</f>
        <v>22748.620884765332</v>
      </c>
      <c r="AS859" s="1122">
        <f t="shared" si="1706"/>
        <v>152580.65410310062</v>
      </c>
      <c r="AT859" s="1122">
        <f t="shared" si="1706"/>
        <v>57061.666827443201</v>
      </c>
      <c r="AU859" s="1122">
        <f t="shared" si="1706"/>
        <v>208747.17643657626</v>
      </c>
      <c r="AV859" s="1122">
        <f t="shared" si="1706"/>
        <v>351862.72506223724</v>
      </c>
      <c r="AW859" s="1122">
        <f t="shared" si="1706"/>
        <v>183873.35054767228</v>
      </c>
      <c r="AX859" s="1122">
        <f>SUM(AQ859:AW859)</f>
        <v>1187061.5384615383</v>
      </c>
      <c r="AZ859" s="1122">
        <f ca="1">AZ812</f>
        <v>4841.8543636743107</v>
      </c>
      <c r="BA859" s="1122">
        <f t="shared" ref="BA859:BF859" ca="1" si="1707">BA812</f>
        <v>1334.4689087833949</v>
      </c>
      <c r="BB859" s="1122">
        <f t="shared" ca="1" si="1707"/>
        <v>8065.5247686104094</v>
      </c>
      <c r="BC859" s="1122">
        <f t="shared" ca="1" si="1707"/>
        <v>2441.8743854286595</v>
      </c>
      <c r="BD859" s="1122">
        <f t="shared" ca="1" si="1707"/>
        <v>8625.6045173118109</v>
      </c>
      <c r="BE859" s="1122">
        <f t="shared" ca="1" si="1707"/>
        <v>16623.065641036126</v>
      </c>
      <c r="BF859" s="1122">
        <f t="shared" ca="1" si="1707"/>
        <v>6069.7727937207983</v>
      </c>
      <c r="BG859" s="1122">
        <f ca="1">SUM(AZ859:BF859)</f>
        <v>48002.165378565507</v>
      </c>
      <c r="BI859" s="1122">
        <f ca="1">BI812</f>
        <v>2417.4846535729416</v>
      </c>
      <c r="BJ859" s="1122">
        <f t="shared" ref="BJ859:BO859" ca="1" si="1708">BJ812</f>
        <v>669.70380258790954</v>
      </c>
      <c r="BK859" s="1122">
        <f t="shared" ca="1" si="1708"/>
        <v>4143.9839835458524</v>
      </c>
      <c r="BL859" s="1122">
        <f t="shared" ca="1" si="1708"/>
        <v>1250.3974343050427</v>
      </c>
      <c r="BM859" s="1122">
        <f t="shared" ca="1" si="1708"/>
        <v>4375.2172928018772</v>
      </c>
      <c r="BN859" s="1122">
        <f t="shared" ca="1" si="1708"/>
        <v>8553.4876764539786</v>
      </c>
      <c r="BO859" s="1122">
        <f t="shared" ca="1" si="1708"/>
        <v>3092.9077706895737</v>
      </c>
      <c r="BP859" s="1122">
        <f ca="1">SUM(BI859:BO859)</f>
        <v>24503.182613957175</v>
      </c>
    </row>
    <row r="860" spans="2:68" s="1122" customFormat="1" ht="13.2" customHeight="1">
      <c r="B860" s="1123" t="s">
        <v>114</v>
      </c>
      <c r="G860" s="1122">
        <f t="shared" ca="1" si="1702"/>
        <v>234274.42137644149</v>
      </c>
      <c r="H860" s="1122">
        <f t="shared" ca="1" si="1702"/>
        <v>29486.086159652961</v>
      </c>
      <c r="I860" s="1122">
        <f t="shared" ca="1" si="1702"/>
        <v>196217.53626452383</v>
      </c>
      <c r="J860" s="1122">
        <f t="shared" ca="1" si="1702"/>
        <v>70141.870152439558</v>
      </c>
      <c r="K860" s="1122">
        <f t="shared" ca="1" si="1702"/>
        <v>253684.61326759437</v>
      </c>
      <c r="L860" s="1122">
        <f t="shared" ca="1" si="1702"/>
        <v>442229.39876904496</v>
      </c>
      <c r="M860" s="1122">
        <f t="shared" ca="1" si="1702"/>
        <v>215923.31191484854</v>
      </c>
      <c r="N860" s="1127">
        <f ca="1">SUM(G860:M860)</f>
        <v>1441957.2379045459</v>
      </c>
      <c r="O860" s="39">
        <f>ROW()</f>
        <v>860</v>
      </c>
      <c r="P860" s="1122">
        <f t="shared" ref="P860:V860" ca="1" si="1709">P859*P839</f>
        <v>9879.2097556407534</v>
      </c>
      <c r="Q860" s="1122">
        <f t="shared" ca="1" si="1709"/>
        <v>2778.8601491707027</v>
      </c>
      <c r="R860" s="1122">
        <f t="shared" ca="1" si="1709"/>
        <v>18450.760084668822</v>
      </c>
      <c r="S860" s="1122">
        <f t="shared" ca="1" si="1709"/>
        <v>5511.5572315300251</v>
      </c>
      <c r="T860" s="1122">
        <f t="shared" ca="1" si="1709"/>
        <v>18749.0043898857</v>
      </c>
      <c r="U860" s="1122">
        <f t="shared" ca="1" si="1709"/>
        <v>38270.190976223435</v>
      </c>
      <c r="V860" s="1122">
        <f t="shared" ca="1" si="1709"/>
        <v>13436.486884000164</v>
      </c>
      <c r="W860" s="1122">
        <f ca="1">SUM(P860:V860)</f>
        <v>107076.06947111958</v>
      </c>
      <c r="Y860" s="1122">
        <f t="shared" ref="Y860:AE860" ca="1" si="1710">Y859*Y839</f>
        <v>6948.4385802987535</v>
      </c>
      <c r="Z860" s="1122">
        <f t="shared" ca="1" si="1710"/>
        <v>1954.4821445589525</v>
      </c>
      <c r="AA860" s="1122">
        <f t="shared" ca="1" si="1710"/>
        <v>12977.148616056891</v>
      </c>
      <c r="AB860" s="1122">
        <f t="shared" ca="1" si="1710"/>
        <v>3876.4959801791288</v>
      </c>
      <c r="AC860" s="1122">
        <f t="shared" ca="1" si="1710"/>
        <v>13186.915620501763</v>
      </c>
      <c r="AD860" s="1122">
        <f t="shared" ca="1" si="1710"/>
        <v>26916.937491155135</v>
      </c>
      <c r="AE860" s="1122">
        <f t="shared" ca="1" si="1710"/>
        <v>9450.4121440642048</v>
      </c>
      <c r="AF860" s="1122">
        <f ca="1">SUM(Y860:AE860)</f>
        <v>75310.830576814828</v>
      </c>
      <c r="AH860" s="1122">
        <f t="shared" ref="AH860:AN860" ca="1" si="1711">AH859*AH839</f>
        <v>0</v>
      </c>
      <c r="AI860" s="1122">
        <f t="shared" ca="1" si="1711"/>
        <v>0</v>
      </c>
      <c r="AJ860" s="1122">
        <f t="shared" ca="1" si="1711"/>
        <v>0</v>
      </c>
      <c r="AK860" s="1122">
        <f t="shared" ca="1" si="1711"/>
        <v>0</v>
      </c>
      <c r="AL860" s="1122">
        <f t="shared" ca="1" si="1711"/>
        <v>0</v>
      </c>
      <c r="AM860" s="1122">
        <f t="shared" ca="1" si="1711"/>
        <v>0</v>
      </c>
      <c r="AN860" s="1122">
        <f t="shared" ca="1" si="1711"/>
        <v>0</v>
      </c>
      <c r="AO860" s="1122">
        <f ca="1">SUM(AH860:AN860)</f>
        <v>0</v>
      </c>
      <c r="AQ860" s="1122">
        <f t="shared" ref="AQ860" si="1712">AQ859</f>
        <v>210187.34459974329</v>
      </c>
      <c r="AR860" s="1122">
        <f t="shared" ref="AR860" si="1713">AR859</f>
        <v>22748.620884765332</v>
      </c>
      <c r="AS860" s="1122">
        <f t="shared" ref="AS860" si="1714">AS859</f>
        <v>152580.65410310062</v>
      </c>
      <c r="AT860" s="1122">
        <f t="shared" ref="AT860" si="1715">AT859</f>
        <v>57061.666827443201</v>
      </c>
      <c r="AU860" s="1122">
        <f t="shared" ref="AU860" si="1716">AU859</f>
        <v>208747.17643657626</v>
      </c>
      <c r="AV860" s="1122">
        <f t="shared" ref="AV860" si="1717">AV859</f>
        <v>351862.72506223724</v>
      </c>
      <c r="AW860" s="1122">
        <f t="shared" ref="AW860" si="1718">AW859</f>
        <v>183873.35054767228</v>
      </c>
      <c r="AX860" s="1122">
        <f>SUM(AQ860:AW860)</f>
        <v>1187061.5384615383</v>
      </c>
      <c r="AZ860" s="1122">
        <f t="shared" ref="AZ860:BF860" ca="1" si="1719">AZ859*AZ839</f>
        <v>4841.905493925914</v>
      </c>
      <c r="BA860" s="1122">
        <f t="shared" ca="1" si="1719"/>
        <v>1334.4405364547531</v>
      </c>
      <c r="BB860" s="1122">
        <f t="shared" ca="1" si="1719"/>
        <v>8065.2224597561253</v>
      </c>
      <c r="BC860" s="1122">
        <f t="shared" ca="1" si="1719"/>
        <v>2441.8055505028478</v>
      </c>
      <c r="BD860" s="1122">
        <f t="shared" ca="1" si="1719"/>
        <v>8625.9992161741484</v>
      </c>
      <c r="BE860" s="1122">
        <f t="shared" ca="1" si="1719"/>
        <v>16624.75422497794</v>
      </c>
      <c r="BF860" s="1122">
        <f t="shared" ca="1" si="1719"/>
        <v>6069.9891769178421</v>
      </c>
      <c r="BG860" s="1122">
        <f ca="1">SUM(AZ860:BF860)</f>
        <v>48004.116658709572</v>
      </c>
      <c r="BI860" s="1122">
        <f t="shared" ref="BI860:BO860" ca="1" si="1720">BI859*BI839</f>
        <v>2417.5229468328034</v>
      </c>
      <c r="BJ860" s="1122">
        <f t="shared" ca="1" si="1720"/>
        <v>669.68244470322031</v>
      </c>
      <c r="BK860" s="1122">
        <f t="shared" ca="1" si="1720"/>
        <v>4143.7510009413954</v>
      </c>
      <c r="BL860" s="1122">
        <f t="shared" ca="1" si="1720"/>
        <v>1250.3445627843594</v>
      </c>
      <c r="BM860" s="1122">
        <f t="shared" ca="1" si="1720"/>
        <v>4375.5176044564778</v>
      </c>
      <c r="BN860" s="1122">
        <f t="shared" ca="1" si="1720"/>
        <v>8554.791014451248</v>
      </c>
      <c r="BO860" s="1122">
        <f t="shared" ca="1" si="1720"/>
        <v>3093.0731621940577</v>
      </c>
      <c r="BP860" s="1122">
        <f ca="1">SUM(BI860:BO860)</f>
        <v>24504.68273636356</v>
      </c>
    </row>
    <row r="861" spans="2:68" ht="13.2" customHeight="1">
      <c r="B861" s="280" t="s">
        <v>1880</v>
      </c>
      <c r="G861" s="1122">
        <f t="shared" ca="1" si="1702"/>
        <v>0.6225149619071999</v>
      </c>
      <c r="H861" s="1122">
        <f t="shared" ca="1" si="1702"/>
        <v>-0.35165179356670251</v>
      </c>
      <c r="I861" s="1122">
        <f t="shared" ca="1" si="1702"/>
        <v>-4.0694622447617803</v>
      </c>
      <c r="J861" s="1122">
        <f t="shared" ca="1" si="1702"/>
        <v>-0.91568141751849907</v>
      </c>
      <c r="K861" s="1122">
        <f t="shared" ca="1" si="1702"/>
        <v>5.0786746768590092</v>
      </c>
      <c r="L861" s="1122">
        <f t="shared" ca="1" si="1702"/>
        <v>22.853164452146302</v>
      </c>
      <c r="M861" s="1122">
        <f t="shared" ca="1" si="1702"/>
        <v>2.8293065003413176</v>
      </c>
      <c r="N861" s="1127">
        <f ca="1">W861+AF861+AO861+AX861+BG861+BP861</f>
        <v>26.046865135383996</v>
      </c>
      <c r="O861" s="39">
        <f>ROW()</f>
        <v>861</v>
      </c>
      <c r="P861" s="10">
        <f t="shared" ref="P861:W861" ca="1" si="1721">P860-P859</f>
        <v>0.31296840489630995</v>
      </c>
      <c r="Q861" s="10">
        <f t="shared" ca="1" si="1721"/>
        <v>-0.17725273082396598</v>
      </c>
      <c r="R861" s="10">
        <f t="shared" ca="1" si="1721"/>
        <v>-2.0748481196133071</v>
      </c>
      <c r="S861" s="10">
        <f t="shared" ca="1" si="1721"/>
        <v>-0.46612842881404504</v>
      </c>
      <c r="T861" s="10">
        <f t="shared" ca="1" si="1721"/>
        <v>2.5735704044673184</v>
      </c>
      <c r="U861" s="10">
        <f t="shared" ca="1" si="1721"/>
        <v>11.660178349171474</v>
      </c>
      <c r="V861" s="10">
        <f t="shared" ca="1" si="1721"/>
        <v>1.4369019093683164</v>
      </c>
      <c r="W861" s="138">
        <f t="shared" ca="1" si="1721"/>
        <v>13.265389788633911</v>
      </c>
      <c r="Y861" s="10">
        <f t="shared" ref="Y861:AF861" ca="1" si="1722">Y860-Y859</f>
        <v>0.22012304554573348</v>
      </c>
      <c r="Z861" s="10">
        <f t="shared" ca="1" si="1722"/>
        <v>-0.12466884941045464</v>
      </c>
      <c r="AA861" s="10">
        <f t="shared" ca="1" si="1722"/>
        <v>-1.4593226664073882</v>
      </c>
      <c r="AB861" s="10">
        <f t="shared" ca="1" si="1722"/>
        <v>-0.3278465422094996</v>
      </c>
      <c r="AC861" s="10">
        <f t="shared" ca="1" si="1722"/>
        <v>1.8100937554536358</v>
      </c>
      <c r="AD861" s="10">
        <f t="shared" ca="1" si="1722"/>
        <v>8.201064163891715</v>
      </c>
      <c r="AE861" s="10">
        <f t="shared" ca="1" si="1722"/>
        <v>1.0106298894461361</v>
      </c>
      <c r="AF861" s="138">
        <f t="shared" ca="1" si="1722"/>
        <v>9.3300727962923702</v>
      </c>
      <c r="AH861" s="10">
        <f t="shared" ref="AH861:AO861" ca="1" si="1723">AH860-AH859</f>
        <v>0</v>
      </c>
      <c r="AI861" s="10">
        <f t="shared" ca="1" si="1723"/>
        <v>0</v>
      </c>
      <c r="AJ861" s="10">
        <f t="shared" ca="1" si="1723"/>
        <v>0</v>
      </c>
      <c r="AK861" s="10">
        <f t="shared" ca="1" si="1723"/>
        <v>0</v>
      </c>
      <c r="AL861" s="10">
        <f t="shared" ca="1" si="1723"/>
        <v>0</v>
      </c>
      <c r="AM861" s="10">
        <f t="shared" ca="1" si="1723"/>
        <v>0</v>
      </c>
      <c r="AN861" s="10">
        <f t="shared" ca="1" si="1723"/>
        <v>0</v>
      </c>
      <c r="AO861" s="138">
        <f t="shared" ca="1" si="1723"/>
        <v>0</v>
      </c>
      <c r="AQ861" s="10">
        <f t="shared" ref="AQ861:AX861" si="1724">AQ860-AQ859</f>
        <v>0</v>
      </c>
      <c r="AR861" s="10">
        <f t="shared" si="1724"/>
        <v>0</v>
      </c>
      <c r="AS861" s="10">
        <f t="shared" si="1724"/>
        <v>0</v>
      </c>
      <c r="AT861" s="10">
        <f t="shared" si="1724"/>
        <v>0</v>
      </c>
      <c r="AU861" s="10">
        <f t="shared" si="1724"/>
        <v>0</v>
      </c>
      <c r="AV861" s="10">
        <f t="shared" si="1724"/>
        <v>0</v>
      </c>
      <c r="AW861" s="10">
        <f t="shared" si="1724"/>
        <v>0</v>
      </c>
      <c r="AX861" s="138">
        <f t="shared" si="1724"/>
        <v>0</v>
      </c>
      <c r="AZ861" s="10">
        <f t="shared" ref="AZ861:BG861" ca="1" si="1725">AZ860-AZ859</f>
        <v>5.1130251603353827E-2</v>
      </c>
      <c r="BA861" s="10">
        <f t="shared" ca="1" si="1725"/>
        <v>-2.8372328641808053E-2</v>
      </c>
      <c r="BB861" s="10">
        <f t="shared" ca="1" si="1725"/>
        <v>-0.30230885428409238</v>
      </c>
      <c r="BC861" s="10">
        <f t="shared" ca="1" si="1725"/>
        <v>-6.8834925811643188E-2</v>
      </c>
      <c r="BD861" s="10">
        <f t="shared" ca="1" si="1725"/>
        <v>0.39469886233746365</v>
      </c>
      <c r="BE861" s="10">
        <f t="shared" ca="1" si="1725"/>
        <v>1.6885839418137039</v>
      </c>
      <c r="BF861" s="10">
        <f t="shared" ca="1" si="1725"/>
        <v>0.21638319704379683</v>
      </c>
      <c r="BG861" s="138">
        <f t="shared" ca="1" si="1725"/>
        <v>1.9512801440650946</v>
      </c>
      <c r="BI861" s="10">
        <f t="shared" ref="BI861:BP861" ca="1" si="1726">BI860-BI859</f>
        <v>3.8293259861802653E-2</v>
      </c>
      <c r="BJ861" s="10">
        <f t="shared" ca="1" si="1726"/>
        <v>-2.1357884689223283E-2</v>
      </c>
      <c r="BK861" s="10">
        <f t="shared" ca="1" si="1726"/>
        <v>-0.2329826044569927</v>
      </c>
      <c r="BL861" s="10">
        <f t="shared" ca="1" si="1726"/>
        <v>-5.2871520683311246E-2</v>
      </c>
      <c r="BM861" s="10">
        <f t="shared" ca="1" si="1726"/>
        <v>0.30031165460059128</v>
      </c>
      <c r="BN861" s="10">
        <f t="shared" ca="1" si="1726"/>
        <v>1.3033379972694092</v>
      </c>
      <c r="BO861" s="10">
        <f t="shared" ca="1" si="1726"/>
        <v>0.16539150448397777</v>
      </c>
      <c r="BP861" s="138">
        <f t="shared" ca="1" si="1726"/>
        <v>1.5001224063853442</v>
      </c>
    </row>
    <row r="862" spans="2:68" ht="13.2" customHeight="1">
      <c r="G862" s="1122"/>
      <c r="H862" s="1122"/>
      <c r="I862" s="1122"/>
      <c r="J862" s="1122"/>
      <c r="K862" s="1122"/>
      <c r="L862" s="1122"/>
      <c r="M862" s="1122"/>
      <c r="N862" s="1122"/>
      <c r="O862" s="39">
        <f>ROW()</f>
        <v>862</v>
      </c>
    </row>
    <row r="863" spans="2:68" ht="13.2" customHeight="1">
      <c r="B863" s="308" t="s">
        <v>1815</v>
      </c>
      <c r="G863" s="1122">
        <f t="shared" ref="G863:N864" ca="1" si="1727">P863+Y863+AH863+AQ863+AZ863+BI863</f>
        <v>428191.90762965591</v>
      </c>
      <c r="H863" s="1122">
        <f t="shared" ca="1" si="1727"/>
        <v>76885.167438372664</v>
      </c>
      <c r="I863" s="1122">
        <f t="shared" ca="1" si="1727"/>
        <v>488206.3048685696</v>
      </c>
      <c r="J863" s="1122">
        <f t="shared" ca="1" si="1727"/>
        <v>159094.58539151101</v>
      </c>
      <c r="K863" s="1122">
        <f t="shared" ca="1" si="1727"/>
        <v>581874.05215628596</v>
      </c>
      <c r="L863" s="1122">
        <f t="shared" ca="1" si="1727"/>
        <v>1025410.3553602212</v>
      </c>
      <c r="M863" s="1122">
        <f t="shared" ca="1" si="1727"/>
        <v>432693.75458259793</v>
      </c>
      <c r="N863" s="1127">
        <f t="shared" ca="1" si="1727"/>
        <v>3192356.1274272143</v>
      </c>
      <c r="O863" s="39">
        <f>ROW()</f>
        <v>863</v>
      </c>
      <c r="P863" s="10">
        <f ca="1">P816</f>
        <v>53993.437462310096</v>
      </c>
      <c r="Q863" s="10">
        <f t="shared" ref="Q863:V863" ca="1" si="1728">Q816</f>
        <v>21085.116404417531</v>
      </c>
      <c r="R863" s="10">
        <f t="shared" ca="1" si="1728"/>
        <v>135437.22449330386</v>
      </c>
      <c r="S863" s="10">
        <f t="shared" ca="1" si="1728"/>
        <v>36160.578746470186</v>
      </c>
      <c r="T863" s="10">
        <f t="shared" ca="1" si="1728"/>
        <v>121975.88580212656</v>
      </c>
      <c r="U863" s="10">
        <f t="shared" ca="1" si="1728"/>
        <v>193778.57044142621</v>
      </c>
      <c r="V863" s="10">
        <f t="shared" ca="1" si="1728"/>
        <v>67654.361392122562</v>
      </c>
      <c r="W863" s="10">
        <f ca="1">SUM(P863:V863)</f>
        <v>630085.17474217701</v>
      </c>
      <c r="Y863" s="10">
        <f ca="1">Y816</f>
        <v>51681.775292800507</v>
      </c>
      <c r="Z863" s="10">
        <f t="shared" ref="Z863:AE863" ca="1" si="1729">Z816</f>
        <v>7833.1370122292319</v>
      </c>
      <c r="AA863" s="10">
        <f t="shared" ca="1" si="1729"/>
        <v>54904.694497694451</v>
      </c>
      <c r="AB863" s="10">
        <f t="shared" ca="1" si="1729"/>
        <v>21752.518589442414</v>
      </c>
      <c r="AC863" s="10">
        <f t="shared" ca="1" si="1729"/>
        <v>87043.679038580813</v>
      </c>
      <c r="AD863" s="10">
        <f t="shared" ca="1" si="1729"/>
        <v>179842.00537665165</v>
      </c>
      <c r="AE863" s="10">
        <f t="shared" ca="1" si="1729"/>
        <v>62075.802714547048</v>
      </c>
      <c r="AF863" s="10">
        <f ca="1">SUM(Y863:AE863)</f>
        <v>465133.61252194608</v>
      </c>
      <c r="AH863" s="10">
        <f ca="1">AH816</f>
        <v>45354.693486621036</v>
      </c>
      <c r="AI863" s="10">
        <f t="shared" ref="AI863:AN863" ca="1" si="1730">AI816</f>
        <v>6741.8400055723996</v>
      </c>
      <c r="AJ863" s="10">
        <f t="shared" ca="1" si="1730"/>
        <v>33990.210685691141</v>
      </c>
      <c r="AK863" s="10">
        <f t="shared" ca="1" si="1730"/>
        <v>10358.875890146133</v>
      </c>
      <c r="AL863" s="10">
        <f t="shared" ca="1" si="1730"/>
        <v>46331.466720655866</v>
      </c>
      <c r="AM863" s="10">
        <f t="shared" ca="1" si="1730"/>
        <v>93761.649889167194</v>
      </c>
      <c r="AN863" s="10">
        <f t="shared" ca="1" si="1730"/>
        <v>42269.154015619526</v>
      </c>
      <c r="AO863" s="10">
        <f ca="1">SUM(AH863:AN863)</f>
        <v>278807.89069347328</v>
      </c>
      <c r="AQ863" s="10">
        <f ca="1">AQ816</f>
        <v>240050.42598557673</v>
      </c>
      <c r="AR863" s="10">
        <f t="shared" ref="AR863:AW863" ca="1" si="1731">AR816</f>
        <v>32205.005406578308</v>
      </c>
      <c r="AS863" s="10">
        <f t="shared" ca="1" si="1731"/>
        <v>208017.98164423773</v>
      </c>
      <c r="AT863" s="10">
        <f t="shared" ca="1" si="1731"/>
        <v>73953.314528786039</v>
      </c>
      <c r="AU863" s="10">
        <f t="shared" ca="1" si="1731"/>
        <v>264250.20000315504</v>
      </c>
      <c r="AV863" s="10">
        <f t="shared" ca="1" si="1731"/>
        <v>442462.35930972925</v>
      </c>
      <c r="AW863" s="10">
        <f t="shared" ca="1" si="1731"/>
        <v>217925.7664214203</v>
      </c>
      <c r="AX863" s="10">
        <f ca="1">SUM(AQ863:AW863)</f>
        <v>1478865.0532994834</v>
      </c>
      <c r="AZ863" s="10">
        <f ca="1">AZ816</f>
        <v>29581.727234461803</v>
      </c>
      <c r="BA863" s="10">
        <f t="shared" ref="BA863:BF863" ca="1" si="1732">BA816</f>
        <v>7121.4439580276039</v>
      </c>
      <c r="BB863" s="10">
        <f t="shared" ca="1" si="1732"/>
        <v>44163.323682326998</v>
      </c>
      <c r="BC863" s="10">
        <f t="shared" ca="1" si="1732"/>
        <v>13335.671098590647</v>
      </c>
      <c r="BD863" s="10">
        <f t="shared" ca="1" si="1732"/>
        <v>49403.654278493683</v>
      </c>
      <c r="BE863" s="10">
        <f t="shared" ca="1" si="1732"/>
        <v>91390.625027412098</v>
      </c>
      <c r="BF863" s="10">
        <f t="shared" ca="1" si="1732"/>
        <v>33868.432284347284</v>
      </c>
      <c r="BG863" s="10">
        <f ca="1">SUM(AZ863:BF863)</f>
        <v>268864.87756366015</v>
      </c>
      <c r="BI863" s="10">
        <f ca="1">BI816</f>
        <v>7529.8481678856733</v>
      </c>
      <c r="BJ863" s="10">
        <f t="shared" ref="BJ863:BO863" ca="1" si="1733">BJ816</f>
        <v>1898.6246515475896</v>
      </c>
      <c r="BK863" s="10">
        <f t="shared" ca="1" si="1733"/>
        <v>11692.869865315333</v>
      </c>
      <c r="BL863" s="10">
        <f t="shared" ca="1" si="1733"/>
        <v>3533.6265380755763</v>
      </c>
      <c r="BM863" s="10">
        <f t="shared" ca="1" si="1733"/>
        <v>12869.166313273938</v>
      </c>
      <c r="BN863" s="10">
        <f t="shared" ca="1" si="1733"/>
        <v>24175.145315834947</v>
      </c>
      <c r="BO863" s="10">
        <f t="shared" ca="1" si="1733"/>
        <v>8900.2377545412401</v>
      </c>
      <c r="BP863" s="10">
        <f ca="1">SUM(BI863:BO863)</f>
        <v>70599.518606474303</v>
      </c>
    </row>
    <row r="864" spans="2:68" ht="13.2" customHeight="1">
      <c r="B864" s="308" t="s">
        <v>317</v>
      </c>
      <c r="G864" s="1122">
        <f t="shared" ca="1" si="1727"/>
        <v>428190.38987869472</v>
      </c>
      <c r="H864" s="1122">
        <f t="shared" ca="1" si="1727"/>
        <v>76884.635476287425</v>
      </c>
      <c r="I864" s="1122">
        <f t="shared" ca="1" si="1727"/>
        <v>488195.72510773502</v>
      </c>
      <c r="J864" s="1122">
        <f t="shared" ca="1" si="1727"/>
        <v>159087.68765877435</v>
      </c>
      <c r="K864" s="1122">
        <f t="shared" ca="1" si="1727"/>
        <v>581859.48572926247</v>
      </c>
      <c r="L864" s="1122">
        <f t="shared" ca="1" si="1727"/>
        <v>1025447.1168851446</v>
      </c>
      <c r="M864" s="1122">
        <f t="shared" ca="1" si="1727"/>
        <v>432684.02622342634</v>
      </c>
      <c r="N864" s="1127">
        <f t="shared" ca="1" si="1727"/>
        <v>3192349.0669593248</v>
      </c>
      <c r="O864" s="39">
        <f>ROW()</f>
        <v>864</v>
      </c>
      <c r="P864" s="10">
        <f t="shared" ref="P864:V864" ca="1" si="1734">P849+P856+P860</f>
        <v>53992.719926472928</v>
      </c>
      <c r="Q864" s="10">
        <f t="shared" ca="1" si="1734"/>
        <v>21084.834369533775</v>
      </c>
      <c r="R864" s="10">
        <f t="shared" ca="1" si="1734"/>
        <v>135431.44904360207</v>
      </c>
      <c r="S864" s="10">
        <f t="shared" ca="1" si="1734"/>
        <v>36157.231930731898</v>
      </c>
      <c r="T864" s="10">
        <f t="shared" ca="1" si="1734"/>
        <v>121970.76440968324</v>
      </c>
      <c r="U864" s="10">
        <f t="shared" ca="1" si="1734"/>
        <v>193792.41365693219</v>
      </c>
      <c r="V864" s="10">
        <f t="shared" ca="1" si="1734"/>
        <v>67652.874428134208</v>
      </c>
      <c r="W864" s="10">
        <f ca="1">SUM(P864:V864)</f>
        <v>630082.28776509035</v>
      </c>
      <c r="Y864" s="10">
        <f t="shared" ref="Y864:AE864" ca="1" si="1735">Y849+Y856+Y860</f>
        <v>51681.720546815537</v>
      </c>
      <c r="Z864" s="10">
        <f t="shared" ca="1" si="1735"/>
        <v>7832.9818439981054</v>
      </c>
      <c r="AA864" s="10">
        <f t="shared" ca="1" si="1735"/>
        <v>54902.470862453411</v>
      </c>
      <c r="AB864" s="10">
        <f t="shared" ca="1" si="1735"/>
        <v>21750.855346980508</v>
      </c>
      <c r="AC864" s="10">
        <f t="shared" ca="1" si="1735"/>
        <v>87040.810969413942</v>
      </c>
      <c r="AD864" s="10">
        <f t="shared" ca="1" si="1735"/>
        <v>179856.61648967199</v>
      </c>
      <c r="AE864" s="10">
        <f t="shared" ca="1" si="1735"/>
        <v>62073.938327010386</v>
      </c>
      <c r="AF864" s="10">
        <f ca="1">SUM(Y864:AE864)</f>
        <v>465139.39438634383</v>
      </c>
      <c r="AH864" s="10">
        <f t="shared" ref="AH864:AN864" ca="1" si="1736">AH849+AH856+AH860</f>
        <v>45354.016730059804</v>
      </c>
      <c r="AI864" s="10">
        <f t="shared" ca="1" si="1736"/>
        <v>6741.8163364115153</v>
      </c>
      <c r="AJ864" s="10">
        <f t="shared" ca="1" si="1736"/>
        <v>33988.575752972669</v>
      </c>
      <c r="AK864" s="10">
        <f t="shared" ca="1" si="1736"/>
        <v>10357.464731954653</v>
      </c>
      <c r="AL864" s="10">
        <f t="shared" ca="1" si="1736"/>
        <v>46325.299747395533</v>
      </c>
      <c r="AM864" s="10">
        <f t="shared" ca="1" si="1736"/>
        <v>93766.351335481595</v>
      </c>
      <c r="AN864" s="10">
        <f t="shared" ca="1" si="1736"/>
        <v>42263.037882912598</v>
      </c>
      <c r="AO864" s="10">
        <f ca="1">SUM(AH864:AN864)</f>
        <v>278796.56251718837</v>
      </c>
      <c r="AQ864" s="10">
        <f t="shared" ref="AQ864:AW864" ca="1" si="1737">AQ863</f>
        <v>240050.42598557673</v>
      </c>
      <c r="AR864" s="10">
        <f t="shared" ca="1" si="1737"/>
        <v>32205.005406578308</v>
      </c>
      <c r="AS864" s="10">
        <f t="shared" ca="1" si="1737"/>
        <v>208017.98164423773</v>
      </c>
      <c r="AT864" s="10">
        <f t="shared" ca="1" si="1737"/>
        <v>73953.314528786039</v>
      </c>
      <c r="AU864" s="10">
        <f t="shared" ca="1" si="1737"/>
        <v>264250.20000315504</v>
      </c>
      <c r="AV864" s="10">
        <f t="shared" ca="1" si="1737"/>
        <v>442462.35930972925</v>
      </c>
      <c r="AW864" s="10">
        <f t="shared" ca="1" si="1737"/>
        <v>217925.7664214203</v>
      </c>
      <c r="AX864" s="10">
        <f ca="1">SUM(AQ864:AW864)</f>
        <v>1478865.0532994834</v>
      </c>
      <c r="AZ864" s="10">
        <f t="shared" ref="AZ864:BF864" ca="1" si="1738">AZ849+AZ856+AZ860</f>
        <v>29581.653628019856</v>
      </c>
      <c r="BA864" s="10">
        <f t="shared" ca="1" si="1738"/>
        <v>7121.3979076159922</v>
      </c>
      <c r="BB864" s="10">
        <f t="shared" ca="1" si="1738"/>
        <v>44162.711715396683</v>
      </c>
      <c r="BC864" s="10">
        <f t="shared" ca="1" si="1738"/>
        <v>13335.338789743</v>
      </c>
      <c r="BD864" s="10">
        <f t="shared" ca="1" si="1738"/>
        <v>49403.22076402438</v>
      </c>
      <c r="BE864" s="10">
        <f t="shared" ca="1" si="1738"/>
        <v>91392.728720221945</v>
      </c>
      <c r="BF864" s="10">
        <f t="shared" ca="1" si="1738"/>
        <v>33868.167089979863</v>
      </c>
      <c r="BG864" s="10">
        <f ca="1">SUM(AZ864:BF864)</f>
        <v>268865.21861500171</v>
      </c>
      <c r="BI864" s="10">
        <f t="shared" ref="BI864:BO864" ca="1" si="1739">BI849+BI856+BI860</f>
        <v>7529.8530617497527</v>
      </c>
      <c r="BJ864" s="10">
        <f t="shared" ca="1" si="1739"/>
        <v>1898.5996121497365</v>
      </c>
      <c r="BK864" s="10">
        <f t="shared" ca="1" si="1739"/>
        <v>11692.53608907236</v>
      </c>
      <c r="BL864" s="10">
        <f t="shared" ca="1" si="1739"/>
        <v>3533.4823305782602</v>
      </c>
      <c r="BM864" s="10">
        <f t="shared" ca="1" si="1739"/>
        <v>12869.18983559021</v>
      </c>
      <c r="BN864" s="10">
        <f t="shared" ca="1" si="1739"/>
        <v>24176.647373107611</v>
      </c>
      <c r="BO864" s="10">
        <f t="shared" ca="1" si="1739"/>
        <v>8900.2420739690078</v>
      </c>
      <c r="BP864" s="10">
        <f ca="1">SUM(BI864:BO864)</f>
        <v>70600.550376216939</v>
      </c>
    </row>
    <row r="865" spans="2:68" ht="13.2" customHeight="1">
      <c r="B865" s="308" t="s">
        <v>2033</v>
      </c>
      <c r="G865" s="10">
        <f t="shared" ref="G865:M865" ca="1" si="1740">G864/G$118</f>
        <v>71365.064979782459</v>
      </c>
      <c r="H865" s="10">
        <f t="shared" ca="1" si="1740"/>
        <v>76884.635476287425</v>
      </c>
      <c r="I865" s="10">
        <f t="shared" ca="1" si="1740"/>
        <v>162731.90836924501</v>
      </c>
      <c r="J865" s="10">
        <f t="shared" ca="1" si="1740"/>
        <v>159087.68765877435</v>
      </c>
      <c r="K865" s="10">
        <f t="shared" ca="1" si="1740"/>
        <v>145464.87143231562</v>
      </c>
      <c r="L865" s="10">
        <f t="shared" ca="1" si="1740"/>
        <v>170907.85281419076</v>
      </c>
      <c r="M865" s="10">
        <f t="shared" ca="1" si="1740"/>
        <v>144228.00874114211</v>
      </c>
      <c r="N865" s="6"/>
      <c r="O865" s="39">
        <f>ROW()</f>
        <v>865</v>
      </c>
      <c r="P865" s="10"/>
      <c r="Q865" s="10"/>
      <c r="R865" s="10"/>
      <c r="S865" s="10"/>
      <c r="T865" s="10"/>
      <c r="U865" s="10"/>
      <c r="V865" s="10"/>
      <c r="W865" s="10"/>
      <c r="Y865" s="10"/>
      <c r="Z865" s="10"/>
      <c r="AA865" s="10"/>
      <c r="AB865" s="10"/>
      <c r="AC865" s="10"/>
      <c r="AD865" s="10"/>
      <c r="AE865" s="10"/>
      <c r="AF865" s="10"/>
      <c r="AH865" s="10"/>
      <c r="AI865" s="10"/>
      <c r="AJ865" s="10"/>
      <c r="AK865" s="10"/>
      <c r="AL865" s="10"/>
      <c r="AM865" s="10"/>
      <c r="AN865" s="10"/>
      <c r="AO865" s="10"/>
      <c r="AQ865" s="10"/>
      <c r="AR865" s="10"/>
      <c r="AS865" s="10"/>
      <c r="AT865" s="10"/>
      <c r="AU865" s="10"/>
      <c r="AV865" s="10"/>
      <c r="AW865" s="10"/>
      <c r="AX865" s="10"/>
      <c r="AZ865" s="10"/>
      <c r="BA865" s="10"/>
      <c r="BB865" s="10"/>
      <c r="BC865" s="10"/>
      <c r="BD865" s="10"/>
      <c r="BE865" s="10"/>
      <c r="BF865" s="10"/>
      <c r="BG865" s="10"/>
      <c r="BI865" s="10"/>
      <c r="BJ865" s="10"/>
      <c r="BK865" s="10"/>
      <c r="BL865" s="10"/>
      <c r="BM865" s="10"/>
      <c r="BN865" s="10"/>
      <c r="BO865" s="10"/>
      <c r="BP865" s="10"/>
    </row>
    <row r="866" spans="2:68" ht="13.2" customHeight="1">
      <c r="B866" s="280" t="s">
        <v>2709</v>
      </c>
      <c r="G866" s="612">
        <f t="shared" ref="G866:M866" ca="1" si="1741">G864/G863</f>
        <v>0.9999964554422115</v>
      </c>
      <c r="H866" s="612">
        <f t="shared" ca="1" si="1741"/>
        <v>0.99999308108308838</v>
      </c>
      <c r="I866" s="612">
        <f t="shared" ca="1" si="1741"/>
        <v>0.99997832932363007</v>
      </c>
      <c r="J866" s="612">
        <f t="shared" ca="1" si="1741"/>
        <v>0.99995664382468019</v>
      </c>
      <c r="K866" s="612">
        <f t="shared" ca="1" si="1741"/>
        <v>0.99997496635746252</v>
      </c>
      <c r="L866" s="612">
        <f t="shared" ca="1" si="1741"/>
        <v>1.0000358505497153</v>
      </c>
      <c r="M866" s="612">
        <f t="shared" ca="1" si="1741"/>
        <v>0.99997751675620794</v>
      </c>
      <c r="N866" s="186"/>
      <c r="O866" s="39">
        <f>ROW()</f>
        <v>866</v>
      </c>
      <c r="P866" s="10"/>
      <c r="Q866" s="10"/>
      <c r="R866" s="10"/>
      <c r="S866" s="10"/>
      <c r="T866" s="10"/>
      <c r="U866" s="10"/>
      <c r="V866" s="10"/>
      <c r="W866" s="10"/>
      <c r="Y866" s="10"/>
      <c r="Z866" s="10"/>
      <c r="AA866" s="10"/>
      <c r="AB866" s="10"/>
      <c r="AC866" s="10"/>
      <c r="AD866" s="10"/>
      <c r="AE866" s="10"/>
      <c r="AF866" s="10"/>
      <c r="AH866" s="10"/>
      <c r="AI866" s="10"/>
      <c r="AJ866" s="10"/>
      <c r="AK866" s="10"/>
      <c r="AL866" s="10"/>
      <c r="AM866" s="10"/>
      <c r="AN866" s="10"/>
      <c r="AO866" s="10"/>
      <c r="AQ866" s="10"/>
      <c r="AR866" s="10"/>
      <c r="AS866" s="10"/>
      <c r="AT866" s="10"/>
      <c r="AU866" s="10"/>
      <c r="AV866" s="10"/>
      <c r="AW866" s="10"/>
      <c r="AX866" s="10"/>
      <c r="AZ866" s="10"/>
      <c r="BA866" s="10"/>
      <c r="BB866" s="10"/>
      <c r="BC866" s="10"/>
      <c r="BD866" s="10"/>
      <c r="BE866" s="10"/>
      <c r="BF866" s="10"/>
      <c r="BG866" s="10"/>
      <c r="BI866" s="10"/>
      <c r="BJ866" s="10"/>
      <c r="BK866" s="10"/>
      <c r="BL866" s="10"/>
      <c r="BM866" s="10"/>
      <c r="BN866" s="10"/>
      <c r="BO866" s="10"/>
      <c r="BP866" s="10"/>
    </row>
    <row r="867" spans="2:68" ht="13.2" customHeight="1">
      <c r="F867" s="39"/>
      <c r="G867" s="612"/>
      <c r="H867" s="612"/>
      <c r="I867" s="612"/>
      <c r="J867" s="612"/>
      <c r="K867" s="612"/>
      <c r="L867" s="612"/>
      <c r="M867" s="612"/>
      <c r="N867" s="186"/>
      <c r="O867" s="39">
        <f>ROW()</f>
        <v>867</v>
      </c>
      <c r="P867" s="10"/>
      <c r="Q867" s="10"/>
      <c r="R867" s="10"/>
      <c r="S867" s="10"/>
      <c r="T867" s="10"/>
      <c r="U867" s="10"/>
      <c r="V867" s="10"/>
      <c r="W867" s="10"/>
      <c r="Y867" s="10"/>
      <c r="Z867" s="10"/>
      <c r="AA867" s="10"/>
      <c r="AB867" s="10"/>
      <c r="AC867" s="10"/>
      <c r="AD867" s="10"/>
      <c r="AE867" s="10"/>
      <c r="AF867" s="10"/>
      <c r="AO867" s="10"/>
      <c r="AQ867" s="10"/>
      <c r="AR867" s="10"/>
      <c r="AS867" s="10"/>
      <c r="AT867" s="10"/>
      <c r="AU867" s="10"/>
      <c r="AV867" s="10"/>
      <c r="AW867" s="10"/>
      <c r="AX867" s="10"/>
      <c r="AZ867" s="10"/>
      <c r="BA867" s="10"/>
      <c r="BB867" s="10"/>
      <c r="BC867" s="10"/>
      <c r="BD867" s="10"/>
      <c r="BE867" s="10"/>
      <c r="BF867" s="10"/>
      <c r="BG867" s="10"/>
      <c r="BI867" s="10"/>
      <c r="BJ867" s="10"/>
      <c r="BK867" s="10"/>
      <c r="BL867" s="10"/>
      <c r="BM867" s="10"/>
      <c r="BN867" s="10"/>
      <c r="BO867" s="10"/>
      <c r="BP867" s="10"/>
    </row>
    <row r="868" spans="2:68" ht="13.2" customHeight="1">
      <c r="B868" s="308" t="s">
        <v>587</v>
      </c>
      <c r="C868" s="280"/>
      <c r="D868" s="280"/>
      <c r="E868" s="280"/>
      <c r="F868" s="280"/>
      <c r="G868" s="280"/>
      <c r="H868" s="280"/>
      <c r="I868" s="280"/>
      <c r="J868" s="280"/>
      <c r="K868" s="280"/>
      <c r="L868" s="280"/>
      <c r="M868" s="280"/>
      <c r="N868" s="280"/>
      <c r="O868" s="39">
        <f>ROW()</f>
        <v>868</v>
      </c>
    </row>
    <row r="869" spans="2:68" ht="13.2" customHeight="1">
      <c r="B869" s="280" t="s">
        <v>2034</v>
      </c>
      <c r="E869" s="280"/>
      <c r="F869" s="280"/>
      <c r="G869" s="21">
        <f t="shared" ref="G869:M869" ca="1" si="1742">KSC/(1+0.1*(G865*$G$401/V_sub_k)^KSE)</f>
        <v>21.210461440631573</v>
      </c>
      <c r="H869" s="21">
        <f t="shared" ca="1" si="1742"/>
        <v>20.949462201742392</v>
      </c>
      <c r="I869" s="21">
        <f t="shared" ca="1" si="1742"/>
        <v>10.964902053667959</v>
      </c>
      <c r="J869" s="21">
        <f t="shared" ca="1" si="1742"/>
        <v>11.462896896554321</v>
      </c>
      <c r="K869" s="21">
        <f t="shared" ca="1" si="1742"/>
        <v>13.393734239697176</v>
      </c>
      <c r="L869" s="21">
        <f t="shared" ca="1" si="1742"/>
        <v>9.890240850748194</v>
      </c>
      <c r="M869" s="21">
        <f t="shared" ca="1" si="1742"/>
        <v>13.572020112896869</v>
      </c>
      <c r="O869" s="39">
        <f>ROW()</f>
        <v>869</v>
      </c>
      <c r="P869" s="21">
        <f t="shared" ref="P869:V870" ca="1" si="1743">G869</f>
        <v>21.210461440631573</v>
      </c>
      <c r="Q869" s="21">
        <f t="shared" ca="1" si="1743"/>
        <v>20.949462201742392</v>
      </c>
      <c r="R869" s="21">
        <f t="shared" ca="1" si="1743"/>
        <v>10.964902053667959</v>
      </c>
      <c r="S869" s="21">
        <f t="shared" ca="1" si="1743"/>
        <v>11.462896896554321</v>
      </c>
      <c r="T869" s="21">
        <f t="shared" ca="1" si="1743"/>
        <v>13.393734239697176</v>
      </c>
      <c r="U869" s="21">
        <f t="shared" ca="1" si="1743"/>
        <v>9.890240850748194</v>
      </c>
      <c r="V869" s="21">
        <f t="shared" ca="1" si="1743"/>
        <v>13.572020112896869</v>
      </c>
      <c r="Y869" s="21">
        <f t="shared" ref="Y869:AE870" ca="1" si="1744">G869</f>
        <v>21.210461440631573</v>
      </c>
      <c r="Z869" s="21">
        <f t="shared" ca="1" si="1744"/>
        <v>20.949462201742392</v>
      </c>
      <c r="AA869" s="21">
        <f t="shared" ca="1" si="1744"/>
        <v>10.964902053667959</v>
      </c>
      <c r="AB869" s="21">
        <f t="shared" ca="1" si="1744"/>
        <v>11.462896896554321</v>
      </c>
      <c r="AC869" s="21">
        <f t="shared" ca="1" si="1744"/>
        <v>13.393734239697176</v>
      </c>
      <c r="AD869" s="21">
        <f t="shared" ca="1" si="1744"/>
        <v>9.890240850748194</v>
      </c>
      <c r="AE869" s="21">
        <f t="shared" ca="1" si="1744"/>
        <v>13.572020112896869</v>
      </c>
      <c r="AH869" s="21">
        <f t="shared" ref="AH869:AN870" ca="1" si="1745">P869</f>
        <v>21.210461440631573</v>
      </c>
      <c r="AI869" s="21">
        <f t="shared" ca="1" si="1745"/>
        <v>20.949462201742392</v>
      </c>
      <c r="AJ869" s="21">
        <f t="shared" ca="1" si="1745"/>
        <v>10.964902053667959</v>
      </c>
      <c r="AK869" s="21">
        <f t="shared" ca="1" si="1745"/>
        <v>11.462896896554321</v>
      </c>
      <c r="AL869" s="21">
        <f t="shared" ca="1" si="1745"/>
        <v>13.393734239697176</v>
      </c>
      <c r="AM869" s="21">
        <f t="shared" ca="1" si="1745"/>
        <v>9.890240850748194</v>
      </c>
      <c r="AN869" s="21">
        <f t="shared" ca="1" si="1745"/>
        <v>13.572020112896869</v>
      </c>
      <c r="AQ869" s="21">
        <f t="shared" ref="AQ869:AW869" ca="1" si="1746">G869*$AU$181</f>
        <v>20.149938368599994</v>
      </c>
      <c r="AR869" s="21">
        <f t="shared" ca="1" si="1746"/>
        <v>19.90198909165527</v>
      </c>
      <c r="AS869" s="21">
        <f t="shared" ca="1" si="1746"/>
        <v>10.41665695098456</v>
      </c>
      <c r="AT869" s="21">
        <f t="shared" ca="1" si="1746"/>
        <v>10.889752051726605</v>
      </c>
      <c r="AU869" s="21">
        <f t="shared" ca="1" si="1746"/>
        <v>12.724047527712317</v>
      </c>
      <c r="AV869" s="21">
        <f t="shared" ca="1" si="1746"/>
        <v>9.3957288082107837</v>
      </c>
      <c r="AW869" s="21">
        <f t="shared" ca="1" si="1746"/>
        <v>12.893419107252026</v>
      </c>
      <c r="AZ869" s="21">
        <f t="shared" ref="AZ869:BF870" ca="1" si="1747">G869</f>
        <v>21.210461440631573</v>
      </c>
      <c r="BA869" s="21">
        <f t="shared" ca="1" si="1747"/>
        <v>20.949462201742392</v>
      </c>
      <c r="BB869" s="21">
        <f t="shared" ca="1" si="1747"/>
        <v>10.964902053667959</v>
      </c>
      <c r="BC869" s="21">
        <f t="shared" ca="1" si="1747"/>
        <v>11.462896896554321</v>
      </c>
      <c r="BD869" s="21">
        <f t="shared" ca="1" si="1747"/>
        <v>13.393734239697176</v>
      </c>
      <c r="BE869" s="21">
        <f t="shared" ca="1" si="1747"/>
        <v>9.890240850748194</v>
      </c>
      <c r="BF869" s="21">
        <f t="shared" ca="1" si="1747"/>
        <v>13.572020112896869</v>
      </c>
      <c r="BG869" s="21"/>
      <c r="BI869" s="21">
        <f t="shared" ref="BI869:BO870" ca="1" si="1748">G869</f>
        <v>21.210461440631573</v>
      </c>
      <c r="BJ869" s="21">
        <f t="shared" ca="1" si="1748"/>
        <v>20.949462201742392</v>
      </c>
      <c r="BK869" s="21">
        <f t="shared" ca="1" si="1748"/>
        <v>10.964902053667959</v>
      </c>
      <c r="BL869" s="21">
        <f t="shared" ca="1" si="1748"/>
        <v>11.462896896554321</v>
      </c>
      <c r="BM869" s="21">
        <f t="shared" ca="1" si="1748"/>
        <v>13.393734239697176</v>
      </c>
      <c r="BN869" s="21">
        <f t="shared" ca="1" si="1748"/>
        <v>9.890240850748194</v>
      </c>
      <c r="BO869" s="21">
        <f t="shared" ca="1" si="1748"/>
        <v>13.572020112896869</v>
      </c>
      <c r="BP869" s="21"/>
    </row>
    <row r="870" spans="2:68" ht="13.2" customHeight="1">
      <c r="B870" s="280" t="s">
        <v>1428</v>
      </c>
      <c r="E870" s="280"/>
      <c r="F870" s="280"/>
      <c r="G870" s="21">
        <f ca="1">MIN('Speed-Vol., non-Cordon'!$X$57*(G774 / 'Speed-Vol., non-Cordon'!$X$57)^G793,'Speed-Vol., non-Cordon'!$X$32)</f>
        <v>54.993824726326125</v>
      </c>
      <c r="H870" s="21">
        <f ca="1">MIN('Speed-Vol., non-Cordon'!$X$57*(H774 / 'Speed-Vol., non-Cordon'!$X$57)^H793,'Speed-Vol., non-Cordon'!$X$32)</f>
        <v>47.593444206267705</v>
      </c>
      <c r="I870" s="21">
        <f ca="1">MIN('Speed-Vol., non-Cordon'!$X$57*(I774 / 'Speed-Vol., non-Cordon'!$X$57)^I793,'Speed-Vol., non-Cordon'!$X$32)</f>
        <v>18.264843405236153</v>
      </c>
      <c r="J870" s="21">
        <f ca="1">MIN('Speed-Vol., non-Cordon'!$X$57*(J774 / 'Speed-Vol., non-Cordon'!$X$57)^J793,'Speed-Vol., non-Cordon'!$X$32)</f>
        <v>21.652799807514995</v>
      </c>
      <c r="K870" s="21">
        <f ca="1">MIN('Speed-Vol., non-Cordon'!$X$57*(K774 / 'Speed-Vol., non-Cordon'!$X$57)^K793,'Speed-Vol., non-Cordon'!$X$32)</f>
        <v>25.225757191819934</v>
      </c>
      <c r="L870" s="21">
        <f ca="1">MIN('Speed-Vol., non-Cordon'!$X$57*(L774 / 'Speed-Vol., non-Cordon'!$X$57)^L793,'Speed-Vol., non-Cordon'!$X$32)</f>
        <v>16.45336060912414</v>
      </c>
      <c r="M870" s="21">
        <f ca="1">MIN('Speed-Vol., non-Cordon'!$X$57*(M774 / 'Speed-Vol., non-Cordon'!$X$57)^M793,'Speed-Vol., non-Cordon'!$X$32)</f>
        <v>27.507327896832347</v>
      </c>
      <c r="O870" s="39">
        <f>ROW()</f>
        <v>870</v>
      </c>
      <c r="P870" s="21">
        <f t="shared" ca="1" si="1743"/>
        <v>54.993824726326125</v>
      </c>
      <c r="Q870" s="21">
        <f t="shared" ca="1" si="1743"/>
        <v>47.593444206267705</v>
      </c>
      <c r="R870" s="21">
        <f t="shared" ca="1" si="1743"/>
        <v>18.264843405236153</v>
      </c>
      <c r="S870" s="21">
        <f t="shared" ca="1" si="1743"/>
        <v>21.652799807514995</v>
      </c>
      <c r="T870" s="21">
        <f t="shared" ca="1" si="1743"/>
        <v>25.225757191819934</v>
      </c>
      <c r="U870" s="21">
        <f t="shared" ca="1" si="1743"/>
        <v>16.45336060912414</v>
      </c>
      <c r="V870" s="21">
        <f t="shared" ca="1" si="1743"/>
        <v>27.507327896832347</v>
      </c>
      <c r="W870" s="4272" t="s">
        <v>1878</v>
      </c>
      <c r="Y870" s="21">
        <f t="shared" ca="1" si="1744"/>
        <v>54.993824726326125</v>
      </c>
      <c r="Z870" s="21">
        <f t="shared" ca="1" si="1744"/>
        <v>47.593444206267705</v>
      </c>
      <c r="AA870" s="21">
        <f t="shared" ca="1" si="1744"/>
        <v>18.264843405236153</v>
      </c>
      <c r="AB870" s="21">
        <f t="shared" ca="1" si="1744"/>
        <v>21.652799807514995</v>
      </c>
      <c r="AC870" s="21">
        <f t="shared" ca="1" si="1744"/>
        <v>25.225757191819934</v>
      </c>
      <c r="AD870" s="21">
        <f t="shared" ca="1" si="1744"/>
        <v>16.45336060912414</v>
      </c>
      <c r="AE870" s="21">
        <f t="shared" ca="1" si="1744"/>
        <v>27.507327896832347</v>
      </c>
      <c r="AF870" s="4272" t="s">
        <v>1878</v>
      </c>
      <c r="AH870" s="21">
        <f t="shared" ca="1" si="1745"/>
        <v>54.993824726326125</v>
      </c>
      <c r="AI870" s="21">
        <f t="shared" ca="1" si="1745"/>
        <v>47.593444206267705</v>
      </c>
      <c r="AJ870" s="21">
        <f t="shared" ca="1" si="1745"/>
        <v>18.264843405236153</v>
      </c>
      <c r="AK870" s="21">
        <f t="shared" ca="1" si="1745"/>
        <v>21.652799807514995</v>
      </c>
      <c r="AL870" s="21">
        <f t="shared" ca="1" si="1745"/>
        <v>25.225757191819934</v>
      </c>
      <c r="AM870" s="21">
        <f t="shared" ca="1" si="1745"/>
        <v>16.45336060912414</v>
      </c>
      <c r="AN870" s="21">
        <f t="shared" ca="1" si="1745"/>
        <v>27.507327896832347</v>
      </c>
      <c r="AO870" s="4272" t="s">
        <v>1878</v>
      </c>
      <c r="AQ870" s="21">
        <f t="shared" ref="AQ870:AW870" ca="1" si="1749">G870*$AV$181</f>
        <v>54.443886479062861</v>
      </c>
      <c r="AR870" s="21">
        <f t="shared" ca="1" si="1749"/>
        <v>47.117509764205025</v>
      </c>
      <c r="AS870" s="21">
        <f t="shared" ca="1" si="1749"/>
        <v>18.082194971183792</v>
      </c>
      <c r="AT870" s="21">
        <f t="shared" ca="1" si="1749"/>
        <v>21.436271809439845</v>
      </c>
      <c r="AU870" s="21">
        <f t="shared" ca="1" si="1749"/>
        <v>24.973499619901734</v>
      </c>
      <c r="AV870" s="21">
        <f t="shared" ca="1" si="1749"/>
        <v>16.2888270030329</v>
      </c>
      <c r="AW870" s="21">
        <f t="shared" ca="1" si="1749"/>
        <v>27.232254617864022</v>
      </c>
      <c r="AX870" s="4272" t="s">
        <v>1878</v>
      </c>
      <c r="AZ870" s="21">
        <f t="shared" ca="1" si="1747"/>
        <v>54.993824726326125</v>
      </c>
      <c r="BA870" s="21">
        <f t="shared" ca="1" si="1747"/>
        <v>47.593444206267705</v>
      </c>
      <c r="BB870" s="21">
        <f t="shared" ca="1" si="1747"/>
        <v>18.264843405236153</v>
      </c>
      <c r="BC870" s="21">
        <f t="shared" ca="1" si="1747"/>
        <v>21.652799807514995</v>
      </c>
      <c r="BD870" s="21">
        <f t="shared" ca="1" si="1747"/>
        <v>25.225757191819934</v>
      </c>
      <c r="BE870" s="21">
        <f t="shared" ca="1" si="1747"/>
        <v>16.45336060912414</v>
      </c>
      <c r="BF870" s="21">
        <f t="shared" ca="1" si="1747"/>
        <v>27.507327896832347</v>
      </c>
      <c r="BG870" s="4272" t="s">
        <v>1878</v>
      </c>
      <c r="BI870" s="21">
        <f t="shared" ca="1" si="1748"/>
        <v>54.993824726326125</v>
      </c>
      <c r="BJ870" s="21">
        <f t="shared" ca="1" si="1748"/>
        <v>47.593444206267705</v>
      </c>
      <c r="BK870" s="21">
        <f t="shared" ca="1" si="1748"/>
        <v>18.264843405236153</v>
      </c>
      <c r="BL870" s="21">
        <f t="shared" ca="1" si="1748"/>
        <v>21.652799807514995</v>
      </c>
      <c r="BM870" s="21">
        <f t="shared" ca="1" si="1748"/>
        <v>25.225757191819934</v>
      </c>
      <c r="BN870" s="21">
        <f t="shared" ca="1" si="1748"/>
        <v>16.45336060912414</v>
      </c>
      <c r="BO870" s="21">
        <f t="shared" ca="1" si="1748"/>
        <v>27.507327896832347</v>
      </c>
      <c r="BP870" s="4272" t="s">
        <v>1878</v>
      </c>
    </row>
    <row r="871" spans="2:68" ht="13.2" customHeight="1">
      <c r="B871" s="280"/>
      <c r="O871" s="39">
        <f>ROW()</f>
        <v>871</v>
      </c>
      <c r="W871" s="4273"/>
      <c r="AF871" s="4273"/>
      <c r="AO871" s="4273"/>
      <c r="AX871" s="4273"/>
      <c r="BG871" s="4273"/>
      <c r="BP871" s="4273"/>
    </row>
    <row r="872" spans="2:68" ht="13.2" customHeight="1">
      <c r="B872" s="308" t="s">
        <v>2606</v>
      </c>
      <c r="F872" s="606"/>
      <c r="O872" s="39">
        <f>ROW()</f>
        <v>872</v>
      </c>
      <c r="W872" s="4340"/>
      <c r="AF872" s="4340"/>
      <c r="AO872" s="4340"/>
      <c r="AX872" s="4340"/>
      <c r="BG872" s="4340"/>
      <c r="BP872" s="4340"/>
    </row>
    <row r="873" spans="2:68" ht="13.2" customHeight="1">
      <c r="B873" s="280" t="s">
        <v>2158</v>
      </c>
      <c r="C873" s="297"/>
      <c r="D873" s="297"/>
      <c r="E873" s="297"/>
      <c r="F873" s="297"/>
      <c r="G873" s="4286" t="s">
        <v>2351</v>
      </c>
      <c r="H873" s="3775"/>
      <c r="I873" s="3775"/>
      <c r="J873" s="3775"/>
      <c r="K873" s="3775"/>
      <c r="L873" s="3776"/>
      <c r="O873" s="39">
        <f>ROW()</f>
        <v>873</v>
      </c>
      <c r="P873" s="21">
        <f t="shared" ref="P873:V873" ca="1" si="1750">($I$85)*60/P869</f>
        <v>3.5359909641723837</v>
      </c>
      <c r="Q873" s="21">
        <f t="shared" ca="1" si="1750"/>
        <v>3.5800441690461229</v>
      </c>
      <c r="R873" s="21">
        <f t="shared" ca="1" si="1750"/>
        <v>6.8400063797114479</v>
      </c>
      <c r="S873" s="21">
        <f t="shared" ca="1" si="1750"/>
        <v>6.5428486949528919</v>
      </c>
      <c r="T873" s="21">
        <f t="shared" ca="1" si="1750"/>
        <v>5.5996332805910374</v>
      </c>
      <c r="U873" s="21">
        <f t="shared" ca="1" si="1750"/>
        <v>7.5832329193809542</v>
      </c>
      <c r="V873" s="21">
        <f t="shared" ca="1" si="1750"/>
        <v>5.5260749229756101</v>
      </c>
      <c r="W873" s="613">
        <f ca="1">SUMPRODUCT(P$476:V$476,P873:V873)/W$476</f>
        <v>6.2892709454003475</v>
      </c>
      <c r="Y873" s="21">
        <f t="shared" ref="Y873:AE873" ca="1" si="1751">($J$85)*60/Y869</f>
        <v>3.5359909641723837</v>
      </c>
      <c r="Z873" s="21">
        <f t="shared" ca="1" si="1751"/>
        <v>3.5800441690461229</v>
      </c>
      <c r="AA873" s="21">
        <f t="shared" ca="1" si="1751"/>
        <v>6.8400063797114479</v>
      </c>
      <c r="AB873" s="21">
        <f t="shared" ca="1" si="1751"/>
        <v>6.5428486949528919</v>
      </c>
      <c r="AC873" s="21">
        <f t="shared" ca="1" si="1751"/>
        <v>5.5996332805910374</v>
      </c>
      <c r="AD873" s="21">
        <f t="shared" ca="1" si="1751"/>
        <v>7.5832329193809542</v>
      </c>
      <c r="AE873" s="21">
        <f t="shared" ca="1" si="1751"/>
        <v>5.5260749229756101</v>
      </c>
      <c r="AF873" s="613">
        <f ca="1">SUMPRODUCT(Y$476:AE$476,Y873:AE873)/AF$476</f>
        <v>6.2968904751595733</v>
      </c>
      <c r="AH873" s="21">
        <f t="shared" ref="AH873:AN873" ca="1" si="1752">($K$85)*60/AH869</f>
        <v>4.526068434140651</v>
      </c>
      <c r="AI873" s="21">
        <f t="shared" ca="1" si="1752"/>
        <v>4.5824565363790368</v>
      </c>
      <c r="AJ873" s="21">
        <f t="shared" ca="1" si="1752"/>
        <v>8.7552081660306538</v>
      </c>
      <c r="AK873" s="21">
        <f t="shared" ca="1" si="1752"/>
        <v>8.374846329539702</v>
      </c>
      <c r="AL873" s="21">
        <f t="shared" ca="1" si="1752"/>
        <v>7.1675305991565272</v>
      </c>
      <c r="AM873" s="21">
        <f t="shared" ca="1" si="1752"/>
        <v>9.7065381368076213</v>
      </c>
      <c r="AN873" s="21">
        <f t="shared" ca="1" si="1752"/>
        <v>7.0733759014087809</v>
      </c>
      <c r="AO873" s="613">
        <f ca="1">SUMPRODUCT(AH$476:AN$476,AH873:AN873)/AO$476</f>
        <v>7.7928812530687317</v>
      </c>
      <c r="AQ873" s="21">
        <f t="shared" ref="AQ873:AW873" ca="1" si="1753">($L$85)*60/AQ869</f>
        <v>5.9553532028166458</v>
      </c>
      <c r="AR873" s="21">
        <f t="shared" ca="1" si="1753"/>
        <v>6.0295480741829444</v>
      </c>
      <c r="AS873" s="21">
        <f t="shared" ca="1" si="1753"/>
        <v>11.520010744777178</v>
      </c>
      <c r="AT873" s="21">
        <f t="shared" ca="1" si="1753"/>
        <v>11.019534644131188</v>
      </c>
      <c r="AU873" s="21">
        <f t="shared" ca="1" si="1753"/>
        <v>9.4309613146796423</v>
      </c>
      <c r="AV873" s="21">
        <f t="shared" ca="1" si="1753"/>
        <v>12.771760706325818</v>
      </c>
      <c r="AW873" s="21">
        <f t="shared" ca="1" si="1753"/>
        <v>9.307073554485239</v>
      </c>
      <c r="AX873" s="613">
        <f ca="1">SUMPRODUCT(AQ$476:AW$476,AQ873:AW873)/AX$476</f>
        <v>10.147291728216171</v>
      </c>
      <c r="AZ873" s="21">
        <f t="shared" ref="AZ873:BF873" ca="1" si="1754">($M$85)*60/AZ869</f>
        <v>8.4863783140137201</v>
      </c>
      <c r="BA873" s="21">
        <f t="shared" ca="1" si="1754"/>
        <v>8.5921060057106953</v>
      </c>
      <c r="BB873" s="21">
        <f t="shared" ca="1" si="1754"/>
        <v>16.416015311307476</v>
      </c>
      <c r="BC873" s="21">
        <f t="shared" ca="1" si="1754"/>
        <v>15.702836867886942</v>
      </c>
      <c r="BD873" s="21">
        <f t="shared" ca="1" si="1754"/>
        <v>13.439119873418489</v>
      </c>
      <c r="BE873" s="21">
        <f t="shared" ca="1" si="1754"/>
        <v>18.199759006514292</v>
      </c>
      <c r="BF873" s="21">
        <f t="shared" ca="1" si="1754"/>
        <v>13.262579815141464</v>
      </c>
      <c r="BG873" s="613">
        <f ca="1">SUMPRODUCT(AZ$476:BF$476,AZ873:BF873)/BG$476</f>
        <v>14.974059829588434</v>
      </c>
      <c r="BI873" s="21">
        <f t="shared" ref="BI873:BO873" ca="1" si="1755">($N$85)*60/BI869</f>
        <v>5.6575855426758137</v>
      </c>
      <c r="BJ873" s="21">
        <f t="shared" ca="1" si="1755"/>
        <v>5.7280706704737963</v>
      </c>
      <c r="BK873" s="21">
        <f t="shared" ca="1" si="1755"/>
        <v>10.944010207538318</v>
      </c>
      <c r="BL873" s="21">
        <f t="shared" ca="1" si="1755"/>
        <v>10.468557911924627</v>
      </c>
      <c r="BM873" s="21">
        <f t="shared" ca="1" si="1755"/>
        <v>8.9594132489456602</v>
      </c>
      <c r="BN873" s="21">
        <f t="shared" ca="1" si="1755"/>
        <v>12.133172671009527</v>
      </c>
      <c r="BO873" s="21">
        <f t="shared" ca="1" si="1755"/>
        <v>8.8417198767609761</v>
      </c>
      <c r="BP873" s="613">
        <f ca="1">SUMPRODUCT(BI$476:BO$476,BI873:BO873)/BP$476</f>
        <v>10.010971889740715</v>
      </c>
    </row>
    <row r="874" spans="2:68" ht="13.2" customHeight="1">
      <c r="B874" s="280" t="s">
        <v>2159</v>
      </c>
      <c r="C874" s="297"/>
      <c r="D874" s="297"/>
      <c r="E874" s="297"/>
      <c r="F874" s="297"/>
      <c r="G874" s="3738"/>
      <c r="H874" s="3739"/>
      <c r="I874" s="3739"/>
      <c r="J874" s="3739"/>
      <c r="K874" s="3739"/>
      <c r="L874" s="3922"/>
      <c r="O874" s="39">
        <f>ROW()</f>
        <v>874</v>
      </c>
      <c r="P874" s="21">
        <f t="shared" ref="P874:V874" ca="1" si="1756">60*$I$85/(1/($P$135/$P869+$Q$135/$Q869+$R$135/$R869+$S$135/$S869+$T$135/$T869+$U$135/$U869+$V$135/$V869))</f>
        <v>6.2176197628235235</v>
      </c>
      <c r="Q874" s="21">
        <f t="shared" ca="1" si="1756"/>
        <v>6.2176197628235235</v>
      </c>
      <c r="R874" s="21">
        <f t="shared" ca="1" si="1756"/>
        <v>6.2176197628235235</v>
      </c>
      <c r="S874" s="21">
        <f t="shared" ca="1" si="1756"/>
        <v>6.2176197628235235</v>
      </c>
      <c r="T874" s="21">
        <f t="shared" ca="1" si="1756"/>
        <v>6.2176197628235235</v>
      </c>
      <c r="U874" s="21">
        <f t="shared" ca="1" si="1756"/>
        <v>6.2176197628235235</v>
      </c>
      <c r="V874" s="21">
        <f t="shared" ca="1" si="1756"/>
        <v>6.2176197628235235</v>
      </c>
      <c r="W874" s="613">
        <f ca="1">SUMPRODUCT(P$383:V$383,P874:V874)/W$383</f>
        <v>6.2176197628235217</v>
      </c>
      <c r="Y874" s="21">
        <f t="shared" ref="Y874:AE874" ca="1" si="1757">60*$J$85/(1/($Y$135/$Y869+$Z$135/$Z869+$AA$135/$AA869+$AB$135/$AB869+$AC$135/$AC869+$AD$135/$AD869+$AE$135/$AE869))</f>
        <v>6.2176197628235252</v>
      </c>
      <c r="Z874" s="21">
        <f t="shared" ca="1" si="1757"/>
        <v>6.2176197628235252</v>
      </c>
      <c r="AA874" s="21">
        <f t="shared" ca="1" si="1757"/>
        <v>6.2176197628235252</v>
      </c>
      <c r="AB874" s="21">
        <f t="shared" ca="1" si="1757"/>
        <v>6.2176197628235252</v>
      </c>
      <c r="AC874" s="21">
        <f t="shared" ca="1" si="1757"/>
        <v>6.2176197628235252</v>
      </c>
      <c r="AD874" s="21">
        <f t="shared" ca="1" si="1757"/>
        <v>6.2176197628235252</v>
      </c>
      <c r="AE874" s="21">
        <f t="shared" ca="1" si="1757"/>
        <v>6.2176197628235252</v>
      </c>
      <c r="AF874" s="613">
        <f ca="1">SUMPRODUCT(Y$383:AE$383,Y874:AE874)/AF$383</f>
        <v>6.2176197628235244</v>
      </c>
      <c r="AH874" s="21">
        <f t="shared" ref="AH874:AN874" ca="1" si="1758">AH873</f>
        <v>4.526068434140651</v>
      </c>
      <c r="AI874" s="21">
        <f t="shared" ca="1" si="1758"/>
        <v>4.5824565363790368</v>
      </c>
      <c r="AJ874" s="21">
        <f t="shared" ca="1" si="1758"/>
        <v>8.7552081660306538</v>
      </c>
      <c r="AK874" s="21">
        <f t="shared" ca="1" si="1758"/>
        <v>8.374846329539702</v>
      </c>
      <c r="AL874" s="21">
        <f t="shared" ca="1" si="1758"/>
        <v>7.1675305991565272</v>
      </c>
      <c r="AM874" s="21">
        <f t="shared" ca="1" si="1758"/>
        <v>9.7065381368076213</v>
      </c>
      <c r="AN874" s="21">
        <f t="shared" ca="1" si="1758"/>
        <v>7.0733759014087809</v>
      </c>
      <c r="AO874" s="613">
        <f ca="1">SUMPRODUCT(AH$383:AN$383,AH874:AN874)/AO$383</f>
        <v>7.7506695470061358</v>
      </c>
      <c r="AQ874" s="21"/>
      <c r="AR874" s="21"/>
      <c r="AS874" s="21"/>
      <c r="AT874" s="21"/>
      <c r="AU874" s="21"/>
      <c r="AV874" s="21"/>
      <c r="AW874" s="21"/>
      <c r="AX874" s="613"/>
      <c r="AZ874" s="21">
        <f t="shared" ref="AZ874:BF874" ca="1" si="1759">60*$M$85/(1/($AZ$135/$AZ869+$BA$135/$BA869+$BB$135/$BB869+$BC$135/$BC869+$BD$135/$BD869+$BE$135/$BE869+$BF$135/$BF869))</f>
        <v>14.922287430776461</v>
      </c>
      <c r="BA874" s="21">
        <f t="shared" ca="1" si="1759"/>
        <v>14.922287430776461</v>
      </c>
      <c r="BB874" s="21">
        <f t="shared" ca="1" si="1759"/>
        <v>14.922287430776461</v>
      </c>
      <c r="BC874" s="21">
        <f t="shared" ca="1" si="1759"/>
        <v>14.922287430776461</v>
      </c>
      <c r="BD874" s="21">
        <f t="shared" ca="1" si="1759"/>
        <v>14.922287430776461</v>
      </c>
      <c r="BE874" s="21">
        <f t="shared" ca="1" si="1759"/>
        <v>14.922287430776461</v>
      </c>
      <c r="BF874" s="21">
        <f t="shared" ca="1" si="1759"/>
        <v>14.922287430776461</v>
      </c>
      <c r="BG874" s="613">
        <f ca="1">SUMPRODUCT(AZ$383:BF$383,AZ874:BF874)/BG$383</f>
        <v>14.922287430776461</v>
      </c>
      <c r="BI874" s="21">
        <f t="shared" ref="BI874:BO874" ca="1" si="1760">60*$N$85/(1/($BI$135/$BI869+$BJ$135/$BJ869+$BK$135/$BK869+$BL$135/$BL869+$BM$135/$BM869+$BN$135/$BN869+$BO$135/$BO869))</f>
        <v>9.9481916205176368</v>
      </c>
      <c r="BJ874" s="21">
        <f t="shared" ca="1" si="1760"/>
        <v>9.9481916205176368</v>
      </c>
      <c r="BK874" s="21">
        <f t="shared" ca="1" si="1760"/>
        <v>9.9481916205176368</v>
      </c>
      <c r="BL874" s="21">
        <f t="shared" ca="1" si="1760"/>
        <v>9.9481916205176368</v>
      </c>
      <c r="BM874" s="21">
        <f t="shared" ca="1" si="1760"/>
        <v>9.9481916205176368</v>
      </c>
      <c r="BN874" s="21">
        <f t="shared" ca="1" si="1760"/>
        <v>9.9481916205176368</v>
      </c>
      <c r="BO874" s="21">
        <f t="shared" ca="1" si="1760"/>
        <v>9.9481916205176368</v>
      </c>
      <c r="BP874" s="613">
        <f ca="1">SUMPRODUCT(BI$383:BO$383,BI874:BO874)/BP$383</f>
        <v>9.9481916205176368</v>
      </c>
    </row>
    <row r="875" spans="2:68" ht="13.2" customHeight="1">
      <c r="B875" s="280" t="s">
        <v>2160</v>
      </c>
      <c r="C875" s="297"/>
      <c r="D875" s="297"/>
      <c r="E875" s="297"/>
      <c r="F875" s="297"/>
      <c r="G875" s="3738"/>
      <c r="H875" s="3739"/>
      <c r="I875" s="3739"/>
      <c r="J875" s="3739"/>
      <c r="K875" s="3739"/>
      <c r="L875" s="3922"/>
      <c r="O875" s="39">
        <f>ROW()</f>
        <v>875</v>
      </c>
      <c r="P875" s="21">
        <f t="shared" ref="P875:V875" ca="1" si="1761">($I$79)*60/P870</f>
        <v>18.438497938077738</v>
      </c>
      <c r="Q875" s="21">
        <f t="shared" ca="1" si="1761"/>
        <v>21.305529379818154</v>
      </c>
      <c r="R875" s="21">
        <f t="shared" ca="1" si="1761"/>
        <v>55.516683134150433</v>
      </c>
      <c r="S875" s="21">
        <f t="shared" ca="1" si="1761"/>
        <v>46.830134340014745</v>
      </c>
      <c r="T875" s="21">
        <f t="shared" ca="1" si="1761"/>
        <v>40.197149132640824</v>
      </c>
      <c r="U875" s="21">
        <f t="shared" ca="1" si="1761"/>
        <v>61.628961275003078</v>
      </c>
      <c r="V875" s="21">
        <f t="shared" ca="1" si="1761"/>
        <v>36.863032557231485</v>
      </c>
      <c r="W875" s="613">
        <f ca="1">SUMPRODUCT(P$476:V$476,P875:V875)/W$476</f>
        <v>47.732154053406283</v>
      </c>
      <c r="Y875" s="21">
        <f t="shared" ref="Y875:AE875" ca="1" si="1762">($J$79)*60/Y870</f>
        <v>18.438497938077738</v>
      </c>
      <c r="Z875" s="21">
        <f t="shared" ca="1" si="1762"/>
        <v>21.305529379818154</v>
      </c>
      <c r="AA875" s="21">
        <f t="shared" ca="1" si="1762"/>
        <v>55.516683134150433</v>
      </c>
      <c r="AB875" s="21">
        <f t="shared" ca="1" si="1762"/>
        <v>46.830134340014745</v>
      </c>
      <c r="AC875" s="21">
        <f t="shared" ca="1" si="1762"/>
        <v>40.197149132640824</v>
      </c>
      <c r="AD875" s="21">
        <f t="shared" ca="1" si="1762"/>
        <v>61.628961275003078</v>
      </c>
      <c r="AE875" s="21">
        <f t="shared" ca="1" si="1762"/>
        <v>36.863032557231485</v>
      </c>
      <c r="AF875" s="613">
        <f ca="1">SUMPRODUCT(Y$476:AE$476,Y875:AE875)/AF$476</f>
        <v>47.562448031991458</v>
      </c>
      <c r="AH875" s="21">
        <f t="shared" ref="AH875:AN875" ca="1" si="1763">($K$79)*60/AH870</f>
        <v>27.657746907116604</v>
      </c>
      <c r="AI875" s="21">
        <f t="shared" ca="1" si="1763"/>
        <v>31.958294069727231</v>
      </c>
      <c r="AJ875" s="21">
        <f t="shared" ca="1" si="1763"/>
        <v>83.275024701225647</v>
      </c>
      <c r="AK875" s="21">
        <f t="shared" ca="1" si="1763"/>
        <v>70.245201510022127</v>
      </c>
      <c r="AL875" s="21">
        <f t="shared" ca="1" si="1763"/>
        <v>60.29572369896124</v>
      </c>
      <c r="AM875" s="21">
        <f t="shared" ca="1" si="1763"/>
        <v>92.443441912504625</v>
      </c>
      <c r="AN875" s="21">
        <f t="shared" ca="1" si="1763"/>
        <v>55.29454883584723</v>
      </c>
      <c r="AO875" s="613">
        <f ca="1">SUMPRODUCT(AH$476:AN$476,AH875:AN875)/AO$476</f>
        <v>68.02289600588756</v>
      </c>
      <c r="AQ875" s="21">
        <f t="shared" ref="AQ875:AW875" ca="1" si="1764">($L$79)*60/AQ870</f>
        <v>6.612312663212295</v>
      </c>
      <c r="AR875" s="21">
        <f t="shared" ca="1" si="1764"/>
        <v>7.6404717015305952</v>
      </c>
      <c r="AS875" s="21">
        <f t="shared" ca="1" si="1764"/>
        <v>19.909087396397638</v>
      </c>
      <c r="AT875" s="21">
        <f t="shared" ca="1" si="1764"/>
        <v>16.793965070057919</v>
      </c>
      <c r="AU875" s="21">
        <f t="shared" ca="1" si="1764"/>
        <v>14.415280416410319</v>
      </c>
      <c r="AV875" s="21">
        <f t="shared" ca="1" si="1764"/>
        <v>22.101038947308471</v>
      </c>
      <c r="AW875" s="21">
        <f t="shared" ca="1" si="1764"/>
        <v>13.21961787783243</v>
      </c>
      <c r="AX875" s="613">
        <f ca="1">SUMPRODUCT(AQ$476:AW$476,AQ875:AW875)/AX$476</f>
        <v>16.016188451772159</v>
      </c>
      <c r="AZ875" s="21">
        <f t="shared" ref="AZ875:BF875" ca="1" si="1765">($M$79)*60/AZ870</f>
        <v>13.659934336324605</v>
      </c>
      <c r="BA875" s="21">
        <f t="shared" ca="1" si="1765"/>
        <v>15.783939304943816</v>
      </c>
      <c r="BB875" s="21">
        <f t="shared" ca="1" si="1765"/>
        <v>41.128851641268511</v>
      </c>
      <c r="BC875" s="21">
        <f t="shared" ca="1" si="1765"/>
        <v>34.693528843518777</v>
      </c>
      <c r="BD875" s="21">
        <f t="shared" ca="1" si="1765"/>
        <v>29.779563362663229</v>
      </c>
      <c r="BE875" s="21">
        <f t="shared" ca="1" si="1765"/>
        <v>45.657057698497049</v>
      </c>
      <c r="BF875" s="21">
        <f t="shared" ca="1" si="1765"/>
        <v>27.309524119624371</v>
      </c>
      <c r="BG875" s="613">
        <f ca="1">SUMPRODUCT(AZ$476:BF$476,AZ875:BF875)/BG$476</f>
        <v>34.866602074038724</v>
      </c>
      <c r="BI875" s="21">
        <f t="shared" ref="BI875:BO875" ca="1" si="1766">($N$79)*60/BI870</f>
        <v>18.947848709847843</v>
      </c>
      <c r="BJ875" s="21">
        <f t="shared" ca="1" si="1766"/>
        <v>21.894079915172252</v>
      </c>
      <c r="BK875" s="21">
        <f t="shared" ca="1" si="1766"/>
        <v>57.050293165480568</v>
      </c>
      <c r="BL875" s="21">
        <f t="shared" ca="1" si="1766"/>
        <v>48.12378445990467</v>
      </c>
      <c r="BM875" s="21">
        <f t="shared" ca="1" si="1766"/>
        <v>41.30756761696793</v>
      </c>
      <c r="BN875" s="21">
        <f t="shared" ca="1" si="1766"/>
        <v>63.331418768787707</v>
      </c>
      <c r="BO875" s="21">
        <f t="shared" ca="1" si="1766"/>
        <v>37.881348373729601</v>
      </c>
      <c r="BP875" s="613">
        <f ca="1">SUMPRODUCT(BI$476:BO$476,BI875:BO875)/BP$476</f>
        <v>48.561136427401415</v>
      </c>
    </row>
    <row r="876" spans="2:68" ht="13.2" customHeight="1">
      <c r="B876" s="280" t="s">
        <v>1138</v>
      </c>
      <c r="C876" s="297"/>
      <c r="D876" s="297"/>
      <c r="E876" s="297"/>
      <c r="F876" s="297"/>
      <c r="G876" s="3738"/>
      <c r="H876" s="3739"/>
      <c r="I876" s="3739"/>
      <c r="J876" s="3739"/>
      <c r="K876" s="3739"/>
      <c r="L876" s="3922"/>
      <c r="O876" s="39">
        <f>ROW()</f>
        <v>876</v>
      </c>
      <c r="P876" s="21">
        <f t="shared" ref="P876:V876" ca="1" si="1767">60*$I$79/(1/($P$135/$P870+$Q$135/$Q870+$R$135/$R870+$S$135/$S870+$T$135/$T870+$U$135/$U870+$V$135/$V870))</f>
        <v>46.739736324531854</v>
      </c>
      <c r="Q876" s="21">
        <f t="shared" ca="1" si="1767"/>
        <v>46.739736324531854</v>
      </c>
      <c r="R876" s="21">
        <f t="shared" ca="1" si="1767"/>
        <v>46.739736324531854</v>
      </c>
      <c r="S876" s="21">
        <f t="shared" ca="1" si="1767"/>
        <v>46.739736324531854</v>
      </c>
      <c r="T876" s="21">
        <f t="shared" ca="1" si="1767"/>
        <v>46.739736324531854</v>
      </c>
      <c r="U876" s="21">
        <f t="shared" ca="1" si="1767"/>
        <v>46.739736324531854</v>
      </c>
      <c r="V876" s="21">
        <f t="shared" ca="1" si="1767"/>
        <v>46.739736324531854</v>
      </c>
      <c r="W876" s="613">
        <f ca="1">SUMPRODUCT(P$476:V$476,P876:V876)/W$476</f>
        <v>46.739736324531847</v>
      </c>
      <c r="Y876" s="21">
        <f t="shared" ref="Y876:AE876" ca="1" si="1768">60*$J$79/(1/($Y$135/$Y870+$Z$135/$Z870+$AA$135/$AA870+$AB$135/$AB870+$AC$135/$AC870+$AD$135/$AD870+$AE$135/$AE870))</f>
        <v>46.739736324531854</v>
      </c>
      <c r="Z876" s="21">
        <f t="shared" ca="1" si="1768"/>
        <v>46.739736324531854</v>
      </c>
      <c r="AA876" s="21">
        <f t="shared" ca="1" si="1768"/>
        <v>46.739736324531854</v>
      </c>
      <c r="AB876" s="21">
        <f t="shared" ca="1" si="1768"/>
        <v>46.739736324531854</v>
      </c>
      <c r="AC876" s="21">
        <f t="shared" ca="1" si="1768"/>
        <v>46.739736324531854</v>
      </c>
      <c r="AD876" s="21">
        <f t="shared" ca="1" si="1768"/>
        <v>46.739736324531854</v>
      </c>
      <c r="AE876" s="21">
        <f t="shared" ca="1" si="1768"/>
        <v>46.739736324531854</v>
      </c>
      <c r="AF876" s="613">
        <f ca="1">SUMPRODUCT(Y$476:AE$476,Y876:AE876)/AF$476</f>
        <v>46.739736324531862</v>
      </c>
      <c r="AH876" s="21">
        <f t="shared" ref="AH876:AN876" ca="1" si="1769">AH875</f>
        <v>27.657746907116604</v>
      </c>
      <c r="AI876" s="21">
        <f t="shared" ca="1" si="1769"/>
        <v>31.958294069727231</v>
      </c>
      <c r="AJ876" s="21">
        <f t="shared" ca="1" si="1769"/>
        <v>83.275024701225647</v>
      </c>
      <c r="AK876" s="21">
        <f t="shared" ca="1" si="1769"/>
        <v>70.245201510022127</v>
      </c>
      <c r="AL876" s="21">
        <f t="shared" ca="1" si="1769"/>
        <v>60.29572369896124</v>
      </c>
      <c r="AM876" s="21">
        <f t="shared" ca="1" si="1769"/>
        <v>92.443441912504625</v>
      </c>
      <c r="AN876" s="21">
        <f t="shared" ca="1" si="1769"/>
        <v>55.29454883584723</v>
      </c>
      <c r="AO876" s="613">
        <f ca="1">SUMPRODUCT(AH$476:AN$476,AH876:AN876)/AO$476</f>
        <v>68.02289600588756</v>
      </c>
      <c r="AX876" s="613"/>
      <c r="AZ876" s="21">
        <f t="shared" ref="AZ876:BF876" ca="1" si="1770">60*$M$79/(1/($AZ$135/$AZ870+$BA$135/$BA870+$BB$135/$BB870+$BC$135/$BC870+$BD$135/$BD870+$BE$135/$BE870+$BF$135/$BF870))</f>
        <v>34.626558585975168</v>
      </c>
      <c r="BA876" s="21">
        <f t="shared" ca="1" si="1770"/>
        <v>34.626558585975168</v>
      </c>
      <c r="BB876" s="21">
        <f t="shared" ca="1" si="1770"/>
        <v>34.626558585975168</v>
      </c>
      <c r="BC876" s="21">
        <f t="shared" ca="1" si="1770"/>
        <v>34.626558585975168</v>
      </c>
      <c r="BD876" s="21">
        <f t="shared" ca="1" si="1770"/>
        <v>34.626558585975168</v>
      </c>
      <c r="BE876" s="21">
        <f t="shared" ca="1" si="1770"/>
        <v>34.626558585975168</v>
      </c>
      <c r="BF876" s="21">
        <f t="shared" ca="1" si="1770"/>
        <v>34.626558585975168</v>
      </c>
      <c r="BG876" s="613">
        <f ca="1">SUMPRODUCT(AZ$476:BF$476,AZ876:BF876)/BG$476</f>
        <v>34.626558585975175</v>
      </c>
      <c r="BI876" s="21">
        <f t="shared" ref="BI876:BO876" ca="1" si="1771">60*$N$79/(1/($BI$135/$BI870+$BJ$135/$BJ870+$BK$135/$BK870+$BL$135/$BL870+$BM$135/$BM870+$BN$135/$BN870+$BO$135/$BO870))</f>
        <v>48.030889261673614</v>
      </c>
      <c r="BJ876" s="21">
        <f t="shared" ca="1" si="1771"/>
        <v>48.030889261673614</v>
      </c>
      <c r="BK876" s="21">
        <f t="shared" ca="1" si="1771"/>
        <v>48.030889261673614</v>
      </c>
      <c r="BL876" s="21">
        <f t="shared" ca="1" si="1771"/>
        <v>48.030889261673614</v>
      </c>
      <c r="BM876" s="21">
        <f t="shared" ca="1" si="1771"/>
        <v>48.030889261673614</v>
      </c>
      <c r="BN876" s="21">
        <f t="shared" ca="1" si="1771"/>
        <v>48.030889261673614</v>
      </c>
      <c r="BO876" s="21">
        <f t="shared" ca="1" si="1771"/>
        <v>48.030889261673614</v>
      </c>
      <c r="BP876" s="613">
        <f ca="1">SUMPRODUCT(BI$476:BO$476,BI876:BO876)/BP$476</f>
        <v>48.030889261673607</v>
      </c>
    </row>
    <row r="877" spans="2:68" ht="13.2" customHeight="1">
      <c r="B877" s="308" t="s">
        <v>2243</v>
      </c>
      <c r="C877" s="297"/>
      <c r="D877" s="297"/>
      <c r="E877" s="297"/>
      <c r="F877" s="297"/>
      <c r="G877" s="3738"/>
      <c r="H877" s="3739"/>
      <c r="I877" s="3739"/>
      <c r="J877" s="3739"/>
      <c r="K877" s="3739"/>
      <c r="L877" s="3922"/>
      <c r="O877" s="39">
        <f>ROW()</f>
        <v>877</v>
      </c>
      <c r="P877" s="21">
        <f t="shared" ref="P877:W877" ca="1" si="1772">SUM(P873:P876)</f>
        <v>74.931844989605509</v>
      </c>
      <c r="Q877" s="21">
        <f t="shared" ca="1" si="1772"/>
        <v>77.842929636219651</v>
      </c>
      <c r="R877" s="21">
        <f t="shared" ca="1" si="1772"/>
        <v>115.31404560121726</v>
      </c>
      <c r="S877" s="21">
        <f t="shared" ca="1" si="1772"/>
        <v>106.33033912232301</v>
      </c>
      <c r="T877" s="21">
        <f t="shared" ca="1" si="1772"/>
        <v>98.754138500587231</v>
      </c>
      <c r="U877" s="21">
        <f t="shared" ca="1" si="1772"/>
        <v>122.16955028173942</v>
      </c>
      <c r="V877" s="21">
        <f t="shared" ca="1" si="1772"/>
        <v>95.346463567562466</v>
      </c>
      <c r="W877" s="614">
        <f t="shared" ca="1" si="1772"/>
        <v>106.978781086162</v>
      </c>
      <c r="Y877" s="21">
        <f t="shared" ref="Y877:AF877" ca="1" si="1773">SUM(Y873:Y876)</f>
        <v>74.931844989605509</v>
      </c>
      <c r="Z877" s="21">
        <f t="shared" ca="1" si="1773"/>
        <v>77.842929636219651</v>
      </c>
      <c r="AA877" s="21">
        <f t="shared" ca="1" si="1773"/>
        <v>115.31404560121726</v>
      </c>
      <c r="AB877" s="21">
        <f t="shared" ca="1" si="1773"/>
        <v>106.33033912232301</v>
      </c>
      <c r="AC877" s="21">
        <f t="shared" ca="1" si="1773"/>
        <v>98.754138500587231</v>
      </c>
      <c r="AD877" s="21">
        <f t="shared" ca="1" si="1773"/>
        <v>122.16955028173942</v>
      </c>
      <c r="AE877" s="21">
        <f t="shared" ca="1" si="1773"/>
        <v>95.346463567562466</v>
      </c>
      <c r="AF877" s="614">
        <f t="shared" ca="1" si="1773"/>
        <v>106.81669459450642</v>
      </c>
      <c r="AH877" s="21">
        <f t="shared" ref="AH877:AO877" ca="1" si="1774">SUM(AH873:AH876)</f>
        <v>64.367630682514516</v>
      </c>
      <c r="AI877" s="21">
        <f t="shared" ca="1" si="1774"/>
        <v>73.081501212212544</v>
      </c>
      <c r="AJ877" s="21">
        <f t="shared" ca="1" si="1774"/>
        <v>184.0604657345126</v>
      </c>
      <c r="AK877" s="21">
        <f t="shared" ca="1" si="1774"/>
        <v>157.24009567912367</v>
      </c>
      <c r="AL877" s="21">
        <f t="shared" ca="1" si="1774"/>
        <v>134.92650859623552</v>
      </c>
      <c r="AM877" s="21">
        <f t="shared" ca="1" si="1774"/>
        <v>204.2999600986245</v>
      </c>
      <c r="AN877" s="21">
        <f t="shared" ca="1" si="1774"/>
        <v>124.73584947451201</v>
      </c>
      <c r="AO877" s="614">
        <f t="shared" ca="1" si="1774"/>
        <v>151.58934281184997</v>
      </c>
      <c r="AQ877" s="21">
        <f t="shared" ref="AQ877:AX877" ca="1" si="1775">AQ873+AQ875</f>
        <v>12.567665866028941</v>
      </c>
      <c r="AR877" s="21">
        <f t="shared" ca="1" si="1775"/>
        <v>13.67001977571354</v>
      </c>
      <c r="AS877" s="21">
        <f t="shared" ca="1" si="1775"/>
        <v>31.429098141174816</v>
      </c>
      <c r="AT877" s="21">
        <f t="shared" ca="1" si="1775"/>
        <v>27.813499714189106</v>
      </c>
      <c r="AU877" s="21">
        <f t="shared" ca="1" si="1775"/>
        <v>23.846241731089961</v>
      </c>
      <c r="AV877" s="21">
        <f t="shared" ca="1" si="1775"/>
        <v>34.872799653634289</v>
      </c>
      <c r="AW877" s="21">
        <f t="shared" ca="1" si="1775"/>
        <v>22.526691432317669</v>
      </c>
      <c r="AX877" s="614">
        <f t="shared" ca="1" si="1775"/>
        <v>26.16348017998833</v>
      </c>
      <c r="AZ877" s="21">
        <f t="shared" ref="AZ877:BG877" ca="1" si="1776">SUM(AZ873:AZ876)</f>
        <v>71.695158667089956</v>
      </c>
      <c r="BA877" s="21">
        <f t="shared" ca="1" si="1776"/>
        <v>73.924891327406129</v>
      </c>
      <c r="BB877" s="21">
        <f t="shared" ca="1" si="1776"/>
        <v>107.09371296932761</v>
      </c>
      <c r="BC877" s="21">
        <f t="shared" ca="1" si="1776"/>
        <v>99.945211728157346</v>
      </c>
      <c r="BD877" s="21">
        <f t="shared" ca="1" si="1776"/>
        <v>92.767529252833356</v>
      </c>
      <c r="BE877" s="21">
        <f t="shared" ca="1" si="1776"/>
        <v>113.40566272176298</v>
      </c>
      <c r="BF877" s="21">
        <f t="shared" ca="1" si="1776"/>
        <v>90.120949951517474</v>
      </c>
      <c r="BG877" s="614">
        <f t="shared" ca="1" si="1776"/>
        <v>99.38950792037879</v>
      </c>
      <c r="BI877" s="21">
        <f t="shared" ref="BI877:BP877" ca="1" si="1777">SUM(BI873:BI876)</f>
        <v>82.584515134714906</v>
      </c>
      <c r="BJ877" s="21">
        <f t="shared" ca="1" si="1777"/>
        <v>85.601231467837295</v>
      </c>
      <c r="BK877" s="21">
        <f t="shared" ca="1" si="1777"/>
        <v>125.97338425521014</v>
      </c>
      <c r="BL877" s="21">
        <f t="shared" ca="1" si="1777"/>
        <v>116.57142325402054</v>
      </c>
      <c r="BM877" s="21">
        <f t="shared" ca="1" si="1777"/>
        <v>108.24606174810484</v>
      </c>
      <c r="BN877" s="21">
        <f t="shared" ca="1" si="1777"/>
        <v>133.44367232198849</v>
      </c>
      <c r="BO877" s="21">
        <f t="shared" ca="1" si="1777"/>
        <v>104.70214913268182</v>
      </c>
      <c r="BP877" s="614">
        <f t="shared" ca="1" si="1777"/>
        <v>116.55118919933336</v>
      </c>
    </row>
    <row r="878" spans="2:68" ht="13.2" customHeight="1">
      <c r="B878" s="280" t="s">
        <v>92</v>
      </c>
      <c r="G878" s="3741"/>
      <c r="H878" s="3742"/>
      <c r="I878" s="3742"/>
      <c r="J878" s="3742"/>
      <c r="K878" s="3742"/>
      <c r="L878" s="3777"/>
      <c r="O878" s="39">
        <f>ROW()</f>
        <v>878</v>
      </c>
      <c r="P878" s="117">
        <f t="shared" ref="P878:W878" ca="1" si="1778">P877/P829</f>
        <v>1.000001232639723</v>
      </c>
      <c r="Q878" s="117">
        <f t="shared" ca="1" si="1778"/>
        <v>1.0000011488758809</v>
      </c>
      <c r="R878" s="117">
        <f t="shared" ca="1" si="1778"/>
        <v>0.99999823738990523</v>
      </c>
      <c r="S878" s="117">
        <f t="shared" ca="1" si="1778"/>
        <v>0.99999577387850325</v>
      </c>
      <c r="T878" s="117">
        <f t="shared" ca="1" si="1778"/>
        <v>0.99999873221009938</v>
      </c>
      <c r="U878" s="117">
        <f t="shared" ca="1" si="1778"/>
        <v>1.0000056699440476</v>
      </c>
      <c r="V878" s="117">
        <f t="shared" ca="1" si="1778"/>
        <v>0.99999899068950504</v>
      </c>
      <c r="W878" s="117">
        <f t="shared" ca="1" si="1778"/>
        <v>1.0000011237178439</v>
      </c>
      <c r="Y878" s="117">
        <f t="shared" ref="Y878:AF878" ca="1" si="1779">Y877/Y829</f>
        <v>1.000001232639723</v>
      </c>
      <c r="Z878" s="117">
        <f t="shared" ca="1" si="1779"/>
        <v>1.0000011488758809</v>
      </c>
      <c r="AA878" s="117">
        <f t="shared" ca="1" si="1779"/>
        <v>0.99999823738990523</v>
      </c>
      <c r="AB878" s="117">
        <f t="shared" ca="1" si="1779"/>
        <v>0.99999577387850325</v>
      </c>
      <c r="AC878" s="117">
        <f t="shared" ca="1" si="1779"/>
        <v>0.99999873221009938</v>
      </c>
      <c r="AD878" s="117">
        <f t="shared" ca="1" si="1779"/>
        <v>1.0000056699440476</v>
      </c>
      <c r="AE878" s="117">
        <f t="shared" ca="1" si="1779"/>
        <v>0.99999899068950504</v>
      </c>
      <c r="AF878" s="117">
        <f t="shared" ca="1" si="1779"/>
        <v>1.0000018711894383</v>
      </c>
      <c r="AH878" s="117">
        <f t="shared" ref="AH878:AO878" ca="1" si="1780">AH877/AH829</f>
        <v>0.99999992844168228</v>
      </c>
      <c r="AI878" s="117">
        <f t="shared" ca="1" si="1780"/>
        <v>0.99999983426453976</v>
      </c>
      <c r="AJ878" s="117">
        <f t="shared" ca="1" si="1780"/>
        <v>0.99999586339876567</v>
      </c>
      <c r="AK878" s="117">
        <f t="shared" ca="1" si="1780"/>
        <v>0.99999115095754387</v>
      </c>
      <c r="AL878" s="117">
        <f t="shared" ca="1" si="1780"/>
        <v>0.99999583798394054</v>
      </c>
      <c r="AM878" s="117">
        <f t="shared" ca="1" si="1780"/>
        <v>1.0000074999617492</v>
      </c>
      <c r="AN878" s="117">
        <f t="shared" ca="1" si="1780"/>
        <v>0.99999609241953247</v>
      </c>
      <c r="AO878" s="117">
        <f t="shared" ca="1" si="1780"/>
        <v>1.0000013937640728</v>
      </c>
      <c r="AQ878" s="117">
        <f t="shared" ref="AQ878:AX878" ca="1" si="1781">AQ877/AQ829</f>
        <v>0.99999975888215209</v>
      </c>
      <c r="AR878" s="117">
        <f t="shared" ca="1" si="1781"/>
        <v>0.9999994170786165</v>
      </c>
      <c r="AS878" s="117">
        <f t="shared" ca="1" si="1781"/>
        <v>0.99998406237729021</v>
      </c>
      <c r="AT878" s="117">
        <f t="shared" ca="1" si="1781"/>
        <v>0.99996708833141512</v>
      </c>
      <c r="AU878" s="117">
        <f t="shared" ca="1" si="1781"/>
        <v>0.99998450710480036</v>
      </c>
      <c r="AV878" s="117">
        <f t="shared" ca="1" si="1781"/>
        <v>1.0000289072131272</v>
      </c>
      <c r="AW878" s="117">
        <f t="shared" ca="1" si="1781"/>
        <v>0.9999857651224443</v>
      </c>
      <c r="AX878" s="117">
        <f t="shared" ca="1" si="1781"/>
        <v>1.000002730041524</v>
      </c>
      <c r="AZ878" s="117">
        <f t="shared" ref="AZ878:BG878" ca="1" si="1782">AZ877/AZ829</f>
        <v>1.0000030918954785</v>
      </c>
      <c r="BA878" s="117">
        <f t="shared" ca="1" si="1782"/>
        <v>1.0000029034449316</v>
      </c>
      <c r="BB878" s="117">
        <f t="shared" ca="1" si="1782"/>
        <v>0.99999544504055027</v>
      </c>
      <c r="BC878" s="117">
        <f t="shared" ca="1" si="1782"/>
        <v>0.99998920940044755</v>
      </c>
      <c r="BD878" s="117">
        <f t="shared" ca="1" si="1782"/>
        <v>0.99999676095495149</v>
      </c>
      <c r="BE878" s="117">
        <f t="shared" ca="1" si="1782"/>
        <v>1.0000146596011135</v>
      </c>
      <c r="BF878" s="117">
        <f t="shared" ca="1" si="1782"/>
        <v>0.99999743720313128</v>
      </c>
      <c r="BG878" s="117">
        <f t="shared" ca="1" si="1782"/>
        <v>1.0000038022994819</v>
      </c>
      <c r="BI878" s="117">
        <f t="shared" ref="BI878:BP878" ca="1" si="1783">BI877/BI829</f>
        <v>1.0000017894690294</v>
      </c>
      <c r="BJ878" s="117">
        <f t="shared" ca="1" si="1783"/>
        <v>1.0000016716004585</v>
      </c>
      <c r="BK878" s="117">
        <f t="shared" ca="1" si="1783"/>
        <v>0.99999741845742285</v>
      </c>
      <c r="BL878" s="117">
        <f t="shared" ca="1" si="1783"/>
        <v>0.99999383225772664</v>
      </c>
      <c r="BM878" s="117">
        <f t="shared" ca="1" si="1783"/>
        <v>0.99999814940997289</v>
      </c>
      <c r="BN878" s="117">
        <f t="shared" ca="1" si="1783"/>
        <v>1.0000083054829407</v>
      </c>
      <c r="BO878" s="117">
        <f t="shared" ca="1" si="1783"/>
        <v>0.99999852940337564</v>
      </c>
      <c r="BP878" s="117">
        <f t="shared" ca="1" si="1783"/>
        <v>1.0000021806594903</v>
      </c>
    </row>
    <row r="879" spans="2:68" ht="13.2" customHeight="1">
      <c r="B879" s="280"/>
      <c r="G879" s="280"/>
      <c r="O879" s="39">
        <f>ROW()</f>
        <v>879</v>
      </c>
      <c r="P879" s="117"/>
      <c r="Q879" s="117"/>
      <c r="R879" s="117"/>
      <c r="S879" s="117"/>
      <c r="T879" s="117"/>
      <c r="U879" s="117"/>
      <c r="V879" s="117"/>
      <c r="W879" s="117"/>
      <c r="Y879" s="117"/>
      <c r="Z879" s="117"/>
      <c r="AA879" s="117"/>
      <c r="AB879" s="117"/>
      <c r="AC879" s="117"/>
      <c r="AD879" s="117"/>
      <c r="AE879" s="117"/>
      <c r="AF879" s="117"/>
      <c r="AH879" s="117"/>
      <c r="AI879" s="117"/>
      <c r="AJ879" s="117"/>
      <c r="AK879" s="117"/>
      <c r="AL879" s="117"/>
      <c r="AM879" s="117"/>
      <c r="AN879" s="117"/>
      <c r="AO879" s="117"/>
      <c r="AQ879" s="117"/>
      <c r="AR879" s="117"/>
      <c r="AS879" s="117"/>
      <c r="AT879" s="117"/>
      <c r="AU879" s="117"/>
      <c r="AV879" s="117"/>
      <c r="AW879" s="117"/>
      <c r="AX879" s="117"/>
      <c r="AZ879" s="117"/>
      <c r="BA879" s="117"/>
      <c r="BB879" s="117"/>
      <c r="BC879" s="117"/>
      <c r="BD879" s="117"/>
      <c r="BE879" s="117"/>
      <c r="BF879" s="117"/>
      <c r="BG879" s="117"/>
      <c r="BI879" s="117"/>
      <c r="BJ879" s="117"/>
      <c r="BK879" s="117"/>
      <c r="BL879" s="117"/>
      <c r="BM879" s="117"/>
      <c r="BN879" s="117"/>
      <c r="BO879" s="117"/>
      <c r="BP879" s="117"/>
    </row>
    <row r="880" spans="2:68" ht="13.2" customHeight="1">
      <c r="B880" s="655"/>
      <c r="O880" s="39">
        <f>ROW()</f>
        <v>880</v>
      </c>
    </row>
    <row r="881" spans="2:68" ht="13.2" customHeight="1">
      <c r="B881" s="24" t="s">
        <v>1446</v>
      </c>
      <c r="G881" s="298" t="s">
        <v>1091</v>
      </c>
      <c r="H881" s="298" t="s">
        <v>1092</v>
      </c>
      <c r="I881" s="298" t="s">
        <v>1093</v>
      </c>
      <c r="J881" s="298" t="s">
        <v>1094</v>
      </c>
      <c r="K881" s="298" t="s">
        <v>1095</v>
      </c>
      <c r="L881" s="298" t="s">
        <v>1096</v>
      </c>
      <c r="M881" s="298" t="s">
        <v>1097</v>
      </c>
      <c r="N881" s="34" t="s">
        <v>228</v>
      </c>
      <c r="O881" s="39">
        <f>ROW()</f>
        <v>881</v>
      </c>
      <c r="P881" s="4147" t="s">
        <v>2680</v>
      </c>
      <c r="Q881" s="4147"/>
      <c r="R881" s="4147"/>
      <c r="S881" s="4147"/>
      <c r="T881" s="4147"/>
      <c r="U881" s="4147"/>
      <c r="V881" s="4147"/>
      <c r="W881" s="4147"/>
      <c r="Y881" s="4147" t="s">
        <v>2681</v>
      </c>
      <c r="Z881" s="4147"/>
      <c r="AA881" s="4147"/>
      <c r="AB881" s="4147"/>
      <c r="AC881" s="4147"/>
      <c r="AD881" s="4147"/>
      <c r="AE881" s="4147"/>
      <c r="AF881" s="4147"/>
      <c r="AH881" s="4263" t="s">
        <v>5482</v>
      </c>
      <c r="AI881" s="4264"/>
      <c r="AJ881" s="4264"/>
      <c r="AK881" s="4264"/>
      <c r="AL881" s="4264"/>
      <c r="AM881" s="4264"/>
      <c r="AN881" s="4264"/>
      <c r="AO881" s="4264"/>
      <c r="AQ881" s="4147" t="s">
        <v>713</v>
      </c>
      <c r="AR881" s="4147"/>
      <c r="AS881" s="4147"/>
      <c r="AT881" s="4147"/>
      <c r="AU881" s="4147"/>
      <c r="AV881" s="4147"/>
      <c r="AW881" s="4147"/>
      <c r="AX881" s="4147"/>
      <c r="AZ881" s="4147" t="s">
        <v>460</v>
      </c>
      <c r="BA881" s="4147"/>
      <c r="BB881" s="4147"/>
      <c r="BC881" s="4147"/>
      <c r="BD881" s="4147"/>
      <c r="BE881" s="4147"/>
      <c r="BF881" s="4147"/>
      <c r="BG881" s="4147"/>
      <c r="BI881" s="4147" t="s">
        <v>849</v>
      </c>
      <c r="BJ881" s="4147"/>
      <c r="BK881" s="4147"/>
      <c r="BL881" s="4147"/>
      <c r="BM881" s="4147"/>
      <c r="BN881" s="4147"/>
      <c r="BO881" s="4147"/>
      <c r="BP881" s="4147"/>
    </row>
    <row r="882" spans="2:68" ht="13.2" customHeight="1">
      <c r="O882" s="39">
        <f>ROW()</f>
        <v>882</v>
      </c>
    </row>
    <row r="883" spans="2:68" s="1122" customFormat="1" ht="13.2" customHeight="1">
      <c r="B883" s="308" t="s">
        <v>2809</v>
      </c>
      <c r="G883" s="1122">
        <f t="shared" ref="G883:M883" ca="1" si="1784">G864</f>
        <v>428190.38987869472</v>
      </c>
      <c r="H883" s="1122">
        <f t="shared" ca="1" si="1784"/>
        <v>76884.635476287425</v>
      </c>
      <c r="I883" s="1122">
        <f t="shared" ca="1" si="1784"/>
        <v>488195.72510773502</v>
      </c>
      <c r="J883" s="1122">
        <f t="shared" ca="1" si="1784"/>
        <v>159087.68765877435</v>
      </c>
      <c r="K883" s="1122">
        <f t="shared" ca="1" si="1784"/>
        <v>581859.48572926247</v>
      </c>
      <c r="L883" s="1122">
        <f t="shared" ca="1" si="1784"/>
        <v>1025447.1168851446</v>
      </c>
      <c r="M883" s="1122">
        <f t="shared" ca="1" si="1784"/>
        <v>432684.02622342634</v>
      </c>
      <c r="N883" s="1127">
        <f ca="1">W883+AF883+AO883+AX883+BG883+BP883</f>
        <v>3192349.0669593248</v>
      </c>
      <c r="O883" s="39">
        <f>ROW()</f>
        <v>883</v>
      </c>
      <c r="P883" s="1122">
        <f t="shared" ref="P883:BP883" ca="1" si="1785">P864</f>
        <v>53992.719926472928</v>
      </c>
      <c r="Q883" s="1122">
        <f t="shared" ca="1" si="1785"/>
        <v>21084.834369533775</v>
      </c>
      <c r="R883" s="1122">
        <f t="shared" ca="1" si="1785"/>
        <v>135431.44904360207</v>
      </c>
      <c r="S883" s="1122">
        <f t="shared" ca="1" si="1785"/>
        <v>36157.231930731898</v>
      </c>
      <c r="T883" s="1122">
        <f t="shared" ca="1" si="1785"/>
        <v>121970.76440968324</v>
      </c>
      <c r="U883" s="1122">
        <f t="shared" ca="1" si="1785"/>
        <v>193792.41365693219</v>
      </c>
      <c r="V883" s="1122">
        <f t="shared" ca="1" si="1785"/>
        <v>67652.874428134208</v>
      </c>
      <c r="W883" s="1122">
        <f t="shared" ca="1" si="1785"/>
        <v>630082.28776509035</v>
      </c>
      <c r="Y883" s="1122">
        <f t="shared" ca="1" si="1785"/>
        <v>51681.720546815537</v>
      </c>
      <c r="Z883" s="1122">
        <f t="shared" ca="1" si="1785"/>
        <v>7832.9818439981054</v>
      </c>
      <c r="AA883" s="1122">
        <f t="shared" ca="1" si="1785"/>
        <v>54902.470862453411</v>
      </c>
      <c r="AB883" s="1122">
        <f t="shared" ca="1" si="1785"/>
        <v>21750.855346980508</v>
      </c>
      <c r="AC883" s="1122">
        <f t="shared" ca="1" si="1785"/>
        <v>87040.810969413942</v>
      </c>
      <c r="AD883" s="1122">
        <f t="shared" ca="1" si="1785"/>
        <v>179856.61648967199</v>
      </c>
      <c r="AE883" s="1122">
        <f t="shared" ca="1" si="1785"/>
        <v>62073.938327010386</v>
      </c>
      <c r="AF883" s="1122">
        <f t="shared" ca="1" si="1785"/>
        <v>465139.39438634383</v>
      </c>
      <c r="AH883" s="1122">
        <f t="shared" ca="1" si="1785"/>
        <v>45354.016730059804</v>
      </c>
      <c r="AI883" s="1122">
        <f t="shared" ca="1" si="1785"/>
        <v>6741.8163364115153</v>
      </c>
      <c r="AJ883" s="1122">
        <f t="shared" ca="1" si="1785"/>
        <v>33988.575752972669</v>
      </c>
      <c r="AK883" s="1122">
        <f t="shared" ca="1" si="1785"/>
        <v>10357.464731954653</v>
      </c>
      <c r="AL883" s="1122">
        <f t="shared" ca="1" si="1785"/>
        <v>46325.299747395533</v>
      </c>
      <c r="AM883" s="1122">
        <f t="shared" ca="1" si="1785"/>
        <v>93766.351335481595</v>
      </c>
      <c r="AN883" s="1122">
        <f t="shared" ca="1" si="1785"/>
        <v>42263.037882912598</v>
      </c>
      <c r="AO883" s="1122">
        <f t="shared" ca="1" si="1785"/>
        <v>278796.56251718837</v>
      </c>
      <c r="AQ883" s="1122">
        <f t="shared" ca="1" si="1785"/>
        <v>240050.42598557673</v>
      </c>
      <c r="AR883" s="1122">
        <f t="shared" ca="1" si="1785"/>
        <v>32205.005406578308</v>
      </c>
      <c r="AS883" s="1122">
        <f t="shared" ca="1" si="1785"/>
        <v>208017.98164423773</v>
      </c>
      <c r="AT883" s="1122">
        <f t="shared" ca="1" si="1785"/>
        <v>73953.314528786039</v>
      </c>
      <c r="AU883" s="1122">
        <f t="shared" ca="1" si="1785"/>
        <v>264250.20000315504</v>
      </c>
      <c r="AV883" s="1122">
        <f t="shared" ca="1" si="1785"/>
        <v>442462.35930972925</v>
      </c>
      <c r="AW883" s="1122">
        <f t="shared" ca="1" si="1785"/>
        <v>217925.7664214203</v>
      </c>
      <c r="AX883" s="1122">
        <f t="shared" ca="1" si="1785"/>
        <v>1478865.0532994834</v>
      </c>
      <c r="AZ883" s="1122">
        <f t="shared" ca="1" si="1785"/>
        <v>29581.653628019856</v>
      </c>
      <c r="BA883" s="1122">
        <f t="shared" ca="1" si="1785"/>
        <v>7121.3979076159922</v>
      </c>
      <c r="BB883" s="1122">
        <f t="shared" ca="1" si="1785"/>
        <v>44162.711715396683</v>
      </c>
      <c r="BC883" s="1122">
        <f t="shared" ca="1" si="1785"/>
        <v>13335.338789743</v>
      </c>
      <c r="BD883" s="1122">
        <f t="shared" ca="1" si="1785"/>
        <v>49403.22076402438</v>
      </c>
      <c r="BE883" s="1122">
        <f t="shared" ca="1" si="1785"/>
        <v>91392.728720221945</v>
      </c>
      <c r="BF883" s="1122">
        <f t="shared" ca="1" si="1785"/>
        <v>33868.167089979863</v>
      </c>
      <c r="BG883" s="1122">
        <f t="shared" ca="1" si="1785"/>
        <v>268865.21861500171</v>
      </c>
      <c r="BI883" s="1122">
        <f t="shared" ca="1" si="1785"/>
        <v>7529.8530617497527</v>
      </c>
      <c r="BJ883" s="1122">
        <f t="shared" ca="1" si="1785"/>
        <v>1898.5996121497365</v>
      </c>
      <c r="BK883" s="1122">
        <f t="shared" ca="1" si="1785"/>
        <v>11692.53608907236</v>
      </c>
      <c r="BL883" s="1122">
        <f t="shared" ca="1" si="1785"/>
        <v>3533.4823305782602</v>
      </c>
      <c r="BM883" s="1122">
        <f t="shared" ca="1" si="1785"/>
        <v>12869.18983559021</v>
      </c>
      <c r="BN883" s="1122">
        <f t="shared" ca="1" si="1785"/>
        <v>24176.647373107611</v>
      </c>
      <c r="BO883" s="1122">
        <f t="shared" ca="1" si="1785"/>
        <v>8900.2420739690078</v>
      </c>
      <c r="BP883" s="1122">
        <f t="shared" ca="1" si="1785"/>
        <v>70600.550376216939</v>
      </c>
    </row>
    <row r="884" spans="2:68" ht="13.2" customHeight="1">
      <c r="B884" s="323" t="s">
        <v>2810</v>
      </c>
      <c r="G884" s="117">
        <f t="shared" ref="G884:N884" ca="1" si="1786">G883/G147</f>
        <v>0.95828852742850623</v>
      </c>
      <c r="H884" s="117">
        <f t="shared" ca="1" si="1786"/>
        <v>0.86596504124278606</v>
      </c>
      <c r="I884" s="117">
        <f t="shared" ca="1" si="1786"/>
        <v>0.92156481640918808</v>
      </c>
      <c r="J884" s="117">
        <f t="shared" ca="1" si="1786"/>
        <v>0.92675920104031206</v>
      </c>
      <c r="K884" s="117">
        <f t="shared" ca="1" si="1786"/>
        <v>0.94096325586379581</v>
      </c>
      <c r="L884" s="117">
        <f t="shared" ca="1" si="1786"/>
        <v>0.92271043983214052</v>
      </c>
      <c r="M884" s="117">
        <f t="shared" ca="1" si="1786"/>
        <v>0.92584440026087689</v>
      </c>
      <c r="N884" s="635">
        <f t="shared" ca="1" si="1786"/>
        <v>0.92961153302194999</v>
      </c>
      <c r="O884" s="39">
        <f>ROW()</f>
        <v>884</v>
      </c>
      <c r="P884" s="117">
        <f t="shared" ref="P884:W884" ca="1" si="1787">P883/P147</f>
        <v>0.87840979529651886</v>
      </c>
      <c r="Q884" s="117">
        <f t="shared" ca="1" si="1787"/>
        <v>0.77781521238094942</v>
      </c>
      <c r="R884" s="117">
        <f t="shared" ca="1" si="1787"/>
        <v>0.83131776086769249</v>
      </c>
      <c r="S884" s="117">
        <f t="shared" ca="1" si="1787"/>
        <v>0.83206183346839324</v>
      </c>
      <c r="T884" s="117">
        <f t="shared" ca="1" si="1787"/>
        <v>0.86079072834353643</v>
      </c>
      <c r="U884" s="117">
        <f t="shared" ca="1" si="1787"/>
        <v>0.84940886786833059</v>
      </c>
      <c r="V884" s="117">
        <f t="shared" ca="1" si="1787"/>
        <v>0.84281100534583397</v>
      </c>
      <c r="W884" s="635">
        <f t="shared" ca="1" si="1787"/>
        <v>0.84568287644747686</v>
      </c>
      <c r="Y884" s="117">
        <f t="shared" ref="Y884:AF884" ca="1" si="1788">Y883/Y147</f>
        <v>0.88394161434602181</v>
      </c>
      <c r="Z884" s="117">
        <f t="shared" ca="1" si="1788"/>
        <v>0.83769698878656118</v>
      </c>
      <c r="AA884" s="117">
        <f t="shared" ca="1" si="1788"/>
        <v>0.91219069907663497</v>
      </c>
      <c r="AB884" s="117">
        <f t="shared" ca="1" si="1788"/>
        <v>0.88950351666765559</v>
      </c>
      <c r="AC884" s="117">
        <f t="shared" ca="1" si="1788"/>
        <v>0.91377911316049254</v>
      </c>
      <c r="AD884" s="117">
        <f t="shared" ca="1" si="1788"/>
        <v>0.88061455497656582</v>
      </c>
      <c r="AE884" s="117">
        <f t="shared" ca="1" si="1788"/>
        <v>0.86122297647318469</v>
      </c>
      <c r="AF884" s="635">
        <f t="shared" ca="1" si="1788"/>
        <v>0.88762264261357349</v>
      </c>
      <c r="AH884" s="117">
        <f t="shared" ref="AH884:AO884" ca="1" si="1789">AH883/AH147</f>
        <v>0.74758150148162161</v>
      </c>
      <c r="AI884" s="117">
        <f t="shared" ca="1" si="1789"/>
        <v>0.57567443742529012</v>
      </c>
      <c r="AJ884" s="117">
        <f t="shared" ca="1" si="1789"/>
        <v>0.66613833935614586</v>
      </c>
      <c r="AK884" s="117">
        <f t="shared" ca="1" si="1789"/>
        <v>0.65968899927064362</v>
      </c>
      <c r="AL884" s="117">
        <f t="shared" ca="1" si="1789"/>
        <v>0.69962314718810792</v>
      </c>
      <c r="AM884" s="117">
        <f t="shared" ca="1" si="1789"/>
        <v>0.67591283193855478</v>
      </c>
      <c r="AN884" s="117">
        <f t="shared" ca="1" si="1789"/>
        <v>0.67353265515932603</v>
      </c>
      <c r="AO884" s="635">
        <f t="shared" ca="1" si="1789"/>
        <v>0.68535559136403468</v>
      </c>
      <c r="AQ884" s="117">
        <f t="shared" ref="AQ884:AX884" ca="1" si="1790">AQ883/AQ147</f>
        <v>1.043662139246063</v>
      </c>
      <c r="AR884" s="117">
        <f t="shared" ca="1" si="1790"/>
        <v>1.0478403906094391</v>
      </c>
      <c r="AS884" s="117">
        <f t="shared" ca="1" si="1790"/>
        <v>1.0471683383771138</v>
      </c>
      <c r="AT884" s="117">
        <f t="shared" ca="1" si="1790"/>
        <v>1.046226111861349</v>
      </c>
      <c r="AU884" s="117">
        <f t="shared" ca="1" si="1790"/>
        <v>1.0457723384566422</v>
      </c>
      <c r="AV884" s="117">
        <f t="shared" ca="1" si="1790"/>
        <v>1.0456420513622686</v>
      </c>
      <c r="AW884" s="117">
        <f t="shared" ca="1" si="1790"/>
        <v>1.0444460610412643</v>
      </c>
      <c r="AX884" s="635">
        <f t="shared" ca="1" si="1790"/>
        <v>1.0454582661054681</v>
      </c>
      <c r="AZ884" s="117">
        <f t="shared" ref="AZ884:BG884" ca="1" si="1791">AZ883/AZ147</f>
        <v>1.0204230696750489</v>
      </c>
      <c r="BA884" s="117">
        <f t="shared" ca="1" si="1791"/>
        <v>0.90047350567375695</v>
      </c>
      <c r="BB884" s="117">
        <f t="shared" ca="1" si="1791"/>
        <v>0.96841056204505871</v>
      </c>
      <c r="BC884" s="117">
        <f t="shared" ca="1" si="1791"/>
        <v>0.95939130880105739</v>
      </c>
      <c r="BD884" s="117">
        <f t="shared" ca="1" si="1791"/>
        <v>0.98730520653408738</v>
      </c>
      <c r="BE884" s="117">
        <f t="shared" ca="1" si="1791"/>
        <v>0.97528218019415791</v>
      </c>
      <c r="BF884" s="117">
        <f t="shared" ca="1" si="1791"/>
        <v>0.97067504681458805</v>
      </c>
      <c r="BG884" s="635">
        <f t="shared" ca="1" si="1791"/>
        <v>0.97754951503418308</v>
      </c>
      <c r="BI884" s="117">
        <f t="shared" ref="BI884:BP884" ca="1" si="1792">BI883/BI147</f>
        <v>1.0415562069930271</v>
      </c>
      <c r="BJ884" s="117">
        <f t="shared" ca="1" si="1792"/>
        <v>0.96267005646094028</v>
      </c>
      <c r="BK884" s="117">
        <f t="shared" ca="1" si="1792"/>
        <v>1.0281367738527425</v>
      </c>
      <c r="BL884" s="117">
        <f t="shared" ca="1" si="1792"/>
        <v>1.0193727954988303</v>
      </c>
      <c r="BM884" s="117">
        <f t="shared" ca="1" si="1792"/>
        <v>1.0313017639064577</v>
      </c>
      <c r="BN884" s="117">
        <f t="shared" ca="1" si="1792"/>
        <v>1.0345538708252424</v>
      </c>
      <c r="BO884" s="117">
        <f t="shared" ca="1" si="1792"/>
        <v>1.022874565307506</v>
      </c>
      <c r="BP884" s="635">
        <f t="shared" ca="1" si="1792"/>
        <v>1.0293204858411</v>
      </c>
    </row>
    <row r="885" spans="2:68" ht="13.2" customHeight="1">
      <c r="B885" s="323" t="s">
        <v>2668</v>
      </c>
      <c r="G885" s="1122">
        <f t="shared" ref="G885:M885" ca="1" si="1793">G883/G118</f>
        <v>71365.064979782459</v>
      </c>
      <c r="H885" s="1122">
        <f t="shared" ca="1" si="1793"/>
        <v>76884.635476287425</v>
      </c>
      <c r="I885" s="1122">
        <f t="shared" ca="1" si="1793"/>
        <v>162731.90836924501</v>
      </c>
      <c r="J885" s="1122">
        <f t="shared" ca="1" si="1793"/>
        <v>159087.68765877435</v>
      </c>
      <c r="K885" s="1122">
        <f t="shared" ca="1" si="1793"/>
        <v>145464.87143231562</v>
      </c>
      <c r="L885" s="1122">
        <f t="shared" ca="1" si="1793"/>
        <v>170907.85281419076</v>
      </c>
      <c r="M885" s="1122">
        <f t="shared" ca="1" si="1793"/>
        <v>144228.00874114211</v>
      </c>
      <c r="N885" s="1127"/>
      <c r="O885" s="39">
        <f>ROW()</f>
        <v>885</v>
      </c>
      <c r="P885" s="117"/>
      <c r="Q885" s="117"/>
      <c r="R885" s="117"/>
      <c r="S885" s="117"/>
      <c r="T885" s="117"/>
      <c r="U885" s="117"/>
      <c r="V885" s="117"/>
      <c r="W885" s="635"/>
      <c r="Y885" s="117"/>
      <c r="Z885" s="117"/>
      <c r="AA885" s="117"/>
      <c r="AB885" s="117"/>
      <c r="AC885" s="117"/>
      <c r="AD885" s="117"/>
      <c r="AE885" s="117"/>
      <c r="AF885" s="635"/>
      <c r="AH885" s="117"/>
      <c r="AI885" s="117"/>
      <c r="AJ885" s="117"/>
      <c r="AK885" s="117"/>
      <c r="AL885" s="117"/>
      <c r="AM885" s="117"/>
      <c r="AN885" s="117"/>
      <c r="AO885" s="635"/>
      <c r="AQ885" s="117"/>
      <c r="AR885" s="117"/>
      <c r="AS885" s="117"/>
      <c r="AT885" s="117"/>
      <c r="AU885" s="117"/>
      <c r="AV885" s="117"/>
      <c r="AW885" s="117"/>
      <c r="AX885" s="635"/>
      <c r="AZ885" s="117"/>
      <c r="BA885" s="117"/>
      <c r="BB885" s="117"/>
      <c r="BC885" s="117"/>
      <c r="BD885" s="117"/>
      <c r="BE885" s="117"/>
      <c r="BF885" s="117"/>
      <c r="BG885" s="635"/>
      <c r="BI885" s="117"/>
      <c r="BJ885" s="117"/>
      <c r="BK885" s="117"/>
      <c r="BL885" s="117"/>
      <c r="BM885" s="117"/>
      <c r="BN885" s="117"/>
      <c r="BO885" s="117"/>
      <c r="BP885" s="635"/>
    </row>
    <row r="886" spans="2:68" ht="13.2" customHeight="1">
      <c r="B886" s="323"/>
      <c r="G886" s="117"/>
      <c r="H886" s="117"/>
      <c r="I886" s="117"/>
      <c r="J886" s="117"/>
      <c r="K886" s="117"/>
      <c r="L886" s="117"/>
      <c r="M886" s="117"/>
      <c r="N886" s="635"/>
      <c r="O886" s="39">
        <f>ROW()</f>
        <v>886</v>
      </c>
      <c r="P886" s="117"/>
      <c r="Q886" s="117"/>
      <c r="R886" s="117"/>
      <c r="S886" s="117"/>
      <c r="T886" s="117"/>
      <c r="U886" s="117"/>
      <c r="V886" s="117"/>
      <c r="W886" s="635"/>
      <c r="Y886" s="117"/>
      <c r="Z886" s="117"/>
      <c r="AA886" s="117"/>
      <c r="AB886" s="117"/>
      <c r="AC886" s="117"/>
      <c r="AD886" s="117"/>
      <c r="AE886" s="117"/>
      <c r="AF886" s="635"/>
      <c r="AH886" s="117"/>
      <c r="AI886" s="117"/>
      <c r="AJ886" s="117"/>
      <c r="AK886" s="117"/>
      <c r="AL886" s="117"/>
      <c r="AM886" s="117"/>
      <c r="AN886" s="117"/>
      <c r="AO886" s="635"/>
      <c r="AQ886" s="117"/>
      <c r="AR886" s="117"/>
      <c r="AS886" s="117"/>
      <c r="AT886" s="117"/>
      <c r="AU886" s="117"/>
      <c r="AV886" s="117"/>
      <c r="AW886" s="117"/>
      <c r="AX886" s="635"/>
      <c r="AZ886" s="117"/>
      <c r="BA886" s="117"/>
      <c r="BB886" s="117"/>
      <c r="BC886" s="117"/>
      <c r="BD886" s="117"/>
      <c r="BE886" s="117"/>
      <c r="BF886" s="117"/>
      <c r="BG886" s="635"/>
      <c r="BI886" s="117"/>
      <c r="BJ886" s="117"/>
      <c r="BK886" s="117"/>
      <c r="BL886" s="117"/>
      <c r="BM886" s="117"/>
      <c r="BN886" s="117"/>
      <c r="BO886" s="117"/>
      <c r="BP886" s="635"/>
    </row>
    <row r="887" spans="2:68" ht="13.2" customHeight="1">
      <c r="B887" s="308" t="s">
        <v>1430</v>
      </c>
      <c r="O887" s="39">
        <f>ROW()</f>
        <v>887</v>
      </c>
      <c r="P887" s="309"/>
      <c r="Y887" s="309"/>
      <c r="AH887" s="309"/>
      <c r="AQ887" s="309"/>
      <c r="AZ887" s="309"/>
      <c r="BI887" s="309"/>
    </row>
    <row r="888" spans="2:68" s="1122" customFormat="1" ht="13.2" customHeight="1">
      <c r="B888" s="323" t="s">
        <v>1432</v>
      </c>
      <c r="G888" s="1122">
        <f ca="1">G860</f>
        <v>234274.42137644149</v>
      </c>
      <c r="H888" s="1122">
        <f t="shared" ref="H888:M888" ca="1" si="1794">H860</f>
        <v>29486.086159652961</v>
      </c>
      <c r="I888" s="1122">
        <f t="shared" ca="1" si="1794"/>
        <v>196217.53626452383</v>
      </c>
      <c r="J888" s="1122">
        <f t="shared" ca="1" si="1794"/>
        <v>70141.870152439558</v>
      </c>
      <c r="K888" s="1122">
        <f t="shared" ca="1" si="1794"/>
        <v>253684.61326759437</v>
      </c>
      <c r="L888" s="1122">
        <f t="shared" ca="1" si="1794"/>
        <v>442229.39876904496</v>
      </c>
      <c r="M888" s="1122">
        <f t="shared" ca="1" si="1794"/>
        <v>215923.31191484854</v>
      </c>
      <c r="N888" s="1127">
        <f ca="1">SUM(G888:M888)</f>
        <v>1441957.2379045459</v>
      </c>
      <c r="O888" s="39">
        <f>ROW()</f>
        <v>888</v>
      </c>
      <c r="P888" s="1122">
        <f ca="1">P860</f>
        <v>9879.2097556407534</v>
      </c>
      <c r="Q888" s="1122">
        <f t="shared" ref="Q888:V888" ca="1" si="1795">Q860</f>
        <v>2778.8601491707027</v>
      </c>
      <c r="R888" s="1122">
        <f t="shared" ca="1" si="1795"/>
        <v>18450.760084668822</v>
      </c>
      <c r="S888" s="1122">
        <f t="shared" ca="1" si="1795"/>
        <v>5511.5572315300251</v>
      </c>
      <c r="T888" s="1122">
        <f t="shared" ca="1" si="1795"/>
        <v>18749.0043898857</v>
      </c>
      <c r="U888" s="1122">
        <f t="shared" ca="1" si="1795"/>
        <v>38270.190976223435</v>
      </c>
      <c r="V888" s="1122">
        <f t="shared" ca="1" si="1795"/>
        <v>13436.486884000164</v>
      </c>
      <c r="W888" s="1127">
        <f ca="1">SUM(P888:V888)</f>
        <v>107076.06947111958</v>
      </c>
      <c r="Y888" s="1122">
        <f ca="1">Y860</f>
        <v>6948.4385802987535</v>
      </c>
      <c r="Z888" s="1122">
        <f t="shared" ref="Z888:AE888" ca="1" si="1796">Z860</f>
        <v>1954.4821445589525</v>
      </c>
      <c r="AA888" s="1122">
        <f t="shared" ca="1" si="1796"/>
        <v>12977.148616056891</v>
      </c>
      <c r="AB888" s="1122">
        <f t="shared" ca="1" si="1796"/>
        <v>3876.4959801791288</v>
      </c>
      <c r="AC888" s="1122">
        <f t="shared" ca="1" si="1796"/>
        <v>13186.915620501763</v>
      </c>
      <c r="AD888" s="1122">
        <f t="shared" ca="1" si="1796"/>
        <v>26916.937491155135</v>
      </c>
      <c r="AE888" s="1122">
        <f t="shared" ca="1" si="1796"/>
        <v>9450.4121440642048</v>
      </c>
      <c r="AF888" s="1127">
        <f ca="1">SUM(Y888:AE888)</f>
        <v>75310.830576814828</v>
      </c>
      <c r="AH888" s="1122">
        <f ca="1">AH860</f>
        <v>0</v>
      </c>
      <c r="AI888" s="1122">
        <f t="shared" ref="AI888:AN888" ca="1" si="1797">AI860</f>
        <v>0</v>
      </c>
      <c r="AJ888" s="1122">
        <f t="shared" ca="1" si="1797"/>
        <v>0</v>
      </c>
      <c r="AK888" s="1122">
        <f t="shared" ca="1" si="1797"/>
        <v>0</v>
      </c>
      <c r="AL888" s="1122">
        <f t="shared" ca="1" si="1797"/>
        <v>0</v>
      </c>
      <c r="AM888" s="1122">
        <f t="shared" ca="1" si="1797"/>
        <v>0</v>
      </c>
      <c r="AN888" s="1122">
        <f t="shared" ca="1" si="1797"/>
        <v>0</v>
      </c>
      <c r="AO888" s="1127">
        <f ca="1">SUM(AH888:AN888)</f>
        <v>0</v>
      </c>
      <c r="AQ888" s="1122">
        <f>AQ860</f>
        <v>210187.34459974329</v>
      </c>
      <c r="AR888" s="1122">
        <f t="shared" ref="AR888:AW888" si="1798">AR860</f>
        <v>22748.620884765332</v>
      </c>
      <c r="AS888" s="1122">
        <f t="shared" si="1798"/>
        <v>152580.65410310062</v>
      </c>
      <c r="AT888" s="1122">
        <f t="shared" si="1798"/>
        <v>57061.666827443201</v>
      </c>
      <c r="AU888" s="1122">
        <f t="shared" si="1798"/>
        <v>208747.17643657626</v>
      </c>
      <c r="AV888" s="1122">
        <f t="shared" si="1798"/>
        <v>351862.72506223724</v>
      </c>
      <c r="AW888" s="1122">
        <f t="shared" si="1798"/>
        <v>183873.35054767228</v>
      </c>
      <c r="AX888" s="1127">
        <f>SUM(AQ888:AW888)</f>
        <v>1187061.5384615383</v>
      </c>
      <c r="AZ888" s="1122">
        <f ca="1">AZ860</f>
        <v>4841.905493925914</v>
      </c>
      <c r="BA888" s="1122">
        <f t="shared" ref="BA888:BF888" ca="1" si="1799">BA860</f>
        <v>1334.4405364547531</v>
      </c>
      <c r="BB888" s="1122">
        <f t="shared" ca="1" si="1799"/>
        <v>8065.2224597561253</v>
      </c>
      <c r="BC888" s="1122">
        <f t="shared" ca="1" si="1799"/>
        <v>2441.8055505028478</v>
      </c>
      <c r="BD888" s="1122">
        <f t="shared" ca="1" si="1799"/>
        <v>8625.9992161741484</v>
      </c>
      <c r="BE888" s="1122">
        <f t="shared" ca="1" si="1799"/>
        <v>16624.75422497794</v>
      </c>
      <c r="BF888" s="1122">
        <f t="shared" ca="1" si="1799"/>
        <v>6069.9891769178421</v>
      </c>
      <c r="BG888" s="1127">
        <f ca="1">SUM(AZ888:BF888)</f>
        <v>48004.116658709572</v>
      </c>
      <c r="BI888" s="1122">
        <f ca="1">BI860</f>
        <v>2417.5229468328034</v>
      </c>
      <c r="BJ888" s="1122">
        <f t="shared" ref="BJ888:BO888" ca="1" si="1800">BJ860</f>
        <v>669.68244470322031</v>
      </c>
      <c r="BK888" s="1122">
        <f t="shared" ca="1" si="1800"/>
        <v>4143.7510009413954</v>
      </c>
      <c r="BL888" s="1122">
        <f t="shared" ca="1" si="1800"/>
        <v>1250.3445627843594</v>
      </c>
      <c r="BM888" s="1122">
        <f t="shared" ca="1" si="1800"/>
        <v>4375.5176044564778</v>
      </c>
      <c r="BN888" s="1122">
        <f t="shared" ca="1" si="1800"/>
        <v>8554.791014451248</v>
      </c>
      <c r="BO888" s="1122">
        <f t="shared" ca="1" si="1800"/>
        <v>3093.0731621940577</v>
      </c>
      <c r="BP888" s="1127">
        <f ca="1">SUM(BI888:BO888)</f>
        <v>24504.68273636356</v>
      </c>
    </row>
    <row r="889" spans="2:68" ht="13.2" customHeight="1">
      <c r="B889" s="323" t="s">
        <v>2810</v>
      </c>
      <c r="G889" s="117">
        <f t="shared" ref="G889:N889" ca="1" si="1801">G888/G143</f>
        <v>1.0005348926405648</v>
      </c>
      <c r="H889" s="117">
        <f t="shared" ca="1" si="1801"/>
        <v>1.0068484531504509</v>
      </c>
      <c r="I889" s="117">
        <f t="shared" ca="1" si="1801"/>
        <v>1.0312323170157067</v>
      </c>
      <c r="J889" s="117">
        <f t="shared" ca="1" si="1801"/>
        <v>1.0232105420278388</v>
      </c>
      <c r="K889" s="117">
        <f t="shared" ca="1" si="1801"/>
        <v>1.0143031721160645</v>
      </c>
      <c r="L889" s="117">
        <f t="shared" ca="1" si="1801"/>
        <v>1.0300707001780303</v>
      </c>
      <c r="M889" s="117">
        <f t="shared" ca="1" si="1801"/>
        <v>1.0150904183636087</v>
      </c>
      <c r="N889" s="635">
        <f t="shared" ca="1" si="1801"/>
        <v>1.0194830452927037</v>
      </c>
      <c r="O889" s="39">
        <f>ROW()</f>
        <v>889</v>
      </c>
      <c r="P889" s="117">
        <f t="shared" ref="P889:W889" ca="1" si="1802">P888/P143</f>
        <v>1.0064127716103373</v>
      </c>
      <c r="Q889" s="117">
        <f t="shared" ca="1" si="1802"/>
        <v>1.0376920495846049</v>
      </c>
      <c r="R889" s="117">
        <f t="shared" ca="1" si="1802"/>
        <v>1.1948521208090004</v>
      </c>
      <c r="S889" s="117">
        <f t="shared" ca="1" si="1802"/>
        <v>1.1710141952175805</v>
      </c>
      <c r="T889" s="117">
        <f t="shared" ca="1" si="1802"/>
        <v>1.1065485846853742</v>
      </c>
      <c r="U889" s="117">
        <f t="shared" ca="1" si="1802"/>
        <v>1.2060779740884566</v>
      </c>
      <c r="V889" s="117">
        <f t="shared" ca="1" si="1802"/>
        <v>1.1372711341249697</v>
      </c>
      <c r="W889" s="635">
        <f t="shared" ca="1" si="1802"/>
        <v>1.1497215546269901</v>
      </c>
      <c r="Y889" s="117">
        <f t="shared" ref="Y889:AF889" ca="1" si="1803">Y888/Y143</f>
        <v>1.006412771610337</v>
      </c>
      <c r="Z889" s="117">
        <f t="shared" ca="1" si="1803"/>
        <v>1.0376920495846051</v>
      </c>
      <c r="AA889" s="117">
        <f t="shared" ca="1" si="1803"/>
        <v>1.1948521208090004</v>
      </c>
      <c r="AB889" s="117">
        <f t="shared" ca="1" si="1803"/>
        <v>1.1710141952175803</v>
      </c>
      <c r="AC889" s="117">
        <f t="shared" ca="1" si="1803"/>
        <v>1.1065485846853738</v>
      </c>
      <c r="AD889" s="117">
        <f t="shared" ca="1" si="1803"/>
        <v>1.2060779740884564</v>
      </c>
      <c r="AE889" s="117">
        <f t="shared" ca="1" si="1803"/>
        <v>1.1372711341249697</v>
      </c>
      <c r="AF889" s="635">
        <f t="shared" ca="1" si="1803"/>
        <v>1.1497215546269901</v>
      </c>
      <c r="AH889" s="309"/>
      <c r="AQ889" s="117">
        <f t="shared" ref="AQ889:AX889" si="1804">AQ888/AQ143</f>
        <v>1</v>
      </c>
      <c r="AR889" s="117">
        <f t="shared" si="1804"/>
        <v>1</v>
      </c>
      <c r="AS889" s="117">
        <f t="shared" si="1804"/>
        <v>1</v>
      </c>
      <c r="AT889" s="117">
        <f t="shared" si="1804"/>
        <v>1</v>
      </c>
      <c r="AU889" s="117">
        <f t="shared" si="1804"/>
        <v>1</v>
      </c>
      <c r="AV889" s="117">
        <f t="shared" si="1804"/>
        <v>1</v>
      </c>
      <c r="AW889" s="117">
        <f t="shared" si="1804"/>
        <v>1</v>
      </c>
      <c r="AX889" s="635">
        <f t="shared" si="1804"/>
        <v>1</v>
      </c>
      <c r="AZ889" s="117">
        <f t="shared" ref="AZ889:BG889" ca="1" si="1805">AZ888/AZ143</f>
        <v>1.0021330374530031</v>
      </c>
      <c r="BA889" s="117">
        <f t="shared" ca="1" si="1805"/>
        <v>1.012409386665079</v>
      </c>
      <c r="BB889" s="117">
        <f t="shared" ca="1" si="1805"/>
        <v>1.0611368249673667</v>
      </c>
      <c r="BC889" s="117">
        <f t="shared" ca="1" si="1805"/>
        <v>1.0540326240844284</v>
      </c>
      <c r="BD889" s="117">
        <f t="shared" ca="1" si="1805"/>
        <v>1.0343245407055854</v>
      </c>
      <c r="BE889" s="117">
        <f t="shared" ca="1" si="1805"/>
        <v>1.064449662863014</v>
      </c>
      <c r="BF889" s="117">
        <f t="shared" ca="1" si="1805"/>
        <v>1.0438097248336695</v>
      </c>
      <c r="BG889" s="635">
        <f t="shared" ca="1" si="1805"/>
        <v>1.0472102237938388</v>
      </c>
      <c r="BI889" s="117">
        <f t="shared" ref="BI889:BP889" ca="1" si="1806">BI888/BI143</f>
        <v>1.0032012617667185</v>
      </c>
      <c r="BJ889" s="117">
        <f t="shared" ca="1" si="1806"/>
        <v>1.0186717084441901</v>
      </c>
      <c r="BK889" s="117">
        <f t="shared" ca="1" si="1806"/>
        <v>1.0930929149935062</v>
      </c>
      <c r="BL889" s="117">
        <f t="shared" ca="1" si="1806"/>
        <v>1.0821340929929062</v>
      </c>
      <c r="BM889" s="117">
        <f t="shared" ca="1" si="1806"/>
        <v>1.0519261308121277</v>
      </c>
      <c r="BN889" s="117">
        <f t="shared" ca="1" si="1806"/>
        <v>1.0982158139857834</v>
      </c>
      <c r="BO889" s="117">
        <f t="shared" ca="1" si="1806"/>
        <v>1.0664291510104975</v>
      </c>
      <c r="BP889" s="635">
        <f t="shared" ca="1" si="1806"/>
        <v>1.0717978176586271</v>
      </c>
    </row>
    <row r="890" spans="2:68" ht="13.2" customHeight="1">
      <c r="B890" s="323"/>
      <c r="G890" s="117"/>
      <c r="H890" s="117"/>
      <c r="I890" s="117"/>
      <c r="J890" s="117"/>
      <c r="K890" s="117"/>
      <c r="L890" s="117"/>
      <c r="M890" s="117"/>
      <c r="N890" s="635"/>
      <c r="O890" s="39">
        <f>ROW()</f>
        <v>890</v>
      </c>
      <c r="P890" s="117"/>
      <c r="Q890" s="117"/>
      <c r="R890" s="117"/>
      <c r="S890" s="117"/>
      <c r="T890" s="117"/>
      <c r="U890" s="117"/>
      <c r="V890" s="117"/>
      <c r="W890" s="635"/>
      <c r="Y890" s="117"/>
      <c r="Z890" s="117"/>
      <c r="AA890" s="117"/>
      <c r="AB890" s="117"/>
      <c r="AC890" s="117"/>
      <c r="AD890" s="117"/>
      <c r="AE890" s="117"/>
      <c r="AF890" s="635"/>
      <c r="AH890" s="309"/>
      <c r="AQ890" s="117"/>
      <c r="AR890" s="117"/>
      <c r="AS890" s="117"/>
      <c r="AT890" s="117"/>
      <c r="AU890" s="117"/>
      <c r="AV890" s="117"/>
      <c r="AW890" s="117"/>
      <c r="AX890" s="635"/>
      <c r="AZ890" s="117"/>
      <c r="BA890" s="117"/>
      <c r="BB890" s="117"/>
      <c r="BC890" s="117"/>
      <c r="BD890" s="117"/>
      <c r="BE890" s="117"/>
      <c r="BF890" s="117"/>
      <c r="BG890" s="635"/>
      <c r="BI890" s="117"/>
      <c r="BJ890" s="117"/>
      <c r="BK890" s="117"/>
      <c r="BL890" s="117"/>
      <c r="BM890" s="117"/>
      <c r="BN890" s="117"/>
      <c r="BO890" s="117"/>
      <c r="BP890" s="635"/>
    </row>
    <row r="891" spans="2:68" s="1122" customFormat="1" ht="13.2" customHeight="1">
      <c r="B891" s="308" t="s">
        <v>1584</v>
      </c>
      <c r="G891" s="1122">
        <f t="shared" ref="G891:N891" ca="1" si="1807">G848-G122</f>
        <v>-5531.4334305597076</v>
      </c>
      <c r="H891" s="1122">
        <f t="shared" ca="1" si="1807"/>
        <v>-6619.2265052145485</v>
      </c>
      <c r="I891" s="1122">
        <f t="shared" ca="1" si="1807"/>
        <v>-23284.176235551</v>
      </c>
      <c r="J891" s="1122">
        <f t="shared" ca="1" si="1807"/>
        <v>-6973.0892880377432</v>
      </c>
      <c r="K891" s="1122">
        <f t="shared" ca="1" si="1807"/>
        <v>-15103.492261348816</v>
      </c>
      <c r="L891" s="1122">
        <f t="shared" ca="1" si="1807"/>
        <v>-36691.846949854167</v>
      </c>
      <c r="M891" s="1122">
        <f t="shared" ca="1" si="1807"/>
        <v>-14963.109094446147</v>
      </c>
      <c r="N891" s="1127">
        <f t="shared" ca="1" si="1807"/>
        <v>-109166.37376501225</v>
      </c>
      <c r="O891" s="39">
        <f>ROW()</f>
        <v>891</v>
      </c>
      <c r="P891" s="1122">
        <f t="shared" ref="P891:W891" ca="1" si="1808">P848-P122</f>
        <v>348.54417368715622</v>
      </c>
      <c r="Q891" s="1122">
        <f t="shared" ca="1" si="1808"/>
        <v>-3743.7440800896948</v>
      </c>
      <c r="R891" s="1122">
        <f t="shared" ca="1" si="1808"/>
        <v>-17733.063303068397</v>
      </c>
      <c r="S891" s="1122">
        <f t="shared" ca="1" si="1808"/>
        <v>-4358.1337599431445</v>
      </c>
      <c r="T891" s="1122">
        <f t="shared" ca="1" si="1808"/>
        <v>-8420.3033901557428</v>
      </c>
      <c r="U891" s="1122">
        <f t="shared" ca="1" si="1808"/>
        <v>-13736.391637758476</v>
      </c>
      <c r="V891" s="1122">
        <f t="shared" ca="1" si="1808"/>
        <v>-3924.5117671843491</v>
      </c>
      <c r="W891" s="1122">
        <f t="shared" ca="1" si="1808"/>
        <v>-51567.603764512634</v>
      </c>
      <c r="Y891" s="1122">
        <f t="shared" ref="Y891:AF891" ca="1" si="1809">Y848-Y122</f>
        <v>-2065.3839566507595</v>
      </c>
      <c r="Z891" s="1122">
        <f t="shared" ca="1" si="1809"/>
        <v>-655.25572774466764</v>
      </c>
      <c r="AA891" s="1122">
        <f t="shared" ca="1" si="1809"/>
        <v>-2373.0660687164636</v>
      </c>
      <c r="AB891" s="1122">
        <f t="shared" ca="1" si="1809"/>
        <v>-1482.6597760109335</v>
      </c>
      <c r="AC891" s="1122">
        <f t="shared" ca="1" si="1809"/>
        <v>-2894.6039229146954</v>
      </c>
      <c r="AD891" s="1122">
        <f t="shared" ca="1" si="1809"/>
        <v>-13071.833922766964</v>
      </c>
      <c r="AE891" s="1122">
        <f t="shared" ca="1" si="1809"/>
        <v>-4935.680019282936</v>
      </c>
      <c r="AF891" s="1122">
        <f t="shared" ca="1" si="1809"/>
        <v>-27478.483394087438</v>
      </c>
      <c r="AH891" s="1122">
        <f t="shared" ref="AH891:AO891" ca="1" si="1810">AH848-AH122</f>
        <v>-4624.0379930981508</v>
      </c>
      <c r="AI891" s="1122">
        <f t="shared" ca="1" si="1810"/>
        <v>-2209.6945514007202</v>
      </c>
      <c r="AJ891" s="1122">
        <f t="shared" ca="1" si="1810"/>
        <v>-5482.206101062915</v>
      </c>
      <c r="AK891" s="1122">
        <f t="shared" ca="1" si="1810"/>
        <v>-1691.9457942045442</v>
      </c>
      <c r="AL891" s="1122">
        <f t="shared" ca="1" si="1810"/>
        <v>-5601.8102703246022</v>
      </c>
      <c r="AM891" s="1122">
        <f t="shared" ca="1" si="1810"/>
        <v>-13377.107317605853</v>
      </c>
      <c r="AN891" s="1122">
        <f t="shared" ca="1" si="1810"/>
        <v>-7011.4944079041106</v>
      </c>
      <c r="AO891" s="1122">
        <f t="shared" ca="1" si="1810"/>
        <v>-39998.296435600889</v>
      </c>
      <c r="AQ891" s="1122">
        <f t="shared" ref="AQ891:AX891" ca="1" si="1811">AQ848-AQ122</f>
        <v>308.70511233040452</v>
      </c>
      <c r="AR891" s="1122">
        <f t="shared" ca="1" si="1811"/>
        <v>271.16916602249603</v>
      </c>
      <c r="AS891" s="1122">
        <f t="shared" ca="1" si="1811"/>
        <v>2788.1805029751577</v>
      </c>
      <c r="AT891" s="1122">
        <f t="shared" ca="1" si="1811"/>
        <v>749.96070971350764</v>
      </c>
      <c r="AU891" s="1122">
        <f t="shared" ca="1" si="1811"/>
        <v>1811.5664759532428</v>
      </c>
      <c r="AV891" s="1122">
        <f t="shared" ca="1" si="1811"/>
        <v>4102.3473061506083</v>
      </c>
      <c r="AW891" s="1122">
        <f t="shared" ca="1" si="1811"/>
        <v>1143.5089340664927</v>
      </c>
      <c r="AX891" s="1122">
        <f t="shared" ca="1" si="1811"/>
        <v>11175.438207211919</v>
      </c>
      <c r="AZ891" s="1122">
        <f t="shared" ref="AZ891:BG891" ca="1" si="1812">AZ848-AZ122</f>
        <v>365.80923030115719</v>
      </c>
      <c r="BA891" s="1122">
        <f t="shared" ca="1" si="1812"/>
        <v>-236.68245641120075</v>
      </c>
      <c r="BB891" s="1122">
        <f t="shared" ca="1" si="1812"/>
        <v>-455.63512246070877</v>
      </c>
      <c r="BC891" s="1122">
        <f t="shared" ca="1" si="1812"/>
        <v>-172.63095709982326</v>
      </c>
      <c r="BD891" s="1122">
        <f t="shared" ca="1" si="1812"/>
        <v>-69.874249523731123</v>
      </c>
      <c r="BE891" s="1122">
        <f t="shared" ca="1" si="1812"/>
        <v>-596.06631084827131</v>
      </c>
      <c r="BF891" s="1122">
        <f t="shared" ca="1" si="1812"/>
        <v>-224.73647457540028</v>
      </c>
      <c r="BG891" s="1122">
        <f t="shared" ca="1" si="1812"/>
        <v>-1389.8163406179738</v>
      </c>
      <c r="BI891" s="1122">
        <f t="shared" ref="BI891:BP891" ca="1" si="1813">BI848-BI122</f>
        <v>134.93000287047596</v>
      </c>
      <c r="BJ891" s="1122">
        <f t="shared" ca="1" si="1813"/>
        <v>-45.018855590761063</v>
      </c>
      <c r="BK891" s="1122">
        <f t="shared" ca="1" si="1813"/>
        <v>-28.38614321767318</v>
      </c>
      <c r="BL891" s="1122">
        <f t="shared" ca="1" si="1813"/>
        <v>-17.679710492808681</v>
      </c>
      <c r="BM891" s="1122">
        <f t="shared" ca="1" si="1813"/>
        <v>71.533095616714945</v>
      </c>
      <c r="BN891" s="1122">
        <f t="shared" ca="1" si="1813"/>
        <v>-12.795067025188928</v>
      </c>
      <c r="BO891" s="1122">
        <f t="shared" ca="1" si="1813"/>
        <v>-10.195359565835361</v>
      </c>
      <c r="BP891" s="1122">
        <f t="shared" ca="1" si="1813"/>
        <v>92.387962594926648</v>
      </c>
    </row>
    <row r="892" spans="2:68" ht="13.2" customHeight="1">
      <c r="B892" s="309" t="str">
        <f>CONCATENATE("Equilibrium entries in Row ",O848, " less baseline entries in Row ",O122, ".")</f>
        <v>Equilibrium entries in Row 848 less baseline entries in Row 122.</v>
      </c>
      <c r="G892" s="44"/>
      <c r="H892" s="44"/>
      <c r="I892" s="44"/>
      <c r="J892" s="44"/>
      <c r="K892" s="44"/>
      <c r="L892" s="44"/>
      <c r="M892" s="44"/>
      <c r="N892" s="44"/>
      <c r="O892" s="39">
        <f>ROW()</f>
        <v>892</v>
      </c>
      <c r="P892" s="44"/>
      <c r="Q892" s="44"/>
      <c r="R892" s="44"/>
      <c r="S892" s="44"/>
      <c r="T892" s="44"/>
      <c r="U892" s="44"/>
      <c r="V892" s="44"/>
      <c r="W892" s="44"/>
      <c r="Y892" s="44"/>
      <c r="Z892" s="44"/>
      <c r="AA892" s="44"/>
      <c r="AB892" s="44"/>
      <c r="AC892" s="44"/>
      <c r="AD892" s="44"/>
      <c r="AE892" s="44"/>
      <c r="AF892" s="44"/>
      <c r="AH892" s="44"/>
      <c r="AI892" s="44"/>
      <c r="AJ892" s="44"/>
      <c r="AK892" s="44"/>
      <c r="AL892" s="44"/>
      <c r="AM892" s="44"/>
      <c r="AN892" s="44"/>
      <c r="AO892" s="44"/>
      <c r="AQ892" s="44"/>
      <c r="AR892" s="44"/>
      <c r="AS892" s="44"/>
      <c r="AT892" s="44"/>
      <c r="AU892" s="44"/>
      <c r="AV892" s="44"/>
      <c r="AW892" s="44"/>
      <c r="AX892" s="44"/>
      <c r="AZ892" s="44"/>
      <c r="BA892" s="44"/>
      <c r="BB892" s="44"/>
      <c r="BC892" s="44"/>
      <c r="BD892" s="44"/>
      <c r="BE892" s="44"/>
      <c r="BF892" s="44"/>
      <c r="BG892" s="44"/>
      <c r="BI892" s="44"/>
      <c r="BJ892" s="44"/>
      <c r="BK892" s="44"/>
      <c r="BL892" s="44"/>
      <c r="BM892" s="44"/>
      <c r="BN892" s="44"/>
      <c r="BO892" s="44"/>
      <c r="BP892" s="44"/>
    </row>
    <row r="893" spans="2:68" ht="13.2" customHeight="1">
      <c r="B893" s="308" t="s">
        <v>1856</v>
      </c>
      <c r="G893" s="12">
        <f t="shared" ref="G893:N893" ca="1" si="1814">G891/G122</f>
        <v>-9.2473541960773356E-2</v>
      </c>
      <c r="H893" s="12">
        <f t="shared" ca="1" si="1814"/>
        <v>-0.27509950417998358</v>
      </c>
      <c r="I893" s="12">
        <f t="shared" ca="1" si="1814"/>
        <v>-0.16778528293932699</v>
      </c>
      <c r="J893" s="12">
        <f t="shared" ca="1" si="1814"/>
        <v>-0.16982998375114289</v>
      </c>
      <c r="K893" s="12">
        <f t="shared" ca="1" si="1814"/>
        <v>-0.11402822226109702</v>
      </c>
      <c r="L893" s="12">
        <f t="shared" ca="1" si="1814"/>
        <v>-0.17064906804183733</v>
      </c>
      <c r="M893" s="12">
        <f t="shared" ca="1" si="1814"/>
        <v>-0.20015965101173772</v>
      </c>
      <c r="N893" s="839">
        <f t="shared" ca="1" si="1814"/>
        <v>-0.15915001357109371</v>
      </c>
      <c r="O893" s="39">
        <f>ROW()</f>
        <v>893</v>
      </c>
      <c r="P893" s="12">
        <f t="shared" ref="P893:W893" ca="1" si="1815">P891/P122</f>
        <v>3.8436221598093241E-2</v>
      </c>
      <c r="Q893" s="12">
        <f t="shared" ca="1" si="1815"/>
        <v>-0.27323760142985576</v>
      </c>
      <c r="R893" s="12">
        <f t="shared" ca="1" si="1815"/>
        <v>-0.21034207907059757</v>
      </c>
      <c r="S893" s="12">
        <f t="shared" ca="1" si="1815"/>
        <v>-0.21513205602528729</v>
      </c>
      <c r="T893" s="12">
        <f t="shared" ca="1" si="1815"/>
        <v>-0.15232116774596799</v>
      </c>
      <c r="U893" s="12">
        <f t="shared" ca="1" si="1815"/>
        <v>-0.22462701804105881</v>
      </c>
      <c r="V893" s="12">
        <f t="shared" ca="1" si="1815"/>
        <v>-0.23078787076793986</v>
      </c>
      <c r="W893" s="3510">
        <f t="shared" ca="1" si="1815"/>
        <v>-0.19775122043531088</v>
      </c>
      <c r="Y893" s="12">
        <f t="shared" ref="Y893:AF893" ca="1" si="1816">Y891/Y122</f>
        <v>-0.11124296198414663</v>
      </c>
      <c r="Z893" s="12">
        <f t="shared" ca="1" si="1816"/>
        <v>-0.35144289770367809</v>
      </c>
      <c r="AA893" s="12">
        <f t="shared" ca="1" si="1816"/>
        <v>-0.1503864566853991</v>
      </c>
      <c r="AB893" s="12">
        <f t="shared" ca="1" si="1816"/>
        <v>-0.15841104551456522</v>
      </c>
      <c r="AC893" s="12">
        <f t="shared" ca="1" si="1816"/>
        <v>-8.1872385932197894E-2</v>
      </c>
      <c r="AD893" s="12">
        <f t="shared" ca="1" si="1816"/>
        <v>-0.1675250178686101</v>
      </c>
      <c r="AE893" s="12">
        <f t="shared" ca="1" si="1816"/>
        <v>-0.20182341028406095</v>
      </c>
      <c r="AF893" s="12">
        <f t="shared" ca="1" si="1816"/>
        <v>-0.14982005910262902</v>
      </c>
      <c r="AH893" s="12">
        <f t="shared" ref="AH893:AO893" ca="1" si="1817">AH891/AH122</f>
        <v>-0.20833862650818205</v>
      </c>
      <c r="AI893" s="12">
        <f t="shared" ca="1" si="1817"/>
        <v>-0.49418932649251518</v>
      </c>
      <c r="AJ893" s="12">
        <f t="shared" ca="1" si="1817"/>
        <v>-0.35424361803678883</v>
      </c>
      <c r="AK893" s="12">
        <f t="shared" ca="1" si="1817"/>
        <v>-0.3696737946797547</v>
      </c>
      <c r="AL893" s="12">
        <f t="shared" ca="1" si="1817"/>
        <v>-0.28464211680186829</v>
      </c>
      <c r="AM893" s="12">
        <f t="shared" ca="1" si="1817"/>
        <v>-0.33515704139830838</v>
      </c>
      <c r="AN893" s="12">
        <f t="shared" ca="1" si="1817"/>
        <v>-0.33692518400622146</v>
      </c>
      <c r="AO893" s="12">
        <f t="shared" ca="1" si="1817"/>
        <v>-0.31464440863596532</v>
      </c>
      <c r="AQ893" s="12">
        <f t="shared" ref="AQ893:AX893" ca="1" si="1818">AQ891/AQ122</f>
        <v>5.451278572403389E-2</v>
      </c>
      <c r="AR893" s="12">
        <f t="shared" ca="1" si="1818"/>
        <v>0.1188440867299337</v>
      </c>
      <c r="AS893" s="12">
        <f t="shared" ca="1" si="1818"/>
        <v>0.21183365921913394</v>
      </c>
      <c r="AT893" s="12">
        <f t="shared" ca="1" si="1818"/>
        <v>0.1926629198447399</v>
      </c>
      <c r="AU893" s="12">
        <f t="shared" ca="1" si="1818"/>
        <v>0.14430825758437757</v>
      </c>
      <c r="AV893" s="12">
        <f t="shared" ca="1" si="1818"/>
        <v>0.20141634818205723</v>
      </c>
      <c r="AW893" s="12">
        <f t="shared" ca="1" si="1818"/>
        <v>0.161521321448102</v>
      </c>
      <c r="AX893" s="12">
        <f t="shared" ca="1" si="1818"/>
        <v>0.17192981857249107</v>
      </c>
      <c r="AZ893" s="12">
        <f t="shared" ref="AZ893:BG893" ca="1" si="1819">AZ891/AZ122</f>
        <v>0.1099155677880507</v>
      </c>
      <c r="BA893" s="12">
        <f t="shared" ca="1" si="1819"/>
        <v>-0.17650350493559394</v>
      </c>
      <c r="BB893" s="12">
        <f t="shared" ca="1" si="1819"/>
        <v>-5.8903522947065037E-2</v>
      </c>
      <c r="BC893" s="12">
        <f t="shared" ca="1" si="1819"/>
        <v>-7.5461997778604448E-2</v>
      </c>
      <c r="BD893" s="12">
        <f t="shared" ca="1" si="1819"/>
        <v>-9.4711792891606361E-3</v>
      </c>
      <c r="BE893" s="12">
        <f t="shared" ca="1" si="1819"/>
        <v>-4.9797422322537442E-2</v>
      </c>
      <c r="BF893" s="12">
        <f t="shared" ca="1" si="1819"/>
        <v>-5.4014934595635195E-2</v>
      </c>
      <c r="BG893" s="12">
        <f t="shared" ca="1" si="1819"/>
        <v>-3.6382626717748001E-2</v>
      </c>
      <c r="BI893" s="12">
        <f t="shared" ref="BI893:BP893" ca="1" si="1820">BI891/BI122</f>
        <v>0.13547845040989059</v>
      </c>
      <c r="BJ893" s="12">
        <f t="shared" ca="1" si="1820"/>
        <v>-0.11218605065562616</v>
      </c>
      <c r="BK893" s="12">
        <f t="shared" ca="1" si="1820"/>
        <v>-1.2262742494595403E-2</v>
      </c>
      <c r="BL893" s="12">
        <f t="shared" ca="1" si="1820"/>
        <v>-2.5825094074550966E-2</v>
      </c>
      <c r="BM893" s="12">
        <f t="shared" ca="1" si="1820"/>
        <v>3.2400451643969715E-2</v>
      </c>
      <c r="BN893" s="12">
        <f t="shared" ca="1" si="1820"/>
        <v>-3.5720044760849052E-3</v>
      </c>
      <c r="BO893" s="12">
        <f t="shared" ca="1" si="1820"/>
        <v>-8.1884175528122022E-3</v>
      </c>
      <c r="BP893" s="12">
        <f t="shared" ca="1" si="1820"/>
        <v>8.0818199323370466E-3</v>
      </c>
    </row>
    <row r="894" spans="2:68" ht="13.2" customHeight="1">
      <c r="B894" s="308" t="s">
        <v>874</v>
      </c>
      <c r="G894" s="12"/>
      <c r="H894" s="12"/>
      <c r="I894" s="12"/>
      <c r="J894" s="12"/>
      <c r="K894" s="12"/>
      <c r="L894" s="12"/>
      <c r="M894" s="12"/>
      <c r="N894" s="839">
        <f ca="1">(SUM(I891:K891)+2/3*L891)/(SUM(I122:K122)+2/3*L122)</f>
        <v>-0.15324301538909701</v>
      </c>
      <c r="O894" s="39">
        <f>ROW()</f>
        <v>894</v>
      </c>
      <c r="P894" s="12"/>
      <c r="Q894" s="12"/>
      <c r="R894" s="12"/>
      <c r="S894" s="12"/>
      <c r="T894" s="12"/>
      <c r="U894" s="12"/>
      <c r="V894" s="12"/>
      <c r="W894" s="12"/>
      <c r="Y894" s="12"/>
      <c r="Z894" s="12"/>
      <c r="AA894" s="12"/>
      <c r="AB894" s="12"/>
      <c r="AC894" s="12"/>
      <c r="AD894" s="12"/>
      <c r="AE894" s="12"/>
      <c r="AF894" s="12"/>
      <c r="AH894" s="12"/>
      <c r="AI894" s="12"/>
      <c r="AJ894" s="12"/>
      <c r="AK894" s="12"/>
      <c r="AL894" s="12"/>
      <c r="AM894" s="12"/>
      <c r="AN894" s="12"/>
      <c r="AO894" s="12"/>
      <c r="AQ894" s="12"/>
      <c r="AR894" s="12"/>
      <c r="AS894" s="12"/>
      <c r="AT894" s="12"/>
      <c r="AU894" s="12"/>
      <c r="AV894" s="12"/>
      <c r="AW894" s="12"/>
      <c r="AX894" s="12"/>
      <c r="AZ894" s="12"/>
      <c r="BA894" s="12"/>
      <c r="BB894" s="12"/>
      <c r="BC894" s="12"/>
      <c r="BD894" s="12"/>
      <c r="BE894" s="12"/>
      <c r="BF894" s="12"/>
      <c r="BG894" s="12"/>
      <c r="BI894" s="12"/>
      <c r="BJ894" s="12"/>
      <c r="BK894" s="12"/>
      <c r="BL894" s="12"/>
      <c r="BM894" s="12"/>
      <c r="BN894" s="12"/>
      <c r="BO894" s="12"/>
      <c r="BP894" s="12"/>
    </row>
    <row r="895" spans="2:68" ht="13.2" customHeight="1">
      <c r="B895" s="308"/>
      <c r="G895" s="12"/>
      <c r="H895" s="12"/>
      <c r="I895" s="12"/>
      <c r="J895" s="12"/>
      <c r="K895" s="12"/>
      <c r="L895" s="12"/>
      <c r="M895" s="12"/>
      <c r="N895" s="12"/>
      <c r="O895" s="39">
        <f>ROW()</f>
        <v>895</v>
      </c>
      <c r="P895" s="12"/>
      <c r="Q895" s="12"/>
      <c r="R895" s="12"/>
      <c r="S895" s="12"/>
      <c r="T895" s="12"/>
      <c r="U895" s="12"/>
      <c r="V895" s="12"/>
      <c r="W895" s="12"/>
      <c r="Y895" s="12"/>
      <c r="Z895" s="12"/>
      <c r="AA895" s="12"/>
      <c r="AB895" s="12"/>
      <c r="AC895" s="12"/>
      <c r="AD895" s="12"/>
      <c r="AE895" s="12"/>
      <c r="AF895" s="12"/>
      <c r="AH895" s="12"/>
      <c r="AI895" s="12"/>
      <c r="AJ895" s="12"/>
      <c r="AK895" s="12"/>
      <c r="AL895" s="12"/>
      <c r="AM895" s="12"/>
      <c r="AN895" s="12"/>
      <c r="AO895" s="12"/>
      <c r="AQ895" s="12"/>
      <c r="AR895" s="12"/>
      <c r="AS895" s="12"/>
      <c r="AT895" s="12"/>
      <c r="AU895" s="12"/>
      <c r="AV895" s="12"/>
      <c r="AW895" s="12"/>
      <c r="AX895" s="12"/>
      <c r="AZ895" s="12"/>
      <c r="BA895" s="12"/>
      <c r="BB895" s="12"/>
      <c r="BC895" s="12"/>
      <c r="BD895" s="12"/>
      <c r="BE895" s="12"/>
      <c r="BF895" s="12"/>
      <c r="BG895" s="12"/>
      <c r="BI895" s="12"/>
      <c r="BJ895" s="12"/>
      <c r="BK895" s="12"/>
      <c r="BL895" s="12"/>
      <c r="BM895" s="12"/>
      <c r="BN895" s="12"/>
      <c r="BO895" s="12"/>
      <c r="BP895" s="12"/>
    </row>
    <row r="896" spans="2:68" ht="13.2" customHeight="1">
      <c r="B896" s="308" t="s">
        <v>1447</v>
      </c>
      <c r="G896" s="12"/>
      <c r="H896" s="12"/>
      <c r="I896" s="12"/>
      <c r="J896" s="12"/>
      <c r="K896" s="12"/>
      <c r="L896" s="12"/>
      <c r="M896" s="12"/>
      <c r="N896" s="12"/>
      <c r="O896" s="39">
        <f>ROW()</f>
        <v>896</v>
      </c>
      <c r="P896" s="12"/>
      <c r="Q896" s="12"/>
      <c r="R896" s="12"/>
      <c r="S896" s="12"/>
      <c r="T896" s="12"/>
      <c r="U896" s="12"/>
      <c r="V896" s="12"/>
      <c r="W896" s="12"/>
      <c r="Y896" s="12"/>
      <c r="Z896" s="12"/>
      <c r="AA896" s="12"/>
      <c r="AB896" s="12"/>
      <c r="AC896" s="12"/>
      <c r="AD896" s="12"/>
      <c r="AE896" s="12"/>
      <c r="AF896" s="12"/>
      <c r="AH896" s="12"/>
      <c r="AI896" s="12"/>
      <c r="AJ896" s="12"/>
      <c r="AK896" s="12"/>
      <c r="AL896" s="12"/>
      <c r="AM896" s="12"/>
      <c r="AN896" s="12"/>
      <c r="AO896" s="12"/>
      <c r="AQ896" s="12"/>
      <c r="AR896" s="12"/>
      <c r="AS896" s="12"/>
      <c r="AT896" s="12"/>
      <c r="AU896" s="12"/>
      <c r="AV896" s="12"/>
      <c r="AW896" s="12"/>
      <c r="AX896" s="12"/>
      <c r="AZ896" s="12"/>
      <c r="BA896" s="12"/>
      <c r="BB896" s="12"/>
      <c r="BC896" s="12"/>
      <c r="BD896" s="12"/>
      <c r="BE896" s="12"/>
      <c r="BF896" s="12"/>
      <c r="BG896" s="12"/>
      <c r="BI896" s="12"/>
      <c r="BJ896" s="12"/>
      <c r="BK896" s="12"/>
      <c r="BL896" s="12"/>
      <c r="BM896" s="12"/>
      <c r="BN896" s="12"/>
      <c r="BO896" s="12"/>
      <c r="BP896" s="12"/>
    </row>
    <row r="897" spans="2:68" ht="13.2" customHeight="1">
      <c r="B897" s="269" t="s">
        <v>2620</v>
      </c>
      <c r="G897" s="12"/>
      <c r="H897" s="12"/>
      <c r="I897" s="12"/>
      <c r="J897" s="12"/>
      <c r="K897" s="12"/>
      <c r="L897" s="12"/>
      <c r="M897" s="12"/>
      <c r="N897" s="12"/>
      <c r="O897" s="39">
        <f>ROW()</f>
        <v>897</v>
      </c>
      <c r="P897" s="12"/>
      <c r="Q897" s="12"/>
      <c r="R897" s="12"/>
      <c r="S897" s="12"/>
      <c r="T897" s="12"/>
      <c r="U897" s="12"/>
      <c r="V897" s="12"/>
      <c r="W897" s="12"/>
      <c r="Y897" s="12"/>
      <c r="Z897" s="12"/>
      <c r="AA897" s="12"/>
      <c r="AB897" s="12"/>
      <c r="AC897" s="12"/>
      <c r="AD897" s="12"/>
      <c r="AE897" s="12"/>
      <c r="AF897" s="12"/>
      <c r="AH897" s="12"/>
      <c r="AI897" s="12"/>
      <c r="AJ897" s="12"/>
      <c r="AK897" s="12"/>
      <c r="AL897" s="12"/>
      <c r="AM897" s="12"/>
      <c r="AN897" s="12"/>
      <c r="AO897" s="12"/>
      <c r="AQ897" s="12"/>
      <c r="AR897" s="12"/>
      <c r="AS897" s="12"/>
      <c r="AT897" s="12"/>
      <c r="AU897" s="12"/>
      <c r="AV897" s="12"/>
      <c r="AW897" s="12"/>
      <c r="AX897" s="12"/>
      <c r="AZ897" s="12"/>
      <c r="BA897" s="12"/>
      <c r="BB897" s="12"/>
      <c r="BC897" s="12"/>
      <c r="BD897" s="12"/>
      <c r="BE897" s="12"/>
      <c r="BF897" s="12"/>
      <c r="BG897" s="12"/>
      <c r="BI897" s="12"/>
      <c r="BJ897" s="12"/>
      <c r="BK897" s="12"/>
      <c r="BL897" s="12"/>
      <c r="BM897" s="12"/>
      <c r="BN897" s="12"/>
      <c r="BO897" s="12"/>
      <c r="BP897" s="12"/>
    </row>
    <row r="898" spans="2:68" ht="13.2" customHeight="1">
      <c r="B898" s="323" t="str">
        <f>CONCATENATE("Change in # of cordon entries, factor multiple from baseline (shown in column blocks to right; calc'd as 'Final' entries in Row ",O848, " divided by baseline entries in Row ",O347, ").")</f>
        <v>Change in # of cordon entries, factor multiple from baseline (shown in column blocks to right; calc'd as 'Final' entries in Row 848 divided by baseline entries in Row 347).</v>
      </c>
      <c r="G898" s="12"/>
      <c r="H898" s="12"/>
      <c r="I898" s="12"/>
      <c r="J898" s="12"/>
      <c r="K898" s="12"/>
      <c r="L898" s="12"/>
      <c r="M898" s="12"/>
      <c r="N898" s="12"/>
      <c r="O898" s="39">
        <f>ROW()</f>
        <v>898</v>
      </c>
      <c r="P898" s="117">
        <f t="shared" ref="P898:V898" ca="1" si="1821">P848/P347</f>
        <v>1.0384362215980933</v>
      </c>
      <c r="Q898" s="117">
        <f t="shared" ca="1" si="1821"/>
        <v>0.72676239857014424</v>
      </c>
      <c r="R898" s="117">
        <f t="shared" ca="1" si="1821"/>
        <v>0.78965792092940246</v>
      </c>
      <c r="S898" s="117">
        <f t="shared" ca="1" si="1821"/>
        <v>0.78486794397471271</v>
      </c>
      <c r="T898" s="117">
        <f t="shared" ca="1" si="1821"/>
        <v>0.84767883225403207</v>
      </c>
      <c r="U898" s="117">
        <f t="shared" ca="1" si="1821"/>
        <v>0.77537298195894122</v>
      </c>
      <c r="V898" s="117">
        <f t="shared" ca="1" si="1821"/>
        <v>0.76921212923206017</v>
      </c>
      <c r="W898" s="12"/>
      <c r="Y898" s="117">
        <f t="shared" ref="Y898:AE898" ca="1" si="1822">Y848/Y347</f>
        <v>0.88875703801585337</v>
      </c>
      <c r="Z898" s="117">
        <f t="shared" ca="1" si="1822"/>
        <v>0.64855710229632191</v>
      </c>
      <c r="AA898" s="117">
        <f t="shared" ca="1" si="1822"/>
        <v>0.84961354331460093</v>
      </c>
      <c r="AB898" s="117">
        <f t="shared" ca="1" si="1822"/>
        <v>0.8415889544854348</v>
      </c>
      <c r="AC898" s="117">
        <f t="shared" ca="1" si="1822"/>
        <v>0.91812761406780208</v>
      </c>
      <c r="AD898" s="117">
        <f t="shared" ca="1" si="1822"/>
        <v>0.83247498213138993</v>
      </c>
      <c r="AE898" s="117">
        <f t="shared" ca="1" si="1822"/>
        <v>0.79817658971593908</v>
      </c>
      <c r="AF898" s="12"/>
      <c r="AH898" s="117">
        <f t="shared" ref="AH898:AN898" ca="1" si="1823">AH848/AH347</f>
        <v>0.79166137349181798</v>
      </c>
      <c r="AI898" s="117">
        <f t="shared" ca="1" si="1823"/>
        <v>0.50581067350748476</v>
      </c>
      <c r="AJ898" s="117">
        <f t="shared" ca="1" si="1823"/>
        <v>0.64575638196321117</v>
      </c>
      <c r="AK898" s="117">
        <f t="shared" ca="1" si="1823"/>
        <v>0.6303262053202453</v>
      </c>
      <c r="AL898" s="117">
        <f t="shared" ca="1" si="1823"/>
        <v>0.71535788319813165</v>
      </c>
      <c r="AM898" s="117">
        <f t="shared" ca="1" si="1823"/>
        <v>0.66484295860169162</v>
      </c>
      <c r="AN898" s="117">
        <f t="shared" ca="1" si="1823"/>
        <v>0.66307481599377849</v>
      </c>
      <c r="AO898" s="12"/>
      <c r="AQ898" s="117">
        <f t="shared" ref="AQ898:AW898" ca="1" si="1824">AQ848/AQ347</f>
        <v>1.054512785724034</v>
      </c>
      <c r="AR898" s="117">
        <f t="shared" ca="1" si="1824"/>
        <v>1.1188440867299336</v>
      </c>
      <c r="AS898" s="117">
        <f t="shared" ca="1" si="1824"/>
        <v>1.2118336592191339</v>
      </c>
      <c r="AT898" s="117">
        <f t="shared" ca="1" si="1824"/>
        <v>1.1926629198447398</v>
      </c>
      <c r="AU898" s="117">
        <f t="shared" ca="1" si="1824"/>
        <v>1.1443082575843775</v>
      </c>
      <c r="AV898" s="117">
        <f t="shared" ca="1" si="1824"/>
        <v>1.2014163481820572</v>
      </c>
      <c r="AW898" s="117">
        <f t="shared" ca="1" si="1824"/>
        <v>1.1615213214481019</v>
      </c>
      <c r="AX898" s="12"/>
      <c r="AZ898" s="117">
        <f t="shared" ref="AZ898:BF898" ca="1" si="1825">AZ848/AZ347</f>
        <v>1.1099155677880508</v>
      </c>
      <c r="BA898" s="117">
        <f t="shared" ca="1" si="1825"/>
        <v>0.82349649506440603</v>
      </c>
      <c r="BB898" s="117">
        <f t="shared" ca="1" si="1825"/>
        <v>0.94109647705293498</v>
      </c>
      <c r="BC898" s="117">
        <f t="shared" ca="1" si="1825"/>
        <v>0.92453800222139559</v>
      </c>
      <c r="BD898" s="117">
        <f t="shared" ca="1" si="1825"/>
        <v>0.99052882071083936</v>
      </c>
      <c r="BE898" s="117">
        <f t="shared" ca="1" si="1825"/>
        <v>0.95020257767746252</v>
      </c>
      <c r="BF898" s="117">
        <f t="shared" ca="1" si="1825"/>
        <v>0.94598506540436478</v>
      </c>
      <c r="BG898" s="12"/>
      <c r="BI898" s="117">
        <f t="shared" ref="BI898:BO898" ca="1" si="1826">BI848/BI347</f>
        <v>1.1354784504098905</v>
      </c>
      <c r="BJ898" s="117">
        <f t="shared" ca="1" si="1826"/>
        <v>0.88781394934437385</v>
      </c>
      <c r="BK898" s="117">
        <f t="shared" ca="1" si="1826"/>
        <v>0.98773725750540464</v>
      </c>
      <c r="BL898" s="117">
        <f t="shared" ca="1" si="1826"/>
        <v>0.97417490592544909</v>
      </c>
      <c r="BM898" s="117">
        <f t="shared" ca="1" si="1826"/>
        <v>1.0324004516439698</v>
      </c>
      <c r="BN898" s="117">
        <f t="shared" ca="1" si="1826"/>
        <v>0.99642799552391514</v>
      </c>
      <c r="BO898" s="117">
        <f t="shared" ca="1" si="1826"/>
        <v>0.99181158244718781</v>
      </c>
      <c r="BP898" s="12"/>
    </row>
    <row r="899" spans="2:68" s="1122" customFormat="1" ht="13.2" customHeight="1">
      <c r="B899" s="1194" t="s">
        <v>2428</v>
      </c>
      <c r="G899" s="1122">
        <f t="shared" ref="G899:M902" ca="1" si="1827">P899+Y899+AH899+AQ899+AZ899+BI899</f>
        <v>985149.97078433237</v>
      </c>
      <c r="H899" s="1122">
        <f t="shared" ca="1" si="1827"/>
        <v>281384.71665827645</v>
      </c>
      <c r="I899" s="1122">
        <f t="shared" ca="1" si="1827"/>
        <v>1831549.5189184621</v>
      </c>
      <c r="J899" s="1122">
        <f t="shared" ca="1" si="1827"/>
        <v>540879.10143211915</v>
      </c>
      <c r="K899" s="1122">
        <f t="shared" ca="1" si="1827"/>
        <v>1914670.8235690363</v>
      </c>
      <c r="L899" s="1122">
        <f t="shared" ca="1" si="1827"/>
        <v>2923002.5569855319</v>
      </c>
      <c r="M899" s="1122">
        <f t="shared" ca="1" si="1827"/>
        <v>1020806.2987993021</v>
      </c>
      <c r="N899" s="1131">
        <f ca="1">SUM(G899:M899)</f>
        <v>9497442.9871470612</v>
      </c>
      <c r="O899" s="39">
        <f>ROW()</f>
        <v>899</v>
      </c>
      <c r="P899" s="1122">
        <f t="shared" ref="P899:V899" ca="1" si="1828">P898*P156</f>
        <v>159142.13532055551</v>
      </c>
      <c r="Q899" s="1122">
        <f t="shared" ca="1" si="1828"/>
        <v>168285.36619689624</v>
      </c>
      <c r="R899" s="1122">
        <f t="shared" ca="1" si="1828"/>
        <v>1125083.6463815647</v>
      </c>
      <c r="S899" s="1122">
        <f t="shared" ca="1" si="1828"/>
        <v>268707.77527961635</v>
      </c>
      <c r="T899" s="1122">
        <f t="shared" ca="1" si="1828"/>
        <v>791930.43065557582</v>
      </c>
      <c r="U899" s="1122">
        <f t="shared" ca="1" si="1828"/>
        <v>801326.58340182668</v>
      </c>
      <c r="V899" s="1122">
        <f t="shared" ca="1" si="1828"/>
        <v>221058.38497478081</v>
      </c>
      <c r="W899" s="1131">
        <f ca="1">SUM(P899:V899)</f>
        <v>3535534.3222108162</v>
      </c>
      <c r="Y899" s="1122">
        <f t="shared" ref="Y899:AE899" ca="1" si="1829">Y898*Y156</f>
        <v>278868.53937896236</v>
      </c>
      <c r="Z899" s="1122">
        <f t="shared" ca="1" si="1829"/>
        <v>20435.839741977823</v>
      </c>
      <c r="AA899" s="1122">
        <f t="shared" ca="1" si="1829"/>
        <v>226574.35027866386</v>
      </c>
      <c r="AB899" s="1122">
        <f t="shared" ca="1" si="1829"/>
        <v>133120.29946134766</v>
      </c>
      <c r="AC899" s="1122">
        <f t="shared" ca="1" si="1829"/>
        <v>548583.7804794492</v>
      </c>
      <c r="AD899" s="1122">
        <f t="shared" ca="1" si="1829"/>
        <v>1097782.3734212765</v>
      </c>
      <c r="AE899" s="1122">
        <f t="shared" ca="1" si="1829"/>
        <v>329885.06650410232</v>
      </c>
      <c r="AF899" s="1131">
        <f ca="1">SUM(Y899:AE899)</f>
        <v>2635250.2492657797</v>
      </c>
      <c r="AH899" s="1122">
        <f t="shared" ref="AH899:AN899" ca="1" si="1830">AH898*AH156</f>
        <v>445420.83268856478</v>
      </c>
      <c r="AI899" s="1122">
        <f t="shared" ca="1" si="1830"/>
        <v>57333.221617491217</v>
      </c>
      <c r="AJ899" s="1122">
        <f t="shared" ca="1" si="1830"/>
        <v>253338.68016476973</v>
      </c>
      <c r="AK899" s="1122">
        <f t="shared" ca="1" si="1830"/>
        <v>73132.869743551608</v>
      </c>
      <c r="AL899" s="1122">
        <f t="shared" ca="1" si="1830"/>
        <v>356888.10669035261</v>
      </c>
      <c r="AM899" s="1122">
        <f t="shared" ca="1" si="1830"/>
        <v>672686.03153751872</v>
      </c>
      <c r="AN899" s="1122">
        <f t="shared" ca="1" si="1830"/>
        <v>349799.45148175291</v>
      </c>
      <c r="AO899" s="1131">
        <f ca="1">SUM(AH899:AN899)</f>
        <v>2208599.1939240019</v>
      </c>
      <c r="AQ899" s="1122">
        <f t="shared" ref="AQ899:AW899" ca="1" si="1831">AQ898*AQ156</f>
        <v>35830.143366963835</v>
      </c>
      <c r="AR899" s="1122">
        <f t="shared" ca="1" si="1831"/>
        <v>15317.346933577293</v>
      </c>
      <c r="AS899" s="1122">
        <f t="shared" ca="1" si="1831"/>
        <v>95701.816055263742</v>
      </c>
      <c r="AT899" s="1122">
        <f t="shared" ca="1" si="1831"/>
        <v>27855.396270435969</v>
      </c>
      <c r="AU899" s="1122">
        <f t="shared" ca="1" si="1831"/>
        <v>86190.09801504566</v>
      </c>
      <c r="AV899" s="1122">
        <f t="shared" ca="1" si="1831"/>
        <v>146819.07890838289</v>
      </c>
      <c r="AW899" s="1122">
        <f t="shared" ca="1" si="1831"/>
        <v>49338.74969360204</v>
      </c>
      <c r="AX899" s="1131">
        <f ca="1">SUM(AQ899:AW899)</f>
        <v>457052.62924327143</v>
      </c>
      <c r="AZ899" s="1122">
        <f t="shared" ref="AZ899:BF899" ca="1" si="1832">AZ898*AZ156</f>
        <v>46248.396673337949</v>
      </c>
      <c r="BA899" s="1122">
        <f t="shared" ca="1" si="1832"/>
        <v>13825.656916114973</v>
      </c>
      <c r="BB899" s="1122">
        <f t="shared" ca="1" si="1832"/>
        <v>91142.588384257193</v>
      </c>
      <c r="BC899" s="1122">
        <f t="shared" ca="1" si="1832"/>
        <v>26480.515383871629</v>
      </c>
      <c r="BD899" s="1122">
        <f t="shared" ca="1" si="1832"/>
        <v>91493.765445377066</v>
      </c>
      <c r="BE899" s="1122">
        <f t="shared" ca="1" si="1832"/>
        <v>142401.70998975975</v>
      </c>
      <c r="BF899" s="1122">
        <f t="shared" ca="1" si="1832"/>
        <v>49278.249926534911</v>
      </c>
      <c r="BG899" s="1131">
        <f ca="1">SUM(AZ899:BF899)</f>
        <v>460870.88271925348</v>
      </c>
      <c r="BI899" s="1122">
        <f t="shared" ref="BI899:BO899" ca="1" si="1833">BI898*BI156</f>
        <v>19639.923355947965</v>
      </c>
      <c r="BJ899" s="1122">
        <f t="shared" ca="1" si="1833"/>
        <v>6187.2852522188941</v>
      </c>
      <c r="BK899" s="1122">
        <f t="shared" ca="1" si="1833"/>
        <v>39708.437653943009</v>
      </c>
      <c r="BL899" s="1122">
        <f t="shared" ca="1" si="1833"/>
        <v>11582.245293296084</v>
      </c>
      <c r="BM899" s="1122">
        <f t="shared" ca="1" si="1833"/>
        <v>39584.64228323596</v>
      </c>
      <c r="BN899" s="1122">
        <f t="shared" ca="1" si="1833"/>
        <v>61986.779726768153</v>
      </c>
      <c r="BO899" s="1122">
        <f t="shared" ca="1" si="1833"/>
        <v>21446.396218529211</v>
      </c>
      <c r="BP899" s="1131">
        <f ca="1">SUM(BI899:BO899)</f>
        <v>200135.70978393927</v>
      </c>
    </row>
    <row r="900" spans="2:68" ht="13.2" customHeight="1">
      <c r="B900" s="319" t="str">
        <f>CONCATENATE("Respective figures in column-blocks at right are products of factor multiple in Row ",O898, " and VMT in Row ",O156, ".")</f>
        <v>Respective figures in column-blocks at right are products of factor multiple in Row 898 and VMT in Row 156.</v>
      </c>
      <c r="G900" s="1122"/>
      <c r="H900" s="1122"/>
      <c r="I900" s="1122"/>
      <c r="J900" s="1122"/>
      <c r="K900" s="1122"/>
      <c r="L900" s="1122"/>
      <c r="M900" s="1122"/>
      <c r="N900" s="1131"/>
      <c r="O900" s="39">
        <f>ROW()</f>
        <v>900</v>
      </c>
      <c r="W900" s="138"/>
      <c r="AF900" s="138"/>
      <c r="AO900" s="138"/>
      <c r="AX900" s="138"/>
      <c r="BG900" s="138"/>
      <c r="BP900" s="138"/>
    </row>
    <row r="901" spans="2:68" ht="13.2" customHeight="1">
      <c r="B901" s="323" t="str">
        <f>CONCATENATE("Change in # of cordon exits, factor multiple from baseline (shown in column blocks to right, and calculated as Final' exits in Row ",O854, " divided by baseline exits in Row ",O133, ").")</f>
        <v>Change in # of cordon exits, factor multiple from baseline (shown in column blocks to right, and calculated as Final' exits in Row 854 divided by baseline exits in Row 133).</v>
      </c>
      <c r="G901" s="1122"/>
      <c r="H901" s="1122"/>
      <c r="I901" s="1122"/>
      <c r="J901" s="1122"/>
      <c r="K901" s="1122"/>
      <c r="L901" s="1122"/>
      <c r="M901" s="1122"/>
      <c r="N901" s="1131"/>
      <c r="O901" s="39">
        <f>ROW()</f>
        <v>901</v>
      </c>
      <c r="P901" s="117">
        <f t="shared" ref="P901:V901" ca="1" si="1834">P854/P133</f>
        <v>0.8022487795646891</v>
      </c>
      <c r="Q901" s="117">
        <f t="shared" ca="1" si="1834"/>
        <v>0.8022487795646891</v>
      </c>
      <c r="R901" s="117">
        <f t="shared" ca="1" si="1834"/>
        <v>0.80224877956468921</v>
      </c>
      <c r="S901" s="117">
        <f t="shared" ca="1" si="1834"/>
        <v>0.80224877956468899</v>
      </c>
      <c r="T901" s="117">
        <f t="shared" ca="1" si="1834"/>
        <v>0.8022487795646891</v>
      </c>
      <c r="U901" s="117">
        <f t="shared" ca="1" si="1834"/>
        <v>0.8022487795646891</v>
      </c>
      <c r="V901" s="117">
        <f t="shared" ca="1" si="1834"/>
        <v>0.80224877956468921</v>
      </c>
      <c r="W901" s="138"/>
      <c r="Y901" s="117">
        <f t="shared" ref="Y901:AE901" ca="1" si="1835">Y854/Y133</f>
        <v>0.85017994089737103</v>
      </c>
      <c r="Z901" s="117">
        <f t="shared" ca="1" si="1835"/>
        <v>0.85017994089737103</v>
      </c>
      <c r="AA901" s="117">
        <f t="shared" ca="1" si="1835"/>
        <v>0.85017994089737103</v>
      </c>
      <c r="AB901" s="117">
        <f t="shared" ca="1" si="1835"/>
        <v>0.85017994089737103</v>
      </c>
      <c r="AC901" s="117">
        <f t="shared" ca="1" si="1835"/>
        <v>0.85017994089737103</v>
      </c>
      <c r="AD901" s="117">
        <f t="shared" ca="1" si="1835"/>
        <v>0.85017994089737092</v>
      </c>
      <c r="AE901" s="117">
        <f t="shared" ca="1" si="1835"/>
        <v>0.85017994089737114</v>
      </c>
      <c r="AF901" s="138"/>
      <c r="AH901" s="117">
        <f t="shared" ref="AH901:AN901" ca="1" si="1836">AH854/AH133</f>
        <v>0.68535559136403468</v>
      </c>
      <c r="AI901" s="117">
        <f t="shared" ca="1" si="1836"/>
        <v>0.68535559136403479</v>
      </c>
      <c r="AJ901" s="117">
        <f t="shared" ca="1" si="1836"/>
        <v>0.68535559136403468</v>
      </c>
      <c r="AK901" s="117">
        <f t="shared" ca="1" si="1836"/>
        <v>0.68535559136403479</v>
      </c>
      <c r="AL901" s="117">
        <f t="shared" ca="1" si="1836"/>
        <v>0.68535559136403479</v>
      </c>
      <c r="AM901" s="117">
        <f t="shared" ca="1" si="1836"/>
        <v>0.68535559136403479</v>
      </c>
      <c r="AN901" s="117">
        <f t="shared" ca="1" si="1836"/>
        <v>0.68535559136403479</v>
      </c>
      <c r="AO901" s="138"/>
      <c r="AQ901" s="117">
        <f t="shared" ref="AQ901:AW901" ca="1" si="1837">AQ854/AQ133</f>
        <v>1.054512785724034</v>
      </c>
      <c r="AR901" s="117">
        <f t="shared" ca="1" si="1837"/>
        <v>1.1188440867299336</v>
      </c>
      <c r="AS901" s="117">
        <f t="shared" ca="1" si="1837"/>
        <v>1.2118336592191339</v>
      </c>
      <c r="AT901" s="117">
        <f t="shared" ca="1" si="1837"/>
        <v>1.1926629198447398</v>
      </c>
      <c r="AU901" s="117">
        <f t="shared" ca="1" si="1837"/>
        <v>1.1443082575843777</v>
      </c>
      <c r="AV901" s="117">
        <f t="shared" ca="1" si="1837"/>
        <v>1.2014163481820572</v>
      </c>
      <c r="AW901" s="117">
        <f t="shared" ca="1" si="1837"/>
        <v>1.1615213214481019</v>
      </c>
      <c r="AX901" s="138"/>
      <c r="AZ901" s="117">
        <f t="shared" ref="AZ901:BF901" ca="1" si="1838">AZ854/AZ133</f>
        <v>0.96361737328225217</v>
      </c>
      <c r="BA901" s="117">
        <f t="shared" ca="1" si="1838"/>
        <v>0.96361737328225194</v>
      </c>
      <c r="BB901" s="117">
        <f t="shared" ca="1" si="1838"/>
        <v>0.96361737328225194</v>
      </c>
      <c r="BC901" s="117">
        <f t="shared" ca="1" si="1838"/>
        <v>0.96361737328225205</v>
      </c>
      <c r="BD901" s="117">
        <f t="shared" ca="1" si="1838"/>
        <v>0.96361737328225205</v>
      </c>
      <c r="BE901" s="117">
        <f t="shared" ca="1" si="1838"/>
        <v>0.96361737328225194</v>
      </c>
      <c r="BF901" s="117">
        <f t="shared" ca="1" si="1838"/>
        <v>0.96361737328225194</v>
      </c>
      <c r="BG901" s="138"/>
      <c r="BI901" s="117">
        <f t="shared" ref="BI901:BO901" ca="1" si="1839">BI854/BI133</f>
        <v>1.0080818199323367</v>
      </c>
      <c r="BJ901" s="117">
        <f t="shared" ca="1" si="1839"/>
        <v>1.0080818199323365</v>
      </c>
      <c r="BK901" s="117">
        <f t="shared" ca="1" si="1839"/>
        <v>1.0080818199323367</v>
      </c>
      <c r="BL901" s="117">
        <f t="shared" ca="1" si="1839"/>
        <v>1.0080818199323367</v>
      </c>
      <c r="BM901" s="117">
        <f t="shared" ca="1" si="1839"/>
        <v>1.0080818199323367</v>
      </c>
      <c r="BN901" s="117">
        <f t="shared" ca="1" si="1839"/>
        <v>1.0080818199323367</v>
      </c>
      <c r="BO901" s="117">
        <f t="shared" ca="1" si="1839"/>
        <v>1.0080818199323367</v>
      </c>
      <c r="BP901" s="138"/>
    </row>
    <row r="902" spans="2:68" s="1122" customFormat="1" ht="13.2" customHeight="1">
      <c r="B902" s="1194" t="s">
        <v>2429</v>
      </c>
      <c r="G902" s="1122">
        <f t="shared" ca="1" si="1827"/>
        <v>1153944.8809446199</v>
      </c>
      <c r="H902" s="1122">
        <f t="shared" ca="1" si="1827"/>
        <v>217863.76133364948</v>
      </c>
      <c r="I902" s="1122">
        <f t="shared" ca="1" si="1827"/>
        <v>1262978.0279541647</v>
      </c>
      <c r="J902" s="1122">
        <f t="shared" ca="1" si="1827"/>
        <v>400215.08262050536</v>
      </c>
      <c r="K902" s="1122">
        <f t="shared" ca="1" si="1827"/>
        <v>1629683.6612378128</v>
      </c>
      <c r="L902" s="1122">
        <f t="shared" ca="1" si="1827"/>
        <v>3474359.1712199701</v>
      </c>
      <c r="M902" s="1122">
        <f t="shared" ca="1" si="1827"/>
        <v>1358398.4018363403</v>
      </c>
      <c r="N902" s="1131">
        <f ca="1">SUM(G902:M902)</f>
        <v>9497442.987147063</v>
      </c>
      <c r="O902" s="39">
        <f>ROW()</f>
        <v>902</v>
      </c>
      <c r="P902" s="1122">
        <f t="shared" ref="P902:V902" ca="1" si="1840">P901*P157</f>
        <v>437274.5948320048</v>
      </c>
      <c r="Q902" s="1122">
        <f t="shared" ca="1" si="1840"/>
        <v>79212.265356010117</v>
      </c>
      <c r="R902" s="1122">
        <f t="shared" ca="1" si="1840"/>
        <v>456500.76460035855</v>
      </c>
      <c r="S902" s="1122">
        <f t="shared" ca="1" si="1840"/>
        <v>145623.18651952338</v>
      </c>
      <c r="T902" s="1122">
        <f t="shared" ca="1" si="1840"/>
        <v>603632.61461542721</v>
      </c>
      <c r="U902" s="1122">
        <f t="shared" ca="1" si="1840"/>
        <v>1301341.1743459322</v>
      </c>
      <c r="V902" s="1122">
        <f t="shared" ca="1" si="1840"/>
        <v>511949.72194155969</v>
      </c>
      <c r="W902" s="1131">
        <f ca="1">SUM(P902:V902)</f>
        <v>3535534.3222108157</v>
      </c>
      <c r="Y902" s="1122">
        <f t="shared" ref="Y902:AE902" ca="1" si="1841">Y901*Y157</f>
        <v>325927.53457080503</v>
      </c>
      <c r="Z902" s="1122">
        <f t="shared" ca="1" si="1841"/>
        <v>59041.752391701368</v>
      </c>
      <c r="AA902" s="1122">
        <f t="shared" ca="1" si="1841"/>
        <v>340257.97632502293</v>
      </c>
      <c r="AB902" s="1122">
        <f t="shared" ca="1" si="1841"/>
        <v>108541.87899227778</v>
      </c>
      <c r="AC902" s="1122">
        <f t="shared" ca="1" si="1841"/>
        <v>449924.354612278</v>
      </c>
      <c r="AD902" s="1122">
        <f t="shared" ca="1" si="1841"/>
        <v>969969.27240421076</v>
      </c>
      <c r="AE902" s="1122">
        <f t="shared" ca="1" si="1841"/>
        <v>381587.47996948363</v>
      </c>
      <c r="AF902" s="1131">
        <f ca="1">SUM(Y902:AE902)</f>
        <v>2635250.2492657797</v>
      </c>
      <c r="AH902" s="1122">
        <f t="shared" ref="AH902:AN902" ca="1" si="1842">AH901*AH157</f>
        <v>273159.36705869826</v>
      </c>
      <c r="AI902" s="1122">
        <f t="shared" ca="1" si="1842"/>
        <v>49482.802165184672</v>
      </c>
      <c r="AJ902" s="1122">
        <f t="shared" ca="1" si="1842"/>
        <v>285169.68832354166</v>
      </c>
      <c r="AK902" s="1122">
        <f t="shared" ca="1" si="1842"/>
        <v>90968.782382672172</v>
      </c>
      <c r="AL902" s="1122">
        <f t="shared" ca="1" si="1842"/>
        <v>377080.91184141411</v>
      </c>
      <c r="AM902" s="1122">
        <f t="shared" ca="1" si="1842"/>
        <v>812929.76018496172</v>
      </c>
      <c r="AN902" s="1122">
        <f t="shared" ca="1" si="1842"/>
        <v>319807.88196752936</v>
      </c>
      <c r="AO902" s="1131">
        <f ca="1">SUM(AH902:AN902)</f>
        <v>2208599.1939240019</v>
      </c>
      <c r="AQ902" s="1122">
        <f t="shared" ref="AQ902:AW902" ca="1" si="1843">AQ901*AQ157</f>
        <v>35830.143366963835</v>
      </c>
      <c r="AR902" s="1122">
        <f t="shared" ca="1" si="1843"/>
        <v>15317.346933577293</v>
      </c>
      <c r="AS902" s="1122">
        <f t="shared" ca="1" si="1843"/>
        <v>95701.816055263742</v>
      </c>
      <c r="AT902" s="1122">
        <f t="shared" ca="1" si="1843"/>
        <v>27855.396270435969</v>
      </c>
      <c r="AU902" s="1122">
        <f t="shared" ca="1" si="1843"/>
        <v>86190.098015045674</v>
      </c>
      <c r="AV902" s="1122">
        <f t="shared" ca="1" si="1843"/>
        <v>146819.07890838289</v>
      </c>
      <c r="AW902" s="1122">
        <f t="shared" ca="1" si="1843"/>
        <v>49338.74969360204</v>
      </c>
      <c r="AX902" s="1131">
        <f ca="1">SUM(AQ902:AW902)</f>
        <v>457052.62924327148</v>
      </c>
      <c r="AZ902" s="1122">
        <f t="shared" ref="AZ902:BF902" ca="1" si="1844">AZ901*AZ157</f>
        <v>57000.472953947305</v>
      </c>
      <c r="BA902" s="1122">
        <f t="shared" ca="1" si="1844"/>
        <v>10325.632091159578</v>
      </c>
      <c r="BB902" s="1122">
        <f t="shared" ca="1" si="1844"/>
        <v>59506.680226999772</v>
      </c>
      <c r="BC902" s="1122">
        <f t="shared" ca="1" si="1844"/>
        <v>18982.558334683712</v>
      </c>
      <c r="BD902" s="1122">
        <f t="shared" ca="1" si="1844"/>
        <v>78685.898815425156</v>
      </c>
      <c r="BE902" s="1122">
        <f t="shared" ca="1" si="1844"/>
        <v>169634.9691677404</v>
      </c>
      <c r="BF902" s="1122">
        <f t="shared" ca="1" si="1844"/>
        <v>66734.671129297625</v>
      </c>
      <c r="BG902" s="1131">
        <f ca="1">SUM(AZ902:BF902)</f>
        <v>460870.8827192536</v>
      </c>
      <c r="BI902" s="1122">
        <f t="shared" ref="BI902:BO902" ca="1" si="1845">BI901*BI157</f>
        <v>24752.768162200708</v>
      </c>
      <c r="BJ902" s="1122">
        <f t="shared" ca="1" si="1845"/>
        <v>4483.9623960164545</v>
      </c>
      <c r="BK902" s="1122">
        <f t="shared" ca="1" si="1845"/>
        <v>25841.10242297798</v>
      </c>
      <c r="BL902" s="1122">
        <f t="shared" ca="1" si="1845"/>
        <v>8243.2801209123663</v>
      </c>
      <c r="BM902" s="1122">
        <f t="shared" ca="1" si="1845"/>
        <v>34169.783338222704</v>
      </c>
      <c r="BN902" s="1122">
        <f t="shared" ca="1" si="1845"/>
        <v>73664.916208741153</v>
      </c>
      <c r="BO902" s="1122">
        <f t="shared" ca="1" si="1845"/>
        <v>28979.897134867908</v>
      </c>
      <c r="BP902" s="1131">
        <f ca="1">SUM(BI902:BO902)</f>
        <v>200135.70978393927</v>
      </c>
    </row>
    <row r="903" spans="2:68" ht="13.2" customHeight="1">
      <c r="B903" s="319" t="str">
        <f>CONCATENATE("Respective figures in column-blocks at right are products of factor multiple in Row ",O901, " and VMT in Row ",O157, ".")</f>
        <v>Respective figures in column-blocks at right are products of factor multiple in Row 901 and VMT in Row 157.</v>
      </c>
      <c r="G903" s="1122"/>
      <c r="H903" s="1122"/>
      <c r="I903" s="1122"/>
      <c r="J903" s="1122"/>
      <c r="K903" s="1122"/>
      <c r="L903" s="1122"/>
      <c r="M903" s="1122"/>
      <c r="N903" s="1122"/>
      <c r="O903" s="39">
        <f>ROW()</f>
        <v>903</v>
      </c>
      <c r="P903" s="12"/>
      <c r="Q903" s="12"/>
      <c r="R903" s="12"/>
      <c r="S903" s="12"/>
      <c r="T903" s="12"/>
      <c r="U903" s="12"/>
      <c r="V903" s="12"/>
      <c r="W903" s="12"/>
      <c r="Y903" s="12"/>
      <c r="Z903" s="12"/>
      <c r="AA903" s="12"/>
      <c r="AB903" s="12"/>
      <c r="AC903" s="12"/>
      <c r="AD903" s="12"/>
      <c r="AE903" s="12"/>
      <c r="AF903" s="12"/>
      <c r="AH903" s="12"/>
      <c r="AI903" s="12"/>
      <c r="AJ903" s="12"/>
      <c r="AK903" s="12"/>
      <c r="AL903" s="12"/>
      <c r="AM903" s="12"/>
      <c r="AN903" s="12"/>
      <c r="AO903" s="12"/>
      <c r="AQ903" s="12"/>
      <c r="AR903" s="12"/>
      <c r="AS903" s="12"/>
      <c r="AT903" s="12"/>
      <c r="AU903" s="12"/>
      <c r="AV903" s="12"/>
      <c r="AW903" s="12"/>
      <c r="AX903" s="12"/>
      <c r="AZ903" s="12"/>
      <c r="BA903" s="12"/>
      <c r="BB903" s="12"/>
      <c r="BC903" s="12"/>
      <c r="BD903" s="12"/>
      <c r="BE903" s="12"/>
      <c r="BF903" s="12"/>
      <c r="BG903" s="12"/>
      <c r="BI903" s="12"/>
      <c r="BJ903" s="12"/>
      <c r="BK903" s="12"/>
      <c r="BL903" s="12"/>
      <c r="BM903" s="12"/>
      <c r="BN903" s="12"/>
      <c r="BO903" s="12"/>
      <c r="BP903" s="12"/>
    </row>
    <row r="904" spans="2:68" s="1122" customFormat="1" ht="13.2" customHeight="1">
      <c r="B904" s="323" t="s">
        <v>5814</v>
      </c>
      <c r="G904" s="1122">
        <f t="shared" ref="G904:M904" ca="1" si="1846">G899+G902</f>
        <v>2139094.8517289525</v>
      </c>
      <c r="H904" s="1122">
        <f t="shared" ca="1" si="1846"/>
        <v>499248.4779919259</v>
      </c>
      <c r="I904" s="1122">
        <f t="shared" ca="1" si="1846"/>
        <v>3094527.546872627</v>
      </c>
      <c r="J904" s="1122">
        <f t="shared" ca="1" si="1846"/>
        <v>941094.18405262451</v>
      </c>
      <c r="K904" s="1122">
        <f t="shared" ca="1" si="1846"/>
        <v>3544354.4848068492</v>
      </c>
      <c r="L904" s="1122">
        <f t="shared" ca="1" si="1846"/>
        <v>6397361.728205502</v>
      </c>
      <c r="M904" s="1122">
        <f t="shared" ca="1" si="1846"/>
        <v>2379204.7006356423</v>
      </c>
      <c r="N904" s="1127">
        <f ca="1">SUM(G904:M904)</f>
        <v>18994885.974294126</v>
      </c>
      <c r="O904" s="39">
        <f>ROW()</f>
        <v>904</v>
      </c>
      <c r="P904" s="1122">
        <f t="shared" ref="P904:V904" ca="1" si="1847">P899+P902</f>
        <v>596416.73015256028</v>
      </c>
      <c r="Q904" s="1122">
        <f t="shared" ca="1" si="1847"/>
        <v>247497.63155290636</v>
      </c>
      <c r="R904" s="1122">
        <f t="shared" ca="1" si="1847"/>
        <v>1581584.4109819233</v>
      </c>
      <c r="S904" s="1122">
        <f t="shared" ca="1" si="1847"/>
        <v>414330.96179913974</v>
      </c>
      <c r="T904" s="1122">
        <f t="shared" ca="1" si="1847"/>
        <v>1395563.0452710032</v>
      </c>
      <c r="U904" s="1122">
        <f t="shared" ca="1" si="1847"/>
        <v>2102667.7577477591</v>
      </c>
      <c r="V904" s="1122">
        <f t="shared" ca="1" si="1847"/>
        <v>733008.10691634053</v>
      </c>
      <c r="W904" s="1131">
        <f ca="1">SUM(P904:V904)</f>
        <v>7071068.6444216333</v>
      </c>
      <c r="Y904" s="1122">
        <f t="shared" ref="Y904:AE904" ca="1" si="1848">Y899+Y902</f>
        <v>604796.07394976739</v>
      </c>
      <c r="Z904" s="1122">
        <f t="shared" ca="1" si="1848"/>
        <v>79477.592133679194</v>
      </c>
      <c r="AA904" s="1122">
        <f t="shared" ca="1" si="1848"/>
        <v>566832.32660368679</v>
      </c>
      <c r="AB904" s="1122">
        <f t="shared" ca="1" si="1848"/>
        <v>241662.17845362544</v>
      </c>
      <c r="AC904" s="1122">
        <f t="shared" ca="1" si="1848"/>
        <v>998508.13509172713</v>
      </c>
      <c r="AD904" s="1122">
        <f t="shared" ca="1" si="1848"/>
        <v>2067751.6458254871</v>
      </c>
      <c r="AE904" s="1122">
        <f t="shared" ca="1" si="1848"/>
        <v>711472.546473586</v>
      </c>
      <c r="AF904" s="1131">
        <f ca="1">SUM(Y904:AE904)</f>
        <v>5270500.4985315586</v>
      </c>
      <c r="AH904" s="1122">
        <f t="shared" ref="AH904:AN904" ca="1" si="1849">AH899+AH902</f>
        <v>718580.19974726299</v>
      </c>
      <c r="AI904" s="1122">
        <f t="shared" ca="1" si="1849"/>
        <v>106816.02378267588</v>
      </c>
      <c r="AJ904" s="1122">
        <f t="shared" ca="1" si="1849"/>
        <v>538508.36848831142</v>
      </c>
      <c r="AK904" s="1122">
        <f t="shared" ca="1" si="1849"/>
        <v>164101.65212622378</v>
      </c>
      <c r="AL904" s="1122">
        <f t="shared" ca="1" si="1849"/>
        <v>733969.01853176672</v>
      </c>
      <c r="AM904" s="1122">
        <f t="shared" ca="1" si="1849"/>
        <v>1485615.7917224804</v>
      </c>
      <c r="AN904" s="1122">
        <f t="shared" ca="1" si="1849"/>
        <v>669607.33344928222</v>
      </c>
      <c r="AO904" s="1131">
        <f ca="1">SUM(AH904:AN904)</f>
        <v>4417198.3878480028</v>
      </c>
      <c r="AQ904" s="1122">
        <f t="shared" ref="AQ904:AW904" ca="1" si="1850">AQ899+AQ902</f>
        <v>71660.286733927671</v>
      </c>
      <c r="AR904" s="1122">
        <f t="shared" ca="1" si="1850"/>
        <v>30634.693867154587</v>
      </c>
      <c r="AS904" s="1122">
        <f t="shared" ca="1" si="1850"/>
        <v>191403.63211052748</v>
      </c>
      <c r="AT904" s="1122">
        <f t="shared" ca="1" si="1850"/>
        <v>55710.792540871938</v>
      </c>
      <c r="AU904" s="1122">
        <f t="shared" ca="1" si="1850"/>
        <v>172380.19603009132</v>
      </c>
      <c r="AV904" s="1122">
        <f t="shared" ca="1" si="1850"/>
        <v>293638.15781676577</v>
      </c>
      <c r="AW904" s="1122">
        <f t="shared" ca="1" si="1850"/>
        <v>98677.49938720408</v>
      </c>
      <c r="AX904" s="1131">
        <f ca="1">SUM(AQ904:AW904)</f>
        <v>914105.25848654285</v>
      </c>
      <c r="AZ904" s="1122">
        <f t="shared" ref="AZ904:BF904" ca="1" si="1851">AZ899+AZ902</f>
        <v>103248.86962728525</v>
      </c>
      <c r="BA904" s="1122">
        <f t="shared" ca="1" si="1851"/>
        <v>24151.28900727455</v>
      </c>
      <c r="BB904" s="1122">
        <f t="shared" ca="1" si="1851"/>
        <v>150649.26861125696</v>
      </c>
      <c r="BC904" s="1122">
        <f t="shared" ca="1" si="1851"/>
        <v>45463.073718555344</v>
      </c>
      <c r="BD904" s="1122">
        <f t="shared" ca="1" si="1851"/>
        <v>170179.66426080221</v>
      </c>
      <c r="BE904" s="1122">
        <f t="shared" ca="1" si="1851"/>
        <v>312036.67915750016</v>
      </c>
      <c r="BF904" s="1122">
        <f t="shared" ca="1" si="1851"/>
        <v>116012.92105583253</v>
      </c>
      <c r="BG904" s="1131">
        <f ca="1">SUM(AZ904:BF904)</f>
        <v>921741.76543850696</v>
      </c>
      <c r="BI904" s="1122">
        <f t="shared" ref="BI904:BO904" ca="1" si="1852">BI899+BI902</f>
        <v>44392.691518148669</v>
      </c>
      <c r="BJ904" s="1122">
        <f t="shared" ca="1" si="1852"/>
        <v>10671.247648235349</v>
      </c>
      <c r="BK904" s="1122">
        <f t="shared" ca="1" si="1852"/>
        <v>65549.540076920995</v>
      </c>
      <c r="BL904" s="1122">
        <f t="shared" ca="1" si="1852"/>
        <v>19825.525414208452</v>
      </c>
      <c r="BM904" s="1122">
        <f t="shared" ca="1" si="1852"/>
        <v>73754.425621458664</v>
      </c>
      <c r="BN904" s="1122">
        <f t="shared" ca="1" si="1852"/>
        <v>135651.69593550931</v>
      </c>
      <c r="BO904" s="1122">
        <f t="shared" ca="1" si="1852"/>
        <v>50426.293353397123</v>
      </c>
      <c r="BP904" s="1131">
        <f ca="1">SUM(BI904:BO904)</f>
        <v>400271.41956787853</v>
      </c>
    </row>
    <row r="905" spans="2:68" ht="13.2" customHeight="1">
      <c r="B905" s="2153" t="s">
        <v>3590</v>
      </c>
      <c r="O905" s="39">
        <f>ROW()</f>
        <v>905</v>
      </c>
    </row>
    <row r="906" spans="2:68" s="86" customFormat="1" ht="13.2" customHeight="1">
      <c r="B906" s="1066" t="s">
        <v>276</v>
      </c>
      <c r="G906" s="4285" t="s">
        <v>2351</v>
      </c>
      <c r="H906" s="3970"/>
      <c r="I906" s="3970"/>
      <c r="J906" s="3970"/>
      <c r="K906" s="3970"/>
      <c r="L906" s="3971"/>
      <c r="M906" s="1019"/>
      <c r="N906" s="1067"/>
      <c r="O906" s="39">
        <f>ROW()</f>
        <v>906</v>
      </c>
      <c r="P906" s="1019">
        <f t="shared" ref="P906:V906" ca="1" si="1853">P$425*P$444*P$503*P$553*P$601*P$649*P$697*P$745*P$793*P$841</f>
        <v>0.93829422142518226</v>
      </c>
      <c r="Q906" s="1019">
        <f t="shared" ca="1" si="1853"/>
        <v>0.93447073423909011</v>
      </c>
      <c r="R906" s="1019">
        <f t="shared" ca="1" si="1853"/>
        <v>0.96881869857743896</v>
      </c>
      <c r="S906" s="1019">
        <f t="shared" ca="1" si="1853"/>
        <v>0.96757296392190628</v>
      </c>
      <c r="T906" s="1019">
        <f t="shared" ca="1" si="1853"/>
        <v>0.97269805482642679</v>
      </c>
      <c r="U906" s="1019">
        <f t="shared" ca="1" si="1853"/>
        <v>0.97319074520679527</v>
      </c>
      <c r="V906" s="1019">
        <f t="shared" ca="1" si="1853"/>
        <v>0.96463882412763147</v>
      </c>
      <c r="Y906" s="1019">
        <f t="shared" ref="Y906:AE906" ca="1" si="1854">Y$425*Y$444*Y$503*Y$553*Y$601*Y$649*Y$697*Y$745*Y$793*Y$841</f>
        <v>0.93830344401166299</v>
      </c>
      <c r="Z906" s="1019">
        <f t="shared" ca="1" si="1854"/>
        <v>0.93466917095059476</v>
      </c>
      <c r="AA906" s="1019">
        <f t="shared" ca="1" si="1854"/>
        <v>0.9687229752415033</v>
      </c>
      <c r="AB906" s="1019">
        <f t="shared" ca="1" si="1854"/>
        <v>0.96706585176172943</v>
      </c>
      <c r="AC906" s="1019">
        <f t="shared" ca="1" si="1854"/>
        <v>0.97215077014990448</v>
      </c>
      <c r="AD906" s="1019">
        <f t="shared" ca="1" si="1854"/>
        <v>0.97344292797794296</v>
      </c>
      <c r="AE906" s="1019">
        <f t="shared" ca="1" si="1854"/>
        <v>0.96399812054740663</v>
      </c>
      <c r="AH906" s="1019">
        <f t="shared" ref="AH906:AN906" ca="1" si="1855">AH$425*AH$444*AH$503*AH$553*AH$601*AH$649*AH$697*AH$745*AH$793*AH$841</f>
        <v>0.93830344401166299</v>
      </c>
      <c r="AI906" s="1019">
        <f t="shared" ca="1" si="1855"/>
        <v>0.93466917095059476</v>
      </c>
      <c r="AJ906" s="1019">
        <f t="shared" ca="1" si="1855"/>
        <v>0.9687229752415033</v>
      </c>
      <c r="AK906" s="1019">
        <f t="shared" ca="1" si="1855"/>
        <v>0.96706585176172943</v>
      </c>
      <c r="AL906" s="1019">
        <f t="shared" ca="1" si="1855"/>
        <v>0.97215077014990448</v>
      </c>
      <c r="AM906" s="1019">
        <f t="shared" ca="1" si="1855"/>
        <v>0.97344292797794296</v>
      </c>
      <c r="AN906" s="1019">
        <f t="shared" ca="1" si="1855"/>
        <v>0.96399812054740663</v>
      </c>
      <c r="AQ906" s="1019">
        <f t="shared" ref="AQ906:AW906" ca="1" si="1856">AQ$425*AQ$444*AQ$503*AQ$553*AQ$601*AQ$649*AQ$697*AQ$745*AQ$793*AQ$841</f>
        <v>0.93831312135076872</v>
      </c>
      <c r="AR906" s="1019">
        <f t="shared" ca="1" si="1856"/>
        <v>0.92074950999980154</v>
      </c>
      <c r="AS906" s="1019">
        <f t="shared" ca="1" si="1856"/>
        <v>0.95582312901525757</v>
      </c>
      <c r="AT906" s="1019">
        <f t="shared" ca="1" si="1856"/>
        <v>0.95523289115817189</v>
      </c>
      <c r="AU906" s="1019">
        <f t="shared" ca="1" si="1856"/>
        <v>0.96318961649439405</v>
      </c>
      <c r="AV906" s="1019">
        <f t="shared" ca="1" si="1856"/>
        <v>0.96139634230797888</v>
      </c>
      <c r="AW906" s="1019">
        <f t="shared" ca="1" si="1856"/>
        <v>0.95303402504515899</v>
      </c>
      <c r="AZ906" s="1019">
        <f t="shared" ref="AZ906:BF906" ca="1" si="1857">AZ$425*AZ$444*AZ$503*AZ$553*AZ$601*AZ$649*AZ$697*AZ$745*AZ$793*AZ$841</f>
        <v>0.93836029704948043</v>
      </c>
      <c r="BA906" s="1019">
        <f t="shared" ca="1" si="1857"/>
        <v>0.88957468376589943</v>
      </c>
      <c r="BB906" s="1019">
        <f t="shared" ca="1" si="1857"/>
        <v>0.92614350461803496</v>
      </c>
      <c r="BC906" s="1019">
        <f t="shared" ca="1" si="1857"/>
        <v>0.92688597306913434</v>
      </c>
      <c r="BD906" s="1019">
        <f t="shared" ca="1" si="1857"/>
        <v>0.94118657140993256</v>
      </c>
      <c r="BE906" s="1019">
        <f t="shared" ca="1" si="1857"/>
        <v>0.93450966158342363</v>
      </c>
      <c r="BF906" s="1019">
        <f t="shared" ca="1" si="1857"/>
        <v>0.92629101219844145</v>
      </c>
      <c r="BI906" s="1019">
        <f t="shared" ref="BI906:BO906" ca="1" si="1858">BI$425*BI$444*BI$503*BI$553*BI$601*BI$649*BI$697*BI$745*BI$793*BI$841</f>
        <v>0.93834608346708448</v>
      </c>
      <c r="BJ906" s="1019">
        <f t="shared" ca="1" si="1858"/>
        <v>0.90064012321586773</v>
      </c>
      <c r="BK906" s="1019">
        <f t="shared" ca="1" si="1858"/>
        <v>0.93660961950326149</v>
      </c>
      <c r="BL906" s="1019">
        <f t="shared" ca="1" si="1858"/>
        <v>0.93677166172192106</v>
      </c>
      <c r="BM906" s="1019">
        <f t="shared" ca="1" si="1858"/>
        <v>0.94883391083046864</v>
      </c>
      <c r="BN906" s="1019">
        <f t="shared" ca="1" si="1858"/>
        <v>0.9440945061529411</v>
      </c>
      <c r="BO906" s="1019">
        <f t="shared" ca="1" si="1858"/>
        <v>0.93557721047677811</v>
      </c>
    </row>
    <row r="907" spans="2:68" s="86" customFormat="1" ht="13.2" customHeight="1">
      <c r="B907" s="319" t="str">
        <f>CONCATENATE("Product of nine preceding rebound effects for non-cordon travel and the 'initial' ratio of post-pricing cordon travel to pre-pricing cordon travel in Row ",O425, ".")</f>
        <v>Product of nine preceding rebound effects for non-cordon travel and the 'initial' ratio of post-pricing cordon travel to pre-pricing cordon travel in Row 425.</v>
      </c>
      <c r="G907" s="1019"/>
      <c r="H907" s="1019"/>
      <c r="I907" s="1019"/>
      <c r="J907" s="1019"/>
      <c r="K907" s="1019"/>
      <c r="L907" s="1019"/>
      <c r="M907" s="1019"/>
      <c r="N907" s="1067"/>
      <c r="O907" s="39">
        <f>ROW()</f>
        <v>907</v>
      </c>
      <c r="P907" s="1019"/>
      <c r="Q907" s="1019"/>
      <c r="R907" s="1019"/>
      <c r="S907" s="1019"/>
      <c r="T907" s="1019"/>
      <c r="U907" s="1019"/>
      <c r="V907" s="1019"/>
      <c r="Y907" s="1019"/>
      <c r="Z907" s="1019"/>
      <c r="AA907" s="1019"/>
      <c r="AB907" s="1019"/>
      <c r="AC907" s="1019"/>
      <c r="AD907" s="1019"/>
      <c r="AE907" s="1019"/>
      <c r="AH907" s="1019"/>
      <c r="AI907" s="1019"/>
      <c r="AJ907" s="1019"/>
      <c r="AK907" s="1019"/>
      <c r="AL907" s="1019"/>
      <c r="AM907" s="1019"/>
      <c r="AN907" s="1019"/>
      <c r="AQ907" s="1019"/>
      <c r="AR907" s="1019"/>
      <c r="AS907" s="1019"/>
      <c r="AT907" s="1019"/>
      <c r="AU907" s="1019"/>
      <c r="AV907" s="1019"/>
      <c r="AW907" s="1019"/>
      <c r="AZ907" s="1019"/>
      <c r="BA907" s="1019"/>
      <c r="BB907" s="1019"/>
      <c r="BC907" s="1019"/>
      <c r="BD907" s="1019"/>
      <c r="BE907" s="1019"/>
      <c r="BF907" s="1019"/>
      <c r="BI907" s="1019"/>
      <c r="BJ907" s="1019"/>
      <c r="BK907" s="1019"/>
      <c r="BL907" s="1019"/>
      <c r="BM907" s="1019"/>
      <c r="BN907" s="1019"/>
      <c r="BO907" s="1019"/>
    </row>
    <row r="908" spans="2:68" s="1134" customFormat="1" ht="13.2" customHeight="1">
      <c r="B908" s="1196" t="s">
        <v>277</v>
      </c>
      <c r="G908" s="1134">
        <f ca="1">P908+Y908+AH908+AQ908+AZ908+BI908</f>
        <v>6995106.812411258</v>
      </c>
      <c r="H908" s="1134">
        <f t="shared" ref="H908:M908" ca="1" si="1859">Q908+Z908+AI908+AR908+BA908+BJ908</f>
        <v>1832513.351966942</v>
      </c>
      <c r="I908" s="1134">
        <f t="shared" ca="1" si="1859"/>
        <v>10706015.864426272</v>
      </c>
      <c r="J908" s="1134">
        <f t="shared" ca="1" si="1859"/>
        <v>3260353.1430151225</v>
      </c>
      <c r="K908" s="1134">
        <f t="shared" ca="1" si="1859"/>
        <v>11936285.468673157</v>
      </c>
      <c r="L908" s="1134">
        <f t="shared" ca="1" si="1859"/>
        <v>22554519.009683765</v>
      </c>
      <c r="M908" s="1134">
        <f t="shared" ca="1" si="1859"/>
        <v>8480649.6140309405</v>
      </c>
      <c r="N908" s="1131">
        <f ca="1">SUM(G908:M908)</f>
        <v>65765443.26420746</v>
      </c>
      <c r="O908" s="39">
        <f>ROW()</f>
        <v>908</v>
      </c>
      <c r="P908" s="1134">
        <f t="shared" ref="P908:V908" ca="1" si="1860">P906*P167</f>
        <v>1934817.4156652491</v>
      </c>
      <c r="Q908" s="1134">
        <f t="shared" ca="1" si="1860"/>
        <v>911413.68076500925</v>
      </c>
      <c r="R908" s="1134">
        <f t="shared" ca="1" si="1860"/>
        <v>5703940.9242777182</v>
      </c>
      <c r="S908" s="1134">
        <f t="shared" ca="1" si="1860"/>
        <v>1496807.1307631333</v>
      </c>
      <c r="T908" s="1134">
        <f t="shared" ca="1" si="1860"/>
        <v>4844583.7926139683</v>
      </c>
      <c r="U908" s="1134">
        <f t="shared" ca="1" si="1860"/>
        <v>7631497.9763930533</v>
      </c>
      <c r="V908" s="1134">
        <f t="shared" ca="1" si="1860"/>
        <v>2636358.0839112443</v>
      </c>
      <c r="W908" s="1191">
        <f ca="1">SUM(P908:V908)</f>
        <v>25159419.004389375</v>
      </c>
      <c r="Y908" s="1134">
        <f t="shared" ref="Y908:AE908" ca="1" si="1861">Y906*Y167</f>
        <v>1931577.6185965659</v>
      </c>
      <c r="Z908" s="1134">
        <f t="shared" ca="1" si="1861"/>
        <v>278638.09421979001</v>
      </c>
      <c r="AA908" s="1134">
        <f t="shared" ca="1" si="1861"/>
        <v>1907699.6816385142</v>
      </c>
      <c r="AB908" s="1134">
        <f t="shared" ca="1" si="1861"/>
        <v>816281.72695024195</v>
      </c>
      <c r="AC908" s="1134">
        <f t="shared" ca="1" si="1861"/>
        <v>3234432.2505489909</v>
      </c>
      <c r="AD908" s="1134">
        <f t="shared" ca="1" si="1861"/>
        <v>7070094.1687461287</v>
      </c>
      <c r="AE908" s="1134">
        <f t="shared" ca="1" si="1861"/>
        <v>2454142.4754836769</v>
      </c>
      <c r="AF908" s="1191">
        <f ca="1">SUM(Y908:AE908)</f>
        <v>17692866.016183909</v>
      </c>
      <c r="AH908" s="1134">
        <f t="shared" ref="AH908:AN908" ca="1" si="1862">AH906*AH167</f>
        <v>2663243.9432815243</v>
      </c>
      <c r="AI908" s="1134">
        <f t="shared" ca="1" si="1862"/>
        <v>512115.96881058783</v>
      </c>
      <c r="AJ908" s="1134">
        <f t="shared" ca="1" si="1862"/>
        <v>2312483.0842576763</v>
      </c>
      <c r="AK908" s="1134">
        <f t="shared" ca="1" si="1862"/>
        <v>710363.59660045791</v>
      </c>
      <c r="AL908" s="1134">
        <f t="shared" ca="1" si="1862"/>
        <v>3011605.7734543951</v>
      </c>
      <c r="AM908" s="1134">
        <f t="shared" ca="1" si="1862"/>
        <v>6317965.4700172516</v>
      </c>
      <c r="AN908" s="1134">
        <f t="shared" ca="1" si="1862"/>
        <v>2830014.5591569641</v>
      </c>
      <c r="AO908" s="1191">
        <f ca="1">SUM(AH908:AN908)</f>
        <v>18357792.395578858</v>
      </c>
      <c r="AQ908" s="1134">
        <f t="shared" ref="AQ908:AW908" ca="1" si="1863">AQ906*AQ167</f>
        <v>70140.22689505764</v>
      </c>
      <c r="AR908" s="1134">
        <f t="shared" ca="1" si="1863"/>
        <v>27731.806130896228</v>
      </c>
      <c r="AS908" s="1134">
        <f t="shared" ca="1" si="1863"/>
        <v>166064.72255715434</v>
      </c>
      <c r="AT908" s="1134">
        <f t="shared" ca="1" si="1863"/>
        <v>49082.14936195362</v>
      </c>
      <c r="AU908" s="1134">
        <f t="shared" ca="1" si="1863"/>
        <v>159605.85374219427</v>
      </c>
      <c r="AV908" s="1134">
        <f t="shared" ca="1" si="1863"/>
        <v>258472.35760166642</v>
      </c>
      <c r="AW908" s="1134">
        <f t="shared" ca="1" si="1863"/>
        <v>89061.917292784099</v>
      </c>
      <c r="AX908" s="1191">
        <f ca="1">SUM(AQ908:AW908)</f>
        <v>820159.03358170658</v>
      </c>
      <c r="AZ908" s="1134">
        <f t="shared" ref="AZ908:BF908" ca="1" si="1864">AZ906*AZ167</f>
        <v>279364.698780348</v>
      </c>
      <c r="BA908" s="1134">
        <f t="shared" ca="1" si="1864"/>
        <v>72249.767170558509</v>
      </c>
      <c r="BB908" s="1134">
        <f t="shared" ca="1" si="1864"/>
        <v>433744.74262851721</v>
      </c>
      <c r="BC908" s="1134">
        <f t="shared" ca="1" si="1864"/>
        <v>132310.49895751293</v>
      </c>
      <c r="BD908" s="1134">
        <f t="shared" ca="1" si="1864"/>
        <v>483659.00876591518</v>
      </c>
      <c r="BE908" s="1134">
        <f t="shared" ca="1" si="1864"/>
        <v>899341.99742226407</v>
      </c>
      <c r="BF908" s="1134">
        <f t="shared" ca="1" si="1864"/>
        <v>331913.56507842935</v>
      </c>
      <c r="BG908" s="1191">
        <f ca="1">SUM(AZ908:BF908)</f>
        <v>2632584.2788035451</v>
      </c>
      <c r="BI908" s="1134">
        <f t="shared" ref="BI908:BO908" ca="1" si="1865">BI906*BI167</f>
        <v>115962.90919251372</v>
      </c>
      <c r="BJ908" s="1134">
        <f t="shared" ca="1" si="1865"/>
        <v>30364.034870099924</v>
      </c>
      <c r="BK908" s="1134">
        <f t="shared" ca="1" si="1865"/>
        <v>182082.70906669344</v>
      </c>
      <c r="BL908" s="1134">
        <f t="shared" ca="1" si="1865"/>
        <v>55508.040381822786</v>
      </c>
      <c r="BM908" s="1134">
        <f t="shared" ca="1" si="1865"/>
        <v>202398.78954769243</v>
      </c>
      <c r="BN908" s="1134">
        <f t="shared" ca="1" si="1865"/>
        <v>377147.0395034019</v>
      </c>
      <c r="BO908" s="1134">
        <f t="shared" ca="1" si="1865"/>
        <v>139159.01310784271</v>
      </c>
      <c r="BP908" s="1191">
        <f ca="1">SUM(BI908:BO908)</f>
        <v>1102622.535670067</v>
      </c>
    </row>
    <row r="909" spans="2:68" ht="13.2" customHeight="1">
      <c r="B909" s="319" t="str">
        <f>CONCATENATE("Each entry is product of foregoing factor, in Row ",O906, ", and the pre-pricing volume of non-cordon VMT in Row ",O167, ".")</f>
        <v>Each entry is product of foregoing factor, in Row 906, and the pre-pricing volume of non-cordon VMT in Row 167.</v>
      </c>
      <c r="O909" s="39">
        <f>ROW()</f>
        <v>909</v>
      </c>
    </row>
    <row r="910" spans="2:68" ht="13.2" customHeight="1">
      <c r="B910" s="269" t="s">
        <v>1558</v>
      </c>
      <c r="G910" s="509"/>
      <c r="H910" s="509"/>
      <c r="I910" s="509"/>
      <c r="J910" s="509"/>
      <c r="K910" s="509"/>
      <c r="L910" s="509"/>
      <c r="M910" s="509"/>
      <c r="N910" s="509"/>
      <c r="O910" s="39">
        <f>ROW()</f>
        <v>910</v>
      </c>
      <c r="W910" s="138"/>
      <c r="AF910" s="138"/>
      <c r="AO910" s="138"/>
      <c r="AX910" s="138"/>
      <c r="BG910" s="138"/>
      <c r="BP910" s="138"/>
    </row>
    <row r="911" spans="2:68" s="1122" customFormat="1" ht="13.2" customHeight="1">
      <c r="B911" s="1194" t="s">
        <v>1807</v>
      </c>
      <c r="G911" s="1134">
        <f t="shared" ref="G911:M911" ca="1" si="1866">P911+Y911+AH911+AQ911+AZ911+BI911</f>
        <v>4856011.9606823074</v>
      </c>
      <c r="H911" s="1134">
        <f t="shared" ca="1" si="1866"/>
        <v>1333264.8739750159</v>
      </c>
      <c r="I911" s="1134">
        <f t="shared" ca="1" si="1866"/>
        <v>7611488.3175536478</v>
      </c>
      <c r="J911" s="1134">
        <f t="shared" ca="1" si="1866"/>
        <v>2319258.9589624978</v>
      </c>
      <c r="K911" s="1134">
        <f t="shared" ca="1" si="1866"/>
        <v>8391930.9838663079</v>
      </c>
      <c r="L911" s="1134">
        <f t="shared" ca="1" si="1866"/>
        <v>16157157.281478263</v>
      </c>
      <c r="M911" s="1134">
        <f t="shared" ca="1" si="1866"/>
        <v>6101444.9133952996</v>
      </c>
      <c r="N911" s="1131">
        <f ca="1">SUM(G911:M911)</f>
        <v>46770557.289913341</v>
      </c>
      <c r="O911" s="39">
        <f>ROW()</f>
        <v>911</v>
      </c>
      <c r="P911" s="1122">
        <f t="shared" ref="P911:V911" ca="1" si="1867">P908-P904</f>
        <v>1338400.6855126889</v>
      </c>
      <c r="Q911" s="1122">
        <f t="shared" ca="1" si="1867"/>
        <v>663916.04921210289</v>
      </c>
      <c r="R911" s="1122">
        <f t="shared" ca="1" si="1867"/>
        <v>4122356.5132957948</v>
      </c>
      <c r="S911" s="1122">
        <f t="shared" ca="1" si="1867"/>
        <v>1082476.1689639934</v>
      </c>
      <c r="T911" s="1122">
        <f t="shared" ca="1" si="1867"/>
        <v>3449020.7473429651</v>
      </c>
      <c r="U911" s="1122">
        <f t="shared" ca="1" si="1867"/>
        <v>5528830.2186452942</v>
      </c>
      <c r="V911" s="1122">
        <f t="shared" ca="1" si="1867"/>
        <v>1903349.9769949038</v>
      </c>
      <c r="W911" s="1131">
        <f ca="1">SUM(P911:V911)</f>
        <v>18088350.359967746</v>
      </c>
      <c r="Y911" s="1122">
        <f t="shared" ref="Y911:AE911" ca="1" si="1868">Y908-Y904</f>
        <v>1326781.5446467986</v>
      </c>
      <c r="Z911" s="1122">
        <f t="shared" ca="1" si="1868"/>
        <v>199160.50208611082</v>
      </c>
      <c r="AA911" s="1122">
        <f t="shared" ca="1" si="1868"/>
        <v>1340867.3550348273</v>
      </c>
      <c r="AB911" s="1122">
        <f t="shared" ca="1" si="1868"/>
        <v>574619.54849661654</v>
      </c>
      <c r="AC911" s="1122">
        <f t="shared" ca="1" si="1868"/>
        <v>2235924.1154572638</v>
      </c>
      <c r="AD911" s="1122">
        <f t="shared" ca="1" si="1868"/>
        <v>5002342.522920642</v>
      </c>
      <c r="AE911" s="1122">
        <f t="shared" ca="1" si="1868"/>
        <v>1742669.9290100909</v>
      </c>
      <c r="AF911" s="1131">
        <f ca="1">SUM(Y911:AE911)</f>
        <v>12422365.51765235</v>
      </c>
      <c r="AH911" s="1122">
        <f t="shared" ref="AH911:AN911" ca="1" si="1869">AH908-AH904</f>
        <v>1944663.7435342614</v>
      </c>
      <c r="AI911" s="1122">
        <f t="shared" ca="1" si="1869"/>
        <v>405299.94502791192</v>
      </c>
      <c r="AJ911" s="1122">
        <f t="shared" ca="1" si="1869"/>
        <v>1773974.715769365</v>
      </c>
      <c r="AK911" s="1122">
        <f t="shared" ca="1" si="1869"/>
        <v>546261.94447423413</v>
      </c>
      <c r="AL911" s="1122">
        <f t="shared" ca="1" si="1869"/>
        <v>2277636.7549226284</v>
      </c>
      <c r="AM911" s="1122">
        <f t="shared" ca="1" si="1869"/>
        <v>4832349.6782947714</v>
      </c>
      <c r="AN911" s="1122">
        <f t="shared" ca="1" si="1869"/>
        <v>2160407.2257076818</v>
      </c>
      <c r="AO911" s="1131">
        <f ca="1">SUM(AH911:AN911)</f>
        <v>13940594.007730855</v>
      </c>
      <c r="AQ911" s="1122">
        <f t="shared" ref="AQ911:AW911" ca="1" si="1870">AQ908-AQ904</f>
        <v>-1520.0598388700309</v>
      </c>
      <c r="AR911" s="1122">
        <f t="shared" ca="1" si="1870"/>
        <v>-2902.8877362583589</v>
      </c>
      <c r="AS911" s="1122">
        <f t="shared" ca="1" si="1870"/>
        <v>-25338.909553373145</v>
      </c>
      <c r="AT911" s="1122">
        <f t="shared" ca="1" si="1870"/>
        <v>-6628.6431789183189</v>
      </c>
      <c r="AU911" s="1122">
        <f t="shared" ca="1" si="1870"/>
        <v>-12774.342287897045</v>
      </c>
      <c r="AV911" s="1122">
        <f t="shared" ca="1" si="1870"/>
        <v>-35165.800215099356</v>
      </c>
      <c r="AW911" s="1122">
        <f t="shared" ca="1" si="1870"/>
        <v>-9615.5820944199804</v>
      </c>
      <c r="AX911" s="1131">
        <f ca="1">SUM(AQ911:AW911)</f>
        <v>-93946.224904836243</v>
      </c>
      <c r="AZ911" s="1122">
        <f t="shared" ref="AZ911:BF911" ca="1" si="1871">AZ908-AZ904</f>
        <v>176115.82915306275</v>
      </c>
      <c r="BA911" s="1122">
        <f t="shared" ca="1" si="1871"/>
        <v>48098.478163283959</v>
      </c>
      <c r="BB911" s="1122">
        <f t="shared" ca="1" si="1871"/>
        <v>283095.47401726025</v>
      </c>
      <c r="BC911" s="1122">
        <f t="shared" ca="1" si="1871"/>
        <v>86847.425238957585</v>
      </c>
      <c r="BD911" s="1122">
        <f t="shared" ca="1" si="1871"/>
        <v>313479.34450511297</v>
      </c>
      <c r="BE911" s="1122">
        <f t="shared" ca="1" si="1871"/>
        <v>587305.31826476392</v>
      </c>
      <c r="BF911" s="1122">
        <f t="shared" ca="1" si="1871"/>
        <v>215900.64402259683</v>
      </c>
      <c r="BG911" s="1131">
        <f ca="1">SUM(AZ911:BF911)</f>
        <v>1710842.5133650382</v>
      </c>
      <c r="BI911" s="1122">
        <f t="shared" ref="BI911:BO911" ca="1" si="1872">BI908-BI904</f>
        <v>71570.217674365049</v>
      </c>
      <c r="BJ911" s="1122">
        <f t="shared" ca="1" si="1872"/>
        <v>19692.787221864575</v>
      </c>
      <c r="BK911" s="1122">
        <f t="shared" ca="1" si="1872"/>
        <v>116533.16898977244</v>
      </c>
      <c r="BL911" s="1122">
        <f t="shared" ca="1" si="1872"/>
        <v>35682.514967614334</v>
      </c>
      <c r="BM911" s="1122">
        <f t="shared" ca="1" si="1872"/>
        <v>128644.36392623377</v>
      </c>
      <c r="BN911" s="1122">
        <f t="shared" ca="1" si="1872"/>
        <v>241495.34356789259</v>
      </c>
      <c r="BO911" s="1122">
        <f t="shared" ca="1" si="1872"/>
        <v>88732.719754445585</v>
      </c>
      <c r="BP911" s="1131">
        <f ca="1">SUM(BI911:BO911)</f>
        <v>702351.11610218836</v>
      </c>
    </row>
    <row r="912" spans="2:68" ht="13.2" customHeight="1">
      <c r="B912" s="319" t="str">
        <f>CONCATENATE("Row ",O908, " figure, less Row ",O904, " figure.")</f>
        <v>Row 908 figure, less Row 904 figure.</v>
      </c>
      <c r="O912" s="39">
        <f>ROW()</f>
        <v>912</v>
      </c>
    </row>
    <row r="913" spans="2:68" ht="13.2" customHeight="1">
      <c r="B913" s="323" t="s">
        <v>561</v>
      </c>
      <c r="G913" s="509">
        <f t="shared" ref="G913:M913" ca="1" si="1873">G908/G167</f>
        <v>0.93830396733599031</v>
      </c>
      <c r="H913" s="509">
        <f t="shared" ca="1" si="1873"/>
        <v>0.93191158122655304</v>
      </c>
      <c r="I913" s="509">
        <f t="shared" ca="1" si="1873"/>
        <v>0.96620844479713186</v>
      </c>
      <c r="J913" s="509">
        <f t="shared" ca="1" si="1873"/>
        <v>0.9648894156953941</v>
      </c>
      <c r="K913" s="509">
        <f t="shared" ca="1" si="1873"/>
        <v>0.97055342258447796</v>
      </c>
      <c r="L913" s="509">
        <f t="shared" ca="1" si="1873"/>
        <v>0.9711003317362028</v>
      </c>
      <c r="M913" s="509">
        <f t="shared" ca="1" si="1873"/>
        <v>0.96206819398783439</v>
      </c>
      <c r="N913" s="509"/>
      <c r="O913" s="39">
        <f>ROW()</f>
        <v>913</v>
      </c>
      <c r="W913" s="138"/>
      <c r="AF913" s="138"/>
      <c r="AO913" s="138"/>
      <c r="AX913" s="138"/>
      <c r="BG913" s="138"/>
      <c r="BP913" s="138"/>
    </row>
    <row r="914" spans="2:68" ht="13.2" customHeight="1">
      <c r="B914" s="319" t="str">
        <f>CONCATENATE("Row ",O908, " figure divided by Row ",O167, " figure.")</f>
        <v>Row 908 figure divided by Row 167 figure.</v>
      </c>
      <c r="F914" s="200"/>
      <c r="G914" s="509"/>
      <c r="H914" s="509"/>
      <c r="I914" s="509"/>
      <c r="N914" s="509"/>
      <c r="O914" s="39">
        <f>ROW()</f>
        <v>914</v>
      </c>
      <c r="W914" s="138"/>
      <c r="AF914" s="138"/>
      <c r="AO914" s="138"/>
      <c r="AX914" s="138"/>
      <c r="BG914" s="138"/>
      <c r="BP914" s="138"/>
    </row>
    <row r="915" spans="2:68" ht="13.2" customHeight="1">
      <c r="B915" s="308"/>
      <c r="G915" s="12"/>
      <c r="H915" s="12"/>
      <c r="I915" s="12"/>
      <c r="N915" s="12"/>
      <c r="O915" s="39">
        <f>ROW()</f>
        <v>915</v>
      </c>
      <c r="P915" s="12"/>
      <c r="Q915" s="12"/>
      <c r="R915" s="12"/>
      <c r="S915" s="12"/>
      <c r="T915" s="12"/>
      <c r="U915" s="12"/>
      <c r="V915" s="12"/>
      <c r="W915" s="12"/>
      <c r="Y915" s="12"/>
      <c r="Z915" s="12"/>
      <c r="AA915" s="12"/>
      <c r="AB915" s="12"/>
      <c r="AC915" s="12"/>
      <c r="AD915" s="12"/>
      <c r="AE915" s="12"/>
      <c r="AF915" s="12"/>
      <c r="AH915" s="12"/>
      <c r="AI915" s="12"/>
      <c r="AJ915" s="12"/>
      <c r="AK915" s="12"/>
      <c r="AL915" s="12"/>
      <c r="AM915" s="12"/>
      <c r="AN915" s="12"/>
      <c r="AO915" s="12"/>
      <c r="AQ915" s="12"/>
      <c r="AR915" s="12"/>
      <c r="AS915" s="12"/>
      <c r="AT915" s="12"/>
      <c r="AU915" s="12"/>
      <c r="AV915" s="12"/>
      <c r="AW915" s="12"/>
      <c r="AX915" s="12"/>
      <c r="AZ915" s="12"/>
      <c r="BA915" s="12"/>
      <c r="BB915" s="12"/>
      <c r="BC915" s="12"/>
      <c r="BD915" s="12"/>
      <c r="BE915" s="12"/>
      <c r="BF915" s="12"/>
      <c r="BG915" s="12"/>
      <c r="BI915" s="12"/>
      <c r="BJ915" s="12"/>
      <c r="BK915" s="12"/>
      <c r="BL915" s="12"/>
      <c r="BM915" s="12"/>
      <c r="BN915" s="12"/>
      <c r="BO915" s="12"/>
      <c r="BP915" s="12"/>
    </row>
    <row r="916" spans="2:68" ht="13.2" customHeight="1">
      <c r="C916" s="160"/>
      <c r="D916" s="160"/>
      <c r="E916" s="160"/>
      <c r="F916" s="160"/>
      <c r="G916" s="880" t="s">
        <v>1472</v>
      </c>
      <c r="H916" s="880" t="s">
        <v>1087</v>
      </c>
      <c r="I916" s="880" t="s">
        <v>2445</v>
      </c>
      <c r="J916" s="880" t="s">
        <v>1088</v>
      </c>
      <c r="K916" s="880" t="s">
        <v>1089</v>
      </c>
      <c r="L916" s="880" t="s">
        <v>1151</v>
      </c>
      <c r="M916" s="880" t="s">
        <v>1090</v>
      </c>
      <c r="N916" s="880" t="s">
        <v>2684</v>
      </c>
      <c r="O916" s="39">
        <f>ROW()</f>
        <v>916</v>
      </c>
      <c r="P916" s="309"/>
      <c r="Y916" s="309"/>
      <c r="AH916" s="309"/>
      <c r="AQ916" s="309"/>
      <c r="AZ916" s="309"/>
      <c r="BI916" s="309"/>
    </row>
    <row r="917" spans="2:68" ht="13.2" customHeight="1">
      <c r="B917" s="308"/>
      <c r="G917" s="298" t="s">
        <v>1091</v>
      </c>
      <c r="H917" s="298" t="s">
        <v>1092</v>
      </c>
      <c r="I917" s="298" t="s">
        <v>1093</v>
      </c>
      <c r="J917" s="298" t="s">
        <v>1094</v>
      </c>
      <c r="K917" s="298" t="s">
        <v>1095</v>
      </c>
      <c r="L917" s="298" t="s">
        <v>1096</v>
      </c>
      <c r="M917" s="298" t="s">
        <v>1097</v>
      </c>
      <c r="N917" s="298"/>
      <c r="O917" s="39">
        <f>ROW()</f>
        <v>917</v>
      </c>
      <c r="P917" s="309"/>
      <c r="Y917" s="309"/>
      <c r="AH917" s="309"/>
      <c r="AQ917" s="309"/>
      <c r="AZ917" s="309"/>
      <c r="BI917" s="309"/>
    </row>
    <row r="918" spans="2:68" ht="13.2" customHeight="1">
      <c r="B918" s="308" t="s">
        <v>1808</v>
      </c>
      <c r="O918" s="39">
        <f>ROW()</f>
        <v>918</v>
      </c>
      <c r="P918" s="309"/>
      <c r="Y918" s="309"/>
      <c r="AH918" s="309"/>
      <c r="AQ918" s="309"/>
      <c r="AZ918" s="309"/>
      <c r="BI918" s="309"/>
    </row>
    <row r="919" spans="2:68" ht="13.2" customHeight="1">
      <c r="B919" s="323" t="s">
        <v>2308</v>
      </c>
      <c r="G919" s="21">
        <f ca="1">G869</f>
        <v>21.210461440631573</v>
      </c>
      <c r="H919" s="21">
        <f t="shared" ref="H919:M919" ca="1" si="1874">H869</f>
        <v>20.949462201742392</v>
      </c>
      <c r="I919" s="21">
        <f t="shared" ca="1" si="1874"/>
        <v>10.964902053667959</v>
      </c>
      <c r="J919" s="21">
        <f t="shared" ca="1" si="1874"/>
        <v>11.462896896554321</v>
      </c>
      <c r="K919" s="21">
        <f t="shared" ca="1" si="1874"/>
        <v>13.393734239697176</v>
      </c>
      <c r="L919" s="21">
        <f t="shared" ca="1" si="1874"/>
        <v>9.890240850748194</v>
      </c>
      <c r="M919" s="21">
        <f t="shared" ca="1" si="1874"/>
        <v>13.572020112896869</v>
      </c>
      <c r="O919" s="39">
        <f>ROW()</f>
        <v>919</v>
      </c>
      <c r="P919" s="309"/>
      <c r="Y919" s="309"/>
      <c r="AH919" s="309"/>
      <c r="AQ919" s="309"/>
      <c r="AZ919" s="309"/>
      <c r="BI919" s="309"/>
    </row>
    <row r="920" spans="2:68" ht="13.2" customHeight="1">
      <c r="B920" s="325" t="s">
        <v>2810</v>
      </c>
      <c r="G920" s="117">
        <f t="shared" ref="G920:M920" ca="1" si="1875">G919/G184</f>
        <v>1.0066683450481091</v>
      </c>
      <c r="H920" s="117">
        <f t="shared" ca="1" si="1875"/>
        <v>1.0371638974133879</v>
      </c>
      <c r="I920" s="117">
        <f t="shared" ca="1" si="1875"/>
        <v>1.1938291084987209</v>
      </c>
      <c r="J920" s="117">
        <f t="shared" ca="1" si="1875"/>
        <v>1.170319119703034</v>
      </c>
      <c r="K920" s="117">
        <f t="shared" ca="1" si="1875"/>
        <v>1.1078070983729751</v>
      </c>
      <c r="L920" s="117">
        <f t="shared" ca="1" si="1875"/>
        <v>1.2089222959151846</v>
      </c>
      <c r="M920" s="117">
        <f t="shared" ca="1" si="1875"/>
        <v>1.1382833125068319</v>
      </c>
      <c r="O920" s="39">
        <f>ROW()</f>
        <v>920</v>
      </c>
      <c r="P920" s="309"/>
      <c r="Y920" s="309"/>
      <c r="AH920" s="309"/>
      <c r="AQ920" s="309"/>
      <c r="AZ920" s="309"/>
      <c r="BI920" s="309"/>
    </row>
    <row r="921" spans="2:68" ht="13.2" customHeight="1">
      <c r="B921" s="325" t="s">
        <v>531</v>
      </c>
      <c r="G921" s="39">
        <f t="shared" ref="G921:M921" ca="1" si="1876">G920-1</f>
        <v>6.6683450481090922E-3</v>
      </c>
      <c r="H921" s="39">
        <f t="shared" ca="1" si="1876"/>
        <v>3.7163897413387881E-2</v>
      </c>
      <c r="I921" s="39">
        <f t="shared" ca="1" si="1876"/>
        <v>0.19382910849872093</v>
      </c>
      <c r="J921" s="39">
        <f t="shared" ca="1" si="1876"/>
        <v>0.17031911970303404</v>
      </c>
      <c r="K921" s="39">
        <f t="shared" ca="1" si="1876"/>
        <v>0.10780709837297509</v>
      </c>
      <c r="L921" s="39">
        <f t="shared" ca="1" si="1876"/>
        <v>0.20892229591518463</v>
      </c>
      <c r="M921" s="39">
        <f t="shared" ca="1" si="1876"/>
        <v>0.1382833125068319</v>
      </c>
      <c r="O921" s="39">
        <f>ROW()</f>
        <v>921</v>
      </c>
      <c r="P921" s="309"/>
      <c r="Y921" s="309"/>
      <c r="AH921" s="309"/>
      <c r="AQ921" s="309"/>
      <c r="AZ921" s="309"/>
      <c r="BI921" s="309"/>
    </row>
    <row r="922" spans="2:68" ht="13.2" customHeight="1">
      <c r="B922" s="323" t="s">
        <v>1076</v>
      </c>
      <c r="G922" s="21">
        <f ca="1">G870</f>
        <v>54.993824726326125</v>
      </c>
      <c r="H922" s="21">
        <f t="shared" ref="H922:M922" ca="1" si="1877">H870</f>
        <v>47.593444206267705</v>
      </c>
      <c r="I922" s="21">
        <f t="shared" ca="1" si="1877"/>
        <v>18.264843405236153</v>
      </c>
      <c r="J922" s="21">
        <f t="shared" ca="1" si="1877"/>
        <v>21.652799807514995</v>
      </c>
      <c r="K922" s="21">
        <f t="shared" ca="1" si="1877"/>
        <v>25.225757191819934</v>
      </c>
      <c r="L922" s="21">
        <f t="shared" ca="1" si="1877"/>
        <v>16.45336060912414</v>
      </c>
      <c r="M922" s="21">
        <f t="shared" ca="1" si="1877"/>
        <v>27.507327896832347</v>
      </c>
      <c r="O922" s="39">
        <f>ROW()</f>
        <v>922</v>
      </c>
      <c r="P922" s="309"/>
      <c r="Y922" s="309"/>
      <c r="AH922" s="309"/>
      <c r="AQ922" s="309"/>
      <c r="AZ922" s="309"/>
      <c r="BI922" s="309"/>
    </row>
    <row r="923" spans="2:68" ht="13.2" customHeight="1">
      <c r="B923" s="325" t="s">
        <v>2810</v>
      </c>
      <c r="G923" s="117">
        <f t="shared" ref="G923:M923" ca="1" si="1878">G922/G200</f>
        <v>0.99988772229683864</v>
      </c>
      <c r="H923" s="117">
        <f t="shared" ca="1" si="1878"/>
        <v>1.0765163960410022</v>
      </c>
      <c r="I923" s="117">
        <f t="shared" ca="1" si="1878"/>
        <v>1.0698941303012668</v>
      </c>
      <c r="J923" s="117">
        <f t="shared" ca="1" si="1878"/>
        <v>1.0665683927327907</v>
      </c>
      <c r="K923" s="117">
        <f t="shared" ca="1" si="1878"/>
        <v>1.0507191868857406</v>
      </c>
      <c r="L923" s="117">
        <f t="shared" ca="1" si="1878"/>
        <v>1.0627849520818839</v>
      </c>
      <c r="M923" s="117">
        <f t="shared" ca="1" si="1878"/>
        <v>1.0628815710383528</v>
      </c>
      <c r="O923" s="39">
        <f>ROW()</f>
        <v>923</v>
      </c>
      <c r="P923" s="309"/>
      <c r="Y923" s="309"/>
      <c r="AH923" s="309"/>
      <c r="AQ923" s="309"/>
      <c r="AZ923" s="309"/>
      <c r="BI923" s="309"/>
    </row>
    <row r="924" spans="2:68" ht="13.2" customHeight="1">
      <c r="B924" s="325" t="s">
        <v>531</v>
      </c>
      <c r="G924" s="576">
        <f t="shared" ref="G924:M924" ca="1" si="1879">G923-1</f>
        <v>-1.1227770316135643E-4</v>
      </c>
      <c r="H924" s="576">
        <f t="shared" ca="1" si="1879"/>
        <v>7.6516396041002244E-2</v>
      </c>
      <c r="I924" s="576">
        <f t="shared" ca="1" si="1879"/>
        <v>6.9894130301266788E-2</v>
      </c>
      <c r="J924" s="576">
        <f t="shared" ca="1" si="1879"/>
        <v>6.6568392732790693E-2</v>
      </c>
      <c r="K924" s="576">
        <f t="shared" ca="1" si="1879"/>
        <v>5.0719186885740619E-2</v>
      </c>
      <c r="L924" s="576">
        <f t="shared" ca="1" si="1879"/>
        <v>6.2784952081883949E-2</v>
      </c>
      <c r="M924" s="576">
        <f t="shared" ca="1" si="1879"/>
        <v>6.288157103835279E-2</v>
      </c>
      <c r="O924" s="39">
        <f>ROW()</f>
        <v>924</v>
      </c>
      <c r="P924" s="309"/>
      <c r="Y924" s="309"/>
      <c r="AH924" s="309"/>
      <c r="AQ924" s="309"/>
      <c r="AZ924" s="309"/>
      <c r="BI924" s="309"/>
    </row>
    <row r="925" spans="2:68" ht="13.2" customHeight="1">
      <c r="B925" s="323" t="s">
        <v>2115</v>
      </c>
      <c r="G925" s="117">
        <f t="shared" ref="G925:M925" ca="1" si="1880">1/G919</f>
        <v>4.7146546188965119E-2</v>
      </c>
      <c r="H925" s="117">
        <f t="shared" ca="1" si="1880"/>
        <v>4.7733922253948305E-2</v>
      </c>
      <c r="I925" s="117">
        <f t="shared" ca="1" si="1880"/>
        <v>9.1200085062819305E-2</v>
      </c>
      <c r="J925" s="117">
        <f t="shared" ca="1" si="1880"/>
        <v>8.7237982599371891E-2</v>
      </c>
      <c r="K925" s="117">
        <f t="shared" ca="1" si="1880"/>
        <v>7.4661777074547159E-2</v>
      </c>
      <c r="L925" s="117">
        <f t="shared" ca="1" si="1880"/>
        <v>0.10110977225841272</v>
      </c>
      <c r="M925" s="117">
        <f t="shared" ca="1" si="1880"/>
        <v>7.3680998973008144E-2</v>
      </c>
      <c r="O925" s="39">
        <f>ROW()</f>
        <v>925</v>
      </c>
      <c r="P925" s="309"/>
      <c r="Y925" s="309"/>
      <c r="AH925" s="309"/>
      <c r="AQ925" s="309"/>
      <c r="AZ925" s="309"/>
      <c r="BI925" s="309"/>
    </row>
    <row r="926" spans="2:68" ht="13.2" customHeight="1">
      <c r="B926" s="323" t="s">
        <v>1623</v>
      </c>
      <c r="G926" s="117">
        <f t="shared" ref="G926:M926" ca="1" si="1881">1/G922</f>
        <v>1.818385982383381E-2</v>
      </c>
      <c r="H926" s="117">
        <f t="shared" ca="1" si="1881"/>
        <v>2.1011297179209135E-2</v>
      </c>
      <c r="I926" s="117">
        <f t="shared" ca="1" si="1881"/>
        <v>5.4749990340093507E-2</v>
      </c>
      <c r="J926" s="117">
        <f t="shared" ca="1" si="1881"/>
        <v>4.6183403942659275E-2</v>
      </c>
      <c r="K926" s="117">
        <f t="shared" ca="1" si="1881"/>
        <v>3.9642021145128374E-2</v>
      </c>
      <c r="L926" s="117">
        <f t="shared" ca="1" si="1881"/>
        <v>6.0777857105098296E-2</v>
      </c>
      <c r="M926" s="117">
        <f t="shared" ca="1" si="1881"/>
        <v>3.6353949164039182E-2</v>
      </c>
      <c r="O926" s="39">
        <f>ROW()</f>
        <v>926</v>
      </c>
      <c r="P926" s="309"/>
      <c r="Y926" s="309"/>
      <c r="AH926" s="309"/>
      <c r="AQ926" s="309"/>
      <c r="AZ926" s="309"/>
      <c r="BI926" s="309"/>
    </row>
    <row r="927" spans="2:68" ht="13.2" customHeight="1">
      <c r="B927" s="323"/>
      <c r="G927" s="21"/>
      <c r="H927" s="21"/>
      <c r="I927" s="21"/>
      <c r="J927" s="21"/>
      <c r="K927" s="21"/>
      <c r="L927" s="21"/>
      <c r="M927" s="21"/>
      <c r="O927" s="39">
        <f>ROW()</f>
        <v>927</v>
      </c>
      <c r="P927" s="309"/>
      <c r="Y927" s="309"/>
      <c r="AH927" s="309"/>
      <c r="AQ927" s="309"/>
      <c r="AZ927" s="309"/>
      <c r="BI927" s="309"/>
    </row>
    <row r="928" spans="2:68" ht="13.2" customHeight="1" thickBot="1">
      <c r="B928" s="24" t="s">
        <v>1448</v>
      </c>
      <c r="G928" s="21"/>
      <c r="H928" s="21"/>
      <c r="I928" s="21"/>
      <c r="J928" s="200"/>
      <c r="O928" s="39">
        <f>ROW()</f>
        <v>928</v>
      </c>
      <c r="P928" s="309"/>
      <c r="Y928" s="309"/>
      <c r="AH928" s="309"/>
      <c r="AQ928" s="309"/>
      <c r="AZ928" s="309"/>
      <c r="BI928" s="309"/>
    </row>
    <row r="929" spans="2:61" ht="13.2" customHeight="1">
      <c r="J929" s="4280" t="s">
        <v>286</v>
      </c>
      <c r="K929" s="4281"/>
      <c r="L929" s="4281"/>
      <c r="M929" s="4282"/>
      <c r="O929" s="39">
        <f>ROW()</f>
        <v>929</v>
      </c>
      <c r="P929" s="309"/>
      <c r="Y929" s="309"/>
      <c r="AH929" s="309"/>
      <c r="AQ929" s="309"/>
      <c r="AZ929" s="309"/>
      <c r="BI929" s="309"/>
    </row>
    <row r="930" spans="2:61" ht="13.2" customHeight="1">
      <c r="B930" s="6" t="s">
        <v>762</v>
      </c>
      <c r="J930" s="4283"/>
      <c r="K930" s="4277"/>
      <c r="L930" s="4277"/>
      <c r="M930" s="4284"/>
      <c r="O930" s="39">
        <f>ROW()</f>
        <v>930</v>
      </c>
      <c r="P930" s="309"/>
      <c r="Y930" s="309"/>
      <c r="AH930" s="309"/>
      <c r="AQ930" s="309"/>
      <c r="AZ930" s="309"/>
      <c r="BI930" s="309"/>
    </row>
    <row r="931" spans="2:61" ht="13.2" customHeight="1">
      <c r="G931" s="8" t="s">
        <v>2306</v>
      </c>
      <c r="H931" s="8" t="s">
        <v>2307</v>
      </c>
      <c r="J931" s="885"/>
      <c r="K931" s="3797" t="s">
        <v>1809</v>
      </c>
      <c r="L931" s="4278" t="s">
        <v>1810</v>
      </c>
      <c r="M931" s="4279"/>
      <c r="O931" s="39">
        <f>ROW()</f>
        <v>931</v>
      </c>
      <c r="P931" s="309"/>
      <c r="Y931" s="309"/>
      <c r="AH931" s="309"/>
      <c r="AQ931" s="309"/>
      <c r="AZ931" s="309"/>
      <c r="BI931" s="309"/>
    </row>
    <row r="932" spans="2:61" ht="13.2" customHeight="1">
      <c r="B932" s="281" t="s">
        <v>2308</v>
      </c>
      <c r="J932" s="789" t="s">
        <v>2916</v>
      </c>
      <c r="K932" s="4277"/>
      <c r="L932" s="762" t="s">
        <v>1233</v>
      </c>
      <c r="M932" s="1059" t="s">
        <v>1724</v>
      </c>
      <c r="N932" s="762"/>
      <c r="O932" s="39">
        <f>ROW()</f>
        <v>932</v>
      </c>
      <c r="P932" s="309"/>
      <c r="Y932" s="309"/>
      <c r="AH932" s="309"/>
      <c r="AQ932" s="309"/>
      <c r="AZ932" s="309"/>
      <c r="BI932" s="309"/>
    </row>
    <row r="933" spans="2:61" ht="13.2" customHeight="1">
      <c r="B933" s="214" t="s">
        <v>2304</v>
      </c>
      <c r="G933" s="91">
        <f>K187</f>
        <v>9.5000487407030025</v>
      </c>
      <c r="H933" s="91">
        <f>K188</f>
        <v>10.502037542577714</v>
      </c>
      <c r="J933" s="790" t="s">
        <v>2881</v>
      </c>
      <c r="K933" s="1063">
        <f>N347</f>
        <v>685933.80116959068</v>
      </c>
      <c r="L933" s="113"/>
      <c r="M933" s="992"/>
      <c r="O933" s="39">
        <f>ROW()</f>
        <v>933</v>
      </c>
      <c r="P933" s="309"/>
      <c r="Y933" s="309"/>
      <c r="AH933" s="309"/>
      <c r="AQ933" s="309"/>
      <c r="AZ933" s="309"/>
      <c r="BI933" s="309"/>
    </row>
    <row r="934" spans="2:61" ht="13.2" customHeight="1">
      <c r="B934" s="214" t="s">
        <v>2305</v>
      </c>
      <c r="G934" s="91">
        <f ca="1">(I$885*I118+J$885*J118+K$885*K118+L$885*4)/(I885*I118*I925+J885*J118*J925+K885*K118*K925+L885*4*L925)</f>
        <v>11.188009090533635</v>
      </c>
      <c r="H934" s="91">
        <f ca="1">$N$883/SUMPRODUCT(G925:M925,G883:M883)</f>
        <v>12.218785405623393</v>
      </c>
      <c r="J934" s="790" t="s">
        <v>2285</v>
      </c>
      <c r="K934" s="1064">
        <f ca="1">N368</f>
        <v>538415.53936533316</v>
      </c>
      <c r="L934" s="1058">
        <f ca="1">K934-K933</f>
        <v>-147518.26180425752</v>
      </c>
      <c r="M934" s="1060">
        <f t="shared" ref="M934:M943" ca="1" si="1882">K934-$K$934</f>
        <v>0</v>
      </c>
      <c r="N934" s="1058"/>
      <c r="O934" s="39">
        <f>ROW()</f>
        <v>934</v>
      </c>
      <c r="P934" s="309"/>
      <c r="Y934" s="309"/>
      <c r="AH934" s="309"/>
      <c r="AQ934" s="309"/>
      <c r="AZ934" s="309"/>
      <c r="BI934" s="309"/>
    </row>
    <row r="935" spans="2:61" ht="13.2" customHeight="1">
      <c r="B935" s="214" t="s">
        <v>2303</v>
      </c>
      <c r="G935" s="509">
        <f ca="1">G934/G933</f>
        <v>1.1776791252237011</v>
      </c>
      <c r="H935" s="509">
        <f ca="1">H934/H933</f>
        <v>1.1634680752268864</v>
      </c>
      <c r="J935" s="790" t="s">
        <v>891</v>
      </c>
      <c r="K935" s="1063">
        <f ca="1">N458</f>
        <v>623620.278681305</v>
      </c>
      <c r="L935" s="1058">
        <f t="shared" ref="L935:L943" ca="1" si="1883">K935-K934</f>
        <v>85204.739315971849</v>
      </c>
      <c r="M935" s="1060">
        <f t="shared" ca="1" si="1882"/>
        <v>85204.739315971849</v>
      </c>
      <c r="N935" s="1058"/>
      <c r="O935" s="39">
        <f>ROW()</f>
        <v>935</v>
      </c>
      <c r="P935" s="309"/>
      <c r="Y935" s="309"/>
      <c r="AH935" s="309"/>
      <c r="AQ935" s="309"/>
      <c r="AZ935" s="309"/>
      <c r="BI935" s="309"/>
    </row>
    <row r="936" spans="2:61" ht="13.2" customHeight="1">
      <c r="B936" s="830" t="s">
        <v>531</v>
      </c>
      <c r="C936" s="89"/>
      <c r="D936" s="89"/>
      <c r="E936" s="89"/>
      <c r="F936" s="89"/>
      <c r="G936" s="831">
        <f ca="1">ROUND(G935-1,2)</f>
        <v>0.18</v>
      </c>
      <c r="H936" s="831">
        <f ca="1">ROUND(H935-1,2)</f>
        <v>0.16</v>
      </c>
      <c r="J936" s="790" t="s">
        <v>890</v>
      </c>
      <c r="K936" s="1064">
        <f ca="1">N511</f>
        <v>552547.7808054823</v>
      </c>
      <c r="L936" s="1058">
        <f t="shared" ca="1" si="1883"/>
        <v>-71072.497875822708</v>
      </c>
      <c r="M936" s="1060">
        <f t="shared" ca="1" si="1882"/>
        <v>14132.241440149141</v>
      </c>
      <c r="N936" s="1058"/>
      <c r="O936" s="39">
        <f>ROW()</f>
        <v>936</v>
      </c>
      <c r="P936" s="309"/>
      <c r="Y936" s="309"/>
      <c r="AH936" s="309"/>
      <c r="AQ936" s="309"/>
      <c r="AZ936" s="309"/>
      <c r="BI936" s="309"/>
    </row>
    <row r="937" spans="2:61" ht="13.2" customHeight="1">
      <c r="B937" s="281" t="s">
        <v>2309</v>
      </c>
      <c r="J937" s="790" t="s">
        <v>443</v>
      </c>
      <c r="K937" s="1063">
        <f ca="1">N560</f>
        <v>605661.45704403229</v>
      </c>
      <c r="L937" s="1058">
        <f t="shared" ca="1" si="1883"/>
        <v>53113.67623854999</v>
      </c>
      <c r="M937" s="1060">
        <f t="shared" ca="1" si="1882"/>
        <v>67245.91767869913</v>
      </c>
      <c r="N937" s="1058"/>
      <c r="O937" s="39">
        <f>ROW()</f>
        <v>937</v>
      </c>
      <c r="P937" s="309"/>
      <c r="Y937" s="309"/>
      <c r="AH937" s="309"/>
      <c r="AQ937" s="309"/>
      <c r="AZ937" s="309"/>
      <c r="BI937" s="309"/>
    </row>
    <row r="938" spans="2:61" ht="13.2" customHeight="1">
      <c r="B938" s="214" t="s">
        <v>2304</v>
      </c>
      <c r="G938" s="91">
        <f>K203</f>
        <v>18.219843721850598</v>
      </c>
      <c r="H938" s="91">
        <f>K204</f>
        <v>20.784928325827366</v>
      </c>
      <c r="J938" s="790" t="s">
        <v>1005</v>
      </c>
      <c r="K938" s="1064">
        <f ca="1">N608</f>
        <v>574055.58449719369</v>
      </c>
      <c r="L938" s="1058">
        <f t="shared" ca="1" si="1883"/>
        <v>-31605.872546838596</v>
      </c>
      <c r="M938" s="1060">
        <f t="shared" ca="1" si="1882"/>
        <v>35640.045131860534</v>
      </c>
      <c r="N938" s="1058"/>
      <c r="O938" s="39">
        <f>ROW()</f>
        <v>938</v>
      </c>
      <c r="P938" s="309"/>
      <c r="Y938" s="309"/>
      <c r="AH938" s="309"/>
      <c r="AQ938" s="309"/>
      <c r="AZ938" s="309"/>
      <c r="BI938" s="309"/>
    </row>
    <row r="939" spans="2:61" ht="13.2" customHeight="1">
      <c r="B939" s="214" t="s">
        <v>2305</v>
      </c>
      <c r="G939" s="91">
        <f ca="1">(I$885*I118+J$885*J118+K$885*K118+L$885*4)/(I885*I118*I926+J885*J118*J926+K885*K118*K926+L885*4*L926)</f>
        <v>19.381316529341255</v>
      </c>
      <c r="H939" s="91">
        <f ca="1">$N$883/SUMPRODUCT(G926:M926,G883:M883)</f>
        <v>22.07742960977286</v>
      </c>
      <c r="J939" s="790" t="s">
        <v>1006</v>
      </c>
      <c r="K939" s="1063">
        <f ca="1">N656</f>
        <v>577118.28382500738</v>
      </c>
      <c r="L939" s="1058">
        <f t="shared" ca="1" si="1883"/>
        <v>3062.6993278136943</v>
      </c>
      <c r="M939" s="1060">
        <f t="shared" ca="1" si="1882"/>
        <v>38702.744459674228</v>
      </c>
      <c r="N939" s="1058"/>
      <c r="O939" s="39">
        <f>ROW()</f>
        <v>939</v>
      </c>
      <c r="P939" s="309"/>
      <c r="Y939" s="309"/>
      <c r="AH939" s="309"/>
      <c r="AQ939" s="309"/>
      <c r="AZ939" s="309"/>
      <c r="BI939" s="309"/>
    </row>
    <row r="940" spans="2:61" ht="13.2" customHeight="1">
      <c r="B940" s="214" t="s">
        <v>2303</v>
      </c>
      <c r="G940" s="509">
        <f ca="1">G939/G938</f>
        <v>1.063747682209685</v>
      </c>
      <c r="H940" s="509">
        <f ca="1">H939/H938</f>
        <v>1.0621845437080208</v>
      </c>
      <c r="J940" s="790" t="s">
        <v>1007</v>
      </c>
      <c r="K940" s="1064">
        <f ca="1">N704</f>
        <v>576763.10126106802</v>
      </c>
      <c r="L940" s="1058">
        <f t="shared" ca="1" si="1883"/>
        <v>-355.18256393936463</v>
      </c>
      <c r="M940" s="1060">
        <f t="shared" ca="1" si="1882"/>
        <v>38347.561895734863</v>
      </c>
      <c r="N940" s="1058"/>
      <c r="O940" s="39">
        <f>ROW()</f>
        <v>940</v>
      </c>
      <c r="P940" s="309"/>
      <c r="Y940" s="309"/>
      <c r="AH940" s="309"/>
      <c r="AQ940" s="309"/>
      <c r="AZ940" s="309"/>
      <c r="BI940" s="309"/>
    </row>
    <row r="941" spans="2:61" ht="13.2" customHeight="1">
      <c r="B941" s="830" t="s">
        <v>531</v>
      </c>
      <c r="C941" s="86"/>
      <c r="D941" s="86"/>
      <c r="E941" s="86"/>
      <c r="F941" s="86"/>
      <c r="G941" s="831">
        <f ca="1">ROUND(G940-1,2)</f>
        <v>0.06</v>
      </c>
      <c r="H941" s="831">
        <f ca="1">ROUND(H940-1,2)</f>
        <v>0.06</v>
      </c>
      <c r="J941" s="790" t="s">
        <v>2286</v>
      </c>
      <c r="K941" s="1063">
        <f ca="1">N752</f>
        <v>576771.27056222176</v>
      </c>
      <c r="L941" s="1058">
        <f t="shared" ca="1" si="1883"/>
        <v>8.1693011537427083</v>
      </c>
      <c r="M941" s="1060">
        <f t="shared" ca="1" si="1882"/>
        <v>38355.731196888606</v>
      </c>
      <c r="N941" s="1058"/>
      <c r="O941" s="39">
        <f>ROW()</f>
        <v>941</v>
      </c>
      <c r="P941" s="309"/>
      <c r="Y941" s="309"/>
      <c r="AH941" s="309"/>
      <c r="AQ941" s="309"/>
      <c r="AZ941" s="309"/>
      <c r="BI941" s="309"/>
    </row>
    <row r="942" spans="2:61" ht="13.2" customHeight="1">
      <c r="J942" s="790" t="s">
        <v>1008</v>
      </c>
      <c r="K942" s="1064">
        <f ca="1">N800</f>
        <v>576779.23314941011</v>
      </c>
      <c r="L942" s="1058">
        <f t="shared" ca="1" si="1883"/>
        <v>7.9625871883472428</v>
      </c>
      <c r="M942" s="1060">
        <f t="shared" ca="1" si="1882"/>
        <v>38363.693784076953</v>
      </c>
      <c r="N942" s="1058"/>
      <c r="O942" s="39">
        <f>ROW()</f>
        <v>942</v>
      </c>
      <c r="P942" s="309"/>
      <c r="Y942" s="309"/>
      <c r="AH942" s="309"/>
      <c r="AQ942" s="309"/>
      <c r="AZ942" s="309"/>
      <c r="BI942" s="309"/>
    </row>
    <row r="943" spans="2:61" ht="13.2" customHeight="1" thickBot="1">
      <c r="B943" s="6" t="s">
        <v>2490</v>
      </c>
      <c r="J943" s="791" t="s">
        <v>2882</v>
      </c>
      <c r="K943" s="1065">
        <f ca="1">N848</f>
        <v>576767.42740457843</v>
      </c>
      <c r="L943" s="1061">
        <f t="shared" ca="1" si="1883"/>
        <v>-11.805744831683114</v>
      </c>
      <c r="M943" s="1062">
        <f t="shared" ca="1" si="1882"/>
        <v>38351.88803924527</v>
      </c>
      <c r="N943" s="1058"/>
      <c r="O943" s="39">
        <f>ROW()</f>
        <v>943</v>
      </c>
      <c r="P943" s="309"/>
      <c r="Y943" s="309"/>
      <c r="AH943" s="309"/>
      <c r="AQ943" s="309"/>
      <c r="AZ943" s="309"/>
      <c r="BI943" s="309"/>
    </row>
    <row r="944" spans="2:61" ht="13.2" customHeight="1">
      <c r="G944" s="8" t="s">
        <v>2306</v>
      </c>
      <c r="H944" s="8" t="s">
        <v>2307</v>
      </c>
      <c r="J944" s="622"/>
      <c r="K944" s="623"/>
      <c r="L944" s="10"/>
      <c r="O944" s="39">
        <f>ROW()</f>
        <v>944</v>
      </c>
      <c r="P944" s="309"/>
      <c r="Y944" s="309"/>
      <c r="AH944" s="309"/>
      <c r="AQ944" s="309"/>
      <c r="AZ944" s="309"/>
      <c r="BI944" s="309"/>
    </row>
    <row r="945" spans="2:67" ht="13.2" customHeight="1">
      <c r="B945" s="281" t="s">
        <v>2308</v>
      </c>
      <c r="J945" s="622"/>
      <c r="K945" s="624"/>
      <c r="L945" s="10"/>
      <c r="O945" s="39">
        <f>ROW()</f>
        <v>945</v>
      </c>
      <c r="P945" s="309"/>
      <c r="Y945" s="309"/>
      <c r="AH945" s="309"/>
      <c r="AQ945" s="309"/>
      <c r="AZ945" s="309"/>
      <c r="BI945" s="309"/>
    </row>
    <row r="946" spans="2:67" ht="13.2" customHeight="1">
      <c r="B946" s="214" t="s">
        <v>2491</v>
      </c>
      <c r="G946" s="1132">
        <f>I147+J147+K147+2/3*L147</f>
        <v>2060667.3442078731</v>
      </c>
      <c r="H946" s="1132">
        <f>N147</f>
        <v>3434067.8375425739</v>
      </c>
      <c r="J946" s="622"/>
      <c r="K946" s="623"/>
      <c r="L946" s="10"/>
      <c r="O946" s="39">
        <f>ROW()</f>
        <v>946</v>
      </c>
      <c r="P946" s="309"/>
      <c r="Y946" s="309"/>
      <c r="AH946" s="309"/>
      <c r="AQ946" s="309"/>
      <c r="AZ946" s="309"/>
      <c r="BI946" s="309"/>
    </row>
    <row r="947" spans="2:67" ht="13.2" customHeight="1">
      <c r="B947" s="214" t="s">
        <v>2492</v>
      </c>
      <c r="D947" s="625"/>
      <c r="G947" s="1132">
        <f ca="1">I883+J883+K883+2/3*L883</f>
        <v>1912774.3097525351</v>
      </c>
      <c r="H947" s="1132">
        <f ca="1">N883</f>
        <v>3192349.0669593248</v>
      </c>
      <c r="J947" s="622"/>
      <c r="K947" s="624"/>
      <c r="L947" s="10"/>
      <c r="O947" s="39">
        <f>ROW()</f>
        <v>947</v>
      </c>
      <c r="P947" s="309"/>
      <c r="Y947" s="309"/>
      <c r="AH947" s="309"/>
      <c r="AQ947" s="309"/>
      <c r="AZ947" s="309"/>
      <c r="BI947" s="309"/>
    </row>
    <row r="948" spans="2:67" ht="13.2" customHeight="1">
      <c r="B948" s="214" t="s">
        <v>2303</v>
      </c>
      <c r="G948" s="636">
        <f ca="1">G947/G946</f>
        <v>0.92823051480335439</v>
      </c>
      <c r="H948" s="636">
        <f ca="1">H947/H946</f>
        <v>0.92961153302194999</v>
      </c>
      <c r="J948" s="622"/>
      <c r="K948" s="623"/>
      <c r="L948" s="10"/>
      <c r="O948" s="39">
        <f>ROW()</f>
        <v>948</v>
      </c>
      <c r="P948" s="309"/>
      <c r="Y948" s="309"/>
      <c r="AH948" s="309"/>
      <c r="AQ948" s="309"/>
      <c r="AZ948" s="309"/>
      <c r="BI948" s="309"/>
    </row>
    <row r="949" spans="2:67" ht="13.2" customHeight="1">
      <c r="B949" s="281" t="s">
        <v>2309</v>
      </c>
      <c r="O949" s="39">
        <f>ROW()</f>
        <v>949</v>
      </c>
      <c r="P949" s="309"/>
      <c r="Y949" s="309"/>
      <c r="AH949" s="309"/>
      <c r="AQ949" s="309"/>
      <c r="AZ949" s="309"/>
      <c r="BI949" s="309"/>
    </row>
    <row r="950" spans="2:67" ht="13.2" customHeight="1">
      <c r="B950" s="214" t="s">
        <v>2491</v>
      </c>
      <c r="G950" s="1132">
        <f>SUM(I158:K158)+2/3*L158</f>
        <v>14630268.817198269</v>
      </c>
      <c r="H950" s="1132">
        <f>N158</f>
        <v>23592060.994835094</v>
      </c>
      <c r="O950" s="39">
        <f>ROW()</f>
        <v>950</v>
      </c>
      <c r="P950" s="309"/>
      <c r="Y950" s="309"/>
      <c r="AH950" s="309"/>
      <c r="AQ950" s="309"/>
      <c r="AZ950" s="309"/>
      <c r="BI950" s="309"/>
    </row>
    <row r="951" spans="2:67" ht="13.2" customHeight="1">
      <c r="B951" s="214" t="s">
        <v>2492</v>
      </c>
      <c r="G951" s="1132">
        <f ca="1">SUM(I904:K904)+2/3*L904</f>
        <v>11844884.034535769</v>
      </c>
      <c r="H951" s="1132">
        <f ca="1">N904</f>
        <v>18994885.974294126</v>
      </c>
      <c r="O951" s="39">
        <f>ROW()</f>
        <v>951</v>
      </c>
      <c r="P951" s="309"/>
      <c r="Y951" s="309"/>
      <c r="AH951" s="309"/>
      <c r="AQ951" s="309"/>
      <c r="AZ951" s="309"/>
      <c r="BI951" s="309"/>
    </row>
    <row r="952" spans="2:67" ht="13.2" customHeight="1">
      <c r="B952" s="214" t="s">
        <v>2303</v>
      </c>
      <c r="G952" s="636">
        <f ca="1">G951/G950</f>
        <v>0.80961492796439893</v>
      </c>
      <c r="H952" s="636">
        <f ca="1">H951/H950</f>
        <v>0.80513889729483967</v>
      </c>
      <c r="O952" s="39">
        <f>ROW()</f>
        <v>952</v>
      </c>
      <c r="P952" s="309"/>
      <c r="Y952" s="309"/>
      <c r="AH952" s="309"/>
      <c r="AQ952" s="309"/>
      <c r="AZ952" s="309"/>
      <c r="BI952" s="309"/>
    </row>
    <row r="953" spans="2:67" ht="13.2" customHeight="1">
      <c r="B953" s="214"/>
      <c r="G953" s="636"/>
      <c r="H953" s="636"/>
      <c r="O953" s="39">
        <f>ROW()</f>
        <v>953</v>
      </c>
      <c r="P953" s="309"/>
      <c r="Y953" s="309"/>
      <c r="AH953" s="309"/>
      <c r="AQ953" s="309"/>
      <c r="AZ953" s="309"/>
      <c r="BI953" s="309"/>
    </row>
    <row r="954" spans="2:67" ht="13.2" customHeight="1">
      <c r="B954" s="215"/>
      <c r="G954" s="636"/>
      <c r="H954" s="636"/>
      <c r="O954" s="39">
        <f>ROW()</f>
        <v>954</v>
      </c>
      <c r="P954" s="117"/>
      <c r="Q954" s="117"/>
      <c r="R954" s="117"/>
      <c r="S954" s="117"/>
      <c r="T954" s="117"/>
      <c r="U954" s="117"/>
      <c r="V954" s="117"/>
      <c r="Y954" s="117"/>
      <c r="Z954" s="117"/>
      <c r="AA954" s="117"/>
      <c r="AB954" s="117"/>
      <c r="AC954" s="117"/>
      <c r="AD954" s="117"/>
      <c r="AE954" s="117"/>
      <c r="AH954" s="117"/>
      <c r="AI954" s="117"/>
      <c r="AJ954" s="117"/>
      <c r="AK954" s="117"/>
      <c r="AL954" s="117"/>
      <c r="AM954" s="117"/>
      <c r="AN954" s="117"/>
      <c r="AQ954" s="117"/>
      <c r="AR954" s="117"/>
      <c r="AS954" s="117"/>
      <c r="AT954" s="117"/>
      <c r="AU954" s="117"/>
      <c r="AV954" s="117"/>
      <c r="AW954" s="117"/>
      <c r="AZ954" s="117"/>
      <c r="BA954" s="117"/>
      <c r="BB954" s="117"/>
      <c r="BC954" s="117"/>
      <c r="BD954" s="117"/>
      <c r="BE954" s="117"/>
      <c r="BF954" s="117"/>
      <c r="BI954" s="117"/>
      <c r="BJ954" s="117"/>
      <c r="BK954" s="117"/>
      <c r="BL954" s="117"/>
      <c r="BM954" s="117"/>
      <c r="BN954" s="117"/>
      <c r="BO954" s="117"/>
    </row>
    <row r="955" spans="2:67" ht="13.2" customHeight="1">
      <c r="B955" s="214"/>
      <c r="O955" s="39">
        <f>ROW()</f>
        <v>955</v>
      </c>
      <c r="P955" s="309"/>
      <c r="Y955" s="309"/>
      <c r="AH955" s="309"/>
      <c r="AQ955" s="309"/>
      <c r="AZ955" s="309"/>
      <c r="BI955" s="309"/>
    </row>
    <row r="956" spans="2:67" ht="13.2" customHeight="1">
      <c r="B956" s="214"/>
      <c r="G956" s="880" t="s">
        <v>1472</v>
      </c>
      <c r="H956" s="880" t="s">
        <v>1087</v>
      </c>
      <c r="I956" s="880" t="s">
        <v>2445</v>
      </c>
      <c r="J956" s="880" t="s">
        <v>1088</v>
      </c>
      <c r="K956" s="880" t="s">
        <v>1089</v>
      </c>
      <c r="L956" s="880" t="s">
        <v>1151</v>
      </c>
      <c r="M956" s="880" t="s">
        <v>1090</v>
      </c>
      <c r="N956" s="880" t="s">
        <v>2684</v>
      </c>
      <c r="O956" s="39">
        <f>ROW()</f>
        <v>956</v>
      </c>
      <c r="P956" s="309"/>
      <c r="Y956" s="309"/>
      <c r="AH956" s="309"/>
      <c r="AQ956" s="309"/>
      <c r="AZ956" s="309"/>
      <c r="BI956" s="309"/>
    </row>
    <row r="957" spans="2:67" ht="13.2" customHeight="1">
      <c r="B957" s="24" t="s">
        <v>5525</v>
      </c>
      <c r="G957" s="298" t="s">
        <v>1091</v>
      </c>
      <c r="H957" s="298" t="s">
        <v>1092</v>
      </c>
      <c r="I957" s="298" t="s">
        <v>1093</v>
      </c>
      <c r="J957" s="298" t="s">
        <v>1094</v>
      </c>
      <c r="K957" s="298" t="s">
        <v>1095</v>
      </c>
      <c r="L957" s="298" t="s">
        <v>1096</v>
      </c>
      <c r="M957" s="298" t="s">
        <v>1097</v>
      </c>
      <c r="N957" s="298"/>
      <c r="O957" s="39">
        <f>ROW()</f>
        <v>957</v>
      </c>
      <c r="P957" s="309"/>
      <c r="Y957" s="309"/>
      <c r="AH957" s="309"/>
      <c r="AQ957" s="309"/>
      <c r="AZ957" s="309"/>
      <c r="BI957" s="309"/>
    </row>
    <row r="958" spans="2:67" ht="13.2" customHeight="1">
      <c r="O958" s="39">
        <f>ROW()</f>
        <v>958</v>
      </c>
      <c r="P958" s="309"/>
      <c r="Y958" s="309"/>
      <c r="AH958" s="309"/>
      <c r="AQ958" s="309"/>
      <c r="AZ958" s="309"/>
      <c r="BI958" s="309"/>
    </row>
    <row r="959" spans="2:67" ht="13.2" customHeight="1">
      <c r="B959" s="968" t="s">
        <v>2906</v>
      </c>
      <c r="O959" s="39">
        <f>ROW()</f>
        <v>959</v>
      </c>
      <c r="P959" s="309"/>
      <c r="Y959" s="309"/>
      <c r="AH959" s="309"/>
      <c r="AQ959" s="309"/>
      <c r="AZ959" s="309"/>
      <c r="BI959" s="309"/>
    </row>
    <row r="960" spans="2:67" ht="13.2" customHeight="1">
      <c r="B960" s="281" t="str">
        <f>CONCATENATE("Motor v. hrs spent in cordon, before (calculated in Row ",O190, ")")</f>
        <v>Motor v. hrs spent in cordon, before (calculated in Row 190)</v>
      </c>
      <c r="G960" s="1122">
        <f t="shared" ref="G960:N960" si="1884">G190</f>
        <v>21206.887016138899</v>
      </c>
      <c r="H960" s="1122">
        <f t="shared" si="1884"/>
        <v>4395.5549338387082</v>
      </c>
      <c r="I960" s="1122">
        <f t="shared" si="1884"/>
        <v>57677.375921739913</v>
      </c>
      <c r="J960" s="1122">
        <f t="shared" si="1884"/>
        <v>17525.869639600944</v>
      </c>
      <c r="K960" s="1122">
        <f t="shared" si="1884"/>
        <v>51145.557893814155</v>
      </c>
      <c r="L960" s="1122">
        <f t="shared" si="1884"/>
        <v>135843.65352278142</v>
      </c>
      <c r="M960" s="1122">
        <f t="shared" si="1884"/>
        <v>39195.727759532099</v>
      </c>
      <c r="N960" s="1122">
        <f t="shared" si="1884"/>
        <v>326990.62668744614</v>
      </c>
      <c r="O960" s="39">
        <f>ROW()</f>
        <v>960</v>
      </c>
      <c r="P960" s="309"/>
      <c r="Y960" s="309"/>
      <c r="AH960" s="309"/>
      <c r="AQ960" s="309"/>
      <c r="AZ960" s="309"/>
      <c r="BI960" s="309"/>
    </row>
    <row r="961" spans="2:61" ht="13.2" customHeight="1">
      <c r="B961" s="281" t="str">
        <f>CONCATENATE("Above, normalized to reflect VMT change (via factor in Row ",O884,")")</f>
        <v>Above, normalized to reflect VMT change (via factor in Row 884)</v>
      </c>
      <c r="G961" s="1122">
        <f t="shared" ref="G961:M961" ca="1" si="1885">G884*G960</f>
        <v>20322.316530038453</v>
      </c>
      <c r="H961" s="1122">
        <f t="shared" ca="1" si="1885"/>
        <v>3806.3969095665689</v>
      </c>
      <c r="I961" s="1122">
        <f t="shared" ca="1" si="1885"/>
        <v>53153.44035228197</v>
      </c>
      <c r="J961" s="1122">
        <f t="shared" ca="1" si="1885"/>
        <v>16242.260944733232</v>
      </c>
      <c r="K961" s="1122">
        <f t="shared" ca="1" si="1885"/>
        <v>48126.090678733628</v>
      </c>
      <c r="L961" s="1122">
        <f t="shared" ca="1" si="1885"/>
        <v>125344.35729041054</v>
      </c>
      <c r="M961" s="1122">
        <f t="shared" ca="1" si="1885"/>
        <v>36289.1450603126</v>
      </c>
      <c r="N961" s="1122">
        <f ca="1">SUM(G961:M961)</f>
        <v>303284.007766077</v>
      </c>
      <c r="O961" s="39">
        <f>ROW()</f>
        <v>961</v>
      </c>
      <c r="P961" s="309"/>
      <c r="Y961" s="309"/>
      <c r="AH961" s="309"/>
      <c r="AQ961" s="309"/>
      <c r="AZ961" s="309"/>
      <c r="BI961" s="309"/>
    </row>
    <row r="962" spans="2:61" ht="13.2" customHeight="1">
      <c r="B962" s="281" t="str">
        <f>CONCATENATE("M.V. hours in cordon, after (Row ",O883, " fig. divided by Row ",O919, " fig.)")</f>
        <v>M.V. hours in cordon, after (Row 883 fig. divided by Row 919 fig.)</v>
      </c>
      <c r="G962" s="1122">
        <f t="shared" ref="G962:M962" ca="1" si="1886">G883/G919</f>
        <v>20187.697994086862</v>
      </c>
      <c r="H962" s="1122">
        <f t="shared" ca="1" si="1886"/>
        <v>3670.0052123482596</v>
      </c>
      <c r="I962" s="1122">
        <f t="shared" ca="1" si="1886"/>
        <v>44523.491657130187</v>
      </c>
      <c r="J962" s="1122">
        <f t="shared" ca="1" si="1886"/>
        <v>13878.488927750468</v>
      </c>
      <c r="K962" s="1122">
        <f t="shared" ca="1" si="1886"/>
        <v>43442.66321222885</v>
      </c>
      <c r="L962" s="1122">
        <f t="shared" ca="1" si="1886"/>
        <v>103682.7244513029</v>
      </c>
      <c r="M962" s="1122">
        <f t="shared" ca="1" si="1886"/>
        <v>31880.591291805304</v>
      </c>
      <c r="N962" s="1122">
        <f ca="1">SUM(G962:M962)</f>
        <v>261265.66274665282</v>
      </c>
      <c r="O962" s="39">
        <f>ROW()</f>
        <v>962</v>
      </c>
      <c r="P962" s="309"/>
      <c r="Y962" s="309"/>
      <c r="AH962" s="309"/>
      <c r="AQ962" s="309"/>
      <c r="AZ962" s="309"/>
      <c r="BI962" s="309"/>
    </row>
    <row r="963" spans="2:61" ht="13.2" customHeight="1">
      <c r="B963" s="281" t="str">
        <f>CONCATENATE("Saved m.v. hours in cordon (Row ",O960, " less Row ",O961,")")</f>
        <v>Saved m.v. hours in cordon (Row 960 less Row 961)</v>
      </c>
      <c r="G963" s="1122">
        <f ca="1">G961-G962</f>
        <v>134.61853595159118</v>
      </c>
      <c r="H963" s="1122">
        <f t="shared" ref="H963:M963" ca="1" si="1887">H961-H962</f>
        <v>136.39169721830922</v>
      </c>
      <c r="I963" s="1122">
        <f t="shared" ca="1" si="1887"/>
        <v>8629.9486951517829</v>
      </c>
      <c r="J963" s="1122">
        <f t="shared" ca="1" si="1887"/>
        <v>2363.7720169827644</v>
      </c>
      <c r="K963" s="1122">
        <f t="shared" ca="1" si="1887"/>
        <v>4683.4274665047778</v>
      </c>
      <c r="L963" s="1122">
        <f t="shared" ca="1" si="1887"/>
        <v>21661.632839107639</v>
      </c>
      <c r="M963" s="1122">
        <f t="shared" ca="1" si="1887"/>
        <v>4408.5537685072959</v>
      </c>
      <c r="N963" s="1127">
        <f ca="1">SUM(G963:M963)</f>
        <v>42018.34501942416</v>
      </c>
      <c r="O963" s="39">
        <f>ROW()</f>
        <v>963</v>
      </c>
      <c r="P963" s="309"/>
      <c r="Y963" s="309"/>
      <c r="AH963" s="309"/>
      <c r="AQ963" s="309"/>
      <c r="AZ963" s="309"/>
      <c r="BI963" s="309"/>
    </row>
    <row r="964" spans="2:61" ht="13.2" customHeight="1">
      <c r="B964" s="281"/>
      <c r="G964" s="1122"/>
      <c r="H964" s="1122"/>
      <c r="I964" s="1122"/>
      <c r="J964" s="1122"/>
      <c r="K964" s="1122"/>
      <c r="L964" s="1122"/>
      <c r="M964" s="1122"/>
      <c r="N964" s="1122"/>
      <c r="O964" s="39">
        <f>ROW()</f>
        <v>964</v>
      </c>
      <c r="P964" s="309"/>
      <c r="Y964" s="309"/>
      <c r="AH964" s="309"/>
      <c r="AQ964" s="309"/>
      <c r="AZ964" s="309"/>
      <c r="BI964" s="309"/>
    </row>
    <row r="965" spans="2:61" ht="13.2" customHeight="1">
      <c r="B965" s="968" t="s">
        <v>2573</v>
      </c>
      <c r="G965" s="1122"/>
      <c r="H965" s="1122"/>
      <c r="I965" s="1122"/>
      <c r="J965" s="1122"/>
      <c r="K965" s="1122"/>
      <c r="L965" s="1122"/>
      <c r="M965" s="1122"/>
      <c r="N965" s="1122"/>
      <c r="O965" s="39">
        <f>ROW()</f>
        <v>965</v>
      </c>
      <c r="P965" s="309"/>
      <c r="Y965" s="309"/>
      <c r="AH965" s="309"/>
      <c r="AQ965" s="309"/>
      <c r="AZ965" s="309"/>
      <c r="BI965" s="309"/>
    </row>
    <row r="966" spans="2:61" ht="13.2" customHeight="1">
      <c r="B966" s="281" t="str">
        <f>CONCATENATE("Motor v. hrs outside cordon, before (Row ",O167, " div by Row ",O200, ")")</f>
        <v>Motor v. hrs outside cordon, before (Row 167 div by Row 200)</v>
      </c>
      <c r="G966" s="1122">
        <f t="shared" ref="G966:M966" si="1888">G167/G200</f>
        <v>135546.4376717454</v>
      </c>
      <c r="H966" s="1122">
        <f t="shared" si="1888"/>
        <v>44478.071936646833</v>
      </c>
      <c r="I966" s="1122">
        <f t="shared" si="1888"/>
        <v>649055.60608664656</v>
      </c>
      <c r="J966" s="1122">
        <f t="shared" si="1888"/>
        <v>166441.54913603849</v>
      </c>
      <c r="K966" s="1122">
        <f t="shared" si="1888"/>
        <v>512262.07355467405</v>
      </c>
      <c r="L966" s="1122">
        <f t="shared" si="1888"/>
        <v>1500238.297585078</v>
      </c>
      <c r="M966" s="1122">
        <f t="shared" si="1888"/>
        <v>340611.83640879602</v>
      </c>
      <c r="N966" s="1122">
        <f>SUM(G966:M966)</f>
        <v>3348633.8723796252</v>
      </c>
      <c r="O966" s="39">
        <f>ROW()</f>
        <v>966</v>
      </c>
      <c r="P966" s="309"/>
      <c r="Y966" s="309"/>
      <c r="AH966" s="309"/>
      <c r="AQ966" s="309"/>
      <c r="AZ966" s="309"/>
      <c r="BI966" s="309"/>
    </row>
    <row r="967" spans="2:61" ht="13.2" customHeight="1">
      <c r="B967" s="281" t="str">
        <f>CONCATENATE("Above, normalized to reflect VMT change (via factor in Row ",O913,")")</f>
        <v>Above, normalized to reflect VMT change (via factor in Row 913)</v>
      </c>
      <c r="G967" s="1122">
        <f t="shared" ref="G967:M967" ca="1" si="1889">G913*G966</f>
        <v>127183.76022565924</v>
      </c>
      <c r="H967" s="1122">
        <f t="shared" ca="1" si="1889"/>
        <v>41449.630348388928</v>
      </c>
      <c r="I967" s="1122">
        <f t="shared" ca="1" si="1889"/>
        <v>627123.00774383859</v>
      </c>
      <c r="J967" s="1122">
        <f t="shared" ca="1" si="1889"/>
        <v>160597.68909330841</v>
      </c>
      <c r="K967" s="1122">
        <f t="shared" ca="1" si="1889"/>
        <v>497177.70874871052</v>
      </c>
      <c r="L967" s="1122">
        <f t="shared" ca="1" si="1889"/>
        <v>1456881.9084682255</v>
      </c>
      <c r="M967" s="1122">
        <f t="shared" ca="1" si="1889"/>
        <v>327691.81430469011</v>
      </c>
      <c r="N967" s="1122">
        <f ca="1">SUM(G967:M967)</f>
        <v>3238105.5189328212</v>
      </c>
      <c r="O967" s="39">
        <f>ROW()</f>
        <v>967</v>
      </c>
      <c r="P967" s="309"/>
      <c r="Y967" s="309"/>
      <c r="AH967" s="309"/>
      <c r="AQ967" s="309"/>
      <c r="AZ967" s="309"/>
      <c r="BI967" s="309"/>
    </row>
    <row r="968" spans="2:61" ht="13.2" customHeight="1">
      <c r="B968" s="281" t="str">
        <f>CONCATENATE("M.V. hrs outside cordon, after (Row ",O908, " fig. div. by Row ",O922, " fig.)")</f>
        <v>M.V. hrs outside cordon, after (Row 908 fig. div. by Row 922 fig.)</v>
      </c>
      <c r="G968" s="1122">
        <f t="shared" ref="G968:M968" ca="1" si="1890">G908/G922</f>
        <v>127198.04172963127</v>
      </c>
      <c r="H968" s="1122">
        <f t="shared" ca="1" si="1890"/>
        <v>38503.482623046082</v>
      </c>
      <c r="I968" s="1122">
        <f t="shared" ca="1" si="1890"/>
        <v>586154.26515822625</v>
      </c>
      <c r="J968" s="1122">
        <f t="shared" ca="1" si="1890"/>
        <v>150574.20619958616</v>
      </c>
      <c r="K968" s="1122">
        <f t="shared" ca="1" si="1890"/>
        <v>473178.48094342981</v>
      </c>
      <c r="L968" s="1122">
        <f t="shared" ca="1" si="1890"/>
        <v>1370815.333444783</v>
      </c>
      <c r="M968" s="1122">
        <f t="shared" ca="1" si="1890"/>
        <v>308305.10494650935</v>
      </c>
      <c r="N968" s="1122">
        <f ca="1">SUM(G968:M968)</f>
        <v>3054728.915045212</v>
      </c>
      <c r="O968" s="39">
        <f>ROW()</f>
        <v>968</v>
      </c>
      <c r="P968" s="309"/>
      <c r="Y968" s="309"/>
      <c r="AH968" s="309"/>
      <c r="AQ968" s="309"/>
      <c r="AZ968" s="309"/>
      <c r="BI968" s="309"/>
    </row>
    <row r="969" spans="2:61" ht="13.2" customHeight="1">
      <c r="B969" s="281" t="str">
        <f>CONCATENATE("Saved m.v. hours outside cordon (Row ",O967, " less Row ",O968,")")</f>
        <v>Saved m.v. hours outside cordon (Row 967 less Row 968)</v>
      </c>
      <c r="G969" s="1122">
        <f t="shared" ref="G969:M969" ca="1" si="1891">G967-G968</f>
        <v>-14.281503972029896</v>
      </c>
      <c r="H969" s="1122">
        <f t="shared" ca="1" si="1891"/>
        <v>2946.1477253428457</v>
      </c>
      <c r="I969" s="1122">
        <f t="shared" ca="1" si="1891"/>
        <v>40968.742585612345</v>
      </c>
      <c r="J969" s="1122">
        <f t="shared" ca="1" si="1891"/>
        <v>10023.482893722248</v>
      </c>
      <c r="K969" s="1122">
        <f t="shared" ca="1" si="1891"/>
        <v>23999.227805280709</v>
      </c>
      <c r="L969" s="1122">
        <f t="shared" ca="1" si="1891"/>
        <v>86066.575023442507</v>
      </c>
      <c r="M969" s="1122">
        <f t="shared" ca="1" si="1891"/>
        <v>19386.709358180757</v>
      </c>
      <c r="N969" s="1127">
        <f ca="1">SUM(G969:M969)</f>
        <v>183376.60388760938</v>
      </c>
      <c r="O969" s="39">
        <f>ROW()</f>
        <v>969</v>
      </c>
      <c r="P969" s="309"/>
      <c r="Y969" s="309"/>
      <c r="AH969" s="309"/>
      <c r="AQ969" s="309"/>
      <c r="AZ969" s="309"/>
      <c r="BI969" s="309"/>
    </row>
    <row r="970" spans="2:61" ht="13.2" customHeight="1">
      <c r="B970" s="281" t="str">
        <f>CONCATENATE("% time saving (Row ",O969, " divided by Row ",O967, ").")</f>
        <v>% time saving (Row 969 divided by Row 967).</v>
      </c>
      <c r="G970" s="39">
        <f t="shared" ref="G970:N970" ca="1" si="1892">G969/G967</f>
        <v>-1.1229031085958262E-4</v>
      </c>
      <c r="H970" s="39">
        <f t="shared" ca="1" si="1892"/>
        <v>7.107778044291671E-2</v>
      </c>
      <c r="I970" s="576">
        <f t="shared" ca="1" si="1892"/>
        <v>6.5328080902346472E-2</v>
      </c>
      <c r="J970" s="39">
        <f t="shared" ca="1" si="1892"/>
        <v>6.2413618466816999E-2</v>
      </c>
      <c r="K970" s="39">
        <f t="shared" ca="1" si="1892"/>
        <v>4.8270924828230151E-2</v>
      </c>
      <c r="L970" s="39">
        <f t="shared" ca="1" si="1892"/>
        <v>5.9075876035782078E-2</v>
      </c>
      <c r="M970" s="39">
        <f t="shared" ca="1" si="1892"/>
        <v>5.9161408713599602E-2</v>
      </c>
      <c r="N970" s="12">
        <f t="shared" ca="1" si="1892"/>
        <v>5.6630830223236395E-2</v>
      </c>
      <c r="O970" s="39">
        <f>ROW()</f>
        <v>970</v>
      </c>
      <c r="P970" s="309"/>
      <c r="Y970" s="309"/>
      <c r="AH970" s="309"/>
      <c r="AQ970" s="309"/>
      <c r="AZ970" s="309"/>
      <c r="BI970" s="309"/>
    </row>
    <row r="971" spans="2:61" ht="13.2" customHeight="1">
      <c r="B971" s="281" t="s">
        <v>1936</v>
      </c>
      <c r="G971" s="1122">
        <f t="shared" ref="G971:M971" ca="1" si="1893">G908/G922</f>
        <v>127198.04172963127</v>
      </c>
      <c r="H971" s="1122">
        <f t="shared" ca="1" si="1893"/>
        <v>38503.482623046082</v>
      </c>
      <c r="I971" s="1122">
        <f t="shared" ca="1" si="1893"/>
        <v>586154.26515822625</v>
      </c>
      <c r="J971" s="1122">
        <f t="shared" ca="1" si="1893"/>
        <v>150574.20619958616</v>
      </c>
      <c r="K971" s="1122">
        <f t="shared" ca="1" si="1893"/>
        <v>473178.48094342981</v>
      </c>
      <c r="L971" s="1122">
        <f t="shared" ca="1" si="1893"/>
        <v>1370815.333444783</v>
      </c>
      <c r="M971" s="1122">
        <f t="shared" ca="1" si="1893"/>
        <v>308305.10494650935</v>
      </c>
      <c r="N971" s="1122">
        <f ca="1">SUM(G971:M971)</f>
        <v>3054728.915045212</v>
      </c>
      <c r="O971" s="39">
        <f>ROW()</f>
        <v>971</v>
      </c>
      <c r="P971" s="309"/>
      <c r="Y971" s="309"/>
      <c r="AH971" s="309"/>
      <c r="AQ971" s="309"/>
      <c r="AZ971" s="309"/>
      <c r="BI971" s="309"/>
    </row>
    <row r="972" spans="2:61" ht="13.2" customHeight="1">
      <c r="B972" s="281" t="str">
        <f>CONCATENATE("Saved m.v. hours outside cordon (Row ",O967, " less Row ",O971,")")</f>
        <v>Saved m.v. hours outside cordon (Row 967 less Row 971)</v>
      </c>
      <c r="G972" s="1122">
        <f t="shared" ref="G972:M972" ca="1" si="1894">G967-G971</f>
        <v>-14.281503972029896</v>
      </c>
      <c r="H972" s="1122">
        <f t="shared" ca="1" si="1894"/>
        <v>2946.1477253428457</v>
      </c>
      <c r="I972" s="1122">
        <f t="shared" ca="1" si="1894"/>
        <v>40968.742585612345</v>
      </c>
      <c r="J972" s="1122">
        <f t="shared" ca="1" si="1894"/>
        <v>10023.482893722248</v>
      </c>
      <c r="K972" s="1122">
        <f t="shared" ca="1" si="1894"/>
        <v>23999.227805280709</v>
      </c>
      <c r="L972" s="1122">
        <f t="shared" ca="1" si="1894"/>
        <v>86066.575023442507</v>
      </c>
      <c r="M972" s="1122">
        <f t="shared" ca="1" si="1894"/>
        <v>19386.709358180757</v>
      </c>
      <c r="N972" s="1127">
        <f ca="1">SUM(G972:M972)</f>
        <v>183376.60388760938</v>
      </c>
      <c r="O972" s="39">
        <f>ROW()</f>
        <v>972</v>
      </c>
      <c r="P972" s="309"/>
      <c r="Y972" s="309"/>
      <c r="AH972" s="309"/>
      <c r="AQ972" s="309"/>
      <c r="AZ972" s="309"/>
      <c r="BI972" s="309"/>
    </row>
    <row r="973" spans="2:61" ht="13.2" customHeight="1">
      <c r="B973" s="281"/>
      <c r="G973" s="39"/>
      <c r="H973" s="39"/>
      <c r="I973" s="576"/>
      <c r="J973" s="39"/>
      <c r="K973" s="39"/>
      <c r="L973" s="39"/>
      <c r="M973" s="39"/>
      <c r="N973" s="12"/>
      <c r="O973" s="39">
        <f>ROW()</f>
        <v>973</v>
      </c>
      <c r="P973" s="309"/>
      <c r="Y973" s="309"/>
      <c r="AH973" s="309"/>
      <c r="AQ973" s="309"/>
      <c r="AZ973" s="309"/>
      <c r="BI973" s="309"/>
    </row>
    <row r="974" spans="2:61" ht="13.2" customHeight="1">
      <c r="B974" s="281"/>
      <c r="O974" s="39">
        <f>ROW()</f>
        <v>974</v>
      </c>
      <c r="P974" s="309"/>
      <c r="Y974" s="309"/>
      <c r="AH974" s="309"/>
      <c r="AQ974" s="309"/>
      <c r="AZ974" s="309"/>
      <c r="BI974" s="309"/>
    </row>
    <row r="975" spans="2:61" ht="13.2" customHeight="1">
      <c r="B975" s="24" t="s">
        <v>2311</v>
      </c>
      <c r="O975" s="39">
        <f>ROW()</f>
        <v>975</v>
      </c>
    </row>
    <row r="976" spans="2:61" ht="13.2" customHeight="1">
      <c r="O976" s="39">
        <f>ROW()</f>
        <v>976</v>
      </c>
    </row>
    <row r="977" spans="2:68" ht="13.2" customHeight="1">
      <c r="B977" t="s">
        <v>2353</v>
      </c>
      <c r="G977" s="2452">
        <f t="shared" ref="G977:M977" ca="1" si="1895">P977+Y977+AH977+AQ977+AZ977+BI977</f>
        <v>54285.021769163584</v>
      </c>
      <c r="H977" s="2452">
        <f t="shared" ca="1" si="1895"/>
        <v>17441.848159594694</v>
      </c>
      <c r="I977" s="2452">
        <f t="shared" ca="1" si="1895"/>
        <v>115492.69744236495</v>
      </c>
      <c r="J977" s="2452">
        <f t="shared" ca="1" si="1895"/>
        <v>34090.048227208521</v>
      </c>
      <c r="K977" s="2452">
        <f t="shared" ca="1" si="1895"/>
        <v>117362.64285728212</v>
      </c>
      <c r="L977" s="2452">
        <f t="shared" ca="1" si="1895"/>
        <v>178307.21930326946</v>
      </c>
      <c r="M977" s="2452">
        <f t="shared" ca="1" si="1895"/>
        <v>59799.755390526756</v>
      </c>
      <c r="N977" s="1122">
        <f ca="1">SUM(G977:M977)</f>
        <v>576779.23314941011</v>
      </c>
      <c r="O977" s="39">
        <f>ROW()</f>
        <v>977</v>
      </c>
      <c r="P977" s="2452">
        <f t="shared" ref="P977:V977" ca="1" si="1896">P846</f>
        <v>9416.6869871864419</v>
      </c>
      <c r="Q977" s="2452">
        <f t="shared" ca="1" si="1896"/>
        <v>9957.6184422436709</v>
      </c>
      <c r="R977" s="2452">
        <f t="shared" ca="1" si="1896"/>
        <v>66574.891732962773</v>
      </c>
      <c r="S977" s="2452">
        <f t="shared" ca="1" si="1896"/>
        <v>15901.851538622572</v>
      </c>
      <c r="T977" s="2452">
        <f t="shared" ca="1" si="1896"/>
        <v>46864.678824006347</v>
      </c>
      <c r="U977" s="2452">
        <f t="shared" ca="1" si="1896"/>
        <v>47411.484846873769</v>
      </c>
      <c r="V977" s="2452">
        <f t="shared" ca="1" si="1896"/>
        <v>13081.735892442855</v>
      </c>
      <c r="W977" s="2452">
        <f ca="1">SUM(P977:V977)</f>
        <v>209208.94826433843</v>
      </c>
      <c r="Y977" s="2452">
        <f t="shared" ref="Y977:AE977" ca="1" si="1897">Y846</f>
        <v>16501.084019113168</v>
      </c>
      <c r="Z977" s="2452">
        <f t="shared" ca="1" si="1897"/>
        <v>1209.2096852875827</v>
      </c>
      <c r="AA977" s="2452">
        <f t="shared" ca="1" si="1897"/>
        <v>13407.147893208941</v>
      </c>
      <c r="AB977" s="2452">
        <f t="shared" ca="1" si="1897"/>
        <v>7877.9232815594287</v>
      </c>
      <c r="AC977" s="2452">
        <f t="shared" ca="1" si="1897"/>
        <v>32463.966132663947</v>
      </c>
      <c r="AD977" s="2452">
        <f t="shared" ca="1" si="1897"/>
        <v>64951.660709512071</v>
      </c>
      <c r="AE977" s="2452">
        <f t="shared" ca="1" si="1897"/>
        <v>19521.853085825896</v>
      </c>
      <c r="AF977" s="2452">
        <f ca="1">SUM(Y977:AE977)</f>
        <v>155932.84480717103</v>
      </c>
      <c r="AH977" s="2452">
        <f t="shared" ref="AH977:AN977" ca="1" si="1898">AH846</f>
        <v>17570.765603837644</v>
      </c>
      <c r="AI977" s="2452">
        <f t="shared" ca="1" si="1898"/>
        <v>2261.5931670680961</v>
      </c>
      <c r="AJ977" s="2452">
        <f t="shared" ca="1" si="1898"/>
        <v>9994.1663174113892</v>
      </c>
      <c r="AK977" s="2452">
        <f t="shared" ca="1" si="1898"/>
        <v>2885.651967052087</v>
      </c>
      <c r="AL977" s="2452">
        <f t="shared" ca="1" si="1898"/>
        <v>14081.627328482418</v>
      </c>
      <c r="AM977" s="2452">
        <f t="shared" ca="1" si="1898"/>
        <v>26531.604502009846</v>
      </c>
      <c r="AN977" s="2452">
        <f t="shared" ca="1" si="1898"/>
        <v>13802.056955848908</v>
      </c>
      <c r="AO977" s="2452">
        <f ca="1">SUM(AH977:AN977)</f>
        <v>87127.465841710393</v>
      </c>
      <c r="AQ977" s="618">
        <f t="shared" ref="AQ977:AW977" ca="1" si="1899">AQ846</f>
        <v>5971.6905611606398</v>
      </c>
      <c r="AR977" s="618">
        <f t="shared" ca="1" si="1899"/>
        <v>2552.8911555962159</v>
      </c>
      <c r="AS977" s="618">
        <f t="shared" ca="1" si="1899"/>
        <v>15950.302675877292</v>
      </c>
      <c r="AT977" s="618">
        <f t="shared" ca="1" si="1899"/>
        <v>4642.5660450726618</v>
      </c>
      <c r="AU977" s="618">
        <f t="shared" ca="1" si="1899"/>
        <v>14365.016335840943</v>
      </c>
      <c r="AV977" s="618">
        <f t="shared" ca="1" si="1899"/>
        <v>24469.846484730482</v>
      </c>
      <c r="AW977" s="618">
        <f t="shared" ca="1" si="1899"/>
        <v>8223.1249489336733</v>
      </c>
      <c r="AX977" s="342">
        <f ca="1">SUM(AQ977:AW977)</f>
        <v>76175.438207211919</v>
      </c>
      <c r="AZ977" s="2452">
        <f t="shared" ref="AZ977:BF977" ca="1" si="1900">AZ846</f>
        <v>3693.9106038889827</v>
      </c>
      <c r="BA977" s="2452">
        <f t="shared" ca="1" si="1900"/>
        <v>1104.2678850901034</v>
      </c>
      <c r="BB977" s="2452">
        <f t="shared" ca="1" si="1900"/>
        <v>7279.7113992588529</v>
      </c>
      <c r="BC977" s="2452">
        <f t="shared" ca="1" si="1900"/>
        <v>2115.1000262080493</v>
      </c>
      <c r="BD977" s="2452">
        <f t="shared" ca="1" si="1900"/>
        <v>7307.9219193605077</v>
      </c>
      <c r="BE977" s="2452">
        <f t="shared" ca="1" si="1900"/>
        <v>11373.519132929259</v>
      </c>
      <c r="BF977" s="2452">
        <f t="shared" ca="1" si="1900"/>
        <v>3936.0210641133472</v>
      </c>
      <c r="BG977" s="2452">
        <f ca="1">SUM(AZ977:BF977)</f>
        <v>36810.452030849097</v>
      </c>
      <c r="BI977" s="2452">
        <f t="shared" ref="BI977:BO977" ca="1" si="1901">BI846</f>
        <v>1130.8839939767122</v>
      </c>
      <c r="BJ977" s="2452">
        <f t="shared" ca="1" si="1901"/>
        <v>356.26782430902614</v>
      </c>
      <c r="BK977" s="2452">
        <f t="shared" ca="1" si="1901"/>
        <v>2286.4774236457069</v>
      </c>
      <c r="BL977" s="2452">
        <f t="shared" ca="1" si="1901"/>
        <v>666.95536869372836</v>
      </c>
      <c r="BM977" s="2452">
        <f t="shared" ca="1" si="1901"/>
        <v>2279.4323169279733</v>
      </c>
      <c r="BN977" s="2452">
        <f t="shared" ca="1" si="1901"/>
        <v>3569.1036272140477</v>
      </c>
      <c r="BO977" s="2452">
        <f t="shared" ca="1" si="1901"/>
        <v>1234.9634433620877</v>
      </c>
      <c r="BP977" s="2452">
        <f ca="1">SUM(BI977:BO977)</f>
        <v>11524.083998129281</v>
      </c>
    </row>
    <row r="978" spans="2:68" ht="13.2" customHeight="1">
      <c r="B978" s="215" t="str">
        <f>CONCATENATE("Copied from Row ",O846, ".")</f>
        <v>Copied from Row 846.</v>
      </c>
      <c r="N978" s="618"/>
      <c r="O978" s="39">
        <f>ROW()</f>
        <v>978</v>
      </c>
      <c r="P978" s="2452"/>
      <c r="Q978" s="2452"/>
      <c r="R978" s="2452"/>
      <c r="S978" s="2452"/>
      <c r="T978" s="2452"/>
      <c r="U978" s="2452"/>
      <c r="V978" s="2452"/>
      <c r="W978" s="2452"/>
      <c r="Y978" s="2452"/>
      <c r="Z978" s="2452"/>
      <c r="AA978" s="2452"/>
      <c r="AB978" s="2452"/>
      <c r="AC978" s="2452"/>
      <c r="AD978" s="2452"/>
      <c r="AE978" s="2452"/>
      <c r="AF978" s="2452"/>
      <c r="AH978" s="2452"/>
      <c r="AI978" s="2452"/>
      <c r="AJ978" s="2452"/>
      <c r="AK978" s="2452"/>
      <c r="AL978" s="2452"/>
      <c r="AM978" s="2452"/>
      <c r="AN978" s="2452"/>
      <c r="AO978" s="2452"/>
      <c r="AQ978" s="618"/>
      <c r="AR978" s="618"/>
      <c r="AS978" s="618"/>
      <c r="AT978" s="618"/>
      <c r="AU978" s="618"/>
      <c r="AV978" s="618"/>
      <c r="AW978" s="618"/>
      <c r="AX978" s="342"/>
      <c r="AZ978" s="2452"/>
      <c r="BA978" s="2452"/>
      <c r="BB978" s="2452"/>
      <c r="BC978" s="2452"/>
      <c r="BD978" s="2452"/>
      <c r="BE978" s="2452"/>
      <c r="BF978" s="2452"/>
      <c r="BG978" s="2452"/>
      <c r="BI978" s="2452"/>
      <c r="BJ978" s="2452"/>
      <c r="BK978" s="2452"/>
      <c r="BL978" s="2452"/>
      <c r="BM978" s="2452"/>
      <c r="BN978" s="2452"/>
      <c r="BO978" s="2452"/>
      <c r="BP978" s="2452"/>
    </row>
    <row r="979" spans="2:68" ht="13.2" customHeight="1">
      <c r="B979" s="281" t="s">
        <v>4359</v>
      </c>
      <c r="G979" s="2452">
        <f t="shared" ref="G979" si="1902">P979+Y979+AH979+AQ979+AZ979+BI979</f>
        <v>1353.835108359511</v>
      </c>
      <c r="H979" s="2452">
        <f t="shared" ref="H979" si="1903">Q979+Z979+AI979+AR979+BA979+BJ979</f>
        <v>544.48716066081158</v>
      </c>
      <c r="I979" s="2452">
        <f t="shared" ref="I979" si="1904">R979+AA979+AJ979+AS979+BB979+BK979</f>
        <v>3140.2882114383447</v>
      </c>
      <c r="J979" s="2452">
        <f t="shared" ref="J979" si="1905">S979+AB979+AK979+AT979+BC979+BL979</f>
        <v>929.16575267905375</v>
      </c>
      <c r="K979" s="2452">
        <f t="shared" ref="K979" si="1906">T979+AC979+AL979+AU979+BD979+BM979</f>
        <v>2997.5133391267673</v>
      </c>
      <c r="L979" s="2452">
        <f t="shared" ref="L979" si="1907">U979+AD979+AM979+AV979+BE979+BN979</f>
        <v>4866.1490768503863</v>
      </c>
      <c r="M979" s="2452">
        <f t="shared" ref="M979" si="1908">V979+AE979+AN979+AW979+BF979+BO979</f>
        <v>1691.9063801248906</v>
      </c>
      <c r="N979" s="1122">
        <f>SUM(G979:M979)</f>
        <v>15523.345029239765</v>
      </c>
      <c r="O979" s="39">
        <f>ROW()</f>
        <v>979</v>
      </c>
      <c r="P979" s="2452">
        <f t="shared" ref="P979:V979" si="1909">$K$319*P122</f>
        <v>226.70293748673708</v>
      </c>
      <c r="Q979" s="2452">
        <f t="shared" si="1909"/>
        <v>342.53558628997575</v>
      </c>
      <c r="R979" s="2452">
        <f t="shared" si="1909"/>
        <v>2107.6457194659338</v>
      </c>
      <c r="S979" s="2452">
        <f t="shared" si="1909"/>
        <v>506.44867162786704</v>
      </c>
      <c r="T979" s="2452">
        <f t="shared" si="1909"/>
        <v>1381.9982335282866</v>
      </c>
      <c r="U979" s="2452">
        <f t="shared" si="1909"/>
        <v>1528.8000256549335</v>
      </c>
      <c r="V979" s="2452">
        <f t="shared" si="1909"/>
        <v>425.12110299878969</v>
      </c>
      <c r="W979" s="2452">
        <f>SUM(P979:V979)</f>
        <v>6519.2522770525229</v>
      </c>
      <c r="Y979" s="2452">
        <f t="shared" ref="Y979:AE979" si="1910">$K$319*Y122</f>
        <v>464.16059043472342</v>
      </c>
      <c r="Z979" s="2452">
        <f t="shared" si="1910"/>
        <v>46.611820300402819</v>
      </c>
      <c r="AA979" s="2452">
        <f t="shared" si="1910"/>
        <v>394.49464416878953</v>
      </c>
      <c r="AB979" s="2452">
        <f t="shared" si="1910"/>
        <v>233.98932997298621</v>
      </c>
      <c r="AC979" s="2452">
        <f t="shared" si="1910"/>
        <v>883.87674609600481</v>
      </c>
      <c r="AD979" s="2452">
        <f t="shared" si="1910"/>
        <v>1950.7286268459329</v>
      </c>
      <c r="AE979" s="2452">
        <f t="shared" si="1910"/>
        <v>611.3859651286366</v>
      </c>
      <c r="AF979" s="2452">
        <f>SUM(Y979:AE979)</f>
        <v>4585.2477229474762</v>
      </c>
      <c r="AH979" s="2452">
        <f t="shared" ref="AH979:AN979" si="1911">$K$319*AH122</f>
        <v>554.8704614451982</v>
      </c>
      <c r="AI979" s="2452">
        <f t="shared" si="1911"/>
        <v>111.78380596986585</v>
      </c>
      <c r="AJ979" s="2452">
        <f t="shared" si="1911"/>
        <v>386.89519175004438</v>
      </c>
      <c r="AK979" s="2452">
        <f t="shared" si="1911"/>
        <v>114.42153991942158</v>
      </c>
      <c r="AL979" s="2452">
        <f t="shared" si="1911"/>
        <v>492.00469112445785</v>
      </c>
      <c r="AM979" s="2452">
        <f t="shared" si="1911"/>
        <v>997.82383071792526</v>
      </c>
      <c r="AN979" s="2452">
        <f t="shared" si="1911"/>
        <v>520.25603462864331</v>
      </c>
      <c r="AO979" s="2452">
        <f>SUM(AH979:AN979)</f>
        <v>3178.0555555555561</v>
      </c>
      <c r="AQ979" s="618"/>
      <c r="AR979" s="618"/>
      <c r="AS979" s="618"/>
      <c r="AT979" s="618"/>
      <c r="AU979" s="618"/>
      <c r="AV979" s="618"/>
      <c r="AW979" s="618"/>
      <c r="AX979" s="342"/>
      <c r="AZ979" s="2452">
        <f t="shared" ref="AZ979:BF979" si="1912">$K$319*AZ122</f>
        <v>83.202324671274994</v>
      </c>
      <c r="BA979" s="2452">
        <f t="shared" si="1912"/>
        <v>33.523761539121573</v>
      </c>
      <c r="BB979" s="2452">
        <f t="shared" si="1912"/>
        <v>193.38194884802368</v>
      </c>
      <c r="BC979" s="2452">
        <f t="shared" si="1912"/>
        <v>57.191355311815272</v>
      </c>
      <c r="BD979" s="2452">
        <f t="shared" si="1912"/>
        <v>184.439147941427</v>
      </c>
      <c r="BE979" s="2452">
        <f t="shared" si="1912"/>
        <v>299.24556485451967</v>
      </c>
      <c r="BF979" s="2452">
        <f t="shared" si="1912"/>
        <v>104.01589683381781</v>
      </c>
      <c r="BG979" s="2452">
        <f>SUM(AZ979:BF979)</f>
        <v>955</v>
      </c>
      <c r="BI979" s="2452">
        <f t="shared" ref="BI979:BO979" si="1913">$K$319*BI122</f>
        <v>24.898794321577473</v>
      </c>
      <c r="BJ979" s="2452">
        <f t="shared" si="1913"/>
        <v>10.032186561445586</v>
      </c>
      <c r="BK979" s="2452">
        <f t="shared" si="1913"/>
        <v>57.870707205553515</v>
      </c>
      <c r="BL979" s="2452">
        <f t="shared" si="1913"/>
        <v>17.114855846963732</v>
      </c>
      <c r="BM979" s="2452">
        <f t="shared" si="1913"/>
        <v>55.194520436591269</v>
      </c>
      <c r="BN979" s="2452">
        <f t="shared" si="1913"/>
        <v>89.551028777075885</v>
      </c>
      <c r="BO979" s="2452">
        <f t="shared" si="1913"/>
        <v>31.127380535003073</v>
      </c>
      <c r="BP979" s="2452">
        <f>SUM(BI979:BO979)</f>
        <v>285.78947368421052</v>
      </c>
    </row>
    <row r="980" spans="2:68" ht="13.2" customHeight="1">
      <c r="B980" s="215" t="str">
        <f>CONCATENATE("Calculated as product of (i) assumed percentage of exempt vehicles, from Row ",O319, "; and (ii) baseline volume of vehicles crossing into cordon, copied from Row ",O122, ".")</f>
        <v>Calculated as product of (i) assumed percentage of exempt vehicles, from Row 319; and (ii) baseline volume of vehicles crossing into cordon, copied from Row 122.</v>
      </c>
      <c r="N980" s="618"/>
      <c r="O980" s="39">
        <f>ROW()</f>
        <v>980</v>
      </c>
      <c r="P980" s="2452"/>
      <c r="Q980" s="2452"/>
      <c r="R980" s="2452"/>
      <c r="S980" s="2452"/>
      <c r="T980" s="2452"/>
      <c r="U980" s="2452"/>
      <c r="V980" s="2452"/>
      <c r="W980" s="2452"/>
      <c r="Y980" s="2452"/>
      <c r="Z980" s="2452"/>
      <c r="AA980" s="2452"/>
      <c r="AB980" s="2452"/>
      <c r="AC980" s="2452"/>
      <c r="AD980" s="2452"/>
      <c r="AE980" s="2452"/>
      <c r="AF980" s="2452"/>
      <c r="AH980" s="2452"/>
      <c r="AI980" s="2452"/>
      <c r="AJ980" s="2452"/>
      <c r="AK980" s="2452"/>
      <c r="AL980" s="2452"/>
      <c r="AM980" s="2452"/>
      <c r="AN980" s="2452"/>
      <c r="AO980" s="2452"/>
      <c r="AQ980" s="618"/>
      <c r="AR980" s="618"/>
      <c r="AS980" s="618"/>
      <c r="AT980" s="618"/>
      <c r="AU980" s="618"/>
      <c r="AV980" s="618"/>
      <c r="AW980" s="618"/>
      <c r="AX980" s="342"/>
      <c r="AZ980" s="2452"/>
      <c r="BA980" s="2452"/>
      <c r="BB980" s="2452"/>
      <c r="BC980" s="2452"/>
      <c r="BD980" s="2452"/>
      <c r="BE980" s="2452"/>
      <c r="BF980" s="2452"/>
      <c r="BG980" s="2452"/>
      <c r="BI980" s="2452"/>
      <c r="BJ980" s="2452"/>
      <c r="BK980" s="2452"/>
      <c r="BL980" s="2452"/>
      <c r="BM980" s="2452"/>
      <c r="BN980" s="2452"/>
      <c r="BO980" s="2452"/>
      <c r="BP980" s="2452"/>
    </row>
    <row r="981" spans="2:68" ht="13.2" customHeight="1">
      <c r="B981" s="312" t="s">
        <v>4360</v>
      </c>
      <c r="G981" s="2452">
        <f t="shared" ref="G981" ca="1" si="1914">P981+Y981+AH981+AQ981+AZ981+BI981</f>
        <v>46959.496099643438</v>
      </c>
      <c r="H981" s="2452">
        <f t="shared" ref="H981" ca="1" si="1915">Q981+Z981+AI981+AR981+BA981+BJ981</f>
        <v>14344.469843337667</v>
      </c>
      <c r="I981" s="2452">
        <f t="shared" ref="I981" ca="1" si="1916">R981+AA981+AJ981+AS981+BB981+BK981</f>
        <v>96402.106555049308</v>
      </c>
      <c r="J981" s="2452">
        <f t="shared" ref="J981" ca="1" si="1917">S981+AB981+AK981+AT981+BC981+BL981</f>
        <v>28518.316429456809</v>
      </c>
      <c r="K981" s="2452">
        <f t="shared" ref="K981" ca="1" si="1918">T981+AC981+AL981+AU981+BD981+BM981</f>
        <v>100000.11318231441</v>
      </c>
      <c r="L981" s="2452">
        <f t="shared" ref="L981" ca="1" si="1919">U981+AD981+AM981+AV981+BE981+BN981</f>
        <v>148971.22374168859</v>
      </c>
      <c r="M981" s="2452">
        <f t="shared" ref="M981" ca="1" si="1920">V981+AE981+AN981+AW981+BF981+BO981</f>
        <v>49884.724061468201</v>
      </c>
      <c r="N981" s="1122">
        <f ca="1">SUM(G981:M981)</f>
        <v>485080.44991295843</v>
      </c>
      <c r="O981" s="39">
        <f>ROW()</f>
        <v>981</v>
      </c>
      <c r="P981" s="2452">
        <f t="shared" ref="P981:V981" ca="1" si="1921">P977-P979</f>
        <v>9189.984049699704</v>
      </c>
      <c r="Q981" s="2452">
        <f t="shared" ca="1" si="1921"/>
        <v>9615.0828559536949</v>
      </c>
      <c r="R981" s="2452">
        <f t="shared" ca="1" si="1921"/>
        <v>64467.246013496842</v>
      </c>
      <c r="S981" s="2452">
        <f t="shared" ca="1" si="1921"/>
        <v>15395.402866994704</v>
      </c>
      <c r="T981" s="2452">
        <f t="shared" ca="1" si="1921"/>
        <v>45482.680590478063</v>
      </c>
      <c r="U981" s="2452">
        <f t="shared" ca="1" si="1921"/>
        <v>45882.684821218834</v>
      </c>
      <c r="V981" s="2452">
        <f t="shared" ca="1" si="1921"/>
        <v>12656.614789444066</v>
      </c>
      <c r="W981" s="2452">
        <f ca="1">SUM(P981:V981)</f>
        <v>202689.69598728593</v>
      </c>
      <c r="Y981" s="2452">
        <f t="shared" ref="Y981:AE981" ca="1" si="1922">Y977-Y979</f>
        <v>16036.923428678445</v>
      </c>
      <c r="Z981" s="2452">
        <f t="shared" ca="1" si="1922"/>
        <v>1162.5978649871799</v>
      </c>
      <c r="AA981" s="2452">
        <f t="shared" ca="1" si="1922"/>
        <v>13012.653249040151</v>
      </c>
      <c r="AB981" s="2452">
        <f t="shared" ca="1" si="1922"/>
        <v>7643.9339515864422</v>
      </c>
      <c r="AC981" s="2452">
        <f t="shared" ca="1" si="1922"/>
        <v>31580.089386567943</v>
      </c>
      <c r="AD981" s="2452">
        <f t="shared" ca="1" si="1922"/>
        <v>63000.932082666135</v>
      </c>
      <c r="AE981" s="2452">
        <f t="shared" ca="1" si="1922"/>
        <v>18910.46712069726</v>
      </c>
      <c r="AF981" s="2452">
        <f ca="1">SUM(Y981:AE981)</f>
        <v>151347.59708422355</v>
      </c>
      <c r="AH981" s="2452">
        <f t="shared" ref="AH981:AN981" ca="1" si="1923">AH977-AH979</f>
        <v>17015.895142392445</v>
      </c>
      <c r="AI981" s="2452">
        <f t="shared" ca="1" si="1923"/>
        <v>2149.8093610982305</v>
      </c>
      <c r="AJ981" s="2452">
        <f t="shared" ca="1" si="1923"/>
        <v>9607.2711256613456</v>
      </c>
      <c r="AK981" s="2452">
        <f t="shared" ca="1" si="1923"/>
        <v>2771.2304271326652</v>
      </c>
      <c r="AL981" s="2452">
        <f t="shared" ca="1" si="1923"/>
        <v>13589.622637357961</v>
      </c>
      <c r="AM981" s="2452">
        <f t="shared" ca="1" si="1923"/>
        <v>25533.780671291923</v>
      </c>
      <c r="AN981" s="2452">
        <f t="shared" ca="1" si="1923"/>
        <v>13281.800921220265</v>
      </c>
      <c r="AO981" s="2452">
        <f ca="1">SUM(AH981:AN981)</f>
        <v>83949.410286154831</v>
      </c>
      <c r="AQ981" s="618"/>
      <c r="AR981" s="618"/>
      <c r="AS981" s="618"/>
      <c r="AT981" s="618"/>
      <c r="AU981" s="618"/>
      <c r="AV981" s="618"/>
      <c r="AW981" s="618"/>
      <c r="AX981" s="342"/>
      <c r="AZ981" s="2452">
        <f t="shared" ref="AZ981:BF981" ca="1" si="1924">AZ977-AZ979</f>
        <v>3610.7082792177075</v>
      </c>
      <c r="BA981" s="2452">
        <f t="shared" ca="1" si="1924"/>
        <v>1070.7441235509818</v>
      </c>
      <c r="BB981" s="2452">
        <f t="shared" ca="1" si="1924"/>
        <v>7086.3294504108289</v>
      </c>
      <c r="BC981" s="2452">
        <f t="shared" ca="1" si="1924"/>
        <v>2057.9086708962341</v>
      </c>
      <c r="BD981" s="2452">
        <f t="shared" ca="1" si="1924"/>
        <v>7123.4827714190806</v>
      </c>
      <c r="BE981" s="2452">
        <f t="shared" ca="1" si="1924"/>
        <v>11074.273568074739</v>
      </c>
      <c r="BF981" s="2452">
        <f t="shared" ca="1" si="1924"/>
        <v>3832.0051672795294</v>
      </c>
      <c r="BG981" s="2452">
        <f ca="1">SUM(AZ981:BF981)</f>
        <v>35855.452030849097</v>
      </c>
      <c r="BI981" s="2452">
        <f t="shared" ref="BI981:BO981" ca="1" si="1925">BI977-BI979</f>
        <v>1105.9851996551347</v>
      </c>
      <c r="BJ981" s="2452">
        <f t="shared" ca="1" si="1925"/>
        <v>346.23563774758054</v>
      </c>
      <c r="BK981" s="2452">
        <f t="shared" ca="1" si="1925"/>
        <v>2228.6067164401534</v>
      </c>
      <c r="BL981" s="2452">
        <f t="shared" ca="1" si="1925"/>
        <v>649.84051284676468</v>
      </c>
      <c r="BM981" s="2452">
        <f t="shared" ca="1" si="1925"/>
        <v>2224.2377964913821</v>
      </c>
      <c r="BN981" s="2452">
        <f t="shared" ca="1" si="1925"/>
        <v>3479.5525984369719</v>
      </c>
      <c r="BO981" s="2452">
        <f t="shared" ca="1" si="1925"/>
        <v>1203.8360628270846</v>
      </c>
      <c r="BP981" s="2452">
        <f ca="1">SUM(BI981:BO981)</f>
        <v>11238.294524445071</v>
      </c>
    </row>
    <row r="982" spans="2:68" ht="13.2" customHeight="1">
      <c r="B982" s="215" t="str">
        <f>CONCATENATE("Difference between Rows ",O977, " and ",O979, ", except that medallion taxis pay no toll in any event.")</f>
        <v>Difference between Rows 977 and 979, except that medallion taxis pay no toll in any event.</v>
      </c>
      <c r="N982" s="618"/>
      <c r="O982" s="39">
        <f>ROW()</f>
        <v>982</v>
      </c>
      <c r="P982" s="2452"/>
      <c r="Q982" s="618"/>
      <c r="R982" s="618"/>
      <c r="S982" s="618"/>
      <c r="T982" s="618"/>
      <c r="U982" s="618"/>
      <c r="V982" s="618"/>
      <c r="W982" s="342"/>
      <c r="Y982" s="2452"/>
      <c r="Z982" s="618"/>
      <c r="AA982" s="618"/>
      <c r="AB982" s="618"/>
      <c r="AC982" s="618"/>
      <c r="AD982" s="618"/>
      <c r="AE982" s="618"/>
      <c r="AF982" s="342"/>
      <c r="AH982" s="2452"/>
      <c r="AI982" s="618"/>
      <c r="AJ982" s="618"/>
      <c r="AK982" s="618"/>
      <c r="AL982" s="618"/>
      <c r="AM982" s="618"/>
      <c r="AN982" s="618"/>
      <c r="AO982" s="342"/>
      <c r="AQ982" s="618"/>
      <c r="AR982" s="618"/>
      <c r="AS982" s="618"/>
      <c r="AT982" s="618"/>
      <c r="AU982" s="618"/>
      <c r="AV982" s="618"/>
      <c r="AW982" s="618"/>
      <c r="AX982" s="342"/>
      <c r="AZ982" s="2452"/>
      <c r="BA982" s="618"/>
      <c r="BB982" s="618"/>
      <c r="BC982" s="618"/>
      <c r="BD982" s="618"/>
      <c r="BE982" s="618"/>
      <c r="BF982" s="618"/>
      <c r="BG982" s="342"/>
      <c r="BI982" s="2452"/>
      <c r="BJ982" s="618"/>
      <c r="BK982" s="618"/>
      <c r="BL982" s="618"/>
      <c r="BM982" s="618"/>
      <c r="BN982" s="618"/>
      <c r="BO982" s="618"/>
      <c r="BP982" s="342"/>
    </row>
    <row r="983" spans="2:68" ht="13.2" customHeight="1">
      <c r="B983" s="312" t="s">
        <v>5404</v>
      </c>
      <c r="G983" s="2452">
        <f t="shared" ref="G983:M983" ca="1" si="1926">P981+Y981+AH981</f>
        <v>42242.802620770592</v>
      </c>
      <c r="H983" s="2452">
        <f t="shared" ca="1" si="1926"/>
        <v>12927.490082039105</v>
      </c>
      <c r="I983" s="2452">
        <f t="shared" ca="1" si="1926"/>
        <v>87087.170388198327</v>
      </c>
      <c r="J983" s="2452">
        <f t="shared" ca="1" si="1926"/>
        <v>25810.56724571381</v>
      </c>
      <c r="K983" s="2452">
        <f t="shared" ca="1" si="1926"/>
        <v>90652.392614403958</v>
      </c>
      <c r="L983" s="2452">
        <f t="shared" ca="1" si="1926"/>
        <v>134417.3975751769</v>
      </c>
      <c r="M983" s="2452">
        <f t="shared" ca="1" si="1926"/>
        <v>44848.882831361589</v>
      </c>
      <c r="N983" s="1122">
        <f ca="1">SUM(G983:M983)</f>
        <v>437986.70335766429</v>
      </c>
      <c r="O983" s="39">
        <f>ROW()</f>
        <v>983</v>
      </c>
      <c r="P983" s="2452"/>
      <c r="Q983" s="618"/>
      <c r="R983" s="618"/>
      <c r="S983" s="618"/>
      <c r="T983" s="618"/>
      <c r="U983" s="618"/>
      <c r="V983" s="618"/>
      <c r="W983" s="342"/>
      <c r="Y983" s="2452"/>
      <c r="Z983" s="618"/>
      <c r="AA983" s="618"/>
      <c r="AB983" s="618"/>
      <c r="AC983" s="618"/>
      <c r="AD983" s="618"/>
      <c r="AE983" s="618"/>
      <c r="AF983" s="342"/>
      <c r="AH983" s="2452"/>
      <c r="AI983" s="618"/>
      <c r="AJ983" s="618"/>
      <c r="AK983" s="618"/>
      <c r="AL983" s="618"/>
      <c r="AM983" s="618"/>
      <c r="AN983" s="618"/>
      <c r="AO983" s="342"/>
      <c r="AQ983" s="618"/>
      <c r="AR983" s="618"/>
      <c r="AS983" s="618"/>
      <c r="AT983" s="618"/>
      <c r="AU983" s="618"/>
      <c r="AV983" s="618"/>
      <c r="AW983" s="618"/>
      <c r="AX983" s="342"/>
      <c r="AZ983" s="2452"/>
      <c r="BA983" s="618"/>
      <c r="BB983" s="618"/>
      <c r="BC983" s="618"/>
      <c r="BD983" s="618"/>
      <c r="BE983" s="618"/>
      <c r="BF983" s="618"/>
      <c r="BG983" s="342"/>
      <c r="BI983" s="2452"/>
      <c r="BJ983" s="618"/>
      <c r="BK983" s="618"/>
      <c r="BL983" s="618"/>
      <c r="BM983" s="618"/>
      <c r="BN983" s="618"/>
      <c r="BO983" s="618"/>
      <c r="BP983" s="342"/>
    </row>
    <row r="984" spans="2:68" ht="13.2" customHeight="1">
      <c r="B984" s="215" t="str">
        <f>CONCATENATE("Same note as Row ",O982, ", except only first 3 column-blocks are summed.")</f>
        <v>Same note as Row 982, except only first 3 column-blocks are summed.</v>
      </c>
      <c r="N984" s="618"/>
      <c r="O984" s="39">
        <f>ROW()</f>
        <v>984</v>
      </c>
      <c r="P984" s="2452"/>
      <c r="Q984" s="618"/>
      <c r="R984" s="618"/>
      <c r="S984" s="618"/>
      <c r="T984" s="618"/>
      <c r="U984" s="618"/>
      <c r="V984" s="618"/>
      <c r="W984" s="342"/>
      <c r="Y984" s="2452"/>
      <c r="Z984" s="618"/>
      <c r="AA984" s="618"/>
      <c r="AB984" s="618"/>
      <c r="AC984" s="618"/>
      <c r="AD984" s="618"/>
      <c r="AE984" s="618"/>
      <c r="AF984" s="342"/>
      <c r="AH984" s="2452"/>
      <c r="AI984" s="618"/>
      <c r="AJ984" s="618"/>
      <c r="AK984" s="618"/>
      <c r="AL984" s="618"/>
      <c r="AM984" s="618"/>
      <c r="AN984" s="618"/>
      <c r="AO984" s="342"/>
      <c r="AQ984" s="618"/>
      <c r="AR984" s="618"/>
      <c r="AS984" s="618"/>
      <c r="AT984" s="618"/>
      <c r="AU984" s="618"/>
      <c r="AV984" s="618"/>
      <c r="AW984" s="618"/>
      <c r="AX984" s="342"/>
      <c r="AZ984" s="2452"/>
      <c r="BA984" s="618"/>
      <c r="BB984" s="618"/>
      <c r="BC984" s="618"/>
      <c r="BD984" s="618"/>
      <c r="BE984" s="618"/>
      <c r="BF984" s="618"/>
      <c r="BG984" s="342"/>
      <c r="BI984" s="2452"/>
      <c r="BJ984" s="618"/>
      <c r="BK984" s="618"/>
      <c r="BL984" s="618"/>
      <c r="BM984" s="618"/>
      <c r="BN984" s="618"/>
      <c r="BO984" s="618"/>
      <c r="BP984" s="342"/>
    </row>
    <row r="985" spans="2:68" ht="13.2" customHeight="1">
      <c r="B985" t="s">
        <v>2354</v>
      </c>
      <c r="N985" s="26"/>
      <c r="O985" s="39">
        <f>ROW()</f>
        <v>985</v>
      </c>
      <c r="P985" s="619">
        <f t="shared" ref="P985:V985" si="1927">P293</f>
        <v>4.7357166215339799</v>
      </c>
      <c r="Q985" s="619">
        <f t="shared" si="1927"/>
        <v>7.6379403388036948</v>
      </c>
      <c r="R985" s="619">
        <f t="shared" si="1927"/>
        <v>9.5458445664104232</v>
      </c>
      <c r="S985" s="619">
        <f t="shared" si="1927"/>
        <v>9.3527441647710763</v>
      </c>
      <c r="T985" s="619">
        <f t="shared" si="1927"/>
        <v>7.6379403388036948</v>
      </c>
      <c r="U985" s="619">
        <f t="shared" si="1927"/>
        <v>9.5320684297405869</v>
      </c>
      <c r="V985" s="619">
        <f t="shared" si="1927"/>
        <v>7.6379403388036948</v>
      </c>
      <c r="W985" s="2452"/>
      <c r="Y985" s="619">
        <f t="shared" ref="Y985:AE985" si="1928">Y293</f>
        <v>4.7357166215339799</v>
      </c>
      <c r="Z985" s="619">
        <f t="shared" si="1928"/>
        <v>7.6379403388036948</v>
      </c>
      <c r="AA985" s="619">
        <f t="shared" si="1928"/>
        <v>9.5458445664104232</v>
      </c>
      <c r="AB985" s="619">
        <f t="shared" si="1928"/>
        <v>9.3527441647710763</v>
      </c>
      <c r="AC985" s="619">
        <f t="shared" si="1928"/>
        <v>7.6379403388036948</v>
      </c>
      <c r="AD985" s="619">
        <f t="shared" si="1928"/>
        <v>9.5320684297405869</v>
      </c>
      <c r="AE985" s="619">
        <f t="shared" si="1928"/>
        <v>7.6379403388036948</v>
      </c>
      <c r="AF985" s="2452"/>
      <c r="AH985" s="619">
        <f t="shared" ref="AH985:AN985" si="1929">AH293</f>
        <v>8.5242899187611627</v>
      </c>
      <c r="AI985" s="619">
        <f t="shared" si="1929"/>
        <v>13.748292609846651</v>
      </c>
      <c r="AJ985" s="619">
        <f t="shared" si="1929"/>
        <v>17.18252021953877</v>
      </c>
      <c r="AK985" s="619">
        <f t="shared" si="1929"/>
        <v>16.834939496587943</v>
      </c>
      <c r="AL985" s="619">
        <f t="shared" si="1929"/>
        <v>13.748292609846651</v>
      </c>
      <c r="AM985" s="619">
        <f t="shared" si="1929"/>
        <v>17.157723173533057</v>
      </c>
      <c r="AN985" s="619">
        <f t="shared" si="1929"/>
        <v>13.748292609846651</v>
      </c>
      <c r="AO985" s="2452"/>
      <c r="AQ985" s="619">
        <f t="shared" ref="AQ985:AW985" si="1930">AQ291</f>
        <v>0</v>
      </c>
      <c r="AR985" s="619">
        <f t="shared" si="1930"/>
        <v>0</v>
      </c>
      <c r="AS985" s="619">
        <f t="shared" si="1930"/>
        <v>0</v>
      </c>
      <c r="AT985" s="619">
        <f t="shared" si="1930"/>
        <v>0</v>
      </c>
      <c r="AU985" s="619">
        <f t="shared" si="1930"/>
        <v>0</v>
      </c>
      <c r="AV985" s="619">
        <f t="shared" si="1930"/>
        <v>0</v>
      </c>
      <c r="AW985" s="619">
        <f t="shared" si="1930"/>
        <v>0</v>
      </c>
      <c r="AZ985" s="619">
        <f t="shared" ref="AZ985:BF985" si="1931">AZ293</f>
        <v>9.3910732356409206</v>
      </c>
      <c r="BA985" s="619">
        <f t="shared" si="1931"/>
        <v>15.542932633995687</v>
      </c>
      <c r="BB985" s="619">
        <f t="shared" si="1931"/>
        <v>19.211330818231776</v>
      </c>
      <c r="BC985" s="619">
        <f t="shared" si="1931"/>
        <v>19.211330818231776</v>
      </c>
      <c r="BD985" s="619">
        <f t="shared" si="1931"/>
        <v>15.542932633995687</v>
      </c>
      <c r="BE985" s="619">
        <f t="shared" si="1931"/>
        <v>19.385034951876612</v>
      </c>
      <c r="BF985" s="619">
        <f t="shared" si="1931"/>
        <v>15.542932633995687</v>
      </c>
      <c r="BG985" s="2452"/>
      <c r="BI985" s="619">
        <f t="shared" ref="BI985:BO985" si="1932">BI293</f>
        <v>8.7962782722603627</v>
      </c>
      <c r="BJ985" s="619">
        <f t="shared" si="1932"/>
        <v>14.240602195639788</v>
      </c>
      <c r="BK985" s="619">
        <f t="shared" si="1932"/>
        <v>17.852991511294988</v>
      </c>
      <c r="BL985" s="619">
        <f t="shared" si="1932"/>
        <v>17.466790708016291</v>
      </c>
      <c r="BM985" s="619">
        <f t="shared" si="1932"/>
        <v>14.240602195639788</v>
      </c>
      <c r="BN985" s="619">
        <f t="shared" si="1932"/>
        <v>17.814678660545045</v>
      </c>
      <c r="BO985" s="619">
        <f t="shared" si="1932"/>
        <v>14.240602195639788</v>
      </c>
      <c r="BP985" s="2452"/>
    </row>
    <row r="986" spans="2:68" ht="13.2" customHeight="1">
      <c r="B986" s="215" t="str">
        <f>CONCATENATE("Copied from Row ",O293, ".")</f>
        <v>Copied from Row 293.</v>
      </c>
      <c r="N986" s="26"/>
      <c r="O986" s="39">
        <f>ROW()</f>
        <v>986</v>
      </c>
      <c r="P986" s="619"/>
      <c r="Q986" s="619"/>
      <c r="R986" s="619"/>
      <c r="S986" s="619"/>
      <c r="T986" s="619"/>
      <c r="U986" s="619"/>
      <c r="V986" s="619"/>
      <c r="Y986" s="619"/>
      <c r="Z986" s="619"/>
      <c r="AA986" s="619"/>
      <c r="AB986" s="619"/>
      <c r="AC986" s="619"/>
      <c r="AD986" s="619"/>
      <c r="AE986" s="619"/>
      <c r="AH986" s="619"/>
      <c r="AI986" s="619"/>
      <c r="AJ986" s="619"/>
      <c r="AK986" s="619"/>
      <c r="AL986" s="619"/>
      <c r="AM986" s="619"/>
      <c r="AN986" s="619"/>
      <c r="AQ986" s="619"/>
      <c r="AR986" s="619"/>
      <c r="AS986" s="619"/>
      <c r="AT986" s="619"/>
      <c r="AU986" s="619"/>
      <c r="AV986" s="619"/>
      <c r="AW986" s="619"/>
      <c r="AZ986" s="619"/>
      <c r="BA986" s="619"/>
      <c r="BB986" s="619"/>
      <c r="BC986" s="619"/>
      <c r="BD986" s="619"/>
      <c r="BE986" s="619"/>
      <c r="BF986" s="619"/>
      <c r="BI986" s="619"/>
      <c r="BJ986" s="619"/>
      <c r="BK986" s="619"/>
      <c r="BL986" s="619"/>
      <c r="BM986" s="619"/>
      <c r="BN986" s="619"/>
      <c r="BO986" s="619"/>
    </row>
    <row r="987" spans="2:68" ht="13.2" customHeight="1">
      <c r="B987" t="s">
        <v>2355</v>
      </c>
      <c r="G987" s="620">
        <f t="shared" ref="G987:M987" ca="1" si="1933">P987+Y987+AH987+AQ987+AZ987+BI987</f>
        <v>308.15288794008472</v>
      </c>
      <c r="H987" s="620">
        <f t="shared" ca="1" si="1933"/>
        <v>133.44859825270373</v>
      </c>
      <c r="I987" s="620">
        <f t="shared" ca="1" si="1933"/>
        <v>1080.6133219020246</v>
      </c>
      <c r="J987" s="620">
        <f t="shared" ca="1" si="1933"/>
        <v>313.02031206384186</v>
      </c>
      <c r="K987" s="620">
        <f t="shared" ca="1" si="1933"/>
        <v>917.82924638735892</v>
      </c>
      <c r="L987" s="620">
        <f t="shared" ca="1" si="1933"/>
        <v>1752.6499191446176</v>
      </c>
      <c r="M987" s="620">
        <f t="shared" ca="1" si="1933"/>
        <v>500.41352239809061</v>
      </c>
      <c r="N987" s="958">
        <f ca="1">SUM(G987:M987)</f>
        <v>5006.1278080887214</v>
      </c>
      <c r="O987" s="39">
        <f>ROW()</f>
        <v>987</v>
      </c>
      <c r="P987" s="620">
        <f t="shared" ref="P987:V987" ca="1" si="1934">P981*P985/1000</f>
        <v>43.521160215795049</v>
      </c>
      <c r="Q987" s="620">
        <f t="shared" ca="1" si="1934"/>
        <v>73.439429206428571</v>
      </c>
      <c r="R987" s="620">
        <f t="shared" ca="1" si="1934"/>
        <v>615.39431006938287</v>
      </c>
      <c r="S987" s="620">
        <f t="shared" ca="1" si="1934"/>
        <v>143.98926432858462</v>
      </c>
      <c r="T987" s="620">
        <f t="shared" ca="1" si="1934"/>
        <v>347.39400079893625</v>
      </c>
      <c r="U987" s="620">
        <f t="shared" ca="1" si="1934"/>
        <v>437.35689145607768</v>
      </c>
      <c r="V987" s="620">
        <f t="shared" ca="1" si="1934"/>
        <v>96.670468652994259</v>
      </c>
      <c r="W987" s="620">
        <f ca="1">SUM(P987:V987)</f>
        <v>1757.7655247281994</v>
      </c>
      <c r="Y987" s="620">
        <f t="shared" ref="Y987:AE987" ca="1" si="1935">Y981*Y985/1000</f>
        <v>75.946324839460218</v>
      </c>
      <c r="Z987" s="620">
        <f t="shared" ca="1" si="1935"/>
        <v>8.8798531307926325</v>
      </c>
      <c r="AA987" s="620">
        <f t="shared" ca="1" si="1935"/>
        <v>124.21676531193287</v>
      </c>
      <c r="AB987" s="620">
        <f t="shared" ca="1" si="1935"/>
        <v>71.491758661595611</v>
      </c>
      <c r="AC987" s="620">
        <f t="shared" ca="1" si="1935"/>
        <v>241.2068386286937</v>
      </c>
      <c r="AD987" s="620">
        <f t="shared" ca="1" si="1935"/>
        <v>600.52919574941279</v>
      </c>
      <c r="AE987" s="620">
        <f t="shared" ca="1" si="1935"/>
        <v>144.43701964679457</v>
      </c>
      <c r="AF987" s="620">
        <f ca="1">SUM(Y987:AE987)</f>
        <v>1266.7077559686825</v>
      </c>
      <c r="AH987" s="620">
        <f t="shared" ref="AH987:AN987" ca="1" si="1936">AH981*AH985/1000</f>
        <v>145.04842342099295</v>
      </c>
      <c r="AI987" s="620">
        <f t="shared" ca="1" si="1936"/>
        <v>29.556208151765954</v>
      </c>
      <c r="AJ987" s="620">
        <f t="shared" ca="1" si="1936"/>
        <v>165.07713037126706</v>
      </c>
      <c r="AK987" s="620">
        <f t="shared" ca="1" si="1936"/>
        <v>46.653496571881981</v>
      </c>
      <c r="AL987" s="620">
        <f t="shared" ca="1" si="1936"/>
        <v>186.83410847579322</v>
      </c>
      <c r="AM987" s="620">
        <f t="shared" ca="1" si="1936"/>
        <v>438.10154033173586</v>
      </c>
      <c r="AN987" s="620">
        <f t="shared" ca="1" si="1936"/>
        <v>182.602085450667</v>
      </c>
      <c r="AO987" s="620">
        <f ca="1">SUM(AH987:AN987)</f>
        <v>1193.8729927741042</v>
      </c>
      <c r="AQ987" s="620">
        <f t="shared" ref="AQ987:AW987" ca="1" si="1937">AQ977*AQ985/1000</f>
        <v>0</v>
      </c>
      <c r="AR987" s="620">
        <f t="shared" ca="1" si="1937"/>
        <v>0</v>
      </c>
      <c r="AS987" s="620">
        <f t="shared" ca="1" si="1937"/>
        <v>0</v>
      </c>
      <c r="AT987" s="620">
        <f t="shared" ca="1" si="1937"/>
        <v>0</v>
      </c>
      <c r="AU987" s="620">
        <f t="shared" ca="1" si="1937"/>
        <v>0</v>
      </c>
      <c r="AV987" s="620">
        <f t="shared" ca="1" si="1937"/>
        <v>0</v>
      </c>
      <c r="AW987" s="620">
        <f t="shared" ca="1" si="1937"/>
        <v>0</v>
      </c>
      <c r="AX987" s="620">
        <f ca="1">SUM(AQ987:AW987)</f>
        <v>0</v>
      </c>
      <c r="AZ987" s="620">
        <f t="shared" ref="AZ987:BF987" ca="1" si="1938">AZ981*AZ985/1000</f>
        <v>33.908425882668496</v>
      </c>
      <c r="BA987" s="620">
        <f t="shared" ca="1" si="1938"/>
        <v>16.642503780599665</v>
      </c>
      <c r="BB987" s="620">
        <f t="shared" ca="1" si="1938"/>
        <v>136.13781935882099</v>
      </c>
      <c r="BC987" s="620">
        <f t="shared" ca="1" si="1938"/>
        <v>39.535164270295219</v>
      </c>
      <c r="BD987" s="620">
        <f t="shared" ca="1" si="1938"/>
        <v>110.71981283559566</v>
      </c>
      <c r="BE987" s="620">
        <f t="shared" ca="1" si="1938"/>
        <v>214.67518018377214</v>
      </c>
      <c r="BF987" s="620">
        <f t="shared" ca="1" si="1938"/>
        <v>59.560598168149099</v>
      </c>
      <c r="BG987" s="620">
        <f ca="1">SUM(AZ987:BF987)</f>
        <v>611.17950447990131</v>
      </c>
      <c r="BI987" s="620">
        <f t="shared" ref="BI987:BO987" ca="1" si="1939">BI981*BI985/1000</f>
        <v>9.7285535811680006</v>
      </c>
      <c r="BJ987" s="620">
        <f t="shared" ca="1" si="1939"/>
        <v>4.9306039831169377</v>
      </c>
      <c r="BK987" s="620">
        <f t="shared" ca="1" si="1939"/>
        <v>39.787296790621056</v>
      </c>
      <c r="BL987" s="620">
        <f t="shared" ca="1" si="1939"/>
        <v>11.350628231484411</v>
      </c>
      <c r="BM987" s="620">
        <f t="shared" ca="1" si="1939"/>
        <v>31.67448564834018</v>
      </c>
      <c r="BN987" s="620">
        <f t="shared" ca="1" si="1939"/>
        <v>61.987111423619183</v>
      </c>
      <c r="BO987" s="620">
        <f t="shared" ca="1" si="1939"/>
        <v>17.143350479485736</v>
      </c>
      <c r="BP987" s="620">
        <f ca="1">SUM(BI987:BO987)</f>
        <v>176.6020301378355</v>
      </c>
    </row>
    <row r="988" spans="2:68" ht="13.2" customHeight="1">
      <c r="B988" s="215" t="str">
        <f>CONCATENATE("Product of Rows ",O981, " (toll-paying vehicles) and ",O985, " (toll per trip).")</f>
        <v>Product of Rows 981 (toll-paying vehicles) and 985 (toll per trip).</v>
      </c>
      <c r="G988" s="620"/>
      <c r="H988" s="620"/>
      <c r="I988" s="620"/>
      <c r="J988" s="620"/>
      <c r="K988" s="620"/>
      <c r="L988" s="620"/>
      <c r="M988" s="620"/>
      <c r="N988" s="958"/>
      <c r="O988" s="39">
        <f>ROW()</f>
        <v>988</v>
      </c>
      <c r="P988" s="620"/>
      <c r="Q988" s="620"/>
      <c r="R988" s="620"/>
      <c r="S988" s="620"/>
      <c r="T988" s="620"/>
      <c r="U988" s="620"/>
      <c r="V988" s="620"/>
      <c r="W988" s="620"/>
      <c r="Y988" s="620"/>
      <c r="Z988" s="620"/>
      <c r="AA988" s="620"/>
      <c r="AB988" s="620"/>
      <c r="AC988" s="620"/>
      <c r="AD988" s="620"/>
      <c r="AE988" s="620"/>
      <c r="AF988" s="620"/>
      <c r="AH988" s="620"/>
      <c r="AI988" s="620"/>
      <c r="AJ988" s="620"/>
      <c r="AK988" s="620"/>
      <c r="AL988" s="620"/>
      <c r="AM988" s="620"/>
      <c r="AN988" s="620"/>
      <c r="AO988" s="620"/>
      <c r="AQ988" s="620"/>
      <c r="AR988" s="620"/>
      <c r="AS988" s="620"/>
      <c r="AT988" s="620"/>
      <c r="AU988" s="620"/>
      <c r="AV988" s="620"/>
      <c r="AW988" s="620"/>
      <c r="AX988" s="620"/>
      <c r="AZ988" s="620"/>
      <c r="BA988" s="620"/>
      <c r="BB988" s="620"/>
      <c r="BC988" s="620"/>
      <c r="BD988" s="620"/>
      <c r="BE988" s="620"/>
      <c r="BF988" s="620"/>
      <c r="BG988" s="620"/>
      <c r="BI988" s="620"/>
      <c r="BJ988" s="620"/>
      <c r="BK988" s="620"/>
      <c r="BL988" s="620"/>
      <c r="BM988" s="620"/>
      <c r="BN988" s="620"/>
      <c r="BO988" s="620"/>
      <c r="BP988" s="620"/>
    </row>
    <row r="989" spans="2:68" ht="13.2" customHeight="1">
      <c r="B989" s="1" t="s">
        <v>5403</v>
      </c>
      <c r="G989" s="620">
        <f t="shared" ref="G989:M989" ca="1" si="1940">P987+Y987+AH987</f>
        <v>264.51590847624823</v>
      </c>
      <c r="H989" s="620">
        <f t="shared" ca="1" si="1940"/>
        <v>111.87549048898717</v>
      </c>
      <c r="I989" s="620">
        <f t="shared" ca="1" si="1940"/>
        <v>904.68820575258269</v>
      </c>
      <c r="J989" s="620">
        <f t="shared" ca="1" si="1940"/>
        <v>262.13451956206222</v>
      </c>
      <c r="K989" s="620">
        <f t="shared" ca="1" si="1940"/>
        <v>775.43494790342311</v>
      </c>
      <c r="L989" s="620">
        <f t="shared" ca="1" si="1940"/>
        <v>1475.9876275372262</v>
      </c>
      <c r="M989" s="620">
        <f t="shared" ca="1" si="1940"/>
        <v>423.70957375045583</v>
      </c>
      <c r="N989" s="958">
        <f ca="1">SUM(G989:M989)</f>
        <v>4218.3462734709856</v>
      </c>
      <c r="O989" s="39">
        <f>ROW()</f>
        <v>989</v>
      </c>
      <c r="P989" s="620"/>
      <c r="Q989" s="620"/>
      <c r="R989" s="620"/>
      <c r="S989" s="620"/>
      <c r="T989" s="620"/>
      <c r="U989" s="620"/>
      <c r="V989" s="620"/>
      <c r="W989" s="620"/>
      <c r="Y989" s="620"/>
      <c r="Z989" s="620"/>
      <c r="AA989" s="620"/>
      <c r="AB989" s="620"/>
      <c r="AC989" s="620"/>
      <c r="AD989" s="620"/>
      <c r="AE989" s="620"/>
      <c r="AF989" s="620"/>
      <c r="AH989" s="620"/>
      <c r="AI989" s="620"/>
      <c r="AJ989" s="620"/>
      <c r="AK989" s="620"/>
      <c r="AL989" s="620"/>
      <c r="AM989" s="620"/>
      <c r="AN989" s="620"/>
      <c r="AO989" s="620"/>
      <c r="AQ989" s="620"/>
      <c r="AR989" s="620"/>
      <c r="AS989" s="620"/>
      <c r="AT989" s="620"/>
      <c r="AU989" s="620"/>
      <c r="AV989" s="620"/>
      <c r="AW989" s="620"/>
      <c r="AX989" s="620"/>
      <c r="AZ989" s="620"/>
      <c r="BA989" s="620"/>
      <c r="BB989" s="620"/>
      <c r="BC989" s="620"/>
      <c r="BD989" s="620"/>
      <c r="BE989" s="620"/>
      <c r="BF989" s="620"/>
      <c r="BG989" s="620"/>
      <c r="BI989" s="620"/>
      <c r="BJ989" s="620"/>
      <c r="BK989" s="620"/>
      <c r="BL989" s="620"/>
      <c r="BM989" s="620"/>
      <c r="BN989" s="620"/>
      <c r="BO989" s="620"/>
      <c r="BP989" s="620"/>
    </row>
    <row r="990" spans="2:68" ht="13.2" customHeight="1">
      <c r="B990" s="215" t="str">
        <f>CONCATENATE("Same note as Row ",O988, ", except only first 3 column-blocks are summed.")</f>
        <v>Same note as Row 988, except only first 3 column-blocks are summed.</v>
      </c>
      <c r="G990" s="620"/>
      <c r="H990" s="620"/>
      <c r="I990" s="620"/>
      <c r="J990" s="620"/>
      <c r="K990" s="620"/>
      <c r="L990" s="620"/>
      <c r="M990" s="620"/>
      <c r="N990" s="958"/>
      <c r="O990" s="39">
        <f>ROW()</f>
        <v>990</v>
      </c>
      <c r="P990" s="620"/>
      <c r="Q990" s="620"/>
      <c r="R990" s="620"/>
      <c r="S990" s="620"/>
      <c r="T990" s="620"/>
      <c r="U990" s="620"/>
      <c r="V990" s="620"/>
      <c r="W990" s="620"/>
      <c r="Y990" s="620"/>
      <c r="Z990" s="620"/>
      <c r="AA990" s="620"/>
      <c r="AB990" s="620"/>
      <c r="AC990" s="620"/>
      <c r="AD990" s="620"/>
      <c r="AE990" s="620"/>
      <c r="AF990" s="620"/>
      <c r="AH990" s="620"/>
      <c r="AI990" s="620"/>
      <c r="AJ990" s="620"/>
      <c r="AK990" s="620"/>
      <c r="AL990" s="620"/>
      <c r="AM990" s="620"/>
      <c r="AN990" s="620"/>
      <c r="AO990" s="620"/>
      <c r="AQ990" s="620"/>
      <c r="AR990" s="620"/>
      <c r="AS990" s="620"/>
      <c r="AT990" s="620"/>
      <c r="AU990" s="620"/>
      <c r="AV990" s="620"/>
      <c r="AW990" s="620"/>
      <c r="AX990" s="620"/>
      <c r="AZ990" s="620"/>
      <c r="BA990" s="620"/>
      <c r="BB990" s="620"/>
      <c r="BC990" s="620"/>
      <c r="BD990" s="620"/>
      <c r="BE990" s="620"/>
      <c r="BF990" s="620"/>
      <c r="BG990" s="620"/>
      <c r="BI990" s="620"/>
      <c r="BJ990" s="620"/>
      <c r="BK990" s="620"/>
      <c r="BL990" s="620"/>
      <c r="BM990" s="620"/>
      <c r="BN990" s="620"/>
      <c r="BO990" s="620"/>
      <c r="BP990" s="620"/>
    </row>
    <row r="991" spans="2:68" ht="13.2" customHeight="1">
      <c r="B991" t="s">
        <v>2181</v>
      </c>
      <c r="G991" s="3186"/>
      <c r="N991" s="2453">
        <f>weekday_per_yr</f>
        <v>250</v>
      </c>
      <c r="O991" s="39">
        <f>ROW()</f>
        <v>991</v>
      </c>
      <c r="P991" s="309"/>
      <c r="Y991" s="309"/>
      <c r="AH991" s="309"/>
      <c r="AI991" s="309"/>
      <c r="AJ991" s="309"/>
      <c r="AK991" s="309"/>
      <c r="AL991" s="309"/>
      <c r="AM991" s="309"/>
      <c r="AN991" s="309"/>
      <c r="AO991" s="309"/>
      <c r="AQ991" s="309"/>
      <c r="AZ991" s="309"/>
      <c r="BI991" s="309"/>
    </row>
    <row r="992" spans="2:68" s="6" customFormat="1" ht="13.2" customHeight="1">
      <c r="B992" s="6" t="s">
        <v>1889</v>
      </c>
      <c r="L992" s="668">
        <f ca="1">L987*$N$991/1000</f>
        <v>438.16247978615439</v>
      </c>
      <c r="N992" s="668">
        <f ca="1">N987*$N$991/1000</f>
        <v>1251.5319520221803</v>
      </c>
      <c r="O992" s="39">
        <f>ROW()</f>
        <v>992</v>
      </c>
      <c r="P992" s="322"/>
      <c r="Y992" s="322"/>
      <c r="AH992" s="322"/>
      <c r="AI992" s="322"/>
      <c r="AJ992" s="322"/>
      <c r="AK992" s="322"/>
      <c r="AL992" s="322"/>
      <c r="AM992" s="322"/>
      <c r="AN992" s="322"/>
      <c r="AO992" s="322"/>
      <c r="AQ992" s="322"/>
      <c r="AZ992" s="322"/>
      <c r="BF992" s="1816" t="s">
        <v>5630</v>
      </c>
      <c r="BG992" s="3217">
        <f ca="1">BG987*wkday_per_yr/1000</f>
        <v>152.79487611997533</v>
      </c>
      <c r="BI992" s="322"/>
    </row>
    <row r="993" spans="2:61" ht="13.2" customHeight="1">
      <c r="O993" s="39">
        <f>ROW()</f>
        <v>993</v>
      </c>
      <c r="P993" s="309"/>
      <c r="Y993" s="309"/>
      <c r="AH993" s="309"/>
      <c r="AI993" s="309"/>
      <c r="AJ993" s="309"/>
      <c r="AK993" s="309"/>
      <c r="AL993" s="309"/>
      <c r="AM993" s="309"/>
      <c r="AN993" s="309"/>
      <c r="AO993" s="309"/>
      <c r="AQ993" s="309"/>
      <c r="AZ993" s="309"/>
      <c r="BI993" s="309"/>
    </row>
    <row r="994" spans="2:61" ht="13.2" customHeight="1">
      <c r="B994" s="6" t="s">
        <v>764</v>
      </c>
      <c r="N994" s="591">
        <f ca="1">(W977*W256+AF977*AF256+AO977*AO256+BG977*BG256+BP977*BP256)/(W977+AF977+AO977+BG977+BP977)</f>
        <v>2.5014591610964909</v>
      </c>
      <c r="O994" s="39">
        <f>ROW()</f>
        <v>994</v>
      </c>
    </row>
    <row r="995" spans="2:61" ht="13.2" customHeight="1">
      <c r="O995" s="39">
        <f>ROW()</f>
        <v>995</v>
      </c>
    </row>
    <row r="996" spans="2:61" s="3223" customFormat="1" ht="13.2" customHeight="1">
      <c r="B996" s="2" t="s">
        <v>5637</v>
      </c>
      <c r="O996" s="39">
        <f>ROW()</f>
        <v>996</v>
      </c>
    </row>
    <row r="997" spans="2:61" s="3223" customFormat="1" ht="13.2" customHeight="1">
      <c r="O997" s="39">
        <f>ROW()</f>
        <v>997</v>
      </c>
    </row>
    <row r="998" spans="2:61" s="3223" customFormat="1" ht="13.2" customHeight="1">
      <c r="B998" s="1" t="s">
        <v>5638</v>
      </c>
      <c r="L998" s="39">
        <f>SUM('Weekday Hours'!D49:D50)/SUM('Weekday Hours'!D45:D50)</f>
        <v>0.32003018837680708</v>
      </c>
      <c r="O998" s="39">
        <f>ROW()</f>
        <v>998</v>
      </c>
    </row>
    <row r="999" spans="2:61" s="3223" customFormat="1" ht="13.2" customHeight="1">
      <c r="B999" s="265" t="s">
        <v>5639</v>
      </c>
      <c r="L999" s="39"/>
      <c r="O999" s="39">
        <f>ROW()</f>
        <v>999</v>
      </c>
    </row>
    <row r="1000" spans="2:61" s="3223" customFormat="1" ht="13.2" customHeight="1">
      <c r="B1000" s="1" t="s">
        <v>5640</v>
      </c>
      <c r="L1000" s="39">
        <f>('User Inputs'!J28-'User Inputs'!J26)/'User Inputs'!J28</f>
        <v>0.26315789473684209</v>
      </c>
      <c r="O1000" s="39">
        <f>ROW()</f>
        <v>1000</v>
      </c>
    </row>
    <row r="1001" spans="2:61" s="3223" customFormat="1" ht="13.2" customHeight="1">
      <c r="B1001" s="265" t="str">
        <f>CONCATENATE("Ratio of difference between respective toll rates (difference between Rows ",'User Inputs'!N28, " and ",'User Inputs'!N26, ") to peak toll rate (Row ",'User Inputs'!N28, ").")</f>
        <v>Ratio of difference between respective toll rates (difference between Rows 28 and 26) to peak toll rate (Row 28).</v>
      </c>
      <c r="O1001" s="39">
        <f>ROW()</f>
        <v>1001</v>
      </c>
    </row>
    <row r="1002" spans="2:61" s="3223" customFormat="1" ht="13.2" customHeight="1">
      <c r="B1002" s="1" t="s">
        <v>5641</v>
      </c>
      <c r="L1002" s="3227">
        <f ca="1">L998*L1000*L992</f>
        <v>36.901373933055766</v>
      </c>
      <c r="M1002" s="1" t="s">
        <v>5642</v>
      </c>
      <c r="O1002" s="39">
        <f>ROW()</f>
        <v>1002</v>
      </c>
    </row>
    <row r="1003" spans="2:61" s="3223" customFormat="1" ht="13.2" customHeight="1">
      <c r="B1003" s="265" t="str">
        <f>CONCATENATE("Product of (i) percentage in Row ",O998, "; (ii) percentage in Row ",O1000, "; and (iii) annual revenue in millions for this time slot in Row ",O992, ".")</f>
        <v>Product of (i) percentage in Row 998; (ii) percentage in Row 1000; and (iii) annual revenue in millions for this time slot in Row 992.</v>
      </c>
      <c r="L1003" s="620"/>
      <c r="O1003" s="39">
        <f>ROW()</f>
        <v>1003</v>
      </c>
    </row>
    <row r="1004" spans="2:61" ht="13.2" customHeight="1">
      <c r="O1004" s="39">
        <f>ROW()</f>
        <v>1004</v>
      </c>
    </row>
    <row r="1005" spans="2:61" ht="13.2" customHeight="1">
      <c r="B1005" s="6" t="str">
        <f>CONCATENATE("Graph starting in Row ",O946, " is enlarged here for copying to our forthcoming slide presentation.")</f>
        <v>Graph starting in Row 946 is enlarged here for copying to our forthcoming slide presentation.</v>
      </c>
      <c r="O1005" s="39">
        <f>ROW()</f>
        <v>1005</v>
      </c>
    </row>
    <row r="1006" spans="2:61" ht="13.2" customHeight="1">
      <c r="O1006" s="39">
        <f>ROW()</f>
        <v>1006</v>
      </c>
    </row>
    <row r="1007" spans="2:61" ht="13.2" customHeight="1">
      <c r="O1007" s="39">
        <f>ROW()</f>
        <v>1007</v>
      </c>
    </row>
    <row r="1008" spans="2:61" ht="13.2" customHeight="1">
      <c r="O1008" s="39">
        <f>ROW()</f>
        <v>1008</v>
      </c>
    </row>
    <row r="1009" spans="2:15" ht="13.2" customHeight="1">
      <c r="O1009" s="39">
        <f>ROW()</f>
        <v>1009</v>
      </c>
    </row>
    <row r="1010" spans="2:15" ht="13.2" customHeight="1">
      <c r="O1010" s="39">
        <f>ROW()</f>
        <v>1010</v>
      </c>
    </row>
    <row r="1011" spans="2:15" ht="13.2" customHeight="1">
      <c r="B1011">
        <v>1</v>
      </c>
      <c r="C1011" s="10">
        <f t="shared" ref="C1011:C1020" ca="1" si="1941">L934</f>
        <v>-147518.26180425752</v>
      </c>
      <c r="O1011" s="39">
        <f>ROW()</f>
        <v>1011</v>
      </c>
    </row>
    <row r="1012" spans="2:15" ht="13.2" customHeight="1">
      <c r="B1012">
        <v>2</v>
      </c>
      <c r="C1012" s="10">
        <f t="shared" ca="1" si="1941"/>
        <v>85204.739315971849</v>
      </c>
      <c r="O1012" s="39">
        <f>ROW()</f>
        <v>1012</v>
      </c>
    </row>
    <row r="1013" spans="2:15" ht="13.2" customHeight="1">
      <c r="B1013">
        <v>3</v>
      </c>
      <c r="C1013" s="10">
        <f t="shared" ca="1" si="1941"/>
        <v>-71072.497875822708</v>
      </c>
      <c r="O1013" s="39">
        <f>ROW()</f>
        <v>1013</v>
      </c>
    </row>
    <row r="1014" spans="2:15" ht="13.2" customHeight="1">
      <c r="B1014">
        <v>4</v>
      </c>
      <c r="C1014" s="10">
        <f t="shared" ca="1" si="1941"/>
        <v>53113.67623854999</v>
      </c>
      <c r="O1014" s="39">
        <f>ROW()</f>
        <v>1014</v>
      </c>
    </row>
    <row r="1015" spans="2:15" ht="13.2" customHeight="1">
      <c r="B1015">
        <v>5</v>
      </c>
      <c r="C1015" s="10">
        <f t="shared" ca="1" si="1941"/>
        <v>-31605.872546838596</v>
      </c>
      <c r="O1015" s="39">
        <f>ROW()</f>
        <v>1015</v>
      </c>
    </row>
    <row r="1016" spans="2:15" ht="13.2" customHeight="1">
      <c r="B1016">
        <v>6</v>
      </c>
      <c r="C1016" s="10">
        <f t="shared" ca="1" si="1941"/>
        <v>3062.6993278136943</v>
      </c>
      <c r="O1016" s="39">
        <f>ROW()</f>
        <v>1016</v>
      </c>
    </row>
    <row r="1017" spans="2:15" ht="13.2" customHeight="1">
      <c r="B1017">
        <v>7</v>
      </c>
      <c r="C1017" s="10">
        <f t="shared" ca="1" si="1941"/>
        <v>-355.18256393936463</v>
      </c>
      <c r="O1017" s="39">
        <f>ROW()</f>
        <v>1017</v>
      </c>
    </row>
    <row r="1018" spans="2:15" ht="13.2" customHeight="1">
      <c r="B1018">
        <v>8</v>
      </c>
      <c r="C1018" s="10">
        <f t="shared" ca="1" si="1941"/>
        <v>8.1693011537427083</v>
      </c>
      <c r="O1018" s="39">
        <f>ROW()</f>
        <v>1018</v>
      </c>
    </row>
    <row r="1019" spans="2:15" ht="13.2" customHeight="1">
      <c r="B1019">
        <v>9</v>
      </c>
      <c r="C1019" s="10">
        <f t="shared" ca="1" si="1941"/>
        <v>7.9625871883472428</v>
      </c>
      <c r="O1019" s="39">
        <f>ROW()</f>
        <v>1019</v>
      </c>
    </row>
    <row r="1020" spans="2:15" ht="13.2" customHeight="1">
      <c r="B1020">
        <v>10</v>
      </c>
      <c r="C1020" s="10">
        <f t="shared" ca="1" si="1941"/>
        <v>-11.805744831683114</v>
      </c>
      <c r="O1020" s="39">
        <f>ROW()</f>
        <v>1020</v>
      </c>
    </row>
    <row r="1021" spans="2:15" ht="13.2" customHeight="1">
      <c r="C1021" s="10"/>
      <c r="O1021" s="39">
        <f>ROW()</f>
        <v>1021</v>
      </c>
    </row>
    <row r="1022" spans="2:15" ht="13.2" customHeight="1">
      <c r="O1022" s="39">
        <f>ROW()</f>
        <v>1022</v>
      </c>
    </row>
    <row r="1023" spans="2:15" ht="13.2" customHeight="1">
      <c r="O1023" s="39">
        <f>ROW()</f>
        <v>1023</v>
      </c>
    </row>
    <row r="1024" spans="2:15" ht="13.2" customHeight="1">
      <c r="O1024" s="39">
        <f>ROW()</f>
        <v>1024</v>
      </c>
    </row>
    <row r="1025" spans="2:15" ht="13.2" customHeight="1">
      <c r="O1025" s="39">
        <f>ROW()</f>
        <v>1025</v>
      </c>
    </row>
    <row r="1026" spans="2:15" ht="13.2" customHeight="1">
      <c r="O1026" s="39">
        <f>ROW()</f>
        <v>1026</v>
      </c>
    </row>
    <row r="1027" spans="2:15" ht="13.2" customHeight="1">
      <c r="O1027" s="39">
        <f>ROW()</f>
        <v>1027</v>
      </c>
    </row>
    <row r="1028" spans="2:15" ht="13.2" customHeight="1">
      <c r="O1028" s="39">
        <f>ROW()</f>
        <v>1028</v>
      </c>
    </row>
    <row r="1029" spans="2:15" ht="13.2" customHeight="1">
      <c r="O1029" s="39">
        <f>ROW()</f>
        <v>1029</v>
      </c>
    </row>
    <row r="1030" spans="2:15" ht="13.2" customHeight="1">
      <c r="O1030" s="39">
        <f>ROW()</f>
        <v>1030</v>
      </c>
    </row>
    <row r="1031" spans="2:15" ht="13.2" customHeight="1">
      <c r="O1031" s="39">
        <f>ROW()</f>
        <v>1031</v>
      </c>
    </row>
    <row r="1032" spans="2:15" ht="13.2" customHeight="1">
      <c r="O1032" s="39">
        <f>ROW()</f>
        <v>1032</v>
      </c>
    </row>
    <row r="1033" spans="2:15" ht="13.2" customHeight="1">
      <c r="O1033" s="39">
        <f>ROW()</f>
        <v>1033</v>
      </c>
    </row>
    <row r="1034" spans="2:15" ht="13.2" customHeight="1">
      <c r="O1034" s="39">
        <f>ROW()</f>
        <v>1034</v>
      </c>
    </row>
    <row r="1035" spans="2:15" ht="13.2" customHeight="1">
      <c r="B1035" s="6" t="str">
        <f>CONCATENATE("Next graph compiles time-period-switching results starting in Row ",O346, " for copying to our forthcoming slide presentation.")</f>
        <v>Next graph compiles time-period-switching results starting in Row 346 for copying to our forthcoming slide presentation.</v>
      </c>
      <c r="O1035" s="39">
        <f>ROW()</f>
        <v>1035</v>
      </c>
    </row>
    <row r="1036" spans="2:15" ht="13.2" customHeight="1">
      <c r="O1036" s="39">
        <f>ROW()</f>
        <v>1036</v>
      </c>
    </row>
    <row r="1037" spans="2:15" s="6" customFormat="1" ht="13.2" customHeight="1">
      <c r="G1037" s="20" t="str">
        <f t="shared" ref="G1037:N1037" si="1942">G173</f>
        <v>Graveyard</v>
      </c>
      <c r="H1037" s="20" t="str">
        <f t="shared" si="1942"/>
        <v>A.M. Pre-pk</v>
      </c>
      <c r="I1037" s="20" t="str">
        <f t="shared" si="1942"/>
        <v>A.M. Peak</v>
      </c>
      <c r="J1037" s="20" t="str">
        <f t="shared" si="1942"/>
        <v>A.M. Post-pk</v>
      </c>
      <c r="K1037" s="20" t="str">
        <f t="shared" si="1942"/>
        <v>Midday Pk</v>
      </c>
      <c r="L1037" s="20" t="str">
        <f t="shared" si="1942"/>
        <v>P.M. Peak</v>
      </c>
      <c r="M1037" s="20" t="str">
        <f t="shared" si="1942"/>
        <v>P.M. Post-pk</v>
      </c>
      <c r="N1037" s="20" t="str">
        <f t="shared" si="1942"/>
        <v>Totals</v>
      </c>
      <c r="O1037" s="39">
        <f>ROW()</f>
        <v>1037</v>
      </c>
    </row>
    <row r="1038" spans="2:15" ht="13.2" customHeight="1">
      <c r="O1038" s="39">
        <f>ROW()</f>
        <v>1038</v>
      </c>
    </row>
    <row r="1039" spans="2:15" ht="13.2" customHeight="1">
      <c r="B1039" t="str">
        <f>B122</f>
        <v>Daily cordon auto entries (figures are vehicles, not persons)</v>
      </c>
      <c r="G1039" s="1179">
        <f t="shared" ref="G1039:N1039" si="1943">G122</f>
        <v>59816.389783210681</v>
      </c>
      <c r="H1039" s="1179">
        <f t="shared" si="1943"/>
        <v>24061.208416006182</v>
      </c>
      <c r="I1039" s="1179">
        <f t="shared" si="1943"/>
        <v>138773.65063043591</v>
      </c>
      <c r="J1039" s="1179">
        <f t="shared" si="1943"/>
        <v>41059.235442521305</v>
      </c>
      <c r="K1039" s="1179">
        <f t="shared" si="1943"/>
        <v>132453.98342495839</v>
      </c>
      <c r="L1039" s="1179">
        <f t="shared" si="1943"/>
        <v>215013.46225259535</v>
      </c>
      <c r="M1039" s="1179">
        <f t="shared" si="1943"/>
        <v>74755.871219862805</v>
      </c>
      <c r="N1039" s="1179">
        <f t="shared" si="1943"/>
        <v>685933.80116959068</v>
      </c>
      <c r="O1039" s="39">
        <f>ROW()</f>
        <v>1039</v>
      </c>
    </row>
    <row r="1040" spans="2:15" ht="13.2" customHeight="1">
      <c r="B1040" t="s">
        <v>263</v>
      </c>
      <c r="G1040" s="1179">
        <f t="shared" ref="G1040:N1040" si="1944">-G351</f>
        <v>-6.1001202118043304E-13</v>
      </c>
      <c r="H1040" s="1179">
        <f t="shared" si="1944"/>
        <v>-4076.8908368677389</v>
      </c>
      <c r="I1040" s="1179">
        <f t="shared" si="1944"/>
        <v>-2570.8720663786771</v>
      </c>
      <c r="J1040" s="1179">
        <f t="shared" si="1944"/>
        <v>-1122.729046652647</v>
      </c>
      <c r="K1040" s="1179">
        <f t="shared" si="1944"/>
        <v>-2.5139707572302016E-12</v>
      </c>
      <c r="L1040" s="1179">
        <f t="shared" si="1944"/>
        <v>-2428.1734076611892</v>
      </c>
      <c r="M1040" s="1179">
        <f t="shared" si="1944"/>
        <v>-1566.4749501793042</v>
      </c>
      <c r="N1040" s="1179">
        <f t="shared" si="1944"/>
        <v>-11765.140307739561</v>
      </c>
      <c r="O1040" s="39">
        <f>ROW()</f>
        <v>1040</v>
      </c>
    </row>
    <row r="1041" spans="2:15" ht="13.2" customHeight="1">
      <c r="B1041" t="s">
        <v>1663</v>
      </c>
      <c r="G1041" s="1179">
        <f t="shared" ref="G1041:N1041" si="1945">G354</f>
        <v>5643.3657870470433</v>
      </c>
      <c r="H1041" s="1179">
        <f t="shared" si="1945"/>
        <v>2570.8720663786776</v>
      </c>
      <c r="I1041" s="1179">
        <f t="shared" si="1945"/>
        <v>-4.8445193819636507E-14</v>
      </c>
      <c r="J1041" s="1179">
        <f t="shared" si="1945"/>
        <v>1.9512855026332662E-12</v>
      </c>
      <c r="K1041" s="1179">
        <f t="shared" si="1945"/>
        <v>3019.8318438667093</v>
      </c>
      <c r="L1041" s="1179">
        <f t="shared" si="1945"/>
        <v>5.6268525459693547E-13</v>
      </c>
      <c r="M1041" s="1179">
        <f t="shared" si="1945"/>
        <v>531.07061044712668</v>
      </c>
      <c r="N1041" s="1179">
        <f t="shared" si="1945"/>
        <v>11765.140307739557</v>
      </c>
      <c r="O1041" s="39">
        <f>ROW()</f>
        <v>1041</v>
      </c>
    </row>
    <row r="1042" spans="2:15" ht="13.2" customHeight="1">
      <c r="O1042" s="39">
        <f>ROW()</f>
        <v>1042</v>
      </c>
    </row>
    <row r="1043" spans="2:15" ht="13.2" customHeight="1">
      <c r="O1043" s="39">
        <f>ROW()</f>
        <v>1043</v>
      </c>
    </row>
    <row r="1044" spans="2:15" ht="13.2" customHeight="1">
      <c r="O1044" s="39">
        <f>ROW()</f>
        <v>1044</v>
      </c>
    </row>
    <row r="1045" spans="2:15" ht="13.2" customHeight="1">
      <c r="O1045" s="39">
        <f>ROW()</f>
        <v>1045</v>
      </c>
    </row>
    <row r="1046" spans="2:15" ht="13.2" customHeight="1">
      <c r="O1046" s="39">
        <f>ROW()</f>
        <v>1046</v>
      </c>
    </row>
    <row r="1047" spans="2:15" ht="13.2" customHeight="1">
      <c r="O1047" s="39">
        <f>ROW()</f>
        <v>1047</v>
      </c>
    </row>
    <row r="1048" spans="2:15" ht="13.2" customHeight="1">
      <c r="O1048" s="39">
        <f>ROW()</f>
        <v>1048</v>
      </c>
    </row>
    <row r="1049" spans="2:15" ht="13.2" customHeight="1">
      <c r="O1049" s="39">
        <f>ROW()</f>
        <v>1049</v>
      </c>
    </row>
    <row r="1050" spans="2:15" ht="13.2" customHeight="1">
      <c r="O1050" s="39">
        <f>ROW()</f>
        <v>1050</v>
      </c>
    </row>
    <row r="1051" spans="2:15" ht="13.2" customHeight="1">
      <c r="O1051" s="39">
        <f>ROW()</f>
        <v>1051</v>
      </c>
    </row>
    <row r="1052" spans="2:15" ht="13.2" customHeight="1">
      <c r="O1052" s="39">
        <f>ROW()</f>
        <v>1052</v>
      </c>
    </row>
    <row r="1053" spans="2:15" ht="13.2" customHeight="1">
      <c r="O1053" s="39">
        <f>ROW()</f>
        <v>1053</v>
      </c>
    </row>
    <row r="1054" spans="2:15" ht="13.2" customHeight="1">
      <c r="O1054" s="39">
        <f>ROW()</f>
        <v>1054</v>
      </c>
    </row>
    <row r="1055" spans="2:15" ht="13.2" customHeight="1">
      <c r="O1055" s="39">
        <f>ROW()</f>
        <v>1055</v>
      </c>
    </row>
    <row r="1056" spans="2:15" ht="13.2" customHeight="1">
      <c r="O1056" s="39">
        <f>ROW()</f>
        <v>1056</v>
      </c>
    </row>
    <row r="1057" spans="2:15" ht="13.2" customHeight="1">
      <c r="O1057" s="39">
        <f>ROW()</f>
        <v>1057</v>
      </c>
    </row>
    <row r="1058" spans="2:15" ht="13.2" customHeight="1">
      <c r="O1058" s="39">
        <f>ROW()</f>
        <v>1058</v>
      </c>
    </row>
    <row r="1059" spans="2:15" ht="13.2" customHeight="1">
      <c r="O1059" s="39">
        <f>ROW()</f>
        <v>1059</v>
      </c>
    </row>
    <row r="1060" spans="2:15" ht="13.2" customHeight="1">
      <c r="O1060" s="39">
        <f>ROW()</f>
        <v>1060</v>
      </c>
    </row>
    <row r="1061" spans="2:15" ht="13.2" customHeight="1">
      <c r="O1061" s="39">
        <f>ROW()</f>
        <v>1061</v>
      </c>
    </row>
    <row r="1062" spans="2:15" ht="13.2" customHeight="1">
      <c r="O1062" s="39">
        <f>ROW()</f>
        <v>1062</v>
      </c>
    </row>
    <row r="1063" spans="2:15" ht="13.2" customHeight="1">
      <c r="O1063" s="39">
        <f>ROW()</f>
        <v>1063</v>
      </c>
    </row>
    <row r="1064" spans="2:15" ht="13.2" customHeight="1">
      <c r="O1064" s="39">
        <f>ROW()</f>
        <v>1064</v>
      </c>
    </row>
    <row r="1065" spans="2:15" ht="13.2" customHeight="1">
      <c r="O1065" s="39">
        <f>ROW()</f>
        <v>1065</v>
      </c>
    </row>
    <row r="1066" spans="2:15" ht="13.2" customHeight="1">
      <c r="O1066" s="39">
        <f>ROW()</f>
        <v>1066</v>
      </c>
    </row>
    <row r="1067" spans="2:15" ht="13.2" customHeight="1">
      <c r="O1067" s="39">
        <f>ROW()</f>
        <v>1067</v>
      </c>
    </row>
    <row r="1068" spans="2:15" ht="13.2" customHeight="1">
      <c r="O1068" s="39">
        <f>ROW()</f>
        <v>1068</v>
      </c>
    </row>
    <row r="1069" spans="2:15" ht="13.2" customHeight="1">
      <c r="O1069" s="39">
        <f>ROW()</f>
        <v>1069</v>
      </c>
    </row>
    <row r="1070" spans="2:15" ht="13.2" customHeight="1">
      <c r="B1070" s="2" t="s">
        <v>4324</v>
      </c>
      <c r="O1070" s="39">
        <f>ROW()</f>
        <v>1070</v>
      </c>
    </row>
    <row r="1071" spans="2:15" ht="13.2" customHeight="1">
      <c r="O1071" s="39">
        <f>ROW()</f>
        <v>1071</v>
      </c>
    </row>
    <row r="1072" spans="2:15" ht="13.2" customHeight="1">
      <c r="C1072" s="160"/>
      <c r="D1072" s="160"/>
      <c r="E1072" s="160"/>
      <c r="F1072" s="160"/>
      <c r="G1072" s="2445" t="s">
        <v>4330</v>
      </c>
      <c r="H1072" s="4253" t="s">
        <v>4328</v>
      </c>
      <c r="I1072" s="2445" t="s">
        <v>4330</v>
      </c>
      <c r="J1072" s="2445" t="s">
        <v>4330</v>
      </c>
      <c r="L1072" s="880"/>
      <c r="M1072" s="880"/>
      <c r="N1072" s="880"/>
      <c r="O1072" s="39">
        <f>ROW()</f>
        <v>1072</v>
      </c>
    </row>
    <row r="1073" spans="2:15" ht="13.2" customHeight="1">
      <c r="B1073" s="308"/>
      <c r="G1073" s="2442" t="s">
        <v>4325</v>
      </c>
      <c r="H1073" s="4254"/>
      <c r="I1073" s="2442" t="s">
        <v>4326</v>
      </c>
      <c r="J1073" s="2442" t="s">
        <v>4327</v>
      </c>
      <c r="L1073" s="2442"/>
      <c r="M1073" s="2442"/>
      <c r="N1073" s="2442"/>
      <c r="O1073" s="39">
        <f>ROW()</f>
        <v>1073</v>
      </c>
    </row>
    <row r="1074" spans="2:15" ht="13.2" customHeight="1">
      <c r="B1074" s="1" t="s">
        <v>4332</v>
      </c>
      <c r="I1074" s="4268" t="s">
        <v>4331</v>
      </c>
      <c r="J1074" s="4269"/>
      <c r="O1074" s="39">
        <f>ROW()</f>
        <v>1074</v>
      </c>
    </row>
    <row r="1075" spans="2:15" ht="13.2" customHeight="1">
      <c r="B1075" s="265" t="s">
        <v>4333</v>
      </c>
      <c r="I1075" s="4384"/>
      <c r="J1075" s="4385"/>
      <c r="O1075" s="39">
        <f>ROW()</f>
        <v>1075</v>
      </c>
    </row>
    <row r="1076" spans="2:15" ht="13.2" customHeight="1">
      <c r="B1076" s="312" t="s">
        <v>1463</v>
      </c>
      <c r="G1076" s="91">
        <f>(G147+H147)/(G147*G185+H147*H185)</f>
        <v>20.920393989985936</v>
      </c>
      <c r="I1076" s="91">
        <f>(I147+J147)/(I147*I185+J147*J185)</f>
        <v>9.326814317592568</v>
      </c>
      <c r="J1076" s="91">
        <f>(J147+K147)/(J147*J185+K147*K185)</f>
        <v>11.50443548672199</v>
      </c>
      <c r="O1076" s="39">
        <f>ROW()</f>
        <v>1076</v>
      </c>
    </row>
    <row r="1077" spans="2:15" ht="13.2" customHeight="1">
      <c r="B1077" s="312" t="s">
        <v>2378</v>
      </c>
      <c r="G1077" s="91">
        <f ca="1">(G883+H883)/(G883*G925+H883*H925)</f>
        <v>21.170312204183535</v>
      </c>
      <c r="I1077" s="91">
        <f ca="1">(I883+J883)/(I883*I925+J883*J925)</f>
        <v>11.083244203092672</v>
      </c>
      <c r="J1077" s="91">
        <f ca="1">(J883+K883)/(J883*J925+K883*K925)</f>
        <v>12.926243554536903</v>
      </c>
      <c r="O1077" s="39">
        <f>ROW()</f>
        <v>1077</v>
      </c>
    </row>
    <row r="1078" spans="2:15" ht="13.2" customHeight="1">
      <c r="B1078" s="312" t="s">
        <v>2676</v>
      </c>
      <c r="G1078" s="39">
        <f ca="1">G1077/G1076-1</f>
        <v>1.1946152367743545E-2</v>
      </c>
      <c r="I1078" s="39">
        <f ca="1">I1077/I1076-1</f>
        <v>0.18832045173099066</v>
      </c>
      <c r="J1078" s="39">
        <f ca="1">J1077/J1076-1</f>
        <v>0.12358781701682919</v>
      </c>
      <c r="O1078" s="39">
        <f>ROW()</f>
        <v>1078</v>
      </c>
    </row>
  </sheetData>
  <sheetProtection formatCells="0" formatColumns="0" formatRows="0" insertColumns="0" insertRows="0" insertHyperlinks="0" deleteColumns="0" deleteRows="0" sort="0" autoFilter="0" pivotTables="0"/>
  <customSheetViews>
    <customSheetView guid="{BD5E6263-A0AD-4076-921A-D4EBD62848EF}" showPageBreaks="1" printArea="1" showRuler="0" topLeftCell="AW73">
      <selection activeCell="L154" sqref="L154"/>
      <pageMargins left="0.56000000000000005" right="0.25" top="1" bottom="1" header="0.5" footer="0.5"/>
      <printOptions gridLines="1"/>
      <pageSetup orientation="landscape" r:id="rId1"/>
      <headerFooter alignWithMargins="0"/>
    </customSheetView>
    <customSheetView guid="{1D5AE30A-CA7C-4B32-AEA4-9F37A560AAA8}" showPageBreaks="1" printArea="1" showRuler="0" topLeftCell="A128">
      <selection activeCell="L154" sqref="L154"/>
      <pageMargins left="0.56000000000000005" right="0.25" top="1" bottom="1" header="0.5" footer="0.5"/>
      <printOptions gridLines="1"/>
      <pageSetup orientation="landscape" r:id="rId2"/>
      <headerFooter alignWithMargins="0"/>
    </customSheetView>
  </customSheetViews>
  <mergeCells count="305">
    <mergeCell ref="L316:N319"/>
    <mergeCell ref="I297:L299"/>
    <mergeCell ref="M297:M298"/>
    <mergeCell ref="H77:H78"/>
    <mergeCell ref="M77:N77"/>
    <mergeCell ref="L77:L78"/>
    <mergeCell ref="D70:H71"/>
    <mergeCell ref="M74:N74"/>
    <mergeCell ref="F72:I74"/>
    <mergeCell ref="B72:E74"/>
    <mergeCell ref="G233:L235"/>
    <mergeCell ref="G213:L217"/>
    <mergeCell ref="B219:L220"/>
    <mergeCell ref="L203:N205"/>
    <mergeCell ref="B210:L212"/>
    <mergeCell ref="B187:G189"/>
    <mergeCell ref="B195:L197"/>
    <mergeCell ref="B177:L179"/>
    <mergeCell ref="H259:K261"/>
    <mergeCell ref="L264:L265"/>
    <mergeCell ref="H284:N286"/>
    <mergeCell ref="AZ4:BG8"/>
    <mergeCell ref="BC17:BD17"/>
    <mergeCell ref="AQ34:AX34"/>
    <mergeCell ref="AQ2:AX4"/>
    <mergeCell ref="P34:W34"/>
    <mergeCell ref="B33:H34"/>
    <mergeCell ref="I34:N34"/>
    <mergeCell ref="I30:J30"/>
    <mergeCell ref="I27:L27"/>
    <mergeCell ref="AQ6:AX8"/>
    <mergeCell ref="K59:K60"/>
    <mergeCell ref="I33:N33"/>
    <mergeCell ref="L38:N38"/>
    <mergeCell ref="I42:J42"/>
    <mergeCell ref="L42:N42"/>
    <mergeCell ref="I53:J53"/>
    <mergeCell ref="AH34:AO34"/>
    <mergeCell ref="AZ34:BG34"/>
    <mergeCell ref="AZ60:BG60"/>
    <mergeCell ref="AX330:AX331"/>
    <mergeCell ref="AQ151:AX151"/>
    <mergeCell ref="AH60:AO60"/>
    <mergeCell ref="AZ88:BG88"/>
    <mergeCell ref="AZ120:BG120"/>
    <mergeCell ref="AZ89:BG89"/>
    <mergeCell ref="AH578:AO578"/>
    <mergeCell ref="AX726:AX728"/>
    <mergeCell ref="AO630:AO632"/>
    <mergeCell ref="AH626:AO626"/>
    <mergeCell ref="BG428:BG430"/>
    <mergeCell ref="AZ397:BG397"/>
    <mergeCell ref="AH722:AO722"/>
    <mergeCell ref="AO726:AO728"/>
    <mergeCell ref="AO678:AO680"/>
    <mergeCell ref="AQ363:AX364"/>
    <mergeCell ref="AQ453:AX453"/>
    <mergeCell ref="AV309:AX310"/>
    <mergeCell ref="AV313:AX314"/>
    <mergeCell ref="AV316:AX324"/>
    <mergeCell ref="AH397:AO397"/>
    <mergeCell ref="AH265:AN266"/>
    <mergeCell ref="I1074:J1075"/>
    <mergeCell ref="BI722:BP722"/>
    <mergeCell ref="BP678:BP680"/>
    <mergeCell ref="AZ626:BG626"/>
    <mergeCell ref="BG630:BG632"/>
    <mergeCell ref="BI674:BP674"/>
    <mergeCell ref="BP630:BP632"/>
    <mergeCell ref="AF774:AF776"/>
    <mergeCell ref="B263:K264"/>
    <mergeCell ref="H293:M295"/>
    <mergeCell ref="BP774:BP776"/>
    <mergeCell ref="BP534:BP536"/>
    <mergeCell ref="BI626:BP626"/>
    <mergeCell ref="BI578:BP578"/>
    <mergeCell ref="BI770:BP770"/>
    <mergeCell ref="AF726:AF728"/>
    <mergeCell ref="AF630:AF632"/>
    <mergeCell ref="AQ578:AX578"/>
    <mergeCell ref="Y674:AF674"/>
    <mergeCell ref="BP726:BP728"/>
    <mergeCell ref="AZ674:BG674"/>
    <mergeCell ref="BG726:BG728"/>
    <mergeCell ref="AF582:AF584"/>
    <mergeCell ref="Y578:AF578"/>
    <mergeCell ref="BI34:BP34"/>
    <mergeCell ref="Y34:AF34"/>
    <mergeCell ref="P151:W151"/>
    <mergeCell ref="P60:W60"/>
    <mergeCell ref="G113:N113"/>
    <mergeCell ref="B103:L104"/>
    <mergeCell ref="Y88:AF88"/>
    <mergeCell ref="AQ88:AX88"/>
    <mergeCell ref="AQ89:AX89"/>
    <mergeCell ref="I35:J35"/>
    <mergeCell ref="L59:N60"/>
    <mergeCell ref="I43:J43"/>
    <mergeCell ref="I49:J49"/>
    <mergeCell ref="I57:J57"/>
    <mergeCell ref="I38:J38"/>
    <mergeCell ref="B46:N48"/>
    <mergeCell ref="I45:J45"/>
    <mergeCell ref="I51:J51"/>
    <mergeCell ref="AQ113:AX113"/>
    <mergeCell ref="AH88:AO88"/>
    <mergeCell ref="P113:W113"/>
    <mergeCell ref="P89:W89"/>
    <mergeCell ref="I37:J37"/>
    <mergeCell ref="AQ60:AX60"/>
    <mergeCell ref="AF210:AF212"/>
    <mergeCell ref="BI223:BP223"/>
    <mergeCell ref="BP210:BP212"/>
    <mergeCell ref="AH112:AO112"/>
    <mergeCell ref="AH120:AO120"/>
    <mergeCell ref="BG210:BG212"/>
    <mergeCell ref="I55:J55"/>
    <mergeCell ref="K57:K58"/>
    <mergeCell ref="I67:I70"/>
    <mergeCell ref="J67:J70"/>
    <mergeCell ref="K67:K70"/>
    <mergeCell ref="L67:L70"/>
    <mergeCell ref="M67:M70"/>
    <mergeCell ref="N67:N70"/>
    <mergeCell ref="Y60:AF60"/>
    <mergeCell ref="P88:W88"/>
    <mergeCell ref="AH151:AO151"/>
    <mergeCell ref="M119:N121"/>
    <mergeCell ref="P120:W120"/>
    <mergeCell ref="BI60:BP60"/>
    <mergeCell ref="AH114:AN114"/>
    <mergeCell ref="BI120:BP120"/>
    <mergeCell ref="AZ113:BG113"/>
    <mergeCell ref="AH113:AO113"/>
    <mergeCell ref="Y113:AF113"/>
    <mergeCell ref="AQ120:AX120"/>
    <mergeCell ref="Y89:AF89"/>
    <mergeCell ref="BI88:BP88"/>
    <mergeCell ref="BI89:BP89"/>
    <mergeCell ref="Y120:AF120"/>
    <mergeCell ref="BI113:BP113"/>
    <mergeCell ref="AH89:AO89"/>
    <mergeCell ref="AO534:AO536"/>
    <mergeCell ref="AX534:AX536"/>
    <mergeCell ref="BI262:BP262"/>
    <mergeCell ref="BG482:BG484"/>
    <mergeCell ref="AZ453:BG453"/>
    <mergeCell ref="BI151:BP151"/>
    <mergeCell ref="AH223:AO223"/>
    <mergeCell ref="AZ151:BG151"/>
    <mergeCell ref="AQ327:AW329"/>
    <mergeCell ref="BP482:BP484"/>
    <mergeCell ref="BI397:BP397"/>
    <mergeCell ref="BP428:BP430"/>
    <mergeCell ref="BI453:BP453"/>
    <mergeCell ref="AZ262:BG262"/>
    <mergeCell ref="AZ223:BG223"/>
    <mergeCell ref="AQ348:AX354"/>
    <mergeCell ref="BP582:BP584"/>
    <mergeCell ref="AZ578:BG578"/>
    <mergeCell ref="BG534:BG536"/>
    <mergeCell ref="BI881:BP881"/>
    <mergeCell ref="P818:W818"/>
    <mergeCell ref="Y818:AF818"/>
    <mergeCell ref="P881:W881"/>
    <mergeCell ref="Y881:AF881"/>
    <mergeCell ref="AH881:AO881"/>
    <mergeCell ref="BI818:BP818"/>
    <mergeCell ref="BG870:BG872"/>
    <mergeCell ref="BP870:BP872"/>
    <mergeCell ref="AX870:AX872"/>
    <mergeCell ref="AO870:AO872"/>
    <mergeCell ref="AX822:AX824"/>
    <mergeCell ref="AZ818:BG818"/>
    <mergeCell ref="AH818:AO818"/>
    <mergeCell ref="AQ818:AX818"/>
    <mergeCell ref="BP822:BP824"/>
    <mergeCell ref="W870:W872"/>
    <mergeCell ref="AF870:AF872"/>
    <mergeCell ref="AO774:AO776"/>
    <mergeCell ref="AO582:AO584"/>
    <mergeCell ref="AZ881:BG881"/>
    <mergeCell ref="AF428:AF430"/>
    <mergeCell ref="AO428:AO430"/>
    <mergeCell ref="AX428:AX430"/>
    <mergeCell ref="AQ397:AX397"/>
    <mergeCell ref="AF482:AF484"/>
    <mergeCell ref="Y453:AF453"/>
    <mergeCell ref="AQ881:AX881"/>
    <mergeCell ref="BG822:BG824"/>
    <mergeCell ref="AF822:AF824"/>
    <mergeCell ref="AO822:AO824"/>
    <mergeCell ref="AZ770:BG770"/>
    <mergeCell ref="Y626:AF626"/>
    <mergeCell ref="BG774:BG776"/>
    <mergeCell ref="AZ722:BG722"/>
    <mergeCell ref="AX774:AX776"/>
    <mergeCell ref="AQ770:AX770"/>
    <mergeCell ref="BG678:BG680"/>
    <mergeCell ref="BG582:BG584"/>
    <mergeCell ref="Y770:AF770"/>
    <mergeCell ref="AH453:AO453"/>
    <mergeCell ref="AO482:AO484"/>
    <mergeCell ref="I335:J336"/>
    <mergeCell ref="Y265:AE265"/>
    <mergeCell ref="Y722:AF722"/>
    <mergeCell ref="I555:M556"/>
    <mergeCell ref="AX582:AX584"/>
    <mergeCell ref="W534:W536"/>
    <mergeCell ref="AH674:AO674"/>
    <mergeCell ref="AX630:AX632"/>
    <mergeCell ref="AX678:AX680"/>
    <mergeCell ref="AQ722:AX722"/>
    <mergeCell ref="AQ674:AX674"/>
    <mergeCell ref="AQ626:AX626"/>
    <mergeCell ref="P626:W626"/>
    <mergeCell ref="P265:V265"/>
    <mergeCell ref="Y397:AF397"/>
    <mergeCell ref="AX482:AX484"/>
    <mergeCell ref="AF534:AF536"/>
    <mergeCell ref="B380:N381"/>
    <mergeCell ref="E382:F383"/>
    <mergeCell ref="B360:L362"/>
    <mergeCell ref="D472:F473"/>
    <mergeCell ref="G431:L436"/>
    <mergeCell ref="P397:W397"/>
    <mergeCell ref="W428:W430"/>
    <mergeCell ref="G825:L829"/>
    <mergeCell ref="G831:L831"/>
    <mergeCell ref="P770:W770"/>
    <mergeCell ref="P453:W453"/>
    <mergeCell ref="W482:W484"/>
    <mergeCell ref="G585:L589"/>
    <mergeCell ref="W726:W728"/>
    <mergeCell ref="G783:L783"/>
    <mergeCell ref="AH770:AO770"/>
    <mergeCell ref="AF678:AF680"/>
    <mergeCell ref="W822:W824"/>
    <mergeCell ref="P674:W674"/>
    <mergeCell ref="G777:L781"/>
    <mergeCell ref="P578:W578"/>
    <mergeCell ref="P722:W722"/>
    <mergeCell ref="W630:W632"/>
    <mergeCell ref="W774:W776"/>
    <mergeCell ref="G485:L489"/>
    <mergeCell ref="G493:L493"/>
    <mergeCell ref="W678:W680"/>
    <mergeCell ref="W582:W584"/>
    <mergeCell ref="P237:W238"/>
    <mergeCell ref="G254:L257"/>
    <mergeCell ref="G229:L230"/>
    <mergeCell ref="G239:L242"/>
    <mergeCell ref="G248:L251"/>
    <mergeCell ref="N281:N283"/>
    <mergeCell ref="H283:L283"/>
    <mergeCell ref="G267:K268"/>
    <mergeCell ref="H280:L281"/>
    <mergeCell ref="L931:M931"/>
    <mergeCell ref="J929:M930"/>
    <mergeCell ref="G906:L906"/>
    <mergeCell ref="G681:L685"/>
    <mergeCell ref="G687:L687"/>
    <mergeCell ref="G633:L637"/>
    <mergeCell ref="I32:J32"/>
    <mergeCell ref="B446:N451"/>
    <mergeCell ref="G735:L735"/>
    <mergeCell ref="G729:L733"/>
    <mergeCell ref="G537:L541"/>
    <mergeCell ref="G543:L543"/>
    <mergeCell ref="G591:L591"/>
    <mergeCell ref="I198:K198"/>
    <mergeCell ref="C254:F256"/>
    <mergeCell ref="B114:E116"/>
    <mergeCell ref="N293:N295"/>
    <mergeCell ref="B203:G205"/>
    <mergeCell ref="B222:L226"/>
    <mergeCell ref="M305:N307"/>
    <mergeCell ref="H339:J340"/>
    <mergeCell ref="N266:N268"/>
    <mergeCell ref="G244:L246"/>
    <mergeCell ref="G873:L878"/>
    <mergeCell ref="H1072:H1073"/>
    <mergeCell ref="I2:M3"/>
    <mergeCell ref="B6:L13"/>
    <mergeCell ref="AQ223:AX223"/>
    <mergeCell ref="AH239:AN242"/>
    <mergeCell ref="AH262:AO262"/>
    <mergeCell ref="Y262:AF262"/>
    <mergeCell ref="AQ252:AW252"/>
    <mergeCell ref="Y237:AF238"/>
    <mergeCell ref="Y223:AF223"/>
    <mergeCell ref="AQ240:AW240"/>
    <mergeCell ref="AS180:AT181"/>
    <mergeCell ref="Y151:AF151"/>
    <mergeCell ref="AO210:AO212"/>
    <mergeCell ref="AX210:AX212"/>
    <mergeCell ref="AQ262:AX262"/>
    <mergeCell ref="P262:W262"/>
    <mergeCell ref="W210:W212"/>
    <mergeCell ref="P223:W223"/>
    <mergeCell ref="N6:N18"/>
    <mergeCell ref="B28:L29"/>
    <mergeCell ref="L186:N189"/>
    <mergeCell ref="B15:L21"/>
    <mergeCell ref="K931:K932"/>
  </mergeCells>
  <phoneticPr fontId="6" type="noConversion"/>
  <hyperlinks>
    <hyperlink ref="BA28" r:id="rId3" display="http://www.mta.info/bandt/traffic/btmain.htm"/>
  </hyperlinks>
  <printOptions gridLines="1"/>
  <pageMargins left="0.56000000000000005" right="0.25" top="1" bottom="1" header="0.5" footer="0.5"/>
  <pageSetup orientation="landscape" r:id="rId4"/>
  <headerFooter alignWithMargins="0"/>
  <drawing r:id="rId5"/>
</worksheet>
</file>

<file path=xl/worksheets/sheet13.xml><?xml version="1.0" encoding="utf-8"?>
<worksheet xmlns="http://schemas.openxmlformats.org/spreadsheetml/2006/main" xmlns:r="http://schemas.openxmlformats.org/officeDocument/2006/relationships">
  <sheetPr codeName="Sheet9"/>
  <dimension ref="A1:IT994"/>
  <sheetViews>
    <sheetView showRuler="0" zoomScaleNormal="100" workbookViewId="0"/>
  </sheetViews>
  <sheetFormatPr defaultRowHeight="13.2" customHeight="1"/>
  <cols>
    <col min="1" max="1" width="2.75" customWidth="1"/>
    <col min="2" max="14" width="11.125" customWidth="1"/>
    <col min="15" max="15" width="1.75" customWidth="1"/>
    <col min="16" max="23" width="12.75" customWidth="1"/>
    <col min="24" max="24" width="1.75" customWidth="1"/>
    <col min="25" max="32" width="12.75" customWidth="1"/>
    <col min="33" max="33" width="1.75" customWidth="1"/>
    <col min="34" max="41" width="12.75" customWidth="1"/>
    <col min="42" max="42" width="1.75" customWidth="1"/>
    <col min="43" max="50" width="12.75" customWidth="1"/>
    <col min="51" max="51" width="1.75" customWidth="1"/>
    <col min="52" max="59" width="12.75" customWidth="1"/>
    <col min="60" max="60" width="1.75" customWidth="1"/>
    <col min="61" max="68" width="12.75" customWidth="1"/>
  </cols>
  <sheetData>
    <row r="1" spans="2:50" ht="13.2" customHeight="1" thickBot="1">
      <c r="O1" s="136">
        <f>ROW()</f>
        <v>1</v>
      </c>
    </row>
    <row r="2" spans="2:50" ht="13.2" customHeight="1" thickBot="1">
      <c r="B2" s="2779" t="s">
        <v>2368</v>
      </c>
      <c r="G2" s="181">
        <f>'Title Page'!K1</f>
        <v>40914</v>
      </c>
      <c r="I2" s="4255" t="s">
        <v>6201</v>
      </c>
      <c r="J2" s="4256"/>
      <c r="K2" s="4256"/>
      <c r="L2" s="4256"/>
      <c r="M2" s="4257"/>
      <c r="O2" s="136">
        <f>ROW()</f>
        <v>2</v>
      </c>
      <c r="AQ2" s="3787" t="str">
        <f>CONCATENATE("Medallion taxi trips require special treatment. For one thing, our analysis of baseline travel conditions indicates that each of the ",Taxis!L192, " medallion taxicabs enters the CBD around ",ROUND(L30/Taxis!L192,0), " times per weekend day, on average (producing the estimated ",ROUND(L30,-3), " cordon-entering trips attributed to medallion taxis shown in Cell L",30, " of this worksheet).")</f>
        <v>Medallion taxi trips require special treatment. For one thing, our analysis of baseline travel conditions indicates that each of the 13237 medallion taxicabs enters the CBD around 5 times per weekend day, on average (producing the estimated 65000 cordon-entering trips attributed to medallion taxis shown in Cell L30 of this worksheet).</v>
      </c>
      <c r="AR2" s="3787"/>
      <c r="AS2" s="3787"/>
      <c r="AT2" s="3787"/>
      <c r="AU2" s="3787"/>
      <c r="AV2" s="3787"/>
      <c r="AW2" s="3787"/>
      <c r="AX2" s="3787"/>
    </row>
    <row r="3" spans="2:50" ht="13.2" customHeight="1" thickBot="1">
      <c r="H3" s="6"/>
      <c r="I3" s="4258"/>
      <c r="J3" s="4259"/>
      <c r="K3" s="4259"/>
      <c r="L3" s="4259"/>
      <c r="M3" s="4260"/>
      <c r="O3" s="136">
        <f>ROW()</f>
        <v>3</v>
      </c>
      <c r="P3" s="902"/>
      <c r="Q3" s="895"/>
      <c r="R3" s="896"/>
      <c r="S3" s="896"/>
      <c r="T3" s="896"/>
      <c r="U3" s="896"/>
      <c r="V3" s="897"/>
      <c r="Y3" s="561" t="s">
        <v>995</v>
      </c>
      <c r="Z3" s="198"/>
      <c r="AA3" s="198"/>
      <c r="AB3" s="198"/>
      <c r="AC3" s="198"/>
      <c r="AD3" s="198"/>
      <c r="AE3" s="197"/>
      <c r="AQ3" s="3787"/>
      <c r="AR3" s="3787"/>
      <c r="AS3" s="3787"/>
      <c r="AT3" s="3787"/>
      <c r="AU3" s="3787"/>
      <c r="AV3" s="3787"/>
      <c r="AW3" s="3787"/>
      <c r="AX3" s="3787"/>
    </row>
    <row r="4" spans="2:50" ht="13.2" customHeight="1">
      <c r="H4" s="6"/>
      <c r="I4" s="6"/>
      <c r="J4" s="6"/>
      <c r="K4" s="6"/>
      <c r="L4" s="6"/>
      <c r="O4" s="136">
        <f>ROW()</f>
        <v>4</v>
      </c>
      <c r="P4" s="902"/>
      <c r="Q4" s="898"/>
      <c r="R4" s="829"/>
      <c r="S4" s="829"/>
      <c r="T4" s="829"/>
      <c r="U4" s="829"/>
      <c r="V4" s="899"/>
      <c r="Y4" s="212"/>
      <c r="Z4" s="113"/>
      <c r="AA4" s="113"/>
      <c r="AB4" s="113"/>
      <c r="AC4" s="113"/>
      <c r="AD4" s="113"/>
      <c r="AE4" s="140"/>
      <c r="AQ4" s="3787"/>
      <c r="AR4" s="3787"/>
      <c r="AS4" s="3787"/>
      <c r="AT4" s="3787"/>
      <c r="AU4" s="3787"/>
      <c r="AV4" s="3787"/>
      <c r="AW4" s="3787"/>
      <c r="AX4" s="3787"/>
    </row>
    <row r="5" spans="2:50" ht="13.2" customHeight="1">
      <c r="O5" s="136">
        <f>ROW()</f>
        <v>5</v>
      </c>
      <c r="P5" s="902"/>
      <c r="Q5" s="898"/>
      <c r="R5" s="829"/>
      <c r="S5" s="829"/>
      <c r="T5" s="829"/>
      <c r="U5" s="829"/>
      <c r="V5" s="899"/>
      <c r="Y5" s="4481" t="str">
        <f>CONCATENATE("Baseline weekend speeds in Row ",O184, " were calculated with a speed-volume equation that was benchmarked to weekday speeds reported in PlaNYC (see discussion in 'Speed-Vol., Cordon' worksheet.)")</f>
        <v>Baseline weekend speeds in Row 184 were calculated with a speed-volume equation that was benchmarked to weekday speeds reported in PlaNYC (see discussion in 'Speed-Vol., Cordon' worksheet.)</v>
      </c>
      <c r="Z5" s="4139"/>
      <c r="AA5" s="4139"/>
      <c r="AB5" s="4139"/>
      <c r="AC5" s="4139"/>
      <c r="AD5" s="4139"/>
      <c r="AE5" s="4482"/>
      <c r="AQ5" s="3595"/>
      <c r="AR5" s="3595"/>
      <c r="AS5" s="3595"/>
      <c r="AT5" s="3595"/>
      <c r="AU5" s="3595"/>
      <c r="AV5" s="3595"/>
      <c r="AW5" s="3595"/>
      <c r="AX5" s="3595"/>
    </row>
    <row r="6" spans="2:50" ht="13.2" customHeight="1">
      <c r="B6" s="4276" t="s">
        <v>6136</v>
      </c>
      <c r="C6" s="4261"/>
      <c r="D6" s="4261"/>
      <c r="E6" s="4261"/>
      <c r="F6" s="4261"/>
      <c r="G6" s="4261"/>
      <c r="H6" s="4261"/>
      <c r="I6" s="4261"/>
      <c r="J6" s="4261"/>
      <c r="K6" s="4261"/>
      <c r="L6" s="4261"/>
      <c r="M6" s="281"/>
      <c r="N6" s="4274" t="s">
        <v>2046</v>
      </c>
      <c r="O6" s="136">
        <f>ROW()</f>
        <v>6</v>
      </c>
      <c r="P6" s="902"/>
      <c r="Q6" s="898"/>
      <c r="R6" s="829"/>
      <c r="S6" s="829"/>
      <c r="T6" s="829"/>
      <c r="U6" s="829"/>
      <c r="V6" s="899"/>
      <c r="Y6" s="4481"/>
      <c r="Z6" s="4139"/>
      <c r="AA6" s="4139"/>
      <c r="AB6" s="4139"/>
      <c r="AC6" s="4139"/>
      <c r="AD6" s="4139"/>
      <c r="AE6" s="4482"/>
      <c r="AQ6" s="3787" t="str">
        <f>CONCATENATE("Also, medallion taxis cover far more ground within the CBD than other vehicles. Data reported in Rows ",Taxis!O461, "-",Taxis!O464, " of the 'Taxis' worksheet indicate that the average medallion taxi logs more than ", ROUNDDOWN('Motor Vs'!L101/Taxis!L192/(2*'Motor Vs'!I85),-1), " times as many miles driven within the CBD as the average private auto.")</f>
        <v>Also, medallion taxis cover far more ground within the CBD than other vehicles. Data reported in Rows 461-464 of the 'Taxis' worksheet indicate that the average medallion taxi logs more than 40 times as many miles driven within the CBD as the average private auto.</v>
      </c>
      <c r="AR6" s="3787"/>
      <c r="AS6" s="3787"/>
      <c r="AT6" s="3787"/>
      <c r="AU6" s="3787"/>
      <c r="AV6" s="3787"/>
      <c r="AW6" s="3787"/>
      <c r="AX6" s="3787"/>
    </row>
    <row r="7" spans="2:50" ht="13.2" customHeight="1">
      <c r="B7" s="4261"/>
      <c r="C7" s="4261"/>
      <c r="D7" s="4261"/>
      <c r="E7" s="4261"/>
      <c r="F7" s="4261"/>
      <c r="G7" s="4261"/>
      <c r="H7" s="4261"/>
      <c r="I7" s="4261"/>
      <c r="J7" s="4261"/>
      <c r="K7" s="4261"/>
      <c r="L7" s="4261"/>
      <c r="M7" s="281"/>
      <c r="N7" s="4274"/>
      <c r="O7" s="136">
        <f>ROW()</f>
        <v>7</v>
      </c>
      <c r="P7" s="902"/>
      <c r="Q7" s="898"/>
      <c r="R7" s="829"/>
      <c r="S7" s="829"/>
      <c r="T7" s="829"/>
      <c r="U7" s="829"/>
      <c r="V7" s="899"/>
      <c r="Y7" s="212"/>
      <c r="Z7" s="113"/>
      <c r="AA7" s="113"/>
      <c r="AB7" s="113"/>
      <c r="AC7" s="113"/>
      <c r="AD7" s="113"/>
      <c r="AE7" s="140"/>
      <c r="AQ7" s="3787"/>
      <c r="AR7" s="3787"/>
      <c r="AS7" s="3787"/>
      <c r="AT7" s="3787"/>
      <c r="AU7" s="3787"/>
      <c r="AV7" s="3787"/>
      <c r="AW7" s="3787"/>
      <c r="AX7" s="3787"/>
    </row>
    <row r="8" spans="2:50" ht="13.2" customHeight="1">
      <c r="B8" s="4261"/>
      <c r="C8" s="4261"/>
      <c r="D8" s="4261"/>
      <c r="E8" s="4261"/>
      <c r="F8" s="4261"/>
      <c r="G8" s="4261"/>
      <c r="H8" s="4261"/>
      <c r="I8" s="4261"/>
      <c r="J8" s="4261"/>
      <c r="K8" s="4261"/>
      <c r="L8" s="4261"/>
      <c r="M8" s="281"/>
      <c r="N8" s="4274"/>
      <c r="O8" s="136">
        <f>ROW()</f>
        <v>8</v>
      </c>
      <c r="P8" s="902"/>
      <c r="Q8" s="898"/>
      <c r="R8" s="829"/>
      <c r="S8" s="829"/>
      <c r="T8" s="829"/>
      <c r="U8" s="829"/>
      <c r="V8" s="899"/>
      <c r="Y8" s="4300" t="s">
        <v>2510</v>
      </c>
      <c r="Z8" s="3796"/>
      <c r="AA8" s="3796"/>
      <c r="AB8" s="3796"/>
      <c r="AC8" s="3796"/>
      <c r="AD8" s="3796"/>
      <c r="AE8" s="4301"/>
      <c r="AQ8" s="3787"/>
      <c r="AR8" s="3787"/>
      <c r="AS8" s="3787"/>
      <c r="AT8" s="3787"/>
      <c r="AU8" s="3787"/>
      <c r="AV8" s="3787"/>
      <c r="AW8" s="3787"/>
      <c r="AX8" s="3787"/>
    </row>
    <row r="9" spans="2:50" ht="13.2" customHeight="1">
      <c r="B9" s="4261"/>
      <c r="C9" s="4261"/>
      <c r="D9" s="4261"/>
      <c r="E9" s="4261"/>
      <c r="F9" s="4261"/>
      <c r="G9" s="4261"/>
      <c r="H9" s="4261"/>
      <c r="I9" s="4261"/>
      <c r="J9" s="4261"/>
      <c r="K9" s="4261"/>
      <c r="L9" s="4261"/>
      <c r="M9" s="281"/>
      <c r="N9" s="4274"/>
      <c r="O9" s="136">
        <f>ROW()</f>
        <v>9</v>
      </c>
      <c r="P9" s="902"/>
      <c r="Q9" s="898"/>
      <c r="R9" s="829"/>
      <c r="S9" s="829"/>
      <c r="T9" s="829"/>
      <c r="U9" s="829"/>
      <c r="V9" s="899"/>
      <c r="Y9" s="4300"/>
      <c r="Z9" s="3796"/>
      <c r="AA9" s="3796"/>
      <c r="AB9" s="3796"/>
      <c r="AC9" s="3796"/>
      <c r="AD9" s="3796"/>
      <c r="AE9" s="4301"/>
      <c r="AQ9" s="3595"/>
      <c r="AR9" s="3595"/>
      <c r="AS9" s="3595"/>
      <c r="AT9" s="3595"/>
      <c r="AU9" s="3595"/>
      <c r="AV9" s="3595"/>
      <c r="AW9" s="3595"/>
      <c r="AX9" s="3595"/>
    </row>
    <row r="10" spans="2:50" ht="13.2" customHeight="1">
      <c r="B10" s="4261"/>
      <c r="C10" s="4261"/>
      <c r="D10" s="4261"/>
      <c r="E10" s="4261"/>
      <c r="F10" s="4261"/>
      <c r="G10" s="4261"/>
      <c r="H10" s="4261"/>
      <c r="I10" s="4261"/>
      <c r="J10" s="4261"/>
      <c r="K10" s="4261"/>
      <c r="L10" s="4261"/>
      <c r="M10" s="281"/>
      <c r="N10" s="4274"/>
      <c r="O10" s="136">
        <f>ROW()</f>
        <v>10</v>
      </c>
      <c r="P10" s="902"/>
      <c r="Q10" s="898"/>
      <c r="R10" s="829"/>
      <c r="S10" s="829"/>
      <c r="T10" s="829"/>
      <c r="U10" s="829"/>
      <c r="V10" s="899"/>
      <c r="Y10" s="4300"/>
      <c r="Z10" s="3796"/>
      <c r="AA10" s="3796"/>
      <c r="AB10" s="3796"/>
      <c r="AC10" s="3796"/>
      <c r="AD10" s="3796"/>
      <c r="AE10" s="4301"/>
      <c r="AQ10" s="1" t="str">
        <f>CONCATENATE("These special factors are accommodated via additional and/or special data elements beginning in Row ",O325, ".")</f>
        <v>These special factors are accommodated via additional and/or special data elements beginning in Row 325.</v>
      </c>
      <c r="AR10" s="3595"/>
      <c r="AS10" s="3595"/>
      <c r="AT10" s="3595"/>
      <c r="AU10" s="3595"/>
      <c r="AV10" s="3595"/>
      <c r="AW10" s="3595"/>
      <c r="AX10" s="3595"/>
    </row>
    <row r="11" spans="2:50" ht="13.2" customHeight="1">
      <c r="B11" s="4261"/>
      <c r="C11" s="4261"/>
      <c r="D11" s="4261"/>
      <c r="E11" s="4261"/>
      <c r="F11" s="4261"/>
      <c r="G11" s="4261"/>
      <c r="H11" s="4261"/>
      <c r="I11" s="4261"/>
      <c r="J11" s="4261"/>
      <c r="K11" s="4261"/>
      <c r="L11" s="4261"/>
      <c r="M11" s="281"/>
      <c r="N11" s="4274"/>
      <c r="O11" s="136">
        <f>ROW()</f>
        <v>11</v>
      </c>
      <c r="P11" s="902"/>
      <c r="Q11" s="898"/>
      <c r="R11" s="829"/>
      <c r="S11" s="829"/>
      <c r="T11" s="829"/>
      <c r="U11" s="829"/>
      <c r="V11" s="899"/>
      <c r="Y11" s="4300"/>
      <c r="Z11" s="3796"/>
      <c r="AA11" s="3796"/>
      <c r="AB11" s="3796"/>
      <c r="AC11" s="3796"/>
      <c r="AD11" s="3796"/>
      <c r="AE11" s="4301"/>
    </row>
    <row r="12" spans="2:50" ht="13.2" customHeight="1">
      <c r="B12" s="4261"/>
      <c r="C12" s="4261"/>
      <c r="D12" s="4261"/>
      <c r="E12" s="4261"/>
      <c r="F12" s="4261"/>
      <c r="G12" s="4261"/>
      <c r="H12" s="4261"/>
      <c r="I12" s="4261"/>
      <c r="J12" s="4261"/>
      <c r="K12" s="4261"/>
      <c r="L12" s="4261"/>
      <c r="M12" s="217"/>
      <c r="N12" s="4274"/>
      <c r="O12" s="136">
        <f>ROW()</f>
        <v>12</v>
      </c>
      <c r="P12" s="902"/>
      <c r="Q12" s="898"/>
      <c r="R12" s="829"/>
      <c r="S12" s="829"/>
      <c r="T12" s="829"/>
      <c r="U12" s="829"/>
      <c r="V12" s="899"/>
      <c r="Y12" s="4300"/>
      <c r="Z12" s="3796"/>
      <c r="AA12" s="3796"/>
      <c r="AB12" s="3796"/>
      <c r="AC12" s="3796"/>
      <c r="AD12" s="3796"/>
      <c r="AE12" s="4301"/>
    </row>
    <row r="13" spans="2:50" ht="13.2" customHeight="1">
      <c r="B13" s="4261"/>
      <c r="C13" s="4261"/>
      <c r="D13" s="4261"/>
      <c r="E13" s="4261"/>
      <c r="F13" s="4261"/>
      <c r="G13" s="4261"/>
      <c r="H13" s="4261"/>
      <c r="I13" s="4261"/>
      <c r="J13" s="4261"/>
      <c r="K13" s="4261"/>
      <c r="L13" s="4261"/>
      <c r="M13" s="217"/>
      <c r="N13" s="3813"/>
      <c r="O13" s="136">
        <f>ROW()</f>
        <v>13</v>
      </c>
      <c r="P13" s="902"/>
      <c r="Q13" s="898"/>
      <c r="R13" s="829"/>
      <c r="S13" s="829"/>
      <c r="T13" s="829"/>
      <c r="U13" s="829"/>
      <c r="V13" s="899"/>
      <c r="Y13" s="212"/>
      <c r="Z13" s="113"/>
      <c r="AA13" s="113"/>
      <c r="AB13" s="113"/>
      <c r="AC13" s="113"/>
      <c r="AD13" s="113"/>
      <c r="AE13" s="140"/>
    </row>
    <row r="14" spans="2:50" ht="13.2" customHeight="1">
      <c r="B14" s="217"/>
      <c r="C14" s="217"/>
      <c r="D14" s="217"/>
      <c r="E14" s="217"/>
      <c r="F14" s="217"/>
      <c r="G14" s="217"/>
      <c r="H14" s="217"/>
      <c r="I14" s="217"/>
      <c r="J14" s="217"/>
      <c r="K14" s="217"/>
      <c r="L14" s="217"/>
      <c r="M14" s="217"/>
      <c r="N14" s="3813"/>
      <c r="O14" s="136">
        <f>ROW()</f>
        <v>14</v>
      </c>
      <c r="P14" s="902"/>
      <c r="Q14" s="898"/>
      <c r="R14" s="829"/>
      <c r="S14" s="829"/>
      <c r="T14" s="829"/>
      <c r="U14" s="829"/>
      <c r="V14" s="899"/>
      <c r="Y14" s="4481" t="s">
        <v>3702</v>
      </c>
      <c r="Z14" s="4139"/>
      <c r="AA14" s="4139"/>
      <c r="AB14" s="4139"/>
      <c r="AC14" s="4139"/>
      <c r="AD14" s="4139"/>
      <c r="AE14" s="4482"/>
    </row>
    <row r="15" spans="2:50" ht="13.2" customHeight="1">
      <c r="B15" s="4276" t="s">
        <v>4672</v>
      </c>
      <c r="C15" s="4261"/>
      <c r="D15" s="4261"/>
      <c r="E15" s="4261"/>
      <c r="F15" s="4261"/>
      <c r="G15" s="4261"/>
      <c r="H15" s="4261"/>
      <c r="I15" s="4261"/>
      <c r="J15" s="4261"/>
      <c r="K15" s="4261"/>
      <c r="L15" s="4261"/>
      <c r="M15" s="281"/>
      <c r="N15" s="3813"/>
      <c r="O15" s="136">
        <f>ROW()</f>
        <v>15</v>
      </c>
      <c r="P15" s="902"/>
      <c r="Q15" s="898"/>
      <c r="R15" s="829"/>
      <c r="S15" s="829"/>
      <c r="T15" s="829"/>
      <c r="U15" s="829"/>
      <c r="V15" s="899"/>
      <c r="Y15" s="4481"/>
      <c r="Z15" s="4139"/>
      <c r="AA15" s="4139"/>
      <c r="AB15" s="4139"/>
      <c r="AC15" s="4139"/>
      <c r="AD15" s="4139"/>
      <c r="AE15" s="4482"/>
    </row>
    <row r="16" spans="2:50" ht="13.2" customHeight="1">
      <c r="B16" s="4261"/>
      <c r="C16" s="4261"/>
      <c r="D16" s="4261"/>
      <c r="E16" s="4261"/>
      <c r="F16" s="4261"/>
      <c r="G16" s="4261"/>
      <c r="H16" s="4261"/>
      <c r="I16" s="4261"/>
      <c r="J16" s="4261"/>
      <c r="K16" s="4261"/>
      <c r="L16" s="4261"/>
      <c r="M16" s="281"/>
      <c r="N16" s="3813"/>
      <c r="O16" s="136">
        <f>ROW()</f>
        <v>16</v>
      </c>
      <c r="P16" s="902"/>
      <c r="Q16" s="898"/>
      <c r="R16" s="829"/>
      <c r="S16" s="829"/>
      <c r="T16" s="829"/>
      <c r="U16" s="829"/>
      <c r="V16" s="899"/>
      <c r="Y16" s="4481"/>
      <c r="Z16" s="4139"/>
      <c r="AA16" s="4139"/>
      <c r="AB16" s="4139"/>
      <c r="AC16" s="4139"/>
      <c r="AD16" s="4139"/>
      <c r="AE16" s="4482"/>
    </row>
    <row r="17" spans="2:61" ht="13.2" customHeight="1">
      <c r="B17" s="4261"/>
      <c r="C17" s="4261"/>
      <c r="D17" s="4261"/>
      <c r="E17" s="4261"/>
      <c r="F17" s="4261"/>
      <c r="G17" s="4261"/>
      <c r="H17" s="4261"/>
      <c r="I17" s="4261"/>
      <c r="J17" s="4261"/>
      <c r="K17" s="4261"/>
      <c r="L17" s="4261"/>
      <c r="M17" s="281"/>
      <c r="N17" s="3813"/>
      <c r="O17" s="136">
        <f>ROW()</f>
        <v>17</v>
      </c>
      <c r="P17" s="902"/>
      <c r="Q17" s="898"/>
      <c r="R17" s="829"/>
      <c r="S17" s="829"/>
      <c r="T17" s="829"/>
      <c r="U17" s="829"/>
      <c r="V17" s="899"/>
      <c r="Y17" s="4481"/>
      <c r="Z17" s="4139"/>
      <c r="AA17" s="4139"/>
      <c r="AB17" s="4139"/>
      <c r="AC17" s="4139"/>
      <c r="AD17" s="4139"/>
      <c r="AE17" s="4482"/>
    </row>
    <row r="18" spans="2:61" ht="13.2" customHeight="1">
      <c r="B18" s="4261"/>
      <c r="C18" s="4261"/>
      <c r="D18" s="4261"/>
      <c r="E18" s="4261"/>
      <c r="F18" s="4261"/>
      <c r="G18" s="4261"/>
      <c r="H18" s="4261"/>
      <c r="I18" s="4261"/>
      <c r="J18" s="4261"/>
      <c r="K18" s="4261"/>
      <c r="L18" s="4261"/>
      <c r="M18" s="281"/>
      <c r="N18" s="3813"/>
      <c r="O18" s="136">
        <f>ROW()</f>
        <v>18</v>
      </c>
      <c r="P18" s="902"/>
      <c r="Q18" s="898"/>
      <c r="R18" s="829"/>
      <c r="S18" s="829"/>
      <c r="T18" s="829"/>
      <c r="U18" s="829"/>
      <c r="V18" s="899"/>
      <c r="Y18" s="4483"/>
      <c r="Z18" s="4484"/>
      <c r="AA18" s="4484"/>
      <c r="AB18" s="4484"/>
      <c r="AC18" s="4484"/>
      <c r="AD18" s="4484"/>
      <c r="AE18" s="4485"/>
    </row>
    <row r="19" spans="2:61" ht="13.2" customHeight="1">
      <c r="B19" s="4261"/>
      <c r="C19" s="4261"/>
      <c r="D19" s="4261"/>
      <c r="E19" s="4261"/>
      <c r="F19" s="4261"/>
      <c r="G19" s="4261"/>
      <c r="H19" s="4261"/>
      <c r="I19" s="4261"/>
      <c r="J19" s="4261"/>
      <c r="K19" s="4261"/>
      <c r="L19" s="4261"/>
      <c r="M19" s="281"/>
      <c r="O19" s="136">
        <f>ROW()</f>
        <v>19</v>
      </c>
      <c r="P19" s="902"/>
      <c r="Q19" s="898"/>
      <c r="R19" s="829"/>
      <c r="S19" s="829"/>
      <c r="T19" s="829"/>
      <c r="U19" s="829"/>
      <c r="V19" s="899"/>
    </row>
    <row r="20" spans="2:61" ht="13.2" customHeight="1">
      <c r="B20" s="4261"/>
      <c r="C20" s="4261"/>
      <c r="D20" s="4261"/>
      <c r="E20" s="4261"/>
      <c r="F20" s="4261"/>
      <c r="G20" s="4261"/>
      <c r="H20" s="4261"/>
      <c r="I20" s="4261"/>
      <c r="J20" s="4261"/>
      <c r="K20" s="4261"/>
      <c r="L20" s="4261"/>
      <c r="M20" s="281"/>
      <c r="O20" s="136">
        <f>ROW()</f>
        <v>20</v>
      </c>
      <c r="P20" s="902"/>
      <c r="Q20" s="898"/>
      <c r="R20" s="829"/>
      <c r="S20" s="829"/>
      <c r="T20" s="829"/>
      <c r="U20" s="829"/>
      <c r="V20" s="899"/>
    </row>
    <row r="21" spans="2:61" ht="13.2" customHeight="1">
      <c r="B21" s="4261"/>
      <c r="C21" s="4261"/>
      <c r="D21" s="4261"/>
      <c r="E21" s="4261"/>
      <c r="F21" s="4261"/>
      <c r="G21" s="4261"/>
      <c r="H21" s="4261"/>
      <c r="I21" s="4261"/>
      <c r="J21" s="4261"/>
      <c r="K21" s="4261"/>
      <c r="L21" s="4261"/>
      <c r="O21" s="136">
        <f>ROW()</f>
        <v>21</v>
      </c>
      <c r="P21" s="902"/>
      <c r="Q21" s="898"/>
      <c r="R21" s="829"/>
      <c r="S21" s="829"/>
      <c r="T21" s="829"/>
      <c r="U21" s="829"/>
      <c r="V21" s="899"/>
    </row>
    <row r="22" spans="2:61" ht="13.2" customHeight="1">
      <c r="B22" s="879"/>
      <c r="C22" s="879"/>
      <c r="D22" s="879"/>
      <c r="E22" s="879"/>
      <c r="F22" s="879"/>
      <c r="G22" s="879"/>
      <c r="H22" s="879"/>
      <c r="I22" s="879"/>
      <c r="J22" s="879"/>
      <c r="K22" s="879"/>
      <c r="L22" s="879"/>
      <c r="O22" s="136">
        <f>ROW()</f>
        <v>22</v>
      </c>
      <c r="P22" s="902"/>
      <c r="Q22" s="898"/>
      <c r="R22" s="829"/>
      <c r="S22" s="829"/>
      <c r="T22" s="829"/>
      <c r="U22" s="829"/>
      <c r="V22" s="899"/>
    </row>
    <row r="23" spans="2:61" ht="13.2" customHeight="1">
      <c r="B23" s="24" t="s">
        <v>935</v>
      </c>
      <c r="C23" s="217"/>
      <c r="D23" s="217"/>
      <c r="E23" s="217"/>
      <c r="F23" s="217"/>
      <c r="G23" s="217"/>
      <c r="H23" s="217"/>
      <c r="I23" s="217"/>
      <c r="J23" s="217"/>
      <c r="K23" s="217"/>
      <c r="L23" s="217"/>
      <c r="M23" s="217" t="s">
        <v>533</v>
      </c>
      <c r="O23" s="136">
        <f>ROW()</f>
        <v>23</v>
      </c>
      <c r="P23" s="902"/>
      <c r="Q23" s="904"/>
      <c r="R23" s="829"/>
      <c r="S23" s="829"/>
      <c r="T23" s="829"/>
      <c r="U23" s="829"/>
      <c r="V23" s="899"/>
      <c r="Y23" s="43"/>
      <c r="AH23" s="43"/>
      <c r="AQ23" s="43"/>
      <c r="AZ23" s="43"/>
      <c r="BI23" s="43"/>
    </row>
    <row r="24" spans="2:61" ht="13.2" customHeight="1">
      <c r="O24" s="136">
        <f>ROW()</f>
        <v>24</v>
      </c>
      <c r="P24" s="902"/>
      <c r="Q24" s="898"/>
      <c r="R24" s="829"/>
      <c r="S24" s="829"/>
      <c r="T24" s="829"/>
      <c r="U24" s="829"/>
      <c r="V24" s="899"/>
    </row>
    <row r="25" spans="2:61" ht="13.2" customHeight="1">
      <c r="B25" s="6" t="s">
        <v>1516</v>
      </c>
      <c r="H25" s="8" t="s">
        <v>228</v>
      </c>
      <c r="I25" s="8" t="s">
        <v>367</v>
      </c>
      <c r="J25" s="8" t="s">
        <v>368</v>
      </c>
      <c r="K25" s="8" t="s">
        <v>2473</v>
      </c>
      <c r="L25" s="8" t="s">
        <v>1241</v>
      </c>
      <c r="M25" s="8" t="s">
        <v>2212</v>
      </c>
      <c r="N25" s="8" t="s">
        <v>967</v>
      </c>
      <c r="O25" s="136">
        <f>ROW()</f>
        <v>25</v>
      </c>
      <c r="P25" s="902"/>
      <c r="Q25" s="905"/>
      <c r="R25" s="829"/>
      <c r="S25" s="829"/>
      <c r="T25" s="829"/>
      <c r="U25" s="829"/>
      <c r="V25" s="899"/>
      <c r="Y25" s="608"/>
      <c r="AH25" s="608"/>
      <c r="AQ25" s="608"/>
      <c r="AZ25" s="608"/>
      <c r="BI25" s="608"/>
    </row>
    <row r="26" spans="2:61" ht="13.2" customHeight="1">
      <c r="B26" s="6"/>
      <c r="I26" s="8"/>
      <c r="J26" s="8"/>
      <c r="K26" s="8"/>
      <c r="L26" s="8"/>
      <c r="M26" s="1954">
        <f>1/3</f>
        <v>0.33333333333333331</v>
      </c>
      <c r="N26" s="966">
        <f>1/2</f>
        <v>0.5</v>
      </c>
      <c r="O26" s="136">
        <f>ROW()</f>
        <v>26</v>
      </c>
      <c r="P26" s="902"/>
      <c r="Q26" s="906"/>
      <c r="R26" s="829"/>
      <c r="S26" s="829"/>
      <c r="T26" s="829"/>
      <c r="U26" s="829"/>
      <c r="V26" s="899"/>
      <c r="Y26" s="627"/>
      <c r="AH26" s="627"/>
      <c r="AQ26" s="627"/>
      <c r="AZ26" s="627"/>
      <c r="BI26" s="627"/>
    </row>
    <row r="27" spans="2:61" ht="13.2" customHeight="1">
      <c r="B27" s="280" t="s">
        <v>1517</v>
      </c>
      <c r="H27" s="10">
        <f>ROUND(Weekends!L21*'Motor Vs'!H27,-3)</f>
        <v>676000</v>
      </c>
      <c r="I27" s="4367">
        <f>H27-M27-N27</f>
        <v>655000</v>
      </c>
      <c r="J27" s="4377"/>
      <c r="K27" s="4377"/>
      <c r="L27" s="4368"/>
      <c r="M27" s="10">
        <f>ROUND(M26*'Motor Vs'!M27,-3)</f>
        <v>15000</v>
      </c>
      <c r="N27" s="10">
        <f>N26*'Motor Vs'!N27</f>
        <v>6000</v>
      </c>
      <c r="O27" s="136">
        <f>ROW()</f>
        <v>27</v>
      </c>
      <c r="P27" s="902"/>
      <c r="Q27" s="907"/>
      <c r="R27" s="829"/>
      <c r="S27" s="829"/>
      <c r="T27" s="829"/>
      <c r="U27" s="829"/>
      <c r="V27" s="899"/>
      <c r="Y27" s="628"/>
      <c r="AH27" s="628"/>
      <c r="AQ27" s="628"/>
      <c r="AZ27" s="628"/>
      <c r="BI27" s="628"/>
    </row>
    <row r="28" spans="2:61" ht="13.2" customHeight="1" thickBot="1">
      <c r="B28" s="4218" t="s">
        <v>5298</v>
      </c>
      <c r="C28" s="4184"/>
      <c r="D28" s="4184"/>
      <c r="E28" s="4184"/>
      <c r="F28" s="4184"/>
      <c r="G28" s="4184"/>
      <c r="H28" s="4184"/>
      <c r="I28" s="4184"/>
      <c r="J28" s="4184"/>
      <c r="K28" s="4184"/>
      <c r="L28" s="4184"/>
      <c r="M28" s="4459" t="str">
        <f>CONCATENATE("Row ",O26, " factors 'shrink' weekday trip amounts.")</f>
        <v>Row 26 factors 'shrink' weekday trip amounts.</v>
      </c>
      <c r="N28" s="4474"/>
      <c r="O28" s="136">
        <f>ROW()</f>
        <v>28</v>
      </c>
      <c r="P28" s="903"/>
      <c r="Q28" s="908"/>
      <c r="R28" s="900"/>
      <c r="S28" s="900"/>
      <c r="T28" s="900"/>
      <c r="U28" s="900"/>
      <c r="V28" s="901"/>
      <c r="Y28" s="628"/>
      <c r="AH28" s="628"/>
      <c r="AQ28" s="628"/>
      <c r="AZ28" s="628"/>
      <c r="BI28" s="628"/>
    </row>
    <row r="29" spans="2:61" ht="13.2" customHeight="1">
      <c r="B29" s="4184"/>
      <c r="C29" s="4184"/>
      <c r="D29" s="4184"/>
      <c r="E29" s="4184"/>
      <c r="F29" s="4184"/>
      <c r="G29" s="4184"/>
      <c r="H29" s="4184"/>
      <c r="I29" s="4184"/>
      <c r="J29" s="4184"/>
      <c r="K29" s="4184"/>
      <c r="L29" s="4184"/>
      <c r="M29" s="4475"/>
      <c r="N29" s="4476"/>
      <c r="O29" s="136">
        <f>ROW()</f>
        <v>29</v>
      </c>
    </row>
    <row r="30" spans="2:61" ht="13.2" customHeight="1">
      <c r="B30" s="281" t="s">
        <v>2336</v>
      </c>
      <c r="H30" s="10">
        <f>SUM(I30:N30)</f>
        <v>676000</v>
      </c>
      <c r="I30" s="4367">
        <f>I27-L30</f>
        <v>590000</v>
      </c>
      <c r="J30" s="4368"/>
      <c r="L30" s="817">
        <f>ROUND(Taxis!N298,-3)</f>
        <v>65000</v>
      </c>
      <c r="M30" s="10">
        <f>M27</f>
        <v>15000</v>
      </c>
      <c r="N30" s="10">
        <f>N27</f>
        <v>6000</v>
      </c>
      <c r="O30" s="136">
        <f>ROW()</f>
        <v>30</v>
      </c>
      <c r="Q30" s="6" t="s">
        <v>1275</v>
      </c>
    </row>
    <row r="31" spans="2:61" ht="13.2" customHeight="1">
      <c r="B31" s="215" t="str">
        <f>CONCATENATE("Taxicab cordon entries are derived in 'Taxis' worksheet; figure here is rounded from figure in Cell N",Taxis!O298, ". Combined figure for auto-work, non-work and through-trips is all auto minus taxis.")</f>
        <v>Taxicab cordon entries are derived in 'Taxis' worksheet; figure here is rounded from figure in Cell N298. Combined figure for auto-work, non-work and through-trips is all auto minus taxis.</v>
      </c>
      <c r="N31" s="10"/>
      <c r="O31" s="136">
        <f>ROW()</f>
        <v>31</v>
      </c>
    </row>
    <row r="32" spans="2:61" ht="13.2" customHeight="1">
      <c r="B32" s="281" t="s">
        <v>2252</v>
      </c>
      <c r="H32" s="631"/>
      <c r="I32" s="4287">
        <f>1.1*'Motor Vs'!I32:J32</f>
        <v>0.37400000000000005</v>
      </c>
      <c r="J32" s="4287"/>
      <c r="K32" s="208" t="str">
        <f>'Motor Vs'!K32</f>
        <v>N.A.</v>
      </c>
      <c r="L32" s="445">
        <f>'Motor Vs'!L32</f>
        <v>0</v>
      </c>
      <c r="M32" s="445">
        <f>1.1*'Motor Vs'!M32</f>
        <v>0.37400000000000005</v>
      </c>
      <c r="N32" s="445">
        <f>1.1*'Motor Vs'!N32</f>
        <v>0.11000000000000001</v>
      </c>
      <c r="O32" s="136">
        <f>ROW()</f>
        <v>32</v>
      </c>
    </row>
    <row r="33" spans="2:68" ht="13.2" customHeight="1">
      <c r="B33" s="3754" t="s">
        <v>5487</v>
      </c>
      <c r="C33" s="3659"/>
      <c r="D33" s="3659"/>
      <c r="E33" s="3659"/>
      <c r="F33" s="3659"/>
      <c r="G33" s="3659"/>
      <c r="H33" s="3659"/>
      <c r="I33" s="4409" t="s">
        <v>5468</v>
      </c>
      <c r="J33" s="4409"/>
      <c r="K33" s="4409"/>
      <c r="L33" s="4409"/>
      <c r="M33" s="4409"/>
      <c r="N33" s="4409"/>
      <c r="O33" s="136">
        <f>ROW()</f>
        <v>33</v>
      </c>
      <c r="P33" s="4147" t="str">
        <f>P$113</f>
        <v>AUTO TRIPS FOR WORK</v>
      </c>
      <c r="Q33" s="4147"/>
      <c r="R33" s="4147"/>
      <c r="S33" s="4147"/>
      <c r="T33" s="4147"/>
      <c r="U33" s="4147"/>
      <c r="V33" s="4147"/>
      <c r="W33" s="4147"/>
      <c r="Y33" s="4147" t="str">
        <f>Y$113</f>
        <v>AUTO TRIPS FOR NON-WORK</v>
      </c>
      <c r="Z33" s="4147"/>
      <c r="AA33" s="4147"/>
      <c r="AB33" s="4147"/>
      <c r="AC33" s="4147"/>
      <c r="AD33" s="4147"/>
      <c r="AE33" s="4147"/>
      <c r="AF33" s="4147"/>
      <c r="AH33" s="4147" t="str">
        <f>AH$113</f>
        <v>THROUGH-TRIPS (AUTOS ONLY)</v>
      </c>
      <c r="AI33" s="4147"/>
      <c r="AJ33" s="4147"/>
      <c r="AK33" s="4147"/>
      <c r="AL33" s="4147"/>
      <c r="AM33" s="4147"/>
      <c r="AN33" s="4147"/>
      <c r="AO33" s="4147"/>
      <c r="AQ33" s="4147" t="str">
        <f>AQ$113</f>
        <v>TAXICABS (MEDALLION TAXIS ONLY)</v>
      </c>
      <c r="AR33" s="4147"/>
      <c r="AS33" s="4147"/>
      <c r="AT33" s="4147"/>
      <c r="AU33" s="4147"/>
      <c r="AV33" s="4147"/>
      <c r="AW33" s="4147"/>
      <c r="AX33" s="4147"/>
      <c r="AZ33" s="4147" t="str">
        <f>AZ$113</f>
        <v>TRUCKS</v>
      </c>
      <c r="BA33" s="4147"/>
      <c r="BB33" s="4147"/>
      <c r="BC33" s="4147"/>
      <c r="BD33" s="4147"/>
      <c r="BE33" s="4147"/>
      <c r="BF33" s="4147"/>
      <c r="BG33" s="4147"/>
      <c r="BI33" s="4147" t="str">
        <f>BI$113</f>
        <v>BUSES</v>
      </c>
      <c r="BJ33" s="4147"/>
      <c r="BK33" s="4147"/>
      <c r="BL33" s="4147"/>
      <c r="BM33" s="4147"/>
      <c r="BN33" s="4147"/>
      <c r="BO33" s="4147"/>
      <c r="BP33" s="4147"/>
    </row>
    <row r="34" spans="2:68" ht="13.2" customHeight="1">
      <c r="B34" s="3659"/>
      <c r="C34" s="3659"/>
      <c r="D34" s="3659"/>
      <c r="E34" s="3659"/>
      <c r="F34" s="3659"/>
      <c r="G34" s="3659"/>
      <c r="H34" s="3659"/>
      <c r="I34" s="4413" t="s">
        <v>5451</v>
      </c>
      <c r="J34" s="4413"/>
      <c r="K34" s="4413"/>
      <c r="L34" s="4413"/>
      <c r="M34" s="4413"/>
      <c r="N34" s="4413"/>
      <c r="O34" s="136">
        <f>ROW()</f>
        <v>34</v>
      </c>
      <c r="P34" s="3099"/>
      <c r="Q34" s="3099"/>
      <c r="R34" s="3099"/>
      <c r="S34" s="3099"/>
      <c r="T34" s="3099"/>
      <c r="U34" s="3099"/>
      <c r="V34" s="3099"/>
      <c r="W34" s="3099"/>
      <c r="Y34" s="3099"/>
      <c r="Z34" s="3099"/>
      <c r="AA34" s="3099"/>
      <c r="AB34" s="3099"/>
      <c r="AC34" s="3099"/>
      <c r="AD34" s="3099"/>
      <c r="AE34" s="3099"/>
      <c r="AF34" s="3099"/>
      <c r="AH34" s="3099"/>
      <c r="AI34" s="3099"/>
      <c r="AJ34" s="3099"/>
      <c r="AK34" s="3099"/>
      <c r="AL34" s="3099"/>
      <c r="AM34" s="3099"/>
      <c r="AN34" s="3099"/>
      <c r="AO34" s="3099"/>
      <c r="AQ34" s="3099"/>
      <c r="AR34" s="3099"/>
      <c r="AS34" s="3099"/>
      <c r="AT34" s="3099"/>
      <c r="AU34" s="3099"/>
      <c r="AV34" s="3099"/>
      <c r="AW34" s="3099"/>
      <c r="AX34" s="3099"/>
      <c r="AZ34" s="3099"/>
      <c r="BA34" s="3099"/>
      <c r="BB34" s="3099"/>
      <c r="BC34" s="3099"/>
      <c r="BD34" s="3099"/>
      <c r="BE34" s="3099"/>
      <c r="BF34" s="3099"/>
      <c r="BG34" s="3099"/>
      <c r="BI34" s="3099"/>
      <c r="BJ34" s="3099"/>
      <c r="BK34" s="3099"/>
      <c r="BL34" s="3099"/>
      <c r="BM34" s="3099"/>
      <c r="BN34" s="3099"/>
      <c r="BO34" s="3099"/>
      <c r="BP34" s="3099"/>
    </row>
    <row r="35" spans="2:68" ht="13.2" customHeight="1">
      <c r="B35" s="312" t="s">
        <v>5453</v>
      </c>
      <c r="H35" s="631"/>
      <c r="I35" s="4287">
        <f>1-I32</f>
        <v>0.62599999999999989</v>
      </c>
      <c r="J35" s="4287"/>
      <c r="K35" s="3024"/>
      <c r="L35" s="446">
        <f>1-L32</f>
        <v>1</v>
      </c>
      <c r="M35" s="446">
        <f>1-M32</f>
        <v>0.62599999999999989</v>
      </c>
      <c r="N35" s="446">
        <f>1-N32</f>
        <v>0.89</v>
      </c>
      <c r="O35" s="136">
        <f>ROW()</f>
        <v>35</v>
      </c>
      <c r="P35" s="3025"/>
      <c r="Q35" s="3025"/>
      <c r="R35" s="3025"/>
      <c r="S35" s="3025"/>
      <c r="T35" s="3025"/>
      <c r="U35" s="3025"/>
      <c r="V35" s="3025"/>
      <c r="W35" s="3025"/>
      <c r="Y35" s="3025"/>
      <c r="Z35" s="3025"/>
      <c r="AA35" s="3025"/>
      <c r="AB35" s="3025"/>
      <c r="AC35" s="3025"/>
      <c r="AD35" s="3025"/>
      <c r="AE35" s="3025"/>
      <c r="AF35" s="3025"/>
      <c r="AH35" s="3025"/>
      <c r="AI35" s="3025"/>
      <c r="AJ35" s="3025"/>
      <c r="AK35" s="3025"/>
      <c r="AL35" s="3025"/>
      <c r="AM35" s="3025"/>
      <c r="AN35" s="3025"/>
      <c r="AO35" s="3025"/>
      <c r="AQ35" s="3025"/>
      <c r="AR35" s="3025"/>
      <c r="AS35" s="3025"/>
      <c r="AT35" s="3025"/>
      <c r="AU35" s="3025"/>
      <c r="AV35" s="3025"/>
      <c r="AW35" s="3025"/>
      <c r="AX35" s="3025"/>
      <c r="AZ35" s="3025"/>
      <c r="BA35" s="3025"/>
      <c r="BB35" s="3025"/>
      <c r="BC35" s="3025"/>
      <c r="BD35" s="3025"/>
      <c r="BE35" s="3025"/>
      <c r="BF35" s="3025"/>
      <c r="BG35" s="3025"/>
      <c r="BI35" s="3025"/>
      <c r="BJ35" s="3025"/>
      <c r="BK35" s="3025"/>
      <c r="BL35" s="3025"/>
      <c r="BM35" s="3025"/>
      <c r="BN35" s="3025"/>
      <c r="BO35" s="3025"/>
      <c r="BP35" s="3025"/>
    </row>
    <row r="36" spans="2:68" ht="13.2" customHeight="1">
      <c r="B36" s="215" t="str">
        <f>CONCATENATE("Complements of percentages in Row ",O32, ".")</f>
        <v>Complements of percentages in Row 32.</v>
      </c>
      <c r="E36" s="215"/>
      <c r="H36" s="631"/>
      <c r="I36" s="3026"/>
      <c r="J36" s="3026"/>
      <c r="K36" s="3024"/>
      <c r="L36" s="446"/>
      <c r="M36" s="446"/>
      <c r="N36" s="446"/>
      <c r="O36" s="136">
        <f>ROW()</f>
        <v>36</v>
      </c>
      <c r="P36" s="3025"/>
      <c r="Q36" s="3025"/>
      <c r="R36" s="3025"/>
      <c r="S36" s="3025"/>
      <c r="T36" s="3025"/>
      <c r="U36" s="3025"/>
      <c r="V36" s="3025"/>
      <c r="W36" s="3025"/>
      <c r="Y36" s="3025"/>
      <c r="Z36" s="3025"/>
      <c r="AA36" s="3025"/>
      <c r="AB36" s="3025"/>
      <c r="AC36" s="3025"/>
      <c r="AD36" s="3025"/>
      <c r="AE36" s="3025"/>
      <c r="AF36" s="3025"/>
      <c r="AH36" s="3025"/>
      <c r="AI36" s="3025"/>
      <c r="AJ36" s="3025"/>
      <c r="AK36" s="3025"/>
      <c r="AL36" s="3025"/>
      <c r="AM36" s="3025"/>
      <c r="AN36" s="3025"/>
      <c r="AO36" s="3025"/>
      <c r="AQ36" s="3025"/>
      <c r="AR36" s="3025"/>
      <c r="AS36" s="3025"/>
      <c r="AT36" s="3025"/>
      <c r="AU36" s="3025"/>
      <c r="AV36" s="3025"/>
      <c r="AW36" s="3025"/>
      <c r="AX36" s="3025"/>
      <c r="AZ36" s="3025"/>
      <c r="BA36" s="3025"/>
      <c r="BB36" s="3025"/>
      <c r="BC36" s="3025"/>
      <c r="BD36" s="3025"/>
      <c r="BE36" s="3025"/>
      <c r="BF36" s="3025"/>
      <c r="BG36" s="3025"/>
      <c r="BI36" s="3025"/>
      <c r="BJ36" s="3025"/>
      <c r="BK36" s="3025"/>
      <c r="BL36" s="3025"/>
      <c r="BM36" s="3025"/>
      <c r="BN36" s="3025"/>
      <c r="BO36" s="3025"/>
      <c r="BP36" s="3025"/>
    </row>
    <row r="37" spans="2:68" ht="13.2" customHeight="1">
      <c r="B37" s="281" t="s">
        <v>5452</v>
      </c>
      <c r="H37" s="10">
        <f>H30</f>
        <v>676000</v>
      </c>
      <c r="I37" s="4382">
        <f>I30*I35</f>
        <v>369339.99999999994</v>
      </c>
      <c r="J37" s="4383"/>
      <c r="K37" s="3106">
        <f>H37-I37-SUM(L37:N37)</f>
        <v>226930.00000000006</v>
      </c>
      <c r="L37" s="3101">
        <f>L30*L35</f>
        <v>65000</v>
      </c>
      <c r="M37" s="3101">
        <f>M30*M35</f>
        <v>9389.9999999999982</v>
      </c>
      <c r="N37" s="3101">
        <f>N30*N35</f>
        <v>5340</v>
      </c>
      <c r="O37" s="136">
        <f>ROW()</f>
        <v>37</v>
      </c>
      <c r="P37" s="3103"/>
      <c r="Q37" s="3103"/>
      <c r="R37" s="3103"/>
      <c r="S37" s="3103"/>
      <c r="T37" s="3103"/>
      <c r="U37" s="3103"/>
      <c r="V37" s="3103"/>
      <c r="W37" s="3103"/>
      <c r="Y37" s="3103"/>
      <c r="Z37" s="3103"/>
      <c r="AA37" s="3103"/>
      <c r="AB37" s="3103"/>
      <c r="AC37" s="3103"/>
      <c r="AD37" s="3103"/>
      <c r="AE37" s="3103"/>
      <c r="AF37" s="3103"/>
      <c r="AH37" s="3103"/>
      <c r="AI37" s="3103"/>
      <c r="AJ37" s="3103"/>
      <c r="AK37" s="3103"/>
      <c r="AL37" s="3103"/>
      <c r="AM37" s="3103"/>
      <c r="AN37" s="3103"/>
      <c r="AO37" s="3103"/>
      <c r="AQ37" s="3103"/>
      <c r="AR37" s="3103"/>
      <c r="AS37" s="3103"/>
      <c r="AT37" s="3103"/>
      <c r="AU37" s="3103"/>
      <c r="AV37" s="3103"/>
      <c r="AW37" s="3103"/>
      <c r="AX37" s="3103"/>
      <c r="AZ37" s="3103"/>
      <c r="BA37" s="3103"/>
      <c r="BB37" s="3103"/>
      <c r="BC37" s="3103"/>
      <c r="BD37" s="3103"/>
      <c r="BE37" s="3103"/>
      <c r="BF37" s="3103"/>
      <c r="BG37" s="3103"/>
      <c r="BI37" s="3103"/>
      <c r="BJ37" s="3103"/>
      <c r="BK37" s="3103"/>
      <c r="BL37" s="3103"/>
      <c r="BM37" s="3103"/>
      <c r="BN37" s="3103"/>
      <c r="BO37" s="3103"/>
      <c r="BP37" s="3103"/>
    </row>
    <row r="38" spans="2:68" ht="13.2" customHeight="1">
      <c r="B38" s="215" t="str">
        <f>CONCATENATE("Total is same as Row ",O30, ". Items are product of Row ",O30, " and %'s in Row ",O35, ". Thru trips are remainder.")</f>
        <v>Total is same as Row 30. Items are product of Row 30 and %'s in Row 35. Thru trips are remainder.</v>
      </c>
      <c r="H38" s="10"/>
      <c r="I38" s="4378" t="s">
        <v>5456</v>
      </c>
      <c r="J38" s="4379"/>
      <c r="K38" s="3107" t="s">
        <v>2473</v>
      </c>
      <c r="L38" s="4378" t="s">
        <v>5456</v>
      </c>
      <c r="M38" s="4410"/>
      <c r="N38" s="4379"/>
      <c r="O38" s="136">
        <f>ROW()</f>
        <v>38</v>
      </c>
      <c r="P38" s="3103"/>
      <c r="Q38" s="3103"/>
      <c r="R38" s="3103"/>
      <c r="S38" s="3103"/>
      <c r="T38" s="3103"/>
      <c r="U38" s="3103"/>
      <c r="V38" s="3103"/>
      <c r="W38" s="3103"/>
      <c r="Y38" s="3103"/>
      <c r="Z38" s="3103"/>
      <c r="AA38" s="3103"/>
      <c r="AB38" s="3103"/>
      <c r="AC38" s="3103"/>
      <c r="AD38" s="3103"/>
      <c r="AE38" s="3103"/>
      <c r="AF38" s="3103"/>
      <c r="AH38" s="3103"/>
      <c r="AI38" s="3103"/>
      <c r="AJ38" s="3103"/>
      <c r="AK38" s="3103"/>
      <c r="AL38" s="3103"/>
      <c r="AM38" s="3103"/>
      <c r="AN38" s="3103"/>
      <c r="AO38" s="3103"/>
      <c r="AQ38" s="3103"/>
      <c r="AR38" s="3103"/>
      <c r="AS38" s="3103"/>
      <c r="AT38" s="3103"/>
      <c r="AU38" s="3103"/>
      <c r="AV38" s="3103"/>
      <c r="AW38" s="3103"/>
      <c r="AX38" s="3103"/>
      <c r="AZ38" s="3103"/>
      <c r="BA38" s="3103"/>
      <c r="BB38" s="3103"/>
      <c r="BC38" s="3103"/>
      <c r="BD38" s="3103"/>
      <c r="BE38" s="3103"/>
      <c r="BF38" s="3103"/>
      <c r="BG38" s="3103"/>
      <c r="BI38" s="3103"/>
      <c r="BJ38" s="3103"/>
      <c r="BK38" s="3103"/>
      <c r="BL38" s="3103"/>
      <c r="BM38" s="3103"/>
      <c r="BN38" s="3103"/>
      <c r="BO38" s="3103"/>
      <c r="BP38" s="3103"/>
    </row>
    <row r="39" spans="2:68" ht="13.2" customHeight="1">
      <c r="B39" s="312" t="s">
        <v>5454</v>
      </c>
      <c r="I39" s="3104">
        <v>0.25</v>
      </c>
      <c r="J39" s="3105"/>
      <c r="K39" s="632"/>
      <c r="L39" s="10"/>
      <c r="O39" s="136">
        <f>ROW()</f>
        <v>39</v>
      </c>
      <c r="P39" s="3103"/>
      <c r="Q39" s="3103"/>
      <c r="R39" s="3103"/>
      <c r="S39" s="3103"/>
      <c r="T39" s="3103"/>
      <c r="U39" s="3103"/>
      <c r="V39" s="3103"/>
      <c r="W39" s="3103"/>
      <c r="Y39" s="3103"/>
      <c r="Z39" s="3103"/>
      <c r="AA39" s="3103"/>
      <c r="AB39" s="3103"/>
      <c r="AC39" s="3103"/>
      <c r="AD39" s="3103"/>
      <c r="AE39" s="3103"/>
      <c r="AF39" s="3103"/>
      <c r="AH39" s="3103"/>
      <c r="AI39" s="3103"/>
      <c r="AJ39" s="3103"/>
      <c r="AK39" s="3103"/>
      <c r="AL39" s="3103"/>
      <c r="AM39" s="3103"/>
      <c r="AN39" s="3103"/>
      <c r="AO39" s="3103"/>
      <c r="AQ39" s="3103"/>
      <c r="AR39" s="3103"/>
      <c r="AS39" s="3103"/>
      <c r="AT39" s="3103"/>
      <c r="AU39" s="3103"/>
      <c r="AV39" s="3103"/>
      <c r="AW39" s="3103"/>
      <c r="AX39" s="3103"/>
      <c r="AZ39" s="3103"/>
      <c r="BA39" s="3103"/>
      <c r="BB39" s="3103"/>
      <c r="BC39" s="3103"/>
      <c r="BD39" s="3103"/>
      <c r="BE39" s="3103"/>
      <c r="BF39" s="3103"/>
      <c r="BG39" s="3103"/>
      <c r="BI39" s="3103"/>
      <c r="BJ39" s="3103"/>
      <c r="BK39" s="3103"/>
      <c r="BL39" s="3103"/>
      <c r="BM39" s="3103"/>
      <c r="BN39" s="3103"/>
      <c r="BO39" s="3103"/>
      <c r="BP39" s="3103"/>
    </row>
    <row r="40" spans="2:68" ht="13.2" customHeight="1">
      <c r="B40" s="215" t="str">
        <f>CONCATENATE("Komanoff estimate. Is far less than ",ROUND('Motor Vs'!I39,2)*100, "% figure for weekdays.")</f>
        <v>Komanoff estimate. Is far less than 59% figure for weekdays.</v>
      </c>
      <c r="H40" s="10"/>
      <c r="I40" s="3105"/>
      <c r="J40" s="3105"/>
      <c r="K40" s="632"/>
      <c r="L40" s="10"/>
      <c r="M40" s="10"/>
      <c r="N40" s="10"/>
      <c r="O40" s="136">
        <f>ROW()</f>
        <v>40</v>
      </c>
      <c r="P40" s="3103"/>
      <c r="Q40" s="3103"/>
      <c r="R40" s="3103"/>
      <c r="S40" s="3103"/>
      <c r="T40" s="3103"/>
      <c r="U40" s="3103"/>
      <c r="V40" s="3103"/>
      <c r="W40" s="3103"/>
      <c r="Y40" s="3103"/>
      <c r="Z40" s="3103"/>
      <c r="AA40" s="3103"/>
      <c r="AB40" s="3103"/>
      <c r="AC40" s="3103"/>
      <c r="AD40" s="3103"/>
      <c r="AE40" s="3103"/>
      <c r="AF40" s="3103"/>
      <c r="AH40" s="3103"/>
      <c r="AI40" s="3103"/>
      <c r="AJ40" s="3103"/>
      <c r="AK40" s="3103"/>
      <c r="AL40" s="3103"/>
      <c r="AM40" s="3103"/>
      <c r="AN40" s="3103"/>
      <c r="AO40" s="3103"/>
      <c r="AQ40" s="3103"/>
      <c r="AR40" s="3103"/>
      <c r="AS40" s="3103"/>
      <c r="AT40" s="3103"/>
      <c r="AU40" s="3103"/>
      <c r="AV40" s="3103"/>
      <c r="AW40" s="3103"/>
      <c r="AX40" s="3103"/>
      <c r="AZ40" s="3103"/>
      <c r="BA40" s="3103"/>
      <c r="BB40" s="3103"/>
      <c r="BC40" s="3103"/>
      <c r="BD40" s="3103"/>
      <c r="BE40" s="3103"/>
      <c r="BF40" s="3103"/>
      <c r="BG40" s="3103"/>
      <c r="BI40" s="3103"/>
      <c r="BJ40" s="3103"/>
      <c r="BK40" s="3103"/>
      <c r="BL40" s="3103"/>
      <c r="BM40" s="3103"/>
      <c r="BN40" s="3103"/>
      <c r="BO40" s="3103"/>
      <c r="BP40" s="3103"/>
    </row>
    <row r="41" spans="2:68" ht="13.2" customHeight="1">
      <c r="B41" s="312" t="s">
        <v>5455</v>
      </c>
      <c r="H41" s="10">
        <f>SUM(I41:N41)</f>
        <v>676000</v>
      </c>
      <c r="I41" s="3101">
        <f>I39*I37</f>
        <v>92334.999999999985</v>
      </c>
      <c r="J41" s="3101">
        <f>(1-I39)*I37</f>
        <v>277004.99999999994</v>
      </c>
      <c r="K41" s="3106">
        <f>K37</f>
        <v>226930.00000000006</v>
      </c>
      <c r="L41" s="3101">
        <f>L37</f>
        <v>65000</v>
      </c>
      <c r="M41" s="3101">
        <f>M37</f>
        <v>9389.9999999999982</v>
      </c>
      <c r="N41" s="3101">
        <f>N37</f>
        <v>5340</v>
      </c>
      <c r="O41" s="136">
        <f>ROW()</f>
        <v>41</v>
      </c>
      <c r="P41" s="3103"/>
      <c r="Q41" s="3103"/>
      <c r="R41" s="3103"/>
      <c r="S41" s="3103"/>
      <c r="T41" s="3103"/>
      <c r="U41" s="3103"/>
      <c r="V41" s="3103"/>
      <c r="W41" s="3103"/>
      <c r="Y41" s="3103"/>
      <c r="Z41" s="3103"/>
      <c r="AA41" s="3103"/>
      <c r="AB41" s="3103"/>
      <c r="AC41" s="3103"/>
      <c r="AD41" s="3103"/>
      <c r="AE41" s="3103"/>
      <c r="AF41" s="3103"/>
      <c r="AH41" s="3103"/>
      <c r="AI41" s="3103"/>
      <c r="AJ41" s="3103"/>
      <c r="AK41" s="3103"/>
      <c r="AL41" s="3103"/>
      <c r="AM41" s="3103"/>
      <c r="AN41" s="3103"/>
      <c r="AO41" s="3103"/>
      <c r="AQ41" s="3103"/>
      <c r="AR41" s="3103"/>
      <c r="AS41" s="3103"/>
      <c r="AT41" s="3103"/>
      <c r="AU41" s="3103"/>
      <c r="AV41" s="3103"/>
      <c r="AW41" s="3103"/>
      <c r="AX41" s="3103"/>
      <c r="AZ41" s="3103"/>
      <c r="BA41" s="3103"/>
      <c r="BB41" s="3103"/>
      <c r="BC41" s="3103"/>
      <c r="BD41" s="3103"/>
      <c r="BE41" s="3103"/>
      <c r="BF41" s="3103"/>
      <c r="BG41" s="3103"/>
      <c r="BI41" s="3103"/>
      <c r="BJ41" s="3103"/>
      <c r="BK41" s="3103"/>
      <c r="BL41" s="3103"/>
      <c r="BM41" s="3103"/>
      <c r="BN41" s="3103"/>
      <c r="BO41" s="3103"/>
      <c r="BP41" s="3103"/>
    </row>
    <row r="42" spans="2:68" ht="13.2" customHeight="1">
      <c r="B42" s="215" t="str">
        <f>CONCATENATE("Auto work and non-work multiply Cell I",O39, " or its complement by Cell I",O37, ".")</f>
        <v>Auto work and non-work multiply Cell I39 or its complement by Cell I37.</v>
      </c>
      <c r="H42" s="10"/>
      <c r="I42" s="4378" t="s">
        <v>5456</v>
      </c>
      <c r="J42" s="4379"/>
      <c r="K42" s="3107" t="s">
        <v>2473</v>
      </c>
      <c r="L42" s="4378" t="s">
        <v>5456</v>
      </c>
      <c r="M42" s="4410"/>
      <c r="N42" s="4379"/>
      <c r="O42" s="136">
        <f>ROW()</f>
        <v>42</v>
      </c>
      <c r="P42" s="3103"/>
      <c r="Q42" s="3103"/>
      <c r="R42" s="3103"/>
      <c r="S42" s="3103"/>
      <c r="T42" s="3103"/>
      <c r="U42" s="3103"/>
      <c r="V42" s="3103"/>
      <c r="W42" s="3103"/>
      <c r="Y42" s="3103"/>
      <c r="Z42" s="3103"/>
      <c r="AA42" s="3103"/>
      <c r="AB42" s="3103"/>
      <c r="AC42" s="3103"/>
      <c r="AD42" s="3103"/>
      <c r="AE42" s="3103"/>
      <c r="AF42" s="3103"/>
      <c r="AH42" s="3103"/>
      <c r="AI42" s="3103"/>
      <c r="AJ42" s="3103"/>
      <c r="AK42" s="3103"/>
      <c r="AL42" s="3103"/>
      <c r="AM42" s="3103"/>
      <c r="AN42" s="3103"/>
      <c r="AO42" s="3103"/>
      <c r="AQ42" s="3103"/>
      <c r="AR42" s="3103"/>
      <c r="AS42" s="3103"/>
      <c r="AT42" s="3103"/>
      <c r="AU42" s="3103"/>
      <c r="AV42" s="3103"/>
      <c r="AW42" s="3103"/>
      <c r="AX42" s="3103"/>
      <c r="AZ42" s="3103"/>
      <c r="BA42" s="3103"/>
      <c r="BB42" s="3103"/>
      <c r="BC42" s="3103"/>
      <c r="BD42" s="3103"/>
      <c r="BE42" s="3103"/>
      <c r="BF42" s="3103"/>
      <c r="BG42" s="3103"/>
      <c r="BI42" s="3103"/>
      <c r="BJ42" s="3103"/>
      <c r="BK42" s="3103"/>
      <c r="BL42" s="3103"/>
      <c r="BM42" s="3103"/>
      <c r="BN42" s="3103"/>
      <c r="BO42" s="3103"/>
      <c r="BP42" s="3103"/>
    </row>
    <row r="43" spans="2:68" ht="13.2" customHeight="1">
      <c r="B43" s="312" t="s">
        <v>5457</v>
      </c>
      <c r="F43" s="3135">
        <v>0.1</v>
      </c>
      <c r="G43" s="3119" t="s">
        <v>5466</v>
      </c>
      <c r="H43" s="3120"/>
      <c r="I43" s="4492">
        <f>'Motor Vs'!I43:J43-'Motor Vs Weekends'!F43</f>
        <v>0.70000000000000007</v>
      </c>
      <c r="J43" s="4493"/>
      <c r="L43" s="446">
        <v>1</v>
      </c>
      <c r="M43" s="3121">
        <f>'Motor Vs'!M43-'Motor Vs Weekends'!$F$43</f>
        <v>0.70000000000000007</v>
      </c>
      <c r="N43" s="3121">
        <f>'Motor Vs'!N43-'Motor Vs Weekends'!$F$43</f>
        <v>0.8</v>
      </c>
      <c r="O43" s="136">
        <f>ROW()</f>
        <v>43</v>
      </c>
      <c r="P43" s="3103"/>
      <c r="Q43" s="3103"/>
      <c r="R43" s="3103"/>
      <c r="S43" s="3103"/>
      <c r="T43" s="3103"/>
      <c r="U43" s="3103"/>
      <c r="V43" s="3103"/>
      <c r="W43" s="3103"/>
      <c r="Y43" s="3103"/>
      <c r="Z43" s="3103"/>
      <c r="AA43" s="3103"/>
      <c r="AB43" s="3103"/>
      <c r="AC43" s="3103"/>
      <c r="AD43" s="3103"/>
      <c r="AE43" s="3103"/>
      <c r="AF43" s="3103"/>
      <c r="AH43" s="3103"/>
      <c r="AI43" s="3103"/>
      <c r="AJ43" s="3103"/>
      <c r="AK43" s="3103"/>
      <c r="AL43" s="3103"/>
      <c r="AM43" s="3103"/>
      <c r="AN43" s="3103"/>
      <c r="AO43" s="3103"/>
      <c r="AQ43" s="3103"/>
      <c r="AR43" s="3103"/>
      <c r="AS43" s="3103"/>
      <c r="AT43" s="3103"/>
      <c r="AU43" s="3103"/>
      <c r="AV43" s="3103"/>
      <c r="AW43" s="3103"/>
      <c r="AX43" s="3103"/>
      <c r="AZ43" s="3103"/>
      <c r="BA43" s="3103"/>
      <c r="BB43" s="3103"/>
      <c r="BC43" s="3103"/>
      <c r="BD43" s="3103"/>
      <c r="BE43" s="3103"/>
      <c r="BF43" s="3103"/>
      <c r="BG43" s="3103"/>
      <c r="BI43" s="3103"/>
      <c r="BJ43" s="3103"/>
      <c r="BK43" s="3103"/>
      <c r="BL43" s="3103"/>
      <c r="BM43" s="3103"/>
      <c r="BN43" s="3103"/>
      <c r="BO43" s="3103"/>
      <c r="BP43" s="3103"/>
    </row>
    <row r="44" spans="2:68" ht="13.2" customHeight="1">
      <c r="B44" s="215" t="s">
        <v>5486</v>
      </c>
      <c r="H44" s="10"/>
      <c r="I44" s="3105"/>
      <c r="J44" s="3105"/>
      <c r="K44" s="632"/>
      <c r="L44" s="10"/>
      <c r="M44" s="10"/>
      <c r="N44" s="10"/>
      <c r="O44" s="136">
        <f>ROW()</f>
        <v>44</v>
      </c>
      <c r="P44" s="3103"/>
      <c r="Q44" s="3103"/>
      <c r="R44" s="3103"/>
      <c r="S44" s="3103"/>
      <c r="T44" s="3103"/>
      <c r="U44" s="3103"/>
      <c r="V44" s="3103"/>
      <c r="W44" s="3103"/>
      <c r="Y44" s="3103"/>
      <c r="Z44" s="3103"/>
      <c r="AA44" s="3103"/>
      <c r="AB44" s="3103"/>
      <c r="AC44" s="3103"/>
      <c r="AD44" s="3103"/>
      <c r="AE44" s="3103"/>
      <c r="AF44" s="3103"/>
      <c r="AH44" s="3103"/>
      <c r="AI44" s="3103"/>
      <c r="AJ44" s="3103"/>
      <c r="AK44" s="3103"/>
      <c r="AL44" s="3103"/>
      <c r="AM44" s="3103"/>
      <c r="AN44" s="3103"/>
      <c r="AO44" s="3103"/>
      <c r="AQ44" s="3103"/>
      <c r="AR44" s="3103"/>
      <c r="AS44" s="3103"/>
      <c r="AT44" s="3103"/>
      <c r="AU44" s="3103"/>
      <c r="AV44" s="3103"/>
      <c r="AW44" s="3103"/>
      <c r="AX44" s="3103"/>
      <c r="AZ44" s="3103"/>
      <c r="BA44" s="3103"/>
      <c r="BB44" s="3103"/>
      <c r="BC44" s="3103"/>
      <c r="BD44" s="3103"/>
      <c r="BE44" s="3103"/>
      <c r="BF44" s="3103"/>
      <c r="BG44" s="3103"/>
      <c r="BI44" s="3103"/>
      <c r="BJ44" s="3103"/>
      <c r="BK44" s="3103"/>
      <c r="BL44" s="3103"/>
      <c r="BM44" s="3103"/>
      <c r="BN44" s="3103"/>
      <c r="BO44" s="3103"/>
      <c r="BP44" s="3103"/>
    </row>
    <row r="45" spans="2:68" ht="13.2" customHeight="1">
      <c r="B45" s="312" t="s">
        <v>5469</v>
      </c>
      <c r="C45" s="3126"/>
      <c r="D45" s="3126"/>
      <c r="E45" s="3126"/>
      <c r="F45" s="3126"/>
      <c r="G45" s="3126"/>
      <c r="H45" s="3126"/>
      <c r="I45" s="4381">
        <f>I43/(100%-(100%-I43)/2)</f>
        <v>0.82352941176470584</v>
      </c>
      <c r="J45" s="4376"/>
      <c r="K45" s="3126"/>
      <c r="L45" s="446">
        <f>L43/(100%-(100%-L43)/2)</f>
        <v>1</v>
      </c>
      <c r="M45" s="446">
        <f>M43/(100%-(100%-M43)/2)</f>
        <v>0.82352941176470584</v>
      </c>
      <c r="N45" s="446">
        <f>N43/(100%-(100%-N43)/2)</f>
        <v>0.88888888888888895</v>
      </c>
      <c r="O45" s="136">
        <f>ROW()</f>
        <v>45</v>
      </c>
      <c r="P45" s="3103"/>
      <c r="Q45" s="3103"/>
      <c r="R45" s="3103"/>
      <c r="S45" s="3103"/>
      <c r="T45" s="3103"/>
      <c r="U45" s="3103"/>
      <c r="V45" s="3103"/>
      <c r="W45" s="3103"/>
      <c r="Y45" s="3103"/>
      <c r="Z45" s="3103"/>
      <c r="AA45" s="3103"/>
      <c r="AB45" s="3103"/>
      <c r="AC45" s="3103"/>
      <c r="AD45" s="3103"/>
      <c r="AE45" s="3103"/>
      <c r="AF45" s="3103"/>
      <c r="AH45" s="3103"/>
      <c r="AI45" s="3103"/>
      <c r="AJ45" s="3103"/>
      <c r="AK45" s="3103"/>
      <c r="AL45" s="3103"/>
      <c r="AM45" s="3103"/>
      <c r="AN45" s="3103"/>
      <c r="AO45" s="3103"/>
      <c r="AQ45" s="3103"/>
      <c r="AR45" s="3103"/>
      <c r="AS45" s="3103"/>
      <c r="AT45" s="3103"/>
      <c r="AU45" s="3103"/>
      <c r="AV45" s="3103"/>
      <c r="AW45" s="3103"/>
      <c r="AX45" s="3103"/>
      <c r="AZ45" s="3103"/>
      <c r="BA45" s="3103"/>
      <c r="BB45" s="3103"/>
      <c r="BC45" s="3103"/>
      <c r="BD45" s="3103"/>
      <c r="BE45" s="3103"/>
      <c r="BF45" s="3103"/>
      <c r="BG45" s="3103"/>
      <c r="BI45" s="3103"/>
      <c r="BJ45" s="3103"/>
      <c r="BK45" s="3103"/>
      <c r="BL45" s="3103"/>
      <c r="BM45" s="3103"/>
      <c r="BN45" s="3103"/>
      <c r="BO45" s="3103"/>
      <c r="BP45" s="3103"/>
    </row>
    <row r="46" spans="2:68" ht="13.2" customHeight="1">
      <c r="B46" s="3785" t="str">
        <f>CONCATENATE("Explanation for figures in Row ",O45, ": If ",I43*100, "% of auto through-trips return through cordon, then ",I43*100/2, "% of all through-trips are the start of a round-trip through cordon that returns through cordon, and another ",I43*100/2, "% are the end of such a trip. Then for each ",I43*100/2, " through-cordon round-trips (w/ ",I43*100, " one-way segments, all through the cordon), there must be ",50-I43*100/2, " through-cordon trips (the difference between 50 and ",I43*100/2, "), that return w/o passing through the cordon. Then, ",I43*100, " out of every ",I43*100+(50-I43*100/2), " one-way segments through cordon were part of a round-trip through cordon.")</f>
        <v>Explanation for figures in Row 45: If 70% of auto through-trips return through cordon, then 35% of all through-trips are the start of a round-trip through cordon that returns through cordon, and another 35% are the end of such a trip. Then for each 35 through-cordon round-trips (w/ 70 one-way segments, all through the cordon), there must be 15 through-cordon trips (the difference between 50 and 35), that return w/o passing through the cordon. Then, 70 out of every 85 one-way segments through cordon were part of a round-trip through cordon.</v>
      </c>
      <c r="C46" s="4380"/>
      <c r="D46" s="4380"/>
      <c r="E46" s="4380"/>
      <c r="F46" s="4380"/>
      <c r="G46" s="4380"/>
      <c r="H46" s="4380"/>
      <c r="I46" s="4380"/>
      <c r="J46" s="4380"/>
      <c r="K46" s="4380"/>
      <c r="L46" s="4380"/>
      <c r="M46" s="4380"/>
      <c r="N46" s="4380"/>
      <c r="O46" s="136">
        <f>ROW()</f>
        <v>46</v>
      </c>
      <c r="P46" s="3103"/>
      <c r="Q46" s="3103"/>
      <c r="R46" s="3103"/>
      <c r="S46" s="3103"/>
      <c r="T46" s="3103"/>
      <c r="U46" s="3103"/>
      <c r="V46" s="3103"/>
      <c r="W46" s="3103"/>
      <c r="Y46" s="3103"/>
      <c r="Z46" s="3103"/>
      <c r="AA46" s="3103"/>
      <c r="AB46" s="3103"/>
      <c r="AC46" s="3103"/>
      <c r="AD46" s="3103"/>
      <c r="AE46" s="3103"/>
      <c r="AF46" s="3103"/>
      <c r="AH46" s="3103"/>
      <c r="AI46" s="3103"/>
      <c r="AJ46" s="3103"/>
      <c r="AK46" s="3103"/>
      <c r="AL46" s="3103"/>
      <c r="AM46" s="3103"/>
      <c r="AN46" s="3103"/>
      <c r="AO46" s="3103"/>
      <c r="AQ46" s="3103"/>
      <c r="AR46" s="3103"/>
      <c r="AS46" s="3103"/>
      <c r="AT46" s="3103"/>
      <c r="AU46" s="3103"/>
      <c r="AV46" s="3103"/>
      <c r="AW46" s="3103"/>
      <c r="AX46" s="3103"/>
      <c r="AZ46" s="3103"/>
      <c r="BA46" s="3103"/>
      <c r="BB46" s="3103"/>
      <c r="BC46" s="3103"/>
      <c r="BD46" s="3103"/>
      <c r="BE46" s="3103"/>
      <c r="BF46" s="3103"/>
      <c r="BG46" s="3103"/>
      <c r="BI46" s="3103"/>
      <c r="BJ46" s="3103"/>
      <c r="BK46" s="3103"/>
      <c r="BL46" s="3103"/>
      <c r="BM46" s="3103"/>
      <c r="BN46" s="3103"/>
      <c r="BO46" s="3103"/>
      <c r="BP46" s="3103"/>
    </row>
    <row r="47" spans="2:68" ht="13.2" customHeight="1">
      <c r="B47" s="4380"/>
      <c r="C47" s="4380"/>
      <c r="D47" s="4380"/>
      <c r="E47" s="4380"/>
      <c r="F47" s="4380"/>
      <c r="G47" s="4380"/>
      <c r="H47" s="4380"/>
      <c r="I47" s="4380"/>
      <c r="J47" s="4380"/>
      <c r="K47" s="4380"/>
      <c r="L47" s="4380"/>
      <c r="M47" s="4380"/>
      <c r="N47" s="4380"/>
      <c r="O47" s="136">
        <f>ROW()</f>
        <v>47</v>
      </c>
      <c r="P47" s="3103"/>
      <c r="Q47" s="3103"/>
      <c r="R47" s="3103"/>
      <c r="S47" s="3103"/>
      <c r="T47" s="3103"/>
      <c r="U47" s="3103"/>
      <c r="V47" s="3103"/>
      <c r="W47" s="3103"/>
      <c r="Y47" s="3103"/>
      <c r="Z47" s="3103"/>
      <c r="AA47" s="3103"/>
      <c r="AB47" s="3103"/>
      <c r="AC47" s="3103"/>
      <c r="AD47" s="3103"/>
      <c r="AE47" s="3103"/>
      <c r="AF47" s="3103"/>
      <c r="AH47" s="3103"/>
      <c r="AI47" s="3103"/>
      <c r="AJ47" s="3103"/>
      <c r="AK47" s="3103"/>
      <c r="AL47" s="3103"/>
      <c r="AM47" s="3103"/>
      <c r="AN47" s="3103"/>
      <c r="AO47" s="3103"/>
      <c r="AQ47" s="3103"/>
      <c r="AR47" s="3103"/>
      <c r="AS47" s="3103"/>
      <c r="AT47" s="3103"/>
      <c r="AU47" s="3103"/>
      <c r="AV47" s="3103"/>
      <c r="AW47" s="3103"/>
      <c r="AX47" s="3103"/>
      <c r="AZ47" s="3103"/>
      <c r="BA47" s="3103"/>
      <c r="BB47" s="3103"/>
      <c r="BC47" s="3103"/>
      <c r="BD47" s="3103"/>
      <c r="BE47" s="3103"/>
      <c r="BF47" s="3103"/>
      <c r="BG47" s="3103"/>
      <c r="BI47" s="3103"/>
      <c r="BJ47" s="3103"/>
      <c r="BK47" s="3103"/>
      <c r="BL47" s="3103"/>
      <c r="BM47" s="3103"/>
      <c r="BN47" s="3103"/>
      <c r="BO47" s="3103"/>
      <c r="BP47" s="3103"/>
    </row>
    <row r="48" spans="2:68" ht="13.2" customHeight="1">
      <c r="B48" s="4380"/>
      <c r="C48" s="4380"/>
      <c r="D48" s="4380"/>
      <c r="E48" s="4380"/>
      <c r="F48" s="4380"/>
      <c r="G48" s="4380"/>
      <c r="H48" s="4380"/>
      <c r="I48" s="4380"/>
      <c r="J48" s="4380"/>
      <c r="K48" s="4380"/>
      <c r="L48" s="4380"/>
      <c r="M48" s="4380"/>
      <c r="N48" s="4380"/>
      <c r="O48" s="136">
        <f>ROW()</f>
        <v>48</v>
      </c>
      <c r="P48" s="3103"/>
      <c r="Q48" s="3103"/>
      <c r="R48" s="3103"/>
      <c r="S48" s="3103"/>
      <c r="T48" s="3103"/>
      <c r="U48" s="3103"/>
      <c r="V48" s="3103"/>
      <c r="W48" s="3103"/>
      <c r="Y48" s="3103"/>
      <c r="Z48" s="3103"/>
      <c r="AA48" s="3103"/>
      <c r="AB48" s="3103"/>
      <c r="AC48" s="3103"/>
      <c r="AD48" s="3103"/>
      <c r="AE48" s="3103"/>
      <c r="AF48" s="3103"/>
      <c r="AH48" s="3103"/>
      <c r="AI48" s="3103"/>
      <c r="AJ48" s="3103"/>
      <c r="AK48" s="3103"/>
      <c r="AL48" s="3103"/>
      <c r="AM48" s="3103"/>
      <c r="AN48" s="3103"/>
      <c r="AO48" s="3103"/>
      <c r="AQ48" s="3103"/>
      <c r="AR48" s="3103"/>
      <c r="AS48" s="3103"/>
      <c r="AT48" s="3103"/>
      <c r="AU48" s="3103"/>
      <c r="AV48" s="3103"/>
      <c r="AW48" s="3103"/>
      <c r="AX48" s="3103"/>
      <c r="AZ48" s="3103"/>
      <c r="BA48" s="3103"/>
      <c r="BB48" s="3103"/>
      <c r="BC48" s="3103"/>
      <c r="BD48" s="3103"/>
      <c r="BE48" s="3103"/>
      <c r="BF48" s="3103"/>
      <c r="BG48" s="3103"/>
      <c r="BI48" s="3103"/>
      <c r="BJ48" s="3103"/>
      <c r="BK48" s="3103"/>
      <c r="BL48" s="3103"/>
      <c r="BM48" s="3103"/>
      <c r="BN48" s="3103"/>
      <c r="BO48" s="3103"/>
      <c r="BP48" s="3103"/>
    </row>
    <row r="49" spans="2:68" ht="13.2" customHeight="1">
      <c r="B49" s="312" t="s">
        <v>5470</v>
      </c>
      <c r="C49" s="3126"/>
      <c r="D49" s="3126"/>
      <c r="E49" s="3126"/>
      <c r="F49" s="3126"/>
      <c r="G49" s="3126"/>
      <c r="H49" s="10">
        <f>SUM(I49:N49)</f>
        <v>226930.00000000006</v>
      </c>
      <c r="I49" s="4367">
        <f>K37-SUM(L49:N49)</f>
        <v>220660.00000000006</v>
      </c>
      <c r="J49" s="4368"/>
      <c r="K49" s="3126"/>
      <c r="L49" s="10">
        <f>L30*L32</f>
        <v>0</v>
      </c>
      <c r="M49" s="10">
        <f>M30*M32</f>
        <v>5610.0000000000009</v>
      </c>
      <c r="N49" s="10">
        <f>N30*N32</f>
        <v>660.00000000000011</v>
      </c>
      <c r="O49" s="136">
        <f>ROW()</f>
        <v>49</v>
      </c>
      <c r="P49" s="3103"/>
      <c r="Q49" s="3103"/>
      <c r="R49" s="3103"/>
      <c r="S49" s="3103"/>
      <c r="T49" s="3103"/>
      <c r="U49" s="3103"/>
      <c r="V49" s="3103"/>
      <c r="W49" s="3103"/>
      <c r="Y49" s="3103"/>
      <c r="Z49" s="3103"/>
      <c r="AA49" s="3103"/>
      <c r="AB49" s="3103"/>
      <c r="AC49" s="3103"/>
      <c r="AD49" s="3103"/>
      <c r="AE49" s="3103"/>
      <c r="AF49" s="3103"/>
      <c r="AH49" s="3103"/>
      <c r="AI49" s="3103"/>
      <c r="AJ49" s="3103"/>
      <c r="AK49" s="3103"/>
      <c r="AL49" s="3103"/>
      <c r="AM49" s="3103"/>
      <c r="AN49" s="3103"/>
      <c r="AO49" s="3103"/>
      <c r="AQ49" s="3103"/>
      <c r="AR49" s="3103"/>
      <c r="AS49" s="3103"/>
      <c r="AT49" s="3103"/>
      <c r="AU49" s="3103"/>
      <c r="AV49" s="3103"/>
      <c r="AW49" s="3103"/>
      <c r="AX49" s="3103"/>
      <c r="AZ49" s="3103"/>
      <c r="BA49" s="3103"/>
      <c r="BB49" s="3103"/>
      <c r="BC49" s="3103"/>
      <c r="BD49" s="3103"/>
      <c r="BE49" s="3103"/>
      <c r="BF49" s="3103"/>
      <c r="BG49" s="3103"/>
      <c r="BI49" s="3103"/>
      <c r="BJ49" s="3103"/>
      <c r="BK49" s="3103"/>
      <c r="BL49" s="3103"/>
      <c r="BM49" s="3103"/>
      <c r="BN49" s="3103"/>
      <c r="BO49" s="3103"/>
      <c r="BP49" s="3103"/>
    </row>
    <row r="50" spans="2:68" ht="13.2" customHeight="1">
      <c r="B50" s="215" t="str">
        <f>CONCATENATE("Taxi, truck, bus figures are products of percents in Row ",O32, " and entries in Row ",O30, ". Combined auto figure is difference between sum of those figures and figure in Cell K",O37, ".")</f>
        <v>Taxi, truck, bus figures are products of percents in Row 32 and entries in Row 30. Combined auto figure is difference between sum of those figures and figure in Cell K37.</v>
      </c>
      <c r="C50" s="3126"/>
      <c r="D50" s="3126"/>
      <c r="E50" s="3126"/>
      <c r="F50" s="3126"/>
      <c r="G50" s="3126"/>
      <c r="H50" s="10"/>
      <c r="I50" s="3124"/>
      <c r="J50" s="3124"/>
      <c r="K50" s="632"/>
      <c r="L50" s="10"/>
      <c r="M50" s="10"/>
      <c r="N50" s="10"/>
      <c r="O50" s="136">
        <f>ROW()</f>
        <v>50</v>
      </c>
      <c r="P50" s="3103"/>
      <c r="Q50" s="3103"/>
      <c r="R50" s="3103"/>
      <c r="S50" s="3103"/>
      <c r="T50" s="3103"/>
      <c r="U50" s="3103"/>
      <c r="V50" s="3103"/>
      <c r="W50" s="3103"/>
      <c r="Y50" s="3103"/>
      <c r="Z50" s="3103"/>
      <c r="AA50" s="3103"/>
      <c r="AB50" s="3103"/>
      <c r="AC50" s="3103"/>
      <c r="AD50" s="3103"/>
      <c r="AE50" s="3103"/>
      <c r="AF50" s="3103"/>
      <c r="AH50" s="3103"/>
      <c r="AI50" s="3103"/>
      <c r="AJ50" s="3103"/>
      <c r="AK50" s="3103"/>
      <c r="AL50" s="3103"/>
      <c r="AM50" s="3103"/>
      <c r="AN50" s="3103"/>
      <c r="AO50" s="3103"/>
      <c r="AQ50" s="3103"/>
      <c r="AR50" s="3103"/>
      <c r="AS50" s="3103"/>
      <c r="AT50" s="3103"/>
      <c r="AU50" s="3103"/>
      <c r="AV50" s="3103"/>
      <c r="AW50" s="3103"/>
      <c r="AX50" s="3103"/>
      <c r="AZ50" s="3103"/>
      <c r="BA50" s="3103"/>
      <c r="BB50" s="3103"/>
      <c r="BC50" s="3103"/>
      <c r="BD50" s="3103"/>
      <c r="BE50" s="3103"/>
      <c r="BF50" s="3103"/>
      <c r="BG50" s="3103"/>
      <c r="BI50" s="3103"/>
      <c r="BJ50" s="3103"/>
      <c r="BK50" s="3103"/>
      <c r="BL50" s="3103"/>
      <c r="BM50" s="3103"/>
      <c r="BN50" s="3103"/>
      <c r="BO50" s="3103"/>
      <c r="BP50" s="3103"/>
    </row>
    <row r="51" spans="2:68" s="3126" customFormat="1" ht="13.2" customHeight="1">
      <c r="B51" s="312" t="s">
        <v>5471</v>
      </c>
      <c r="I51" s="4367">
        <f>I45*I49</f>
        <v>181720.00000000003</v>
      </c>
      <c r="J51" s="4368"/>
      <c r="L51" s="3126">
        <f>L45*L49</f>
        <v>0</v>
      </c>
      <c r="M51" s="10">
        <f>M45*M49</f>
        <v>4620.0000000000009</v>
      </c>
      <c r="N51" s="10">
        <f>N45*N49</f>
        <v>586.66666666666686</v>
      </c>
      <c r="O51" s="136">
        <f>ROW()</f>
        <v>51</v>
      </c>
      <c r="P51" s="3123"/>
      <c r="Q51" s="3123"/>
      <c r="R51" s="3123"/>
      <c r="S51" s="3123"/>
      <c r="T51" s="3123"/>
      <c r="U51" s="3123"/>
      <c r="V51" s="3123"/>
      <c r="W51" s="3123"/>
      <c r="Y51" s="3123"/>
      <c r="Z51" s="3123"/>
      <c r="AA51" s="3123"/>
      <c r="AB51" s="3123"/>
      <c r="AC51" s="3123"/>
      <c r="AD51" s="3123"/>
      <c r="AE51" s="3123"/>
      <c r="AF51" s="3123"/>
      <c r="AH51" s="3123"/>
      <c r="AI51" s="3123"/>
      <c r="AJ51" s="3123"/>
      <c r="AK51" s="3123"/>
      <c r="AL51" s="3123"/>
      <c r="AM51" s="3123"/>
      <c r="AN51" s="3123"/>
      <c r="AO51" s="3123"/>
      <c r="AQ51" s="3123"/>
      <c r="AR51" s="3123"/>
      <c r="AS51" s="3123"/>
      <c r="AT51" s="3123"/>
      <c r="AU51" s="3123"/>
      <c r="AV51" s="3123"/>
      <c r="AW51" s="3123"/>
      <c r="AX51" s="3123"/>
      <c r="AZ51" s="3123"/>
      <c r="BA51" s="3123"/>
      <c r="BB51" s="3123"/>
      <c r="BC51" s="3123"/>
      <c r="BD51" s="3123"/>
      <c r="BE51" s="3123"/>
      <c r="BF51" s="3123"/>
      <c r="BG51" s="3123"/>
      <c r="BI51" s="3123"/>
      <c r="BJ51" s="3123"/>
      <c r="BK51" s="3123"/>
      <c r="BL51" s="3123"/>
      <c r="BM51" s="3123"/>
      <c r="BN51" s="3123"/>
      <c r="BO51" s="3123"/>
      <c r="BP51" s="3123"/>
    </row>
    <row r="52" spans="2:68" s="3126" customFormat="1" ht="13.2" customHeight="1">
      <c r="B52" s="215" t="str">
        <f>CONCATENATE("Product of Rows ",O45, " and ",O49, ".")</f>
        <v>Product of Rows 45 and 49.</v>
      </c>
      <c r="H52" s="10"/>
      <c r="I52" s="3124"/>
      <c r="J52" s="3124"/>
      <c r="K52" s="632"/>
      <c r="L52" s="10"/>
      <c r="M52" s="10"/>
      <c r="N52" s="10"/>
      <c r="O52" s="136">
        <f>ROW()</f>
        <v>52</v>
      </c>
      <c r="P52" s="3123"/>
      <c r="Q52" s="3123"/>
      <c r="R52" s="3123"/>
      <c r="S52" s="3123"/>
      <c r="T52" s="3123"/>
      <c r="U52" s="3123"/>
      <c r="V52" s="3123"/>
      <c r="W52" s="3123"/>
      <c r="Y52" s="3123"/>
      <c r="Z52" s="3123"/>
      <c r="AA52" s="3123"/>
      <c r="AB52" s="3123"/>
      <c r="AC52" s="3123"/>
      <c r="AD52" s="3123"/>
      <c r="AE52" s="3123"/>
      <c r="AF52" s="3123"/>
      <c r="AH52" s="3123"/>
      <c r="AI52" s="3123"/>
      <c r="AJ52" s="3123"/>
      <c r="AK52" s="3123"/>
      <c r="AL52" s="3123"/>
      <c r="AM52" s="3123"/>
      <c r="AN52" s="3123"/>
      <c r="AO52" s="3123"/>
      <c r="AQ52" s="3123"/>
      <c r="AR52" s="3123"/>
      <c r="AS52" s="3123"/>
      <c r="AT52" s="3123"/>
      <c r="AU52" s="3123"/>
      <c r="AV52" s="3123"/>
      <c r="AW52" s="3123"/>
      <c r="AX52" s="3123"/>
      <c r="AZ52" s="3123"/>
      <c r="BA52" s="3123"/>
      <c r="BB52" s="3123"/>
      <c r="BC52" s="3123"/>
      <c r="BD52" s="3123"/>
      <c r="BE52" s="3123"/>
      <c r="BF52" s="3123"/>
      <c r="BG52" s="3123"/>
      <c r="BI52" s="3123"/>
      <c r="BJ52" s="3123"/>
      <c r="BK52" s="3123"/>
      <c r="BL52" s="3123"/>
      <c r="BM52" s="3123"/>
      <c r="BN52" s="3123"/>
      <c r="BO52" s="3123"/>
      <c r="BP52" s="3123"/>
    </row>
    <row r="53" spans="2:68" s="3126" customFormat="1" ht="13.2" customHeight="1">
      <c r="B53" s="312" t="s">
        <v>5472</v>
      </c>
      <c r="H53" s="10"/>
      <c r="I53" s="4367">
        <f>I51/2</f>
        <v>90860.000000000015</v>
      </c>
      <c r="J53" s="4368"/>
      <c r="K53" s="632"/>
      <c r="L53" s="10">
        <f>L51/2</f>
        <v>0</v>
      </c>
      <c r="M53" s="10">
        <f>M51/2</f>
        <v>2310.0000000000005</v>
      </c>
      <c r="N53" s="10">
        <f>N51/2</f>
        <v>293.33333333333343</v>
      </c>
      <c r="O53" s="136">
        <f>ROW()</f>
        <v>53</v>
      </c>
      <c r="P53" s="3123"/>
      <c r="Q53" s="3123"/>
      <c r="R53" s="3123"/>
      <c r="S53" s="3123"/>
      <c r="T53" s="3123"/>
      <c r="U53" s="3123"/>
      <c r="V53" s="3123"/>
      <c r="W53" s="3123"/>
      <c r="Y53" s="3123"/>
      <c r="Z53" s="3123"/>
      <c r="AA53" s="3123"/>
      <c r="AB53" s="3123"/>
      <c r="AC53" s="3123"/>
      <c r="AD53" s="3123"/>
      <c r="AE53" s="3123"/>
      <c r="AF53" s="3123"/>
      <c r="AH53" s="3123"/>
      <c r="AI53" s="3123"/>
      <c r="AJ53" s="3123"/>
      <c r="AK53" s="3123"/>
      <c r="AL53" s="3123"/>
      <c r="AM53" s="3123"/>
      <c r="AN53" s="3123"/>
      <c r="AO53" s="3123"/>
      <c r="AQ53" s="3123"/>
      <c r="AR53" s="3123"/>
      <c r="AS53" s="3123"/>
      <c r="AT53" s="3123"/>
      <c r="AU53" s="3123"/>
      <c r="AV53" s="3123"/>
      <c r="AW53" s="3123"/>
      <c r="AX53" s="3123"/>
      <c r="AZ53" s="3123"/>
      <c r="BA53" s="3123"/>
      <c r="BB53" s="3123"/>
      <c r="BC53" s="3123"/>
      <c r="BD53" s="3123"/>
      <c r="BE53" s="3123"/>
      <c r="BF53" s="3123"/>
      <c r="BG53" s="3123"/>
      <c r="BI53" s="3123"/>
      <c r="BJ53" s="3123"/>
      <c r="BK53" s="3123"/>
      <c r="BL53" s="3123"/>
      <c r="BM53" s="3123"/>
      <c r="BN53" s="3123"/>
      <c r="BO53" s="3123"/>
      <c r="BP53" s="3123"/>
    </row>
    <row r="54" spans="2:68" s="3126" customFormat="1" ht="13.2" customHeight="1">
      <c r="B54" s="215" t="str">
        <f>CONCATENATE("One-half of Row ",O51, ".")</f>
        <v>One-half of Row 51.</v>
      </c>
      <c r="H54" s="10"/>
      <c r="I54" s="3124"/>
      <c r="J54" s="3124"/>
      <c r="K54" s="632"/>
      <c r="L54" s="10"/>
      <c r="M54" s="10"/>
      <c r="N54" s="10"/>
      <c r="O54" s="136">
        <f>ROW()</f>
        <v>54</v>
      </c>
      <c r="P54" s="3123"/>
      <c r="Q54" s="3123"/>
      <c r="R54" s="3123"/>
      <c r="S54" s="3123"/>
      <c r="T54" s="3123"/>
      <c r="U54" s="3123"/>
      <c r="V54" s="3123"/>
      <c r="W54" s="3123"/>
      <c r="Y54" s="3123"/>
      <c r="Z54" s="3123"/>
      <c r="AA54" s="3123"/>
      <c r="AB54" s="3123"/>
      <c r="AC54" s="3123"/>
      <c r="AD54" s="3123"/>
      <c r="AE54" s="3123"/>
      <c r="AF54" s="3123"/>
      <c r="AH54" s="3123"/>
      <c r="AI54" s="3123"/>
      <c r="AJ54" s="3123"/>
      <c r="AK54" s="3123"/>
      <c r="AL54" s="3123"/>
      <c r="AM54" s="3123"/>
      <c r="AN54" s="3123"/>
      <c r="AO54" s="3123"/>
      <c r="AQ54" s="3123"/>
      <c r="AR54" s="3123"/>
      <c r="AS54" s="3123"/>
      <c r="AT54" s="3123"/>
      <c r="AU54" s="3123"/>
      <c r="AV54" s="3123"/>
      <c r="AW54" s="3123"/>
      <c r="AX54" s="3123"/>
      <c r="AZ54" s="3123"/>
      <c r="BA54" s="3123"/>
      <c r="BB54" s="3123"/>
      <c r="BC54" s="3123"/>
      <c r="BD54" s="3123"/>
      <c r="BE54" s="3123"/>
      <c r="BF54" s="3123"/>
      <c r="BG54" s="3123"/>
      <c r="BI54" s="3123"/>
      <c r="BJ54" s="3123"/>
      <c r="BK54" s="3123"/>
      <c r="BL54" s="3123"/>
      <c r="BM54" s="3123"/>
      <c r="BN54" s="3123"/>
      <c r="BO54" s="3123"/>
      <c r="BP54" s="3123"/>
    </row>
    <row r="55" spans="2:68" s="3126" customFormat="1" ht="13.2" customHeight="1">
      <c r="B55" s="312" t="s">
        <v>5473</v>
      </c>
      <c r="H55" s="10"/>
      <c r="I55" s="4367">
        <f>I49-I51</f>
        <v>38940.000000000029</v>
      </c>
      <c r="J55" s="4368"/>
      <c r="K55" s="632"/>
      <c r="L55" s="10">
        <f>L49-L51</f>
        <v>0</v>
      </c>
      <c r="M55" s="10">
        <f>M49-M51</f>
        <v>990</v>
      </c>
      <c r="N55" s="10">
        <f>N49-N51</f>
        <v>73.333333333333258</v>
      </c>
      <c r="O55" s="136">
        <f>ROW()</f>
        <v>55</v>
      </c>
      <c r="P55" s="3123"/>
      <c r="Q55" s="3123"/>
      <c r="R55" s="3123"/>
      <c r="S55" s="3123"/>
      <c r="T55" s="3123"/>
      <c r="U55" s="3123"/>
      <c r="V55" s="3123"/>
      <c r="W55" s="3123"/>
      <c r="Y55" s="3123"/>
      <c r="Z55" s="3123"/>
      <c r="AA55" s="3123"/>
      <c r="AB55" s="3123"/>
      <c r="AC55" s="3123"/>
      <c r="AD55" s="3123"/>
      <c r="AE55" s="3123"/>
      <c r="AF55" s="3123"/>
      <c r="AH55" s="3123"/>
      <c r="AI55" s="3123"/>
      <c r="AJ55" s="3123"/>
      <c r="AK55" s="3123"/>
      <c r="AL55" s="3123"/>
      <c r="AM55" s="3123"/>
      <c r="AN55" s="3123"/>
      <c r="AO55" s="3123"/>
      <c r="AQ55" s="3123"/>
      <c r="AR55" s="3123"/>
      <c r="AS55" s="3123"/>
      <c r="AT55" s="3123"/>
      <c r="AU55" s="3123"/>
      <c r="AV55" s="3123"/>
      <c r="AW55" s="3123"/>
      <c r="AX55" s="3123"/>
      <c r="AZ55" s="3123"/>
      <c r="BA55" s="3123"/>
      <c r="BB55" s="3123"/>
      <c r="BC55" s="3123"/>
      <c r="BD55" s="3123"/>
      <c r="BE55" s="3123"/>
      <c r="BF55" s="3123"/>
      <c r="BG55" s="3123"/>
      <c r="BI55" s="3123"/>
      <c r="BJ55" s="3123"/>
      <c r="BK55" s="3123"/>
      <c r="BL55" s="3123"/>
      <c r="BM55" s="3123"/>
      <c r="BN55" s="3123"/>
      <c r="BO55" s="3123"/>
      <c r="BP55" s="3123"/>
    </row>
    <row r="56" spans="2:68" s="3126" customFormat="1" ht="13.2" customHeight="1">
      <c r="B56" s="215" t="str">
        <f>CONCATENATE("Difference between Rows ",O49, " and ",O51, ". Could also be calculated as product of Row ",O49, " and complements of Row ",O45, ".")</f>
        <v>Difference between Rows 49 and 51. Could also be calculated as product of Row 49 and complements of Row 45.</v>
      </c>
      <c r="H56" s="10"/>
      <c r="I56" s="3124"/>
      <c r="J56" s="3124"/>
      <c r="K56" s="632"/>
      <c r="L56" s="10"/>
      <c r="M56" s="10"/>
      <c r="N56" s="10"/>
      <c r="O56" s="136">
        <f>ROW()</f>
        <v>56</v>
      </c>
      <c r="P56" s="3123"/>
      <c r="Q56" s="3123"/>
      <c r="R56" s="3123"/>
      <c r="S56" s="3123"/>
      <c r="T56" s="3123"/>
      <c r="U56" s="3123"/>
      <c r="V56" s="3123"/>
      <c r="W56" s="3123"/>
      <c r="Y56" s="3123"/>
      <c r="Z56" s="3123"/>
      <c r="AA56" s="3123"/>
      <c r="AB56" s="3123"/>
      <c r="AC56" s="3123"/>
      <c r="AD56" s="3123"/>
      <c r="AE56" s="3123"/>
      <c r="AF56" s="3123"/>
      <c r="AH56" s="3123"/>
      <c r="AI56" s="3123"/>
      <c r="AJ56" s="3123"/>
      <c r="AK56" s="3123"/>
      <c r="AL56" s="3123"/>
      <c r="AM56" s="3123"/>
      <c r="AN56" s="3123"/>
      <c r="AO56" s="3123"/>
      <c r="AQ56" s="3123"/>
      <c r="AR56" s="3123"/>
      <c r="AS56" s="3123"/>
      <c r="AT56" s="3123"/>
      <c r="AU56" s="3123"/>
      <c r="AV56" s="3123"/>
      <c r="AW56" s="3123"/>
      <c r="AX56" s="3123"/>
      <c r="AZ56" s="3123"/>
      <c r="BA56" s="3123"/>
      <c r="BB56" s="3123"/>
      <c r="BC56" s="3123"/>
      <c r="BD56" s="3123"/>
      <c r="BE56" s="3123"/>
      <c r="BF56" s="3123"/>
      <c r="BG56" s="3123"/>
      <c r="BI56" s="3123"/>
      <c r="BJ56" s="3123"/>
      <c r="BK56" s="3123"/>
      <c r="BL56" s="3123"/>
      <c r="BM56" s="3123"/>
      <c r="BN56" s="3123"/>
      <c r="BO56" s="3123"/>
      <c r="BP56" s="3123"/>
    </row>
    <row r="57" spans="2:68" ht="13.2" customHeight="1">
      <c r="B57" s="312" t="s">
        <v>5474</v>
      </c>
      <c r="C57" s="3126"/>
      <c r="D57" s="3126"/>
      <c r="E57" s="3126"/>
      <c r="F57" s="3126"/>
      <c r="G57" s="3126"/>
      <c r="H57" s="10"/>
      <c r="I57" s="4367">
        <f>I53+I55</f>
        <v>129800.00000000004</v>
      </c>
      <c r="J57" s="4377"/>
      <c r="K57" s="4369" t="str">
        <f>CONCATENATE("Ratio of Cell I",O57, " to I",O37, ".")</f>
        <v>Ratio of Cell I57 to I37.</v>
      </c>
      <c r="L57" s="10">
        <f>L53+L55</f>
        <v>0</v>
      </c>
      <c r="M57" s="10">
        <f>M53+M55</f>
        <v>3300.0000000000005</v>
      </c>
      <c r="N57" s="10">
        <f>N53+N55</f>
        <v>366.66666666666669</v>
      </c>
      <c r="O57" s="136">
        <f>ROW()</f>
        <v>57</v>
      </c>
      <c r="P57" s="3103"/>
      <c r="Q57" s="3103"/>
      <c r="R57" s="3103"/>
      <c r="S57" s="3103"/>
      <c r="T57" s="3103"/>
      <c r="U57" s="3103"/>
      <c r="V57" s="3103"/>
      <c r="W57" s="3103"/>
      <c r="Y57" s="3103"/>
      <c r="Z57" s="3103"/>
      <c r="AA57" s="3103"/>
      <c r="AB57" s="3103"/>
      <c r="AC57" s="3103"/>
      <c r="AD57" s="3103"/>
      <c r="AE57" s="3103"/>
      <c r="AF57" s="3103"/>
      <c r="AH57" s="3103"/>
      <c r="AI57" s="3103"/>
      <c r="AJ57" s="3103"/>
      <c r="AK57" s="3103"/>
      <c r="AL57" s="3103"/>
      <c r="AM57" s="3103"/>
      <c r="AN57" s="3103"/>
      <c r="AO57" s="3103"/>
      <c r="AQ57" s="3103"/>
      <c r="AR57" s="3103"/>
      <c r="AS57" s="3103"/>
      <c r="AT57" s="3103"/>
      <c r="AU57" s="3103"/>
      <c r="AV57" s="3103"/>
      <c r="AW57" s="3103"/>
      <c r="AX57" s="3103"/>
      <c r="AZ57" s="3103"/>
      <c r="BA57" s="3103"/>
      <c r="BB57" s="3103"/>
      <c r="BC57" s="3103"/>
      <c r="BD57" s="3103"/>
      <c r="BE57" s="3103"/>
      <c r="BF57" s="3103"/>
      <c r="BG57" s="3103"/>
      <c r="BI57" s="3103"/>
      <c r="BJ57" s="3103"/>
      <c r="BK57" s="3103"/>
      <c r="BL57" s="3103"/>
      <c r="BM57" s="3103"/>
      <c r="BN57" s="3103"/>
      <c r="BO57" s="3103"/>
      <c r="BP57" s="3103"/>
    </row>
    <row r="58" spans="2:68" ht="13.2" customHeight="1">
      <c r="B58" s="215" t="str">
        <f>CONCATENATE("Sum of Rows ",O53, " and ",O55, ". Could also be calculated as ",O49, " divided by sum of 1 and percentage in Row ",O43, ".")</f>
        <v>Sum of Rows 53 and 55. Could also be calculated as 49 divided by sum of 1 and percentage in Row 43.</v>
      </c>
      <c r="C58" s="3126"/>
      <c r="D58" s="3126"/>
      <c r="E58" s="3126"/>
      <c r="F58" s="3126"/>
      <c r="G58" s="3126"/>
      <c r="H58" s="3126"/>
      <c r="I58" s="3126"/>
      <c r="J58" s="3124"/>
      <c r="K58" s="4370"/>
      <c r="L58" s="10"/>
      <c r="M58" s="10"/>
      <c r="N58" s="10"/>
      <c r="O58" s="136">
        <f>ROW()</f>
        <v>58</v>
      </c>
      <c r="P58" s="3103"/>
      <c r="Q58" s="3103"/>
      <c r="R58" s="3103"/>
      <c r="S58" s="3103"/>
      <c r="T58" s="3103"/>
      <c r="U58" s="3103"/>
      <c r="V58" s="3103"/>
      <c r="W58" s="3103"/>
      <c r="Y58" s="3103"/>
      <c r="Z58" s="3103"/>
      <c r="AA58" s="3103"/>
      <c r="AB58" s="3103"/>
      <c r="AC58" s="3103"/>
      <c r="AD58" s="3103"/>
      <c r="AE58" s="3103"/>
      <c r="AF58" s="3103"/>
      <c r="AH58" s="3103"/>
      <c r="AI58" s="3103"/>
      <c r="AJ58" s="3103"/>
      <c r="AK58" s="3103"/>
      <c r="AL58" s="3103"/>
      <c r="AM58" s="3103"/>
      <c r="AN58" s="3103"/>
      <c r="AO58" s="3103"/>
      <c r="AQ58" s="3103"/>
      <c r="AR58" s="3103"/>
      <c r="AS58" s="3103"/>
      <c r="AT58" s="3103"/>
      <c r="AU58" s="3103"/>
      <c r="AV58" s="3103"/>
      <c r="AW58" s="3103"/>
      <c r="AX58" s="3103"/>
      <c r="AZ58" s="3103"/>
      <c r="BA58" s="3103"/>
      <c r="BB58" s="3103"/>
      <c r="BC58" s="3103"/>
      <c r="BD58" s="3103"/>
      <c r="BE58" s="3103"/>
      <c r="BF58" s="3103"/>
      <c r="BG58" s="3103"/>
      <c r="BI58" s="3103"/>
      <c r="BJ58" s="3103"/>
      <c r="BK58" s="3103"/>
      <c r="BL58" s="3103"/>
      <c r="BM58" s="3103"/>
      <c r="BN58" s="3103"/>
      <c r="BO58" s="3103"/>
      <c r="BP58" s="3103"/>
    </row>
    <row r="59" spans="2:68" ht="13.2" customHeight="1">
      <c r="B59" s="312" t="s">
        <v>5465</v>
      </c>
      <c r="C59" s="3126"/>
      <c r="D59" s="3126"/>
      <c r="E59" s="3126"/>
      <c r="F59" s="3126"/>
      <c r="G59" s="3126"/>
      <c r="H59" s="10"/>
      <c r="I59" s="10">
        <f>I39*$I$57</f>
        <v>32450.000000000011</v>
      </c>
      <c r="J59" s="10">
        <f>(1-I39)*$I$57</f>
        <v>97350.000000000029</v>
      </c>
      <c r="K59" s="4407">
        <f>I57/I37</f>
        <v>0.35143769968051136</v>
      </c>
      <c r="L59" s="4372" t="s">
        <v>5312</v>
      </c>
      <c r="M59" s="4373"/>
      <c r="N59" s="4373"/>
      <c r="O59" s="136">
        <f>ROW()</f>
        <v>59</v>
      </c>
      <c r="P59" s="3103"/>
      <c r="Q59" s="3103"/>
      <c r="R59" s="3103"/>
      <c r="S59" s="3103"/>
      <c r="T59" s="3103"/>
      <c r="U59" s="3103"/>
      <c r="V59" s="3103"/>
      <c r="W59" s="3103"/>
      <c r="Y59" s="3103"/>
      <c r="Z59" s="3103"/>
      <c r="AA59" s="3103"/>
      <c r="AB59" s="3103"/>
      <c r="AC59" s="3103"/>
      <c r="AD59" s="3103"/>
      <c r="AE59" s="3103"/>
      <c r="AF59" s="3103"/>
      <c r="AH59" s="3103"/>
      <c r="AI59" s="3103"/>
      <c r="AJ59" s="3103"/>
      <c r="AK59" s="3103"/>
      <c r="AL59" s="3103"/>
      <c r="AM59" s="3103"/>
      <c r="AN59" s="3103"/>
      <c r="AO59" s="3103"/>
      <c r="AQ59" s="3103"/>
      <c r="AR59" s="3103"/>
      <c r="AS59" s="3103"/>
      <c r="AT59" s="3103"/>
      <c r="AU59" s="3103"/>
      <c r="AV59" s="3103"/>
      <c r="AW59" s="3103"/>
      <c r="AX59" s="3103"/>
      <c r="AZ59" s="3103"/>
      <c r="BA59" s="3103"/>
      <c r="BB59" s="3103"/>
      <c r="BC59" s="3103"/>
      <c r="BD59" s="3103"/>
      <c r="BE59" s="3103"/>
      <c r="BF59" s="3103"/>
      <c r="BG59" s="3103"/>
      <c r="BI59" s="3103"/>
      <c r="BJ59" s="3103"/>
      <c r="BK59" s="3103"/>
      <c r="BL59" s="3103"/>
      <c r="BM59" s="3103"/>
      <c r="BN59" s="3103"/>
      <c r="BO59" s="3103"/>
      <c r="BP59" s="3103"/>
    </row>
    <row r="60" spans="2:68" ht="13.2" customHeight="1" thickBot="1">
      <c r="B60" s="215" t="str">
        <f>CONCATENATE("Assumes same split as shown in Cell I",O39, ". Thus, auto work and non-work multiply Cell I",O39, " or its complement by Cell I",O57, ".")</f>
        <v>Assumes same split as shown in Cell I39. Thus, auto work and non-work multiply Cell I39 or its complement by Cell I57.</v>
      </c>
      <c r="C60" s="3126"/>
      <c r="D60" s="3126"/>
      <c r="E60" s="3126"/>
      <c r="F60" s="3126"/>
      <c r="G60" s="3126"/>
      <c r="H60" s="3126"/>
      <c r="I60" s="3126"/>
      <c r="J60" s="23"/>
      <c r="K60" s="4408"/>
      <c r="L60" s="4374"/>
      <c r="M60" s="4374"/>
      <c r="N60" s="4374"/>
      <c r="O60" s="136">
        <f>ROW()</f>
        <v>60</v>
      </c>
      <c r="P60" s="4363" t="str">
        <f>CONCATENATE("Data will appear in this 'column block' after Row ",$O$113,)</f>
        <v>Data will appear in this 'column block' after Row 113</v>
      </c>
      <c r="Q60" s="4363"/>
      <c r="R60" s="4363"/>
      <c r="S60" s="4363"/>
      <c r="T60" s="4363"/>
      <c r="U60" s="4363"/>
      <c r="V60" s="4363"/>
      <c r="W60" s="4363"/>
      <c r="Y60" s="4363" t="str">
        <f>CONCATENATE("Data will appear in this 'column block' after Row ",$O$113,)</f>
        <v>Data will appear in this 'column block' after Row 113</v>
      </c>
      <c r="Z60" s="4363"/>
      <c r="AA60" s="4363"/>
      <c r="AB60" s="4363"/>
      <c r="AC60" s="4363"/>
      <c r="AD60" s="4363"/>
      <c r="AE60" s="4363"/>
      <c r="AF60" s="4363"/>
      <c r="AH60" s="4363" t="str">
        <f>CONCATENATE("Data will appear in this 'column block' after Row ",$O$113,)</f>
        <v>Data will appear in this 'column block' after Row 113</v>
      </c>
      <c r="AI60" s="4363"/>
      <c r="AJ60" s="4363"/>
      <c r="AK60" s="4363"/>
      <c r="AL60" s="4363"/>
      <c r="AM60" s="4363"/>
      <c r="AN60" s="4363"/>
      <c r="AO60" s="4363"/>
      <c r="AQ60" s="4363" t="str">
        <f>CONCATENATE("Data will appear in this 'column block' after Row ",$O$113,)</f>
        <v>Data will appear in this 'column block' after Row 113</v>
      </c>
      <c r="AR60" s="4363"/>
      <c r="AS60" s="4363"/>
      <c r="AT60" s="4363"/>
      <c r="AU60" s="4363"/>
      <c r="AV60" s="4363"/>
      <c r="AW60" s="4363"/>
      <c r="AX60" s="4363"/>
      <c r="AZ60" s="4363" t="str">
        <f>CONCATENATE("Data will appear in this 'column block' after Row ",$O$113,)</f>
        <v>Data will appear in this 'column block' after Row 113</v>
      </c>
      <c r="BA60" s="4363"/>
      <c r="BB60" s="4363"/>
      <c r="BC60" s="4363"/>
      <c r="BD60" s="4363"/>
      <c r="BE60" s="4363"/>
      <c r="BF60" s="4363"/>
      <c r="BG60" s="4363"/>
      <c r="BI60" s="3103"/>
      <c r="BJ60" s="3103"/>
      <c r="BK60" s="3103"/>
      <c r="BL60" s="3103"/>
      <c r="BM60" s="3103"/>
      <c r="BN60" s="3103"/>
      <c r="BO60" s="3103"/>
      <c r="BP60" s="3103"/>
    </row>
    <row r="61" spans="2:68" ht="13.2" customHeight="1">
      <c r="B61" s="3108" t="s">
        <v>1833</v>
      </c>
      <c r="C61" s="490"/>
      <c r="D61" s="490"/>
      <c r="E61" s="490"/>
      <c r="F61" s="3117" t="s">
        <v>5464</v>
      </c>
      <c r="G61" s="3116"/>
      <c r="H61" s="3115" t="str">
        <f t="shared" ref="H61:N61" si="0">H25</f>
        <v>Total</v>
      </c>
      <c r="I61" s="3115" t="str">
        <f t="shared" si="0"/>
        <v>Auto Work</v>
      </c>
      <c r="J61" s="3115" t="str">
        <f t="shared" si="0"/>
        <v>Auto Non-Wk</v>
      </c>
      <c r="K61" s="3115" t="str">
        <f t="shared" si="0"/>
        <v>Thru Trips</v>
      </c>
      <c r="L61" s="3115" t="str">
        <f t="shared" si="0"/>
        <v>Taxicab</v>
      </c>
      <c r="M61" s="3115" t="str">
        <f t="shared" si="0"/>
        <v>Truck</v>
      </c>
      <c r="N61" s="3118" t="str">
        <f t="shared" si="0"/>
        <v>Bus</v>
      </c>
      <c r="O61" s="136">
        <f>ROW()</f>
        <v>61</v>
      </c>
      <c r="P61" s="3103"/>
      <c r="Q61" s="3103"/>
      <c r="R61" s="3103"/>
      <c r="S61" s="3103"/>
      <c r="T61" s="3103"/>
      <c r="U61" s="3103"/>
      <c r="V61" s="3103"/>
      <c r="W61" s="3103"/>
      <c r="Y61" s="3103"/>
      <c r="Z61" s="3103"/>
      <c r="AA61" s="3103"/>
      <c r="AB61" s="3103"/>
      <c r="AC61" s="3103"/>
      <c r="AD61" s="3103"/>
      <c r="AE61" s="3103"/>
      <c r="AF61" s="3103"/>
      <c r="AH61" s="3103"/>
      <c r="AI61" s="3103"/>
      <c r="AJ61" s="3103"/>
      <c r="AK61" s="3103"/>
      <c r="AL61" s="3103"/>
      <c r="AM61" s="3103"/>
      <c r="AN61" s="3103"/>
      <c r="AO61" s="3103"/>
      <c r="AQ61" s="3103"/>
      <c r="AR61" s="3103"/>
      <c r="AS61" s="3103"/>
      <c r="AT61" s="3103"/>
      <c r="AU61" s="3103"/>
      <c r="AV61" s="3103"/>
      <c r="AW61" s="3103"/>
      <c r="AX61" s="3103"/>
      <c r="AZ61" s="3103"/>
      <c r="BA61" s="3103"/>
      <c r="BB61" s="3103"/>
      <c r="BC61" s="3103"/>
      <c r="BD61" s="3103"/>
      <c r="BE61" s="3103"/>
      <c r="BF61" s="3103"/>
      <c r="BG61" s="3103"/>
      <c r="BI61" s="3103"/>
      <c r="BJ61" s="3103"/>
      <c r="BK61" s="3103"/>
      <c r="BL61" s="3103"/>
      <c r="BM61" s="3103"/>
      <c r="BN61" s="3103"/>
      <c r="BO61" s="3103"/>
      <c r="BP61" s="3103"/>
    </row>
    <row r="62" spans="2:68" ht="13.2" customHeight="1">
      <c r="B62" s="3109" t="s">
        <v>5458</v>
      </c>
      <c r="C62" s="3102"/>
      <c r="D62" s="3102"/>
      <c r="E62" s="3102"/>
      <c r="F62" s="1479" t="str">
        <f>CONCATENATE("From Row ",O41, ".")</f>
        <v>From Row 41.</v>
      </c>
      <c r="G62" s="3102"/>
      <c r="H62" s="632">
        <f>SUM(I62:N62)</f>
        <v>449069.99999999994</v>
      </c>
      <c r="I62" s="632">
        <f>I41</f>
        <v>92334.999999999985</v>
      </c>
      <c r="J62" s="632">
        <f>J41</f>
        <v>277004.99999999994</v>
      </c>
      <c r="K62" s="632"/>
      <c r="L62" s="632">
        <f>L41</f>
        <v>65000</v>
      </c>
      <c r="M62" s="632">
        <f>M41</f>
        <v>9389.9999999999982</v>
      </c>
      <c r="N62" s="3110">
        <f>N41</f>
        <v>5340</v>
      </c>
      <c r="O62" s="136">
        <f>ROW()</f>
        <v>62</v>
      </c>
      <c r="P62" s="3103"/>
      <c r="Q62" s="3103"/>
      <c r="R62" s="3103"/>
      <c r="S62" s="3103"/>
      <c r="T62" s="3103"/>
      <c r="U62" s="3103"/>
      <c r="V62" s="3103"/>
      <c r="W62" s="3103"/>
      <c r="Y62" s="3103"/>
      <c r="Z62" s="3103"/>
      <c r="AA62" s="3103"/>
      <c r="AB62" s="3103"/>
      <c r="AC62" s="3103"/>
      <c r="AD62" s="3103"/>
      <c r="AE62" s="3103"/>
      <c r="AF62" s="3103"/>
      <c r="AH62" s="3103"/>
      <c r="AI62" s="3103"/>
      <c r="AJ62" s="3103"/>
      <c r="AK62" s="3103"/>
      <c r="AL62" s="3103"/>
      <c r="AM62" s="3103"/>
      <c r="AN62" s="3103"/>
      <c r="AO62" s="3103"/>
      <c r="AQ62" s="3103"/>
      <c r="AR62" s="3103"/>
      <c r="AS62" s="3103"/>
      <c r="AT62" s="3103"/>
      <c r="AU62" s="3103"/>
      <c r="AV62" s="3103"/>
      <c r="AW62" s="3103"/>
      <c r="AX62" s="3103"/>
      <c r="AZ62" s="3103"/>
      <c r="BA62" s="3103"/>
      <c r="BB62" s="3103"/>
      <c r="BC62" s="3103"/>
      <c r="BD62" s="3103"/>
      <c r="BE62" s="3103"/>
      <c r="BF62" s="3103"/>
      <c r="BG62" s="3103"/>
      <c r="BI62" s="3103"/>
      <c r="BJ62" s="3103"/>
      <c r="BK62" s="3103"/>
      <c r="BL62" s="3103"/>
      <c r="BM62" s="3103"/>
      <c r="BN62" s="3103"/>
      <c r="BO62" s="3103"/>
      <c r="BP62" s="3103"/>
    </row>
    <row r="63" spans="2:68" ht="13.2" customHeight="1">
      <c r="B63" s="3109" t="s">
        <v>5459</v>
      </c>
      <c r="C63" s="3102"/>
      <c r="D63" s="3102"/>
      <c r="E63" s="3102"/>
      <c r="F63" s="1479" t="str">
        <f>CONCATENATE("From Rows ",O59, " and ",O57, ".")</f>
        <v>From Rows 59 and 57.</v>
      </c>
      <c r="G63" s="3102"/>
      <c r="H63" s="632">
        <f>SUM(I63:N63)</f>
        <v>133466.66666666672</v>
      </c>
      <c r="I63" s="632">
        <f>I59</f>
        <v>32450.000000000011</v>
      </c>
      <c r="J63" s="632">
        <f>J59</f>
        <v>97350.000000000029</v>
      </c>
      <c r="K63" s="632"/>
      <c r="L63" s="632">
        <f>L57</f>
        <v>0</v>
      </c>
      <c r="M63" s="632">
        <f>M57</f>
        <v>3300.0000000000005</v>
      </c>
      <c r="N63" s="3110">
        <f>N57</f>
        <v>366.66666666666669</v>
      </c>
      <c r="O63" s="136">
        <f>ROW()</f>
        <v>63</v>
      </c>
      <c r="P63" s="3103"/>
      <c r="Q63" s="3103"/>
      <c r="R63" s="3103"/>
      <c r="S63" s="3103"/>
      <c r="T63" s="3103"/>
      <c r="U63" s="3103"/>
      <c r="V63" s="3103"/>
      <c r="W63" s="3103"/>
      <c r="Y63" s="3103"/>
      <c r="Z63" s="3103"/>
      <c r="AA63" s="3103"/>
      <c r="AB63" s="3103"/>
      <c r="AC63" s="3103"/>
      <c r="AD63" s="3103"/>
      <c r="AE63" s="3103"/>
      <c r="AF63" s="3103"/>
      <c r="AH63" s="3103"/>
      <c r="AI63" s="3103"/>
      <c r="AJ63" s="3103"/>
      <c r="AK63" s="3103"/>
      <c r="AL63" s="3103"/>
      <c r="AM63" s="3103"/>
      <c r="AN63" s="3103"/>
      <c r="AO63" s="3103"/>
      <c r="AQ63" s="3103"/>
      <c r="AR63" s="3103"/>
      <c r="AS63" s="3103"/>
      <c r="AT63" s="3103"/>
      <c r="AU63" s="3103"/>
      <c r="AV63" s="3103"/>
      <c r="AW63" s="3103"/>
      <c r="AX63" s="3103"/>
      <c r="AZ63" s="3103"/>
      <c r="BA63" s="3103"/>
      <c r="BB63" s="3103"/>
      <c r="BC63" s="3103"/>
      <c r="BD63" s="3103"/>
      <c r="BE63" s="3103"/>
      <c r="BF63" s="3103"/>
      <c r="BG63" s="3103"/>
      <c r="BI63" s="3103"/>
      <c r="BJ63" s="3103"/>
      <c r="BK63" s="3103"/>
      <c r="BL63" s="3103"/>
      <c r="BM63" s="3103"/>
      <c r="BN63" s="3103"/>
      <c r="BO63" s="3103"/>
      <c r="BP63" s="3103"/>
    </row>
    <row r="64" spans="2:68" ht="13.2" customHeight="1">
      <c r="B64" s="3109" t="s">
        <v>5461</v>
      </c>
      <c r="C64" s="3102"/>
      <c r="D64" s="3102"/>
      <c r="E64" s="3102"/>
      <c r="F64" s="1479" t="str">
        <f>CONCATENATE("Row ",O63, " x (1+Row ",O43, ").")</f>
        <v>Row 63 x (1+Row 43).</v>
      </c>
      <c r="G64" s="3102"/>
      <c r="H64" s="632">
        <f>SUM(I64:N64)</f>
        <v>226930.00000000009</v>
      </c>
      <c r="I64" s="632">
        <f>I63*(1+I43)</f>
        <v>55165.000000000022</v>
      </c>
      <c r="J64" s="632">
        <f>J63*(1+I43)</f>
        <v>165495.00000000006</v>
      </c>
      <c r="K64" s="632"/>
      <c r="L64" s="632">
        <f>L63*(1+L43)</f>
        <v>0</v>
      </c>
      <c r="M64" s="632">
        <f>M63*(1+M43)</f>
        <v>5610.0000000000009</v>
      </c>
      <c r="N64" s="3110">
        <f>N63*(1+N43)</f>
        <v>660</v>
      </c>
      <c r="O64" s="136">
        <f>ROW()</f>
        <v>64</v>
      </c>
      <c r="P64" s="3103"/>
      <c r="Q64" s="3103"/>
      <c r="R64" s="3103"/>
      <c r="S64" s="3103"/>
      <c r="T64" s="3103"/>
      <c r="U64" s="3103"/>
      <c r="V64" s="3103"/>
      <c r="W64" s="3103"/>
      <c r="Y64" s="3103"/>
      <c r="Z64" s="3103"/>
      <c r="AA64" s="3103"/>
      <c r="AB64" s="3103"/>
      <c r="AC64" s="3103"/>
      <c r="AD64" s="3103"/>
      <c r="AE64" s="3103"/>
      <c r="AF64" s="3103"/>
      <c r="AH64" s="3103"/>
      <c r="AI64" s="3103"/>
      <c r="AJ64" s="3103"/>
      <c r="AK64" s="3103"/>
      <c r="AL64" s="3103"/>
      <c r="AM64" s="3103"/>
      <c r="AN64" s="3103"/>
      <c r="AO64" s="3103"/>
      <c r="AQ64" s="3103"/>
      <c r="AR64" s="3103"/>
      <c r="AS64" s="3103"/>
      <c r="AT64" s="3103"/>
      <c r="AU64" s="3103"/>
      <c r="AV64" s="3103"/>
      <c r="AW64" s="3103"/>
      <c r="AX64" s="3103"/>
      <c r="AZ64" s="3103"/>
      <c r="BA64" s="3103"/>
      <c r="BB64" s="3103"/>
      <c r="BC64" s="3103"/>
      <c r="BD64" s="3103"/>
      <c r="BE64" s="3103"/>
      <c r="BF64" s="3103"/>
      <c r="BG64" s="3103"/>
      <c r="BI64" s="3103"/>
      <c r="BJ64" s="3103"/>
      <c r="BK64" s="3103"/>
      <c r="BL64" s="3103"/>
      <c r="BM64" s="3103"/>
      <c r="BN64" s="3103"/>
      <c r="BO64" s="3103"/>
      <c r="BP64" s="3103"/>
    </row>
    <row r="65" spans="2:68" ht="13.2" customHeight="1" thickBot="1">
      <c r="B65" s="3111" t="s">
        <v>5460</v>
      </c>
      <c r="C65" s="166"/>
      <c r="D65" s="166"/>
      <c r="E65" s="166"/>
      <c r="F65" s="3112" t="str">
        <f>CONCATENATE("Sum of Rows ",O62, " and ",O64, ".")</f>
        <v>Sum of Rows 62 and 64.</v>
      </c>
      <c r="G65" s="166"/>
      <c r="H65" s="3113">
        <f>SUM(I65:N65)</f>
        <v>676000</v>
      </c>
      <c r="I65" s="3113">
        <f>I62+I64</f>
        <v>147500</v>
      </c>
      <c r="J65" s="3113">
        <f>J62+J64</f>
        <v>442500</v>
      </c>
      <c r="K65" s="3113"/>
      <c r="L65" s="3113">
        <f>L62+L64</f>
        <v>65000</v>
      </c>
      <c r="M65" s="3113">
        <f>M62+M64</f>
        <v>15000</v>
      </c>
      <c r="N65" s="3114">
        <f>N62+N64</f>
        <v>6000</v>
      </c>
      <c r="O65" s="136">
        <f>ROW()</f>
        <v>65</v>
      </c>
      <c r="P65" s="3103"/>
      <c r="Q65" s="3103"/>
      <c r="R65" s="3103"/>
      <c r="S65" s="3103"/>
      <c r="T65" s="3103"/>
      <c r="U65" s="3103"/>
      <c r="V65" s="3103"/>
      <c r="W65" s="3103"/>
      <c r="Y65" s="3103"/>
      <c r="Z65" s="3103"/>
      <c r="AA65" s="3103"/>
      <c r="AB65" s="3103"/>
      <c r="AC65" s="3103"/>
      <c r="AD65" s="3103"/>
      <c r="AE65" s="3103"/>
      <c r="AF65" s="3103"/>
      <c r="AH65" s="3103"/>
      <c r="AI65" s="3103"/>
      <c r="AJ65" s="3103"/>
      <c r="AK65" s="3103"/>
      <c r="AL65" s="3103"/>
      <c r="AM65" s="3103"/>
      <c r="AN65" s="3103"/>
      <c r="AO65" s="3103"/>
      <c r="AQ65" s="3103"/>
      <c r="AR65" s="3103"/>
      <c r="AS65" s="3103"/>
      <c r="AT65" s="3103"/>
      <c r="AU65" s="3103"/>
      <c r="AV65" s="3103"/>
      <c r="AW65" s="3103"/>
      <c r="AX65" s="3103"/>
      <c r="AZ65" s="3103"/>
      <c r="BA65" s="3103"/>
      <c r="BB65" s="3103"/>
      <c r="BC65" s="3103"/>
      <c r="BD65" s="3103"/>
      <c r="BE65" s="3103"/>
      <c r="BF65" s="3103"/>
      <c r="BG65" s="3103"/>
      <c r="BI65" s="3103"/>
      <c r="BJ65" s="3103"/>
      <c r="BK65" s="3103"/>
      <c r="BL65" s="3103"/>
      <c r="BM65" s="3103"/>
      <c r="BN65" s="3103"/>
      <c r="BO65" s="3103"/>
      <c r="BP65" s="3103"/>
    </row>
    <row r="66" spans="2:68" s="3126" customFormat="1" ht="13.2" customHeight="1">
      <c r="I66" s="3125" t="str">
        <f>'Motor Vs'!I66</f>
        <v>Auto Work</v>
      </c>
      <c r="J66" s="3125" t="str">
        <f>'Motor Vs'!J66</f>
        <v>Auto Non-Wk</v>
      </c>
      <c r="K66" s="3125" t="str">
        <f>'Motor Vs'!K66</f>
        <v>Auto Thru</v>
      </c>
      <c r="L66" s="3125" t="str">
        <f>'Motor Vs'!L66</f>
        <v>Taxicab</v>
      </c>
      <c r="M66" s="3125" t="str">
        <f>'Motor Vs'!M66</f>
        <v>Truck</v>
      </c>
      <c r="N66" s="3125" t="str">
        <f>'Motor Vs'!N66</f>
        <v>Bus</v>
      </c>
      <c r="O66" s="136">
        <f>ROW()</f>
        <v>66</v>
      </c>
      <c r="P66" s="3123"/>
      <c r="Q66" s="3123"/>
      <c r="R66" s="3123"/>
      <c r="S66" s="3123"/>
      <c r="T66" s="3123"/>
      <c r="U66" s="3123"/>
      <c r="V66" s="3123"/>
      <c r="W66" s="3123"/>
      <c r="Y66" s="3123"/>
      <c r="Z66" s="3123"/>
      <c r="AA66" s="3123"/>
      <c r="AB66" s="3123"/>
      <c r="AC66" s="3123"/>
      <c r="AD66" s="3123"/>
      <c r="AE66" s="3123"/>
      <c r="AF66" s="3123"/>
      <c r="AH66" s="3123"/>
      <c r="AI66" s="3123"/>
      <c r="AJ66" s="3123"/>
      <c r="AK66" s="3123"/>
      <c r="AL66" s="3123"/>
      <c r="AM66" s="3123"/>
      <c r="AN66" s="3123"/>
      <c r="AO66" s="3123"/>
      <c r="AQ66" s="3123"/>
      <c r="AR66" s="3123"/>
      <c r="AS66" s="3123"/>
      <c r="AT66" s="3123"/>
      <c r="AU66" s="3123"/>
      <c r="AV66" s="3123"/>
      <c r="AW66" s="3123"/>
      <c r="AX66" s="3123"/>
      <c r="AZ66" s="3123"/>
      <c r="BA66" s="3123"/>
      <c r="BB66" s="3123"/>
      <c r="BC66" s="3123"/>
      <c r="BD66" s="3123"/>
      <c r="BE66" s="3123"/>
      <c r="BF66" s="3123"/>
      <c r="BG66" s="3123"/>
      <c r="BI66" s="3123"/>
      <c r="BJ66" s="3123"/>
      <c r="BK66" s="3123"/>
      <c r="BL66" s="3123"/>
      <c r="BM66" s="3123"/>
      <c r="BN66" s="3123"/>
      <c r="BO66" s="3123"/>
      <c r="BP66" s="3123"/>
    </row>
    <row r="67" spans="2:68" s="3126" customFormat="1" ht="13.2" customHeight="1">
      <c r="I67" s="3805" t="s">
        <v>5475</v>
      </c>
      <c r="J67" s="3805" t="s">
        <v>5475</v>
      </c>
      <c r="K67" s="3805" t="s">
        <v>5476</v>
      </c>
      <c r="L67" s="3805" t="s">
        <v>5477</v>
      </c>
      <c r="M67" s="3805" t="s">
        <v>5478</v>
      </c>
      <c r="N67" s="3805" t="s">
        <v>5478</v>
      </c>
      <c r="O67" s="136">
        <f>ROW()</f>
        <v>67</v>
      </c>
      <c r="P67" s="3123"/>
      <c r="Q67" s="3123"/>
      <c r="R67" s="3123"/>
      <c r="S67" s="3123"/>
      <c r="T67" s="3123"/>
      <c r="U67" s="3123"/>
      <c r="V67" s="3123"/>
      <c r="W67" s="3123"/>
      <c r="Y67" s="3123"/>
      <c r="Z67" s="3123"/>
      <c r="AA67" s="3123"/>
      <c r="AB67" s="3123"/>
      <c r="AC67" s="3123"/>
      <c r="AD67" s="3123"/>
      <c r="AE67" s="3123"/>
      <c r="AF67" s="3123"/>
      <c r="AH67" s="3123"/>
      <c r="AI67" s="3123"/>
      <c r="AJ67" s="3123"/>
      <c r="AK67" s="3123"/>
      <c r="AL67" s="3123"/>
      <c r="AM67" s="3123"/>
      <c r="AN67" s="3123"/>
      <c r="AO67" s="3123"/>
      <c r="AQ67" s="3123"/>
      <c r="AR67" s="3123"/>
      <c r="AS67" s="3123"/>
      <c r="AT67" s="3123"/>
      <c r="AU67" s="3123"/>
      <c r="AV67" s="3123"/>
      <c r="AW67" s="3123"/>
      <c r="AX67" s="3123"/>
      <c r="AZ67" s="3123"/>
      <c r="BA67" s="3123"/>
      <c r="BB67" s="3123"/>
      <c r="BC67" s="3123"/>
      <c r="BD67" s="3123"/>
      <c r="BE67" s="3123"/>
      <c r="BF67" s="3123"/>
      <c r="BG67" s="3123"/>
      <c r="BI67" s="3123"/>
      <c r="BJ67" s="3123"/>
      <c r="BK67" s="3123"/>
      <c r="BL67" s="3123"/>
      <c r="BM67" s="3123"/>
      <c r="BN67" s="3123"/>
      <c r="BO67" s="3123"/>
      <c r="BP67" s="3123"/>
    </row>
    <row r="68" spans="2:68" s="3126" customFormat="1" ht="13.2" customHeight="1">
      <c r="B68" s="86"/>
      <c r="C68" s="86"/>
      <c r="D68" s="86"/>
      <c r="E68" s="86"/>
      <c r="F68" s="86"/>
      <c r="G68" s="86"/>
      <c r="H68" s="86"/>
      <c r="I68" s="3807"/>
      <c r="J68" s="3807"/>
      <c r="K68" s="3807"/>
      <c r="L68" s="3807"/>
      <c r="M68" s="3807"/>
      <c r="N68" s="3807"/>
      <c r="O68" s="136">
        <f>ROW()</f>
        <v>68</v>
      </c>
      <c r="P68" s="3123"/>
      <c r="Q68" s="3123"/>
      <c r="R68" s="3123"/>
      <c r="S68" s="3123"/>
      <c r="T68" s="3123"/>
      <c r="U68" s="3123"/>
      <c r="V68" s="3123"/>
      <c r="W68" s="3123"/>
      <c r="Y68" s="3123"/>
      <c r="Z68" s="3123"/>
      <c r="AA68" s="3123"/>
      <c r="AB68" s="3123"/>
      <c r="AC68" s="3123"/>
      <c r="AD68" s="3123"/>
      <c r="AE68" s="3123"/>
      <c r="AF68" s="3123"/>
      <c r="AH68" s="3123"/>
      <c r="AI68" s="3123"/>
      <c r="AJ68" s="3123"/>
      <c r="AK68" s="3123"/>
      <c r="AL68" s="3123"/>
      <c r="AM68" s="3123"/>
      <c r="AN68" s="3123"/>
      <c r="AO68" s="3123"/>
      <c r="AQ68" s="3123"/>
      <c r="AR68" s="3123"/>
      <c r="AS68" s="3123"/>
      <c r="AT68" s="3123"/>
      <c r="AU68" s="3123"/>
      <c r="AV68" s="3123"/>
      <c r="AW68" s="3123"/>
      <c r="AX68" s="3123"/>
      <c r="AZ68" s="3123"/>
      <c r="BA68" s="3123"/>
      <c r="BB68" s="3123"/>
      <c r="BC68" s="3123"/>
      <c r="BD68" s="3123"/>
      <c r="BE68" s="3123"/>
      <c r="BF68" s="3123"/>
      <c r="BG68" s="3123"/>
      <c r="BI68" s="3123"/>
      <c r="BJ68" s="3123"/>
      <c r="BK68" s="3123"/>
      <c r="BL68" s="3123"/>
      <c r="BM68" s="3123"/>
      <c r="BN68" s="3123"/>
      <c r="BO68" s="3123"/>
      <c r="BP68" s="3123"/>
    </row>
    <row r="69" spans="2:68" s="3126" customFormat="1" ht="13.2" customHeight="1">
      <c r="B69" s="275"/>
      <c r="C69" s="86"/>
      <c r="D69" s="86"/>
      <c r="E69" s="86"/>
      <c r="F69" s="86"/>
      <c r="G69" s="816"/>
      <c r="H69" s="817"/>
      <c r="I69" s="3807"/>
      <c r="J69" s="3807"/>
      <c r="K69" s="3807"/>
      <c r="L69" s="3807"/>
      <c r="M69" s="3807"/>
      <c r="N69" s="3807"/>
      <c r="O69" s="136">
        <f>ROW()</f>
        <v>69</v>
      </c>
      <c r="P69" s="3123"/>
      <c r="Q69" s="3123"/>
      <c r="R69" s="3123"/>
      <c r="S69" s="3123"/>
      <c r="T69" s="3123"/>
      <c r="U69" s="3123"/>
      <c r="V69" s="3123"/>
      <c r="W69" s="3123"/>
      <c r="Y69" s="3123"/>
      <c r="Z69" s="3123"/>
      <c r="AA69" s="3123"/>
      <c r="AB69" s="3123"/>
      <c r="AC69" s="3123"/>
      <c r="AD69" s="3123"/>
      <c r="AE69" s="3123"/>
      <c r="AF69" s="3123"/>
      <c r="AH69" s="3123"/>
      <c r="AI69" s="3123"/>
      <c r="AJ69" s="3123"/>
      <c r="AK69" s="3123"/>
      <c r="AL69" s="3123"/>
      <c r="AM69" s="3123"/>
      <c r="AN69" s="3123"/>
      <c r="AO69" s="3123"/>
      <c r="AQ69" s="3123"/>
      <c r="AR69" s="3123"/>
      <c r="AS69" s="3123"/>
      <c r="AT69" s="3123"/>
      <c r="AU69" s="3123"/>
      <c r="AV69" s="3123"/>
      <c r="AW69" s="3123"/>
      <c r="AX69" s="3123"/>
      <c r="AZ69" s="3123"/>
      <c r="BA69" s="3123"/>
      <c r="BB69" s="3123"/>
      <c r="BC69" s="3123"/>
      <c r="BD69" s="3123"/>
      <c r="BE69" s="3123"/>
      <c r="BF69" s="3123"/>
      <c r="BG69" s="3123"/>
      <c r="BI69" s="3123"/>
      <c r="BJ69" s="3123"/>
      <c r="BK69" s="3123"/>
      <c r="BL69" s="3123"/>
      <c r="BM69" s="3123"/>
      <c r="BN69" s="3123"/>
      <c r="BO69" s="3123"/>
      <c r="BP69" s="3123"/>
    </row>
    <row r="70" spans="2:68" s="3126" customFormat="1" ht="13.2" customHeight="1">
      <c r="B70" s="275"/>
      <c r="C70" s="86"/>
      <c r="D70" s="4432" t="str">
        <f>CONCATENATE("Auto work, non-work and taxi are copied from Row ",O41,". Auto thru is copied from Cell I",O63,". Truck and bus are sums of Rows ",O41, " and",O63, ".")</f>
        <v>Auto work, non-work and taxi are copied from Row 41. Auto thru is copied from Cell I63. Truck and bus are sums of Rows 41 and63.</v>
      </c>
      <c r="E70" s="4187"/>
      <c r="F70" s="4187"/>
      <c r="G70" s="4187"/>
      <c r="H70" s="4187"/>
      <c r="I70" s="3781"/>
      <c r="J70" s="3781"/>
      <c r="K70" s="3781"/>
      <c r="L70" s="3781"/>
      <c r="M70" s="3781"/>
      <c r="N70" s="3781"/>
      <c r="O70" s="136">
        <f>ROW()</f>
        <v>70</v>
      </c>
      <c r="P70" s="3123"/>
      <c r="Q70" s="3123"/>
      <c r="R70" s="3123"/>
      <c r="S70" s="3123"/>
      <c r="T70" s="3123"/>
      <c r="U70" s="3123"/>
      <c r="V70" s="3123"/>
      <c r="W70" s="3123"/>
      <c r="Y70" s="3123"/>
      <c r="Z70" s="3123"/>
      <c r="AA70" s="3123"/>
      <c r="AB70" s="3123"/>
      <c r="AC70" s="3123"/>
      <c r="AD70" s="3123"/>
      <c r="AE70" s="3123"/>
      <c r="AF70" s="3123"/>
      <c r="AH70" s="3123"/>
      <c r="AI70" s="3123"/>
      <c r="AJ70" s="3123"/>
      <c r="AK70" s="3123"/>
      <c r="AL70" s="3123"/>
      <c r="AM70" s="3123"/>
      <c r="AN70" s="3123"/>
      <c r="AO70" s="3123"/>
      <c r="AQ70" s="3123"/>
      <c r="AR70" s="3123"/>
      <c r="AS70" s="3123"/>
      <c r="AT70" s="3123"/>
      <c r="AU70" s="3123"/>
      <c r="AV70" s="3123"/>
      <c r="AW70" s="3123"/>
      <c r="AX70" s="3123"/>
      <c r="AZ70" s="3123"/>
      <c r="BA70" s="3123"/>
      <c r="BB70" s="3123"/>
      <c r="BC70" s="3123"/>
      <c r="BD70" s="3123"/>
      <c r="BE70" s="3123"/>
      <c r="BF70" s="3123"/>
      <c r="BG70" s="3123"/>
      <c r="BI70" s="3123"/>
      <c r="BJ70" s="3123"/>
      <c r="BK70" s="3123"/>
      <c r="BL70" s="3123"/>
      <c r="BM70" s="3123"/>
      <c r="BN70" s="3123"/>
      <c r="BO70" s="3123"/>
      <c r="BP70" s="3123"/>
    </row>
    <row r="71" spans="2:68" s="3126" customFormat="1" ht="13.2" customHeight="1">
      <c r="B71" s="1101" t="s">
        <v>923</v>
      </c>
      <c r="C71" s="86"/>
      <c r="D71" s="4187"/>
      <c r="E71" s="4187"/>
      <c r="F71" s="4187"/>
      <c r="G71" s="4187"/>
      <c r="H71" s="4187"/>
      <c r="I71" s="3127">
        <f>I41</f>
        <v>92334.999999999985</v>
      </c>
      <c r="J71" s="3127">
        <f>J41</f>
        <v>277004.99999999994</v>
      </c>
      <c r="K71" s="817">
        <f>I57</f>
        <v>129800.00000000004</v>
      </c>
      <c r="L71" s="817">
        <f>L41</f>
        <v>65000</v>
      </c>
      <c r="M71" s="817">
        <f>M41+M63</f>
        <v>12689.999999999998</v>
      </c>
      <c r="N71" s="817">
        <f>N41+N63</f>
        <v>5706.666666666667</v>
      </c>
      <c r="O71" s="136">
        <f>ROW()</f>
        <v>71</v>
      </c>
      <c r="P71" s="3123"/>
      <c r="Q71" s="3123"/>
      <c r="R71" s="3123"/>
      <c r="S71" s="3123"/>
      <c r="T71" s="3123"/>
      <c r="U71" s="3123"/>
      <c r="V71" s="3123"/>
      <c r="W71" s="3123"/>
      <c r="Y71" s="3123"/>
      <c r="Z71" s="3123"/>
      <c r="AA71" s="3123"/>
      <c r="AB71" s="3123"/>
      <c r="AC71" s="3123"/>
      <c r="AD71" s="3123"/>
      <c r="AE71" s="3123"/>
      <c r="AF71" s="3123"/>
      <c r="AH71" s="3123"/>
      <c r="AI71" s="3123"/>
      <c r="AJ71" s="3123"/>
      <c r="AK71" s="3123"/>
      <c r="AL71" s="3123"/>
      <c r="AM71" s="3123"/>
      <c r="AN71" s="3123"/>
      <c r="AO71" s="3123"/>
      <c r="AQ71" s="3123"/>
      <c r="AR71" s="3123"/>
      <c r="AS71" s="3123"/>
      <c r="AT71" s="3123"/>
      <c r="AU71" s="3123"/>
      <c r="AV71" s="3123"/>
      <c r="AW71" s="3123"/>
      <c r="AX71" s="3123"/>
      <c r="AZ71" s="3123"/>
      <c r="BA71" s="3123"/>
      <c r="BB71" s="3123"/>
      <c r="BC71" s="3123"/>
      <c r="BD71" s="3123"/>
      <c r="BE71" s="3123"/>
      <c r="BF71" s="3123"/>
      <c r="BG71" s="3123"/>
      <c r="BI71" s="3123"/>
      <c r="BJ71" s="3123"/>
      <c r="BK71" s="3123"/>
      <c r="BL71" s="3123"/>
      <c r="BM71" s="3123"/>
      <c r="BN71" s="3123"/>
      <c r="BO71" s="3123"/>
      <c r="BP71" s="3123"/>
    </row>
    <row r="72" spans="2:68" s="3126" customFormat="1" ht="13.2" customHeight="1">
      <c r="B72" s="4477" t="s">
        <v>5481</v>
      </c>
      <c r="C72" s="4478"/>
      <c r="D72" s="4478"/>
      <c r="E72" s="4478"/>
      <c r="F72"/>
      <c r="G72"/>
      <c r="H72"/>
      <c r="I72"/>
      <c r="K72" s="3129" t="s">
        <v>5479</v>
      </c>
      <c r="L72" s="817"/>
      <c r="M72" s="3129" t="s">
        <v>5480</v>
      </c>
      <c r="N72" s="3129" t="s">
        <v>5480</v>
      </c>
      <c r="O72" s="136">
        <f>ROW()</f>
        <v>72</v>
      </c>
      <c r="P72" s="3123"/>
      <c r="Q72" s="3123"/>
      <c r="R72" s="3123"/>
      <c r="S72" s="3123"/>
      <c r="T72" s="3123"/>
      <c r="U72" s="3123"/>
      <c r="V72" s="3123"/>
      <c r="W72" s="3123"/>
      <c r="Y72" s="3123"/>
      <c r="Z72" s="3123"/>
      <c r="AA72" s="3123"/>
      <c r="AB72" s="3123"/>
      <c r="AC72" s="3123"/>
      <c r="AD72" s="3123"/>
      <c r="AE72" s="3123"/>
      <c r="AF72" s="3123"/>
      <c r="AH72" s="3123"/>
      <c r="AI72" s="3123"/>
      <c r="AJ72" s="3123"/>
      <c r="AK72" s="3123"/>
      <c r="AL72" s="3123"/>
      <c r="AM72" s="3123"/>
      <c r="AN72" s="3123"/>
      <c r="AO72" s="3123"/>
      <c r="AQ72" s="3123"/>
      <c r="AR72" s="3123"/>
      <c r="AS72" s="3123"/>
      <c r="AT72" s="3123"/>
      <c r="AU72" s="3123"/>
      <c r="AV72" s="3123"/>
      <c r="AW72" s="3123"/>
      <c r="AX72" s="3123"/>
      <c r="AZ72" s="3123"/>
      <c r="BA72" s="3123"/>
      <c r="BB72" s="3123"/>
      <c r="BC72" s="3123"/>
      <c r="BD72" s="3123"/>
      <c r="BE72" s="3123"/>
      <c r="BF72" s="3123"/>
      <c r="BG72" s="3123"/>
      <c r="BI72" s="3123"/>
      <c r="BJ72" s="3123"/>
      <c r="BK72" s="3123"/>
      <c r="BL72" s="3123"/>
      <c r="BM72" s="3123"/>
      <c r="BN72" s="3123"/>
      <c r="BO72" s="3123"/>
      <c r="BP72" s="3123"/>
    </row>
    <row r="73" spans="2:68" s="3126" customFormat="1" ht="13.2" customHeight="1">
      <c r="B73" s="4478"/>
      <c r="C73" s="4478"/>
      <c r="D73" s="4478"/>
      <c r="E73" s="4478"/>
      <c r="F73"/>
      <c r="G73"/>
      <c r="H73"/>
      <c r="I73"/>
      <c r="K73" s="3130">
        <f>I39</f>
        <v>0.25</v>
      </c>
      <c r="L73" s="817"/>
      <c r="M73" s="3130">
        <f>M57/M71</f>
        <v>0.26004728132387717</v>
      </c>
      <c r="N73" s="3130">
        <f>N57/N71</f>
        <v>6.4252336448598124E-2</v>
      </c>
      <c r="O73" s="136">
        <f>ROW()</f>
        <v>73</v>
      </c>
      <c r="P73" s="3123"/>
      <c r="Q73" s="3123"/>
      <c r="R73" s="3123"/>
      <c r="S73" s="3123"/>
      <c r="T73" s="3123"/>
      <c r="U73" s="3123"/>
      <c r="V73" s="3123"/>
      <c r="W73" s="3123"/>
      <c r="Y73" s="3123"/>
      <c r="Z73" s="3123"/>
      <c r="AA73" s="3123"/>
      <c r="AB73" s="3123"/>
      <c r="AC73" s="3123"/>
      <c r="AD73" s="3123"/>
      <c r="AE73" s="3123"/>
      <c r="AF73" s="3123"/>
      <c r="AH73" s="3123"/>
      <c r="AI73" s="3123"/>
      <c r="AJ73" s="3123"/>
      <c r="AK73" s="3123"/>
      <c r="AL73" s="3123"/>
      <c r="AM73" s="3123"/>
      <c r="AN73" s="3123"/>
      <c r="AO73" s="3123"/>
      <c r="AQ73" s="3123"/>
      <c r="AR73" s="3123"/>
      <c r="AS73" s="3123"/>
      <c r="AT73" s="3123"/>
      <c r="AU73" s="3123"/>
      <c r="AV73" s="3123"/>
      <c r="AW73" s="3123"/>
      <c r="AX73" s="3123"/>
      <c r="AZ73" s="3123"/>
      <c r="BA73" s="3123"/>
      <c r="BB73" s="3123"/>
      <c r="BC73" s="3123"/>
      <c r="BD73" s="3123"/>
      <c r="BE73" s="3123"/>
      <c r="BF73" s="3123"/>
      <c r="BG73" s="3123"/>
      <c r="BI73" s="3123"/>
      <c r="BJ73" s="3123"/>
      <c r="BK73" s="3123"/>
      <c r="BL73" s="3123"/>
      <c r="BM73" s="3123"/>
      <c r="BN73" s="3123"/>
      <c r="BO73" s="3123"/>
      <c r="BP73" s="3123"/>
    </row>
    <row r="74" spans="2:68" s="3126" customFormat="1" ht="13.2" customHeight="1">
      <c r="B74" s="4478"/>
      <c r="C74" s="4478"/>
      <c r="D74" s="4478"/>
      <c r="E74" s="4478"/>
      <c r="F74"/>
      <c r="G74"/>
      <c r="H74"/>
      <c r="I74"/>
      <c r="J74" s="817"/>
      <c r="K74" s="3131" t="str">
        <f>CONCATENATE("From Row ",O39, ".")</f>
        <v>From Row 39.</v>
      </c>
      <c r="L74" s="817"/>
      <c r="M74" s="4433" t="str">
        <f>CONCATENATE("Ratio of Rows ",O57, " and ",O71, ".")</f>
        <v>Ratio of Rows 57 and 71.</v>
      </c>
      <c r="N74" s="4434"/>
      <c r="O74" s="136">
        <f>ROW()</f>
        <v>74</v>
      </c>
      <c r="P74" s="3123"/>
      <c r="Q74" s="3123"/>
      <c r="R74" s="3123"/>
      <c r="S74" s="3123"/>
      <c r="T74" s="3123"/>
      <c r="U74" s="3123"/>
      <c r="V74" s="3123"/>
      <c r="W74" s="3123"/>
      <c r="Y74" s="3123"/>
      <c r="Z74" s="3123"/>
      <c r="AA74" s="3123"/>
      <c r="AB74" s="3123"/>
      <c r="AC74" s="3123"/>
      <c r="AD74" s="3123"/>
      <c r="AE74" s="3123"/>
      <c r="AF74" s="3123"/>
      <c r="AH74" s="3123"/>
      <c r="AI74" s="3123"/>
      <c r="AJ74" s="3123"/>
      <c r="AK74" s="3123"/>
      <c r="AL74" s="3123"/>
      <c r="AM74" s="3123"/>
      <c r="AN74" s="3123"/>
      <c r="AO74" s="3123"/>
      <c r="AQ74" s="3123"/>
      <c r="AR74" s="3123"/>
      <c r="AS74" s="3123"/>
      <c r="AT74" s="3123"/>
      <c r="AU74" s="3123"/>
      <c r="AV74" s="3123"/>
      <c r="AW74" s="3123"/>
      <c r="AX74" s="3123"/>
      <c r="AZ74" s="3123"/>
      <c r="BA74" s="3123"/>
      <c r="BB74" s="3123"/>
      <c r="BC74" s="3123"/>
      <c r="BD74" s="3123"/>
      <c r="BE74" s="3123"/>
      <c r="BF74" s="3123"/>
      <c r="BG74" s="3123"/>
      <c r="BI74" s="3123"/>
      <c r="BJ74" s="3123"/>
      <c r="BK74" s="3123"/>
      <c r="BL74" s="3123"/>
      <c r="BM74" s="3123"/>
      <c r="BN74" s="3123"/>
      <c r="BO74" s="3123"/>
      <c r="BP74" s="3123"/>
    </row>
    <row r="75" spans="2:68" ht="13.2" customHeight="1">
      <c r="B75" s="275" t="s">
        <v>2380</v>
      </c>
      <c r="C75" s="86"/>
      <c r="D75" s="86"/>
      <c r="E75" s="86"/>
      <c r="F75" s="86"/>
      <c r="G75" s="816">
        <f>'User Inputs'!J151</f>
        <v>0</v>
      </c>
      <c r="H75" s="817">
        <f t="shared" ref="H75" si="1">H41*$G$75</f>
        <v>0</v>
      </c>
      <c r="I75" s="817">
        <f>I62*$G$75</f>
        <v>0</v>
      </c>
      <c r="J75" s="817">
        <f>J62*$G$75</f>
        <v>0</v>
      </c>
      <c r="K75" s="817">
        <f>K71*$G$75</f>
        <v>0</v>
      </c>
      <c r="L75" s="817">
        <f>L62*$G$75</f>
        <v>0</v>
      </c>
      <c r="M75" s="817">
        <f>M62*$G$75</f>
        <v>0</v>
      </c>
      <c r="N75" s="817">
        <f>N62*$G$75</f>
        <v>0</v>
      </c>
      <c r="O75" s="136">
        <f>ROW()</f>
        <v>75</v>
      </c>
    </row>
    <row r="76" spans="2:68" s="86" customFormat="1" ht="13.2" customHeight="1">
      <c r="B76" s="275" t="s">
        <v>2382</v>
      </c>
      <c r="G76" s="816"/>
      <c r="H76" s="3157">
        <f>SUM(I76:N76)</f>
        <v>582536.66666666663</v>
      </c>
      <c r="I76" s="817">
        <f t="shared" ref="I76:N76" si="2">I71-I75</f>
        <v>92334.999999999985</v>
      </c>
      <c r="J76" s="817">
        <f t="shared" si="2"/>
        <v>277004.99999999994</v>
      </c>
      <c r="K76" s="817">
        <f t="shared" si="2"/>
        <v>129800.00000000004</v>
      </c>
      <c r="L76" s="817">
        <f t="shared" si="2"/>
        <v>65000</v>
      </c>
      <c r="M76" s="817">
        <f t="shared" si="2"/>
        <v>12689.999999999998</v>
      </c>
      <c r="N76" s="817">
        <f t="shared" si="2"/>
        <v>5706.666666666667</v>
      </c>
      <c r="O76" s="926">
        <f>ROW()</f>
        <v>76</v>
      </c>
    </row>
    <row r="77" spans="2:68" ht="13.2" customHeight="1">
      <c r="B77" s="215"/>
      <c r="H77" s="4427" t="str">
        <f>CONCATENATE("Must match # in Cell N",O122, ".")</f>
        <v>Must match # in Cell N122.</v>
      </c>
      <c r="I77" s="10"/>
      <c r="J77" s="10"/>
      <c r="K77" s="10"/>
      <c r="L77" s="4430" t="str">
        <f>CONCATENATE("Row ",O53, " div by Row ",O71,".")</f>
        <v>Row 53 div by Row 71.</v>
      </c>
      <c r="M77" s="4429" t="s">
        <v>5497</v>
      </c>
      <c r="N77" s="4429"/>
      <c r="O77" s="136">
        <f>ROW()</f>
        <v>77</v>
      </c>
    </row>
    <row r="78" spans="2:68" ht="13.2" customHeight="1">
      <c r="B78" s="172" t="s">
        <v>1518</v>
      </c>
      <c r="H78" s="4428"/>
      <c r="L78" s="4431"/>
      <c r="M78" s="3158">
        <f>M53/M71</f>
        <v>0.18203309692671402</v>
      </c>
      <c r="N78" s="3158">
        <f>N53/N71</f>
        <v>5.1401869158878517E-2</v>
      </c>
      <c r="O78" s="136">
        <f>ROW()</f>
        <v>78</v>
      </c>
    </row>
    <row r="79" spans="2:68" ht="13.2" customHeight="1">
      <c r="B79" s="312" t="s">
        <v>4716</v>
      </c>
      <c r="I79" s="21">
        <f>Distances!$C$185</f>
        <v>16.900058730389546</v>
      </c>
      <c r="J79" s="21">
        <f>Distances!$C$185</f>
        <v>16.900058730389546</v>
      </c>
      <c r="K79" s="21">
        <f>$I$79*K81</f>
        <v>25.350088095584319</v>
      </c>
      <c r="L79" s="21">
        <f>'Motor Vs'!L79</f>
        <v>6</v>
      </c>
      <c r="M79" s="21">
        <f>$I$79*M81*M83</f>
        <v>12.731643929276915</v>
      </c>
      <c r="N79" s="21">
        <f>$I$79*N81*N83</f>
        <v>17.442992860162573</v>
      </c>
      <c r="O79" s="136">
        <f>ROW()</f>
        <v>79</v>
      </c>
    </row>
    <row r="80" spans="2:68" ht="13.2" customHeight="1">
      <c r="B80" s="215" t="str">
        <f>CONCATENATE("Work and Non-work #'s are from 'Distances' tab, Row ",Distances!O$185, ". Taxicab # is same cell in 'Motor Vs'. Other #'s multiply Work figure by factors in Rows ",O81," and ",O83,".")</f>
        <v>Work and Non-work #'s are from 'Distances' tab, Row 185. Taxicab # is same cell in 'Motor Vs'. Other #'s multiply Work figure by factors in Rows 81 and 83.</v>
      </c>
      <c r="O80" s="136">
        <f>ROW()</f>
        <v>80</v>
      </c>
    </row>
    <row r="81" spans="2:68" ht="13.2" customHeight="1">
      <c r="B81" s="312" t="s">
        <v>5483</v>
      </c>
      <c r="K81" s="210">
        <v>1.5</v>
      </c>
      <c r="L81" s="21"/>
      <c r="M81" s="248">
        <f>2/3</f>
        <v>0.66666666666666663</v>
      </c>
      <c r="N81" s="248">
        <v>1</v>
      </c>
      <c r="O81" s="136">
        <f>ROW()</f>
        <v>81</v>
      </c>
    </row>
    <row r="82" spans="2:68" ht="13.2" customHeight="1">
      <c r="B82" s="215" t="s">
        <v>5484</v>
      </c>
      <c r="O82" s="136">
        <f>ROW()</f>
        <v>82</v>
      </c>
    </row>
    <row r="83" spans="2:68" ht="13.2" customHeight="1">
      <c r="B83" s="312" t="s">
        <v>5485</v>
      </c>
      <c r="C83" s="3126"/>
      <c r="D83" s="3126"/>
      <c r="E83" s="3126"/>
      <c r="F83" s="3126"/>
      <c r="G83" s="3126"/>
      <c r="H83" s="3126"/>
      <c r="I83" s="21"/>
      <c r="J83" s="21"/>
      <c r="K83" s="208"/>
      <c r="L83" s="21"/>
      <c r="M83" s="248">
        <f>$K$81*M73+1*(1-M73)</f>
        <v>1.1300236406619386</v>
      </c>
      <c r="N83" s="248">
        <f>$K$81*N73+1*(1-N73)</f>
        <v>1.032126168224299</v>
      </c>
      <c r="O83" s="136">
        <f>ROW()</f>
        <v>83</v>
      </c>
    </row>
    <row r="84" spans="2:68" ht="13.2" customHeight="1">
      <c r="B84" s="215" t="str">
        <f>CONCATENATE("Weighted sum of thru-trip factor in Cell K",O81, " and thru-trip %'s in Row ",O73, ".")</f>
        <v>Weighted sum of thru-trip factor in Cell K81 and thru-trip %'s in Row 73.</v>
      </c>
      <c r="C84" s="3126"/>
      <c r="D84" s="3126"/>
      <c r="E84" s="3126"/>
      <c r="F84" s="3126"/>
      <c r="G84" s="3126"/>
      <c r="H84" s="3126"/>
      <c r="I84" s="21"/>
      <c r="J84" s="21"/>
      <c r="K84" s="208"/>
      <c r="L84" s="21"/>
      <c r="M84" s="755"/>
      <c r="N84" s="208"/>
      <c r="O84" s="136">
        <f>ROW()</f>
        <v>84</v>
      </c>
      <c r="P84" s="4364"/>
      <c r="Q84" s="4365"/>
      <c r="R84" s="4365"/>
      <c r="S84" s="4365"/>
      <c r="T84" s="4365"/>
      <c r="U84" s="4365"/>
      <c r="V84" s="4365"/>
      <c r="W84" s="4365"/>
      <c r="Y84" s="4364"/>
      <c r="Z84" s="4365"/>
      <c r="AA84" s="4365"/>
      <c r="AB84" s="4365"/>
      <c r="AC84" s="4365"/>
      <c r="AD84" s="4365"/>
      <c r="AE84" s="4365"/>
      <c r="AF84" s="4365"/>
      <c r="AH84" s="4364"/>
      <c r="AI84" s="4365"/>
      <c r="AJ84" s="4365"/>
      <c r="AK84" s="4365"/>
      <c r="AL84" s="4365"/>
      <c r="AM84" s="4365"/>
      <c r="AN84" s="4365"/>
      <c r="AO84" s="4365"/>
      <c r="AQ84" s="4364"/>
      <c r="AR84" s="4365"/>
      <c r="AS84" s="4365"/>
      <c r="AT84" s="4365"/>
      <c r="AU84" s="4365"/>
      <c r="AV84" s="4365"/>
      <c r="AW84" s="4365"/>
      <c r="AX84" s="4365"/>
      <c r="AZ84" s="4364"/>
      <c r="BA84" s="4365"/>
      <c r="BB84" s="4365"/>
      <c r="BC84" s="4365"/>
      <c r="BD84" s="4365"/>
      <c r="BE84" s="4365"/>
      <c r="BF84" s="4365"/>
      <c r="BG84" s="4365"/>
      <c r="BI84" s="4364"/>
      <c r="BJ84" s="4365"/>
      <c r="BK84" s="4365"/>
      <c r="BL84" s="4365"/>
      <c r="BM84" s="4365"/>
      <c r="BN84" s="4365"/>
      <c r="BO84" s="4365"/>
      <c r="BP84" s="4365"/>
    </row>
    <row r="85" spans="2:68" ht="13.2" customHeight="1">
      <c r="B85" s="275" t="s">
        <v>208</v>
      </c>
      <c r="E85" s="4435" t="str">
        <f>CONCATENATE("Row ",O85," multiplies corresp. #'s in 'Motor Vs' by factors in Row ",O86, ", est'd by Komanoff, except that # for auto thru-trips substitutes Cell I",O43, " factor here for factor in 'Motor Vs.'")</f>
        <v>Row 85 multiplies corresp. #'s in 'Motor Vs' by factors in Row 86, est'd by Komanoff, except that # for auto thru-trips substitutes Cell I43 factor here for factor in 'Motor Vs.'</v>
      </c>
      <c r="F85" s="4436"/>
      <c r="G85" s="4436"/>
      <c r="H85" s="4437"/>
      <c r="I85" s="117">
        <f>'Motor Vs'!I85*I86</f>
        <v>1.5</v>
      </c>
      <c r="J85" s="117">
        <f>'Motor Vs'!J85*J86</f>
        <v>1.5</v>
      </c>
      <c r="K85" s="3136">
        <f>'Motor Vs'!K85*K86*I43/'Motor Vs'!I43</f>
        <v>1.4000000000000001</v>
      </c>
      <c r="L85" s="117">
        <f>'Motor Vs'!L85*L86</f>
        <v>2</v>
      </c>
      <c r="M85" s="117">
        <f>'Motor Vs'!M85*M86</f>
        <v>3</v>
      </c>
      <c r="N85" s="117">
        <f>'Motor Vs'!N85*N86</f>
        <v>2</v>
      </c>
      <c r="O85" s="136">
        <f>ROW()</f>
        <v>85</v>
      </c>
    </row>
    <row r="86" spans="2:68" ht="13.2" customHeight="1">
      <c r="D86" s="215"/>
      <c r="E86" s="4438"/>
      <c r="F86" s="4439"/>
      <c r="G86" s="4439"/>
      <c r="H86" s="4440"/>
      <c r="I86" s="3133">
        <v>1.2</v>
      </c>
      <c r="J86" s="210">
        <v>1.2</v>
      </c>
      <c r="K86" s="229">
        <v>1</v>
      </c>
      <c r="L86" s="229">
        <v>1</v>
      </c>
      <c r="M86" s="229">
        <v>1</v>
      </c>
      <c r="N86" s="229">
        <v>1</v>
      </c>
      <c r="O86" s="136">
        <f>ROW()</f>
        <v>86</v>
      </c>
    </row>
    <row r="87" spans="2:68" s="3126" customFormat="1" ht="13.2" customHeight="1">
      <c r="B87" s="275" t="s">
        <v>2438</v>
      </c>
      <c r="C87" s="86"/>
      <c r="D87" s="86"/>
      <c r="E87" s="4441"/>
      <c r="F87" s="4442"/>
      <c r="G87" s="4442"/>
      <c r="H87" s="4443"/>
      <c r="I87" s="824">
        <f t="shared" ref="I87:N87" si="3">I79+I85</f>
        <v>18.400058730389546</v>
      </c>
      <c r="J87" s="824">
        <f t="shared" si="3"/>
        <v>18.400058730389546</v>
      </c>
      <c r="K87" s="824">
        <f t="shared" si="3"/>
        <v>26.750088095584317</v>
      </c>
      <c r="L87" s="824">
        <f t="shared" si="3"/>
        <v>8</v>
      </c>
      <c r="M87" s="824">
        <f t="shared" si="3"/>
        <v>15.731643929276915</v>
      </c>
      <c r="N87" s="824">
        <f t="shared" si="3"/>
        <v>19.442992860162573</v>
      </c>
      <c r="O87" s="136">
        <f>ROW()</f>
        <v>87</v>
      </c>
    </row>
    <row r="88" spans="2:68" s="3126" customFormat="1" ht="13.2" customHeight="1">
      <c r="O88" s="136">
        <f>ROW()</f>
        <v>88</v>
      </c>
    </row>
    <row r="89" spans="2:68" s="3126" customFormat="1" ht="13.2" customHeight="1">
      <c r="O89" s="136">
        <f>ROW()</f>
        <v>89</v>
      </c>
    </row>
    <row r="90" spans="2:68" ht="13.2" customHeight="1">
      <c r="H90" s="8" t="s">
        <v>228</v>
      </c>
      <c r="I90" s="8" t="s">
        <v>367</v>
      </c>
      <c r="J90" s="8" t="s">
        <v>368</v>
      </c>
      <c r="K90" s="8" t="s">
        <v>2473</v>
      </c>
      <c r="L90" s="8" t="s">
        <v>1241</v>
      </c>
      <c r="M90" s="8" t="s">
        <v>2212</v>
      </c>
      <c r="N90" s="8" t="s">
        <v>967</v>
      </c>
      <c r="O90" s="136">
        <f>ROW()</f>
        <v>90</v>
      </c>
    </row>
    <row r="91" spans="2:68" ht="13.2" customHeight="1">
      <c r="B91" s="172" t="s">
        <v>936</v>
      </c>
      <c r="H91" s="607">
        <f>SUM(I91:N91)</f>
        <v>1797926.6666666667</v>
      </c>
      <c r="I91" s="575">
        <f>2*I76*I85</f>
        <v>277004.99999999994</v>
      </c>
      <c r="J91" s="575">
        <f>2*J76*J85</f>
        <v>831014.99999999977</v>
      </c>
      <c r="K91" s="575">
        <f>2*K76*K85</f>
        <v>363440.00000000017</v>
      </c>
      <c r="L91" s="575">
        <f>(1+Taxis!L130)*L76*L85</f>
        <v>227500</v>
      </c>
      <c r="M91" s="575">
        <f>2*M76*M85</f>
        <v>76139.999999999985</v>
      </c>
      <c r="N91" s="575">
        <f>2*N76*N85</f>
        <v>22826.666666666668</v>
      </c>
      <c r="O91" s="136">
        <f>ROW()</f>
        <v>91</v>
      </c>
    </row>
    <row r="92" spans="2:68" ht="13.2" customHeight="1">
      <c r="B92" s="265" t="s">
        <v>1530</v>
      </c>
      <c r="H92" s="607"/>
      <c r="I92" s="575"/>
      <c r="J92" s="575"/>
      <c r="K92" s="575"/>
      <c r="L92" s="575"/>
      <c r="M92" s="575"/>
      <c r="O92" s="136">
        <f>ROW()</f>
        <v>92</v>
      </c>
    </row>
    <row r="93" spans="2:68" ht="13.2" customHeight="1">
      <c r="B93" s="312" t="s">
        <v>1267</v>
      </c>
      <c r="H93" s="53">
        <f>SUM(I93:N93)</f>
        <v>1</v>
      </c>
      <c r="I93" s="927">
        <f t="shared" ref="I93:N93" si="4">I91/$H$91</f>
        <v>0.15406913148107632</v>
      </c>
      <c r="J93" s="927">
        <f t="shared" si="4"/>
        <v>0.46220739444322889</v>
      </c>
      <c r="K93" s="927">
        <f t="shared" si="4"/>
        <v>0.20214395099540591</v>
      </c>
      <c r="L93" s="927">
        <f t="shared" si="4"/>
        <v>0.12653463804604562</v>
      </c>
      <c r="M93" s="927">
        <f t="shared" si="4"/>
        <v>4.2348779520113899E-2</v>
      </c>
      <c r="N93" s="927">
        <f t="shared" si="4"/>
        <v>1.2696105514129238E-2</v>
      </c>
      <c r="O93" s="136">
        <f>ROW()</f>
        <v>93</v>
      </c>
    </row>
    <row r="94" spans="2:68" ht="13.2" customHeight="1">
      <c r="B94" s="265"/>
      <c r="H94" s="607"/>
      <c r="I94" s="927"/>
      <c r="J94" s="927"/>
      <c r="K94" s="927"/>
      <c r="L94" s="927"/>
      <c r="M94" s="927"/>
      <c r="N94" s="927"/>
      <c r="O94" s="136">
        <f>ROW()</f>
        <v>94</v>
      </c>
    </row>
    <row r="95" spans="2:68" ht="13.2" customHeight="1">
      <c r="B95" s="172" t="s">
        <v>2228</v>
      </c>
      <c r="H95" s="607"/>
      <c r="I95" s="575"/>
      <c r="J95" s="575"/>
      <c r="K95" s="575"/>
      <c r="L95" s="575"/>
      <c r="O95" s="136">
        <f>ROW()</f>
        <v>95</v>
      </c>
    </row>
    <row r="96" spans="2:68" ht="13.2" customHeight="1">
      <c r="B96" s="281" t="s">
        <v>518</v>
      </c>
      <c r="H96" s="6"/>
      <c r="I96" s="23">
        <f>'Motor Vs'!I96</f>
        <v>0.14285714285714285</v>
      </c>
      <c r="J96" s="23">
        <f>'Motor Vs'!J96</f>
        <v>0.14285714285714285</v>
      </c>
      <c r="K96" s="23">
        <f>'Motor Vs'!K96</f>
        <v>0</v>
      </c>
      <c r="L96" s="598" t="s">
        <v>2213</v>
      </c>
      <c r="M96" s="23">
        <f>'Motor Vs'!M96</f>
        <v>0.2</v>
      </c>
      <c r="N96" s="23">
        <f>'Motor Vs'!N96</f>
        <v>0.5</v>
      </c>
      <c r="O96" s="136">
        <f>ROW()</f>
        <v>96</v>
      </c>
    </row>
    <row r="97" spans="2:43" ht="13.2" customHeight="1">
      <c r="B97" s="215" t="s">
        <v>5489</v>
      </c>
      <c r="H97" s="6"/>
      <c r="I97" s="23"/>
      <c r="J97" s="23"/>
      <c r="K97" s="23"/>
      <c r="L97" s="598"/>
      <c r="M97" s="23"/>
      <c r="N97" s="23"/>
      <c r="O97" s="136">
        <f>ROW()</f>
        <v>97</v>
      </c>
    </row>
    <row r="98" spans="2:43" ht="13.2" customHeight="1">
      <c r="B98" s="281" t="s">
        <v>2446</v>
      </c>
      <c r="H98" s="607">
        <f>SUM(I98:N98)</f>
        <v>1371991.4432234429</v>
      </c>
      <c r="I98" s="575">
        <f>I$96*I91</f>
        <v>39572.142857142848</v>
      </c>
      <c r="J98" s="575">
        <f>J$96*J91</f>
        <v>118716.42857142854</v>
      </c>
      <c r="K98" s="575">
        <f>K$96*K91</f>
        <v>0</v>
      </c>
      <c r="L98" s="575">
        <f>Taxis!N368</f>
        <v>1187061.5384615383</v>
      </c>
      <c r="M98" s="575">
        <f>M$96*M91</f>
        <v>15227.999999999998</v>
      </c>
      <c r="N98" s="575">
        <f>N$96*N91</f>
        <v>11413.333333333334</v>
      </c>
      <c r="O98" s="136">
        <f>ROW()</f>
        <v>98</v>
      </c>
    </row>
    <row r="99" spans="2:43" ht="13.2" customHeight="1">
      <c r="B99" s="215" t="str">
        <f>CONCATENATE("Products of percentages in row ",O96, " and miles in row ",O91, ", except taxi figure is from Taxis worksheet, Row ",Taxis!O368, ".")</f>
        <v>Products of percentages in row 96 and miles in row 91, except taxi figure is from Taxis worksheet, Row 368.</v>
      </c>
      <c r="H99" s="607"/>
      <c r="I99" s="575"/>
      <c r="J99" s="575"/>
      <c r="K99" s="575"/>
      <c r="L99" s="575"/>
      <c r="M99" s="575"/>
      <c r="N99" s="575"/>
      <c r="O99" s="136">
        <f>ROW()</f>
        <v>99</v>
      </c>
    </row>
    <row r="100" spans="2:43" ht="13.2" customHeight="1">
      <c r="B100" s="281"/>
      <c r="H100" s="607"/>
      <c r="I100" s="575"/>
      <c r="J100" s="575"/>
      <c r="L100" s="575"/>
      <c r="M100" s="575"/>
      <c r="O100" s="136">
        <f>ROW()</f>
        <v>100</v>
      </c>
    </row>
    <row r="101" spans="2:43" ht="13.2" customHeight="1">
      <c r="B101" s="6" t="s">
        <v>2468</v>
      </c>
      <c r="E101" s="7" t="str">
        <f>CONCATENATE("(sum of VMT's in rows ",O91," and ",O98,")")</f>
        <v>(sum of VMT's in rows 91 and 98)</v>
      </c>
      <c r="H101" s="607">
        <f>SUM(I101:N101)</f>
        <v>3169918.1098901099</v>
      </c>
      <c r="I101" s="575">
        <f t="shared" ref="I101:N101" si="5">I91+I98</f>
        <v>316577.14285714278</v>
      </c>
      <c r="J101" s="575">
        <f t="shared" si="5"/>
        <v>949731.42857142829</v>
      </c>
      <c r="K101" s="575">
        <f t="shared" si="5"/>
        <v>363440.00000000017</v>
      </c>
      <c r="L101" s="575">
        <f t="shared" si="5"/>
        <v>1414561.5384615383</v>
      </c>
      <c r="M101" s="575">
        <f t="shared" si="5"/>
        <v>91367.999999999985</v>
      </c>
      <c r="N101" s="575">
        <f t="shared" si="5"/>
        <v>34240</v>
      </c>
      <c r="O101" s="136">
        <f>ROW()</f>
        <v>101</v>
      </c>
    </row>
    <row r="102" spans="2:43" ht="13.2" customHeight="1">
      <c r="B102" s="281" t="s">
        <v>2123</v>
      </c>
      <c r="H102" s="53">
        <f>SUM(I102:N102)</f>
        <v>0.99999999999999989</v>
      </c>
      <c r="I102" s="927">
        <f t="shared" ref="I102:N102" si="6">I101/$H$101</f>
        <v>9.9869186484479067E-2</v>
      </c>
      <c r="J102" s="927">
        <f t="shared" si="6"/>
        <v>0.2996075594534372</v>
      </c>
      <c r="K102" s="927">
        <f t="shared" si="6"/>
        <v>0.11465280407909319</v>
      </c>
      <c r="L102" s="928">
        <f t="shared" si="6"/>
        <v>0.44624545159325146</v>
      </c>
      <c r="M102" s="927">
        <f t="shared" si="6"/>
        <v>2.8823457525584913E-2</v>
      </c>
      <c r="N102" s="927">
        <f t="shared" si="6"/>
        <v>1.0801540864154054E-2</v>
      </c>
      <c r="O102" s="136">
        <f>ROW()</f>
        <v>102</v>
      </c>
    </row>
    <row r="103" spans="2:43" ht="13.2" customHeight="1">
      <c r="B103" s="1039" t="s">
        <v>2124</v>
      </c>
      <c r="C103" s="1040"/>
      <c r="D103" s="1040"/>
      <c r="E103" s="1040"/>
      <c r="F103" s="1040"/>
      <c r="G103" s="1041">
        <f>H101/'Motor Vs'!H101</f>
        <v>0.92307964194397218</v>
      </c>
      <c r="I103" s="265"/>
      <c r="J103" s="265"/>
      <c r="K103" s="265"/>
      <c r="L103" s="265"/>
      <c r="M103" s="265"/>
      <c r="N103" s="265"/>
      <c r="O103" s="136">
        <f>ROW()</f>
        <v>103</v>
      </c>
    </row>
    <row r="104" spans="2:43" ht="13.2" customHeight="1">
      <c r="B104" s="3785" t="str">
        <f>CONCATENATE("Note: Figure above is close to ",ROUND(Weekends!L21,2), " ratio of weekend/weekday entries from 'Weekends' tab, Row ",Weekends!X21, ", and applied here, in Row ",O27, ", to prorate motor vehicle entries from weekday figure. Difference is mathematically attributable to lesser use of medallion taxicabs.")</f>
        <v>Note: Figure above is close to 0.85 ratio of weekend/weekday entries from 'Weekends' tab, Row 21, and applied here, in Row 27, to prorate motor vehicle entries from weekday figure. Difference is mathematically attributable to lesser use of medallion taxicabs.</v>
      </c>
      <c r="C104" s="3786"/>
      <c r="D104" s="3786"/>
      <c r="E104" s="3786"/>
      <c r="F104" s="3786"/>
      <c r="G104" s="3786"/>
      <c r="H104" s="3786"/>
      <c r="I104" s="3786"/>
      <c r="J104" s="3786"/>
      <c r="K104" s="3786"/>
      <c r="L104" s="3786"/>
      <c r="M104" s="265"/>
      <c r="N104" s="265"/>
      <c r="O104" s="136">
        <f>ROW()</f>
        <v>104</v>
      </c>
    </row>
    <row r="105" spans="2:43" ht="13.2" customHeight="1">
      <c r="B105" s="3786"/>
      <c r="C105" s="3786"/>
      <c r="D105" s="3786"/>
      <c r="E105" s="3786"/>
      <c r="F105" s="3786"/>
      <c r="G105" s="3786"/>
      <c r="H105" s="3786"/>
      <c r="I105" s="3786"/>
      <c r="J105" s="3786"/>
      <c r="K105" s="3786"/>
      <c r="L105" s="3786"/>
      <c r="M105" s="265"/>
      <c r="N105" s="265"/>
      <c r="O105" s="136">
        <f>ROW()</f>
        <v>105</v>
      </c>
    </row>
    <row r="106" spans="2:43" ht="13.2" customHeight="1">
      <c r="B106" s="810"/>
      <c r="O106" s="136">
        <f>ROW()</f>
        <v>106</v>
      </c>
    </row>
    <row r="107" spans="2:43" ht="13.2" customHeight="1">
      <c r="B107" s="6"/>
      <c r="H107" s="575"/>
      <c r="O107" s="136">
        <f>ROW()</f>
        <v>107</v>
      </c>
    </row>
    <row r="108" spans="2:43" ht="13.2" customHeight="1">
      <c r="B108" s="6"/>
      <c r="H108" s="575"/>
      <c r="O108" s="136">
        <f>ROW()</f>
        <v>108</v>
      </c>
    </row>
    <row r="109" spans="2:43" ht="13.2" customHeight="1">
      <c r="B109" s="24" t="s">
        <v>2229</v>
      </c>
      <c r="H109" s="575"/>
      <c r="O109" s="136">
        <f>ROW()</f>
        <v>109</v>
      </c>
    </row>
    <row r="110" spans="2:43" ht="13.2" customHeight="1">
      <c r="O110" s="136">
        <f>ROW()</f>
        <v>110</v>
      </c>
    </row>
    <row r="111" spans="2:43" ht="13.2" customHeight="1">
      <c r="B111" t="s">
        <v>1510</v>
      </c>
      <c r="O111" s="136">
        <f>ROW()</f>
        <v>111</v>
      </c>
      <c r="AQ111" s="43"/>
    </row>
    <row r="112" spans="2:43" ht="13.2" customHeight="1">
      <c r="O112" s="136">
        <f>ROW()</f>
        <v>112</v>
      </c>
    </row>
    <row r="113" spans="2:68" ht="13.2" customHeight="1">
      <c r="G113" s="4147" t="s">
        <v>459</v>
      </c>
      <c r="H113" s="4147"/>
      <c r="I113" s="4147"/>
      <c r="J113" s="4147"/>
      <c r="K113" s="4147"/>
      <c r="L113" s="4147"/>
      <c r="M113" s="4147"/>
      <c r="N113" s="4147"/>
      <c r="O113" s="136">
        <f>ROW()</f>
        <v>113</v>
      </c>
      <c r="P113" s="4147" t="s">
        <v>2680</v>
      </c>
      <c r="Q113" s="4147"/>
      <c r="R113" s="4147"/>
      <c r="S113" s="4147"/>
      <c r="T113" s="4147"/>
      <c r="U113" s="4147"/>
      <c r="V113" s="4147"/>
      <c r="W113" s="4147"/>
      <c r="Y113" s="4147" t="s">
        <v>2681</v>
      </c>
      <c r="Z113" s="4147"/>
      <c r="AA113" s="4147"/>
      <c r="AB113" s="4147"/>
      <c r="AC113" s="4147"/>
      <c r="AD113" s="4147"/>
      <c r="AE113" s="4147"/>
      <c r="AF113" s="4147"/>
      <c r="AH113" s="4263" t="s">
        <v>5482</v>
      </c>
      <c r="AI113" s="4264"/>
      <c r="AJ113" s="4264"/>
      <c r="AK113" s="4264"/>
      <c r="AL113" s="4264"/>
      <c r="AM113" s="4264"/>
      <c r="AN113" s="4264"/>
      <c r="AO113" s="4264"/>
      <c r="AQ113" s="4147" t="s">
        <v>713</v>
      </c>
      <c r="AR113" s="4147"/>
      <c r="AS113" s="4147"/>
      <c r="AT113" s="4147"/>
      <c r="AU113" s="4147"/>
      <c r="AV113" s="4147"/>
      <c r="AW113" s="4147"/>
      <c r="AX113" s="4147"/>
      <c r="AZ113" s="4147" t="s">
        <v>460</v>
      </c>
      <c r="BA113" s="4147"/>
      <c r="BB113" s="4147"/>
      <c r="BC113" s="4147"/>
      <c r="BD113" s="4147"/>
      <c r="BE113" s="4147"/>
      <c r="BF113" s="4147"/>
      <c r="BG113" s="4147"/>
      <c r="BI113" s="4147" t="s">
        <v>849</v>
      </c>
      <c r="BJ113" s="4147"/>
      <c r="BK113" s="4147"/>
      <c r="BL113" s="4147"/>
      <c r="BM113" s="4147"/>
      <c r="BN113" s="4147"/>
      <c r="BO113" s="4147"/>
      <c r="BP113" s="4147"/>
    </row>
    <row r="114" spans="2:68" ht="13.2" customHeight="1">
      <c r="B114" s="4305" t="s">
        <v>906</v>
      </c>
      <c r="C114" s="3678"/>
      <c r="D114" s="3678"/>
      <c r="E114" s="3679"/>
      <c r="O114" s="136">
        <f>ROW()</f>
        <v>114</v>
      </c>
    </row>
    <row r="115" spans="2:68" ht="13.2" customHeight="1">
      <c r="B115" s="3680"/>
      <c r="C115" s="3681"/>
      <c r="D115" s="3681"/>
      <c r="E115" s="3682"/>
      <c r="G115" s="948" t="s">
        <v>1472</v>
      </c>
      <c r="H115" s="948" t="s">
        <v>985</v>
      </c>
      <c r="I115" s="948" t="s">
        <v>987</v>
      </c>
      <c r="J115" s="948" t="s">
        <v>1367</v>
      </c>
      <c r="K115" s="948" t="s">
        <v>988</v>
      </c>
      <c r="L115" s="948" t="s">
        <v>986</v>
      </c>
      <c r="M115" s="948" t="s">
        <v>1638</v>
      </c>
      <c r="N115" s="948" t="s">
        <v>2684</v>
      </c>
      <c r="O115" s="136">
        <f>ROW()</f>
        <v>115</v>
      </c>
      <c r="P115" s="880" t="s">
        <v>1472</v>
      </c>
      <c r="Q115" s="880" t="s">
        <v>985</v>
      </c>
      <c r="R115" s="880" t="s">
        <v>987</v>
      </c>
      <c r="S115" s="880" t="s">
        <v>1367</v>
      </c>
      <c r="T115" s="880" t="s">
        <v>988</v>
      </c>
      <c r="U115" s="880" t="s">
        <v>986</v>
      </c>
      <c r="V115" s="880" t="s">
        <v>1638</v>
      </c>
      <c r="W115" s="880" t="s">
        <v>2684</v>
      </c>
      <c r="Y115" s="880" t="s">
        <v>1472</v>
      </c>
      <c r="Z115" s="880" t="s">
        <v>985</v>
      </c>
      <c r="AA115" s="880" t="s">
        <v>987</v>
      </c>
      <c r="AB115" s="880" t="s">
        <v>1367</v>
      </c>
      <c r="AC115" s="880" t="s">
        <v>988</v>
      </c>
      <c r="AD115" s="880" t="s">
        <v>986</v>
      </c>
      <c r="AE115" s="880" t="s">
        <v>1638</v>
      </c>
      <c r="AF115" s="159" t="s">
        <v>2684</v>
      </c>
      <c r="AH115" s="880" t="s">
        <v>1472</v>
      </c>
      <c r="AI115" s="880" t="s">
        <v>985</v>
      </c>
      <c r="AJ115" s="880" t="s">
        <v>987</v>
      </c>
      <c r="AK115" s="880" t="s">
        <v>1367</v>
      </c>
      <c r="AL115" s="880" t="s">
        <v>988</v>
      </c>
      <c r="AM115" s="880" t="s">
        <v>986</v>
      </c>
      <c r="AN115" s="880" t="s">
        <v>1638</v>
      </c>
      <c r="AO115" s="159" t="s">
        <v>2684</v>
      </c>
      <c r="AQ115" s="880" t="s">
        <v>1472</v>
      </c>
      <c r="AR115" s="880" t="s">
        <v>985</v>
      </c>
      <c r="AS115" s="880" t="s">
        <v>987</v>
      </c>
      <c r="AT115" s="880" t="s">
        <v>1367</v>
      </c>
      <c r="AU115" s="880" t="s">
        <v>988</v>
      </c>
      <c r="AV115" s="880" t="s">
        <v>986</v>
      </c>
      <c r="AW115" s="880" t="s">
        <v>1638</v>
      </c>
      <c r="AX115" s="159" t="s">
        <v>2684</v>
      </c>
      <c r="AZ115" s="880" t="s">
        <v>1472</v>
      </c>
      <c r="BA115" s="880" t="s">
        <v>985</v>
      </c>
      <c r="BB115" s="880" t="s">
        <v>987</v>
      </c>
      <c r="BC115" s="880" t="s">
        <v>1367</v>
      </c>
      <c r="BD115" s="880" t="s">
        <v>988</v>
      </c>
      <c r="BE115" s="880" t="s">
        <v>986</v>
      </c>
      <c r="BF115" s="880" t="s">
        <v>1638</v>
      </c>
      <c r="BG115" s="159" t="s">
        <v>2684</v>
      </c>
      <c r="BI115" s="880" t="s">
        <v>1472</v>
      </c>
      <c r="BJ115" s="880" t="s">
        <v>985</v>
      </c>
      <c r="BK115" s="880" t="s">
        <v>987</v>
      </c>
      <c r="BL115" s="880" t="s">
        <v>1367</v>
      </c>
      <c r="BM115" s="880" t="s">
        <v>988</v>
      </c>
      <c r="BN115" s="880" t="s">
        <v>986</v>
      </c>
      <c r="BO115" s="880" t="s">
        <v>1638</v>
      </c>
      <c r="BP115" s="159" t="s">
        <v>2684</v>
      </c>
    </row>
    <row r="116" spans="2:68" s="7" customFormat="1" ht="13.2" customHeight="1">
      <c r="B116" s="3683"/>
      <c r="C116" s="3684"/>
      <c r="D116" s="3684"/>
      <c r="E116" s="3685"/>
      <c r="G116" s="298" t="s">
        <v>1918</v>
      </c>
      <c r="H116" s="298" t="s">
        <v>1838</v>
      </c>
      <c r="I116" s="298" t="s">
        <v>1839</v>
      </c>
      <c r="J116" s="298" t="s">
        <v>1840</v>
      </c>
      <c r="K116" s="298" t="s">
        <v>1841</v>
      </c>
      <c r="L116" s="298" t="s">
        <v>1917</v>
      </c>
      <c r="M116" s="298"/>
      <c r="N116" s="298"/>
      <c r="O116" s="136">
        <f>ROW()</f>
        <v>116</v>
      </c>
      <c r="P116" s="298" t="s">
        <v>989</v>
      </c>
      <c r="Q116" s="298" t="s">
        <v>990</v>
      </c>
      <c r="R116" s="298" t="s">
        <v>991</v>
      </c>
      <c r="S116" s="298" t="s">
        <v>992</v>
      </c>
      <c r="T116" s="298" t="s">
        <v>993</v>
      </c>
      <c r="U116" s="298" t="s">
        <v>994</v>
      </c>
      <c r="V116" s="298"/>
      <c r="W116" s="298"/>
      <c r="Y116" s="298" t="s">
        <v>989</v>
      </c>
      <c r="Z116" s="298" t="s">
        <v>990</v>
      </c>
      <c r="AA116" s="298" t="s">
        <v>991</v>
      </c>
      <c r="AB116" s="298" t="s">
        <v>992</v>
      </c>
      <c r="AC116" s="298" t="s">
        <v>993</v>
      </c>
      <c r="AD116" s="298" t="s">
        <v>994</v>
      </c>
      <c r="AE116" s="298"/>
      <c r="AF116" s="298"/>
      <c r="AH116" s="298" t="s">
        <v>989</v>
      </c>
      <c r="AI116" s="298" t="s">
        <v>990</v>
      </c>
      <c r="AJ116" s="298" t="s">
        <v>991</v>
      </c>
      <c r="AK116" s="298" t="s">
        <v>992</v>
      </c>
      <c r="AL116" s="298" t="s">
        <v>993</v>
      </c>
      <c r="AM116" s="298" t="s">
        <v>994</v>
      </c>
      <c r="AN116" s="298"/>
      <c r="AO116" s="298"/>
      <c r="AQ116" s="298" t="s">
        <v>989</v>
      </c>
      <c r="AR116" s="298" t="s">
        <v>990</v>
      </c>
      <c r="AS116" s="298" t="s">
        <v>991</v>
      </c>
      <c r="AT116" s="298" t="s">
        <v>992</v>
      </c>
      <c r="AU116" s="298" t="s">
        <v>993</v>
      </c>
      <c r="AV116" s="298" t="s">
        <v>994</v>
      </c>
      <c r="AW116" s="298"/>
      <c r="AX116" s="298"/>
      <c r="AZ116" s="298" t="s">
        <v>989</v>
      </c>
      <c r="BA116" s="298" t="s">
        <v>990</v>
      </c>
      <c r="BB116" s="298" t="s">
        <v>991</v>
      </c>
      <c r="BC116" s="298" t="s">
        <v>992</v>
      </c>
      <c r="BD116" s="298" t="s">
        <v>993</v>
      </c>
      <c r="BE116" s="298" t="s">
        <v>994</v>
      </c>
      <c r="BF116" s="298"/>
      <c r="BG116" s="298"/>
      <c r="BI116" s="298" t="s">
        <v>989</v>
      </c>
      <c r="BJ116" s="298" t="s">
        <v>990</v>
      </c>
      <c r="BK116" s="298" t="s">
        <v>991</v>
      </c>
      <c r="BL116" s="298" t="s">
        <v>992</v>
      </c>
      <c r="BM116" s="298" t="s">
        <v>993</v>
      </c>
      <c r="BN116" s="298" t="s">
        <v>994</v>
      </c>
      <c r="BO116" s="298"/>
      <c r="BP116" s="298"/>
    </row>
    <row r="117" spans="2:68" ht="13.2" customHeight="1">
      <c r="O117" s="136">
        <f>ROW()</f>
        <v>117</v>
      </c>
    </row>
    <row r="118" spans="2:68" ht="13.2" customHeight="1">
      <c r="B118" s="6" t="s">
        <v>2677</v>
      </c>
      <c r="G118">
        <v>10</v>
      </c>
      <c r="H118">
        <v>2</v>
      </c>
      <c r="I118">
        <v>5</v>
      </c>
      <c r="J118">
        <v>3</v>
      </c>
      <c r="K118">
        <v>2</v>
      </c>
      <c r="L118">
        <v>2</v>
      </c>
      <c r="M118">
        <v>0</v>
      </c>
      <c r="N118" s="34">
        <f>SUM(G118:M118)</f>
        <v>24</v>
      </c>
      <c r="O118" s="136">
        <f>ROW()</f>
        <v>118</v>
      </c>
      <c r="P118">
        <v>10</v>
      </c>
      <c r="Q118">
        <v>2</v>
      </c>
      <c r="R118">
        <v>5</v>
      </c>
      <c r="S118">
        <v>3</v>
      </c>
      <c r="T118">
        <v>2</v>
      </c>
      <c r="U118">
        <v>2</v>
      </c>
      <c r="V118">
        <v>0</v>
      </c>
      <c r="W118">
        <f>SUM(P118:V118)</f>
        <v>24</v>
      </c>
      <c r="Y118">
        <v>10</v>
      </c>
      <c r="Z118">
        <v>2</v>
      </c>
      <c r="AA118">
        <v>5</v>
      </c>
      <c r="AB118">
        <v>3</v>
      </c>
      <c r="AC118">
        <v>2</v>
      </c>
      <c r="AD118">
        <v>2</v>
      </c>
      <c r="AE118">
        <v>0</v>
      </c>
      <c r="AF118">
        <f>SUM(Y118:AE118)</f>
        <v>24</v>
      </c>
      <c r="AH118">
        <v>10</v>
      </c>
      <c r="AI118">
        <v>2</v>
      </c>
      <c r="AJ118">
        <v>5</v>
      </c>
      <c r="AK118">
        <v>3</v>
      </c>
      <c r="AL118">
        <v>2</v>
      </c>
      <c r="AM118">
        <v>2</v>
      </c>
      <c r="AN118">
        <v>0</v>
      </c>
      <c r="AO118">
        <f>SUM(AH118:AN118)</f>
        <v>24</v>
      </c>
      <c r="AQ118">
        <v>10</v>
      </c>
      <c r="AR118">
        <v>2</v>
      </c>
      <c r="AS118">
        <v>5</v>
      </c>
      <c r="AT118">
        <v>3</v>
      </c>
      <c r="AU118">
        <v>2</v>
      </c>
      <c r="AV118">
        <v>2</v>
      </c>
      <c r="AW118">
        <v>0</v>
      </c>
      <c r="AX118">
        <f>SUM(AQ118:AW118)</f>
        <v>24</v>
      </c>
      <c r="AZ118">
        <v>10</v>
      </c>
      <c r="BA118">
        <v>2</v>
      </c>
      <c r="BB118">
        <v>5</v>
      </c>
      <c r="BC118">
        <v>3</v>
      </c>
      <c r="BD118">
        <v>2</v>
      </c>
      <c r="BE118">
        <v>2</v>
      </c>
      <c r="BF118">
        <v>0</v>
      </c>
      <c r="BG118">
        <f>SUM(AZ118:BF118)</f>
        <v>24</v>
      </c>
      <c r="BI118">
        <v>10</v>
      </c>
      <c r="BJ118">
        <v>2</v>
      </c>
      <c r="BK118">
        <v>5</v>
      </c>
      <c r="BL118">
        <v>3</v>
      </c>
      <c r="BM118">
        <v>2</v>
      </c>
      <c r="BN118">
        <v>2</v>
      </c>
      <c r="BP118">
        <f>SUM(BI118:BO118)</f>
        <v>24</v>
      </c>
    </row>
    <row r="119" spans="2:68" ht="13.2" customHeight="1">
      <c r="B119" s="282" t="s">
        <v>327</v>
      </c>
      <c r="M119" s="4371" t="s">
        <v>5490</v>
      </c>
      <c r="N119" s="4371"/>
      <c r="O119" s="136">
        <f>ROW()</f>
        <v>119</v>
      </c>
    </row>
    <row r="120" spans="2:68" ht="13.2" customHeight="1">
      <c r="B120" s="282"/>
      <c r="M120" s="4371"/>
      <c r="N120" s="4371"/>
      <c r="O120" s="136">
        <f>ROW()</f>
        <v>120</v>
      </c>
      <c r="P120" s="4147" t="s">
        <v>1599</v>
      </c>
      <c r="Q120" s="4147"/>
      <c r="R120" s="4147"/>
      <c r="S120" s="4147"/>
      <c r="T120" s="4147"/>
      <c r="U120" s="4147"/>
      <c r="V120" s="4147"/>
      <c r="W120" s="4147"/>
      <c r="Y120" s="4147" t="s">
        <v>1600</v>
      </c>
      <c r="Z120" s="4147"/>
      <c r="AA120" s="4147"/>
      <c r="AB120" s="4147"/>
      <c r="AC120" s="4147"/>
      <c r="AD120" s="4147"/>
      <c r="AE120" s="4147"/>
      <c r="AF120" s="4147"/>
      <c r="AH120" s="4147" t="s">
        <v>1408</v>
      </c>
      <c r="AI120" s="4147"/>
      <c r="AJ120" s="4147"/>
      <c r="AK120" s="4147"/>
      <c r="AL120" s="4147"/>
      <c r="AM120" s="4147"/>
      <c r="AN120" s="4147"/>
      <c r="AO120" s="4147"/>
      <c r="AQ120" s="4147" t="s">
        <v>372</v>
      </c>
      <c r="AR120" s="4147"/>
      <c r="AS120" s="4147"/>
      <c r="AT120" s="4147"/>
      <c r="AU120" s="4147"/>
      <c r="AV120" s="4147"/>
      <c r="AW120" s="4147"/>
      <c r="AX120" s="4147"/>
      <c r="AZ120" s="6" t="s">
        <v>2255</v>
      </c>
      <c r="BI120" s="6" t="s">
        <v>2255</v>
      </c>
    </row>
    <row r="121" spans="2:68" ht="13.2" customHeight="1">
      <c r="B121" s="172" t="s">
        <v>1268</v>
      </c>
      <c r="M121" s="4371"/>
      <c r="N121" s="4371"/>
      <c r="O121" s="136">
        <f>ROW()</f>
        <v>121</v>
      </c>
    </row>
    <row r="122" spans="2:68" ht="13.2" customHeight="1">
      <c r="B122" s="281" t="s">
        <v>664</v>
      </c>
      <c r="G122" s="575">
        <f t="shared" ref="G122:L122" si="7">P122+Y122+AH122+AQ122+AZ122+BI122</f>
        <v>138094.94622810269</v>
      </c>
      <c r="H122" s="575">
        <f t="shared" si="7"/>
        <v>53594.813024996743</v>
      </c>
      <c r="I122" s="575">
        <f t="shared" si="7"/>
        <v>168482.99354880312</v>
      </c>
      <c r="J122" s="575">
        <f t="shared" si="7"/>
        <v>108615.6084364071</v>
      </c>
      <c r="K122" s="575">
        <f t="shared" si="7"/>
        <v>64122.891767235844</v>
      </c>
      <c r="L122" s="575">
        <f t="shared" si="7"/>
        <v>49625.413661121056</v>
      </c>
      <c r="N122" s="617">
        <f>SUM(G122:M122)</f>
        <v>582536.66666666663</v>
      </c>
      <c r="O122" s="136">
        <f>ROW()</f>
        <v>122</v>
      </c>
      <c r="P122" s="10">
        <f>$I$76*(SUM('Weekend Hours'!T31:T40))</f>
        <v>28522.13209248865</v>
      </c>
      <c r="Q122" s="10">
        <f>$I$76*(SUM('Weekend Hours'!T41:T42))</f>
        <v>10217.017014387875</v>
      </c>
      <c r="R122" s="10">
        <f>$I$76*SUM('Weekend Hours'!T43:T47)</f>
        <v>26757.609886307222</v>
      </c>
      <c r="S122" s="10">
        <f>$I$76*SUM('Weekend Hours'!T48:T50)</f>
        <v>10349.37255152519</v>
      </c>
      <c r="T122" s="10">
        <f>$I$76*SUM('Weekend Hours'!T51:T52)</f>
        <v>10183.670687169997</v>
      </c>
      <c r="U122" s="10">
        <f>$I$76*SUM('Weekend Hours'!T53:T54)</f>
        <v>6305.1977681210501</v>
      </c>
      <c r="V122" s="10"/>
      <c r="W122" s="10">
        <f>SUM(P122:V122)</f>
        <v>92334.999999999985</v>
      </c>
      <c r="Y122" s="10">
        <f>$J$76*(SUM('Weekend Hours'!U31:U40))</f>
        <v>49937.245707653819</v>
      </c>
      <c r="Z122" s="10">
        <f>$J$76*(SUM('Weekend Hours'!U41:U42))</f>
        <v>21425.205704382835</v>
      </c>
      <c r="AA122" s="10">
        <f>$J$76*SUM('Weekend Hours'!U43:U47)</f>
        <v>83953.025060198139</v>
      </c>
      <c r="AB122" s="10">
        <f>$J$76*SUM('Weekend Hours'!U48:U50)</f>
        <v>63434.592652564301</v>
      </c>
      <c r="AC122" s="10">
        <f>$J$76*SUM('Weekend Hours'!U51:U52)</f>
        <v>31951.656520797649</v>
      </c>
      <c r="AD122" s="10">
        <f>$J$76*SUM('Weekend Hours'!U53:U54)</f>
        <v>26303.274354403158</v>
      </c>
      <c r="AE122" s="10"/>
      <c r="AF122" s="10">
        <f>SUM(Y122:AE122)</f>
        <v>277004.99999999988</v>
      </c>
      <c r="AH122" s="10">
        <f>$K$76*(SUM('Weekend Hours'!V31:V40))</f>
        <v>39860.250636171477</v>
      </c>
      <c r="AI122" s="10">
        <f>$K$76*(SUM('Weekend Hours'!V41:V42))</f>
        <v>14278.485830825384</v>
      </c>
      <c r="AJ122" s="10">
        <f>$K$76*SUM('Weekend Hours'!V43:V47)</f>
        <v>33654.865973241489</v>
      </c>
      <c r="AK122" s="10">
        <f>$K$76*SUM('Weekend Hours'!V48:V50)</f>
        <v>19284.607125124319</v>
      </c>
      <c r="AL122" s="10">
        <f>$K$76*SUM('Weekend Hours'!V51:V52)</f>
        <v>12808.695303825358</v>
      </c>
      <c r="AM122" s="10">
        <f>$K$76*SUM('Weekend Hours'!V53:V54)</f>
        <v>9913.0951308119984</v>
      </c>
      <c r="AN122" s="10"/>
      <c r="AO122" s="10">
        <f>SUM(AH122:AN122)</f>
        <v>129800.00000000001</v>
      </c>
      <c r="AQ122" s="1122">
        <f>$L$76*(SUM('Weekend Hours'!D31:D40))</f>
        <v>15413.033971776687</v>
      </c>
      <c r="AR122" s="1122">
        <f>$L$76*(SUM('Weekend Hours'!D41:D42))</f>
        <v>5981.2557364528075</v>
      </c>
      <c r="AS122" s="1122">
        <f>$L$76*SUM('Weekend Hours'!D43:D47)</f>
        <v>18797.358258387518</v>
      </c>
      <c r="AT122" s="1122">
        <f>$L$76*SUM('Weekend Hours'!D48:D50)</f>
        <v>12117.478879662214</v>
      </c>
      <c r="AU122" s="1122">
        <f>$L$76*SUM('Weekend Hours'!D51:D52)</f>
        <v>7154.0809177479296</v>
      </c>
      <c r="AV122" s="1122">
        <f>$L$76*SUM('Weekend Hours'!D53:D54)</f>
        <v>5536.7922359728418</v>
      </c>
      <c r="AX122" s="10">
        <f>SUM(AQ122:AW122)</f>
        <v>65000</v>
      </c>
      <c r="AZ122" s="10">
        <f>$M$76*(SUM('Weekend Hours'!D31:D40))</f>
        <v>3009.0984784899406</v>
      </c>
      <c r="BA122" s="10">
        <f>$M$76*(SUM('Weekend Hours'!D41:D42))</f>
        <v>1167.7251583936327</v>
      </c>
      <c r="BB122" s="10">
        <f>$M$76*SUM('Weekend Hours'!D43:D47)</f>
        <v>3669.8227122913472</v>
      </c>
      <c r="BC122" s="10">
        <f>$M$76*SUM('Weekend Hours'!D48:D50)</f>
        <v>2365.7047228140536</v>
      </c>
      <c r="BD122" s="10">
        <f>$M$76*SUM('Weekend Hours'!D51:D52)</f>
        <v>1396.6967207110956</v>
      </c>
      <c r="BE122" s="10">
        <f>$M$76*SUM('Weekend Hours'!D53:D54)</f>
        <v>1080.9522072999284</v>
      </c>
      <c r="BF122" s="10"/>
      <c r="BG122" s="10">
        <f>SUM(AZ122:BF122)</f>
        <v>12689.999999999998</v>
      </c>
      <c r="BI122" s="10">
        <f>$N$76*(SUM('Weekend Hours'!D31:D40))</f>
        <v>1353.1853415221378</v>
      </c>
      <c r="BJ122" s="10">
        <f>$N$76*(SUM('Weekend Hours'!D41:D42))</f>
        <v>525.12358055421578</v>
      </c>
      <c r="BK122" s="10">
        <f>$N$76*SUM('Weekend Hours'!D43:D47)</f>
        <v>1650.3116583774067</v>
      </c>
      <c r="BL122" s="10">
        <f>$N$76*SUM('Weekend Hours'!D48:D50)</f>
        <v>1063.8525047170108</v>
      </c>
      <c r="BM122" s="10">
        <f>$N$76*SUM('Weekend Hours'!D51:D52)</f>
        <v>628.09161698381831</v>
      </c>
      <c r="BN122" s="10">
        <f>$N$76*SUM('Weekend Hours'!D53:D54)</f>
        <v>486.10196451207725</v>
      </c>
      <c r="BO122" s="10"/>
      <c r="BP122" s="10">
        <f>SUM(BI122:BO122)</f>
        <v>5706.6666666666661</v>
      </c>
    </row>
    <row r="123" spans="2:68" ht="13.2" customHeight="1">
      <c r="B123" s="309" t="s">
        <v>1557</v>
      </c>
      <c r="O123" s="136">
        <f>ROW()</f>
        <v>123</v>
      </c>
      <c r="P123" s="282" t="s">
        <v>771</v>
      </c>
      <c r="Y123" s="282" t="s">
        <v>772</v>
      </c>
      <c r="AH123" s="282" t="s">
        <v>1835</v>
      </c>
      <c r="AQ123" s="282" t="str">
        <f>CONCATENATE("Row ",O122, " period entries by medallion cabs are product of hourly entries in Row ",O125, " and number of hours in period in Row ",O118, ".")</f>
        <v>Row 122 period entries by medallion cabs are product of hourly entries in Row 125 and number of hours in period in Row 118.</v>
      </c>
      <c r="AR123" s="282"/>
      <c r="AS123" s="282"/>
      <c r="AT123" s="282"/>
      <c r="AU123" s="282"/>
      <c r="AV123" s="282"/>
      <c r="AW123" s="282"/>
      <c r="AX123" s="282"/>
      <c r="AZ123" s="282" t="s">
        <v>1762</v>
      </c>
      <c r="BI123" s="282" t="s">
        <v>1763</v>
      </c>
    </row>
    <row r="124" spans="2:68" ht="13.2" customHeight="1">
      <c r="B124" s="281" t="s">
        <v>977</v>
      </c>
      <c r="G124" s="927">
        <f t="shared" ref="G124:L124" si="8">G122/$N$122</f>
        <v>0.23705794695859381</v>
      </c>
      <c r="H124" s="927">
        <f t="shared" si="8"/>
        <v>9.2002471418102569E-2</v>
      </c>
      <c r="I124" s="927">
        <f t="shared" si="8"/>
        <v>0.28922298490304438</v>
      </c>
      <c r="J124" s="927">
        <f t="shared" si="8"/>
        <v>0.18645282718067607</v>
      </c>
      <c r="K124" s="927">
        <f t="shared" si="8"/>
        <v>0.11007528870955621</v>
      </c>
      <c r="L124" s="927">
        <f t="shared" si="8"/>
        <v>8.5188480830026822E-2</v>
      </c>
      <c r="M124" s="927"/>
      <c r="N124" s="927">
        <f>SUM(G124:M124)</f>
        <v>0.99999999999999989</v>
      </c>
      <c r="O124" s="136">
        <f>ROW()</f>
        <v>124</v>
      </c>
      <c r="P124" s="927">
        <f t="shared" ref="P124:V124" si="9">P122/$W122</f>
        <v>0.30889838189731578</v>
      </c>
      <c r="Q124" s="927">
        <f t="shared" si="9"/>
        <v>0.11065161655263851</v>
      </c>
      <c r="R124" s="927">
        <f t="shared" si="9"/>
        <v>0.28978837803982482</v>
      </c>
      <c r="S124" s="927">
        <f t="shared" si="9"/>
        <v>0.1120850441492954</v>
      </c>
      <c r="T124" s="927">
        <f t="shared" si="9"/>
        <v>0.11029047151318568</v>
      </c>
      <c r="U124" s="927">
        <f t="shared" si="9"/>
        <v>6.8286107847739766E-2</v>
      </c>
      <c r="V124" s="927">
        <f t="shared" si="9"/>
        <v>0</v>
      </c>
      <c r="W124" s="927">
        <f>SUM(P124:V124)</f>
        <v>1</v>
      </c>
      <c r="Y124" s="927">
        <f t="shared" ref="Y124:AE124" si="10">Y122/$AF122</f>
        <v>0.18027561129818537</v>
      </c>
      <c r="Z124" s="927">
        <f t="shared" si="10"/>
        <v>7.7345916876528739E-2</v>
      </c>
      <c r="AA124" s="927">
        <f t="shared" si="10"/>
        <v>0.3030740422021197</v>
      </c>
      <c r="AB124" s="927">
        <f t="shared" si="10"/>
        <v>0.22900161604506897</v>
      </c>
      <c r="AC124" s="927">
        <f t="shared" si="10"/>
        <v>0.11534685843503786</v>
      </c>
      <c r="AD124" s="927">
        <f t="shared" si="10"/>
        <v>9.4955955143059406E-2</v>
      </c>
      <c r="AE124" s="927">
        <f t="shared" si="10"/>
        <v>0</v>
      </c>
      <c r="AF124" s="927">
        <f>SUM(Y124:AE124)</f>
        <v>1</v>
      </c>
      <c r="AH124" s="927">
        <f t="shared" ref="AH124:AN124" si="11">AH122/$AO122</f>
        <v>0.30708975836803909</v>
      </c>
      <c r="AI124" s="927">
        <f t="shared" si="11"/>
        <v>0.11000374291853145</v>
      </c>
      <c r="AJ124" s="927">
        <f t="shared" si="11"/>
        <v>0.25928248053344749</v>
      </c>
      <c r="AK124" s="927">
        <f t="shared" si="11"/>
        <v>0.14857170358339228</v>
      </c>
      <c r="AL124" s="927">
        <f t="shared" si="11"/>
        <v>9.8680241169686878E-2</v>
      </c>
      <c r="AM124" s="927">
        <f t="shared" si="11"/>
        <v>7.6372073426902901E-2</v>
      </c>
      <c r="AN124" s="927">
        <f t="shared" si="11"/>
        <v>0</v>
      </c>
      <c r="AO124" s="927">
        <f>SUM(AH124:AN124)</f>
        <v>1.0000000000000002</v>
      </c>
      <c r="AQ124" s="282"/>
      <c r="AR124" s="282"/>
      <c r="AS124" s="282"/>
      <c r="AT124" s="282"/>
      <c r="AU124" s="282"/>
      <c r="AV124" s="282"/>
      <c r="AW124" s="282"/>
      <c r="AX124" s="282"/>
      <c r="AZ124" s="927">
        <f t="shared" ref="AZ124:BE124" si="12">AZ122/$BG122</f>
        <v>0.23712359956579521</v>
      </c>
      <c r="BA124" s="927">
        <f t="shared" si="12"/>
        <v>9.2019319022350901E-2</v>
      </c>
      <c r="BB124" s="927">
        <f t="shared" si="12"/>
        <v>0.28919012705211566</v>
      </c>
      <c r="BC124" s="927">
        <f t="shared" si="12"/>
        <v>0.18642275199480332</v>
      </c>
      <c r="BD124" s="927">
        <f t="shared" si="12"/>
        <v>0.11006278334996815</v>
      </c>
      <c r="BE124" s="927">
        <f t="shared" si="12"/>
        <v>8.5181419014966786E-2</v>
      </c>
      <c r="BF124" s="927"/>
      <c r="BG124" s="927">
        <f>SUM(AZ124:BF124)</f>
        <v>1</v>
      </c>
      <c r="BI124" s="927">
        <f t="shared" ref="BI124:BN124" si="13">BI122/$BP122</f>
        <v>0.23712359956579521</v>
      </c>
      <c r="BJ124" s="927">
        <f t="shared" si="13"/>
        <v>9.2019319022350901E-2</v>
      </c>
      <c r="BK124" s="927">
        <f t="shared" si="13"/>
        <v>0.28919012705211572</v>
      </c>
      <c r="BL124" s="927">
        <f t="shared" si="13"/>
        <v>0.18642275199480332</v>
      </c>
      <c r="BM124" s="927">
        <f t="shared" si="13"/>
        <v>0.11006278334996818</v>
      </c>
      <c r="BN124" s="927">
        <f t="shared" si="13"/>
        <v>8.5181419014966814E-2</v>
      </c>
      <c r="BO124" s="927"/>
      <c r="BP124" s="927">
        <f>SUM(BI124:BO124)</f>
        <v>1.0000000000000002</v>
      </c>
    </row>
    <row r="125" spans="2:68" ht="13.2" customHeight="1">
      <c r="B125" s="281" t="s">
        <v>978</v>
      </c>
      <c r="G125" s="575">
        <f t="shared" ref="G125:L125" si="14">P125+Y125+AH125+AQ125+AZ125+BI125</f>
        <v>13809.494622810271</v>
      </c>
      <c r="H125" s="575">
        <f t="shared" si="14"/>
        <v>26797.406512498372</v>
      </c>
      <c r="I125" s="575">
        <f t="shared" si="14"/>
        <v>33696.598709760619</v>
      </c>
      <c r="J125" s="575">
        <f t="shared" si="14"/>
        <v>36205.202812135693</v>
      </c>
      <c r="K125" s="575">
        <f t="shared" si="14"/>
        <v>32061.445883617922</v>
      </c>
      <c r="L125" s="575">
        <f t="shared" si="14"/>
        <v>24812.706830560528</v>
      </c>
      <c r="N125" s="138"/>
      <c r="O125" s="136">
        <f>ROW()</f>
        <v>125</v>
      </c>
      <c r="P125" s="10">
        <f t="shared" ref="P125:U125" si="15">P122/P$118</f>
        <v>2852.213209248865</v>
      </c>
      <c r="Q125" s="10">
        <f t="shared" si="15"/>
        <v>5108.5085071939375</v>
      </c>
      <c r="R125" s="10">
        <f t="shared" si="15"/>
        <v>5351.5219772614446</v>
      </c>
      <c r="S125" s="10">
        <f t="shared" si="15"/>
        <v>3449.7908505083965</v>
      </c>
      <c r="T125" s="10">
        <f t="shared" si="15"/>
        <v>5091.8353435849986</v>
      </c>
      <c r="U125" s="10">
        <f t="shared" si="15"/>
        <v>3152.5988840605251</v>
      </c>
      <c r="V125" s="10"/>
      <c r="Y125" s="10">
        <f t="shared" ref="Y125:AD125" si="16">Y122/Y$118</f>
        <v>4993.7245707653819</v>
      </c>
      <c r="Z125" s="10">
        <f t="shared" si="16"/>
        <v>10712.602852191418</v>
      </c>
      <c r="AA125" s="10">
        <f t="shared" si="16"/>
        <v>16790.605012039628</v>
      </c>
      <c r="AB125" s="10">
        <f t="shared" si="16"/>
        <v>21144.864217521434</v>
      </c>
      <c r="AC125" s="10">
        <f t="shared" si="16"/>
        <v>15975.828260398825</v>
      </c>
      <c r="AD125" s="10">
        <f t="shared" si="16"/>
        <v>13151.637177201579</v>
      </c>
      <c r="AE125" s="10"/>
      <c r="AH125" s="10">
        <f t="shared" ref="AH125:AM125" si="17">AH122/AH$118</f>
        <v>3986.0250636171477</v>
      </c>
      <c r="AI125" s="10">
        <f t="shared" si="17"/>
        <v>7139.2429154126921</v>
      </c>
      <c r="AJ125" s="10">
        <f t="shared" si="17"/>
        <v>6730.973194648298</v>
      </c>
      <c r="AK125" s="10">
        <f t="shared" si="17"/>
        <v>6428.2023750414401</v>
      </c>
      <c r="AL125" s="10">
        <f t="shared" si="17"/>
        <v>6404.3476519126789</v>
      </c>
      <c r="AM125" s="10">
        <f t="shared" si="17"/>
        <v>4956.5475654059992</v>
      </c>
      <c r="AN125" s="10"/>
      <c r="AQ125" s="10">
        <f t="shared" ref="AQ125:AV125" si="18">AQ122/AQ$118</f>
        <v>1541.3033971776688</v>
      </c>
      <c r="AR125" s="10">
        <f t="shared" si="18"/>
        <v>2990.6278682264037</v>
      </c>
      <c r="AS125" s="10">
        <f t="shared" si="18"/>
        <v>3759.4716516775034</v>
      </c>
      <c r="AT125" s="10">
        <f t="shared" si="18"/>
        <v>4039.1596265540716</v>
      </c>
      <c r="AU125" s="10">
        <f t="shared" si="18"/>
        <v>3577.0404588739648</v>
      </c>
      <c r="AV125" s="10">
        <f t="shared" si="18"/>
        <v>2768.3961179864209</v>
      </c>
      <c r="AW125" s="929"/>
      <c r="AZ125" s="10">
        <f t="shared" ref="AZ125:BE125" si="19">AZ122/AZ$118</f>
        <v>300.90984784899405</v>
      </c>
      <c r="BA125" s="10">
        <f t="shared" si="19"/>
        <v>583.86257919681634</v>
      </c>
      <c r="BB125" s="10">
        <f t="shared" si="19"/>
        <v>733.96454245826942</v>
      </c>
      <c r="BC125" s="10">
        <f t="shared" si="19"/>
        <v>788.56824093801788</v>
      </c>
      <c r="BD125" s="10">
        <f t="shared" si="19"/>
        <v>698.34836035554781</v>
      </c>
      <c r="BE125" s="10">
        <f t="shared" si="19"/>
        <v>540.47610364996422</v>
      </c>
      <c r="BF125" s="10"/>
      <c r="BI125" s="10">
        <f t="shared" ref="BI125:BN125" si="20">BI122/BI$118</f>
        <v>135.31853415221377</v>
      </c>
      <c r="BJ125" s="10">
        <f t="shared" si="20"/>
        <v>262.56179027710789</v>
      </c>
      <c r="BK125" s="10">
        <f t="shared" si="20"/>
        <v>330.06233167548135</v>
      </c>
      <c r="BL125" s="10">
        <f t="shared" si="20"/>
        <v>354.61750157233695</v>
      </c>
      <c r="BM125" s="10">
        <f t="shared" si="20"/>
        <v>314.04580849190916</v>
      </c>
      <c r="BN125" s="10">
        <f t="shared" si="20"/>
        <v>243.05098225603862</v>
      </c>
      <c r="BO125" s="10"/>
    </row>
    <row r="126" spans="2:68" ht="13.2" customHeight="1">
      <c r="B126" s="309" t="str">
        <f>CONCATENATE("Row ",O122, " figures divided by Row ",O118, " figures.")</f>
        <v>Row 122 figures divided by Row 118 figures.</v>
      </c>
      <c r="N126" s="138"/>
      <c r="O126" s="136">
        <f>ROW()</f>
        <v>126</v>
      </c>
      <c r="P126" s="10"/>
      <c r="Q126" s="10"/>
      <c r="R126" s="10"/>
      <c r="S126" s="10"/>
      <c r="T126" s="10"/>
      <c r="U126" s="10"/>
      <c r="V126" s="10"/>
      <c r="Y126" s="10"/>
      <c r="Z126" s="10"/>
      <c r="AA126" s="10"/>
      <c r="AB126" s="10"/>
      <c r="AC126" s="10"/>
      <c r="AD126" s="10"/>
      <c r="AE126" s="10"/>
      <c r="AH126" s="10"/>
      <c r="AI126" s="10"/>
      <c r="AJ126" s="10"/>
      <c r="AK126" s="10"/>
      <c r="AL126" s="10"/>
      <c r="AM126" s="10"/>
      <c r="AN126" s="10"/>
      <c r="AV126" s="929"/>
      <c r="AW126" s="929"/>
      <c r="AZ126" s="10"/>
      <c r="BA126" s="10"/>
      <c r="BB126" s="10"/>
      <c r="BC126" s="10"/>
      <c r="BD126" s="10"/>
      <c r="BE126" s="10"/>
      <c r="BF126" s="10"/>
      <c r="BI126" s="10"/>
      <c r="BJ126" s="10"/>
      <c r="BK126" s="10"/>
      <c r="BL126" s="10"/>
      <c r="BM126" s="10"/>
      <c r="BN126" s="10"/>
      <c r="BO126" s="10"/>
    </row>
    <row r="127" spans="2:68" ht="13.2" customHeight="1">
      <c r="B127" s="281" t="s">
        <v>28</v>
      </c>
      <c r="G127" s="928">
        <f t="shared" ref="G127:L127" si="21">G125/MAX($G125:$M125)</f>
        <v>0.38142293234665819</v>
      </c>
      <c r="H127" s="928">
        <f t="shared" si="21"/>
        <v>0.74015347052595704</v>
      </c>
      <c r="I127" s="928">
        <f t="shared" si="21"/>
        <v>0.93071150255967605</v>
      </c>
      <c r="J127" s="928">
        <f t="shared" si="21"/>
        <v>1</v>
      </c>
      <c r="K127" s="928">
        <f t="shared" si="21"/>
        <v>0.88554802606633054</v>
      </c>
      <c r="L127" s="928">
        <f t="shared" si="21"/>
        <v>0.68533539114006869</v>
      </c>
      <c r="M127" s="928"/>
      <c r="O127" s="136">
        <f>ROW()</f>
        <v>127</v>
      </c>
      <c r="P127" s="10"/>
      <c r="Q127" s="10"/>
      <c r="R127" s="10"/>
      <c r="S127" s="10"/>
      <c r="T127" s="10"/>
      <c r="U127" s="10"/>
      <c r="V127" s="10"/>
      <c r="Y127" s="10"/>
      <c r="Z127" s="10"/>
      <c r="AA127" s="10"/>
      <c r="AB127" s="10"/>
      <c r="AC127" s="10"/>
      <c r="AD127" s="10"/>
      <c r="AE127" s="10"/>
      <c r="AH127" s="10"/>
      <c r="AI127" s="10"/>
      <c r="AJ127" s="10"/>
      <c r="AK127" s="10"/>
      <c r="AL127" s="10"/>
      <c r="AM127" s="10"/>
      <c r="AN127" s="10"/>
      <c r="AV127" s="929"/>
      <c r="AW127" s="929"/>
      <c r="AZ127" s="10"/>
      <c r="BA127" s="10"/>
      <c r="BB127" s="10"/>
      <c r="BC127" s="10"/>
      <c r="BD127" s="10"/>
      <c r="BE127" s="10"/>
      <c r="BF127" s="10"/>
      <c r="BI127" s="10"/>
      <c r="BJ127" s="10"/>
      <c r="BK127" s="10"/>
      <c r="BL127" s="10"/>
      <c r="BM127" s="10"/>
      <c r="BN127" s="10"/>
      <c r="BO127" s="10"/>
    </row>
    <row r="128" spans="2:68" ht="13.2" customHeight="1">
      <c r="B128" s="309" t="s">
        <v>2345</v>
      </c>
      <c r="G128" s="928"/>
      <c r="H128" s="927"/>
      <c r="I128" s="927"/>
      <c r="J128" s="927"/>
      <c r="K128" s="927"/>
      <c r="L128" s="927"/>
      <c r="M128" s="927"/>
      <c r="O128" s="136">
        <f>ROW()</f>
        <v>128</v>
      </c>
      <c r="P128" s="10"/>
      <c r="Q128" s="10"/>
      <c r="R128" s="10"/>
      <c r="S128" s="10"/>
      <c r="T128" s="10"/>
      <c r="U128" s="10"/>
      <c r="V128" s="10"/>
      <c r="Y128" s="10"/>
      <c r="Z128" s="10"/>
      <c r="AA128" s="10"/>
      <c r="AB128" s="10"/>
      <c r="AC128" s="10"/>
      <c r="AD128" s="10"/>
      <c r="AE128" s="10"/>
      <c r="AH128" s="10"/>
      <c r="AI128" s="10"/>
      <c r="AJ128" s="10"/>
      <c r="AK128" s="10"/>
      <c r="AL128" s="10"/>
      <c r="AM128" s="10"/>
      <c r="AN128" s="10"/>
      <c r="AV128" s="929"/>
      <c r="AW128" s="929"/>
      <c r="AZ128" s="10"/>
      <c r="BA128" s="10"/>
      <c r="BB128" s="10"/>
      <c r="BC128" s="10"/>
      <c r="BD128" s="10"/>
      <c r="BE128" s="10"/>
      <c r="BF128" s="10"/>
      <c r="BI128" s="10"/>
      <c r="BJ128" s="10"/>
      <c r="BK128" s="10"/>
      <c r="BL128" s="10"/>
      <c r="BM128" s="10"/>
      <c r="BN128" s="10"/>
      <c r="BO128" s="10"/>
    </row>
    <row r="129" spans="2:68" ht="13.2" customHeight="1">
      <c r="B129" s="281" t="s">
        <v>979</v>
      </c>
      <c r="G129" s="575">
        <f t="shared" ref="G129:L129" si="22">P129+Y129+AH129+AQ129+AZ129+BI129</f>
        <v>216053.15165292128</v>
      </c>
      <c r="H129" s="575">
        <f t="shared" si="22"/>
        <v>83969.148350506526</v>
      </c>
      <c r="I129" s="575">
        <f t="shared" si="22"/>
        <v>265087.57275270001</v>
      </c>
      <c r="J129" s="575">
        <f t="shared" si="22"/>
        <v>171134.1747185089</v>
      </c>
      <c r="K129" s="575">
        <f t="shared" si="22"/>
        <v>100889.59946890376</v>
      </c>
      <c r="L129" s="575">
        <f t="shared" si="22"/>
        <v>78079.68638979274</v>
      </c>
      <c r="N129" s="138">
        <f>SUM(G129:M129)</f>
        <v>915213.33333333314</v>
      </c>
      <c r="O129" s="136">
        <f>ROW()</f>
        <v>129</v>
      </c>
      <c r="P129" s="10">
        <f t="shared" ref="P129:V129" si="23">P122*$I$85</f>
        <v>42783.198138732972</v>
      </c>
      <c r="Q129" s="10">
        <f t="shared" si="23"/>
        <v>15325.525521581812</v>
      </c>
      <c r="R129" s="10">
        <f t="shared" si="23"/>
        <v>40136.414829460831</v>
      </c>
      <c r="S129" s="10">
        <f t="shared" si="23"/>
        <v>15524.058827287785</v>
      </c>
      <c r="T129" s="10">
        <f t="shared" si="23"/>
        <v>15275.506030754996</v>
      </c>
      <c r="U129" s="10">
        <f t="shared" si="23"/>
        <v>9457.7966521815761</v>
      </c>
      <c r="V129" s="10">
        <f t="shared" si="23"/>
        <v>0</v>
      </c>
      <c r="W129" s="10">
        <f>SUM(P129:V129)</f>
        <v>138502.49999999997</v>
      </c>
      <c r="Y129" s="10">
        <f t="shared" ref="Y129:AE129" si="24">Y122*$J$85</f>
        <v>74905.868561480733</v>
      </c>
      <c r="Z129" s="10">
        <f t="shared" si="24"/>
        <v>32137.808556574251</v>
      </c>
      <c r="AA129" s="10">
        <f t="shared" si="24"/>
        <v>125929.5375902972</v>
      </c>
      <c r="AB129" s="10">
        <f t="shared" si="24"/>
        <v>95151.888978846458</v>
      </c>
      <c r="AC129" s="10">
        <f t="shared" si="24"/>
        <v>47927.484781196472</v>
      </c>
      <c r="AD129" s="10">
        <f t="shared" si="24"/>
        <v>39454.911531604739</v>
      </c>
      <c r="AE129" s="10">
        <f t="shared" si="24"/>
        <v>0</v>
      </c>
      <c r="AF129" s="10">
        <f>SUM(Y129:AE129)</f>
        <v>415507.49999999977</v>
      </c>
      <c r="AH129" s="10">
        <f t="shared" ref="AH129:AN129" si="25">AH122*$K$85</f>
        <v>55804.350890640075</v>
      </c>
      <c r="AI129" s="10">
        <f t="shared" si="25"/>
        <v>19989.88016315554</v>
      </c>
      <c r="AJ129" s="10">
        <f t="shared" si="25"/>
        <v>47116.81236253809</v>
      </c>
      <c r="AK129" s="10">
        <f t="shared" si="25"/>
        <v>26998.449975174051</v>
      </c>
      <c r="AL129" s="10">
        <f t="shared" si="25"/>
        <v>17932.173425355504</v>
      </c>
      <c r="AM129" s="10">
        <f t="shared" si="25"/>
        <v>13878.3331831368</v>
      </c>
      <c r="AN129" s="10">
        <f t="shared" si="25"/>
        <v>0</v>
      </c>
      <c r="AO129" s="10">
        <f>SUM(AH129:AN129)</f>
        <v>181720.00000000009</v>
      </c>
      <c r="AQ129" s="10">
        <f>AQ122*$L$85</f>
        <v>30826.067943553375</v>
      </c>
      <c r="AR129" s="10">
        <f t="shared" ref="AR129:AV129" si="26">AR122*$L$85</f>
        <v>11962.511472905615</v>
      </c>
      <c r="AS129" s="10">
        <f t="shared" si="26"/>
        <v>37594.716516775035</v>
      </c>
      <c r="AT129" s="10">
        <f t="shared" si="26"/>
        <v>24234.957759324428</v>
      </c>
      <c r="AU129" s="10">
        <f t="shared" si="26"/>
        <v>14308.161835495859</v>
      </c>
      <c r="AV129" s="10">
        <f t="shared" si="26"/>
        <v>11073.584471945684</v>
      </c>
      <c r="AW129" s="10"/>
      <c r="AX129" s="10">
        <f>SUM(AQ129:AW129)</f>
        <v>130000</v>
      </c>
      <c r="AZ129" s="10">
        <f t="shared" ref="AZ129:BE129" si="27">AZ122*$M$85</f>
        <v>9027.2954354698213</v>
      </c>
      <c r="BA129" s="10">
        <f t="shared" si="27"/>
        <v>3503.175475180898</v>
      </c>
      <c r="BB129" s="10">
        <f t="shared" si="27"/>
        <v>11009.468136874042</v>
      </c>
      <c r="BC129" s="10">
        <f t="shared" si="27"/>
        <v>7097.1141684421609</v>
      </c>
      <c r="BD129" s="10">
        <f t="shared" si="27"/>
        <v>4190.0901621332869</v>
      </c>
      <c r="BE129" s="10">
        <f t="shared" si="27"/>
        <v>3242.8566218997853</v>
      </c>
      <c r="BF129" s="10"/>
      <c r="BG129" s="10">
        <f>SUM(AZ129:BF129)</f>
        <v>38070</v>
      </c>
      <c r="BI129" s="10">
        <f t="shared" ref="BI129:BN129" si="28">BI122*$N$85</f>
        <v>2706.3706830442757</v>
      </c>
      <c r="BJ129" s="10">
        <f t="shared" si="28"/>
        <v>1050.2471611084316</v>
      </c>
      <c r="BK129" s="10">
        <f t="shared" si="28"/>
        <v>3300.6233167548135</v>
      </c>
      <c r="BL129" s="10">
        <f t="shared" si="28"/>
        <v>2127.7050094340216</v>
      </c>
      <c r="BM129" s="10">
        <f t="shared" si="28"/>
        <v>1256.1832339676366</v>
      </c>
      <c r="BN129" s="10">
        <f t="shared" si="28"/>
        <v>972.20392902415449</v>
      </c>
      <c r="BO129" s="10"/>
      <c r="BP129" s="10">
        <f>SUM(BI129:BO129)</f>
        <v>11413.333333333332</v>
      </c>
    </row>
    <row r="130" spans="2:68" ht="13.2" customHeight="1">
      <c r="B130" s="309" t="str">
        <f>CONCATENATE("Daily cordon entries in Row ",O122," times Cordon VMT per entry in Row ",O82,".")</f>
        <v>Daily cordon entries in Row 122 times Cordon VMT per entry in Row 82.</v>
      </c>
      <c r="N130" s="138"/>
      <c r="O130" s="136">
        <f>ROW()</f>
        <v>130</v>
      </c>
      <c r="P130" s="10"/>
      <c r="Q130" s="10"/>
      <c r="R130" s="10"/>
      <c r="S130" s="10"/>
      <c r="T130" s="10"/>
      <c r="U130" s="10"/>
      <c r="V130" s="10"/>
      <c r="W130" s="10"/>
      <c r="Y130" s="10"/>
      <c r="Z130" s="10"/>
      <c r="AA130" s="10"/>
      <c r="AB130" s="10"/>
      <c r="AC130" s="10"/>
      <c r="AD130" s="10"/>
      <c r="AE130" s="10"/>
      <c r="AF130" s="10"/>
      <c r="AH130" s="10"/>
      <c r="AI130" s="10"/>
      <c r="AJ130" s="10"/>
      <c r="AK130" s="10"/>
      <c r="AL130" s="10"/>
      <c r="AM130" s="10"/>
      <c r="AN130" s="10"/>
      <c r="AO130" s="10"/>
      <c r="AQ130" s="265"/>
      <c r="AR130" s="10"/>
      <c r="AS130" s="10"/>
      <c r="AT130" s="10"/>
      <c r="AU130" s="10"/>
      <c r="AV130" s="10"/>
      <c r="AW130" s="10"/>
      <c r="AX130" s="10"/>
      <c r="AZ130" s="10"/>
      <c r="BA130" s="10"/>
      <c r="BB130" s="10"/>
      <c r="BC130" s="10"/>
      <c r="BD130" s="10"/>
      <c r="BE130" s="10"/>
      <c r="BF130" s="10"/>
      <c r="BG130" s="10"/>
      <c r="BI130" s="10"/>
      <c r="BJ130" s="10"/>
      <c r="BK130" s="10"/>
      <c r="BL130" s="10"/>
      <c r="BM130" s="10"/>
      <c r="BN130" s="10"/>
      <c r="BO130" s="10"/>
      <c r="BP130" s="10"/>
    </row>
    <row r="131" spans="2:68" ht="13.2" customHeight="1">
      <c r="B131" s="281"/>
      <c r="N131" s="138"/>
      <c r="O131" s="136">
        <f>ROW()</f>
        <v>131</v>
      </c>
      <c r="P131" s="10"/>
      <c r="Q131" s="10"/>
      <c r="R131" s="10"/>
      <c r="S131" s="10"/>
      <c r="T131" s="10"/>
      <c r="U131" s="10"/>
      <c r="V131" s="10"/>
      <c r="W131" s="10"/>
      <c r="Y131" s="10"/>
      <c r="Z131" s="10"/>
      <c r="AA131" s="10"/>
      <c r="AB131" s="10"/>
      <c r="AC131" s="10"/>
      <c r="AD131" s="10"/>
      <c r="AE131" s="10"/>
      <c r="AF131" s="10"/>
      <c r="AH131" s="10"/>
      <c r="AI131" s="10"/>
      <c r="AJ131" s="10"/>
      <c r="AK131" s="10"/>
      <c r="AL131" s="10"/>
      <c r="AM131" s="10"/>
      <c r="AN131" s="10"/>
      <c r="AO131" s="10"/>
      <c r="AQ131" s="282"/>
      <c r="AR131" s="10"/>
      <c r="AS131" s="10"/>
      <c r="AT131" s="10"/>
      <c r="AU131" s="10"/>
      <c r="AV131" s="10"/>
      <c r="AW131" s="10"/>
      <c r="AX131" s="10"/>
      <c r="AZ131" s="10"/>
      <c r="BA131" s="10"/>
      <c r="BB131" s="10"/>
      <c r="BC131" s="10"/>
      <c r="BD131" s="10"/>
      <c r="BE131" s="10"/>
      <c r="BF131" s="10"/>
      <c r="BG131" s="10"/>
      <c r="BI131" s="10"/>
      <c r="BJ131" s="10"/>
      <c r="BK131" s="10"/>
      <c r="BL131" s="10"/>
      <c r="BM131" s="10"/>
      <c r="BN131" s="10"/>
      <c r="BO131" s="10"/>
      <c r="BP131" s="10"/>
    </row>
    <row r="132" spans="2:68" ht="13.2" customHeight="1">
      <c r="B132" s="172" t="s">
        <v>1269</v>
      </c>
      <c r="N132" s="138"/>
      <c r="O132" s="136">
        <f>ROW()</f>
        <v>132</v>
      </c>
      <c r="P132" s="10"/>
      <c r="Q132" s="10"/>
      <c r="R132" s="10"/>
      <c r="S132" s="10"/>
      <c r="T132" s="10"/>
      <c r="U132" s="10"/>
      <c r="V132" s="10"/>
      <c r="W132" s="10"/>
      <c r="Y132" s="10"/>
      <c r="Z132" s="10"/>
      <c r="AA132" s="10"/>
      <c r="AB132" s="10"/>
      <c r="AC132" s="10"/>
      <c r="AD132" s="10"/>
      <c r="AE132" s="10"/>
      <c r="AF132" s="10"/>
      <c r="AH132" s="10"/>
      <c r="AI132" s="10"/>
      <c r="AJ132" s="10"/>
      <c r="AK132" s="10"/>
      <c r="AL132" s="10"/>
      <c r="AM132" s="10"/>
      <c r="AN132" s="10"/>
      <c r="AO132" s="10"/>
      <c r="AQ132" s="10"/>
      <c r="AR132" s="10"/>
      <c r="AS132" s="10"/>
      <c r="AT132" s="10"/>
      <c r="AU132" s="10"/>
      <c r="AV132" s="10"/>
      <c r="AW132" s="10"/>
      <c r="AX132" s="10"/>
      <c r="AZ132" s="10"/>
      <c r="BA132" s="10"/>
      <c r="BB132" s="10"/>
      <c r="BC132" s="10"/>
      <c r="BD132" s="10"/>
      <c r="BE132" s="10"/>
      <c r="BF132" s="10"/>
      <c r="BG132" s="10"/>
      <c r="BI132" s="10"/>
      <c r="BJ132" s="10"/>
      <c r="BK132" s="10"/>
      <c r="BL132" s="10"/>
      <c r="BM132" s="10"/>
      <c r="BN132" s="10"/>
      <c r="BO132" s="10"/>
      <c r="BP132" s="10"/>
    </row>
    <row r="133" spans="2:68" ht="13.2" customHeight="1">
      <c r="B133" s="281" t="s">
        <v>2515</v>
      </c>
      <c r="G133" s="575">
        <f t="shared" ref="G133:L133" si="29">P133+Y133+AH133+AQ133+AZ133+BI133</f>
        <v>172613.95740945559</v>
      </c>
      <c r="H133" s="575">
        <f t="shared" si="29"/>
        <v>51427.300962210014</v>
      </c>
      <c r="I133" s="575">
        <f t="shared" si="29"/>
        <v>152656.65808566747</v>
      </c>
      <c r="J133" s="575">
        <f t="shared" si="29"/>
        <v>97046.128077118934</v>
      </c>
      <c r="K133" s="575">
        <f t="shared" si="29"/>
        <v>55001.868192800423</v>
      </c>
      <c r="L133" s="575">
        <f t="shared" si="29"/>
        <v>53790.753939414259</v>
      </c>
      <c r="N133" s="186">
        <f>SUM(G133:M133)</f>
        <v>582536.66666666674</v>
      </c>
      <c r="O133" s="136">
        <f>ROW()</f>
        <v>133</v>
      </c>
      <c r="P133" s="10">
        <f>$I$76*(SUM('Weekend Hours'!L31:L40))</f>
        <v>28046.606550810728</v>
      </c>
      <c r="Q133" s="10">
        <f>$I$76*(SUM('Weekend Hours'!L41:L42))</f>
        <v>8108.1416181532213</v>
      </c>
      <c r="R133" s="10">
        <f>$I$76*SUM('Weekend Hours'!L43:L47)</f>
        <v>23882.169603864251</v>
      </c>
      <c r="S133" s="10">
        <f>$I$76*SUM('Weekend Hours'!L48:L50)</f>
        <v>15152.330895035777</v>
      </c>
      <c r="T133" s="10">
        <f>$I$76*SUM('Weekend Hours'!L51:L52)</f>
        <v>8536.6423726022094</v>
      </c>
      <c r="U133" s="10">
        <f>$I$76*SUM('Weekend Hours'!L53:L54)</f>
        <v>8609.1089595338108</v>
      </c>
      <c r="V133" s="10"/>
      <c r="W133" s="10">
        <f>SUM(P133:V133)</f>
        <v>92334.999999999985</v>
      </c>
      <c r="Y133" s="10">
        <f>$J$76*(SUM('Weekend Hours'!L31:L40))</f>
        <v>84139.819652432183</v>
      </c>
      <c r="Z133" s="10">
        <f>$J$76*(SUM('Weekend Hours'!L41:L42))</f>
        <v>24324.424854459663</v>
      </c>
      <c r="AA133" s="10">
        <f>$J$76*SUM('Weekend Hours'!L43:L47)</f>
        <v>71646.50881159275</v>
      </c>
      <c r="AB133" s="10">
        <f>$J$76*SUM('Weekend Hours'!L48:L50)</f>
        <v>45456.992685107332</v>
      </c>
      <c r="AC133" s="10">
        <f>$J$76*SUM('Weekend Hours'!L51:L52)</f>
        <v>25609.927117806626</v>
      </c>
      <c r="AD133" s="10">
        <f>$J$76*SUM('Weekend Hours'!L53:L54)</f>
        <v>25827.326878601431</v>
      </c>
      <c r="AE133" s="10"/>
      <c r="AF133" s="10">
        <f>SUM(Y133:AE133)</f>
        <v>277005</v>
      </c>
      <c r="AH133" s="10">
        <f>$K$76*(SUM('Weekend Hours'!L31:L40))</f>
        <v>39426.539560245132</v>
      </c>
      <c r="AI133" s="10">
        <f>$K$76*(SUM('Weekend Hours'!L41:L42))</f>
        <v>11398.026555870349</v>
      </c>
      <c r="AJ133" s="10">
        <f>$K$76*SUM('Weekend Hours'!L43:L47)</f>
        <v>33572.378995847524</v>
      </c>
      <c r="AK133" s="10">
        <f>$K$76*SUM('Weekend Hours'!L48:L50)</f>
        <v>21300.401258197271</v>
      </c>
      <c r="AL133" s="10">
        <f>$K$76*SUM('Weekend Hours'!L51:L52)</f>
        <v>12000.391833690011</v>
      </c>
      <c r="AM133" s="10">
        <f>$K$76*SUM('Weekend Hours'!L53:L54)</f>
        <v>12102.261796149771</v>
      </c>
      <c r="AN133" s="10">
        <f>AN122</f>
        <v>0</v>
      </c>
      <c r="AO133" s="10">
        <f>SUM(AH133:AN133)</f>
        <v>129800.00000000004</v>
      </c>
      <c r="AQ133" s="10">
        <f t="shared" ref="AQ133:AV133" si="30">AQ122</f>
        <v>15413.033971776687</v>
      </c>
      <c r="AR133" s="10">
        <f t="shared" si="30"/>
        <v>5981.2557364528075</v>
      </c>
      <c r="AS133" s="10">
        <f t="shared" si="30"/>
        <v>18797.358258387518</v>
      </c>
      <c r="AT133" s="10">
        <f t="shared" si="30"/>
        <v>12117.478879662214</v>
      </c>
      <c r="AU133" s="10">
        <f t="shared" si="30"/>
        <v>7154.0809177479296</v>
      </c>
      <c r="AV133" s="10">
        <f t="shared" si="30"/>
        <v>5536.7922359728418</v>
      </c>
      <c r="AW133" s="10"/>
      <c r="AX133" s="10">
        <f>SUM(AQ133:AW133)</f>
        <v>65000</v>
      </c>
      <c r="AZ133" s="10">
        <f>$M$76*(SUM('Weekend Hours'!L31:L40))</f>
        <v>3854.5669261903736</v>
      </c>
      <c r="BA133" s="10">
        <f>$M$76*(SUM('Weekend Hours'!L41:L42))</f>
        <v>1114.3371108936415</v>
      </c>
      <c r="BB133" s="10">
        <f>$M$76*SUM('Weekend Hours'!L43:L47)</f>
        <v>3282.2302731687587</v>
      </c>
      <c r="BC133" s="10">
        <f>$M$76*SUM('Weekend Hours'!L48:L50)</f>
        <v>2082.4506314832297</v>
      </c>
      <c r="BD133" s="10">
        <f>$M$76*SUM('Weekend Hours'!L51:L52)</f>
        <v>1173.2278302736993</v>
      </c>
      <c r="BE133" s="10">
        <f>$M$76*SUM('Weekend Hours'!L53:L54)</f>
        <v>1183.1872279902968</v>
      </c>
      <c r="BF133" s="10"/>
      <c r="BG133" s="10">
        <f>SUM(AZ133:BF133)</f>
        <v>12690</v>
      </c>
      <c r="BI133" s="10">
        <f>$N$76*(SUM('Weekend Hours'!L31:L40))</f>
        <v>1733.3907480005046</v>
      </c>
      <c r="BJ133" s="10">
        <f>$N$76*(SUM('Weekend Hours'!L41:L42))</f>
        <v>501.11508638032956</v>
      </c>
      <c r="BK133" s="10">
        <f>$N$76*SUM('Weekend Hours'!L43:L47)</f>
        <v>1476.01214280665</v>
      </c>
      <c r="BL133" s="10">
        <f>$N$76*SUM('Weekend Hours'!L48:L50)</f>
        <v>936.47372763312057</v>
      </c>
      <c r="BM133" s="10">
        <f>$N$76*SUM('Weekend Hours'!L51:L52)</f>
        <v>527.59812067995108</v>
      </c>
      <c r="BN133" s="10">
        <f>$N$76*SUM('Weekend Hours'!L53:L54)</f>
        <v>532.07684116611199</v>
      </c>
      <c r="BO133" s="10"/>
      <c r="BP133" s="10">
        <f>SUM(BI133:BO133)</f>
        <v>5706.6666666666679</v>
      </c>
    </row>
    <row r="134" spans="2:68" ht="13.2" customHeight="1">
      <c r="B134" s="309" t="s">
        <v>1557</v>
      </c>
      <c r="N134" s="138"/>
      <c r="O134" s="136">
        <f>ROW()</f>
        <v>134</v>
      </c>
      <c r="P134" s="282" t="s">
        <v>2054</v>
      </c>
      <c r="Q134" s="10"/>
      <c r="R134" s="10"/>
      <c r="S134" s="10"/>
      <c r="T134" s="10"/>
      <c r="U134" s="10"/>
      <c r="V134" s="10"/>
      <c r="W134" s="10"/>
      <c r="Y134" s="282" t="s">
        <v>1916</v>
      </c>
      <c r="Z134" s="10"/>
      <c r="AA134" s="10"/>
      <c r="AB134" s="10"/>
      <c r="AC134" s="10"/>
      <c r="AD134" s="10"/>
      <c r="AE134" s="10"/>
      <c r="AF134" s="10"/>
      <c r="AH134" s="282" t="str">
        <f>CONCATENATE("Figures in preceding row are made equal to corresponding figues in row ",O122,", since thru-trips leave cordon shortly after entering.")</f>
        <v>Figures in preceding row are made equal to corresponding figues in row 122, since thru-trips leave cordon shortly after entering.</v>
      </c>
      <c r="AI134" s="10"/>
      <c r="AJ134" s="10"/>
      <c r="AK134" s="10"/>
      <c r="AL134" s="10"/>
      <c r="AM134" s="10"/>
      <c r="AN134" s="10"/>
      <c r="AO134" s="10"/>
      <c r="AQ134" s="282" t="s">
        <v>2299</v>
      </c>
      <c r="AR134" s="10"/>
      <c r="AS134" s="10"/>
      <c r="AT134" s="10"/>
      <c r="AU134" s="10"/>
      <c r="AV134" s="10"/>
      <c r="AW134" s="10"/>
      <c r="AX134" s="10"/>
      <c r="AZ134" s="282" t="s">
        <v>763</v>
      </c>
      <c r="BA134" s="10"/>
      <c r="BB134" s="10"/>
      <c r="BC134" s="10"/>
      <c r="BD134" s="10"/>
      <c r="BE134" s="10"/>
      <c r="BF134" s="10"/>
      <c r="BG134" s="10"/>
      <c r="BI134" s="282" t="s">
        <v>763</v>
      </c>
      <c r="BJ134" s="10"/>
      <c r="BK134" s="10"/>
      <c r="BL134" s="10"/>
      <c r="BM134" s="10"/>
      <c r="BN134" s="10"/>
      <c r="BO134" s="10"/>
      <c r="BP134" s="10"/>
    </row>
    <row r="135" spans="2:68" ht="13.2" customHeight="1">
      <c r="B135" s="281" t="s">
        <v>980</v>
      </c>
      <c r="G135" s="927">
        <f t="shared" ref="G135:L135" si="31">G133/$N$122</f>
        <v>0.29631432197593671</v>
      </c>
      <c r="H135" s="927">
        <f t="shared" si="31"/>
        <v>8.8281654881026114E-2</v>
      </c>
      <c r="I135" s="927">
        <f t="shared" si="31"/>
        <v>0.26205502043190554</v>
      </c>
      <c r="J135" s="927">
        <f t="shared" si="31"/>
        <v>0.16659230848493475</v>
      </c>
      <c r="K135" s="927">
        <f t="shared" si="31"/>
        <v>9.4417864728630119E-2</v>
      </c>
      <c r="L135" s="927">
        <f t="shared" si="31"/>
        <v>9.2338829497566846E-2</v>
      </c>
      <c r="M135" s="927"/>
      <c r="N135" s="927">
        <f>SUM(G135:M135)</f>
        <v>1</v>
      </c>
      <c r="O135" s="136">
        <f>ROW()</f>
        <v>135</v>
      </c>
      <c r="P135" s="927">
        <f t="shared" ref="P135:V135" si="32">P133/$W133</f>
        <v>0.30374837873840616</v>
      </c>
      <c r="Q135" s="927">
        <f t="shared" si="32"/>
        <v>8.7812223080665219E-2</v>
      </c>
      <c r="R135" s="927">
        <f t="shared" si="32"/>
        <v>0.25864698764135219</v>
      </c>
      <c r="S135" s="927">
        <f t="shared" si="32"/>
        <v>0.16410170460860757</v>
      </c>
      <c r="T135" s="927">
        <f t="shared" si="32"/>
        <v>9.2452941707935346E-2</v>
      </c>
      <c r="U135" s="927">
        <f t="shared" si="32"/>
        <v>9.3237764223033648E-2</v>
      </c>
      <c r="V135" s="927">
        <f t="shared" si="32"/>
        <v>0</v>
      </c>
      <c r="W135" s="927">
        <f>SUM(P135:V135)</f>
        <v>1</v>
      </c>
      <c r="Y135" s="927">
        <f t="shared" ref="Y135:AE135" si="33">Y133/$AF133</f>
        <v>0.3037483787384061</v>
      </c>
      <c r="Z135" s="927">
        <f t="shared" si="33"/>
        <v>8.7812223080665192E-2</v>
      </c>
      <c r="AA135" s="927">
        <f t="shared" si="33"/>
        <v>0.25864698764135213</v>
      </c>
      <c r="AB135" s="927">
        <f t="shared" si="33"/>
        <v>0.16410170460860754</v>
      </c>
      <c r="AC135" s="927">
        <f t="shared" si="33"/>
        <v>9.2452941707935332E-2</v>
      </c>
      <c r="AD135" s="927">
        <f t="shared" si="33"/>
        <v>9.3237764223033634E-2</v>
      </c>
      <c r="AE135" s="927">
        <f t="shared" si="33"/>
        <v>0</v>
      </c>
      <c r="AF135" s="927">
        <f>SUM(Y135:AE135)</f>
        <v>0.99999999999999989</v>
      </c>
      <c r="AH135" s="927">
        <f t="shared" ref="AH135:AN135" si="34">AH133/$AO133</f>
        <v>0.30374837873840616</v>
      </c>
      <c r="AI135" s="927">
        <f t="shared" si="34"/>
        <v>8.7812223080665219E-2</v>
      </c>
      <c r="AJ135" s="927">
        <f t="shared" si="34"/>
        <v>0.25864698764135219</v>
      </c>
      <c r="AK135" s="927">
        <f t="shared" si="34"/>
        <v>0.16410170460860757</v>
      </c>
      <c r="AL135" s="927">
        <f t="shared" si="34"/>
        <v>9.2452941707935346E-2</v>
      </c>
      <c r="AM135" s="927">
        <f t="shared" si="34"/>
        <v>9.3237764223033648E-2</v>
      </c>
      <c r="AN135" s="927">
        <f t="shared" si="34"/>
        <v>0</v>
      </c>
      <c r="AO135" s="927">
        <f>SUM(AH135:AN135)</f>
        <v>1</v>
      </c>
      <c r="AQ135" s="10"/>
      <c r="AR135" s="10"/>
      <c r="AS135" s="10"/>
      <c r="AT135" s="10"/>
      <c r="AU135" s="10"/>
      <c r="AV135" s="10"/>
      <c r="AW135" s="10"/>
      <c r="AX135" s="10"/>
      <c r="AZ135" s="927">
        <f t="shared" ref="AZ135:BE135" si="35">AZ133/$BG133</f>
        <v>0.3037483787384061</v>
      </c>
      <c r="BA135" s="927">
        <f t="shared" si="35"/>
        <v>8.7812223080665205E-2</v>
      </c>
      <c r="BB135" s="927">
        <f t="shared" si="35"/>
        <v>0.25864698764135213</v>
      </c>
      <c r="BC135" s="927">
        <f t="shared" si="35"/>
        <v>0.16410170460860754</v>
      </c>
      <c r="BD135" s="927">
        <f t="shared" si="35"/>
        <v>9.2452941707935332E-2</v>
      </c>
      <c r="BE135" s="927">
        <f t="shared" si="35"/>
        <v>9.3237764223033634E-2</v>
      </c>
      <c r="BF135" s="927"/>
      <c r="BG135" s="927">
        <f>SUM(AZ135:BF135)</f>
        <v>0.99999999999999989</v>
      </c>
      <c r="BI135" s="927">
        <f t="shared" ref="BI135:BN135" si="36">BI133/$BP133</f>
        <v>0.3037483787384061</v>
      </c>
      <c r="BJ135" s="927">
        <f t="shared" si="36"/>
        <v>8.7812223080665205E-2</v>
      </c>
      <c r="BK135" s="927">
        <f t="shared" si="36"/>
        <v>0.25864698764135219</v>
      </c>
      <c r="BL135" s="927">
        <f t="shared" si="36"/>
        <v>0.16410170460860754</v>
      </c>
      <c r="BM135" s="927">
        <f t="shared" si="36"/>
        <v>9.2452941707935332E-2</v>
      </c>
      <c r="BN135" s="927">
        <f t="shared" si="36"/>
        <v>9.323776422303362E-2</v>
      </c>
      <c r="BO135" s="927"/>
      <c r="BP135" s="927">
        <f>SUM(BI135:BO135)</f>
        <v>1</v>
      </c>
    </row>
    <row r="136" spans="2:68" ht="13.2" customHeight="1">
      <c r="B136" s="281" t="s">
        <v>1560</v>
      </c>
      <c r="G136" s="575">
        <f t="shared" ref="G136:L137" si="37">P136+Y136+AH136+AQ136+AZ136+BI136</f>
        <v>17261.395740945562</v>
      </c>
      <c r="H136" s="575">
        <f t="shared" si="37"/>
        <v>25713.650481105007</v>
      </c>
      <c r="I136" s="575">
        <f t="shared" si="37"/>
        <v>30531.331617133488</v>
      </c>
      <c r="J136" s="575">
        <f t="shared" si="37"/>
        <v>32348.709359039647</v>
      </c>
      <c r="K136" s="575">
        <f t="shared" si="37"/>
        <v>27500.934096400211</v>
      </c>
      <c r="L136" s="575">
        <f t="shared" si="37"/>
        <v>26895.376969707129</v>
      </c>
      <c r="N136" s="138"/>
      <c r="O136" s="136">
        <f>ROW()</f>
        <v>136</v>
      </c>
      <c r="P136" s="10">
        <f t="shared" ref="P136:U136" si="38">P133/P$118</f>
        <v>2804.6606550810729</v>
      </c>
      <c r="Q136" s="10">
        <f t="shared" si="38"/>
        <v>4054.0708090766107</v>
      </c>
      <c r="R136" s="10">
        <f t="shared" si="38"/>
        <v>4776.4339207728499</v>
      </c>
      <c r="S136" s="10">
        <f t="shared" si="38"/>
        <v>5050.7769650119253</v>
      </c>
      <c r="T136" s="10">
        <f t="shared" si="38"/>
        <v>4268.3211863011047</v>
      </c>
      <c r="U136" s="10">
        <f t="shared" si="38"/>
        <v>4304.5544797669054</v>
      </c>
      <c r="V136" s="10"/>
      <c r="W136" s="10"/>
      <c r="Y136" s="10">
        <f t="shared" ref="Y136:AD136" si="39">Y133/Y$118</f>
        <v>8413.9819652432179</v>
      </c>
      <c r="Z136" s="10">
        <f t="shared" si="39"/>
        <v>12162.212427229832</v>
      </c>
      <c r="AA136" s="10">
        <f t="shared" si="39"/>
        <v>14329.30176231855</v>
      </c>
      <c r="AB136" s="10">
        <f t="shared" si="39"/>
        <v>15152.330895035777</v>
      </c>
      <c r="AC136" s="10">
        <f t="shared" si="39"/>
        <v>12804.963558903313</v>
      </c>
      <c r="AD136" s="10">
        <f t="shared" si="39"/>
        <v>12913.663439300715</v>
      </c>
      <c r="AE136" s="10"/>
      <c r="AF136" s="10"/>
      <c r="AH136" s="10">
        <f t="shared" ref="AH136:AM136" si="40">AH133/AH$118</f>
        <v>3942.6539560245133</v>
      </c>
      <c r="AI136" s="10">
        <f t="shared" si="40"/>
        <v>5699.0132779351743</v>
      </c>
      <c r="AJ136" s="10">
        <f t="shared" si="40"/>
        <v>6714.4757991695051</v>
      </c>
      <c r="AK136" s="10">
        <f t="shared" si="40"/>
        <v>7100.133752732424</v>
      </c>
      <c r="AL136" s="10">
        <f t="shared" si="40"/>
        <v>6000.1959168450057</v>
      </c>
      <c r="AM136" s="10">
        <f t="shared" si="40"/>
        <v>6051.1308980748854</v>
      </c>
      <c r="AN136" s="10"/>
      <c r="AO136" s="10"/>
      <c r="AQ136" s="10">
        <f t="shared" ref="AQ136:AV136" si="41">AQ133/AQ$118</f>
        <v>1541.3033971776688</v>
      </c>
      <c r="AR136" s="10">
        <f t="shared" si="41"/>
        <v>2990.6278682264037</v>
      </c>
      <c r="AS136" s="10">
        <f t="shared" si="41"/>
        <v>3759.4716516775034</v>
      </c>
      <c r="AT136" s="10">
        <f t="shared" si="41"/>
        <v>4039.1596265540716</v>
      </c>
      <c r="AU136" s="10">
        <f t="shared" si="41"/>
        <v>3577.0404588739648</v>
      </c>
      <c r="AV136" s="10">
        <f t="shared" si="41"/>
        <v>2768.3961179864209</v>
      </c>
      <c r="AW136" s="10"/>
      <c r="AX136" s="10"/>
      <c r="AZ136" s="10">
        <f t="shared" ref="AZ136:BE136" si="42">AZ133/AZ$118</f>
        <v>385.45669261903737</v>
      </c>
      <c r="BA136" s="10">
        <f t="shared" si="42"/>
        <v>557.16855544682073</v>
      </c>
      <c r="BB136" s="10">
        <f t="shared" si="42"/>
        <v>656.44605463375171</v>
      </c>
      <c r="BC136" s="10">
        <f t="shared" si="42"/>
        <v>694.15021049440986</v>
      </c>
      <c r="BD136" s="10">
        <f t="shared" si="42"/>
        <v>586.61391513684964</v>
      </c>
      <c r="BE136" s="10">
        <f t="shared" si="42"/>
        <v>591.59361399514842</v>
      </c>
      <c r="BF136" s="10"/>
      <c r="BG136" s="10"/>
      <c r="BI136" s="10">
        <f t="shared" ref="BI136:BN136" si="43">BI133/BI$118</f>
        <v>173.33907480005047</v>
      </c>
      <c r="BJ136" s="10">
        <f t="shared" si="43"/>
        <v>250.55754319016478</v>
      </c>
      <c r="BK136" s="10">
        <f t="shared" si="43"/>
        <v>295.20242856133001</v>
      </c>
      <c r="BL136" s="10">
        <f t="shared" si="43"/>
        <v>312.15790921104019</v>
      </c>
      <c r="BM136" s="10">
        <f t="shared" si="43"/>
        <v>263.79906033997554</v>
      </c>
      <c r="BN136" s="10">
        <f t="shared" si="43"/>
        <v>266.03842058305599</v>
      </c>
      <c r="BO136" s="10"/>
      <c r="BP136" s="10"/>
    </row>
    <row r="137" spans="2:68" ht="13.2" customHeight="1">
      <c r="B137" s="281" t="s">
        <v>190</v>
      </c>
      <c r="G137" s="575">
        <f t="shared" si="37"/>
        <v>261626.82792144472</v>
      </c>
      <c r="H137" s="575">
        <f t="shared" si="37"/>
        <v>77923.211997258608</v>
      </c>
      <c r="I137" s="575">
        <f t="shared" si="37"/>
        <v>231289.10071007287</v>
      </c>
      <c r="J137" s="575">
        <f t="shared" si="37"/>
        <v>147031.06480090009</v>
      </c>
      <c r="K137" s="575">
        <f t="shared" si="37"/>
        <v>83326.403911582165</v>
      </c>
      <c r="L137" s="575">
        <f t="shared" si="37"/>
        <v>81516.723992074927</v>
      </c>
      <c r="N137" s="138">
        <f>SUM(G137:M137)</f>
        <v>882713.33333333337</v>
      </c>
      <c r="O137" s="136">
        <f>ROW()</f>
        <v>137</v>
      </c>
      <c r="P137" s="10">
        <f t="shared" ref="P137:V137" si="44">P133*$I$85</f>
        <v>42069.909826216091</v>
      </c>
      <c r="Q137" s="10">
        <f t="shared" si="44"/>
        <v>12162.212427229832</v>
      </c>
      <c r="R137" s="10">
        <f t="shared" si="44"/>
        <v>35823.254405796375</v>
      </c>
      <c r="S137" s="10">
        <f t="shared" si="44"/>
        <v>22728.496342553666</v>
      </c>
      <c r="T137" s="10">
        <f t="shared" si="44"/>
        <v>12804.963558903313</v>
      </c>
      <c r="U137" s="10">
        <f t="shared" si="44"/>
        <v>12913.663439300715</v>
      </c>
      <c r="V137" s="10">
        <f t="shared" si="44"/>
        <v>0</v>
      </c>
      <c r="W137" s="10">
        <f>SUM(P137:V137)</f>
        <v>138502.5</v>
      </c>
      <c r="Y137" s="10">
        <f t="shared" ref="Y137:AE137" si="45">Y133*$J$85</f>
        <v>126209.72947864828</v>
      </c>
      <c r="Z137" s="10">
        <f t="shared" si="45"/>
        <v>36486.637281689495</v>
      </c>
      <c r="AA137" s="10">
        <f t="shared" si="45"/>
        <v>107469.76321738912</v>
      </c>
      <c r="AB137" s="10">
        <f t="shared" si="45"/>
        <v>68185.489027660995</v>
      </c>
      <c r="AC137" s="10">
        <f t="shared" si="45"/>
        <v>38414.89067670994</v>
      </c>
      <c r="AD137" s="10">
        <f t="shared" si="45"/>
        <v>38740.990317902149</v>
      </c>
      <c r="AE137" s="10">
        <f t="shared" si="45"/>
        <v>0</v>
      </c>
      <c r="AF137" s="10">
        <f>SUM(Y137:AE137)</f>
        <v>415507.5</v>
      </c>
      <c r="AH137" s="10">
        <f t="shared" ref="AH137:AN137" si="46">AH133*$K$85</f>
        <v>55197.15538434319</v>
      </c>
      <c r="AI137" s="10">
        <f t="shared" si="46"/>
        <v>15957.237178218489</v>
      </c>
      <c r="AJ137" s="10">
        <f t="shared" si="46"/>
        <v>47001.33059418654</v>
      </c>
      <c r="AK137" s="10">
        <f t="shared" si="46"/>
        <v>29820.561761476183</v>
      </c>
      <c r="AL137" s="10">
        <f t="shared" si="46"/>
        <v>16800.548567166017</v>
      </c>
      <c r="AM137" s="10">
        <f t="shared" si="46"/>
        <v>16943.166514609682</v>
      </c>
      <c r="AN137" s="10">
        <f t="shared" si="46"/>
        <v>0</v>
      </c>
      <c r="AO137" s="10">
        <f>SUM(AH137:AN137)</f>
        <v>181720.00000000012</v>
      </c>
      <c r="AQ137" s="10">
        <f>AQ133*$L$85*Taxis!$L$130</f>
        <v>23119.550957665029</v>
      </c>
      <c r="AR137" s="10">
        <f>AR133*$L$85*Taxis!$L$130</f>
        <v>8971.8836046792112</v>
      </c>
      <c r="AS137" s="10">
        <f>AS133*$L$85*Taxis!$L$130</f>
        <v>28196.037387581277</v>
      </c>
      <c r="AT137" s="10">
        <f>AT133*$L$85*Taxis!$L$130</f>
        <v>18176.21831949332</v>
      </c>
      <c r="AU137" s="10">
        <f>AU133*$L$85*Taxis!$L$130</f>
        <v>10731.121376621893</v>
      </c>
      <c r="AV137" s="10">
        <f>AV133*$L$85*Taxis!$L$130</f>
        <v>8305.1883539592636</v>
      </c>
      <c r="AW137" s="10"/>
      <c r="AX137" s="10">
        <f>SUM(AQ137:AW137)</f>
        <v>97500</v>
      </c>
      <c r="AZ137" s="10">
        <f t="shared" ref="AZ137:BE137" si="47">AZ133*$M$85</f>
        <v>11563.700778571121</v>
      </c>
      <c r="BA137" s="10">
        <f t="shared" si="47"/>
        <v>3343.0113326809242</v>
      </c>
      <c r="BB137" s="10">
        <f t="shared" si="47"/>
        <v>9846.6908195062751</v>
      </c>
      <c r="BC137" s="10">
        <f t="shared" si="47"/>
        <v>6247.3518944496891</v>
      </c>
      <c r="BD137" s="10">
        <f t="shared" si="47"/>
        <v>3519.6834908210976</v>
      </c>
      <c r="BE137" s="10">
        <f t="shared" si="47"/>
        <v>3549.5616839708905</v>
      </c>
      <c r="BF137" s="10"/>
      <c r="BG137" s="10">
        <f>SUM(AZ137:BF137)</f>
        <v>38069.999999999993</v>
      </c>
      <c r="BI137" s="10">
        <f t="shared" ref="BI137:BN137" si="48">BI133*$N$85</f>
        <v>3466.7814960010091</v>
      </c>
      <c r="BJ137" s="10">
        <f t="shared" si="48"/>
        <v>1002.2301727606591</v>
      </c>
      <c r="BK137" s="10">
        <f t="shared" si="48"/>
        <v>2952.0242856133</v>
      </c>
      <c r="BL137" s="10">
        <f t="shared" si="48"/>
        <v>1872.9474552662411</v>
      </c>
      <c r="BM137" s="10">
        <f t="shared" si="48"/>
        <v>1055.1962413599022</v>
      </c>
      <c r="BN137" s="10">
        <f t="shared" si="48"/>
        <v>1064.153682332224</v>
      </c>
      <c r="BO137" s="10"/>
      <c r="BP137" s="10">
        <f>SUM(BI137:BO137)</f>
        <v>11413.333333333336</v>
      </c>
    </row>
    <row r="138" spans="2:68" ht="13.2" customHeight="1">
      <c r="B138" s="309" t="str">
        <f>CONCATENATE("Daily cordon return trips in Row ",O133," times Cordon VMT per entry [which is same as per return] in Row ",45,".")</f>
        <v>Daily cordon return trips in Row 133 times Cordon VMT per entry [which is same as per return] in Row 45.</v>
      </c>
      <c r="O138" s="136">
        <f>ROW()</f>
        <v>138</v>
      </c>
      <c r="P138" s="10"/>
      <c r="Q138" s="10"/>
      <c r="R138" s="10"/>
      <c r="S138" s="10"/>
      <c r="T138" s="10"/>
      <c r="U138" s="10"/>
      <c r="V138" s="10"/>
      <c r="Y138" s="10"/>
      <c r="Z138" s="10"/>
      <c r="AA138" s="10"/>
      <c r="AB138" s="10"/>
      <c r="AC138" s="10"/>
      <c r="AD138" s="10"/>
      <c r="AE138" s="10"/>
      <c r="AH138" s="10"/>
      <c r="AI138" s="10"/>
      <c r="AJ138" s="10"/>
      <c r="AK138" s="10"/>
      <c r="AL138" s="10"/>
      <c r="AM138" s="10"/>
      <c r="AN138" s="10"/>
      <c r="AQ138"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138" s="929"/>
      <c r="AS138" s="929"/>
      <c r="AT138" s="929"/>
      <c r="AU138" s="929"/>
      <c r="AV138" s="929"/>
      <c r="AW138" s="929"/>
      <c r="AZ138" s="10"/>
      <c r="BA138" s="10"/>
      <c r="BB138" s="10"/>
      <c r="BC138" s="10"/>
      <c r="BD138" s="10"/>
      <c r="BE138" s="10"/>
      <c r="BF138" s="10"/>
      <c r="BI138" s="10"/>
      <c r="BJ138" s="10"/>
      <c r="BK138" s="10"/>
      <c r="BL138" s="10"/>
      <c r="BM138" s="10"/>
      <c r="BN138" s="10"/>
      <c r="BO138" s="10"/>
    </row>
    <row r="139" spans="2:68" ht="13.2" customHeight="1">
      <c r="B139" s="281"/>
      <c r="O139" s="136">
        <f>ROW()</f>
        <v>139</v>
      </c>
      <c r="P139" s="10"/>
      <c r="Q139" s="10"/>
      <c r="R139" s="10"/>
      <c r="S139" s="10"/>
      <c r="T139" s="10"/>
      <c r="U139" s="10"/>
      <c r="V139" s="10"/>
      <c r="Y139" s="10"/>
      <c r="Z139" s="10"/>
      <c r="AA139" s="10"/>
      <c r="AB139" s="10"/>
      <c r="AC139" s="10"/>
      <c r="AD139" s="10"/>
      <c r="AE139" s="10"/>
      <c r="AH139" s="10"/>
      <c r="AI139" s="10"/>
      <c r="AJ139" s="10"/>
      <c r="AK139" s="10"/>
      <c r="AL139" s="10"/>
      <c r="AM139" s="10"/>
      <c r="AN139" s="10"/>
      <c r="AQ139" s="282"/>
      <c r="AR139" s="929"/>
      <c r="AS139" s="929"/>
      <c r="AT139" s="929"/>
      <c r="AU139" s="929"/>
      <c r="AV139" s="929"/>
      <c r="AW139" s="929"/>
      <c r="AZ139" s="10"/>
      <c r="BA139" s="10"/>
      <c r="BB139" s="10"/>
      <c r="BC139" s="10"/>
      <c r="BD139" s="10"/>
      <c r="BE139" s="10"/>
      <c r="BF139" s="10"/>
      <c r="BI139" s="10"/>
      <c r="BJ139" s="10"/>
      <c r="BK139" s="10"/>
      <c r="BL139" s="10"/>
      <c r="BM139" s="10"/>
      <c r="BN139" s="10"/>
      <c r="BO139" s="10"/>
    </row>
    <row r="140" spans="2:68" ht="13.2" customHeight="1">
      <c r="B140" s="172" t="s">
        <v>95</v>
      </c>
      <c r="O140" s="136">
        <f>ROW()</f>
        <v>140</v>
      </c>
      <c r="P140" s="10"/>
      <c r="Q140" s="10"/>
      <c r="R140" s="10"/>
      <c r="S140" s="10"/>
      <c r="T140" s="10"/>
      <c r="U140" s="10"/>
      <c r="V140" s="10"/>
      <c r="Y140" s="10"/>
      <c r="Z140" s="10"/>
      <c r="AA140" s="10"/>
      <c r="AB140" s="10"/>
      <c r="AC140" s="10"/>
      <c r="AD140" s="10"/>
      <c r="AE140" s="10"/>
      <c r="AH140" s="10"/>
      <c r="AI140" s="10"/>
      <c r="AJ140" s="10"/>
      <c r="AK140" s="10"/>
      <c r="AL140" s="10"/>
      <c r="AM140" s="10"/>
      <c r="AN140" s="10"/>
      <c r="AQ140" s="929"/>
      <c r="AR140" s="929"/>
      <c r="AS140" s="929"/>
      <c r="AT140" s="929"/>
      <c r="AU140" s="929"/>
      <c r="AV140" s="929"/>
      <c r="AW140" s="929"/>
      <c r="AZ140" s="10"/>
      <c r="BA140" s="10"/>
      <c r="BB140" s="10"/>
      <c r="BC140" s="10"/>
      <c r="BD140" s="10"/>
      <c r="BE140" s="10"/>
      <c r="BF140" s="10"/>
      <c r="BI140" s="10"/>
      <c r="BJ140" s="10"/>
      <c r="BK140" s="10"/>
      <c r="BL140" s="10"/>
      <c r="BM140" s="10"/>
      <c r="BN140" s="10"/>
      <c r="BO140" s="10"/>
    </row>
    <row r="141" spans="2:68" ht="13.2" customHeight="1">
      <c r="B141" s="281" t="s">
        <v>1202</v>
      </c>
      <c r="G141" s="22">
        <f>AVERAGE(SUM('Weekend Hours'!D31:D40),SUM('Weekend Hours'!L31:L40))</f>
        <v>0.27043598915210065</v>
      </c>
      <c r="H141" s="22">
        <f>AVERAGE(SUM('Weekend Hours'!D41:D42),SUM('Weekend Hours'!L41:L42))</f>
        <v>8.9915771051508053E-2</v>
      </c>
      <c r="I141" s="22">
        <f>AVERAGE(SUM('Weekend Hours'!D43:D47),SUM('Weekend Hours'!L43:L47))</f>
        <v>0.27391855734673393</v>
      </c>
      <c r="J141" s="22">
        <f>AVERAGE(SUM('Weekend Hours'!D48:D50),SUM('Weekend Hours'!L48:L50))</f>
        <v>0.17526222830170543</v>
      </c>
      <c r="K141" s="22">
        <f>AVERAGE(SUM('Weekend Hours'!D51:D52),SUM('Weekend Hours'!L51:L52))</f>
        <v>0.10125786252895175</v>
      </c>
      <c r="L141" s="22">
        <f>AVERAGE(SUM('Weekend Hours'!D53:D54),SUM('Weekend Hours'!L53:L54))</f>
        <v>8.9209591619000217E-2</v>
      </c>
      <c r="M141" s="22"/>
      <c r="N141" s="927">
        <f>SUM(G141:M141)</f>
        <v>1</v>
      </c>
      <c r="O141" s="136">
        <f>ROW()</f>
        <v>141</v>
      </c>
      <c r="P141" s="930">
        <f t="shared" ref="P141:V141" si="49">G141</f>
        <v>0.27043598915210065</v>
      </c>
      <c r="Q141" s="930">
        <f t="shared" si="49"/>
        <v>8.9915771051508053E-2</v>
      </c>
      <c r="R141" s="930">
        <f t="shared" si="49"/>
        <v>0.27391855734673393</v>
      </c>
      <c r="S141" s="930">
        <f t="shared" si="49"/>
        <v>0.17526222830170543</v>
      </c>
      <c r="T141" s="930">
        <f t="shared" si="49"/>
        <v>0.10125786252895175</v>
      </c>
      <c r="U141" s="930">
        <f t="shared" si="49"/>
        <v>8.9209591619000217E-2</v>
      </c>
      <c r="V141" s="930">
        <f t="shared" si="49"/>
        <v>0</v>
      </c>
      <c r="W141" s="930">
        <f>SUM(P141:V141)</f>
        <v>1</v>
      </c>
      <c r="Y141" s="22">
        <f t="shared" ref="Y141:AE141" si="50">G141</f>
        <v>0.27043598915210065</v>
      </c>
      <c r="Z141" s="22">
        <f t="shared" si="50"/>
        <v>8.9915771051508053E-2</v>
      </c>
      <c r="AA141" s="22">
        <f t="shared" si="50"/>
        <v>0.27391855734673393</v>
      </c>
      <c r="AB141" s="22">
        <f t="shared" si="50"/>
        <v>0.17526222830170543</v>
      </c>
      <c r="AC141" s="22">
        <f t="shared" si="50"/>
        <v>0.10125786252895175</v>
      </c>
      <c r="AD141" s="22">
        <f t="shared" si="50"/>
        <v>8.9209591619000217E-2</v>
      </c>
      <c r="AE141" s="22">
        <f t="shared" si="50"/>
        <v>0</v>
      </c>
      <c r="AF141" s="930">
        <f>SUM(Y141:AE141)</f>
        <v>1</v>
      </c>
      <c r="AH141" s="22">
        <f t="shared" ref="AH141:AN141" si="51">P141</f>
        <v>0.27043598915210065</v>
      </c>
      <c r="AI141" s="22">
        <f t="shared" si="51"/>
        <v>8.9915771051508053E-2</v>
      </c>
      <c r="AJ141" s="22">
        <f t="shared" si="51"/>
        <v>0.27391855734673393</v>
      </c>
      <c r="AK141" s="22">
        <f t="shared" si="51"/>
        <v>0.17526222830170543</v>
      </c>
      <c r="AL141" s="22">
        <f t="shared" si="51"/>
        <v>0.10125786252895175</v>
      </c>
      <c r="AM141" s="22">
        <f t="shared" si="51"/>
        <v>8.9209591619000217E-2</v>
      </c>
      <c r="AN141" s="22">
        <f t="shared" si="51"/>
        <v>0</v>
      </c>
      <c r="AO141" s="930">
        <f>SUM(AH141:AN141)</f>
        <v>1</v>
      </c>
      <c r="AQ141" s="22">
        <f>Taxis!Q179</f>
        <v>0.36953157668684072</v>
      </c>
      <c r="AR141" s="22">
        <f>Taxis!R179</f>
        <v>8.2189138249234114E-2</v>
      </c>
      <c r="AS141" s="22">
        <f>Taxis!S179</f>
        <v>0.2253067770767434</v>
      </c>
      <c r="AT141" s="22">
        <f>Taxis!T179</f>
        <v>0.14237862385493333</v>
      </c>
      <c r="AU141" s="22">
        <f>Taxis!U179</f>
        <v>9.1919622052858474E-2</v>
      </c>
      <c r="AV141" s="22">
        <f>Taxis!V179</f>
        <v>8.8674262079389971E-2</v>
      </c>
      <c r="AW141" s="22"/>
      <c r="AX141" s="930">
        <f>SUM(AQ141:AW141)</f>
        <v>1</v>
      </c>
      <c r="AZ141" s="22">
        <f t="shared" ref="AZ141:BE141" si="52">G141</f>
        <v>0.27043598915210065</v>
      </c>
      <c r="BA141" s="22">
        <f t="shared" si="52"/>
        <v>8.9915771051508053E-2</v>
      </c>
      <c r="BB141" s="22">
        <f t="shared" si="52"/>
        <v>0.27391855734673393</v>
      </c>
      <c r="BC141" s="22">
        <f t="shared" si="52"/>
        <v>0.17526222830170543</v>
      </c>
      <c r="BD141" s="22">
        <f t="shared" si="52"/>
        <v>0.10125786252895175</v>
      </c>
      <c r="BE141" s="22">
        <f t="shared" si="52"/>
        <v>8.9209591619000217E-2</v>
      </c>
      <c r="BF141" s="22"/>
      <c r="BG141" s="930">
        <f>SUM(AZ141:BF141)</f>
        <v>1</v>
      </c>
      <c r="BI141" s="22">
        <f t="shared" ref="BI141:BN141" si="53">G141</f>
        <v>0.27043598915210065</v>
      </c>
      <c r="BJ141" s="22">
        <f t="shared" si="53"/>
        <v>8.9915771051508053E-2</v>
      </c>
      <c r="BK141" s="22">
        <f t="shared" si="53"/>
        <v>0.27391855734673393</v>
      </c>
      <c r="BL141" s="22">
        <f t="shared" si="53"/>
        <v>0.17526222830170543</v>
      </c>
      <c r="BM141" s="22">
        <f t="shared" si="53"/>
        <v>0.10125786252895175</v>
      </c>
      <c r="BN141" s="22">
        <f t="shared" si="53"/>
        <v>8.9209591619000217E-2</v>
      </c>
      <c r="BO141" s="22"/>
      <c r="BP141" s="930">
        <f>SUM(BI141:BO141)</f>
        <v>1</v>
      </c>
    </row>
    <row r="142" spans="2:68" ht="13.2" customHeight="1">
      <c r="B142" s="309" t="s">
        <v>1511</v>
      </c>
      <c r="O142" s="136">
        <f>ROW()</f>
        <v>142</v>
      </c>
      <c r="P142" s="282" t="s">
        <v>389</v>
      </c>
      <c r="Y142" s="282" t="s">
        <v>389</v>
      </c>
      <c r="AH142" s="282" t="s">
        <v>389</v>
      </c>
      <c r="AQ142" s="265" t="str">
        <f>CONCATENATE("Derived in 'Taxis' worksheet tab, Row ",Taxis!O179, ", from TLC compilation of taxi 'boardings' for 2 weekend days (and 2 weekdays) in March 2009.")</f>
        <v>Derived in 'Taxis' worksheet tab, Row 179, from TLC compilation of taxi 'boardings' for 2 weekend days (and 2 weekdays) in March 2009.</v>
      </c>
      <c r="AZ142" s="282" t="s">
        <v>389</v>
      </c>
      <c r="BI142" s="282" t="s">
        <v>389</v>
      </c>
    </row>
    <row r="143" spans="2:68" ht="13.2" customHeight="1">
      <c r="B143" s="281" t="s">
        <v>1834</v>
      </c>
      <c r="G143" s="575">
        <f t="shared" ref="G143:L143" si="54">P143+Y143+AH143+AQ143+AZ143+BI143</f>
        <v>488668.42365008855</v>
      </c>
      <c r="H143" s="575">
        <f t="shared" si="54"/>
        <v>114191.67987211252</v>
      </c>
      <c r="I143" s="575">
        <f t="shared" si="54"/>
        <v>318108.74214517971</v>
      </c>
      <c r="J143" s="575">
        <f t="shared" si="54"/>
        <v>201423.41546546743</v>
      </c>
      <c r="K143" s="575">
        <f t="shared" si="54"/>
        <v>127839.85484274241</v>
      </c>
      <c r="L143" s="575">
        <f t="shared" si="54"/>
        <v>121759.32724785243</v>
      </c>
      <c r="N143" s="10">
        <f>SUM(G143:M143)</f>
        <v>1371991.4432234431</v>
      </c>
      <c r="O143" s="136">
        <f>ROW()</f>
        <v>143</v>
      </c>
      <c r="P143" s="929">
        <f t="shared" ref="P143:V143" si="55">P141*$I$98</f>
        <v>10701.73159643966</v>
      </c>
      <c r="Q143" s="929">
        <f t="shared" si="55"/>
        <v>3558.1597371604262</v>
      </c>
      <c r="R143" s="929">
        <f t="shared" si="55"/>
        <v>10839.544282547431</v>
      </c>
      <c r="S143" s="929">
        <f t="shared" si="55"/>
        <v>6935.5019358162717</v>
      </c>
      <c r="T143" s="929">
        <f t="shared" si="55"/>
        <v>4006.9906014046105</v>
      </c>
      <c r="U143" s="929">
        <f t="shared" si="55"/>
        <v>3530.2147037744498</v>
      </c>
      <c r="V143" s="929">
        <f t="shared" si="55"/>
        <v>0</v>
      </c>
      <c r="W143" s="10">
        <f>SUM(P143:V143)</f>
        <v>39572.142857142848</v>
      </c>
      <c r="Y143" s="929">
        <f t="shared" ref="Y143:AE143" si="56">Y141*$J$98</f>
        <v>32105.194789318979</v>
      </c>
      <c r="Z143" s="929">
        <f t="shared" si="56"/>
        <v>10674.479211481277</v>
      </c>
      <c r="AA143" s="929">
        <f t="shared" si="56"/>
        <v>32518.63284764229</v>
      </c>
      <c r="AB143" s="929">
        <f t="shared" si="56"/>
        <v>20806.505807448815</v>
      </c>
      <c r="AC143" s="929">
        <f t="shared" si="56"/>
        <v>12020.97180421383</v>
      </c>
      <c r="AD143" s="929">
        <f t="shared" si="56"/>
        <v>10590.644111323349</v>
      </c>
      <c r="AE143" s="929">
        <f t="shared" si="56"/>
        <v>0</v>
      </c>
      <c r="AF143" s="10">
        <f>SUM(Y143:AE143)</f>
        <v>118716.42857142854</v>
      </c>
      <c r="AH143" s="929">
        <f t="shared" ref="AH143:AN143" si="57">AH141*$K$98</f>
        <v>0</v>
      </c>
      <c r="AI143" s="929">
        <f t="shared" si="57"/>
        <v>0</v>
      </c>
      <c r="AJ143" s="929">
        <f t="shared" si="57"/>
        <v>0</v>
      </c>
      <c r="AK143" s="929">
        <f t="shared" si="57"/>
        <v>0</v>
      </c>
      <c r="AL143" s="929">
        <f t="shared" si="57"/>
        <v>0</v>
      </c>
      <c r="AM143" s="929">
        <f t="shared" si="57"/>
        <v>0</v>
      </c>
      <c r="AN143" s="929">
        <f t="shared" si="57"/>
        <v>0</v>
      </c>
      <c r="AO143" s="10">
        <f>SUM(AH143:AN143)</f>
        <v>0</v>
      </c>
      <c r="AQ143" s="10">
        <f t="shared" ref="AQ143:AV143" si="58">AQ141*$L$98</f>
        <v>438656.72193199908</v>
      </c>
      <c r="AR143" s="10">
        <f t="shared" si="58"/>
        <v>97563.564894963914</v>
      </c>
      <c r="AS143" s="10">
        <f t="shared" si="58"/>
        <v>267453.00942252984</v>
      </c>
      <c r="AT143" s="10">
        <f t="shared" si="58"/>
        <v>169012.18827727382</v>
      </c>
      <c r="AU143" s="10">
        <f t="shared" si="58"/>
        <v>109114.24796886933</v>
      </c>
      <c r="AV143" s="10">
        <f t="shared" si="58"/>
        <v>105261.8059659023</v>
      </c>
      <c r="AW143" s="929"/>
      <c r="AX143" s="10">
        <f>SUM(AQ143:AW143)</f>
        <v>1187061.5384615383</v>
      </c>
      <c r="AZ143" s="929">
        <f t="shared" ref="AZ143:BE143" si="59">AZ141*$M$98</f>
        <v>4118.1992428081885</v>
      </c>
      <c r="BA143" s="929">
        <f t="shared" si="59"/>
        <v>1369.2373615723645</v>
      </c>
      <c r="BB143" s="929">
        <f t="shared" si="59"/>
        <v>4171.2317912760636</v>
      </c>
      <c r="BC143" s="929">
        <f t="shared" si="59"/>
        <v>2668.8932125783699</v>
      </c>
      <c r="BD143" s="929">
        <f t="shared" si="59"/>
        <v>1541.954730590877</v>
      </c>
      <c r="BE143" s="929">
        <f t="shared" si="59"/>
        <v>1358.4836611741352</v>
      </c>
      <c r="BF143" s="929"/>
      <c r="BG143" s="10">
        <f>SUM(AZ143:BF143)</f>
        <v>15227.999999999998</v>
      </c>
      <c r="BI143" s="929">
        <f t="shared" ref="BI143:BN143" si="60">BI141*$N$98</f>
        <v>3086.5760895226422</v>
      </c>
      <c r="BJ143" s="929">
        <f t="shared" si="60"/>
        <v>1026.2386669345453</v>
      </c>
      <c r="BK143" s="929">
        <f t="shared" si="60"/>
        <v>3126.3238011840567</v>
      </c>
      <c r="BL143" s="929">
        <f t="shared" si="60"/>
        <v>2000.3262323501315</v>
      </c>
      <c r="BM143" s="929">
        <f t="shared" si="60"/>
        <v>1155.6897376637694</v>
      </c>
      <c r="BN143" s="929">
        <f t="shared" si="60"/>
        <v>1018.1788056781892</v>
      </c>
      <c r="BO143" s="929"/>
      <c r="BP143" s="10">
        <f>SUM(BI143:BO143)</f>
        <v>11413.333333333336</v>
      </c>
    </row>
    <row r="144" spans="2:68" ht="13.2" customHeight="1">
      <c r="B144" s="309" t="s">
        <v>2805</v>
      </c>
      <c r="O144" s="136">
        <f>ROW()</f>
        <v>144</v>
      </c>
      <c r="P144" s="282" t="str">
        <f>CONCATENATE("Each entry is product of %'s in row ",$O141," times est'd VMT of m.v. trips within cordon (trips that don't cross cordon) shown in row ",$O98, ".")</f>
        <v>Each entry is product of %'s in row 141 times est'd VMT of m.v. trips within cordon (trips that don't cross cordon) shown in row 98.</v>
      </c>
      <c r="Y144" s="282" t="str">
        <f>CONCATENATE("Each entry is product of %'s in row ",$O141," times est'd VMT of m.v. trips within cordon (trips that don't cross cordon) shown in row ",$O98, ".")</f>
        <v>Each entry is product of %'s in row 141 times est'd VMT of m.v. trips within cordon (trips that don't cross cordon) shown in row 98.</v>
      </c>
      <c r="AH144" s="282" t="s">
        <v>2441</v>
      </c>
      <c r="AQ144" s="282" t="str">
        <f>CONCATENATE("Each entry is product of %'s in row ",$O141," times est'd VMT of taxi trips within cordon (trips that don't cross cordon) shown in row ",$O98, ".")</f>
        <v>Each entry is product of %'s in row 141 times est'd VMT of taxi trips within cordon (trips that don't cross cordon) shown in row 98.</v>
      </c>
      <c r="AZ144" s="282" t="str">
        <f>CONCATENATE("Each entry is product of %'s in row ",$O141," times est'd VMT of m.v. trips within cordon (trips that don't cross cordon) shown in row ",$O98, ".")</f>
        <v>Each entry is product of %'s in row 141 times est'd VMT of m.v. trips within cordon (trips that don't cross cordon) shown in row 98.</v>
      </c>
      <c r="BI144" s="282" t="str">
        <f>CONCATENATE("Each entry is product of %'s in row ",$O141," times est'd VMT of m.v. trips within cordon (trips that don't cross cordon) shown in row ",$O98, ".")</f>
        <v>Each entry is product of %'s in row 141 times est'd VMT of m.v. trips within cordon (trips that don't cross cordon) shown in row 98.</v>
      </c>
    </row>
    <row r="145" spans="2:68" ht="13.2" customHeight="1">
      <c r="O145" s="136">
        <f>ROW()</f>
        <v>145</v>
      </c>
    </row>
    <row r="146" spans="2:68" ht="13.2" customHeight="1">
      <c r="B146" s="172" t="s">
        <v>96</v>
      </c>
      <c r="O146" s="136">
        <f>ROW()</f>
        <v>146</v>
      </c>
    </row>
    <row r="147" spans="2:68" s="1122" customFormat="1" ht="13.2" customHeight="1">
      <c r="B147" s="1190" t="s">
        <v>2901</v>
      </c>
      <c r="G147" s="1122">
        <f t="shared" ref="G147:L147" si="61">G129+G137+G143</f>
        <v>966348.40322445449</v>
      </c>
      <c r="H147" s="1122">
        <f t="shared" si="61"/>
        <v>276084.04021987767</v>
      </c>
      <c r="I147" s="1122">
        <f t="shared" si="61"/>
        <v>814485.41560795251</v>
      </c>
      <c r="J147" s="1122">
        <f t="shared" si="61"/>
        <v>519588.65498487646</v>
      </c>
      <c r="K147" s="1122">
        <f t="shared" si="61"/>
        <v>312055.85822322837</v>
      </c>
      <c r="L147" s="1122">
        <f t="shared" si="61"/>
        <v>281355.73762972013</v>
      </c>
      <c r="N147" s="1127">
        <f>SUM(G147:M147)</f>
        <v>3169918.1098901094</v>
      </c>
      <c r="O147" s="136">
        <f>ROW()</f>
        <v>147</v>
      </c>
      <c r="P147" s="1122">
        <f t="shared" ref="P147:V147" si="62">P129+P137+P143</f>
        <v>95554.839561388726</v>
      </c>
      <c r="Q147" s="1122">
        <f t="shared" si="62"/>
        <v>31045.897685972068</v>
      </c>
      <c r="R147" s="1122">
        <f t="shared" si="62"/>
        <v>86799.21351780463</v>
      </c>
      <c r="S147" s="1122">
        <f t="shared" si="62"/>
        <v>45188.057105657717</v>
      </c>
      <c r="T147" s="1122">
        <f t="shared" si="62"/>
        <v>32087.460191062917</v>
      </c>
      <c r="U147" s="1122">
        <f t="shared" si="62"/>
        <v>25901.674795256742</v>
      </c>
      <c r="V147" s="1122">
        <f t="shared" si="62"/>
        <v>0</v>
      </c>
      <c r="W147" s="1122">
        <f>SUM(P147:V147)</f>
        <v>316577.14285714284</v>
      </c>
      <c r="Y147" s="1122">
        <f t="shared" ref="Y147:AE147" si="63">Y129+Y137+Y143</f>
        <v>233220.79282944798</v>
      </c>
      <c r="Z147" s="1122">
        <f t="shared" si="63"/>
        <v>79298.925049745027</v>
      </c>
      <c r="AA147" s="1122">
        <f t="shared" si="63"/>
        <v>265917.93365532858</v>
      </c>
      <c r="AB147" s="1122">
        <f t="shared" si="63"/>
        <v>184143.88381395629</v>
      </c>
      <c r="AC147" s="1122">
        <f t="shared" si="63"/>
        <v>98363.347262120238</v>
      </c>
      <c r="AD147" s="1122">
        <f t="shared" si="63"/>
        <v>88786.545960830234</v>
      </c>
      <c r="AE147" s="1122">
        <f t="shared" si="63"/>
        <v>0</v>
      </c>
      <c r="AF147" s="1122">
        <f>SUM(Y147:AE147)</f>
        <v>949731.42857142841</v>
      </c>
      <c r="AH147" s="1122">
        <f t="shared" ref="AH147:AN147" si="64">AH129+AH137+AH143</f>
        <v>111001.50627498326</v>
      </c>
      <c r="AI147" s="1122">
        <f t="shared" si="64"/>
        <v>35947.117341374033</v>
      </c>
      <c r="AJ147" s="1122">
        <f t="shared" si="64"/>
        <v>94118.142956724623</v>
      </c>
      <c r="AK147" s="1122">
        <f t="shared" si="64"/>
        <v>56819.011736650238</v>
      </c>
      <c r="AL147" s="1122">
        <f t="shared" si="64"/>
        <v>34732.721992521518</v>
      </c>
      <c r="AM147" s="1122">
        <f t="shared" si="64"/>
        <v>30821.499697746483</v>
      </c>
      <c r="AN147" s="1122">
        <f t="shared" si="64"/>
        <v>0</v>
      </c>
      <c r="AO147" s="1122">
        <f>SUM(AH147:AN147)</f>
        <v>363440.00000000012</v>
      </c>
      <c r="AQ147" s="1122">
        <f t="shared" ref="AQ147:AV147" si="65">AQ129+AQ137+AQ143</f>
        <v>492602.34083321749</v>
      </c>
      <c r="AR147" s="1122">
        <f t="shared" si="65"/>
        <v>118497.95997254874</v>
      </c>
      <c r="AS147" s="1122">
        <f t="shared" si="65"/>
        <v>333243.76332688617</v>
      </c>
      <c r="AT147" s="1122">
        <f t="shared" si="65"/>
        <v>211423.36435609157</v>
      </c>
      <c r="AU147" s="1122">
        <f t="shared" si="65"/>
        <v>134153.53118098708</v>
      </c>
      <c r="AV147" s="1122">
        <f t="shared" si="65"/>
        <v>124640.57879180725</v>
      </c>
      <c r="AX147" s="1122">
        <f>SUM(AQ147:AW147)</f>
        <v>1414561.5384615383</v>
      </c>
      <c r="AZ147" s="1122">
        <f t="shared" ref="AZ147:BE147" si="66">AZ129+AZ137+AZ143</f>
        <v>24709.195456849127</v>
      </c>
      <c r="BA147" s="1122">
        <f t="shared" si="66"/>
        <v>8215.4241694341872</v>
      </c>
      <c r="BB147" s="1122">
        <f t="shared" si="66"/>
        <v>25027.39074765638</v>
      </c>
      <c r="BC147" s="1122">
        <f t="shared" si="66"/>
        <v>16013.35927547022</v>
      </c>
      <c r="BD147" s="1122">
        <f t="shared" si="66"/>
        <v>9251.7283835452617</v>
      </c>
      <c r="BE147" s="1122">
        <f t="shared" si="66"/>
        <v>8150.9019670448106</v>
      </c>
      <c r="BG147" s="1122">
        <f>SUM(AZ147:BF147)</f>
        <v>91367.999999999971</v>
      </c>
      <c r="BI147" s="1122">
        <f t="shared" ref="BI147:BN147" si="67">BI129+BI137+BI143</f>
        <v>9259.7282685679274</v>
      </c>
      <c r="BJ147" s="1122">
        <f t="shared" si="67"/>
        <v>3078.7160008036362</v>
      </c>
      <c r="BK147" s="1122">
        <f t="shared" si="67"/>
        <v>9378.9714035521702</v>
      </c>
      <c r="BL147" s="1122">
        <f t="shared" si="67"/>
        <v>6000.9786970503937</v>
      </c>
      <c r="BM147" s="1122">
        <f t="shared" si="67"/>
        <v>3467.0692129913082</v>
      </c>
      <c r="BN147" s="1122">
        <f t="shared" si="67"/>
        <v>3054.5364170345679</v>
      </c>
      <c r="BP147" s="1122">
        <f>SUM(BI147:BO147)</f>
        <v>34240.000000000007</v>
      </c>
    </row>
    <row r="148" spans="2:68" ht="13.2" customHeight="1">
      <c r="B148" s="309" t="str">
        <f>CONCATENATE("Each entry is sum of respective VMT's in Rows ",O129, ", ",O137, " and ",103, ".")</f>
        <v>Each entry is sum of respective VMT's in Rows 129, 137 and 103.</v>
      </c>
      <c r="G148" s="575"/>
      <c r="H148" s="575"/>
      <c r="I148" s="575"/>
      <c r="J148" s="575"/>
      <c r="K148" s="575"/>
      <c r="L148" s="575"/>
      <c r="N148" s="186"/>
      <c r="O148" s="136">
        <f>ROW()</f>
        <v>148</v>
      </c>
      <c r="W148" s="10"/>
      <c r="AF148" s="10"/>
      <c r="AO148" s="10"/>
      <c r="AQ148" s="12">
        <f t="shared" ref="AQ148:AV148" si="68">AQ147/G147</f>
        <v>0.50975645966768401</v>
      </c>
      <c r="AR148" s="12">
        <f t="shared" si="68"/>
        <v>0.42920974308466037</v>
      </c>
      <c r="AS148" s="12">
        <f t="shared" si="68"/>
        <v>0.40914638487190663</v>
      </c>
      <c r="AT148" s="12">
        <f t="shared" si="68"/>
        <v>0.40690527463931137</v>
      </c>
      <c r="AU148" s="12">
        <f t="shared" si="68"/>
        <v>0.429902300007522</v>
      </c>
      <c r="AV148" s="12">
        <f t="shared" si="68"/>
        <v>0.4429999538727773</v>
      </c>
      <c r="AW148" s="12"/>
      <c r="AX148" s="12">
        <f>AX147/N147</f>
        <v>0.44624545159325157</v>
      </c>
      <c r="BG148" s="10"/>
      <c r="BP148" s="10"/>
    </row>
    <row r="149" spans="2:68" ht="13.2" customHeight="1">
      <c r="B149" s="281" t="s">
        <v>2900</v>
      </c>
      <c r="G149" s="575">
        <f t="shared" ref="G149:L149" si="69">G147/G118</f>
        <v>96634.840322445452</v>
      </c>
      <c r="H149" s="575">
        <f t="shared" si="69"/>
        <v>138042.02010993884</v>
      </c>
      <c r="I149" s="575">
        <f t="shared" si="69"/>
        <v>162897.08312159049</v>
      </c>
      <c r="J149" s="575">
        <f t="shared" si="69"/>
        <v>173196.21832829216</v>
      </c>
      <c r="K149" s="575">
        <f t="shared" si="69"/>
        <v>156027.92911161418</v>
      </c>
      <c r="L149" s="575">
        <f t="shared" si="69"/>
        <v>140677.86881486006</v>
      </c>
      <c r="O149" s="136">
        <f>ROW()</f>
        <v>149</v>
      </c>
      <c r="AX149" s="3" t="s">
        <v>3167</v>
      </c>
    </row>
    <row r="150" spans="2:68" ht="13.2" customHeight="1">
      <c r="B150" s="309" t="str">
        <f>CONCATENATE("Period VMT in Row ",O147, " divided by hours in period in Row ",O118, ".")</f>
        <v>Period VMT in Row 147 divided by hours in period in Row 118.</v>
      </c>
      <c r="O150" s="136">
        <f>ROW()</f>
        <v>150</v>
      </c>
      <c r="AW150" s="3"/>
      <c r="AX150" s="927"/>
    </row>
    <row r="151" spans="2:68" ht="13.2" customHeight="1">
      <c r="B151" s="281" t="s">
        <v>1827</v>
      </c>
      <c r="G151" s="927">
        <f>G149/MAX('Motor Vs'!$G$149:'Motor Vs'!$M$149)</f>
        <v>0.52171959654757716</v>
      </c>
      <c r="H151" s="927">
        <f>H149/MAX('Motor Vs'!$G$149:'Motor Vs'!$M$149)</f>
        <v>0.74527185845250332</v>
      </c>
      <c r="I151" s="927">
        <f>I149/MAX('Motor Vs'!$G$149:'Motor Vs'!$M$149)</f>
        <v>0.87946128126662237</v>
      </c>
      <c r="J151" s="927">
        <f>J149/MAX('Motor Vs'!$G$149:'Motor Vs'!$M$149)</f>
        <v>0.93506504329385975</v>
      </c>
      <c r="K151" s="927">
        <f>K149/MAX('Motor Vs'!$G$149:'Motor Vs'!$M$149)</f>
        <v>0.84237556511342238</v>
      </c>
      <c r="L151" s="927">
        <f>L149/MAX('Motor Vs'!$G$149:'Motor Vs'!$M$149)</f>
        <v>0.75950248084814609</v>
      </c>
      <c r="M151" s="927"/>
      <c r="O151" s="136">
        <f>ROW()</f>
        <v>151</v>
      </c>
      <c r="P151" s="4147" t="s">
        <v>2680</v>
      </c>
      <c r="Q151" s="4147"/>
      <c r="R151" s="4147"/>
      <c r="S151" s="4147"/>
      <c r="T151" s="4147"/>
      <c r="U151" s="4147"/>
      <c r="V151" s="4147"/>
      <c r="W151" s="4147"/>
      <c r="Y151" s="4147" t="s">
        <v>2681</v>
      </c>
      <c r="Z151" s="4147"/>
      <c r="AA151" s="4147"/>
      <c r="AB151" s="4147"/>
      <c r="AC151" s="4147"/>
      <c r="AD151" s="4147"/>
      <c r="AE151" s="4147"/>
      <c r="AF151" s="4147"/>
      <c r="AH151" s="4263" t="s">
        <v>5482</v>
      </c>
      <c r="AI151" s="4264"/>
      <c r="AJ151" s="4264"/>
      <c r="AK151" s="4264"/>
      <c r="AL151" s="4264"/>
      <c r="AM151" s="4264"/>
      <c r="AN151" s="4264"/>
      <c r="AO151" s="4264"/>
      <c r="AQ151" s="4147" t="s">
        <v>713</v>
      </c>
      <c r="AR151" s="4147"/>
      <c r="AS151" s="4147"/>
      <c r="AT151" s="4147"/>
      <c r="AU151" s="4147"/>
      <c r="AV151" s="4147"/>
      <c r="AW151" s="4147"/>
      <c r="AX151" s="4147"/>
      <c r="AZ151" s="4147" t="s">
        <v>460</v>
      </c>
      <c r="BA151" s="4147"/>
      <c r="BB151" s="4147"/>
      <c r="BC151" s="4147"/>
      <c r="BD151" s="4147"/>
      <c r="BE151" s="4147"/>
      <c r="BF151" s="4147"/>
      <c r="BG151" s="4147"/>
      <c r="BI151" s="4147" t="s">
        <v>849</v>
      </c>
      <c r="BJ151" s="4147"/>
      <c r="BK151" s="4147"/>
      <c r="BL151" s="4147"/>
      <c r="BM151" s="4147"/>
      <c r="BN151" s="4147"/>
      <c r="BO151" s="4147"/>
      <c r="BP151" s="4147"/>
    </row>
    <row r="152" spans="2:68" ht="13.2" customHeight="1">
      <c r="B152" s="309" t="str">
        <f>CONCATENATE("Ratio of Hourly VMT for period, as shown in Row ",O149,", to maximum hourly VMT shown in Row ",O149, " of 'Motor Vs' worksheet.")</f>
        <v>Ratio of Hourly VMT for period, as shown in Row 149, to maximum hourly VMT shown in Row 149 of 'Motor Vs' worksheet.</v>
      </c>
      <c r="O152" s="136">
        <f>ROW()</f>
        <v>152</v>
      </c>
    </row>
    <row r="153" spans="2:68" ht="13.2" customHeight="1">
      <c r="B153" s="309"/>
      <c r="O153" s="136">
        <f>ROW()</f>
        <v>153</v>
      </c>
    </row>
    <row r="154" spans="2:68" ht="13.2" customHeight="1">
      <c r="B154" s="172" t="s">
        <v>1955</v>
      </c>
      <c r="O154" s="136">
        <f>ROW()</f>
        <v>154</v>
      </c>
    </row>
    <row r="155" spans="2:68" ht="13.2" customHeight="1">
      <c r="B155" s="269" t="s">
        <v>2620</v>
      </c>
      <c r="O155" s="136">
        <f>ROW()</f>
        <v>155</v>
      </c>
    </row>
    <row r="156" spans="2:68" ht="13.2" customHeight="1">
      <c r="B156" s="281" t="s">
        <v>2428</v>
      </c>
      <c r="G156" s="575">
        <f t="shared" ref="G156:L158" si="70">P156+Y156+AH156+AQ156+AZ156+BI156</f>
        <v>2490821.5343688177</v>
      </c>
      <c r="H156" s="575">
        <f t="shared" si="70"/>
        <v>956630.61819922051</v>
      </c>
      <c r="I156" s="575">
        <f t="shared" si="70"/>
        <v>2912463.4500223249</v>
      </c>
      <c r="J156" s="575">
        <f t="shared" si="70"/>
        <v>1857200.7899154611</v>
      </c>
      <c r="K156" s="575">
        <f t="shared" si="70"/>
        <v>1108453.5872026505</v>
      </c>
      <c r="L156" s="575">
        <f t="shared" si="70"/>
        <v>857845.05396496225</v>
      </c>
      <c r="N156" s="10">
        <f>SUM(G156:M156)</f>
        <v>10183415.033673435</v>
      </c>
      <c r="O156" s="136">
        <f>ROW()</f>
        <v>156</v>
      </c>
      <c r="P156" s="10">
        <f t="shared" ref="P156:U156" si="71">P122*$I$79</f>
        <v>482025.70747898665</v>
      </c>
      <c r="Q156" s="10">
        <f t="shared" si="71"/>
        <v>172668.18759254433</v>
      </c>
      <c r="R156" s="10">
        <f t="shared" si="71"/>
        <v>452205.178563444</v>
      </c>
      <c r="S156" s="10">
        <f t="shared" si="71"/>
        <v>174905.00394345721</v>
      </c>
      <c r="T156" s="10">
        <f t="shared" si="71"/>
        <v>172104.6327041194</v>
      </c>
      <c r="U156" s="10">
        <f t="shared" si="71"/>
        <v>106558.21258796683</v>
      </c>
      <c r="V156" s="10"/>
      <c r="W156" s="10">
        <f>SUM(P156:V156)</f>
        <v>1560466.9228705184</v>
      </c>
      <c r="Y156" s="10">
        <f t="shared" ref="Y156:AD156" si="72">Y122*$J$79</f>
        <v>843942.38529324275</v>
      </c>
      <c r="Z156" s="10">
        <f t="shared" si="72"/>
        <v>362087.23471474706</v>
      </c>
      <c r="AA156" s="10">
        <f t="shared" si="72"/>
        <v>1418811.0541112139</v>
      </c>
      <c r="AB156" s="10">
        <f t="shared" si="72"/>
        <v>1072048.3413666738</v>
      </c>
      <c r="AC156" s="10">
        <f t="shared" si="72"/>
        <v>539984.87173471437</v>
      </c>
      <c r="AD156" s="10">
        <f t="shared" si="72"/>
        <v>444526.88139096252</v>
      </c>
      <c r="AE156" s="10"/>
      <c r="AF156" s="10">
        <f>SUM(Y156:AE156)</f>
        <v>4681400.768611555</v>
      </c>
      <c r="AH156" s="10">
        <f t="shared" ref="AH156:AM156" si="73">AH122*$K$79</f>
        <v>1010460.8651390178</v>
      </c>
      <c r="AI156" s="10">
        <f t="shared" si="73"/>
        <v>361960.87368297594</v>
      </c>
      <c r="AJ156" s="10">
        <f t="shared" si="73"/>
        <v>853153.81726675481</v>
      </c>
      <c r="AK156" s="10">
        <f t="shared" si="73"/>
        <v>488866.48951063456</v>
      </c>
      <c r="AL156" s="10">
        <f t="shared" si="73"/>
        <v>324701.55434146995</v>
      </c>
      <c r="AM156" s="10">
        <f t="shared" si="73"/>
        <v>251297.8348659921</v>
      </c>
      <c r="AN156" s="10"/>
      <c r="AO156" s="10">
        <f>SUM(AH156:AN156)</f>
        <v>3290441.4348068447</v>
      </c>
      <c r="AQ156" s="10">
        <f t="shared" ref="AQ156:AV156" si="74">AQ122*$L$79</f>
        <v>92478.203830660117</v>
      </c>
      <c r="AR156" s="10">
        <f t="shared" si="74"/>
        <v>35887.534418716845</v>
      </c>
      <c r="AS156" s="10">
        <f t="shared" si="74"/>
        <v>112784.14955032511</v>
      </c>
      <c r="AT156" s="10">
        <f t="shared" si="74"/>
        <v>72704.873277973282</v>
      </c>
      <c r="AU156" s="10">
        <f t="shared" si="74"/>
        <v>42924.485506487574</v>
      </c>
      <c r="AV156" s="10">
        <f t="shared" si="74"/>
        <v>33220.753415837054</v>
      </c>
      <c r="AW156" s="10"/>
      <c r="AX156" s="10">
        <f>SUM(AQ156:AW156)</f>
        <v>390000</v>
      </c>
      <c r="AZ156" s="10">
        <f t="shared" ref="AZ156:BE156" si="75">AZ122*$M$79</f>
        <v>38310.770376262852</v>
      </c>
      <c r="BA156" s="10">
        <f t="shared" si="75"/>
        <v>14867.060923926218</v>
      </c>
      <c r="BB156" s="10">
        <f t="shared" si="75"/>
        <v>46722.876056466674</v>
      </c>
      <c r="BC156" s="10">
        <f t="shared" si="75"/>
        <v>30119.310172677273</v>
      </c>
      <c r="BD156" s="10">
        <f t="shared" si="75"/>
        <v>17782.245325282394</v>
      </c>
      <c r="BE156" s="10">
        <f t="shared" si="75"/>
        <v>13762.298607908615</v>
      </c>
      <c r="BF156" s="10"/>
      <c r="BG156" s="10">
        <f>SUM(AZ156:BF156)</f>
        <v>161564.56146252403</v>
      </c>
      <c r="BI156" s="10">
        <f t="shared" ref="BI156:BN156" si="76">BI122*$N$79</f>
        <v>23603.602250647302</v>
      </c>
      <c r="BJ156" s="10">
        <f t="shared" si="76"/>
        <v>9159.7268663101913</v>
      </c>
      <c r="BK156" s="10">
        <f t="shared" si="76"/>
        <v>28786.374474120159</v>
      </c>
      <c r="BL156" s="10">
        <f t="shared" si="76"/>
        <v>18556.771644044889</v>
      </c>
      <c r="BM156" s="10">
        <f t="shared" si="76"/>
        <v>10955.797590576709</v>
      </c>
      <c r="BN156" s="10">
        <f t="shared" si="76"/>
        <v>8479.0730962951639</v>
      </c>
      <c r="BO156" s="10"/>
      <c r="BP156" s="10">
        <f>SUM(BI156:BO156)</f>
        <v>99541.34592199442</v>
      </c>
    </row>
    <row r="157" spans="2:68" ht="13.2" customHeight="1">
      <c r="B157" s="281" t="s">
        <v>2429</v>
      </c>
      <c r="G157" s="575">
        <f t="shared" si="70"/>
        <v>3067212.1426213002</v>
      </c>
      <c r="H157" s="575">
        <f t="shared" si="70"/>
        <v>895869.08007718902</v>
      </c>
      <c r="I157" s="575">
        <f t="shared" si="70"/>
        <v>2645821.4467314915</v>
      </c>
      <c r="J157" s="575">
        <f t="shared" si="70"/>
        <v>1679820.9742433482</v>
      </c>
      <c r="K157" s="575">
        <f t="shared" si="70"/>
        <v>948354.51473631558</v>
      </c>
      <c r="L157" s="575">
        <f t="shared" si="70"/>
        <v>946336.87526379421</v>
      </c>
      <c r="N157" s="10">
        <f>SUM(G157:M157)</f>
        <v>10183415.033673437</v>
      </c>
      <c r="O157" s="136">
        <f>ROW()</f>
        <v>157</v>
      </c>
      <c r="P157" s="10">
        <f t="shared" ref="P157:U157" si="77">P133*$I$79</f>
        <v>473989.29789682943</v>
      </c>
      <c r="Q157" s="10">
        <f t="shared" si="77"/>
        <v>137028.06954110516</v>
      </c>
      <c r="R157" s="10">
        <f t="shared" si="77"/>
        <v>403610.06891442987</v>
      </c>
      <c r="S157" s="10">
        <f t="shared" si="77"/>
        <v>256075.28202840063</v>
      </c>
      <c r="T157" s="10">
        <f t="shared" si="77"/>
        <v>144269.75745730929</v>
      </c>
      <c r="U157" s="10">
        <f t="shared" si="77"/>
        <v>145494.44703244424</v>
      </c>
      <c r="V157" s="10"/>
      <c r="W157" s="10">
        <f>SUM(P157:V157)</f>
        <v>1560466.9228705186</v>
      </c>
      <c r="Y157" s="10">
        <f t="shared" ref="Y157:AD157" si="78">Y133*$J$79</f>
        <v>1421967.8936904883</v>
      </c>
      <c r="Z157" s="10">
        <f t="shared" si="78"/>
        <v>411084.2086233155</v>
      </c>
      <c r="AA157" s="10">
        <f t="shared" si="78"/>
        <v>1210830.2067432895</v>
      </c>
      <c r="AB157" s="10">
        <f t="shared" si="78"/>
        <v>768225.84608520195</v>
      </c>
      <c r="AC157" s="10">
        <f t="shared" si="78"/>
        <v>432809.27237192786</v>
      </c>
      <c r="AD157" s="10">
        <f t="shared" si="78"/>
        <v>436483.34109733265</v>
      </c>
      <c r="AE157" s="10"/>
      <c r="AF157" s="10">
        <f>SUM(Y157:AE157)</f>
        <v>4681400.7686115559</v>
      </c>
      <c r="AH157" s="10">
        <f t="shared" ref="AH157:AM157" si="79">AH133*$K$79</f>
        <v>999466.25115625432</v>
      </c>
      <c r="AI157" s="10">
        <f t="shared" si="79"/>
        <v>288940.97730712284</v>
      </c>
      <c r="AJ157" s="10">
        <f t="shared" si="79"/>
        <v>851062.7651230793</v>
      </c>
      <c r="AK157" s="10">
        <f t="shared" si="79"/>
        <v>539967.04836659587</v>
      </c>
      <c r="AL157" s="10">
        <f t="shared" si="79"/>
        <v>304210.99016557244</v>
      </c>
      <c r="AM157" s="10">
        <f t="shared" si="79"/>
        <v>306793.40268822119</v>
      </c>
      <c r="AN157" s="10"/>
      <c r="AO157" s="10">
        <f>SUM(AH157:AN157)</f>
        <v>3290441.4348068461</v>
      </c>
      <c r="AQ157" s="10">
        <f t="shared" ref="AQ157:AV157" si="80">AQ133*$L$79</f>
        <v>92478.203830660117</v>
      </c>
      <c r="AR157" s="10">
        <f t="shared" si="80"/>
        <v>35887.534418716845</v>
      </c>
      <c r="AS157" s="10">
        <f t="shared" si="80"/>
        <v>112784.14955032511</v>
      </c>
      <c r="AT157" s="10">
        <f t="shared" si="80"/>
        <v>72704.873277973282</v>
      </c>
      <c r="AU157" s="10">
        <f t="shared" si="80"/>
        <v>42924.485506487574</v>
      </c>
      <c r="AV157" s="10">
        <f t="shared" si="80"/>
        <v>33220.753415837054</v>
      </c>
      <c r="AW157" s="10"/>
      <c r="AX157" s="10">
        <f>SUM(AQ157:AW157)</f>
        <v>390000</v>
      </c>
      <c r="AZ157" s="10">
        <f t="shared" ref="AZ157:BE157" si="81">AZ133*$M$79</f>
        <v>49074.973605823245</v>
      </c>
      <c r="BA157" s="10">
        <f t="shared" si="81"/>
        <v>14187.343313077006</v>
      </c>
      <c r="BB157" s="10">
        <f t="shared" si="81"/>
        <v>41788.187131877938</v>
      </c>
      <c r="BC157" s="10">
        <f t="shared" si="81"/>
        <v>26513.019940342339</v>
      </c>
      <c r="BD157" s="10">
        <f t="shared" si="81"/>
        <v>14937.118982962871</v>
      </c>
      <c r="BE157" s="10">
        <f t="shared" si="81"/>
        <v>15063.918488440644</v>
      </c>
      <c r="BF157" s="10"/>
      <c r="BG157" s="10">
        <f>SUM(AZ157:BF157)</f>
        <v>161564.56146252409</v>
      </c>
      <c r="BI157" s="10">
        <f t="shared" ref="BI157:BN157" si="82">BI133*$N$79</f>
        <v>30235.522441244662</v>
      </c>
      <c r="BJ157" s="10">
        <f t="shared" si="82"/>
        <v>8740.946873851839</v>
      </c>
      <c r="BK157" s="10">
        <f t="shared" si="82"/>
        <v>25746.069268489657</v>
      </c>
      <c r="BL157" s="10">
        <f t="shared" si="82"/>
        <v>16334.904544834351</v>
      </c>
      <c r="BM157" s="10">
        <f t="shared" si="82"/>
        <v>9202.8902520555785</v>
      </c>
      <c r="BN157" s="10">
        <f t="shared" si="82"/>
        <v>9281.0125415183466</v>
      </c>
      <c r="BO157" s="10"/>
      <c r="BP157" s="10">
        <f>SUM(BI157:BO157)</f>
        <v>99541.34592199442</v>
      </c>
    </row>
    <row r="158" spans="2:68" ht="13.2" customHeight="1">
      <c r="B158" s="281" t="s">
        <v>124</v>
      </c>
      <c r="G158" s="575">
        <f t="shared" si="70"/>
        <v>5558033.6769901179</v>
      </c>
      <c r="H158" s="575">
        <f t="shared" si="70"/>
        <v>1852499.6982764096</v>
      </c>
      <c r="I158" s="575">
        <f t="shared" si="70"/>
        <v>5558284.8967538159</v>
      </c>
      <c r="J158" s="575">
        <f t="shared" si="70"/>
        <v>3537021.7641588096</v>
      </c>
      <c r="K158" s="575">
        <f t="shared" si="70"/>
        <v>2056808.101938966</v>
      </c>
      <c r="L158" s="575">
        <f t="shared" si="70"/>
        <v>1804181.9292287563</v>
      </c>
      <c r="N158" s="186">
        <f>SUM(G158:M158)</f>
        <v>20366830.067346875</v>
      </c>
      <c r="O158" s="136">
        <f>ROW()</f>
        <v>158</v>
      </c>
      <c r="P158" s="10">
        <f t="shared" ref="P158:U158" si="83">P156+P157</f>
        <v>956015.00537581602</v>
      </c>
      <c r="Q158" s="10">
        <f t="shared" si="83"/>
        <v>309696.25713364949</v>
      </c>
      <c r="R158" s="10">
        <f t="shared" si="83"/>
        <v>855815.24747787393</v>
      </c>
      <c r="S158" s="10">
        <f t="shared" si="83"/>
        <v>430980.28597185784</v>
      </c>
      <c r="T158" s="10">
        <f t="shared" si="83"/>
        <v>316374.39016142872</v>
      </c>
      <c r="U158" s="10">
        <f t="shared" si="83"/>
        <v>252052.65962041105</v>
      </c>
      <c r="V158" s="10"/>
      <c r="W158" s="10">
        <f>SUM(P158:V158)</f>
        <v>3120933.8457410368</v>
      </c>
      <c r="Y158" s="10">
        <f t="shared" ref="Y158:AD158" si="84">Y156+Y157</f>
        <v>2265910.2789837308</v>
      </c>
      <c r="Z158" s="10">
        <f t="shared" si="84"/>
        <v>773171.44333806261</v>
      </c>
      <c r="AA158" s="10">
        <f t="shared" si="84"/>
        <v>2629641.2608545031</v>
      </c>
      <c r="AB158" s="10">
        <f t="shared" si="84"/>
        <v>1840274.1874518758</v>
      </c>
      <c r="AC158" s="10">
        <f t="shared" si="84"/>
        <v>972794.14410664223</v>
      </c>
      <c r="AD158" s="10">
        <f t="shared" si="84"/>
        <v>881010.22248829517</v>
      </c>
      <c r="AE158" s="10"/>
      <c r="AF158" s="10">
        <f>SUM(Y158:AE158)</f>
        <v>9362801.53722311</v>
      </c>
      <c r="AH158" s="10">
        <f t="shared" ref="AH158:AM158" si="85">AH156+AH157</f>
        <v>2009927.116295272</v>
      </c>
      <c r="AI158" s="10">
        <f t="shared" si="85"/>
        <v>650901.85099009878</v>
      </c>
      <c r="AJ158" s="10">
        <f t="shared" si="85"/>
        <v>1704216.5823898341</v>
      </c>
      <c r="AK158" s="10">
        <f t="shared" si="85"/>
        <v>1028833.5378772304</v>
      </c>
      <c r="AL158" s="10">
        <f t="shared" si="85"/>
        <v>628912.54450704239</v>
      </c>
      <c r="AM158" s="10">
        <f t="shared" si="85"/>
        <v>558091.23755421326</v>
      </c>
      <c r="AN158" s="10"/>
      <c r="AO158" s="10">
        <f>SUM(AH158:AN158)</f>
        <v>6580882.8696136912</v>
      </c>
      <c r="AQ158" s="10">
        <f t="shared" ref="AQ158:AV158" si="86">AQ156+AQ157</f>
        <v>184956.40766132023</v>
      </c>
      <c r="AR158" s="10">
        <f t="shared" si="86"/>
        <v>71775.06883743369</v>
      </c>
      <c r="AS158" s="10">
        <f t="shared" si="86"/>
        <v>225568.29910065021</v>
      </c>
      <c r="AT158" s="10">
        <f t="shared" si="86"/>
        <v>145409.74655594656</v>
      </c>
      <c r="AU158" s="10">
        <f t="shared" si="86"/>
        <v>85848.971012975147</v>
      </c>
      <c r="AV158" s="10">
        <f t="shared" si="86"/>
        <v>66441.506831674109</v>
      </c>
      <c r="AW158" s="10"/>
      <c r="AX158" s="10">
        <f>SUM(AQ158:AW158)</f>
        <v>780000</v>
      </c>
      <c r="AZ158" s="10">
        <f t="shared" ref="AZ158:BE158" si="87">AZ156+AZ157</f>
        <v>87385.743982086104</v>
      </c>
      <c r="BA158" s="10">
        <f t="shared" si="87"/>
        <v>29054.404237003226</v>
      </c>
      <c r="BB158" s="10">
        <f t="shared" si="87"/>
        <v>88511.063188344619</v>
      </c>
      <c r="BC158" s="10">
        <f t="shared" si="87"/>
        <v>56632.330113019612</v>
      </c>
      <c r="BD158" s="10">
        <f t="shared" si="87"/>
        <v>32719.364308245265</v>
      </c>
      <c r="BE158" s="10">
        <f t="shared" si="87"/>
        <v>28826.217096349261</v>
      </c>
      <c r="BF158" s="10"/>
      <c r="BG158" s="10">
        <f>SUM(AZ158:BF158)</f>
        <v>323129.12292504811</v>
      </c>
      <c r="BI158" s="10">
        <f t="shared" ref="BI158:BN158" si="88">BI156+BI157</f>
        <v>53839.124691891964</v>
      </c>
      <c r="BJ158" s="10">
        <f t="shared" si="88"/>
        <v>17900.67374016203</v>
      </c>
      <c r="BK158" s="10">
        <f t="shared" si="88"/>
        <v>54532.443742609816</v>
      </c>
      <c r="BL158" s="10">
        <f t="shared" si="88"/>
        <v>34891.676188879239</v>
      </c>
      <c r="BM158" s="10">
        <f t="shared" si="88"/>
        <v>20158.687842632287</v>
      </c>
      <c r="BN158" s="10">
        <f t="shared" si="88"/>
        <v>17760.08563781351</v>
      </c>
      <c r="BO158" s="10"/>
      <c r="BP158" s="10">
        <f>SUM(BI158:BO158)</f>
        <v>199082.69184398887</v>
      </c>
    </row>
    <row r="159" spans="2:68" ht="13.2" customHeight="1">
      <c r="B159" s="309" t="str">
        <f>CONCATENATE("Row ",O156, " entries are product of inbound cordon trips for period in Row ",O122, " and one-way non-cordon mileage in Row ",O79, ". Ditto for outbound legs in Row ",O157, " which uses outbound trips in Row ",O133, ".")</f>
        <v>Row 156 entries are product of inbound cordon trips for period in Row 122 and one-way non-cordon mileage in Row 79. Ditto for outbound legs in Row 157 which uses outbound trips in Row 133.</v>
      </c>
      <c r="O159" s="136">
        <f>ROW()</f>
        <v>159</v>
      </c>
    </row>
    <row r="160" spans="2:68" ht="13.2" customHeight="1">
      <c r="B160" s="269" t="s">
        <v>123</v>
      </c>
      <c r="J160" s="1043"/>
      <c r="K160" s="1044"/>
      <c r="L160" s="1044"/>
      <c r="M160" s="1045" t="s">
        <v>1655</v>
      </c>
      <c r="N160" s="1046">
        <f>N158/'Motor Vs'!N158</f>
        <v>0.86329168408837598</v>
      </c>
      <c r="O160" s="136">
        <f>ROW()</f>
        <v>160</v>
      </c>
    </row>
    <row r="161" spans="2:68" ht="13.2" customHeight="1">
      <c r="B161" s="995" t="s">
        <v>1958</v>
      </c>
      <c r="C161" s="198"/>
      <c r="D161" s="198"/>
      <c r="E161" s="198"/>
      <c r="F161" s="198"/>
      <c r="G161" s="198"/>
      <c r="H161" s="198"/>
      <c r="I161" s="198"/>
      <c r="J161" s="113"/>
      <c r="K161" s="1042">
        <f>Approaches!F20</f>
        <v>0.33864842655220262</v>
      </c>
      <c r="M161" s="4486" t="s">
        <v>2047</v>
      </c>
      <c r="N161" s="4487"/>
      <c r="O161" s="136">
        <f>ROW()</f>
        <v>161</v>
      </c>
    </row>
    <row r="162" spans="2:68" ht="13.2" customHeight="1">
      <c r="B162" s="1026" t="s">
        <v>1764</v>
      </c>
      <c r="C162" s="113"/>
      <c r="D162" s="113"/>
      <c r="E162" s="113"/>
      <c r="F162" s="113"/>
      <c r="G162" s="113"/>
      <c r="H162" s="113"/>
      <c r="I162" s="113"/>
      <c r="J162" s="113"/>
      <c r="K162" s="140"/>
      <c r="M162" s="4488"/>
      <c r="N162" s="4489"/>
      <c r="O162" s="136">
        <f>ROW()</f>
        <v>162</v>
      </c>
    </row>
    <row r="163" spans="2:68" ht="13.2" customHeight="1">
      <c r="B163" s="505" t="s">
        <v>1959</v>
      </c>
      <c r="C163" s="113"/>
      <c r="D163" s="113"/>
      <c r="E163" s="113"/>
      <c r="F163" s="113"/>
      <c r="G163" s="113"/>
      <c r="H163" s="113"/>
      <c r="I163" s="113"/>
      <c r="J163" s="113"/>
      <c r="K163" s="1027">
        <f>(1-K161)/K161</f>
        <v>1.9529149453935233</v>
      </c>
      <c r="M163" s="4488"/>
      <c r="N163" s="4489"/>
      <c r="O163" s="136">
        <f>ROW()</f>
        <v>163</v>
      </c>
    </row>
    <row r="164" spans="2:68" ht="13.2" customHeight="1">
      <c r="B164" s="997" t="str">
        <f>CONCATENATE("Calculated as ratio of (i) complement of percentage in Row ",O161, " to the percentage itself.")</f>
        <v>Calculated as ratio of (i) complement of percentage in Row 161 to the percentage itself.</v>
      </c>
      <c r="C164" s="141"/>
      <c r="D164" s="141"/>
      <c r="E164" s="141"/>
      <c r="F164" s="141"/>
      <c r="G164" s="141"/>
      <c r="H164" s="683"/>
      <c r="I164" s="173"/>
      <c r="J164" s="1647" t="s">
        <v>584</v>
      </c>
      <c r="K164" s="1648">
        <v>0.1</v>
      </c>
      <c r="M164" s="4488"/>
      <c r="N164" s="4489"/>
      <c r="O164" s="136">
        <f>ROW()</f>
        <v>164</v>
      </c>
    </row>
    <row r="165" spans="2:68" ht="13.2" customHeight="1">
      <c r="B165" s="281" t="s">
        <v>1956</v>
      </c>
      <c r="M165" s="4490"/>
      <c r="N165" s="4491"/>
      <c r="O165" s="136">
        <f>ROW()</f>
        <v>165</v>
      </c>
    </row>
    <row r="166" spans="2:68" s="1122" customFormat="1" ht="13.2" customHeight="1">
      <c r="B166" s="1126" t="str">
        <f>CONCATENATE("Product of Figures in Row ",O158, " by ratio in Row ",O163,)</f>
        <v>Product of Figures in Row 158 by ratio in Row 163</v>
      </c>
      <c r="G166" s="575">
        <f t="shared" ref="G166:L166" si="89">P166+Y166+AH166+AQ166+AZ166+BI166</f>
        <v>10511658.542792561</v>
      </c>
      <c r="H166" s="575">
        <f t="shared" si="89"/>
        <v>3484781.2493454632</v>
      </c>
      <c r="I166" s="575">
        <f t="shared" si="89"/>
        <v>10436898.773015032</v>
      </c>
      <c r="J166" s="575">
        <f t="shared" si="89"/>
        <v>6638070.7728085062</v>
      </c>
      <c r="K166" s="575">
        <f t="shared" si="89"/>
        <v>3857700.4406464947</v>
      </c>
      <c r="L166" s="575">
        <f t="shared" si="89"/>
        <v>3400303.3927968838</v>
      </c>
      <c r="N166" s="1131">
        <f>SUM(G166:M166)</f>
        <v>38329413.171404935</v>
      </c>
      <c r="O166" s="136">
        <f>ROW()</f>
        <v>166</v>
      </c>
      <c r="P166" s="1134">
        <f t="shared" ref="P166:U166" si="90">P158*$K$163</f>
        <v>1867015.9920189006</v>
      </c>
      <c r="Q166" s="1134">
        <f t="shared" si="90"/>
        <v>604810.44908873958</v>
      </c>
      <c r="R166" s="1134">
        <f t="shared" si="90"/>
        <v>1671334.3872951968</v>
      </c>
      <c r="S166" s="1134">
        <f t="shared" si="90"/>
        <v>841667.84164441575</v>
      </c>
      <c r="T166" s="1134">
        <f t="shared" si="90"/>
        <v>617852.2748860158</v>
      </c>
      <c r="U166" s="1134">
        <f t="shared" si="90"/>
        <v>492237.40599888738</v>
      </c>
      <c r="V166" s="1134"/>
      <c r="W166" s="1191">
        <f>SUM(P166:V166)</f>
        <v>6094918.3509321557</v>
      </c>
      <c r="X166" s="1134"/>
      <c r="Y166" s="1134">
        <f t="shared" ref="Y166:AD166" si="91">Y158*$K$163</f>
        <v>4425130.0487481356</v>
      </c>
      <c r="Z166" s="1134">
        <f t="shared" si="91"/>
        <v>1509938.0670463841</v>
      </c>
      <c r="AA166" s="1134">
        <f t="shared" si="91"/>
        <v>5135465.7193462281</v>
      </c>
      <c r="AB166" s="1134">
        <f t="shared" si="91"/>
        <v>3593898.9642966902</v>
      </c>
      <c r="AC166" s="1134">
        <f t="shared" si="91"/>
        <v>1899784.2228171625</v>
      </c>
      <c r="AD166" s="1134">
        <f t="shared" si="91"/>
        <v>1720538.0305418647</v>
      </c>
      <c r="AE166" s="1134"/>
      <c r="AF166" s="1191">
        <f>SUM(Y166:AE166)</f>
        <v>18284755.052796464</v>
      </c>
      <c r="AG166" s="1134"/>
      <c r="AH166" s="1134">
        <f t="shared" ref="AH166:AM166" si="92">AH158*$K$163</f>
        <v>3925216.7045647427</v>
      </c>
      <c r="AI166" s="1134">
        <f t="shared" si="92"/>
        <v>1271155.9527828719</v>
      </c>
      <c r="AJ166" s="1134">
        <f t="shared" si="92"/>
        <v>3328190.0339365797</v>
      </c>
      <c r="AK166" s="1134">
        <f t="shared" si="92"/>
        <v>2009224.3924425368</v>
      </c>
      <c r="AL166" s="1134">
        <f t="shared" si="92"/>
        <v>1228212.7075132725</v>
      </c>
      <c r="AM166" s="1134">
        <f t="shared" si="92"/>
        <v>1089904.7187127902</v>
      </c>
      <c r="AN166" s="1134"/>
      <c r="AO166" s="1191">
        <f>SUM(AH166:AN166)</f>
        <v>12851904.509952795</v>
      </c>
      <c r="AP166" s="1134"/>
      <c r="AQ166" s="1134">
        <f t="shared" ref="AQ166:AV166" si="93">AQ158*$K$164</f>
        <v>18495.640766132023</v>
      </c>
      <c r="AR166" s="1134">
        <f t="shared" si="93"/>
        <v>7177.5068837433691</v>
      </c>
      <c r="AS166" s="1134">
        <f t="shared" si="93"/>
        <v>22556.829910065022</v>
      </c>
      <c r="AT166" s="1134">
        <f t="shared" si="93"/>
        <v>14540.974655594657</v>
      </c>
      <c r="AU166" s="1134">
        <f t="shared" si="93"/>
        <v>8584.8971012975144</v>
      </c>
      <c r="AV166" s="1134">
        <f t="shared" si="93"/>
        <v>6644.1506831674114</v>
      </c>
      <c r="AW166" s="1134"/>
      <c r="AX166" s="1191">
        <f>SUM(AQ166:AW166)</f>
        <v>77999.999999999985</v>
      </c>
      <c r="AY166" s="1134"/>
      <c r="AZ166" s="1134">
        <f t="shared" ref="AZ166:BE166" si="94">AZ158*$K$163</f>
        <v>170656.92543694808</v>
      </c>
      <c r="BA166" s="1134">
        <f t="shared" si="94"/>
        <v>56740.780263948509</v>
      </c>
      <c r="BB166" s="1134">
        <f t="shared" si="94"/>
        <v>172854.57813318871</v>
      </c>
      <c r="BC166" s="1134">
        <f t="shared" si="94"/>
        <v>110598.12387017568</v>
      </c>
      <c r="BD166" s="1134">
        <f t="shared" si="94"/>
        <v>63898.135561347597</v>
      </c>
      <c r="BE166" s="1134">
        <f t="shared" si="94"/>
        <v>56295.150186618761</v>
      </c>
      <c r="BF166" s="1134"/>
      <c r="BG166" s="1191">
        <f>SUM(AZ166:BF166)</f>
        <v>631043.6934522274</v>
      </c>
      <c r="BH166" s="1134"/>
      <c r="BI166" s="1134">
        <f t="shared" ref="BI166:BN166" si="95">BI158*$K$163</f>
        <v>105143.23125770129</v>
      </c>
      <c r="BJ166" s="1134">
        <f t="shared" si="95"/>
        <v>34958.493279775808</v>
      </c>
      <c r="BK166" s="1134">
        <f t="shared" si="95"/>
        <v>106497.22439377423</v>
      </c>
      <c r="BL166" s="1134">
        <f t="shared" si="95"/>
        <v>68140.475899093595</v>
      </c>
      <c r="BM166" s="1134">
        <f t="shared" si="95"/>
        <v>39368.202767399314</v>
      </c>
      <c r="BN166" s="1134">
        <f t="shared" si="95"/>
        <v>34683.936673554868</v>
      </c>
      <c r="BO166" s="1134"/>
      <c r="BP166" s="1191">
        <f>SUM(BI166:BO166)</f>
        <v>388791.56427129911</v>
      </c>
    </row>
    <row r="167" spans="2:68" s="1122" customFormat="1" ht="13.2" customHeight="1">
      <c r="B167" s="1192" t="s">
        <v>1954</v>
      </c>
      <c r="G167" s="1122">
        <f t="shared" ref="G167:L167" si="96">G158+G166</f>
        <v>16069692.219782678</v>
      </c>
      <c r="H167" s="1122">
        <f t="shared" si="96"/>
        <v>5337280.9476218726</v>
      </c>
      <c r="I167" s="1122">
        <f t="shared" si="96"/>
        <v>15995183.669768848</v>
      </c>
      <c r="J167" s="1122">
        <f t="shared" si="96"/>
        <v>10175092.536967315</v>
      </c>
      <c r="K167" s="1122">
        <f t="shared" si="96"/>
        <v>5914508.5425854605</v>
      </c>
      <c r="L167" s="1122">
        <f t="shared" si="96"/>
        <v>5204485.3220256399</v>
      </c>
      <c r="N167" s="1127">
        <f>SUM(G167:M167)</f>
        <v>58696243.238751821</v>
      </c>
      <c r="O167" s="136">
        <f>ROW()</f>
        <v>167</v>
      </c>
      <c r="P167" s="1122">
        <f t="shared" ref="P167:U167" si="97">P158+P166</f>
        <v>2823030.9973947164</v>
      </c>
      <c r="Q167" s="1122">
        <f t="shared" si="97"/>
        <v>914506.70622238913</v>
      </c>
      <c r="R167" s="1122">
        <f t="shared" si="97"/>
        <v>2527149.6347730709</v>
      </c>
      <c r="S167" s="1122">
        <f t="shared" si="97"/>
        <v>1272648.1276162737</v>
      </c>
      <c r="T167" s="1122">
        <f t="shared" si="97"/>
        <v>934226.66504744452</v>
      </c>
      <c r="U167" s="1122">
        <f t="shared" si="97"/>
        <v>744290.06561929849</v>
      </c>
      <c r="W167" s="1131">
        <f>SUM(P167:V167)</f>
        <v>9215852.1966731939</v>
      </c>
      <c r="Y167" s="1122">
        <f t="shared" ref="Y167:AD167" si="98">Y158+Y166</f>
        <v>6691040.3277318664</v>
      </c>
      <c r="Z167" s="1122">
        <f t="shared" si="98"/>
        <v>2283109.5103844469</v>
      </c>
      <c r="AA167" s="1122">
        <f t="shared" si="98"/>
        <v>7765106.9802007312</v>
      </c>
      <c r="AB167" s="1122">
        <f t="shared" si="98"/>
        <v>5434173.151748566</v>
      </c>
      <c r="AC167" s="1122">
        <f t="shared" si="98"/>
        <v>2872578.3669238049</v>
      </c>
      <c r="AD167" s="1122">
        <f t="shared" si="98"/>
        <v>2601548.25303016</v>
      </c>
      <c r="AF167" s="1131">
        <f>SUM(Y167:AE167)</f>
        <v>27647556.590019573</v>
      </c>
      <c r="AH167" s="1122">
        <f t="shared" ref="AH167:AM167" si="99">AH158+AH166</f>
        <v>5935143.8208600152</v>
      </c>
      <c r="AI167" s="1122">
        <f t="shared" si="99"/>
        <v>1922057.8037729706</v>
      </c>
      <c r="AJ167" s="1122">
        <f t="shared" si="99"/>
        <v>5032406.616326414</v>
      </c>
      <c r="AK167" s="1122">
        <f t="shared" si="99"/>
        <v>3038057.9303197674</v>
      </c>
      <c r="AL167" s="1122">
        <f t="shared" si="99"/>
        <v>1857125.2520203148</v>
      </c>
      <c r="AM167" s="1122">
        <f t="shared" si="99"/>
        <v>1647995.9562670034</v>
      </c>
      <c r="AO167" s="1131">
        <f>SUM(AH167:AN167)</f>
        <v>19432787.379566487</v>
      </c>
      <c r="AQ167" s="1122">
        <f t="shared" ref="AQ167:AV167" si="100">AQ158+AQ166</f>
        <v>203452.04842745225</v>
      </c>
      <c r="AR167" s="1122">
        <f t="shared" si="100"/>
        <v>78952.575721177054</v>
      </c>
      <c r="AS167" s="1122">
        <f t="shared" si="100"/>
        <v>248125.12901071523</v>
      </c>
      <c r="AT167" s="1122">
        <f t="shared" si="100"/>
        <v>159950.72121154121</v>
      </c>
      <c r="AU167" s="1122">
        <f t="shared" si="100"/>
        <v>94433.868114272656</v>
      </c>
      <c r="AV167" s="1122">
        <f t="shared" si="100"/>
        <v>73085.657514841514</v>
      </c>
      <c r="AX167" s="1131">
        <f>SUM(AQ167:AW167)</f>
        <v>858000</v>
      </c>
      <c r="AZ167" s="1122">
        <f t="shared" ref="AZ167:BE167" si="101">AZ158+AZ166</f>
        <v>258042.66941903418</v>
      </c>
      <c r="BA167" s="1122">
        <f t="shared" si="101"/>
        <v>85795.184500951727</v>
      </c>
      <c r="BB167" s="1122">
        <f t="shared" si="101"/>
        <v>261365.64132153333</v>
      </c>
      <c r="BC167" s="1122">
        <f t="shared" si="101"/>
        <v>167230.4539831953</v>
      </c>
      <c r="BD167" s="1122">
        <f t="shared" si="101"/>
        <v>96617.499869592866</v>
      </c>
      <c r="BE167" s="1122">
        <f t="shared" si="101"/>
        <v>85121.367282968014</v>
      </c>
      <c r="BG167" s="1131">
        <f>SUM(AZ167:BF167)</f>
        <v>954172.81637727551</v>
      </c>
      <c r="BI167" s="1122">
        <f t="shared" ref="BI167:BN167" si="102">BI158+BI166</f>
        <v>158982.35594959324</v>
      </c>
      <c r="BJ167" s="1122">
        <f t="shared" si="102"/>
        <v>52859.167019937842</v>
      </c>
      <c r="BK167" s="1122">
        <f t="shared" si="102"/>
        <v>161029.66813638405</v>
      </c>
      <c r="BL167" s="1122">
        <f t="shared" si="102"/>
        <v>103032.15208797283</v>
      </c>
      <c r="BM167" s="1122">
        <f t="shared" si="102"/>
        <v>59526.890610031602</v>
      </c>
      <c r="BN167" s="1122">
        <f t="shared" si="102"/>
        <v>52444.022311368375</v>
      </c>
      <c r="BP167" s="1131">
        <f>SUM(BI167:BO167)</f>
        <v>587874.25611528789</v>
      </c>
    </row>
    <row r="168" spans="2:68" ht="13.2" customHeight="1">
      <c r="B168" s="281" t="s">
        <v>2900</v>
      </c>
      <c r="G168" s="575">
        <f t="shared" ref="G168:L168" si="103">G167/G118</f>
        <v>1606969.2219782679</v>
      </c>
      <c r="H168" s="575">
        <f t="shared" si="103"/>
        <v>2668640.4738109363</v>
      </c>
      <c r="I168" s="575">
        <f t="shared" si="103"/>
        <v>3199036.7339537693</v>
      </c>
      <c r="J168" s="575">
        <f t="shared" si="103"/>
        <v>3391697.5123224384</v>
      </c>
      <c r="K168" s="575">
        <f t="shared" si="103"/>
        <v>2957254.2712927302</v>
      </c>
      <c r="L168" s="575">
        <f t="shared" si="103"/>
        <v>2602242.66101282</v>
      </c>
      <c r="O168" s="136">
        <f>ROW()</f>
        <v>168</v>
      </c>
    </row>
    <row r="169" spans="2:68" ht="13.2" customHeight="1">
      <c r="B169" s="309" t="str">
        <f>CONCATENATE("Period VMT in Row ",O167, " divided by hours in period in Row ",$O$118, ".")</f>
        <v>Period VMT in Row 167 divided by hours in period in Row 118.</v>
      </c>
      <c r="O169" s="136">
        <f>ROW()</f>
        <v>169</v>
      </c>
    </row>
    <row r="170" spans="2:68" ht="13.2" customHeight="1">
      <c r="B170" s="281" t="s">
        <v>2048</v>
      </c>
      <c r="G170" s="576">
        <f t="shared" ref="G170:L170" si="104">G168/MAX($G$168:$M$168)</f>
        <v>0.47379497025898049</v>
      </c>
      <c r="H170" s="576">
        <f t="shared" si="104"/>
        <v>0.78681558839355503</v>
      </c>
      <c r="I170" s="576">
        <f t="shared" si="104"/>
        <v>0.9431963559047617</v>
      </c>
      <c r="J170" s="576">
        <f t="shared" si="104"/>
        <v>1</v>
      </c>
      <c r="K170" s="576">
        <f t="shared" si="104"/>
        <v>0.8719097916452383</v>
      </c>
      <c r="L170" s="576">
        <f t="shared" si="104"/>
        <v>0.76723901573137476</v>
      </c>
      <c r="M170" s="576"/>
      <c r="O170" s="136">
        <f>ROW()</f>
        <v>170</v>
      </c>
    </row>
    <row r="171" spans="2:68" ht="13.2" customHeight="1">
      <c r="B171" s="309" t="str">
        <f>CONCATENATE("Ratio of Hourly VMT for period, as shown in Row ",O168,", to maximum hourly VMT shown in same row.")</f>
        <v>Ratio of Hourly VMT for period, as shown in Row 168, to maximum hourly VMT shown in same row.</v>
      </c>
      <c r="O171" s="136">
        <f>ROW()</f>
        <v>171</v>
      </c>
    </row>
    <row r="172" spans="2:68" ht="13.2" customHeight="1">
      <c r="O172" s="136">
        <f>ROW()</f>
        <v>172</v>
      </c>
    </row>
    <row r="173" spans="2:68" ht="13.2" customHeight="1">
      <c r="B173" s="6" t="s">
        <v>2907</v>
      </c>
      <c r="G173" s="948" t="s">
        <v>1472</v>
      </c>
      <c r="H173" s="948" t="s">
        <v>985</v>
      </c>
      <c r="I173" s="948" t="s">
        <v>987</v>
      </c>
      <c r="J173" s="948" t="s">
        <v>1367</v>
      </c>
      <c r="K173" s="948" t="s">
        <v>988</v>
      </c>
      <c r="L173" s="948" t="s">
        <v>986</v>
      </c>
      <c r="M173" s="948" t="s">
        <v>1638</v>
      </c>
      <c r="N173" s="948" t="s">
        <v>2684</v>
      </c>
      <c r="O173" s="136">
        <f>ROW()</f>
        <v>173</v>
      </c>
      <c r="P173" s="6" t="s">
        <v>2532</v>
      </c>
      <c r="Y173" s="6" t="s">
        <v>2532</v>
      </c>
      <c r="AH173" s="6" t="s">
        <v>2532</v>
      </c>
      <c r="AQ173" s="6" t="s">
        <v>2532</v>
      </c>
      <c r="AZ173" s="6" t="s">
        <v>2532</v>
      </c>
      <c r="BI173" s="6" t="s">
        <v>2532</v>
      </c>
    </row>
    <row r="174" spans="2:68" ht="13.2" customHeight="1">
      <c r="G174" s="298" t="s">
        <v>1918</v>
      </c>
      <c r="H174" s="298" t="s">
        <v>1838</v>
      </c>
      <c r="I174" s="298" t="s">
        <v>1839</v>
      </c>
      <c r="J174" s="298" t="s">
        <v>1840</v>
      </c>
      <c r="K174" s="298" t="s">
        <v>1841</v>
      </c>
      <c r="L174" s="298" t="s">
        <v>1917</v>
      </c>
      <c r="M174" s="298"/>
      <c r="N174" s="298"/>
      <c r="O174" s="136">
        <f>ROW()</f>
        <v>174</v>
      </c>
      <c r="AZ174" s="282" t="s">
        <v>426</v>
      </c>
      <c r="BI174" s="282" t="s">
        <v>426</v>
      </c>
    </row>
    <row r="175" spans="2:68" ht="13.2" customHeight="1">
      <c r="B175" s="308" t="s">
        <v>97</v>
      </c>
      <c r="C175" s="217"/>
      <c r="D175" s="217"/>
      <c r="E175" s="217"/>
      <c r="F175" s="217"/>
      <c r="G175" s="217"/>
      <c r="H175" s="217"/>
      <c r="I175" s="217"/>
      <c r="J175" s="217"/>
      <c r="K175" s="217"/>
      <c r="L175" s="217"/>
      <c r="M175" s="217"/>
      <c r="O175" s="136">
        <f>ROW()</f>
        <v>175</v>
      </c>
      <c r="AZ175" s="308" t="s">
        <v>2533</v>
      </c>
      <c r="BI175" s="308" t="s">
        <v>2533</v>
      </c>
    </row>
    <row r="176" spans="2:68" ht="13.2" customHeight="1">
      <c r="O176" s="136">
        <f>ROW()</f>
        <v>176</v>
      </c>
      <c r="P176" s="282"/>
      <c r="Y176" s="282"/>
      <c r="AH176" s="282"/>
      <c r="AU176" s="8"/>
      <c r="AV176" s="8"/>
      <c r="AZ176" s="282"/>
      <c r="BI176" s="282"/>
    </row>
    <row r="177" spans="2:68" ht="13.2" customHeight="1">
      <c r="B177" s="4458" t="s">
        <v>3703</v>
      </c>
      <c r="C177" s="4450"/>
      <c r="D177" s="4450"/>
      <c r="E177" s="4450"/>
      <c r="F177" s="4450"/>
      <c r="G177" s="4450"/>
      <c r="H177" s="4450"/>
      <c r="I177" s="4450"/>
      <c r="J177" s="4450"/>
      <c r="K177" s="4450"/>
      <c r="L177" s="4451"/>
      <c r="O177" s="136">
        <f>ROW()</f>
        <v>177</v>
      </c>
      <c r="P177" s="880" t="s">
        <v>1472</v>
      </c>
      <c r="Q177" s="880" t="s">
        <v>985</v>
      </c>
      <c r="R177" s="880" t="s">
        <v>987</v>
      </c>
      <c r="S177" s="880" t="s">
        <v>1367</v>
      </c>
      <c r="T177" s="880" t="s">
        <v>988</v>
      </c>
      <c r="U177" s="880" t="s">
        <v>986</v>
      </c>
      <c r="V177" s="880" t="s">
        <v>1638</v>
      </c>
      <c r="W177" s="880" t="s">
        <v>2684</v>
      </c>
      <c r="Y177" s="880" t="s">
        <v>1472</v>
      </c>
      <c r="Z177" s="880" t="s">
        <v>985</v>
      </c>
      <c r="AA177" s="880" t="s">
        <v>987</v>
      </c>
      <c r="AB177" s="880" t="s">
        <v>1367</v>
      </c>
      <c r="AC177" s="880" t="s">
        <v>988</v>
      </c>
      <c r="AD177" s="880" t="s">
        <v>986</v>
      </c>
      <c r="AE177" s="880" t="s">
        <v>1638</v>
      </c>
      <c r="AF177" s="880" t="s">
        <v>2684</v>
      </c>
      <c r="AH177" s="880" t="s">
        <v>1472</v>
      </c>
      <c r="AI177" s="880" t="s">
        <v>985</v>
      </c>
      <c r="AJ177" s="880" t="s">
        <v>987</v>
      </c>
      <c r="AK177" s="880" t="s">
        <v>1367</v>
      </c>
      <c r="AL177" s="880" t="s">
        <v>988</v>
      </c>
      <c r="AM177" s="880" t="s">
        <v>986</v>
      </c>
      <c r="AN177" s="880" t="s">
        <v>1638</v>
      </c>
      <c r="AO177" s="880" t="s">
        <v>2684</v>
      </c>
      <c r="AQ177" s="880" t="s">
        <v>1472</v>
      </c>
      <c r="AR177" s="880" t="s">
        <v>985</v>
      </c>
      <c r="AS177" s="880" t="s">
        <v>987</v>
      </c>
      <c r="AT177" s="880" t="s">
        <v>1367</v>
      </c>
      <c r="AU177" s="880" t="s">
        <v>988</v>
      </c>
      <c r="AV177" s="880" t="s">
        <v>986</v>
      </c>
      <c r="AW177" s="880" t="s">
        <v>1638</v>
      </c>
      <c r="AX177" s="880" t="s">
        <v>2684</v>
      </c>
      <c r="AZ177" s="880" t="s">
        <v>1472</v>
      </c>
      <c r="BA177" s="880" t="s">
        <v>985</v>
      </c>
      <c r="BB177" s="880" t="s">
        <v>987</v>
      </c>
      <c r="BC177" s="880" t="s">
        <v>1367</v>
      </c>
      <c r="BD177" s="880" t="s">
        <v>988</v>
      </c>
      <c r="BE177" s="880" t="s">
        <v>986</v>
      </c>
      <c r="BF177" s="880" t="s">
        <v>1638</v>
      </c>
      <c r="BG177" s="880" t="s">
        <v>2684</v>
      </c>
      <c r="BI177" s="880" t="s">
        <v>1472</v>
      </c>
      <c r="BJ177" s="880" t="s">
        <v>615</v>
      </c>
      <c r="BK177" s="880" t="s">
        <v>2445</v>
      </c>
      <c r="BL177" s="880" t="s">
        <v>616</v>
      </c>
      <c r="BM177" s="880" t="s">
        <v>1152</v>
      </c>
      <c r="BN177" s="880" t="s">
        <v>1151</v>
      </c>
      <c r="BO177" s="880" t="s">
        <v>617</v>
      </c>
      <c r="BP177" s="880" t="s">
        <v>2684</v>
      </c>
    </row>
    <row r="178" spans="2:68" ht="13.2" customHeight="1">
      <c r="B178" s="4452"/>
      <c r="C178" s="4453"/>
      <c r="D178" s="4453"/>
      <c r="E178" s="4453"/>
      <c r="F178" s="4453"/>
      <c r="G178" s="4453"/>
      <c r="H178" s="4453"/>
      <c r="I178" s="4453"/>
      <c r="J178" s="4453"/>
      <c r="K178" s="4453"/>
      <c r="L178" s="4454"/>
      <c r="O178" s="136">
        <f>ROW()</f>
        <v>178</v>
      </c>
      <c r="P178" s="298" t="s">
        <v>989</v>
      </c>
      <c r="Q178" s="298" t="s">
        <v>990</v>
      </c>
      <c r="R178" s="298" t="s">
        <v>991</v>
      </c>
      <c r="S178" s="298" t="s">
        <v>992</v>
      </c>
      <c r="T178" s="298" t="s">
        <v>993</v>
      </c>
      <c r="U178" s="298" t="s">
        <v>994</v>
      </c>
      <c r="V178" s="298"/>
      <c r="W178" s="298"/>
      <c r="Y178" s="298" t="s">
        <v>989</v>
      </c>
      <c r="Z178" s="298" t="s">
        <v>990</v>
      </c>
      <c r="AA178" s="298" t="s">
        <v>991</v>
      </c>
      <c r="AB178" s="298" t="s">
        <v>992</v>
      </c>
      <c r="AC178" s="298" t="s">
        <v>993</v>
      </c>
      <c r="AD178" s="298" t="s">
        <v>994</v>
      </c>
      <c r="AE178" s="298"/>
      <c r="AF178" s="298"/>
      <c r="AH178" s="298" t="s">
        <v>989</v>
      </c>
      <c r="AI178" s="298" t="s">
        <v>990</v>
      </c>
      <c r="AJ178" s="298" t="s">
        <v>991</v>
      </c>
      <c r="AK178" s="298" t="s">
        <v>992</v>
      </c>
      <c r="AL178" s="298" t="s">
        <v>993</v>
      </c>
      <c r="AM178" s="298" t="s">
        <v>994</v>
      </c>
      <c r="AN178" s="298"/>
      <c r="AO178" s="298"/>
      <c r="AQ178" s="298" t="s">
        <v>989</v>
      </c>
      <c r="AR178" s="298" t="s">
        <v>990</v>
      </c>
      <c r="AS178" s="298" t="s">
        <v>991</v>
      </c>
      <c r="AT178" s="298" t="s">
        <v>992</v>
      </c>
      <c r="AU178" s="298" t="s">
        <v>993</v>
      </c>
      <c r="AV178" s="298" t="s">
        <v>994</v>
      </c>
      <c r="AW178" s="298"/>
      <c r="AX178" s="298"/>
      <c r="AZ178" s="298" t="s">
        <v>989</v>
      </c>
      <c r="BA178" s="298" t="s">
        <v>990</v>
      </c>
      <c r="BB178" s="298" t="s">
        <v>991</v>
      </c>
      <c r="BC178" s="298" t="s">
        <v>992</v>
      </c>
      <c r="BD178" s="298" t="s">
        <v>993</v>
      </c>
      <c r="BE178" s="298" t="s">
        <v>994</v>
      </c>
      <c r="BF178" s="298"/>
      <c r="BG178" s="298"/>
      <c r="BI178" s="298" t="s">
        <v>2678</v>
      </c>
      <c r="BJ178" s="298" t="s">
        <v>665</v>
      </c>
      <c r="BK178" s="298" t="s">
        <v>666</v>
      </c>
      <c r="BL178" s="298" t="s">
        <v>667</v>
      </c>
      <c r="BM178" s="298" t="s">
        <v>668</v>
      </c>
      <c r="BN178" s="298" t="s">
        <v>434</v>
      </c>
      <c r="BO178" s="298" t="s">
        <v>435</v>
      </c>
      <c r="BP178" s="298"/>
    </row>
    <row r="179" spans="2:68" ht="13.2" customHeight="1">
      <c r="B179" s="4455"/>
      <c r="C179" s="4456"/>
      <c r="D179" s="4456"/>
      <c r="E179" s="4456"/>
      <c r="F179" s="4456"/>
      <c r="G179" s="4456"/>
      <c r="H179" s="4456"/>
      <c r="I179" s="4456"/>
      <c r="J179" s="4456"/>
      <c r="K179" s="4456"/>
      <c r="L179" s="4457"/>
      <c r="O179" s="136">
        <f>ROW()</f>
        <v>179</v>
      </c>
    </row>
    <row r="180" spans="2:68" ht="13.2" customHeight="1">
      <c r="O180" s="136">
        <f>ROW()</f>
        <v>180</v>
      </c>
      <c r="AQ180" s="281" t="s">
        <v>59</v>
      </c>
      <c r="AS180" s="4268" t="s">
        <v>2804</v>
      </c>
      <c r="AT180" s="4269"/>
      <c r="AU180" s="647" t="s">
        <v>1650</v>
      </c>
      <c r="AV180" s="600" t="s">
        <v>1651</v>
      </c>
    </row>
    <row r="181" spans="2:68" ht="13.2" customHeight="1">
      <c r="B181" s="312" t="s">
        <v>3704</v>
      </c>
      <c r="I181" s="1057">
        <f>V_sub_k</f>
        <v>91365</v>
      </c>
      <c r="O181" s="136">
        <f>ROW()</f>
        <v>181</v>
      </c>
      <c r="P181" s="282" t="s">
        <v>426</v>
      </c>
      <c r="Y181" s="282" t="s">
        <v>426</v>
      </c>
      <c r="AH181" s="282" t="s">
        <v>426</v>
      </c>
      <c r="AS181" s="4270"/>
      <c r="AT181" s="4271"/>
      <c r="AU181" s="141">
        <v>0.95</v>
      </c>
      <c r="AV181" s="481">
        <v>0.99</v>
      </c>
    </row>
    <row r="182" spans="2:68" ht="13.2" customHeight="1">
      <c r="B182" s="309" t="str">
        <f>CONCATENATE("Are calculated using speed-volume relationship in Speed-Volume Cordon worksheet, operating on V_sub_k value in Row ",O181, " and Hourly VMT figures in Row ",O149, ".")</f>
        <v>Are calculated using speed-volume relationship in Speed-Volume Cordon worksheet, operating on V_sub_k value in Row 181 and Hourly VMT figures in Row 149.</v>
      </c>
      <c r="C182" s="217"/>
      <c r="D182" s="217"/>
      <c r="E182" s="217"/>
      <c r="F182" s="217"/>
      <c r="G182" s="217"/>
      <c r="H182" s="217"/>
      <c r="I182" s="217"/>
      <c r="J182" s="217"/>
      <c r="K182" s="217"/>
      <c r="L182" s="217"/>
      <c r="M182" s="217"/>
      <c r="O182" s="136">
        <f>ROW()</f>
        <v>182</v>
      </c>
      <c r="P182" s="308" t="s">
        <v>2533</v>
      </c>
      <c r="Y182" s="308" t="s">
        <v>2533</v>
      </c>
      <c r="AH182" s="308" t="s">
        <v>2533</v>
      </c>
      <c r="AQ182" s="308" t="s">
        <v>2533</v>
      </c>
      <c r="AS182" s="298"/>
      <c r="AT182" s="298"/>
    </row>
    <row r="183" spans="2:68" ht="13.2" customHeight="1">
      <c r="C183" s="217"/>
      <c r="D183" s="217"/>
      <c r="E183" s="217"/>
      <c r="F183" s="217"/>
      <c r="G183" s="217"/>
      <c r="H183" s="217"/>
      <c r="I183" s="217"/>
      <c r="J183" s="217"/>
      <c r="K183" s="217"/>
      <c r="L183" s="217"/>
      <c r="M183" s="217"/>
      <c r="O183" s="136">
        <f>ROW()</f>
        <v>183</v>
      </c>
    </row>
    <row r="184" spans="2:68" ht="13.2" customHeight="1">
      <c r="B184" s="281" t="s">
        <v>98</v>
      </c>
      <c r="D184" s="86"/>
      <c r="E184" s="86"/>
      <c r="F184" s="86"/>
      <c r="G184" s="117">
        <f t="shared" ref="G184:L184" si="105">KSC/(1+0.1*(G149/V_sub_k)^KSE)</f>
        <v>19.55302538817131</v>
      </c>
      <c r="H184" s="117">
        <f t="shared" si="105"/>
        <v>14.463163590642981</v>
      </c>
      <c r="I184" s="117">
        <f t="shared" si="105"/>
        <v>10.942583528894987</v>
      </c>
      <c r="J184" s="117">
        <f t="shared" si="105"/>
        <v>9.6014485895675374</v>
      </c>
      <c r="K184" s="117">
        <f t="shared" si="105"/>
        <v>11.888482146116795</v>
      </c>
      <c r="L184" s="117">
        <f t="shared" si="105"/>
        <v>14.083954279243196</v>
      </c>
      <c r="M184" s="21"/>
      <c r="O184" s="136">
        <f>ROW()</f>
        <v>184</v>
      </c>
      <c r="P184" s="21">
        <f t="shared" ref="P184:V184" si="106">G184</f>
        <v>19.55302538817131</v>
      </c>
      <c r="Q184" s="21">
        <f t="shared" si="106"/>
        <v>14.463163590642981</v>
      </c>
      <c r="R184" s="21">
        <f t="shared" si="106"/>
        <v>10.942583528894987</v>
      </c>
      <c r="S184" s="21">
        <f t="shared" si="106"/>
        <v>9.6014485895675374</v>
      </c>
      <c r="T184" s="21">
        <f t="shared" si="106"/>
        <v>11.888482146116795</v>
      </c>
      <c r="U184" s="21">
        <f t="shared" si="106"/>
        <v>14.083954279243196</v>
      </c>
      <c r="V184" s="21">
        <f t="shared" si="106"/>
        <v>0</v>
      </c>
      <c r="Y184" s="21">
        <f t="shared" ref="Y184:AD184" si="107">G184</f>
        <v>19.55302538817131</v>
      </c>
      <c r="Z184" s="21">
        <f t="shared" si="107"/>
        <v>14.463163590642981</v>
      </c>
      <c r="AA184" s="21">
        <f t="shared" si="107"/>
        <v>10.942583528894987</v>
      </c>
      <c r="AB184" s="21">
        <f t="shared" si="107"/>
        <v>9.6014485895675374</v>
      </c>
      <c r="AC184" s="21">
        <f t="shared" si="107"/>
        <v>11.888482146116795</v>
      </c>
      <c r="AD184" s="21">
        <f t="shared" si="107"/>
        <v>14.083954279243196</v>
      </c>
      <c r="AE184" s="21"/>
      <c r="AH184" s="21">
        <f t="shared" ref="AH184:AM184" si="108">P184</f>
        <v>19.55302538817131</v>
      </c>
      <c r="AI184" s="21">
        <f t="shared" si="108"/>
        <v>14.463163590642981</v>
      </c>
      <c r="AJ184" s="21">
        <f t="shared" si="108"/>
        <v>10.942583528894987</v>
      </c>
      <c r="AK184" s="21">
        <f t="shared" si="108"/>
        <v>9.6014485895675374</v>
      </c>
      <c r="AL184" s="21">
        <f t="shared" si="108"/>
        <v>11.888482146116795</v>
      </c>
      <c r="AM184" s="21">
        <f t="shared" si="108"/>
        <v>14.083954279243196</v>
      </c>
      <c r="AN184" s="21"/>
      <c r="AQ184" s="21">
        <f t="shared" ref="AQ184:AV184" si="109">G184*$AU$181</f>
        <v>18.575374118762745</v>
      </c>
      <c r="AR184" s="21">
        <f t="shared" si="109"/>
        <v>13.740005411110833</v>
      </c>
      <c r="AS184" s="21">
        <f t="shared" si="109"/>
        <v>10.395454352450237</v>
      </c>
      <c r="AT184" s="21">
        <f t="shared" si="109"/>
        <v>9.1213761600891594</v>
      </c>
      <c r="AU184" s="21">
        <f t="shared" si="109"/>
        <v>11.294058038810954</v>
      </c>
      <c r="AV184" s="21">
        <f t="shared" si="109"/>
        <v>13.379756565281035</v>
      </c>
      <c r="AW184" s="21"/>
      <c r="AZ184" s="21">
        <f t="shared" ref="AZ184:BE184" si="110">G184</f>
        <v>19.55302538817131</v>
      </c>
      <c r="BA184" s="21">
        <f t="shared" si="110"/>
        <v>14.463163590642981</v>
      </c>
      <c r="BB184" s="21">
        <f t="shared" si="110"/>
        <v>10.942583528894987</v>
      </c>
      <c r="BC184" s="21">
        <f t="shared" si="110"/>
        <v>9.6014485895675374</v>
      </c>
      <c r="BD184" s="21">
        <f t="shared" si="110"/>
        <v>11.888482146116795</v>
      </c>
      <c r="BE184" s="21">
        <f t="shared" si="110"/>
        <v>14.083954279243196</v>
      </c>
      <c r="BF184" s="21"/>
      <c r="BI184" s="21">
        <f t="shared" ref="BI184:BN184" si="111">G184</f>
        <v>19.55302538817131</v>
      </c>
      <c r="BJ184" s="21">
        <f t="shared" si="111"/>
        <v>14.463163590642981</v>
      </c>
      <c r="BK184" s="21">
        <f t="shared" si="111"/>
        <v>10.942583528894987</v>
      </c>
      <c r="BL184" s="21">
        <f t="shared" si="111"/>
        <v>9.6014485895675374</v>
      </c>
      <c r="BM184" s="21">
        <f t="shared" si="111"/>
        <v>11.888482146116795</v>
      </c>
      <c r="BN184" s="21">
        <f t="shared" si="111"/>
        <v>14.083954279243196</v>
      </c>
      <c r="BO184" s="21"/>
    </row>
    <row r="185" spans="2:68" ht="13.2" customHeight="1">
      <c r="B185" s="309" t="str">
        <f>CONCATENATE("Reciprocal of Cordon Speeds (needed to calc average in Row ",O188, ".")</f>
        <v>Reciprocal of Cordon Speeds (needed to calc average in Row 188.</v>
      </c>
      <c r="D185" s="86"/>
      <c r="E185" s="86"/>
      <c r="F185" s="86"/>
      <c r="G185" s="117">
        <f t="shared" ref="G185:L185" si="112">1/G184</f>
        <v>5.1142980697245675E-2</v>
      </c>
      <c r="H185" s="117">
        <f t="shared" si="112"/>
        <v>6.9141166366047002E-2</v>
      </c>
      <c r="I185" s="117">
        <f t="shared" si="112"/>
        <v>9.1386097018076207E-2</v>
      </c>
      <c r="J185" s="117">
        <f t="shared" si="112"/>
        <v>0.1041509508353303</v>
      </c>
      <c r="K185" s="117">
        <f t="shared" si="112"/>
        <v>8.411502727676938E-2</v>
      </c>
      <c r="L185" s="117">
        <f t="shared" si="112"/>
        <v>7.1002786587697958E-2</v>
      </c>
      <c r="M185" s="117"/>
      <c r="O185" s="136">
        <f>ROW()</f>
        <v>185</v>
      </c>
      <c r="P185" s="21"/>
      <c r="Q185" s="21"/>
      <c r="R185" s="21"/>
      <c r="S185" s="21"/>
      <c r="T185" s="21"/>
      <c r="U185" s="21"/>
      <c r="V185" s="21"/>
      <c r="Y185" s="21"/>
      <c r="Z185" s="21"/>
      <c r="AA185" s="21"/>
      <c r="AB185" s="21"/>
      <c r="AC185" s="21"/>
      <c r="AD185" s="21"/>
      <c r="AE185" s="21"/>
      <c r="AH185" s="21"/>
      <c r="AI185" s="21"/>
      <c r="AJ185" s="21"/>
      <c r="AK185" s="21"/>
      <c r="AL185" s="21"/>
      <c r="AM185" s="21"/>
      <c r="AN185" s="21"/>
      <c r="AQ185" s="21"/>
      <c r="AR185" s="21"/>
      <c r="AS185" s="21"/>
      <c r="AT185" s="21"/>
      <c r="AU185" s="21"/>
      <c r="AV185" s="21"/>
      <c r="AW185" s="21"/>
      <c r="AZ185" s="21"/>
      <c r="BA185" s="21"/>
      <c r="BB185" s="21"/>
      <c r="BC185" s="21"/>
      <c r="BD185" s="21"/>
      <c r="BE185" s="21"/>
      <c r="BF185" s="21"/>
      <c r="BI185" s="21"/>
      <c r="BJ185" s="21"/>
      <c r="BK185" s="21"/>
      <c r="BL185" s="21"/>
      <c r="BM185" s="21"/>
      <c r="BN185" s="21"/>
      <c r="BO185" s="21"/>
    </row>
    <row r="186" spans="2:68" ht="13.2" customHeight="1" thickBot="1">
      <c r="B186" s="309" t="str">
        <f>CONCATENATE("See note directly above in Rows ",O177, " and ",O182, " to see how cordon speeds were estimated.")</f>
        <v>See note directly above in Rows 177 and 182 to see how cordon speeds were estimated.</v>
      </c>
      <c r="G186" s="282"/>
      <c r="O186" s="136">
        <f>ROW()</f>
        <v>186</v>
      </c>
    </row>
    <row r="187" spans="2:68" ht="13.2" customHeight="1">
      <c r="H187" s="950"/>
      <c r="I187" s="951"/>
      <c r="J187" s="952" t="s">
        <v>1940</v>
      </c>
      <c r="K187" s="953">
        <f>K188/'Motor Vs'!K188-1</f>
        <v>0.24068004282820032</v>
      </c>
      <c r="O187" s="136">
        <f>ROW()</f>
        <v>187</v>
      </c>
    </row>
    <row r="188" spans="2:68" ht="13.2" customHeight="1" thickBot="1">
      <c r="H188" s="865" t="s">
        <v>983</v>
      </c>
      <c r="I188" s="166"/>
      <c r="J188" s="166"/>
      <c r="K188" s="916">
        <f>$N$147/SUMPRODUCT(G185:M185,G147:M147)</f>
        <v>13.029668388108686</v>
      </c>
      <c r="O188" s="136">
        <f>ROW()</f>
        <v>188</v>
      </c>
    </row>
    <row r="189" spans="2:68" ht="13.2" customHeight="1">
      <c r="O189" s="136">
        <f>ROW()</f>
        <v>189</v>
      </c>
    </row>
    <row r="190" spans="2:68" ht="13.2" customHeight="1">
      <c r="B190" s="308" t="s">
        <v>1826</v>
      </c>
      <c r="C190" s="297"/>
      <c r="D190" s="297"/>
      <c r="E190" s="297"/>
      <c r="F190" s="297"/>
      <c r="G190" s="575">
        <f t="shared" ref="G190:L190" si="113">G147/G184</f>
        <v>49421.937732922459</v>
      </c>
      <c r="H190" s="575">
        <f t="shared" si="113"/>
        <v>19088.772555852971</v>
      </c>
      <c r="I190" s="575">
        <f t="shared" si="113"/>
        <v>74432.643210556475</v>
      </c>
      <c r="J190" s="575">
        <f t="shared" si="113"/>
        <v>54115.652459925266</v>
      </c>
      <c r="K190" s="575">
        <f t="shared" si="113"/>
        <v>26248.587026322533</v>
      </c>
      <c r="L190" s="575">
        <f t="shared" si="113"/>
        <v>19977.041394147356</v>
      </c>
      <c r="M190" s="282"/>
      <c r="N190" s="186">
        <f>SUM(G190:M190)</f>
        <v>243284.63437972707</v>
      </c>
      <c r="O190" s="136">
        <f>ROW()</f>
        <v>190</v>
      </c>
    </row>
    <row r="191" spans="2:68" ht="13.2" customHeight="1">
      <c r="B191" s="309" t="str">
        <f>CONCATENATE("Calculated as quotient of Row ",O147, " figures by Row ",O184, " figures. Figures in this row will be invoked later, to calculate time savings from cordon fees.")</f>
        <v>Calculated as quotient of Row 147 figures by Row 184 figures. Figures in this row will be invoked later, to calculate time savings from cordon fees.</v>
      </c>
      <c r="C191" s="297"/>
      <c r="D191" s="297"/>
      <c r="E191" s="297"/>
      <c r="F191" s="297"/>
      <c r="G191" s="282"/>
      <c r="H191" s="282"/>
      <c r="I191" s="282"/>
      <c r="J191" s="282"/>
      <c r="K191" s="282"/>
      <c r="L191" s="282"/>
      <c r="M191" s="282"/>
      <c r="N191" s="186"/>
      <c r="O191" s="136">
        <f>ROW()</f>
        <v>191</v>
      </c>
    </row>
    <row r="192" spans="2:68" ht="13.2" customHeight="1">
      <c r="B192" s="568"/>
      <c r="C192" s="568"/>
      <c r="D192" s="568"/>
      <c r="E192" s="568"/>
      <c r="F192" s="568"/>
      <c r="O192" s="136">
        <f>ROW()</f>
        <v>192</v>
      </c>
      <c r="AZ192" s="281" t="s">
        <v>2517</v>
      </c>
      <c r="BI192" s="281" t="s">
        <v>2518</v>
      </c>
    </row>
    <row r="193" spans="2:67" ht="13.2" customHeight="1">
      <c r="B193" s="308" t="s">
        <v>2412</v>
      </c>
      <c r="C193" s="297"/>
      <c r="D193" s="297"/>
      <c r="E193" s="297"/>
      <c r="F193" s="297"/>
      <c r="O193" s="136">
        <f>ROW()</f>
        <v>193</v>
      </c>
    </row>
    <row r="194" spans="2:67" ht="13.2" customHeight="1">
      <c r="B194" s="308"/>
      <c r="C194" s="297"/>
      <c r="D194" s="297"/>
      <c r="E194" s="297"/>
      <c r="F194" s="297"/>
      <c r="O194" s="136">
        <f>ROW()</f>
        <v>194</v>
      </c>
    </row>
    <row r="195" spans="2:67" ht="13.2" customHeight="1">
      <c r="B195" s="4187" t="s">
        <v>984</v>
      </c>
      <c r="C195" s="4187"/>
      <c r="D195" s="4187"/>
      <c r="E195" s="4187"/>
      <c r="F195" s="4187"/>
      <c r="G195" s="4187"/>
      <c r="H195" s="4187"/>
      <c r="I195" s="4187"/>
      <c r="J195" s="4187"/>
      <c r="K195" s="4187"/>
      <c r="L195" s="4187"/>
      <c r="M195" s="21"/>
      <c r="O195" s="136">
        <f>ROW()</f>
        <v>195</v>
      </c>
      <c r="P195" s="308"/>
      <c r="Y195" s="308"/>
      <c r="AH195" s="308"/>
      <c r="AQ195" s="308"/>
      <c r="AZ195" s="308"/>
      <c r="BI195" s="308"/>
    </row>
    <row r="196" spans="2:67" ht="13.2" customHeight="1">
      <c r="B196" s="4187"/>
      <c r="C196" s="4187"/>
      <c r="D196" s="4187"/>
      <c r="E196" s="4187"/>
      <c r="F196" s="4187"/>
      <c r="G196" s="4187"/>
      <c r="H196" s="4187"/>
      <c r="I196" s="4187"/>
      <c r="J196" s="4187"/>
      <c r="K196" s="4187"/>
      <c r="L196" s="4187"/>
      <c r="M196" s="21"/>
      <c r="O196" s="136">
        <f>ROW()</f>
        <v>196</v>
      </c>
      <c r="P196" s="308"/>
      <c r="Y196" s="308"/>
      <c r="AH196" s="308"/>
      <c r="AQ196" s="308"/>
      <c r="AZ196" s="308"/>
      <c r="BI196" s="308"/>
    </row>
    <row r="197" spans="2:67" ht="13.2" customHeight="1">
      <c r="B197" s="4187"/>
      <c r="C197" s="4187"/>
      <c r="D197" s="4187"/>
      <c r="E197" s="4187"/>
      <c r="F197" s="4187"/>
      <c r="G197" s="4187"/>
      <c r="H197" s="4187"/>
      <c r="I197" s="4187"/>
      <c r="J197" s="4187"/>
      <c r="K197" s="4187"/>
      <c r="L197" s="4187"/>
      <c r="M197" s="21"/>
      <c r="O197" s="136">
        <f>ROW()</f>
        <v>197</v>
      </c>
      <c r="P197" s="308"/>
      <c r="Y197" s="308"/>
      <c r="AH197" s="308"/>
      <c r="AQ197" s="308"/>
      <c r="AZ197" s="308"/>
      <c r="BI197" s="308"/>
    </row>
    <row r="198" spans="2:67" ht="13.2" customHeight="1">
      <c r="B198" s="309"/>
      <c r="C198" s="297"/>
      <c r="D198" s="297"/>
      <c r="E198" s="297"/>
      <c r="F198" s="297"/>
      <c r="G198" s="21"/>
      <c r="H198" s="21"/>
      <c r="I198" s="4296" t="s">
        <v>381</v>
      </c>
      <c r="J198" s="4296"/>
      <c r="K198" s="4296"/>
      <c r="L198" s="21"/>
      <c r="M198" s="21"/>
      <c r="O198" s="136">
        <f>ROW()</f>
        <v>198</v>
      </c>
      <c r="P198" s="308" t="s">
        <v>2534</v>
      </c>
      <c r="Y198" s="308" t="s">
        <v>2534</v>
      </c>
      <c r="AH198" s="308" t="s">
        <v>2534</v>
      </c>
      <c r="AQ198" s="308" t="s">
        <v>2534</v>
      </c>
      <c r="AZ198" s="308" t="s">
        <v>2534</v>
      </c>
      <c r="BI198" s="308" t="s">
        <v>2534</v>
      </c>
    </row>
    <row r="199" spans="2:67" ht="13.2" customHeight="1">
      <c r="B199" s="281" t="s">
        <v>379</v>
      </c>
      <c r="G199" s="1234">
        <f t="shared" ref="G199:L199" si="114">Alpha*EXP(Beta*G168/SVConstant)</f>
        <v>53.892819398314273</v>
      </c>
      <c r="H199" s="1234">
        <f t="shared" si="114"/>
        <v>30.025936900764989</v>
      </c>
      <c r="I199" s="1234">
        <f t="shared" si="114"/>
        <v>22.417363279123798</v>
      </c>
      <c r="J199" s="1234">
        <f t="shared" si="114"/>
        <v>20.15974744174078</v>
      </c>
      <c r="K199" s="1234">
        <f t="shared" si="114"/>
        <v>25.611658347782868</v>
      </c>
      <c r="L199" s="1234">
        <f t="shared" si="114"/>
        <v>31.144695461388313</v>
      </c>
      <c r="O199" s="136">
        <f>ROW()</f>
        <v>199</v>
      </c>
    </row>
    <row r="200" spans="2:67" ht="13.2" customHeight="1">
      <c r="B200" s="281" t="s">
        <v>380</v>
      </c>
      <c r="G200" s="1235">
        <f>MIN(G199,'Speed-Vol., non-Cordon'!$X$32)</f>
        <v>53.892819398314273</v>
      </c>
      <c r="H200" s="1235">
        <f>MIN(H199,'Speed-Vol., non-Cordon'!$X$32)</f>
        <v>30.025936900764989</v>
      </c>
      <c r="I200" s="1235">
        <f>MIN(I199,'Speed-Vol., non-Cordon'!$X$32)</f>
        <v>22.417363279123798</v>
      </c>
      <c r="J200" s="1235">
        <f>MIN(J199,'Speed-Vol., non-Cordon'!$X$32)</f>
        <v>20.15974744174078</v>
      </c>
      <c r="K200" s="1235">
        <f>MIN(K199,'Speed-Vol., non-Cordon'!$X$32)</f>
        <v>25.611658347782868</v>
      </c>
      <c r="L200" s="1235">
        <f>MIN(L199,'Speed-Vol., non-Cordon'!$X$32)</f>
        <v>31.144695461388313</v>
      </c>
      <c r="O200" s="136">
        <f>ROW()</f>
        <v>200</v>
      </c>
      <c r="P200" s="824">
        <f t="shared" ref="P200:V200" si="115">G200</f>
        <v>53.892819398314273</v>
      </c>
      <c r="Q200" s="824">
        <f t="shared" si="115"/>
        <v>30.025936900764989</v>
      </c>
      <c r="R200" s="824">
        <f t="shared" si="115"/>
        <v>22.417363279123798</v>
      </c>
      <c r="S200" s="824">
        <f t="shared" si="115"/>
        <v>20.15974744174078</v>
      </c>
      <c r="T200" s="824">
        <f t="shared" si="115"/>
        <v>25.611658347782868</v>
      </c>
      <c r="U200" s="824">
        <f t="shared" si="115"/>
        <v>31.144695461388313</v>
      </c>
      <c r="V200" s="824">
        <f t="shared" si="115"/>
        <v>0</v>
      </c>
      <c r="W200" s="86"/>
      <c r="X200" s="86"/>
      <c r="Y200" s="824">
        <f t="shared" ref="Y200:AE200" si="116">G200</f>
        <v>53.892819398314273</v>
      </c>
      <c r="Z200" s="824">
        <f t="shared" si="116"/>
        <v>30.025936900764989</v>
      </c>
      <c r="AA200" s="824">
        <f t="shared" si="116"/>
        <v>22.417363279123798</v>
      </c>
      <c r="AB200" s="824">
        <f t="shared" si="116"/>
        <v>20.15974744174078</v>
      </c>
      <c r="AC200" s="824">
        <f t="shared" si="116"/>
        <v>25.611658347782868</v>
      </c>
      <c r="AD200" s="824">
        <f t="shared" si="116"/>
        <v>31.144695461388313</v>
      </c>
      <c r="AE200" s="824">
        <f t="shared" si="116"/>
        <v>0</v>
      </c>
      <c r="AF200" s="86"/>
      <c r="AG200" s="86"/>
      <c r="AH200" s="824">
        <f t="shared" ref="AH200:AN200" si="117">P200</f>
        <v>53.892819398314273</v>
      </c>
      <c r="AI200" s="824">
        <f t="shared" si="117"/>
        <v>30.025936900764989</v>
      </c>
      <c r="AJ200" s="824">
        <f t="shared" si="117"/>
        <v>22.417363279123798</v>
      </c>
      <c r="AK200" s="824">
        <f t="shared" si="117"/>
        <v>20.15974744174078</v>
      </c>
      <c r="AL200" s="824">
        <f t="shared" si="117"/>
        <v>25.611658347782868</v>
      </c>
      <c r="AM200" s="824">
        <f t="shared" si="117"/>
        <v>31.144695461388313</v>
      </c>
      <c r="AN200" s="824">
        <f t="shared" si="117"/>
        <v>0</v>
      </c>
      <c r="AO200" s="86"/>
      <c r="AP200" s="86"/>
      <c r="AQ200" s="824">
        <f t="shared" ref="AQ200:AW200" si="118">$AV$181*G200</f>
        <v>53.353891204331127</v>
      </c>
      <c r="AR200" s="824">
        <f t="shared" si="118"/>
        <v>29.725677531757338</v>
      </c>
      <c r="AS200" s="824">
        <f t="shared" si="118"/>
        <v>22.193189646332559</v>
      </c>
      <c r="AT200" s="824">
        <f t="shared" si="118"/>
        <v>19.958149967323372</v>
      </c>
      <c r="AU200" s="824">
        <f t="shared" si="118"/>
        <v>25.355541764305038</v>
      </c>
      <c r="AV200" s="824">
        <f t="shared" si="118"/>
        <v>30.833248506774428</v>
      </c>
      <c r="AW200" s="824">
        <f t="shared" si="118"/>
        <v>0</v>
      </c>
      <c r="AX200" s="86"/>
      <c r="AY200" s="86"/>
      <c r="AZ200" s="824">
        <f t="shared" ref="AZ200:BF200" si="119">G200</f>
        <v>53.892819398314273</v>
      </c>
      <c r="BA200" s="824">
        <f t="shared" si="119"/>
        <v>30.025936900764989</v>
      </c>
      <c r="BB200" s="824">
        <f t="shared" si="119"/>
        <v>22.417363279123798</v>
      </c>
      <c r="BC200" s="824">
        <f t="shared" si="119"/>
        <v>20.15974744174078</v>
      </c>
      <c r="BD200" s="824">
        <f t="shared" si="119"/>
        <v>25.611658347782868</v>
      </c>
      <c r="BE200" s="824">
        <f t="shared" si="119"/>
        <v>31.144695461388313</v>
      </c>
      <c r="BF200" s="824">
        <f t="shared" si="119"/>
        <v>0</v>
      </c>
      <c r="BG200" s="86"/>
      <c r="BH200" s="86"/>
      <c r="BI200" s="824">
        <f t="shared" ref="BI200:BO200" si="120">G200</f>
        <v>53.892819398314273</v>
      </c>
      <c r="BJ200" s="824">
        <f t="shared" si="120"/>
        <v>30.025936900764989</v>
      </c>
      <c r="BK200" s="824">
        <f t="shared" si="120"/>
        <v>22.417363279123798</v>
      </c>
      <c r="BL200" s="824">
        <f t="shared" si="120"/>
        <v>20.15974744174078</v>
      </c>
      <c r="BM200" s="824">
        <f t="shared" si="120"/>
        <v>25.611658347782868</v>
      </c>
      <c r="BN200" s="824">
        <f t="shared" si="120"/>
        <v>31.144695461388313</v>
      </c>
      <c r="BO200" s="824">
        <f t="shared" si="120"/>
        <v>0</v>
      </c>
    </row>
    <row r="201" spans="2:67" ht="13.2" customHeight="1">
      <c r="B201" s="309" t="str">
        <f>CONCATENATE("Reciprocal of Cordon Speeds (needed to calc average in Row ",O204, ".")</f>
        <v>Reciprocal of Cordon Speeds (needed to calc average in Row 204.</v>
      </c>
      <c r="G201" s="117">
        <f t="shared" ref="G201:L201" si="121">1/G200</f>
        <v>1.8555347654186361E-2</v>
      </c>
      <c r="H201" s="117">
        <f t="shared" si="121"/>
        <v>3.3304539448843054E-2</v>
      </c>
      <c r="I201" s="117">
        <f t="shared" si="121"/>
        <v>4.4608279196298319E-2</v>
      </c>
      <c r="J201" s="117">
        <f t="shared" si="121"/>
        <v>4.9603796024224926E-2</v>
      </c>
      <c r="K201" s="117">
        <f t="shared" si="121"/>
        <v>3.9044718870637568E-2</v>
      </c>
      <c r="L201" s="117">
        <f t="shared" si="121"/>
        <v>3.2108196441983247E-2</v>
      </c>
      <c r="M201" s="21"/>
      <c r="O201" s="136">
        <f>ROW()</f>
        <v>201</v>
      </c>
      <c r="BO201" s="21"/>
    </row>
    <row r="202" spans="2:67" ht="13.2" customHeight="1" thickBot="1">
      <c r="G202" s="587"/>
      <c r="H202" s="113"/>
      <c r="I202" s="113"/>
      <c r="J202" s="113"/>
      <c r="K202" s="947"/>
      <c r="L202" s="21"/>
      <c r="M202" s="587"/>
      <c r="N202" s="91"/>
      <c r="O202" s="136">
        <f>ROW()</f>
        <v>202</v>
      </c>
    </row>
    <row r="203" spans="2:67" ht="13.2" customHeight="1">
      <c r="B203" s="4494" t="str">
        <f>CONCATENATE("Non-cordon speeds (uncapped) in Row ",O199, " are calculated using an exponential equation relating highway speeds to highway volumes, developed in the 'Speed-Vol., non-Cordon' worksheet.")</f>
        <v>Non-cordon speeds (uncapped) in Row 199 are calculated using an exponential equation relating highway speeds to highway volumes, developed in the 'Speed-Vol., non-Cordon' worksheet.</v>
      </c>
      <c r="C203" s="4495"/>
      <c r="D203" s="4495"/>
      <c r="E203" s="4495"/>
      <c r="F203" s="4495"/>
      <c r="G203" s="587"/>
      <c r="H203" s="950"/>
      <c r="I203" s="951"/>
      <c r="J203" s="952" t="s">
        <v>1940</v>
      </c>
      <c r="K203" s="953">
        <f>K204/'Motor Vs'!K204-1</f>
        <v>0.38080828736503292</v>
      </c>
      <c r="L203" s="21"/>
      <c r="M203" s="587"/>
      <c r="N203" s="91"/>
      <c r="O203" s="136">
        <f>ROW()</f>
        <v>203</v>
      </c>
    </row>
    <row r="204" spans="2:67" ht="13.2" customHeight="1" thickBot="1">
      <c r="B204" s="4495"/>
      <c r="C204" s="4495"/>
      <c r="D204" s="4495"/>
      <c r="E204" s="4495"/>
      <c r="F204" s="4495"/>
      <c r="G204" s="21"/>
      <c r="H204" s="865" t="s">
        <v>983</v>
      </c>
      <c r="I204" s="166"/>
      <c r="J204" s="166"/>
      <c r="K204" s="916">
        <f>$N$147/SUMPRODUCT(G201:M201,G147:M147)</f>
        <v>28.700001284590645</v>
      </c>
      <c r="L204" s="21"/>
      <c r="M204" s="21"/>
      <c r="O204" s="136">
        <f>ROW()</f>
        <v>204</v>
      </c>
    </row>
    <row r="205" spans="2:67" ht="13.2" customHeight="1">
      <c r="B205" s="4495"/>
      <c r="C205" s="4495"/>
      <c r="D205" s="4495"/>
      <c r="E205" s="4495"/>
      <c r="F205" s="4495"/>
      <c r="G205" s="21"/>
      <c r="H205" s="113"/>
      <c r="I205" s="113"/>
      <c r="J205" s="113"/>
      <c r="K205" s="955"/>
      <c r="L205" s="21"/>
      <c r="M205" s="21"/>
      <c r="O205" s="136">
        <f>ROW()</f>
        <v>205</v>
      </c>
    </row>
    <row r="206" spans="2:67" ht="13.2" customHeight="1">
      <c r="B206" s="309"/>
      <c r="C206" s="297"/>
      <c r="D206" s="297"/>
      <c r="E206" s="297"/>
      <c r="F206" s="297"/>
      <c r="G206" s="21"/>
      <c r="H206" s="113"/>
      <c r="I206" s="113"/>
      <c r="J206" s="113"/>
      <c r="K206" s="955"/>
      <c r="L206" s="21"/>
      <c r="M206" s="21"/>
      <c r="O206" s="136">
        <f>ROW()</f>
        <v>206</v>
      </c>
    </row>
    <row r="207" spans="2:67" ht="13.2" customHeight="1">
      <c r="B207" s="309"/>
      <c r="C207" s="297"/>
      <c r="D207" s="297"/>
      <c r="E207" s="297"/>
      <c r="F207" s="297"/>
      <c r="G207" s="21"/>
      <c r="H207" s="113"/>
      <c r="I207" s="113"/>
      <c r="J207" s="113"/>
      <c r="K207" s="955"/>
      <c r="L207" s="21"/>
      <c r="M207" s="21"/>
      <c r="O207" s="136">
        <f>ROW()</f>
        <v>207</v>
      </c>
    </row>
    <row r="208" spans="2:67" ht="13.2" customHeight="1">
      <c r="B208" s="6" t="s">
        <v>2908</v>
      </c>
      <c r="M208" s="113"/>
      <c r="O208" s="136">
        <f>ROW()</f>
        <v>208</v>
      </c>
    </row>
    <row r="209" spans="2:68" ht="13.2" customHeight="1">
      <c r="O209" s="136">
        <f>ROW()</f>
        <v>209</v>
      </c>
    </row>
    <row r="210" spans="2:68" ht="13.2" customHeight="1">
      <c r="B210" s="4449" t="s">
        <v>1227</v>
      </c>
      <c r="C210" s="4450"/>
      <c r="D210" s="4450"/>
      <c r="E210" s="4450"/>
      <c r="F210" s="4450"/>
      <c r="G210" s="4450"/>
      <c r="H210" s="4450"/>
      <c r="I210" s="4450"/>
      <c r="J210" s="4450"/>
      <c r="K210" s="4450"/>
      <c r="L210" s="4451"/>
      <c r="M210" s="45"/>
      <c r="N210" s="45"/>
      <c r="O210" s="136">
        <f>ROW()</f>
        <v>210</v>
      </c>
      <c r="W210" s="4272" t="s">
        <v>1878</v>
      </c>
      <c r="AF210" s="4272" t="s">
        <v>1878</v>
      </c>
      <c r="AO210" s="4272" t="s">
        <v>1878</v>
      </c>
      <c r="AX210" s="4272" t="s">
        <v>1878</v>
      </c>
      <c r="BG210" s="4272" t="s">
        <v>1878</v>
      </c>
      <c r="BP210" s="4272" t="s">
        <v>1878</v>
      </c>
    </row>
    <row r="211" spans="2:68" ht="13.2" customHeight="1">
      <c r="B211" s="4452"/>
      <c r="C211" s="4453"/>
      <c r="D211" s="4453"/>
      <c r="E211" s="4453"/>
      <c r="F211" s="4453"/>
      <c r="G211" s="4453"/>
      <c r="H211" s="4453"/>
      <c r="I211" s="4453"/>
      <c r="J211" s="4453"/>
      <c r="K211" s="4453"/>
      <c r="L211" s="4454"/>
      <c r="M211" s="191"/>
      <c r="N211" s="191"/>
      <c r="O211" s="136">
        <f>ROW()</f>
        <v>211</v>
      </c>
      <c r="P211" s="6" t="s">
        <v>2040</v>
      </c>
      <c r="W211" s="4273"/>
      <c r="Y211" s="6" t="s">
        <v>2040</v>
      </c>
      <c r="AF211" s="4273"/>
      <c r="AH211" s="6" t="s">
        <v>2040</v>
      </c>
      <c r="AO211" s="4273"/>
      <c r="AQ211" s="2" t="s">
        <v>3168</v>
      </c>
      <c r="AX211" s="4273"/>
      <c r="AZ211" s="6" t="s">
        <v>2040</v>
      </c>
      <c r="BG211" s="4273"/>
      <c r="BI211" s="6" t="s">
        <v>2040</v>
      </c>
      <c r="BP211" s="4273"/>
    </row>
    <row r="212" spans="2:68" ht="13.2" customHeight="1">
      <c r="B212" s="4455"/>
      <c r="C212" s="4456"/>
      <c r="D212" s="4456"/>
      <c r="E212" s="4456"/>
      <c r="F212" s="4456"/>
      <c r="G212" s="4456"/>
      <c r="H212" s="4456"/>
      <c r="I212" s="4456"/>
      <c r="J212" s="4456"/>
      <c r="K212" s="4456"/>
      <c r="L212" s="4457"/>
      <c r="M212" s="191"/>
      <c r="N212" s="191"/>
      <c r="O212" s="136">
        <f>ROW()</f>
        <v>212</v>
      </c>
      <c r="W212" s="4273"/>
      <c r="AF212" s="4273"/>
      <c r="AO212" s="4273"/>
      <c r="AX212" s="4273"/>
      <c r="BG212" s="4273"/>
      <c r="BP212" s="4273"/>
    </row>
    <row r="213" spans="2:68" ht="13.2" customHeight="1">
      <c r="B213" s="280" t="s">
        <v>2158</v>
      </c>
      <c r="C213" s="881"/>
      <c r="D213" s="881"/>
      <c r="E213" s="881"/>
      <c r="F213" s="881"/>
      <c r="G213" s="4286" t="s">
        <v>2351</v>
      </c>
      <c r="H213" s="3775"/>
      <c r="I213" s="3775"/>
      <c r="J213" s="3775"/>
      <c r="K213" s="3775"/>
      <c r="L213" s="3776"/>
      <c r="M213" s="191"/>
      <c r="N213" s="191"/>
      <c r="O213" s="136">
        <f>ROW()</f>
        <v>213</v>
      </c>
      <c r="P213" s="21">
        <f t="shared" ref="P213:U213" si="122">$I$85*60/P184</f>
        <v>4.6028682627521107</v>
      </c>
      <c r="Q213" s="21">
        <f t="shared" si="122"/>
        <v>6.2227049729442294</v>
      </c>
      <c r="R213" s="21">
        <f t="shared" si="122"/>
        <v>8.2247487316268586</v>
      </c>
      <c r="S213" s="21">
        <f t="shared" si="122"/>
        <v>9.3735855751797263</v>
      </c>
      <c r="T213" s="21">
        <f t="shared" si="122"/>
        <v>7.5703524549092442</v>
      </c>
      <c r="U213" s="21">
        <f t="shared" si="122"/>
        <v>6.3902507928928163</v>
      </c>
      <c r="V213" s="21"/>
      <c r="W213" s="613">
        <f>SUMPRODUCT(P$147:V$147,P213:V213)/W$147</f>
        <v>6.8827559788243251</v>
      </c>
      <c r="Y213" s="21">
        <f t="shared" ref="Y213:AD213" si="123">$J$85*60/Y184</f>
        <v>4.6028682627521107</v>
      </c>
      <c r="Z213" s="21">
        <f t="shared" si="123"/>
        <v>6.2227049729442294</v>
      </c>
      <c r="AA213" s="21">
        <f t="shared" si="123"/>
        <v>8.2247487316268586</v>
      </c>
      <c r="AB213" s="21">
        <f t="shared" si="123"/>
        <v>9.3735855751797263</v>
      </c>
      <c r="AC213" s="21">
        <f t="shared" si="123"/>
        <v>7.5703524549092442</v>
      </c>
      <c r="AD213" s="21">
        <f t="shared" si="123"/>
        <v>6.3902507928928163</v>
      </c>
      <c r="AE213" s="21"/>
      <c r="AF213" s="613">
        <f>SUMPRODUCT(Y$147:AE$147,Y213:AE213)/AF$147</f>
        <v>7.1516518672749845</v>
      </c>
      <c r="AH213" s="21">
        <f t="shared" ref="AH213:AM213" si="124">$K$85*60/AH184</f>
        <v>4.2960103785686377</v>
      </c>
      <c r="AI213" s="21">
        <f t="shared" si="124"/>
        <v>5.8078579747479484</v>
      </c>
      <c r="AJ213" s="21">
        <f t="shared" si="124"/>
        <v>7.6764321495184022</v>
      </c>
      <c r="AK213" s="21">
        <f t="shared" si="124"/>
        <v>8.7486798701677468</v>
      </c>
      <c r="AL213" s="21">
        <f t="shared" si="124"/>
        <v>7.0656622912486293</v>
      </c>
      <c r="AM213" s="21">
        <f t="shared" si="124"/>
        <v>5.9642340733666295</v>
      </c>
      <c r="AN213" s="21"/>
      <c r="AO213" s="613">
        <f>SUMPRODUCT(AH$147:AN$147,AH213:AN213)/AO$147</f>
        <v>6.4232296404582474</v>
      </c>
      <c r="AQ213" s="21">
        <f t="shared" ref="AQ213:AV213" si="125">$L$85*60/AQ184</f>
        <v>6.46016598280998</v>
      </c>
      <c r="AR213" s="21">
        <f t="shared" si="125"/>
        <v>8.7336210146585671</v>
      </c>
      <c r="AS213" s="21">
        <f t="shared" si="125"/>
        <v>11.543506991756995</v>
      </c>
      <c r="AT213" s="21">
        <f t="shared" si="125"/>
        <v>13.155909579199617</v>
      </c>
      <c r="AU213" s="21">
        <f t="shared" si="125"/>
        <v>10.625056077065606</v>
      </c>
      <c r="AV213" s="21">
        <f t="shared" si="125"/>
        <v>8.9687730426565846</v>
      </c>
      <c r="AW213" s="21"/>
      <c r="AX213" s="613">
        <f>SUMPRODUCT(AQ$147:AW$147,AQ213:AW213)/AX$147</f>
        <v>9.4649395065702535</v>
      </c>
      <c r="AZ213" s="21">
        <f t="shared" ref="AZ213:BE213" si="126">$M$85*60/AZ184</f>
        <v>9.2057365255042214</v>
      </c>
      <c r="BA213" s="21">
        <f t="shared" si="126"/>
        <v>12.445409945888459</v>
      </c>
      <c r="BB213" s="21">
        <f t="shared" si="126"/>
        <v>16.449497463253717</v>
      </c>
      <c r="BC213" s="21">
        <f t="shared" si="126"/>
        <v>18.747171150359453</v>
      </c>
      <c r="BD213" s="21">
        <f t="shared" si="126"/>
        <v>15.140704909818488</v>
      </c>
      <c r="BE213" s="21">
        <f t="shared" si="126"/>
        <v>12.780501585785633</v>
      </c>
      <c r="BF213" s="21"/>
      <c r="BG213" s="613">
        <f>SUMPRODUCT(AZ$147:BF$147,AZ213:BF213)/BG$147</f>
        <v>14.073353442367434</v>
      </c>
      <c r="BI213" s="21">
        <f t="shared" ref="BI213:BN213" si="127">$N$85*60/BI184</f>
        <v>6.1371576836694812</v>
      </c>
      <c r="BJ213" s="21">
        <f t="shared" si="127"/>
        <v>8.2969399639256398</v>
      </c>
      <c r="BK213" s="21">
        <f t="shared" si="127"/>
        <v>10.966331642169145</v>
      </c>
      <c r="BL213" s="21">
        <f t="shared" si="127"/>
        <v>12.498114100239636</v>
      </c>
      <c r="BM213" s="21">
        <f t="shared" si="127"/>
        <v>10.093803273212325</v>
      </c>
      <c r="BN213" s="21">
        <f t="shared" si="127"/>
        <v>8.5203343905237539</v>
      </c>
      <c r="BO213" s="21"/>
      <c r="BP213" s="613">
        <f>SUMPRODUCT(BI$147:BO$147,BI213:BO213)/BP$147</f>
        <v>9.3822356282449544</v>
      </c>
    </row>
    <row r="214" spans="2:68" s="86" customFormat="1" ht="13.2" customHeight="1">
      <c r="B214" s="815" t="s">
        <v>2159</v>
      </c>
      <c r="C214" s="827"/>
      <c r="D214" s="827"/>
      <c r="E214" s="827"/>
      <c r="F214" s="827"/>
      <c r="G214" s="3738"/>
      <c r="H214" s="3739"/>
      <c r="I214" s="3739"/>
      <c r="J214" s="3739"/>
      <c r="K214" s="3739"/>
      <c r="L214" s="3922"/>
      <c r="M214" s="824"/>
      <c r="O214" s="136">
        <f>ROW()</f>
        <v>214</v>
      </c>
      <c r="P214" s="824">
        <f t="shared" ref="P214:U214" si="128">60*$I$85/(1/($P$135/$P184+$Q$135/$Q184+$R$135/$R184+$S$135/$S184+$T$135/$T184+$U$135/$U184))</f>
        <v>6.905785235306773</v>
      </c>
      <c r="Q214" s="824">
        <f t="shared" si="128"/>
        <v>6.905785235306773</v>
      </c>
      <c r="R214" s="824">
        <f t="shared" si="128"/>
        <v>6.905785235306773</v>
      </c>
      <c r="S214" s="824">
        <f t="shared" si="128"/>
        <v>6.905785235306773</v>
      </c>
      <c r="T214" s="824">
        <f t="shared" si="128"/>
        <v>6.905785235306773</v>
      </c>
      <c r="U214" s="824">
        <f t="shared" si="128"/>
        <v>6.905785235306773</v>
      </c>
      <c r="V214" s="824"/>
      <c r="W214" s="828">
        <f>SUMPRODUCT(P$147:V$147,P214:V214)/W$147</f>
        <v>6.905785235306773</v>
      </c>
      <c r="Y214" s="824">
        <f t="shared" ref="Y214:AD214" si="129">60*$J$85/(1/($Y$135/$Y184+$Z$135/$Z184+$AA$135/$AA184+$AB$135/$AB184+$AC$135/$AC184+$AD$135/$AD184))</f>
        <v>6.9057852353067721</v>
      </c>
      <c r="Z214" s="824">
        <f t="shared" si="129"/>
        <v>6.9057852353067721</v>
      </c>
      <c r="AA214" s="824">
        <f t="shared" si="129"/>
        <v>6.9057852353067721</v>
      </c>
      <c r="AB214" s="824">
        <f t="shared" si="129"/>
        <v>6.9057852353067721</v>
      </c>
      <c r="AC214" s="824">
        <f t="shared" si="129"/>
        <v>6.9057852353067721</v>
      </c>
      <c r="AD214" s="824">
        <f t="shared" si="129"/>
        <v>6.9057852353067721</v>
      </c>
      <c r="AE214" s="824"/>
      <c r="AF214" s="828">
        <f>SUMPRODUCT(Y$147:AE$147,Y214:AE214)/AF$147</f>
        <v>6.9057852353067712</v>
      </c>
      <c r="AH214" s="824">
        <f t="shared" ref="AH214:AM214" si="130">AH213</f>
        <v>4.2960103785686377</v>
      </c>
      <c r="AI214" s="824">
        <f t="shared" si="130"/>
        <v>5.8078579747479484</v>
      </c>
      <c r="AJ214" s="824">
        <f t="shared" si="130"/>
        <v>7.6764321495184022</v>
      </c>
      <c r="AK214" s="824">
        <f t="shared" si="130"/>
        <v>8.7486798701677468</v>
      </c>
      <c r="AL214" s="824">
        <f t="shared" si="130"/>
        <v>7.0656622912486293</v>
      </c>
      <c r="AM214" s="824">
        <f t="shared" si="130"/>
        <v>5.9642340733666295</v>
      </c>
      <c r="AN214" s="824"/>
      <c r="AO214" s="828">
        <f>SUMPRODUCT(AH$147:AN$147,AH214:AN214)/AO$147</f>
        <v>6.4232296404582474</v>
      </c>
      <c r="AQ214" s="824"/>
      <c r="AR214" s="824"/>
      <c r="AS214" s="824"/>
      <c r="AT214" s="824"/>
      <c r="AU214" s="824"/>
      <c r="AV214" s="824"/>
      <c r="AW214" s="824"/>
      <c r="AX214" s="828"/>
      <c r="AZ214" s="824">
        <f t="shared" ref="AZ214:BE214" si="131">60*$M$85/(1/($AZ$135/$AZ184+$BA$135/$BA184+$BB$135/$BB184+$BC$135/$BC184+$BD$135/$BD184+$BE$135/$BE184))</f>
        <v>13.811570470613544</v>
      </c>
      <c r="BA214" s="824">
        <f t="shared" si="131"/>
        <v>13.811570470613544</v>
      </c>
      <c r="BB214" s="824">
        <f t="shared" si="131"/>
        <v>13.811570470613544</v>
      </c>
      <c r="BC214" s="824">
        <f t="shared" si="131"/>
        <v>13.811570470613544</v>
      </c>
      <c r="BD214" s="824">
        <f t="shared" si="131"/>
        <v>13.811570470613544</v>
      </c>
      <c r="BE214" s="824">
        <f t="shared" si="131"/>
        <v>13.811570470613544</v>
      </c>
      <c r="BF214" s="824"/>
      <c r="BG214" s="828">
        <f>SUMPRODUCT(AZ$147:BF$147,AZ214:BF214)/BG$147</f>
        <v>13.811570470613548</v>
      </c>
      <c r="BI214" s="824">
        <f t="shared" ref="BI214:BN214" si="132">60*$N$85/(1/($BI$135/$BI184+$BJ$135/$BJ184+$BK$135/$BK184+$BL$135/$BL184+$BM$135/$BM184+$BN$135/$BN184))</f>
        <v>9.2077136470756962</v>
      </c>
      <c r="BJ214" s="824">
        <f t="shared" si="132"/>
        <v>9.2077136470756962</v>
      </c>
      <c r="BK214" s="824">
        <f t="shared" si="132"/>
        <v>9.2077136470756962</v>
      </c>
      <c r="BL214" s="824">
        <f t="shared" si="132"/>
        <v>9.2077136470756962</v>
      </c>
      <c r="BM214" s="824">
        <f t="shared" si="132"/>
        <v>9.2077136470756962</v>
      </c>
      <c r="BN214" s="824">
        <f t="shared" si="132"/>
        <v>9.2077136470756962</v>
      </c>
      <c r="BO214" s="824"/>
      <c r="BP214" s="828">
        <f>SUMPRODUCT(BI$147:BO$147,BI214:BO214)/BP$147</f>
        <v>9.2077136470756962</v>
      </c>
    </row>
    <row r="215" spans="2:68" ht="13.2" customHeight="1">
      <c r="B215" s="280" t="s">
        <v>2160</v>
      </c>
      <c r="C215" s="297"/>
      <c r="D215" s="297"/>
      <c r="E215" s="297"/>
      <c r="F215" s="297"/>
      <c r="G215" s="3738"/>
      <c r="H215" s="3739"/>
      <c r="I215" s="3739"/>
      <c r="J215" s="3739"/>
      <c r="K215" s="3739"/>
      <c r="L215" s="3922"/>
      <c r="M215" s="21"/>
      <c r="O215" s="136">
        <f>ROW()</f>
        <v>215</v>
      </c>
      <c r="P215" s="21">
        <f t="shared" ref="P215:U215" si="133">$I$79*60/P200</f>
        <v>18.815187907112723</v>
      </c>
      <c r="Q215" s="21">
        <f t="shared" si="133"/>
        <v>33.770920360441387</v>
      </c>
      <c r="R215" s="21">
        <f t="shared" si="133"/>
        <v>45.232952296743342</v>
      </c>
      <c r="S215" s="21">
        <f t="shared" si="133"/>
        <v>50.298423963579886</v>
      </c>
      <c r="T215" s="21">
        <f t="shared" si="133"/>
        <v>39.591482521519431</v>
      </c>
      <c r="U215" s="21">
        <f t="shared" si="133"/>
        <v>32.55782433578409</v>
      </c>
      <c r="V215" s="21"/>
      <c r="W215" s="613">
        <f>SUMPRODUCT(P$147:V$147,P215:V215)/W$147</f>
        <v>35.249215200688177</v>
      </c>
      <c r="Y215" s="21">
        <f t="shared" ref="Y215:AD215" si="134">$J$79*60/Y200</f>
        <v>18.815187907112723</v>
      </c>
      <c r="Z215" s="21">
        <f t="shared" si="134"/>
        <v>33.770920360441387</v>
      </c>
      <c r="AA215" s="21">
        <f t="shared" si="134"/>
        <v>45.232952296743342</v>
      </c>
      <c r="AB215" s="21">
        <f t="shared" si="134"/>
        <v>50.298423963579886</v>
      </c>
      <c r="AC215" s="21">
        <f t="shared" si="134"/>
        <v>39.591482521519431</v>
      </c>
      <c r="AD215" s="21">
        <f t="shared" si="134"/>
        <v>32.55782433578409</v>
      </c>
      <c r="AE215" s="21"/>
      <c r="AF215" s="613">
        <f>SUMPRODUCT(Y$147:AE$147,Y215:AE215)/AF$147</f>
        <v>37.001553832149696</v>
      </c>
      <c r="AH215" s="21">
        <f t="shared" ref="AH215:AM215" si="135">$K$79*60/AH200</f>
        <v>28.222781860669084</v>
      </c>
      <c r="AI215" s="21">
        <f t="shared" si="135"/>
        <v>50.656380540662077</v>
      </c>
      <c r="AJ215" s="21">
        <f t="shared" si="135"/>
        <v>67.849428445115009</v>
      </c>
      <c r="AK215" s="21">
        <f t="shared" si="135"/>
        <v>75.447635945369825</v>
      </c>
      <c r="AL215" s="21">
        <f t="shared" si="135"/>
        <v>59.38722378227915</v>
      </c>
      <c r="AM215" s="21">
        <f t="shared" si="135"/>
        <v>48.836736503676136</v>
      </c>
      <c r="AN215" s="21"/>
      <c r="AO215" s="613">
        <f>SUMPRODUCT(AH$147:AN$147,AH215:AN215)/AO$147</f>
        <v>52.812970130765549</v>
      </c>
      <c r="AQ215" s="21">
        <f t="shared" ref="AQ215:AV215" si="136">$L$79*60/AQ200</f>
        <v>6.7473991469768588</v>
      </c>
      <c r="AR215" s="21">
        <f t="shared" si="136"/>
        <v>12.110741617761112</v>
      </c>
      <c r="AS215" s="21">
        <f t="shared" si="136"/>
        <v>16.221192435017571</v>
      </c>
      <c r="AT215" s="21">
        <f t="shared" si="136"/>
        <v>18.037744008809064</v>
      </c>
      <c r="AU215" s="21">
        <f t="shared" si="136"/>
        <v>14.198079589322754</v>
      </c>
      <c r="AV215" s="21">
        <f t="shared" si="136"/>
        <v>11.675707797084817</v>
      </c>
      <c r="AW215" s="21"/>
      <c r="AX215" s="613">
        <f>SUMPRODUCT(AQ$147:AW$147,AQ215:AW215)/AX$147</f>
        <v>12.25686090377739</v>
      </c>
      <c r="AZ215" s="21">
        <f t="shared" ref="AZ215:BE215" si="137">$M$79*60/AZ200</f>
        <v>14.174404759022666</v>
      </c>
      <c r="BA215" s="21">
        <f t="shared" si="137"/>
        <v>25.441292249473573</v>
      </c>
      <c r="BB215" s="21">
        <f t="shared" si="137"/>
        <v>34.076203621502472</v>
      </c>
      <c r="BC215" s="21">
        <f t="shared" si="137"/>
        <v>37.892272111254819</v>
      </c>
      <c r="BD215" s="21">
        <f t="shared" si="137"/>
        <v>29.826207478780599</v>
      </c>
      <c r="BE215" s="21">
        <f t="shared" si="137"/>
        <v>24.5274074586364</v>
      </c>
      <c r="BF215" s="21"/>
      <c r="BG215" s="613">
        <f>SUMPRODUCT(AZ$147:BF$147,AZ215:BF215)/BG$147</f>
        <v>27.304249181799445</v>
      </c>
      <c r="BI215" s="21">
        <f t="shared" ref="BI215:BN215" si="138">$N$79*60/BI200</f>
        <v>19.419647798988422</v>
      </c>
      <c r="BJ215" s="21">
        <f t="shared" si="138"/>
        <v>34.855850629030328</v>
      </c>
      <c r="BK215" s="21">
        <f t="shared" si="138"/>
        <v>46.686113731510211</v>
      </c>
      <c r="BL215" s="21">
        <f t="shared" si="138"/>
        <v>51.914319593250958</v>
      </c>
      <c r="BM215" s="21">
        <f t="shared" si="138"/>
        <v>40.863405149255158</v>
      </c>
      <c r="BN215" s="21">
        <f t="shared" si="138"/>
        <v>33.603782477412665</v>
      </c>
      <c r="BO215" s="21"/>
      <c r="BP215" s="613">
        <f>SUMPRODUCT(BI$147:BO$147,BI215:BO215)/BP$147</f>
        <v>37.408195373343005</v>
      </c>
    </row>
    <row r="216" spans="2:68" s="86" customFormat="1" ht="13.2" customHeight="1">
      <c r="B216" s="815" t="s">
        <v>1138</v>
      </c>
      <c r="C216" s="827"/>
      <c r="D216" s="827"/>
      <c r="E216" s="827"/>
      <c r="F216" s="827"/>
      <c r="G216" s="3738"/>
      <c r="H216" s="3739"/>
      <c r="I216" s="3739"/>
      <c r="J216" s="3739"/>
      <c r="K216" s="3739"/>
      <c r="L216" s="3922"/>
      <c r="M216" s="824"/>
      <c r="O216" s="136">
        <f>ROW()</f>
        <v>216</v>
      </c>
      <c r="P216" s="824">
        <f t="shared" ref="P216:U216" si="139">60*$I$79/(1/($P$135/$P200+$Q$135/$Q200+$R$135/$R200+$S$135/$S200+$T$135/$T200+$U$135/$U200))</f>
        <v>35.329974154729513</v>
      </c>
      <c r="Q216" s="824">
        <f t="shared" si="139"/>
        <v>35.329974154729513</v>
      </c>
      <c r="R216" s="824">
        <f t="shared" si="139"/>
        <v>35.329974154729513</v>
      </c>
      <c r="S216" s="824">
        <f t="shared" si="139"/>
        <v>35.329974154729513</v>
      </c>
      <c r="T216" s="824">
        <f t="shared" si="139"/>
        <v>35.329974154729513</v>
      </c>
      <c r="U216" s="824">
        <f t="shared" si="139"/>
        <v>35.329974154729513</v>
      </c>
      <c r="V216" s="824"/>
      <c r="W216" s="828">
        <f>SUMPRODUCT(P$147:V$147,P216:V216)/W$147</f>
        <v>35.329974154729506</v>
      </c>
      <c r="Y216" s="824">
        <f t="shared" ref="Y216:AD216" si="140">60*$J$79/(1/($Y$135/$Y200+$Z$135/$Z200+$AA$135/$AA200+$AB$135/$AB200+$AC$135/$AC200+$AD$135/$AD200))</f>
        <v>35.329974154729513</v>
      </c>
      <c r="Z216" s="824">
        <f t="shared" si="140"/>
        <v>35.329974154729513</v>
      </c>
      <c r="AA216" s="824">
        <f t="shared" si="140"/>
        <v>35.329974154729513</v>
      </c>
      <c r="AB216" s="824">
        <f t="shared" si="140"/>
        <v>35.329974154729513</v>
      </c>
      <c r="AC216" s="824">
        <f t="shared" si="140"/>
        <v>35.329974154729513</v>
      </c>
      <c r="AD216" s="824">
        <f t="shared" si="140"/>
        <v>35.329974154729513</v>
      </c>
      <c r="AE216" s="824"/>
      <c r="AF216" s="828">
        <f>SUMPRODUCT(Y$147:AE$147,Y216:AE216)/AF$147</f>
        <v>35.329974154729513</v>
      </c>
      <c r="AH216" s="824">
        <f t="shared" ref="AH216:AM216" si="141">AH215</f>
        <v>28.222781860669084</v>
      </c>
      <c r="AI216" s="824">
        <f t="shared" si="141"/>
        <v>50.656380540662077</v>
      </c>
      <c r="AJ216" s="824">
        <f t="shared" si="141"/>
        <v>67.849428445115009</v>
      </c>
      <c r="AK216" s="824">
        <f t="shared" si="141"/>
        <v>75.447635945369825</v>
      </c>
      <c r="AL216" s="824">
        <f t="shared" si="141"/>
        <v>59.38722378227915</v>
      </c>
      <c r="AM216" s="824">
        <f t="shared" si="141"/>
        <v>48.836736503676136</v>
      </c>
      <c r="AN216" s="824"/>
      <c r="AO216" s="828">
        <f>SUMPRODUCT(AH$147:AN$147,AH216:AN216)/AO$147</f>
        <v>52.812970130765549</v>
      </c>
      <c r="AQ216" s="824"/>
      <c r="AR216" s="824"/>
      <c r="AS216" s="824"/>
      <c r="AT216" s="824"/>
      <c r="AU216" s="824"/>
      <c r="AV216" s="824"/>
      <c r="AW216" s="824"/>
      <c r="AX216" s="828"/>
      <c r="AZ216" s="824">
        <f t="shared" ref="AZ216:BE216" si="142">60*$M$79/(1/($AZ$135/$AZ200+$BA$135/$BA200+$BB$135/$BB200+$BC$135/$BC200+$BD$135/$BD200+$BE$135/$BE200))</f>
        <v>26.615804012546427</v>
      </c>
      <c r="BA216" s="824">
        <f t="shared" si="142"/>
        <v>26.615804012546427</v>
      </c>
      <c r="BB216" s="824">
        <f t="shared" si="142"/>
        <v>26.615804012546427</v>
      </c>
      <c r="BC216" s="824">
        <f t="shared" si="142"/>
        <v>26.615804012546427</v>
      </c>
      <c r="BD216" s="824">
        <f t="shared" si="142"/>
        <v>26.615804012546427</v>
      </c>
      <c r="BE216" s="824">
        <f t="shared" si="142"/>
        <v>26.615804012546427</v>
      </c>
      <c r="BF216" s="824"/>
      <c r="BG216" s="828">
        <f>SUMPRODUCT(AZ$147:BF$147,AZ216:BF216)/BG$147</f>
        <v>26.61580401254643</v>
      </c>
      <c r="BI216" s="824">
        <f t="shared" ref="BI216:BN216" si="143">60*$N$79/(1/($BI$135/$BI200+$BJ$135/$BJ200+$BK$135/$BK200+$BL$135/$BL200+$BM$135/$BM200+$BN$135/$BN200))</f>
        <v>36.464990847784492</v>
      </c>
      <c r="BJ216" s="824">
        <f t="shared" si="143"/>
        <v>36.464990847784492</v>
      </c>
      <c r="BK216" s="824">
        <f t="shared" si="143"/>
        <v>36.464990847784492</v>
      </c>
      <c r="BL216" s="824">
        <f t="shared" si="143"/>
        <v>36.464990847784492</v>
      </c>
      <c r="BM216" s="824">
        <f t="shared" si="143"/>
        <v>36.464990847784492</v>
      </c>
      <c r="BN216" s="824">
        <f t="shared" si="143"/>
        <v>36.464990847784492</v>
      </c>
      <c r="BO216" s="824"/>
      <c r="BP216" s="828">
        <f>SUMPRODUCT(BI$147:BO$147,BI216:BO216)/BP$147</f>
        <v>36.464990847784485</v>
      </c>
    </row>
    <row r="217" spans="2:68" ht="13.2" customHeight="1">
      <c r="B217" s="280" t="s">
        <v>2243</v>
      </c>
      <c r="C217" s="297"/>
      <c r="D217" s="297"/>
      <c r="E217" s="297"/>
      <c r="F217" s="297"/>
      <c r="G217" s="3741"/>
      <c r="H217" s="3742"/>
      <c r="I217" s="3742"/>
      <c r="J217" s="3742"/>
      <c r="K217" s="3742"/>
      <c r="L217" s="3777"/>
      <c r="M217" s="21"/>
      <c r="O217" s="136">
        <f>ROW()</f>
        <v>217</v>
      </c>
      <c r="P217" s="21">
        <f t="shared" ref="P217:W217" si="144">SUM(P213:P216)</f>
        <v>65.653815559901119</v>
      </c>
      <c r="Q217" s="21">
        <f t="shared" si="144"/>
        <v>82.229384723421902</v>
      </c>
      <c r="R217" s="21">
        <f t="shared" si="144"/>
        <v>95.693460418406488</v>
      </c>
      <c r="S217" s="21">
        <f t="shared" si="144"/>
        <v>101.90776892879589</v>
      </c>
      <c r="T217" s="21">
        <f t="shared" si="144"/>
        <v>89.397594366464958</v>
      </c>
      <c r="U217" s="21">
        <f t="shared" si="144"/>
        <v>81.183834518713184</v>
      </c>
      <c r="V217" s="21"/>
      <c r="W217" s="614">
        <f t="shared" si="144"/>
        <v>84.367730569548769</v>
      </c>
      <c r="Y217" s="21">
        <f t="shared" ref="Y217:AF217" si="145">SUM(Y213:Y216)</f>
        <v>65.653815559901119</v>
      </c>
      <c r="Z217" s="21">
        <f t="shared" si="145"/>
        <v>82.229384723421902</v>
      </c>
      <c r="AA217" s="21">
        <f t="shared" si="145"/>
        <v>95.693460418406488</v>
      </c>
      <c r="AB217" s="21">
        <f t="shared" si="145"/>
        <v>101.90776892879589</v>
      </c>
      <c r="AC217" s="21">
        <f t="shared" si="145"/>
        <v>89.397594366464958</v>
      </c>
      <c r="AD217" s="21">
        <f t="shared" si="145"/>
        <v>81.183834518713184</v>
      </c>
      <c r="AE217" s="21"/>
      <c r="AF217" s="614">
        <f t="shared" si="145"/>
        <v>86.388965089460967</v>
      </c>
      <c r="AH217" s="21">
        <f t="shared" ref="AH217:AO217" si="146">SUM(AH213:AH216)</f>
        <v>65.037584478475438</v>
      </c>
      <c r="AI217" s="21">
        <f t="shared" si="146"/>
        <v>112.92847703082006</v>
      </c>
      <c r="AJ217" s="21">
        <f t="shared" si="146"/>
        <v>151.05172118926683</v>
      </c>
      <c r="AK217" s="21">
        <f t="shared" si="146"/>
        <v>168.39263163107515</v>
      </c>
      <c r="AL217" s="21">
        <f t="shared" si="146"/>
        <v>132.90577214705556</v>
      </c>
      <c r="AM217" s="21">
        <f t="shared" si="146"/>
        <v>109.60194115408552</v>
      </c>
      <c r="AN217" s="21"/>
      <c r="AO217" s="614">
        <f t="shared" si="146"/>
        <v>118.47239954244759</v>
      </c>
      <c r="AQ217" s="21">
        <f t="shared" ref="AQ217:AX217" si="147">AQ213+AQ215</f>
        <v>13.20756512978684</v>
      </c>
      <c r="AR217" s="21">
        <f t="shared" si="147"/>
        <v>20.844362632419681</v>
      </c>
      <c r="AS217" s="21">
        <f t="shared" si="147"/>
        <v>27.764699426774566</v>
      </c>
      <c r="AT217" s="21">
        <f t="shared" si="147"/>
        <v>31.193653588008679</v>
      </c>
      <c r="AU217" s="21">
        <f t="shared" si="147"/>
        <v>24.82313566638836</v>
      </c>
      <c r="AV217" s="21">
        <f t="shared" si="147"/>
        <v>20.644480839741401</v>
      </c>
      <c r="AW217" s="21"/>
      <c r="AX217" s="614">
        <f t="shared" si="147"/>
        <v>21.721800410347644</v>
      </c>
      <c r="AZ217" s="21">
        <f t="shared" ref="AZ217:BG217" si="148">SUM(AZ213:AZ216)</f>
        <v>63.807515767686859</v>
      </c>
      <c r="BA217" s="21">
        <f t="shared" si="148"/>
        <v>78.314076678522014</v>
      </c>
      <c r="BB217" s="21">
        <f t="shared" si="148"/>
        <v>90.953075567916159</v>
      </c>
      <c r="BC217" s="21">
        <f t="shared" si="148"/>
        <v>97.066817744774227</v>
      </c>
      <c r="BD217" s="21">
        <f t="shared" si="148"/>
        <v>85.39428687175905</v>
      </c>
      <c r="BE217" s="21">
        <f t="shared" si="148"/>
        <v>77.735283527581998</v>
      </c>
      <c r="BF217" s="21"/>
      <c r="BG217" s="614">
        <f t="shared" si="148"/>
        <v>81.804977107326863</v>
      </c>
      <c r="BI217" s="21">
        <f t="shared" ref="BI217:BP217" si="149">SUM(BI213:BI216)</f>
        <v>71.229509977518092</v>
      </c>
      <c r="BJ217" s="21">
        <f t="shared" si="149"/>
        <v>88.825495087816165</v>
      </c>
      <c r="BK217" s="21">
        <f t="shared" si="149"/>
        <v>103.32514986853954</v>
      </c>
      <c r="BL217" s="21">
        <f t="shared" si="149"/>
        <v>110.08513818835078</v>
      </c>
      <c r="BM217" s="21">
        <f t="shared" si="149"/>
        <v>96.629912917327673</v>
      </c>
      <c r="BN217" s="21">
        <f t="shared" si="149"/>
        <v>87.796821362796607</v>
      </c>
      <c r="BO217" s="21"/>
      <c r="BP217" s="614">
        <f t="shared" si="149"/>
        <v>92.463135496448132</v>
      </c>
    </row>
    <row r="218" spans="2:68" ht="13.2" customHeight="1">
      <c r="O218" s="136">
        <f>ROW()</f>
        <v>218</v>
      </c>
    </row>
    <row r="219" spans="2:68" ht="13.2" customHeight="1">
      <c r="B219" s="3780" t="s">
        <v>2910</v>
      </c>
      <c r="C219" s="3781"/>
      <c r="D219" s="3781"/>
      <c r="E219" s="3781"/>
      <c r="F219" s="3781"/>
      <c r="G219" s="3781"/>
      <c r="H219" s="3781"/>
      <c r="I219" s="3781"/>
      <c r="J219" s="3781"/>
      <c r="K219" s="3781"/>
      <c r="L219" s="3781"/>
      <c r="M219" s="191"/>
      <c r="N219" s="191"/>
      <c r="O219" s="136">
        <f>ROW()</f>
        <v>219</v>
      </c>
    </row>
    <row r="220" spans="2:68" ht="13.2" customHeight="1">
      <c r="B220" s="3781"/>
      <c r="C220" s="3781"/>
      <c r="D220" s="3781"/>
      <c r="E220" s="3781"/>
      <c r="F220" s="3781"/>
      <c r="G220" s="3781"/>
      <c r="H220" s="3781"/>
      <c r="I220" s="3781"/>
      <c r="J220" s="3781"/>
      <c r="K220" s="3781"/>
      <c r="L220" s="3781"/>
      <c r="M220" s="191"/>
      <c r="N220" s="191"/>
      <c r="O220" s="136">
        <f>ROW()</f>
        <v>220</v>
      </c>
    </row>
    <row r="221" spans="2:68" ht="13.2" customHeight="1">
      <c r="B221" s="45"/>
      <c r="C221" s="45"/>
      <c r="D221" s="45"/>
      <c r="E221" s="45"/>
      <c r="F221" s="45"/>
      <c r="G221" s="45"/>
      <c r="H221" s="45"/>
      <c r="I221" s="45"/>
      <c r="J221" s="45"/>
      <c r="K221" s="45"/>
      <c r="L221" s="45"/>
      <c r="M221" s="191"/>
      <c r="N221" s="191"/>
      <c r="O221" s="136">
        <f>ROW()</f>
        <v>221</v>
      </c>
    </row>
    <row r="222" spans="2:68" ht="13.2" customHeight="1">
      <c r="B222" s="3659" t="s">
        <v>862</v>
      </c>
      <c r="C222" s="3659"/>
      <c r="D222" s="3659"/>
      <c r="E222" s="3659"/>
      <c r="F222" s="3659"/>
      <c r="G222" s="3659"/>
      <c r="H222" s="3659"/>
      <c r="I222" s="3659"/>
      <c r="J222" s="3659"/>
      <c r="K222" s="3659"/>
      <c r="L222" s="3659"/>
      <c r="M222" s="281"/>
      <c r="O222" s="136">
        <f>ROW()</f>
        <v>222</v>
      </c>
    </row>
    <row r="223" spans="2:68" ht="13.2" customHeight="1">
      <c r="B223" s="3659"/>
      <c r="C223" s="3659"/>
      <c r="D223" s="3659"/>
      <c r="E223" s="3659"/>
      <c r="F223" s="3659"/>
      <c r="G223" s="3659"/>
      <c r="H223" s="3659"/>
      <c r="I223" s="3659"/>
      <c r="J223" s="3659"/>
      <c r="K223" s="3659"/>
      <c r="L223" s="3659"/>
      <c r="M223" s="281"/>
      <c r="O223" s="136">
        <f>ROW()</f>
        <v>223</v>
      </c>
      <c r="P223" s="4147" t="s">
        <v>2680</v>
      </c>
      <c r="Q223" s="4147"/>
      <c r="R223" s="4147"/>
      <c r="S223" s="4147"/>
      <c r="T223" s="4147"/>
      <c r="U223" s="4147"/>
      <c r="V223" s="4147"/>
      <c r="W223" s="4147"/>
      <c r="Y223" s="4147" t="s">
        <v>2681</v>
      </c>
      <c r="Z223" s="4147"/>
      <c r="AA223" s="4147"/>
      <c r="AB223" s="4147"/>
      <c r="AC223" s="4147"/>
      <c r="AD223" s="4147"/>
      <c r="AE223" s="4147"/>
      <c r="AF223" s="4147"/>
      <c r="AH223" s="4263" t="s">
        <v>5482</v>
      </c>
      <c r="AI223" s="4264"/>
      <c r="AJ223" s="4264"/>
      <c r="AK223" s="4264"/>
      <c r="AL223" s="4264"/>
      <c r="AM223" s="4264"/>
      <c r="AN223" s="4264"/>
      <c r="AO223" s="4264"/>
      <c r="AQ223" s="4147" t="s">
        <v>713</v>
      </c>
      <c r="AR223" s="4147"/>
      <c r="AS223" s="4147"/>
      <c r="AT223" s="4147"/>
      <c r="AU223" s="4147"/>
      <c r="AV223" s="4147"/>
      <c r="AW223" s="4147"/>
      <c r="AX223" s="4147"/>
      <c r="AZ223" s="4147" t="s">
        <v>460</v>
      </c>
      <c r="BA223" s="4147"/>
      <c r="BB223" s="4147"/>
      <c r="BC223" s="4147"/>
      <c r="BD223" s="4147"/>
      <c r="BE223" s="4147"/>
      <c r="BF223" s="4147"/>
      <c r="BG223" s="4147"/>
      <c r="BI223" s="4147" t="s">
        <v>849</v>
      </c>
      <c r="BJ223" s="4147"/>
      <c r="BK223" s="4147"/>
      <c r="BL223" s="4147"/>
      <c r="BM223" s="4147"/>
      <c r="BN223" s="4147"/>
      <c r="BO223" s="4147"/>
      <c r="BP223" s="4147"/>
    </row>
    <row r="224" spans="2:68" ht="13.2" customHeight="1">
      <c r="B224" s="3659"/>
      <c r="C224" s="3659"/>
      <c r="D224" s="3659"/>
      <c r="E224" s="3659"/>
      <c r="F224" s="3659"/>
      <c r="G224" s="3659"/>
      <c r="H224" s="3659"/>
      <c r="I224" s="3659"/>
      <c r="J224" s="3659"/>
      <c r="K224" s="3659"/>
      <c r="L224" s="3659"/>
      <c r="M224" s="281"/>
      <c r="O224" s="136">
        <f>ROW()</f>
        <v>224</v>
      </c>
    </row>
    <row r="225" spans="2:68" ht="13.2" customHeight="1">
      <c r="B225" s="3659"/>
      <c r="C225" s="3659"/>
      <c r="D225" s="3659"/>
      <c r="E225" s="3659"/>
      <c r="F225" s="3659"/>
      <c r="G225" s="3659"/>
      <c r="H225" s="3659"/>
      <c r="I225" s="3659"/>
      <c r="J225" s="3659"/>
      <c r="K225" s="3659"/>
      <c r="L225" s="3659"/>
      <c r="M225" s="281"/>
      <c r="O225" s="136">
        <f>ROW()</f>
        <v>225</v>
      </c>
    </row>
    <row r="226" spans="2:68" ht="13.2" customHeight="1">
      <c r="B226" s="3659"/>
      <c r="C226" s="3659"/>
      <c r="D226" s="3659"/>
      <c r="E226" s="3659"/>
      <c r="F226" s="3659"/>
      <c r="G226" s="3659"/>
      <c r="H226" s="3659"/>
      <c r="I226" s="3659"/>
      <c r="J226" s="3659"/>
      <c r="K226" s="3659"/>
      <c r="L226" s="3659"/>
      <c r="M226" s="281"/>
      <c r="O226" s="136">
        <f>ROW()</f>
        <v>226</v>
      </c>
      <c r="P226" s="880" t="s">
        <v>1472</v>
      </c>
      <c r="Q226" s="880" t="s">
        <v>985</v>
      </c>
      <c r="R226" s="880" t="s">
        <v>987</v>
      </c>
      <c r="S226" s="880" t="s">
        <v>1367</v>
      </c>
      <c r="T226" s="880" t="s">
        <v>988</v>
      </c>
      <c r="U226" s="880" t="s">
        <v>986</v>
      </c>
      <c r="V226" s="880" t="s">
        <v>1638</v>
      </c>
      <c r="W226" s="880" t="s">
        <v>2684</v>
      </c>
      <c r="Y226" s="880" t="s">
        <v>1472</v>
      </c>
      <c r="Z226" s="880" t="s">
        <v>985</v>
      </c>
      <c r="AA226" s="880" t="s">
        <v>987</v>
      </c>
      <c r="AB226" s="880" t="s">
        <v>1367</v>
      </c>
      <c r="AC226" s="880" t="s">
        <v>988</v>
      </c>
      <c r="AD226" s="880" t="s">
        <v>986</v>
      </c>
      <c r="AE226" s="880" t="s">
        <v>1638</v>
      </c>
      <c r="AF226" s="880" t="s">
        <v>2684</v>
      </c>
      <c r="AH226" s="880" t="s">
        <v>1472</v>
      </c>
      <c r="AI226" s="880" t="s">
        <v>985</v>
      </c>
      <c r="AJ226" s="880" t="s">
        <v>987</v>
      </c>
      <c r="AK226" s="880" t="s">
        <v>1367</v>
      </c>
      <c r="AL226" s="880" t="s">
        <v>988</v>
      </c>
      <c r="AM226" s="880" t="s">
        <v>986</v>
      </c>
      <c r="AN226" s="880" t="s">
        <v>1638</v>
      </c>
      <c r="AO226" s="880" t="s">
        <v>2684</v>
      </c>
      <c r="AQ226" s="880" t="s">
        <v>1472</v>
      </c>
      <c r="AR226" s="880" t="s">
        <v>985</v>
      </c>
      <c r="AS226" s="880" t="s">
        <v>987</v>
      </c>
      <c r="AT226" s="880" t="s">
        <v>1367</v>
      </c>
      <c r="AU226" s="880" t="s">
        <v>988</v>
      </c>
      <c r="AV226" s="880" t="s">
        <v>986</v>
      </c>
      <c r="AW226" s="880" t="s">
        <v>1638</v>
      </c>
      <c r="AX226" s="880" t="s">
        <v>2684</v>
      </c>
      <c r="AZ226" s="880" t="s">
        <v>1472</v>
      </c>
      <c r="BA226" s="880" t="s">
        <v>985</v>
      </c>
      <c r="BB226" s="880" t="s">
        <v>987</v>
      </c>
      <c r="BC226" s="880" t="s">
        <v>1367</v>
      </c>
      <c r="BD226" s="880" t="s">
        <v>988</v>
      </c>
      <c r="BE226" s="880" t="s">
        <v>986</v>
      </c>
      <c r="BF226" s="880" t="s">
        <v>1638</v>
      </c>
      <c r="BG226" s="880" t="s">
        <v>2684</v>
      </c>
      <c r="BI226" s="880" t="s">
        <v>1472</v>
      </c>
      <c r="BJ226" s="880" t="s">
        <v>985</v>
      </c>
      <c r="BK226" s="880" t="s">
        <v>987</v>
      </c>
      <c r="BL226" s="880" t="s">
        <v>1367</v>
      </c>
      <c r="BM226" s="880" t="s">
        <v>988</v>
      </c>
      <c r="BN226" s="880" t="s">
        <v>986</v>
      </c>
      <c r="BO226" s="880" t="s">
        <v>1638</v>
      </c>
      <c r="BP226" s="880" t="s">
        <v>2684</v>
      </c>
    </row>
    <row r="227" spans="2:68" ht="13.2" customHeight="1">
      <c r="O227" s="136">
        <f>ROW()</f>
        <v>227</v>
      </c>
      <c r="P227" s="298" t="s">
        <v>989</v>
      </c>
      <c r="Q227" s="298" t="s">
        <v>990</v>
      </c>
      <c r="R227" s="298" t="s">
        <v>991</v>
      </c>
      <c r="S227" s="298" t="s">
        <v>992</v>
      </c>
      <c r="T227" s="298" t="s">
        <v>993</v>
      </c>
      <c r="U227" s="298" t="s">
        <v>994</v>
      </c>
      <c r="V227" s="298"/>
      <c r="W227" s="298"/>
      <c r="Y227" s="298" t="s">
        <v>989</v>
      </c>
      <c r="Z227" s="298" t="s">
        <v>990</v>
      </c>
      <c r="AA227" s="298" t="s">
        <v>991</v>
      </c>
      <c r="AB227" s="298" t="s">
        <v>992</v>
      </c>
      <c r="AC227" s="298" t="s">
        <v>993</v>
      </c>
      <c r="AD227" s="298" t="s">
        <v>994</v>
      </c>
      <c r="AE227" s="298"/>
      <c r="AF227" s="298"/>
      <c r="AH227" s="298" t="s">
        <v>989</v>
      </c>
      <c r="AI227" s="298" t="s">
        <v>990</v>
      </c>
      <c r="AJ227" s="298" t="s">
        <v>991</v>
      </c>
      <c r="AK227" s="298" t="s">
        <v>992</v>
      </c>
      <c r="AL227" s="298" t="s">
        <v>993</v>
      </c>
      <c r="AM227" s="298" t="s">
        <v>994</v>
      </c>
      <c r="AN227" s="298"/>
      <c r="AO227" s="298"/>
      <c r="AQ227" s="298" t="s">
        <v>989</v>
      </c>
      <c r="AR227" s="298" t="s">
        <v>990</v>
      </c>
      <c r="AS227" s="298" t="s">
        <v>991</v>
      </c>
      <c r="AT227" s="298" t="s">
        <v>992</v>
      </c>
      <c r="AU227" s="298" t="s">
        <v>993</v>
      </c>
      <c r="AV227" s="298" t="s">
        <v>994</v>
      </c>
      <c r="AW227" s="298"/>
      <c r="AX227" s="298"/>
      <c r="AZ227" s="298" t="s">
        <v>989</v>
      </c>
      <c r="BA227" s="298" t="s">
        <v>990</v>
      </c>
      <c r="BB227" s="298" t="s">
        <v>991</v>
      </c>
      <c r="BC227" s="298" t="s">
        <v>992</v>
      </c>
      <c r="BD227" s="298" t="s">
        <v>993</v>
      </c>
      <c r="BE227" s="298" t="s">
        <v>994</v>
      </c>
      <c r="BF227" s="298"/>
      <c r="BG227" s="298"/>
      <c r="BI227" s="298" t="s">
        <v>989</v>
      </c>
      <c r="BJ227" s="298" t="s">
        <v>990</v>
      </c>
      <c r="BK227" s="298" t="s">
        <v>991</v>
      </c>
      <c r="BL227" s="298" t="s">
        <v>992</v>
      </c>
      <c r="BM227" s="298" t="s">
        <v>993</v>
      </c>
      <c r="BN227" s="298" t="s">
        <v>994</v>
      </c>
      <c r="BO227" s="298"/>
      <c r="BP227" s="298"/>
    </row>
    <row r="228" spans="2:68" ht="13.2" customHeight="1">
      <c r="B228" s="308" t="s">
        <v>560</v>
      </c>
      <c r="G228" s="21"/>
      <c r="H228" s="21"/>
      <c r="I228" s="21"/>
      <c r="J228" s="21"/>
      <c r="K228" s="21"/>
      <c r="L228" s="21"/>
      <c r="M228" s="21"/>
      <c r="O228" s="136">
        <f>ROW()</f>
        <v>228</v>
      </c>
      <c r="AZ228" t="s">
        <v>56</v>
      </c>
      <c r="BI228" t="s">
        <v>981</v>
      </c>
    </row>
    <row r="229" spans="2:68" ht="13.2" customHeight="1">
      <c r="B229" s="323" t="s">
        <v>1652</v>
      </c>
      <c r="G229" s="4321" t="s">
        <v>2351</v>
      </c>
      <c r="H229" s="4322"/>
      <c r="I229" s="4322"/>
      <c r="J229" s="4322"/>
      <c r="K229" s="4322"/>
      <c r="L229" s="4323"/>
      <c r="M229" s="21"/>
      <c r="O229" s="136">
        <f>ROW()</f>
        <v>229</v>
      </c>
      <c r="P229" s="21">
        <f>1000*'Speed-CO2'!$G$28*Constants!$J$16/EXP('Speed-CO2'!$E$24+'Speed-CO2'!$F$24*P184+'Speed-CO2'!$G$24*P184^2+'Speed-CO2'!$H$24*P184^3+'Speed-CO2'!$I$24*P184^4)</f>
        <v>15.493510107642805</v>
      </c>
      <c r="Q229" s="21">
        <f>1000*'Speed-CO2'!$G$28*Constants!$J$16/EXP('Speed-CO2'!$E$24+'Speed-CO2'!$F$24*Q184+'Speed-CO2'!$G$24*Q184^2+'Speed-CO2'!$H$24*Q184^3+'Speed-CO2'!$I$24*Q184^4)</f>
        <v>12.395837305396538</v>
      </c>
      <c r="R229" s="21">
        <f>1000*'Speed-CO2'!$G$28*Constants!$J$16/EXP('Speed-CO2'!$E$24+'Speed-CO2'!$F$24*R184+'Speed-CO2'!$G$24*R184^2+'Speed-CO2'!$H$24*R184^3+'Speed-CO2'!$I$24*R184^4)</f>
        <v>9.9932055636544899</v>
      </c>
      <c r="S229" s="21">
        <f>1000*'Speed-CO2'!$G$28*Constants!$J$16/EXP('Speed-CO2'!$E$24+'Speed-CO2'!$F$24*S184+'Speed-CO2'!$G$24*S184^2+'Speed-CO2'!$H$24*S184^3+'Speed-CO2'!$I$24*S184^4)</f>
        <v>9.0639870969528893</v>
      </c>
      <c r="T229" s="21">
        <f>1000*'Speed-CO2'!$G$28*Constants!$J$16/EXP('Speed-CO2'!$E$24+'Speed-CO2'!$F$24*T184+'Speed-CO2'!$G$24*T184^2+'Speed-CO2'!$H$24*T184^3+'Speed-CO2'!$I$24*T184^4)</f>
        <v>10.648055430151576</v>
      </c>
      <c r="U229" s="21">
        <f>1000*'Speed-CO2'!$G$28*Constants!$J$16/EXP('Speed-CO2'!$E$24+'Speed-CO2'!$F$24*U184+'Speed-CO2'!$G$24*U184^2+'Speed-CO2'!$H$24*U184^3+'Speed-CO2'!$I$24*U184^4)</f>
        <v>12.143422125675361</v>
      </c>
      <c r="V229" s="21"/>
      <c r="Y229" s="21">
        <f>1000*'Speed-CO2'!$G$28*Constants!$J$16/EXP('Speed-CO2'!$E$24+'Speed-CO2'!$F$24*Y184+'Speed-CO2'!$G$24*Y184^2+'Speed-CO2'!$H$24*Y184^3+'Speed-CO2'!$I$24*Y184^4)</f>
        <v>15.493510107642805</v>
      </c>
      <c r="Z229" s="21">
        <f>1000*'Speed-CO2'!$G$28*Constants!$J$16/EXP('Speed-CO2'!$E$24+'Speed-CO2'!$F$24*Z184+'Speed-CO2'!$G$24*Z184^2+'Speed-CO2'!$H$24*Z184^3+'Speed-CO2'!$I$24*Z184^4)</f>
        <v>12.395837305396538</v>
      </c>
      <c r="AA229" s="21">
        <f>1000*'Speed-CO2'!$G$28*Constants!$J$16/EXP('Speed-CO2'!$E$24+'Speed-CO2'!$F$24*AA184+'Speed-CO2'!$G$24*AA184^2+'Speed-CO2'!$H$24*AA184^3+'Speed-CO2'!$I$24*AA184^4)</f>
        <v>9.9932055636544899</v>
      </c>
      <c r="AB229" s="21">
        <f>1000*'Speed-CO2'!$G$28*Constants!$J$16/EXP('Speed-CO2'!$E$24+'Speed-CO2'!$F$24*AB184+'Speed-CO2'!$G$24*AB184^2+'Speed-CO2'!$H$24*AB184^3+'Speed-CO2'!$I$24*AB184^4)</f>
        <v>9.0639870969528893</v>
      </c>
      <c r="AC229" s="21">
        <f>1000*'Speed-CO2'!$G$28*Constants!$J$16/EXP('Speed-CO2'!$E$24+'Speed-CO2'!$F$24*AC184+'Speed-CO2'!$G$24*AC184^2+'Speed-CO2'!$H$24*AC184^3+'Speed-CO2'!$I$24*AC184^4)</f>
        <v>10.648055430151576</v>
      </c>
      <c r="AD229" s="21">
        <f>1000*'Speed-CO2'!$G$28*Constants!$J$16/EXP('Speed-CO2'!$E$24+'Speed-CO2'!$F$24*AD184+'Speed-CO2'!$G$24*AD184^2+'Speed-CO2'!$H$24*AD184^3+'Speed-CO2'!$I$24*AD184^4)</f>
        <v>12.143422125675361</v>
      </c>
      <c r="AE229" s="21"/>
      <c r="AH229" s="21">
        <f>1000*'Speed-CO2'!$G$28*Constants!$J$16/EXP('Speed-CO2'!$E$24+'Speed-CO2'!$F$24*AH184+'Speed-CO2'!$G$24*AH184^2+'Speed-CO2'!$H$24*AH184^3+'Speed-CO2'!$I$24*AH184^4)</f>
        <v>15.493510107642805</v>
      </c>
      <c r="AI229" s="21">
        <f>1000*'Speed-CO2'!$G$28*Constants!$J$16/EXP('Speed-CO2'!$E$24+'Speed-CO2'!$F$24*AI184+'Speed-CO2'!$G$24*AI184^2+'Speed-CO2'!$H$24*AI184^3+'Speed-CO2'!$I$24*AI184^4)</f>
        <v>12.395837305396538</v>
      </c>
      <c r="AJ229" s="21">
        <f>1000*'Speed-CO2'!$G$28*Constants!$J$16/EXP('Speed-CO2'!$E$24+'Speed-CO2'!$F$24*AJ184+'Speed-CO2'!$G$24*AJ184^2+'Speed-CO2'!$H$24*AJ184^3+'Speed-CO2'!$I$24*AJ184^4)</f>
        <v>9.9932055636544899</v>
      </c>
      <c r="AK229" s="21">
        <f>1000*'Speed-CO2'!$G$28*Constants!$J$16/EXP('Speed-CO2'!$E$24+'Speed-CO2'!$F$24*AK184+'Speed-CO2'!$G$24*AK184^2+'Speed-CO2'!$H$24*AK184^3+'Speed-CO2'!$I$24*AK184^4)</f>
        <v>9.0639870969528893</v>
      </c>
      <c r="AL229" s="21">
        <f>1000*'Speed-CO2'!$G$28*Constants!$J$16/EXP('Speed-CO2'!$E$24+'Speed-CO2'!$F$24*AL184+'Speed-CO2'!$G$24*AL184^2+'Speed-CO2'!$H$24*AL184^3+'Speed-CO2'!$I$24*AL184^4)</f>
        <v>10.648055430151576</v>
      </c>
      <c r="AM229" s="21">
        <f>1000*'Speed-CO2'!$G$28*Constants!$J$16/EXP('Speed-CO2'!$E$24+'Speed-CO2'!$F$24*AM184+'Speed-CO2'!$G$24*AM184^2+'Speed-CO2'!$H$24*AM184^3+'Speed-CO2'!$I$24*AM184^4)</f>
        <v>12.143422125675361</v>
      </c>
      <c r="AN229" s="21"/>
      <c r="AQ229" s="21">
        <f>1000*'Speed-CO2'!$G$28*Constants!$J$16/EXP('Speed-CO2'!$E$24+'Speed-CO2'!$F$24*AQ184+'Speed-CO2'!$G$24*AQ184^2+'Speed-CO2'!$H$24*AQ184^3+'Speed-CO2'!$I$24*AQ184^4)</f>
        <v>14.948878036244789</v>
      </c>
      <c r="AR229" s="21">
        <f>1000*'Speed-CO2'!$G$28*Constants!$J$16/EXP('Speed-CO2'!$E$24+'Speed-CO2'!$F$24*AR184+'Speed-CO2'!$G$24*AR184^2+'Speed-CO2'!$H$24*AR184^3+'Speed-CO2'!$I$24*AR184^4)</f>
        <v>11.912676667323355</v>
      </c>
      <c r="AS229" s="21">
        <f>1000*'Speed-CO2'!$G$28*Constants!$J$16/EXP('Speed-CO2'!$E$24+'Speed-CO2'!$F$24*AS184+'Speed-CO2'!$G$24*AS184^2+'Speed-CO2'!$H$24*AS184^3+'Speed-CO2'!$I$24*AS184^4)</f>
        <v>9.6137307611022216</v>
      </c>
      <c r="AT229" s="21">
        <f>1000*'Speed-CO2'!$G$28*Constants!$J$16/EXP('Speed-CO2'!$E$24+'Speed-CO2'!$F$24*AT184+'Speed-CO2'!$G$24*AT184^2+'Speed-CO2'!$H$24*AT184^3+'Speed-CO2'!$I$24*AT184^4)</f>
        <v>8.7330143229289998</v>
      </c>
      <c r="AU229" s="21">
        <f>1000*'Speed-CO2'!$G$28*Constants!$J$16/EXP('Speed-CO2'!$E$24+'Speed-CO2'!$F$24*AU184+'Speed-CO2'!$G$24*AU184^2+'Speed-CO2'!$H$24*AU184^3+'Speed-CO2'!$I$24*AU184^4)</f>
        <v>10.236852787617234</v>
      </c>
      <c r="AV229" s="21">
        <f>1000*'Speed-CO2'!$G$28*Constants!$J$16/EXP('Speed-CO2'!$E$24+'Speed-CO2'!$F$24*AV184+'Speed-CO2'!$G$24*AV184^2+'Speed-CO2'!$H$24*AV184^3+'Speed-CO2'!$I$24*AV184^4)</f>
        <v>11.669336390305613</v>
      </c>
      <c r="AW229" s="21"/>
      <c r="AZ229" s="21">
        <f>'Speed-CO2'!$G$32*1000*'Speed-CO2'!$G$28*Constants!$J$16/EXP('Speed-CO2'!$E$24+'Speed-CO2'!$F$24*AZ184+'Speed-CO2'!$G$24*AZ184^2+'Speed-CO2'!$H$24*AZ184^3+'Speed-CO2'!$I$24*AZ184^4)</f>
        <v>7.7467550538214027</v>
      </c>
      <c r="BA229" s="21">
        <f>'Speed-CO2'!$G$32*1000*'Speed-CO2'!$G$28*Constants!$J$16/EXP('Speed-CO2'!$E$24+'Speed-CO2'!$F$24*BA184+'Speed-CO2'!$G$24*BA184^2+'Speed-CO2'!$H$24*BA184^3+'Speed-CO2'!$I$24*BA184^4)</f>
        <v>6.1979186526982692</v>
      </c>
      <c r="BB229" s="21">
        <f>'Speed-CO2'!$G$32*1000*'Speed-CO2'!$G$28*Constants!$J$16/EXP('Speed-CO2'!$E$24+'Speed-CO2'!$F$24*BB184+'Speed-CO2'!$G$24*BB184^2+'Speed-CO2'!$H$24*BB184^3+'Speed-CO2'!$I$24*BB184^4)</f>
        <v>4.9966027818272449</v>
      </c>
      <c r="BC229" s="21">
        <f>'Speed-CO2'!$G$32*1000*'Speed-CO2'!$G$28*Constants!$J$16/EXP('Speed-CO2'!$E$24+'Speed-CO2'!$F$24*BC184+'Speed-CO2'!$G$24*BC184^2+'Speed-CO2'!$H$24*BC184^3+'Speed-CO2'!$I$24*BC184^4)</f>
        <v>4.5319935484764446</v>
      </c>
      <c r="BD229" s="21">
        <f>'Speed-CO2'!$G$32*1000*'Speed-CO2'!$G$28*Constants!$J$16/EXP('Speed-CO2'!$E$24+'Speed-CO2'!$F$24*BD184+'Speed-CO2'!$G$24*BD184^2+'Speed-CO2'!$H$24*BD184^3+'Speed-CO2'!$I$24*BD184^4)</f>
        <v>5.324027715075788</v>
      </c>
      <c r="BE229" s="21">
        <f>'Speed-CO2'!$G$32*1000*'Speed-CO2'!$G$28*Constants!$J$16/EXP('Speed-CO2'!$E$24+'Speed-CO2'!$F$24*BE184+'Speed-CO2'!$G$24*BE184^2+'Speed-CO2'!$H$24*BE184^3+'Speed-CO2'!$I$24*BE184^4)</f>
        <v>6.0717110628376805</v>
      </c>
      <c r="BF229" s="21"/>
      <c r="BI229" s="21">
        <f>'Speed-CO2'!$G$33*1000*'Speed-CO2'!$G$28*Constants!$J$16/EXP('Speed-CO2'!$E$24+'Speed-CO2'!$F$24*BI184+'Speed-CO2'!$G$24*BI184^2+'Speed-CO2'!$H$24*BI184^3+'Speed-CO2'!$I$24*BI184^4)</f>
        <v>5.1645033692142688</v>
      </c>
      <c r="BJ229" s="21">
        <f>'Speed-CO2'!$G$33*1000*'Speed-CO2'!$G$28*Constants!$J$16/EXP('Speed-CO2'!$E$24+'Speed-CO2'!$F$24*BJ184+'Speed-CO2'!$G$24*BJ184^2+'Speed-CO2'!$H$24*BJ184^3+'Speed-CO2'!$I$24*BJ184^4)</f>
        <v>4.1319457684655125</v>
      </c>
      <c r="BK229" s="21">
        <f>'Speed-CO2'!$G$33*1000*'Speed-CO2'!$G$28*Constants!$J$16/EXP('Speed-CO2'!$E$24+'Speed-CO2'!$F$24*BK184+'Speed-CO2'!$G$24*BK184^2+'Speed-CO2'!$H$24*BK184^3+'Speed-CO2'!$I$24*BK184^4)</f>
        <v>3.331068521218163</v>
      </c>
      <c r="BL229" s="21">
        <f>'Speed-CO2'!$G$33*1000*'Speed-CO2'!$G$28*Constants!$J$16/EXP('Speed-CO2'!$E$24+'Speed-CO2'!$F$24*BL184+'Speed-CO2'!$G$24*BL184^2+'Speed-CO2'!$H$24*BL184^3+'Speed-CO2'!$I$24*BL184^4)</f>
        <v>3.0213290323176296</v>
      </c>
      <c r="BM229" s="21">
        <f>'Speed-CO2'!$G$33*1000*'Speed-CO2'!$G$28*Constants!$J$16/EXP('Speed-CO2'!$E$24+'Speed-CO2'!$F$24*BM184+'Speed-CO2'!$G$24*BM184^2+'Speed-CO2'!$H$24*BM184^3+'Speed-CO2'!$I$24*BM184^4)</f>
        <v>3.549351810050525</v>
      </c>
      <c r="BN229" s="21">
        <f>'Speed-CO2'!$G$33*1000*'Speed-CO2'!$G$28*Constants!$J$16/EXP('Speed-CO2'!$E$24+'Speed-CO2'!$F$24*BN184+'Speed-CO2'!$G$24*BN184^2+'Speed-CO2'!$H$24*BN184^3+'Speed-CO2'!$I$24*BN184^4)</f>
        <v>4.04780737522512</v>
      </c>
      <c r="BO229" s="21"/>
    </row>
    <row r="230" spans="2:68" ht="13.2" customHeight="1">
      <c r="B230" s="323" t="s">
        <v>1651</v>
      </c>
      <c r="G230" s="4328"/>
      <c r="H230" s="4329"/>
      <c r="I230" s="4329"/>
      <c r="J230" s="4329"/>
      <c r="K230" s="4329"/>
      <c r="L230" s="4330"/>
      <c r="M230" s="21"/>
      <c r="O230" s="136">
        <f>ROW()</f>
        <v>230</v>
      </c>
      <c r="P230" s="21">
        <f>1000*'Speed-CO2'!$G$29*Constants!$J$16/EXP('Speed-CO2'!$E$24+'Speed-CO2'!$F$24*P200+'Speed-CO2'!$G$24*P200^2+'Speed-CO2'!$H$24*P200^3+'Speed-CO2'!$I$24*P200^4)</f>
        <v>24.519529358810576</v>
      </c>
      <c r="Q230" s="21">
        <f>1000*'Speed-CO2'!$G$29*Constants!$J$16/EXP('Speed-CO2'!$E$24+'Speed-CO2'!$F$24*Q200+'Speed-CO2'!$G$24*Q200^2+'Speed-CO2'!$H$24*Q200^3+'Speed-CO2'!$I$24*Q200^4)</f>
        <v>23.359046182660929</v>
      </c>
      <c r="R230" s="21">
        <f>1000*'Speed-CO2'!$G$29*Constants!$J$16/EXP('Speed-CO2'!$E$24+'Speed-CO2'!$F$24*R200+'Speed-CO2'!$G$24*R200^2+'Speed-CO2'!$H$24*R200^3+'Speed-CO2'!$I$24*R200^4)</f>
        <v>20.308153963982281</v>
      </c>
      <c r="S230" s="21">
        <f>1000*'Speed-CO2'!$G$29*Constants!$J$16/EXP('Speed-CO2'!$E$24+'Speed-CO2'!$F$24*S200+'Speed-CO2'!$G$24*S200^2+'Speed-CO2'!$H$24*S200^3+'Speed-CO2'!$I$24*S200^4)</f>
        <v>18.980996079567245</v>
      </c>
      <c r="T230" s="21">
        <f>1000*'Speed-CO2'!$G$29*Constants!$J$16/EXP('Speed-CO2'!$E$24+'Speed-CO2'!$F$24*T200+'Speed-CO2'!$G$24*T200^2+'Speed-CO2'!$H$24*T200^3+'Speed-CO2'!$I$24*T200^4)</f>
        <v>21.851652134664956</v>
      </c>
      <c r="U230" s="21">
        <f>1000*'Speed-CO2'!$G$29*Constants!$J$16/EXP('Speed-CO2'!$E$24+'Speed-CO2'!$F$24*U200+'Speed-CO2'!$G$24*U200^2+'Speed-CO2'!$H$24*U200^3+'Speed-CO2'!$I$24*U200^4)</f>
        <v>23.636487179162064</v>
      </c>
      <c r="V230" s="21"/>
      <c r="Y230" s="21">
        <f>1000*'Speed-CO2'!$G$29*Constants!$J$16/EXP('Speed-CO2'!$E$24+'Speed-CO2'!$F$24*Y200+'Speed-CO2'!$G$24*Y200^2+'Speed-CO2'!$H$24*Y200^3+'Speed-CO2'!$I$24*Y200^4)</f>
        <v>24.519529358810576</v>
      </c>
      <c r="Z230" s="21">
        <f>1000*'Speed-CO2'!$G$29*Constants!$J$16/EXP('Speed-CO2'!$E$24+'Speed-CO2'!$F$24*Z200+'Speed-CO2'!$G$24*Z200^2+'Speed-CO2'!$H$24*Z200^3+'Speed-CO2'!$I$24*Z200^4)</f>
        <v>23.359046182660929</v>
      </c>
      <c r="AA230" s="21">
        <f>1000*'Speed-CO2'!$G$29*Constants!$J$16/EXP('Speed-CO2'!$E$24+'Speed-CO2'!$F$24*AA200+'Speed-CO2'!$G$24*AA200^2+'Speed-CO2'!$H$24*AA200^3+'Speed-CO2'!$I$24*AA200^4)</f>
        <v>20.308153963982281</v>
      </c>
      <c r="AB230" s="21">
        <f>1000*'Speed-CO2'!$G$29*Constants!$J$16/EXP('Speed-CO2'!$E$24+'Speed-CO2'!$F$24*AB200+'Speed-CO2'!$G$24*AB200^2+'Speed-CO2'!$H$24*AB200^3+'Speed-CO2'!$I$24*AB200^4)</f>
        <v>18.980996079567245</v>
      </c>
      <c r="AC230" s="21">
        <f>1000*'Speed-CO2'!$G$29*Constants!$J$16/EXP('Speed-CO2'!$E$24+'Speed-CO2'!$F$24*AC200+'Speed-CO2'!$G$24*AC200^2+'Speed-CO2'!$H$24*AC200^3+'Speed-CO2'!$I$24*AC200^4)</f>
        <v>21.851652134664956</v>
      </c>
      <c r="AD230" s="21">
        <f>1000*'Speed-CO2'!$G$29*Constants!$J$16/EXP('Speed-CO2'!$E$24+'Speed-CO2'!$F$24*AD200+'Speed-CO2'!$G$24*AD200^2+'Speed-CO2'!$H$24*AD200^3+'Speed-CO2'!$I$24*AD200^4)</f>
        <v>23.636487179162064</v>
      </c>
      <c r="AE230" s="21"/>
      <c r="AH230" s="21">
        <f>1000*'Speed-CO2'!$G$29*Constants!$J$16/EXP('Speed-CO2'!$E$24+'Speed-CO2'!$F$24*AH200+'Speed-CO2'!$G$24*AH200^2+'Speed-CO2'!$H$24*AH200^3+'Speed-CO2'!$I$24*AH200^4)</f>
        <v>24.519529358810576</v>
      </c>
      <c r="AI230" s="21">
        <f>1000*'Speed-CO2'!$G$29*Constants!$J$16/EXP('Speed-CO2'!$E$24+'Speed-CO2'!$F$24*AI200+'Speed-CO2'!$G$24*AI200^2+'Speed-CO2'!$H$24*AI200^3+'Speed-CO2'!$I$24*AI200^4)</f>
        <v>23.359046182660929</v>
      </c>
      <c r="AJ230" s="21">
        <f>1000*'Speed-CO2'!$G$29*Constants!$J$16/EXP('Speed-CO2'!$E$24+'Speed-CO2'!$F$24*AJ200+'Speed-CO2'!$G$24*AJ200^2+'Speed-CO2'!$H$24*AJ200^3+'Speed-CO2'!$I$24*AJ200^4)</f>
        <v>20.308153963982281</v>
      </c>
      <c r="AK230" s="21">
        <f>1000*'Speed-CO2'!$G$29*Constants!$J$16/EXP('Speed-CO2'!$E$24+'Speed-CO2'!$F$24*AK200+'Speed-CO2'!$G$24*AK200^2+'Speed-CO2'!$H$24*AK200^3+'Speed-CO2'!$I$24*AK200^4)</f>
        <v>18.980996079567245</v>
      </c>
      <c r="AL230" s="21">
        <f>1000*'Speed-CO2'!$G$29*Constants!$J$16/EXP('Speed-CO2'!$E$24+'Speed-CO2'!$F$24*AL200+'Speed-CO2'!$G$24*AL200^2+'Speed-CO2'!$H$24*AL200^3+'Speed-CO2'!$I$24*AL200^4)</f>
        <v>21.851652134664956</v>
      </c>
      <c r="AM230" s="21">
        <f>1000*'Speed-CO2'!$G$29*Constants!$J$16/EXP('Speed-CO2'!$E$24+'Speed-CO2'!$F$24*AM200+'Speed-CO2'!$G$24*AM200^2+'Speed-CO2'!$H$24*AM200^3+'Speed-CO2'!$I$24*AM200^4)</f>
        <v>23.636487179162064</v>
      </c>
      <c r="AN230" s="21"/>
      <c r="AQ230" s="21">
        <f>1000*'Speed-CO2'!$G$29*Constants!$J$16/EXP('Speed-CO2'!$E$24+'Speed-CO2'!$F$24*AQ200+'Speed-CO2'!$G$24*AQ200^2+'Speed-CO2'!$H$24*AQ200^3+'Speed-CO2'!$I$24*AQ200^4)</f>
        <v>24.544785108127339</v>
      </c>
      <c r="AR230" s="21">
        <f>1000*'Speed-CO2'!$G$29*Constants!$J$16/EXP('Speed-CO2'!$E$24+'Speed-CO2'!$F$24*AR200+'Speed-CO2'!$G$24*AR200^2+'Speed-CO2'!$H$24*AR200^3+'Speed-CO2'!$I$24*AR200^4)</f>
        <v>23.277852713543737</v>
      </c>
      <c r="AS230" s="21">
        <f>1000*'Speed-CO2'!$G$29*Constants!$J$16/EXP('Speed-CO2'!$E$24+'Speed-CO2'!$F$24*AS200+'Speed-CO2'!$G$24*AS200^2+'Speed-CO2'!$H$24*AS200^3+'Speed-CO2'!$I$24*AS200^4)</f>
        <v>20.185017145187373</v>
      </c>
      <c r="AT230" s="21">
        <f>1000*'Speed-CO2'!$G$29*Constants!$J$16/EXP('Speed-CO2'!$E$24+'Speed-CO2'!$F$24*AT200+'Speed-CO2'!$G$24*AT200^2+'Speed-CO2'!$H$24*AT200^3+'Speed-CO2'!$I$24*AT200^4)</f>
        <v>18.853276856944166</v>
      </c>
      <c r="AU230" s="21">
        <f>1000*'Speed-CO2'!$G$29*Constants!$J$16/EXP('Speed-CO2'!$E$24+'Speed-CO2'!$F$24*AU200+'Speed-CO2'!$G$24*AU200^2+'Speed-CO2'!$H$24*AU200^3+'Speed-CO2'!$I$24*AU200^4)</f>
        <v>21.742386599594404</v>
      </c>
      <c r="AV230" s="21">
        <f>1000*'Speed-CO2'!$G$29*Constants!$J$16/EXP('Speed-CO2'!$E$24+'Speed-CO2'!$F$24*AV200+'Speed-CO2'!$G$24*AV200^2+'Speed-CO2'!$H$24*AV200^3+'Speed-CO2'!$I$24*AV200^4)</f>
        <v>23.563140698926823</v>
      </c>
      <c r="AW230" s="21"/>
      <c r="AZ230" s="21">
        <f>'Speed-CO2'!$G$32*1000*'Speed-CO2'!$G$29*Constants!$J$16/EXP('Speed-CO2'!$E$24+'Speed-CO2'!$F$24*AZ200+'Speed-CO2'!$G$24*AZ200^2+'Speed-CO2'!$H$24*AZ200^3+'Speed-CO2'!$I$24*AZ200^4)</f>
        <v>12.259764679405288</v>
      </c>
      <c r="BA230" s="21">
        <f>'Speed-CO2'!$G$32*1000*'Speed-CO2'!$G$29*Constants!$J$16/EXP('Speed-CO2'!$E$24+'Speed-CO2'!$F$24*BA200+'Speed-CO2'!$G$24*BA200^2+'Speed-CO2'!$H$24*BA200^3+'Speed-CO2'!$I$24*BA200^4)</f>
        <v>11.679523091330465</v>
      </c>
      <c r="BB230" s="21">
        <f>'Speed-CO2'!$G$32*1000*'Speed-CO2'!$G$29*Constants!$J$16/EXP('Speed-CO2'!$E$24+'Speed-CO2'!$F$24*BB200+'Speed-CO2'!$G$24*BB200^2+'Speed-CO2'!$H$24*BB200^3+'Speed-CO2'!$I$24*BB200^4)</f>
        <v>10.154076981991141</v>
      </c>
      <c r="BC230" s="21">
        <f>'Speed-CO2'!$G$32*1000*'Speed-CO2'!$G$29*Constants!$J$16/EXP('Speed-CO2'!$E$24+'Speed-CO2'!$F$24*BC200+'Speed-CO2'!$G$24*BC200^2+'Speed-CO2'!$H$24*BC200^3+'Speed-CO2'!$I$24*BC200^4)</f>
        <v>9.4904980397836223</v>
      </c>
      <c r="BD230" s="21">
        <f>'Speed-CO2'!$G$32*1000*'Speed-CO2'!$G$29*Constants!$J$16/EXP('Speed-CO2'!$E$24+'Speed-CO2'!$F$24*BD200+'Speed-CO2'!$G$24*BD200^2+'Speed-CO2'!$H$24*BD200^3+'Speed-CO2'!$I$24*BD200^4)</f>
        <v>10.925826067332478</v>
      </c>
      <c r="BE230" s="21">
        <f>'Speed-CO2'!$G$32*1000*'Speed-CO2'!$G$29*Constants!$J$16/EXP('Speed-CO2'!$E$24+'Speed-CO2'!$F$24*BE200+'Speed-CO2'!$G$24*BE200^2+'Speed-CO2'!$H$24*BE200^3+'Speed-CO2'!$I$24*BE200^4)</f>
        <v>11.818243589581032</v>
      </c>
      <c r="BF230" s="21"/>
      <c r="BI230" s="21">
        <f>'Speed-CO2'!$G$33*1000*'Speed-CO2'!$G$29*Constants!$J$16/EXP('Speed-CO2'!$E$24+'Speed-CO2'!$F$24*BI200+'Speed-CO2'!$G$24*BI200^2+'Speed-CO2'!$H$24*BI200^3+'Speed-CO2'!$I$24*BI200^4)</f>
        <v>8.1731764529368576</v>
      </c>
      <c r="BJ230" s="21">
        <f>'Speed-CO2'!$G$33*1000*'Speed-CO2'!$G$29*Constants!$J$16/EXP('Speed-CO2'!$E$24+'Speed-CO2'!$F$24*BJ200+'Speed-CO2'!$G$24*BJ200^2+'Speed-CO2'!$H$24*BJ200^3+'Speed-CO2'!$I$24*BJ200^4)</f>
        <v>7.7863487275536425</v>
      </c>
      <c r="BK230" s="21">
        <f>'Speed-CO2'!$G$33*1000*'Speed-CO2'!$G$29*Constants!$J$16/EXP('Speed-CO2'!$E$24+'Speed-CO2'!$F$24*BK200+'Speed-CO2'!$G$24*BK200^2+'Speed-CO2'!$H$24*BK200^3+'Speed-CO2'!$I$24*BK200^4)</f>
        <v>6.7693846546607599</v>
      </c>
      <c r="BL230" s="21">
        <f>'Speed-CO2'!$G$33*1000*'Speed-CO2'!$G$29*Constants!$J$16/EXP('Speed-CO2'!$E$24+'Speed-CO2'!$F$24*BL200+'Speed-CO2'!$G$24*BL200^2+'Speed-CO2'!$H$24*BL200^3+'Speed-CO2'!$I$24*BL200^4)</f>
        <v>6.3269986931890809</v>
      </c>
      <c r="BM230" s="21">
        <f>'Speed-CO2'!$G$33*1000*'Speed-CO2'!$G$29*Constants!$J$16/EXP('Speed-CO2'!$E$24+'Speed-CO2'!$F$24*BM200+'Speed-CO2'!$G$24*BM200^2+'Speed-CO2'!$H$24*BM200^3+'Speed-CO2'!$I$24*BM200^4)</f>
        <v>7.2838840448883175</v>
      </c>
      <c r="BN230" s="21">
        <f>'Speed-CO2'!$G$33*1000*'Speed-CO2'!$G$29*Constants!$J$16/EXP('Speed-CO2'!$E$24+'Speed-CO2'!$F$24*BN200+'Speed-CO2'!$G$24*BN200^2+'Speed-CO2'!$H$24*BN200^3+'Speed-CO2'!$I$24*BN200^4)</f>
        <v>7.8788290597206867</v>
      </c>
      <c r="BO230" s="21"/>
    </row>
    <row r="231" spans="2:68" ht="13.2" customHeight="1">
      <c r="O231" s="136">
        <f>ROW()</f>
        <v>231</v>
      </c>
    </row>
    <row r="232" spans="2:68" ht="13.2" customHeight="1">
      <c r="B232" s="308" t="s">
        <v>863</v>
      </c>
      <c r="O232" s="136">
        <f>ROW()</f>
        <v>232</v>
      </c>
    </row>
    <row r="233" spans="2:68" ht="13.2" customHeight="1">
      <c r="B233" s="323" t="s">
        <v>1652</v>
      </c>
      <c r="G233" s="4321" t="s">
        <v>2351</v>
      </c>
      <c r="H233" s="4322"/>
      <c r="I233" s="4322"/>
      <c r="J233" s="4322"/>
      <c r="K233" s="4322"/>
      <c r="L233" s="4323"/>
      <c r="O233" s="136">
        <f>ROW()</f>
        <v>233</v>
      </c>
      <c r="P233" s="117">
        <f t="shared" ref="P233:U233" si="150">2*$J$85/P229</f>
        <v>0.19362946028092934</v>
      </c>
      <c r="Q233" s="117">
        <f t="shared" si="150"/>
        <v>0.2420167291719735</v>
      </c>
      <c r="R233" s="117">
        <f t="shared" si="150"/>
        <v>0.3002039716776233</v>
      </c>
      <c r="S233" s="117">
        <f t="shared" si="150"/>
        <v>0.33098017107819289</v>
      </c>
      <c r="T233" s="117">
        <f t="shared" si="150"/>
        <v>0.28174158367968738</v>
      </c>
      <c r="U233" s="117">
        <f t="shared" si="150"/>
        <v>0.24704732891208406</v>
      </c>
      <c r="V233" s="117"/>
      <c r="Y233" s="117">
        <f t="shared" ref="Y233:AD233" si="151">2*$J$85/Y229</f>
        <v>0.19362946028092934</v>
      </c>
      <c r="Z233" s="117">
        <f t="shared" si="151"/>
        <v>0.2420167291719735</v>
      </c>
      <c r="AA233" s="117">
        <f t="shared" si="151"/>
        <v>0.3002039716776233</v>
      </c>
      <c r="AB233" s="117">
        <f t="shared" si="151"/>
        <v>0.33098017107819289</v>
      </c>
      <c r="AC233" s="117">
        <f t="shared" si="151"/>
        <v>0.28174158367968738</v>
      </c>
      <c r="AD233" s="117">
        <f t="shared" si="151"/>
        <v>0.24704732891208406</v>
      </c>
      <c r="AE233" s="117"/>
      <c r="AH233" s="117">
        <f t="shared" ref="AH233:AM233" si="152">2*$K$85/AH229</f>
        <v>0.18072082959553407</v>
      </c>
      <c r="AI233" s="117">
        <f t="shared" si="152"/>
        <v>0.22588228056050863</v>
      </c>
      <c r="AJ233" s="117">
        <f t="shared" si="152"/>
        <v>0.28019037356578175</v>
      </c>
      <c r="AK233" s="117">
        <f t="shared" si="152"/>
        <v>0.30891482633964673</v>
      </c>
      <c r="AL233" s="117">
        <f t="shared" si="152"/>
        <v>0.26295881143437494</v>
      </c>
      <c r="AM233" s="117">
        <f t="shared" si="152"/>
        <v>0.23057750698461182</v>
      </c>
      <c r="AN233" s="117"/>
      <c r="AQ233" s="117">
        <f t="shared" ref="AQ233:AV233" si="153">2*$L$85/AQ229</f>
        <v>0.26757860959877189</v>
      </c>
      <c r="AR233" s="117">
        <f t="shared" si="153"/>
        <v>0.33577676215892421</v>
      </c>
      <c r="AS233" s="117">
        <f t="shared" si="153"/>
        <v>0.41607156466085565</v>
      </c>
      <c r="AT233" s="117">
        <f t="shared" si="153"/>
        <v>0.45803199812667023</v>
      </c>
      <c r="AU233" s="117">
        <f t="shared" si="153"/>
        <v>0.39074509353485137</v>
      </c>
      <c r="AV233" s="117">
        <f t="shared" si="153"/>
        <v>0.3427787036221725</v>
      </c>
      <c r="AW233" s="117"/>
      <c r="AZ233" s="117">
        <f t="shared" ref="AZ233:BE233" si="154">2*$J$85/AZ229</f>
        <v>0.38725892056185868</v>
      </c>
      <c r="BA233" s="117">
        <f t="shared" si="154"/>
        <v>0.48403345834394701</v>
      </c>
      <c r="BB233" s="117">
        <f t="shared" si="154"/>
        <v>0.60040794335524661</v>
      </c>
      <c r="BC233" s="117">
        <f t="shared" si="154"/>
        <v>0.66196034215638577</v>
      </c>
      <c r="BD233" s="117">
        <f t="shared" si="154"/>
        <v>0.56348316735937476</v>
      </c>
      <c r="BE233" s="117">
        <f t="shared" si="154"/>
        <v>0.49409465782416812</v>
      </c>
      <c r="BF233" s="117"/>
      <c r="BI233" s="117">
        <f t="shared" ref="BI233:BN233" si="155">2*$J$85/BI229</f>
        <v>0.58088838084278804</v>
      </c>
      <c r="BJ233" s="117">
        <f t="shared" si="155"/>
        <v>0.72605018751592054</v>
      </c>
      <c r="BK233" s="117">
        <f t="shared" si="155"/>
        <v>0.90061191503286997</v>
      </c>
      <c r="BL233" s="117">
        <f t="shared" si="155"/>
        <v>0.99294051323457866</v>
      </c>
      <c r="BM233" s="117">
        <f t="shared" si="155"/>
        <v>0.84522475103906225</v>
      </c>
      <c r="BN233" s="117">
        <f t="shared" si="155"/>
        <v>0.74114198673625231</v>
      </c>
      <c r="BO233" s="117"/>
    </row>
    <row r="234" spans="2:68" ht="13.2" customHeight="1">
      <c r="B234" s="323" t="s">
        <v>1651</v>
      </c>
      <c r="G234" s="4324"/>
      <c r="H234" s="4325"/>
      <c r="I234" s="4325"/>
      <c r="J234" s="4325"/>
      <c r="K234" s="4325"/>
      <c r="L234" s="4326"/>
      <c r="O234" s="136">
        <f>ROW()</f>
        <v>234</v>
      </c>
      <c r="P234" s="117">
        <f t="shared" ref="P234:U234" si="156">2*$J$79/P230</f>
        <v>1.3784978074480754</v>
      </c>
      <c r="Q234" s="117">
        <f t="shared" si="156"/>
        <v>1.4469819185454762</v>
      </c>
      <c r="R234" s="117">
        <f t="shared" si="156"/>
        <v>1.6643618873840336</v>
      </c>
      <c r="S234" s="117">
        <f t="shared" si="156"/>
        <v>1.7807346526542096</v>
      </c>
      <c r="T234" s="117">
        <f t="shared" si="156"/>
        <v>1.5467991734665849</v>
      </c>
      <c r="U234" s="117">
        <f t="shared" si="156"/>
        <v>1.4299974951682874</v>
      </c>
      <c r="V234" s="117"/>
      <c r="Y234" s="117">
        <f t="shared" ref="Y234:AD234" si="157">2*$J$79/Y230</f>
        <v>1.3784978074480754</v>
      </c>
      <c r="Z234" s="117">
        <f t="shared" si="157"/>
        <v>1.4469819185454762</v>
      </c>
      <c r="AA234" s="117">
        <f t="shared" si="157"/>
        <v>1.6643618873840336</v>
      </c>
      <c r="AB234" s="117">
        <f t="shared" si="157"/>
        <v>1.7807346526542096</v>
      </c>
      <c r="AC234" s="117">
        <f t="shared" si="157"/>
        <v>1.5467991734665849</v>
      </c>
      <c r="AD234" s="117">
        <f t="shared" si="157"/>
        <v>1.4299974951682874</v>
      </c>
      <c r="AE234" s="117"/>
      <c r="AH234" s="117">
        <f t="shared" ref="AH234:AM234" si="158">2*$K$79/AH230</f>
        <v>2.0677467111721128</v>
      </c>
      <c r="AI234" s="117">
        <f t="shared" si="158"/>
        <v>2.1704728778182143</v>
      </c>
      <c r="AJ234" s="117">
        <f t="shared" si="158"/>
        <v>2.4965428310760505</v>
      </c>
      <c r="AK234" s="117">
        <f t="shared" si="158"/>
        <v>2.6711019789813144</v>
      </c>
      <c r="AL234" s="117">
        <f t="shared" si="158"/>
        <v>2.3201987601998773</v>
      </c>
      <c r="AM234" s="117">
        <f t="shared" si="158"/>
        <v>2.1449962427524314</v>
      </c>
      <c r="AN234" s="117"/>
      <c r="AQ234" s="117">
        <f t="shared" ref="AQ234:AV234" si="159">2*$L$79/AQ230</f>
        <v>0.48890222290137408</v>
      </c>
      <c r="AR234" s="117">
        <f t="shared" si="159"/>
        <v>0.51551146695837835</v>
      </c>
      <c r="AS234" s="117">
        <f t="shared" si="159"/>
        <v>0.5945003620103988</v>
      </c>
      <c r="AT234" s="117">
        <f t="shared" si="159"/>
        <v>0.63649412731029187</v>
      </c>
      <c r="AU234" s="117">
        <f t="shared" si="159"/>
        <v>0.55191733184543113</v>
      </c>
      <c r="AV234" s="117">
        <f t="shared" si="159"/>
        <v>0.5092699718313245</v>
      </c>
      <c r="AW234" s="117"/>
      <c r="AZ234" s="117">
        <f t="shared" ref="AZ234:BE234" si="160">2*$J$79/AZ230</f>
        <v>2.7569956148961507</v>
      </c>
      <c r="BA234" s="117">
        <f t="shared" si="160"/>
        <v>2.8939638370909524</v>
      </c>
      <c r="BB234" s="117">
        <f t="shared" si="160"/>
        <v>3.3287237747680671</v>
      </c>
      <c r="BC234" s="117">
        <f t="shared" si="160"/>
        <v>3.5614693053084192</v>
      </c>
      <c r="BD234" s="117">
        <f t="shared" si="160"/>
        <v>3.0935983469331698</v>
      </c>
      <c r="BE234" s="117">
        <f t="shared" si="160"/>
        <v>2.8599949903365749</v>
      </c>
      <c r="BF234" s="117"/>
      <c r="BI234" s="117">
        <f t="shared" ref="BI234:BN234" si="161">2*$J$79/BI230</f>
        <v>4.1354934223442266</v>
      </c>
      <c r="BJ234" s="117">
        <f t="shared" si="161"/>
        <v>4.3409457556364286</v>
      </c>
      <c r="BK234" s="117">
        <f t="shared" si="161"/>
        <v>4.9930856621521009</v>
      </c>
      <c r="BL234" s="117">
        <f t="shared" si="161"/>
        <v>5.3422039579626297</v>
      </c>
      <c r="BM234" s="117">
        <f t="shared" si="161"/>
        <v>4.6403975203997554</v>
      </c>
      <c r="BN234" s="117">
        <f t="shared" si="161"/>
        <v>4.2899924855048628</v>
      </c>
      <c r="BO234" s="117"/>
    </row>
    <row r="235" spans="2:68" ht="13.2" customHeight="1">
      <c r="B235" s="323" t="s">
        <v>1323</v>
      </c>
      <c r="G235" s="3741"/>
      <c r="H235" s="3742"/>
      <c r="I235" s="3742"/>
      <c r="J235" s="3742"/>
      <c r="K235" s="3742"/>
      <c r="L235" s="3777"/>
      <c r="O235" s="136">
        <f>ROW()</f>
        <v>235</v>
      </c>
      <c r="P235" s="117">
        <f t="shared" ref="P235:U235" si="162">P233+P234</f>
        <v>1.5721272677290048</v>
      </c>
      <c r="Q235" s="117">
        <f t="shared" si="162"/>
        <v>1.6889986477174497</v>
      </c>
      <c r="R235" s="117">
        <f t="shared" si="162"/>
        <v>1.9645658590616568</v>
      </c>
      <c r="S235" s="117">
        <f t="shared" si="162"/>
        <v>2.1117148237324024</v>
      </c>
      <c r="T235" s="117">
        <f t="shared" si="162"/>
        <v>1.8285407571462722</v>
      </c>
      <c r="U235" s="117">
        <f t="shared" si="162"/>
        <v>1.6770448240803715</v>
      </c>
      <c r="V235" s="117"/>
      <c r="W235" s="117"/>
      <c r="Y235" s="117">
        <f t="shared" ref="Y235:AD235" si="163">Y233+Y234</f>
        <v>1.5721272677290048</v>
      </c>
      <c r="Z235" s="117">
        <f t="shared" si="163"/>
        <v>1.6889986477174497</v>
      </c>
      <c r="AA235" s="117">
        <f t="shared" si="163"/>
        <v>1.9645658590616568</v>
      </c>
      <c r="AB235" s="117">
        <f t="shared" si="163"/>
        <v>2.1117148237324024</v>
      </c>
      <c r="AC235" s="117">
        <f t="shared" si="163"/>
        <v>1.8285407571462722</v>
      </c>
      <c r="AD235" s="117">
        <f t="shared" si="163"/>
        <v>1.6770448240803715</v>
      </c>
      <c r="AE235" s="117"/>
      <c r="AH235" s="117">
        <f t="shared" ref="AH235:AM235" si="164">AH233+AH234</f>
        <v>2.2484675407676469</v>
      </c>
      <c r="AI235" s="117">
        <f t="shared" si="164"/>
        <v>2.3963551583787228</v>
      </c>
      <c r="AJ235" s="117">
        <f t="shared" si="164"/>
        <v>2.776733204641832</v>
      </c>
      <c r="AK235" s="117">
        <f t="shared" si="164"/>
        <v>2.980016805320961</v>
      </c>
      <c r="AL235" s="117">
        <f t="shared" si="164"/>
        <v>2.5831575716342523</v>
      </c>
      <c r="AM235" s="117">
        <f t="shared" si="164"/>
        <v>2.3755737497370433</v>
      </c>
      <c r="AN235" s="117"/>
      <c r="AQ235" s="117">
        <f t="shared" ref="AQ235:AV235" si="165">AQ233+AQ234</f>
        <v>0.75648083250014597</v>
      </c>
      <c r="AR235" s="117">
        <f t="shared" si="165"/>
        <v>0.85128822911730251</v>
      </c>
      <c r="AS235" s="117">
        <f t="shared" si="165"/>
        <v>1.0105719266712545</v>
      </c>
      <c r="AT235" s="117">
        <f t="shared" si="165"/>
        <v>1.094526125436962</v>
      </c>
      <c r="AU235" s="117">
        <f t="shared" si="165"/>
        <v>0.94266242538028244</v>
      </c>
      <c r="AV235" s="117">
        <f t="shared" si="165"/>
        <v>0.85204867545349705</v>
      </c>
      <c r="AW235" s="117"/>
      <c r="AZ235" s="117">
        <f t="shared" ref="AZ235:BE235" si="166">AZ233+AZ234</f>
        <v>3.1442545354580096</v>
      </c>
      <c r="BA235" s="117">
        <f t="shared" si="166"/>
        <v>3.3779972954348993</v>
      </c>
      <c r="BB235" s="117">
        <f t="shared" si="166"/>
        <v>3.9291317181233136</v>
      </c>
      <c r="BC235" s="117">
        <f t="shared" si="166"/>
        <v>4.2234296474648048</v>
      </c>
      <c r="BD235" s="117">
        <f t="shared" si="166"/>
        <v>3.6570815142925444</v>
      </c>
      <c r="BE235" s="117">
        <f t="shared" si="166"/>
        <v>3.354089648160743</v>
      </c>
      <c r="BF235" s="117"/>
      <c r="BI235" s="117">
        <f t="shared" ref="BI235:BN235" si="167">BI233+BI234</f>
        <v>4.7163818031870148</v>
      </c>
      <c r="BJ235" s="117">
        <f t="shared" si="167"/>
        <v>5.0669959431523495</v>
      </c>
      <c r="BK235" s="117">
        <f t="shared" si="167"/>
        <v>5.8936975771849713</v>
      </c>
      <c r="BL235" s="117">
        <f t="shared" si="167"/>
        <v>6.335144471197208</v>
      </c>
      <c r="BM235" s="117">
        <f t="shared" si="167"/>
        <v>5.4856222714388174</v>
      </c>
      <c r="BN235" s="117">
        <f t="shared" si="167"/>
        <v>5.0311344722411153</v>
      </c>
      <c r="BO235" s="117"/>
    </row>
    <row r="236" spans="2:68" ht="13.2" customHeight="1">
      <c r="B236" s="213"/>
      <c r="O236" s="136">
        <f>ROW()</f>
        <v>236</v>
      </c>
      <c r="P236" s="117"/>
      <c r="Q236" s="117"/>
      <c r="R236" s="117"/>
      <c r="S236" s="117"/>
      <c r="T236" s="117"/>
      <c r="U236" s="117"/>
      <c r="V236" s="117"/>
      <c r="W236" s="117"/>
      <c r="Y236" s="117"/>
      <c r="Z236" s="117"/>
      <c r="AA236" s="117"/>
      <c r="AB236" s="117"/>
      <c r="AC236" s="117"/>
      <c r="AD236" s="117"/>
      <c r="AE236" s="117"/>
      <c r="AH236" s="117"/>
      <c r="AI236" s="117"/>
      <c r="AJ236" s="117"/>
      <c r="AK236" s="117"/>
      <c r="AL236" s="117"/>
      <c r="AM236" s="117"/>
      <c r="AN236" s="117"/>
      <c r="AQ236" s="117"/>
      <c r="AR236" s="117"/>
      <c r="AS236" s="117"/>
      <c r="AT236" s="117"/>
      <c r="AU236" s="117"/>
      <c r="AV236" s="117"/>
      <c r="AW236" s="117"/>
      <c r="AZ236" s="117"/>
      <c r="BA236" s="117"/>
      <c r="BB236" s="117"/>
      <c r="BC236" s="117"/>
      <c r="BD236" s="117"/>
      <c r="BE236" s="117"/>
      <c r="BF236" s="117"/>
      <c r="BI236" s="117"/>
      <c r="BJ236" s="117"/>
      <c r="BK236" s="117"/>
      <c r="BL236" s="117"/>
      <c r="BM236" s="117"/>
      <c r="BN236" s="117"/>
      <c r="BO236" s="117"/>
    </row>
    <row r="237" spans="2:68" ht="13.2" customHeight="1">
      <c r="B237" s="2" t="s">
        <v>5261</v>
      </c>
      <c r="O237" s="136">
        <f>ROW()</f>
        <v>237</v>
      </c>
      <c r="P237" s="4267"/>
      <c r="Q237" s="4187"/>
      <c r="R237" s="4187"/>
      <c r="S237" s="4187"/>
      <c r="T237" s="4187"/>
      <c r="U237" s="4187"/>
      <c r="V237" s="4187"/>
      <c r="W237" s="4187"/>
      <c r="Y237" s="4267" t="str">
        <f>CONCATENATE("Figures in Rows ",O239, " through ",O242, " are chosen so that wghtd %'s in last column of this column-block, when combined (wghtd) w/ analogous figure in prior column-block, will roughly yield respective %'s shown for each 'parking mode' in Parking worksheet.")</f>
        <v>Figures in Rows 239 through 242 are chosen so that wghtd %'s in last column of this column-block, when combined (wghtd) w/ analogous figure in prior column-block, will roughly yield respective %'s shown for each 'parking mode' in Parking worksheet.</v>
      </c>
      <c r="Z237" s="4187"/>
      <c r="AA237" s="4187"/>
      <c r="AB237" s="4187"/>
      <c r="AC237" s="4187"/>
      <c r="AD237" s="4187"/>
      <c r="AE237" s="4187"/>
      <c r="AF237" s="4187"/>
      <c r="AH237" s="117"/>
      <c r="AI237" s="117"/>
      <c r="AJ237" s="117"/>
      <c r="AK237" s="117"/>
      <c r="AL237" s="117"/>
      <c r="AM237" s="117"/>
      <c r="AN237" s="117"/>
      <c r="AQ237" s="117"/>
      <c r="AR237" s="117"/>
      <c r="AS237" s="117"/>
      <c r="AT237" s="117"/>
      <c r="AU237" s="117"/>
      <c r="AV237" s="117"/>
      <c r="AW237" s="117"/>
      <c r="AZ237" s="674" t="s">
        <v>6199</v>
      </c>
      <c r="BA237" s="117"/>
      <c r="BB237" s="117"/>
      <c r="BC237" s="117"/>
      <c r="BD237" s="117"/>
      <c r="BE237" s="117"/>
      <c r="BF237" s="117"/>
      <c r="BI237" s="674" t="s">
        <v>6200</v>
      </c>
      <c r="BJ237" s="117"/>
      <c r="BK237" s="117"/>
      <c r="BL237" s="117"/>
      <c r="BM237" s="117"/>
      <c r="BN237" s="117"/>
      <c r="BO237" s="117"/>
    </row>
    <row r="238" spans="2:68" ht="13.2" customHeight="1">
      <c r="B238" s="308" t="s">
        <v>2439</v>
      </c>
      <c r="O238" s="136">
        <f>ROW()</f>
        <v>238</v>
      </c>
      <c r="P238" s="4187"/>
      <c r="Q238" s="4187"/>
      <c r="R238" s="4187"/>
      <c r="S238" s="4187"/>
      <c r="T238" s="4187"/>
      <c r="U238" s="4187"/>
      <c r="V238" s="4187"/>
      <c r="W238" s="4187"/>
      <c r="Y238" s="4187"/>
      <c r="Z238" s="4187"/>
      <c r="AA238" s="4187"/>
      <c r="AB238" s="4187"/>
      <c r="AC238" s="4187"/>
      <c r="AD238" s="4187"/>
      <c r="AE238" s="4187"/>
      <c r="AF238" s="4187"/>
      <c r="AH238" s="117"/>
      <c r="AI238" s="117"/>
      <c r="AJ238" s="117"/>
      <c r="AK238" s="117"/>
      <c r="AL238" s="117"/>
      <c r="AM238" s="117"/>
      <c r="AN238" s="117"/>
      <c r="AQ238" s="117"/>
      <c r="AR238" s="117"/>
      <c r="AS238" s="117"/>
      <c r="AT238" s="117"/>
      <c r="AU238" s="117"/>
      <c r="AV238" s="117"/>
      <c r="AW238" s="117"/>
      <c r="AZ238" s="117"/>
      <c r="BA238" s="117"/>
      <c r="BB238" s="117"/>
      <c r="BC238" s="117"/>
      <c r="BD238" s="117"/>
      <c r="BE238" s="117"/>
      <c r="BF238" s="117"/>
      <c r="BI238" s="117"/>
      <c r="BJ238" s="117"/>
      <c r="BK238" s="117"/>
      <c r="BL238" s="117"/>
      <c r="BM238" s="117"/>
      <c r="BN238" s="117"/>
      <c r="BO238" s="117"/>
    </row>
    <row r="239" spans="2:68" ht="13.2" customHeight="1">
      <c r="B239" s="323" t="s">
        <v>206</v>
      </c>
      <c r="G239" s="4286" t="s">
        <v>2351</v>
      </c>
      <c r="H239" s="3775"/>
      <c r="I239" s="3775"/>
      <c r="J239" s="3775"/>
      <c r="K239" s="3775"/>
      <c r="L239" s="3776"/>
      <c r="O239" s="136">
        <f>ROW()</f>
        <v>239</v>
      </c>
      <c r="P239" s="927">
        <v>0.05</v>
      </c>
      <c r="Q239" s="927">
        <v>0.15</v>
      </c>
      <c r="R239" s="927">
        <v>0.25</v>
      </c>
      <c r="S239" s="927">
        <v>0.35</v>
      </c>
      <c r="T239" s="927">
        <v>0.35</v>
      </c>
      <c r="U239" s="927">
        <v>0.2</v>
      </c>
      <c r="V239" s="927"/>
      <c r="W239" s="930">
        <f>SUMPRODUCT(P$122:V$122,P239:V239)/W$122</f>
        <v>0.19597840813913411</v>
      </c>
      <c r="X239" s="927"/>
      <c r="Y239" s="927">
        <f t="shared" ref="Y239:AD241" si="168">P239</f>
        <v>0.05</v>
      </c>
      <c r="Z239" s="927">
        <f t="shared" si="168"/>
        <v>0.15</v>
      </c>
      <c r="AA239" s="927">
        <f t="shared" si="168"/>
        <v>0.25</v>
      </c>
      <c r="AB239" s="927">
        <f t="shared" si="168"/>
        <v>0.35</v>
      </c>
      <c r="AC239" s="927">
        <f t="shared" si="168"/>
        <v>0.35</v>
      </c>
      <c r="AD239" s="927">
        <f t="shared" si="168"/>
        <v>0.2</v>
      </c>
      <c r="AE239" s="927"/>
      <c r="AF239" s="930">
        <f>SUMPRODUCT(Y$122:AE$122,Y239:AE239)/AF$122</f>
        <v>0.23589733574356778</v>
      </c>
      <c r="AH239" s="4479" t="s">
        <v>646</v>
      </c>
      <c r="AI239" s="4187"/>
      <c r="AJ239" s="4187"/>
      <c r="AK239" s="4187"/>
      <c r="AL239" s="4187"/>
      <c r="AM239" s="4187"/>
      <c r="AN239" s="4187"/>
      <c r="AO239" s="927"/>
      <c r="AQ239" s="117"/>
      <c r="AR239" s="117"/>
      <c r="AS239" s="117"/>
      <c r="AT239" s="117"/>
      <c r="AU239" s="117"/>
      <c r="AV239" s="117"/>
      <c r="AW239" s="117"/>
      <c r="AY239" s="927"/>
      <c r="AZ239" s="927">
        <v>0.01</v>
      </c>
      <c r="BA239" s="927">
        <v>0.02</v>
      </c>
      <c r="BB239" s="927">
        <v>0.03</v>
      </c>
      <c r="BC239" s="927">
        <v>0.03</v>
      </c>
      <c r="BD239" s="927">
        <v>0.03</v>
      </c>
      <c r="BE239" s="927">
        <v>0.03</v>
      </c>
      <c r="BF239" s="927"/>
      <c r="BG239" s="927">
        <f>SUMPRODUCT(AZ$122:BF$122,AZ239:BF239)/BG$122</f>
        <v>2.4337334818460583E-2</v>
      </c>
      <c r="BH239" s="927"/>
      <c r="BI239" s="927">
        <v>0</v>
      </c>
      <c r="BJ239" s="927">
        <v>0.01</v>
      </c>
      <c r="BK239" s="927">
        <v>0.02</v>
      </c>
      <c r="BL239" s="927">
        <v>0.02</v>
      </c>
      <c r="BM239" s="927">
        <v>0.02</v>
      </c>
      <c r="BN239" s="927">
        <v>0.02</v>
      </c>
      <c r="BO239" s="927"/>
      <c r="BP239" s="927">
        <f>SUMPRODUCT(BI$122:BO$122,BI239:BO239)/BP$122</f>
        <v>1.4337334818460589E-2</v>
      </c>
    </row>
    <row r="240" spans="2:68" ht="13.2" customHeight="1">
      <c r="B240" s="323" t="s">
        <v>207</v>
      </c>
      <c r="G240" s="3738"/>
      <c r="H240" s="3739"/>
      <c r="I240" s="3739"/>
      <c r="J240" s="3739"/>
      <c r="K240" s="3739"/>
      <c r="L240" s="3922"/>
      <c r="O240" s="136">
        <f>ROW()</f>
        <v>240</v>
      </c>
      <c r="P240" s="927">
        <v>0.01</v>
      </c>
      <c r="Q240" s="927">
        <v>0.01</v>
      </c>
      <c r="R240" s="927">
        <v>0.01</v>
      </c>
      <c r="S240" s="927">
        <v>0.01</v>
      </c>
      <c r="T240" s="927">
        <v>0.01</v>
      </c>
      <c r="U240" s="927">
        <v>0.01</v>
      </c>
      <c r="V240" s="927"/>
      <c r="W240" s="930">
        <f>SUMPRODUCT(P$122:V$122,P240:V240)/W$122</f>
        <v>0.01</v>
      </c>
      <c r="Y240" s="927">
        <f t="shared" si="168"/>
        <v>0.01</v>
      </c>
      <c r="Z240" s="927">
        <f t="shared" si="168"/>
        <v>0.01</v>
      </c>
      <c r="AA240" s="927">
        <f t="shared" si="168"/>
        <v>0.01</v>
      </c>
      <c r="AB240" s="927">
        <f t="shared" si="168"/>
        <v>0.01</v>
      </c>
      <c r="AC240" s="927">
        <f t="shared" si="168"/>
        <v>0.01</v>
      </c>
      <c r="AD240" s="927">
        <f t="shared" si="168"/>
        <v>0.01</v>
      </c>
      <c r="AE240" s="927"/>
      <c r="AF240" s="930">
        <f>SUMPRODUCT(Y$122:AE$122,Y240:AE240)/AF$122</f>
        <v>0.01</v>
      </c>
      <c r="AH240" s="4187"/>
      <c r="AI240" s="4187"/>
      <c r="AJ240" s="4187"/>
      <c r="AK240" s="4187"/>
      <c r="AL240" s="4187"/>
      <c r="AM240" s="4187"/>
      <c r="AN240" s="4187"/>
      <c r="AO240" s="927"/>
      <c r="AQ240" s="4265" t="s">
        <v>3169</v>
      </c>
      <c r="AR240" s="4266"/>
      <c r="AS240" s="4266"/>
      <c r="AT240" s="4266"/>
      <c r="AU240" s="4266"/>
      <c r="AV240" s="4266"/>
      <c r="AW240" s="4266"/>
      <c r="AZ240" s="927">
        <v>0.03</v>
      </c>
      <c r="BA240" s="927">
        <v>0.06</v>
      </c>
      <c r="BB240" s="927">
        <v>0.09</v>
      </c>
      <c r="BC240" s="927">
        <v>0.09</v>
      </c>
      <c r="BD240" s="927">
        <v>0.09</v>
      </c>
      <c r="BE240" s="927">
        <v>0.09</v>
      </c>
      <c r="BF240" s="927"/>
      <c r="BG240" s="927">
        <f>SUMPRODUCT(AZ$122:BF$122,AZ240:BF240)/BG$122</f>
        <v>7.3012004455381765E-2</v>
      </c>
      <c r="BI240" s="927">
        <v>0</v>
      </c>
      <c r="BJ240" s="927">
        <v>0.01</v>
      </c>
      <c r="BK240" s="927">
        <v>0.02</v>
      </c>
      <c r="BL240" s="927">
        <v>0.02</v>
      </c>
      <c r="BM240" s="927">
        <v>0.02</v>
      </c>
      <c r="BN240" s="927">
        <v>0.02</v>
      </c>
      <c r="BO240" s="927"/>
      <c r="BP240" s="927">
        <f>SUMPRODUCT(BI$122:BO$122,BI240:BO240)/BP$122</f>
        <v>1.4337334818460589E-2</v>
      </c>
    </row>
    <row r="241" spans="2:68" ht="13.2" customHeight="1">
      <c r="B241" s="323" t="s">
        <v>1336</v>
      </c>
      <c r="G241" s="3738"/>
      <c r="H241" s="3739"/>
      <c r="I241" s="3739"/>
      <c r="J241" s="3739"/>
      <c r="K241" s="3739"/>
      <c r="L241" s="3922"/>
      <c r="O241" s="136">
        <f>ROW()</f>
        <v>241</v>
      </c>
      <c r="P241" s="927">
        <v>0.05</v>
      </c>
      <c r="Q241" s="927">
        <v>0.05</v>
      </c>
      <c r="R241" s="927">
        <v>0.1</v>
      </c>
      <c r="S241" s="927">
        <v>0.1</v>
      </c>
      <c r="T241" s="927">
        <v>0.05</v>
      </c>
      <c r="U241" s="927">
        <v>0.05</v>
      </c>
      <c r="V241" s="927"/>
      <c r="W241" s="930">
        <f>SUMPRODUCT(P$122:V$122,P241:V241)/W$122</f>
        <v>7.0093671109456024E-2</v>
      </c>
      <c r="Y241" s="927">
        <f t="shared" si="168"/>
        <v>0.05</v>
      </c>
      <c r="Z241" s="927">
        <f t="shared" si="168"/>
        <v>0.05</v>
      </c>
      <c r="AA241" s="927">
        <f t="shared" si="168"/>
        <v>0.1</v>
      </c>
      <c r="AB241" s="927">
        <f t="shared" si="168"/>
        <v>0.1</v>
      </c>
      <c r="AC241" s="927">
        <f t="shared" si="168"/>
        <v>0.05</v>
      </c>
      <c r="AD241" s="927">
        <f t="shared" si="168"/>
        <v>0.05</v>
      </c>
      <c r="AE241" s="927"/>
      <c r="AF241" s="930">
        <f>SUMPRODUCT(Y$122:AE$122,Y241:AE241)/AF$122</f>
        <v>7.6603782912359447E-2</v>
      </c>
      <c r="AH241" s="4187"/>
      <c r="AI241" s="4187"/>
      <c r="AJ241" s="4187"/>
      <c r="AK241" s="4187"/>
      <c r="AL241" s="4187"/>
      <c r="AM241" s="4187"/>
      <c r="AN241" s="4187"/>
      <c r="AO241" s="927"/>
      <c r="AQ241" s="332"/>
      <c r="AR241" s="332"/>
      <c r="AS241" s="332"/>
      <c r="AT241" s="332"/>
      <c r="AU241" s="332"/>
      <c r="AV241" s="332"/>
      <c r="AW241" s="332"/>
      <c r="AZ241" s="927"/>
      <c r="BA241" s="927"/>
      <c r="BB241" s="927"/>
      <c r="BC241" s="927"/>
      <c r="BD241" s="927"/>
      <c r="BE241" s="927"/>
      <c r="BF241" s="927"/>
      <c r="BG241" s="927"/>
      <c r="BI241" s="927"/>
      <c r="BJ241" s="927"/>
      <c r="BK241" s="927"/>
      <c r="BL241" s="927"/>
      <c r="BM241" s="927"/>
      <c r="BN241" s="927"/>
      <c r="BO241" s="927"/>
      <c r="BP241" s="927"/>
    </row>
    <row r="242" spans="2:68" ht="13.2" customHeight="1">
      <c r="B242" s="323" t="s">
        <v>1337</v>
      </c>
      <c r="G242" s="3741"/>
      <c r="H242" s="3742"/>
      <c r="I242" s="3742"/>
      <c r="J242" s="3742"/>
      <c r="K242" s="3742"/>
      <c r="L242" s="3777"/>
      <c r="O242" s="136">
        <f>ROW()</f>
        <v>242</v>
      </c>
      <c r="P242" s="927">
        <f t="shared" ref="P242:U242" si="169">1-SUM(P239:P241)</f>
        <v>0.89</v>
      </c>
      <c r="Q242" s="927">
        <f t="shared" si="169"/>
        <v>0.79</v>
      </c>
      <c r="R242" s="927">
        <f t="shared" si="169"/>
        <v>0.64</v>
      </c>
      <c r="S242" s="927">
        <f t="shared" si="169"/>
        <v>0.54</v>
      </c>
      <c r="T242" s="927">
        <f t="shared" si="169"/>
        <v>0.59000000000000008</v>
      </c>
      <c r="U242" s="927">
        <f t="shared" si="169"/>
        <v>0.74</v>
      </c>
      <c r="V242" s="927"/>
      <c r="W242" s="930">
        <f>SUMPRODUCT(P$122:V$122,P242:V242)/W$122</f>
        <v>0.72392792075140999</v>
      </c>
      <c r="Y242" s="927">
        <f t="shared" ref="Y242:AD242" si="170">1-SUM(Y239:Y241)</f>
        <v>0.89</v>
      </c>
      <c r="Z242" s="927">
        <f t="shared" si="170"/>
        <v>0.79</v>
      </c>
      <c r="AA242" s="927">
        <f t="shared" si="170"/>
        <v>0.64</v>
      </c>
      <c r="AB242" s="927">
        <f t="shared" si="170"/>
        <v>0.54</v>
      </c>
      <c r="AC242" s="927">
        <f t="shared" si="170"/>
        <v>0.59000000000000008</v>
      </c>
      <c r="AD242" s="927">
        <f t="shared" si="170"/>
        <v>0.74</v>
      </c>
      <c r="AE242" s="927"/>
      <c r="AF242" s="930">
        <f>SUMPRODUCT(Y$122:AE$122,Y242:AE242)/AF$122</f>
        <v>0.67749888134407277</v>
      </c>
      <c r="AH242" s="4187"/>
      <c r="AI242" s="4187"/>
      <c r="AJ242" s="4187"/>
      <c r="AK242" s="4187"/>
      <c r="AL242" s="4187"/>
      <c r="AM242" s="4187"/>
      <c r="AN242" s="4187"/>
      <c r="AO242" s="927"/>
      <c r="AQ242" s="117"/>
      <c r="AR242" s="117"/>
      <c r="AS242" s="117"/>
      <c r="AT242" s="117"/>
      <c r="AU242" s="117"/>
      <c r="AV242" s="117"/>
      <c r="AW242" s="117"/>
      <c r="AZ242" s="927">
        <f t="shared" ref="AZ242:BE242" si="171">1-AZ239-AZ240</f>
        <v>0.96</v>
      </c>
      <c r="BA242" s="927">
        <f t="shared" si="171"/>
        <v>0.91999999999999993</v>
      </c>
      <c r="BB242" s="927">
        <f t="shared" si="171"/>
        <v>0.88</v>
      </c>
      <c r="BC242" s="927">
        <f t="shared" si="171"/>
        <v>0.88</v>
      </c>
      <c r="BD242" s="927">
        <f t="shared" si="171"/>
        <v>0.88</v>
      </c>
      <c r="BE242" s="927">
        <f t="shared" si="171"/>
        <v>0.88</v>
      </c>
      <c r="BF242" s="927"/>
      <c r="BG242" s="927">
        <f>SUMPRODUCT(AZ$122:BF$122,AZ242:BF242)/BG$122</f>
        <v>0.90265066072615763</v>
      </c>
      <c r="BI242" s="927">
        <f t="shared" ref="BI242:BN242" si="172">1-BI239-BI240</f>
        <v>1</v>
      </c>
      <c r="BJ242" s="927">
        <f t="shared" si="172"/>
        <v>0.98</v>
      </c>
      <c r="BK242" s="927">
        <f t="shared" si="172"/>
        <v>0.96</v>
      </c>
      <c r="BL242" s="927">
        <f t="shared" si="172"/>
        <v>0.96</v>
      </c>
      <c r="BM242" s="927">
        <f t="shared" si="172"/>
        <v>0.96</v>
      </c>
      <c r="BN242" s="927">
        <f t="shared" si="172"/>
        <v>0.96</v>
      </c>
      <c r="BO242" s="927"/>
      <c r="BP242" s="927">
        <f>SUMPRODUCT(BI$122:BO$122,BI242:BO242)/BP$122</f>
        <v>0.97132533036307889</v>
      </c>
    </row>
    <row r="243" spans="2:68" ht="13.2" customHeight="1">
      <c r="B243" s="308" t="s">
        <v>2440</v>
      </c>
      <c r="O243" s="136">
        <f>ROW()</f>
        <v>243</v>
      </c>
      <c r="P243" s="1979" t="str">
        <f>CONCATENATE("Costs in Rows ",$O$244, " and ",$O$246, " are product of ratio in Row ",$O$247, " and respective figures in 'Motor Vs' worksheet.")</f>
        <v>Costs in Rows 244 and 246 are product of ratio in Row 247 and respective figures in 'Motor Vs' worksheet.</v>
      </c>
      <c r="Q243" s="117"/>
      <c r="R243" s="117"/>
      <c r="S243" s="117"/>
      <c r="T243" s="117"/>
      <c r="U243" s="117"/>
      <c r="V243" s="117"/>
      <c r="W243" s="117"/>
      <c r="Y243" s="1979" t="str">
        <f>CONCATENATE("Costs in Rows ",$O$244, " and ",$O$246, " are product of ratio in Row ",$O$247, " and respective figures in 'Motor Vs' worksheet.")</f>
        <v>Costs in Rows 244 and 246 are product of ratio in Row 247 and respective figures in 'Motor Vs' worksheet.</v>
      </c>
      <c r="Z243" s="117"/>
      <c r="AA243" s="117"/>
      <c r="AB243" s="117"/>
      <c r="AC243" s="117"/>
      <c r="AD243" s="117"/>
      <c r="AE243" s="117"/>
      <c r="AH243" s="117"/>
      <c r="AI243" s="117"/>
      <c r="AJ243" s="117"/>
      <c r="AK243" s="117"/>
      <c r="AL243" s="117"/>
      <c r="AM243" s="117"/>
      <c r="AN243" s="117"/>
      <c r="AQ243" s="117"/>
      <c r="AR243" s="117"/>
      <c r="AS243" s="117"/>
      <c r="AT243" s="117"/>
      <c r="AU243" s="117"/>
      <c r="AV243" s="117"/>
      <c r="AW243" s="117"/>
      <c r="AZ243" s="117"/>
      <c r="BA243" s="117"/>
      <c r="BB243" s="117"/>
      <c r="BC243" s="117"/>
      <c r="BD243" s="117"/>
      <c r="BE243" s="117"/>
      <c r="BF243" s="117"/>
      <c r="BI243" s="117"/>
      <c r="BJ243" s="117"/>
      <c r="BK243" s="117"/>
      <c r="BL243" s="117"/>
      <c r="BM243" s="117"/>
      <c r="BN243" s="117"/>
      <c r="BO243" s="117"/>
    </row>
    <row r="244" spans="2:68" ht="13.2" customHeight="1">
      <c r="B244" s="323" t="s">
        <v>2839</v>
      </c>
      <c r="G244" s="4321" t="s">
        <v>2351</v>
      </c>
      <c r="H244" s="4322"/>
      <c r="I244" s="4322"/>
      <c r="J244" s="4322"/>
      <c r="K244" s="4322"/>
      <c r="L244" s="4323"/>
      <c r="O244" s="136">
        <f>ROW()</f>
        <v>244</v>
      </c>
      <c r="P244" s="1980">
        <f>$W$247*'Motor Vs'!P244</f>
        <v>7.5</v>
      </c>
      <c r="Q244" s="1980">
        <f>$W$247*'Motor Vs'!Q244</f>
        <v>15</v>
      </c>
      <c r="R244" s="1980">
        <f>$W$247*'Motor Vs'!R244</f>
        <v>18.75</v>
      </c>
      <c r="S244" s="1980">
        <f>$W$247*'Motor Vs'!S244</f>
        <v>22.5</v>
      </c>
      <c r="T244" s="1980">
        <f>$W$247*'Motor Vs'!T244</f>
        <v>22.5</v>
      </c>
      <c r="U244" s="1980">
        <f>$W$247*'Motor Vs'!U244</f>
        <v>18.75</v>
      </c>
      <c r="V244" s="32"/>
      <c r="W244" s="32">
        <f>SUMPRODUCT(P$122:V$122,P244:V244)/W$122</f>
        <v>15.693857825317107</v>
      </c>
      <c r="X244" s="32"/>
      <c r="Y244" s="1980">
        <f>$AF$247*'Motor Vs'!Y244</f>
        <v>7.5</v>
      </c>
      <c r="Z244" s="1980">
        <f>$AF$247*'Motor Vs'!Z244</f>
        <v>15</v>
      </c>
      <c r="AA244" s="1980">
        <f>$AF$247*'Motor Vs'!AA244</f>
        <v>18.75</v>
      </c>
      <c r="AB244" s="1980">
        <f>$AF$247*'Motor Vs'!AB244</f>
        <v>22.5</v>
      </c>
      <c r="AC244" s="1980">
        <f>$AF$247*'Motor Vs'!AC244</f>
        <v>22.5</v>
      </c>
      <c r="AD244" s="1980">
        <f>$AF$247*'Motor Vs'!AD244</f>
        <v>18.75</v>
      </c>
      <c r="AE244" s="32"/>
      <c r="AF244" s="32">
        <f>SUMPRODUCT(Y$122:AE$122,Y244:AE244)/AF$122</f>
        <v>17.723158963908833</v>
      </c>
      <c r="AH244" s="671" t="s">
        <v>844</v>
      </c>
      <c r="AI244" s="672"/>
      <c r="AJ244" s="672"/>
      <c r="AK244" s="672"/>
      <c r="AL244" s="672"/>
      <c r="AM244" s="672"/>
      <c r="AN244" s="931">
        <v>0.1</v>
      </c>
      <c r="AO244" s="32"/>
      <c r="AQ244" s="117"/>
      <c r="AR244" s="117"/>
      <c r="AS244" s="117"/>
      <c r="AT244" s="117"/>
      <c r="AU244" s="117"/>
      <c r="AV244" s="117"/>
      <c r="AW244" s="117"/>
      <c r="AY244" s="32"/>
      <c r="AZ244" s="32">
        <f t="shared" ref="AZ244:BE245" si="173">1.5*Y244</f>
        <v>11.25</v>
      </c>
      <c r="BA244" s="32">
        <f t="shared" si="173"/>
        <v>22.5</v>
      </c>
      <c r="BB244" s="32">
        <f t="shared" si="173"/>
        <v>28.125</v>
      </c>
      <c r="BC244" s="32">
        <f t="shared" si="173"/>
        <v>33.75</v>
      </c>
      <c r="BD244" s="32">
        <f t="shared" si="173"/>
        <v>33.75</v>
      </c>
      <c r="BE244" s="32">
        <f t="shared" si="173"/>
        <v>28.125</v>
      </c>
      <c r="BF244" s="32"/>
      <c r="BG244" s="32">
        <f>SUMPRODUCT(AZ$122:BF$122,AZ244:BF244)/BG$122</f>
        <v>25.273661724140819</v>
      </c>
      <c r="BH244" s="32"/>
      <c r="BI244" s="32">
        <f t="shared" ref="BI244:BN245" si="174">AZ244</f>
        <v>11.25</v>
      </c>
      <c r="BJ244" s="32">
        <f t="shared" si="174"/>
        <v>22.5</v>
      </c>
      <c r="BK244" s="32">
        <f t="shared" si="174"/>
        <v>28.125</v>
      </c>
      <c r="BL244" s="32">
        <f t="shared" si="174"/>
        <v>33.75</v>
      </c>
      <c r="BM244" s="32">
        <f t="shared" si="174"/>
        <v>33.75</v>
      </c>
      <c r="BN244" s="32">
        <f t="shared" si="174"/>
        <v>28.125</v>
      </c>
      <c r="BO244" s="32"/>
      <c r="BP244" s="32">
        <f>SUMPRODUCT(BI$122:BO$122,BI244:BO244)/BP$122</f>
        <v>25.273661724140823</v>
      </c>
    </row>
    <row r="245" spans="2:68" ht="13.2" customHeight="1">
      <c r="B245" s="323" t="s">
        <v>2840</v>
      </c>
      <c r="G245" s="4324"/>
      <c r="H245" s="4325"/>
      <c r="I245" s="4325"/>
      <c r="J245" s="4325"/>
      <c r="K245" s="4325"/>
      <c r="L245" s="4326"/>
      <c r="O245" s="136">
        <f>ROW()</f>
        <v>245</v>
      </c>
      <c r="P245" s="32">
        <v>1</v>
      </c>
      <c r="Q245" s="32">
        <v>2</v>
      </c>
      <c r="R245" s="32">
        <v>2</v>
      </c>
      <c r="S245" s="32">
        <v>3</v>
      </c>
      <c r="T245" s="32">
        <v>2</v>
      </c>
      <c r="U245" s="32">
        <v>2</v>
      </c>
      <c r="V245" s="32"/>
      <c r="W245" s="32">
        <f>SUMPRODUCT(P$122:V$122,P245:V245)/W$122</f>
        <v>1.8031866622519797</v>
      </c>
      <c r="X245" s="32"/>
      <c r="Y245" s="32">
        <v>1</v>
      </c>
      <c r="Z245" s="32">
        <v>2</v>
      </c>
      <c r="AA245" s="32">
        <v>2</v>
      </c>
      <c r="AB245" s="32">
        <v>3</v>
      </c>
      <c r="AC245" s="32">
        <v>2</v>
      </c>
      <c r="AD245" s="32">
        <v>2</v>
      </c>
      <c r="AE245" s="32"/>
      <c r="AF245" s="32">
        <f>SUMPRODUCT(Y$122:AE$122,Y245:AE245)/AF$122</f>
        <v>2.0487260047468836</v>
      </c>
      <c r="AH245" s="32"/>
      <c r="AI245" s="32"/>
      <c r="AJ245" s="32"/>
      <c r="AK245" s="32"/>
      <c r="AL245" s="32"/>
      <c r="AM245" s="32"/>
      <c r="AN245" s="32"/>
      <c r="AO245" s="32"/>
      <c r="AQ245" s="117"/>
      <c r="AR245" s="117"/>
      <c r="AS245" s="117"/>
      <c r="AT245" s="117"/>
      <c r="AU245" s="117"/>
      <c r="AV245" s="117"/>
      <c r="AW245" s="117"/>
      <c r="AY245" s="32"/>
      <c r="AZ245" s="32">
        <f t="shared" si="173"/>
        <v>1.5</v>
      </c>
      <c r="BA245" s="32">
        <f t="shared" si="173"/>
        <v>3</v>
      </c>
      <c r="BB245" s="32">
        <f t="shared" si="173"/>
        <v>3</v>
      </c>
      <c r="BC245" s="32">
        <f t="shared" si="173"/>
        <v>4.5</v>
      </c>
      <c r="BD245" s="32">
        <f t="shared" si="173"/>
        <v>3</v>
      </c>
      <c r="BE245" s="32">
        <f t="shared" si="173"/>
        <v>3</v>
      </c>
      <c r="BF245" s="32"/>
      <c r="BG245" s="32">
        <f>SUMPRODUCT(AZ$122:BF$122,AZ245:BF245)/BG$122</f>
        <v>2.9239487286435124</v>
      </c>
      <c r="BH245" s="32"/>
      <c r="BI245" s="32">
        <f t="shared" si="174"/>
        <v>1.5</v>
      </c>
      <c r="BJ245" s="32">
        <f t="shared" si="174"/>
        <v>3</v>
      </c>
      <c r="BK245" s="32">
        <f t="shared" si="174"/>
        <v>3</v>
      </c>
      <c r="BL245" s="32">
        <f t="shared" si="174"/>
        <v>4.5</v>
      </c>
      <c r="BM245" s="32">
        <f t="shared" si="174"/>
        <v>3</v>
      </c>
      <c r="BN245" s="32">
        <f t="shared" si="174"/>
        <v>3</v>
      </c>
      <c r="BO245" s="32"/>
      <c r="BP245" s="32">
        <f>SUMPRODUCT(BI$122:BO$122,BI245:BO245)/BP$122</f>
        <v>2.9239487286435129</v>
      </c>
    </row>
    <row r="246" spans="2:68" ht="13.2" customHeight="1">
      <c r="B246" s="323" t="s">
        <v>1144</v>
      </c>
      <c r="G246" s="3741"/>
      <c r="H246" s="3742"/>
      <c r="I246" s="3742"/>
      <c r="J246" s="3742"/>
      <c r="K246" s="3742"/>
      <c r="L246" s="3777"/>
      <c r="O246" s="136">
        <f>ROW()</f>
        <v>246</v>
      </c>
      <c r="P246" s="1980">
        <f>$W$247*'Motor Vs'!P246</f>
        <v>4.5</v>
      </c>
      <c r="Q246" s="1980">
        <f>$W$247*'Motor Vs'!Q246</f>
        <v>4.5</v>
      </c>
      <c r="R246" s="1980">
        <f>$W$247*'Motor Vs'!R246</f>
        <v>4.5</v>
      </c>
      <c r="S246" s="1980">
        <f>$W$247*'Motor Vs'!S246</f>
        <v>6.75</v>
      </c>
      <c r="T246" s="1980">
        <f>$W$247*'Motor Vs'!T246</f>
        <v>4.5</v>
      </c>
      <c r="U246" s="1980">
        <f>$W$247*'Motor Vs'!U246</f>
        <v>4.5</v>
      </c>
      <c r="V246" s="32"/>
      <c r="W246" s="32">
        <f>SUMPRODUCT(P$122:V$122,P246:V246)/W$122</f>
        <v>4.7521913493359147</v>
      </c>
      <c r="X246" s="32"/>
      <c r="Y246" s="1980">
        <f>$AF$247*'Motor Vs'!Y246</f>
        <v>4.5</v>
      </c>
      <c r="Z246" s="1980">
        <f>$AF$247*'Motor Vs'!Z246</f>
        <v>4.5</v>
      </c>
      <c r="AA246" s="1980">
        <f>$AF$247*'Motor Vs'!AA246</f>
        <v>4.5</v>
      </c>
      <c r="AB246" s="1980">
        <f>$AF$247*'Motor Vs'!AB246</f>
        <v>6.75</v>
      </c>
      <c r="AC246" s="1980">
        <f>$AF$247*'Motor Vs'!AC246</f>
        <v>4.5</v>
      </c>
      <c r="AD246" s="1980">
        <f>$AF$247*'Motor Vs'!AD246</f>
        <v>4.5</v>
      </c>
      <c r="AE246" s="32"/>
      <c r="AF246" s="32">
        <f>SUMPRODUCT(Y$122:AE$122,Y246:AE246)/AF$122</f>
        <v>5.0152536361014057</v>
      </c>
      <c r="AH246" s="32"/>
      <c r="AI246" s="32"/>
      <c r="AJ246" s="32"/>
      <c r="AK246" s="32"/>
      <c r="AL246" s="32"/>
      <c r="AM246" s="32"/>
      <c r="AN246" s="32"/>
      <c r="AO246" s="32"/>
      <c r="AQ246" s="117"/>
      <c r="AR246" s="117"/>
      <c r="AS246" s="117"/>
      <c r="AT246" s="117"/>
      <c r="AU246" s="117"/>
      <c r="AV246" s="117"/>
      <c r="AW246" s="117"/>
      <c r="AY246" s="32"/>
      <c r="AZ246" s="32"/>
      <c r="BA246" s="32"/>
      <c r="BB246" s="32"/>
      <c r="BC246" s="32"/>
      <c r="BD246" s="32"/>
      <c r="BE246" s="32"/>
      <c r="BF246" s="32"/>
      <c r="BG246" s="32"/>
      <c r="BH246" s="32"/>
      <c r="BI246" s="32"/>
      <c r="BJ246" s="32"/>
      <c r="BK246" s="32"/>
      <c r="BL246" s="32"/>
      <c r="BM246" s="32"/>
      <c r="BN246" s="32"/>
      <c r="BO246" s="32"/>
      <c r="BP246" s="32"/>
    </row>
    <row r="247" spans="2:68" ht="13.2" customHeight="1">
      <c r="B247" s="308" t="s">
        <v>950</v>
      </c>
      <c r="O247" s="136">
        <f>ROW()</f>
        <v>247</v>
      </c>
      <c r="P247" s="1981" t="s">
        <v>3251</v>
      </c>
      <c r="Q247" s="1982"/>
      <c r="R247" s="1982"/>
      <c r="S247" s="1982"/>
      <c r="T247" s="1982"/>
      <c r="U247" s="1982"/>
      <c r="V247" s="1982"/>
      <c r="W247" s="1983">
        <f>3/4</f>
        <v>0.75</v>
      </c>
      <c r="X247" s="32"/>
      <c r="Y247" s="1981" t="s">
        <v>3251</v>
      </c>
      <c r="Z247" s="1982"/>
      <c r="AA247" s="1982"/>
      <c r="AB247" s="1982"/>
      <c r="AC247" s="1982"/>
      <c r="AD247" s="1982"/>
      <c r="AE247" s="1982"/>
      <c r="AF247" s="1983">
        <f>W247</f>
        <v>0.75</v>
      </c>
      <c r="AH247" s="32"/>
      <c r="AI247" s="32"/>
      <c r="AJ247" s="32"/>
      <c r="AK247" s="32"/>
      <c r="AL247" s="32"/>
      <c r="AM247" s="32"/>
      <c r="AN247" s="32"/>
      <c r="AO247" s="32"/>
      <c r="AQ247" s="117"/>
      <c r="AR247" s="117"/>
      <c r="AS247" s="117"/>
      <c r="AT247" s="117"/>
      <c r="AU247" s="117"/>
      <c r="AV247" s="117"/>
      <c r="AW247" s="117"/>
      <c r="AY247" s="32"/>
      <c r="AZ247" s="32"/>
      <c r="BA247" s="32"/>
      <c r="BB247" s="32"/>
      <c r="BC247" s="32"/>
      <c r="BD247" s="32"/>
      <c r="BE247" s="32"/>
      <c r="BF247" s="32"/>
      <c r="BG247" s="32"/>
      <c r="BH247" s="32"/>
      <c r="BI247" s="32"/>
      <c r="BJ247" s="32"/>
      <c r="BK247" s="32"/>
      <c r="BL247" s="32"/>
      <c r="BM247" s="32"/>
      <c r="BN247" s="32"/>
      <c r="BO247" s="32"/>
      <c r="BP247" s="32"/>
    </row>
    <row r="248" spans="2:68" ht="13.2" customHeight="1">
      <c r="B248" s="323" t="s">
        <v>2839</v>
      </c>
      <c r="G248" s="4286" t="s">
        <v>2351</v>
      </c>
      <c r="H248" s="3775"/>
      <c r="I248" s="3775"/>
      <c r="J248" s="3775"/>
      <c r="K248" s="3775"/>
      <c r="L248" s="3776"/>
      <c r="O248" s="136">
        <f>ROW()</f>
        <v>248</v>
      </c>
      <c r="P248" s="32">
        <f t="shared" ref="P248:U250" si="175">P239*P244</f>
        <v>0.375</v>
      </c>
      <c r="Q248" s="32">
        <f t="shared" si="175"/>
        <v>2.25</v>
      </c>
      <c r="R248" s="32">
        <f t="shared" si="175"/>
        <v>4.6875</v>
      </c>
      <c r="S248" s="32">
        <f t="shared" si="175"/>
        <v>7.8749999999999991</v>
      </c>
      <c r="T248" s="32">
        <f t="shared" si="175"/>
        <v>7.8749999999999991</v>
      </c>
      <c r="U248" s="32">
        <f t="shared" si="175"/>
        <v>3.75</v>
      </c>
      <c r="V248" s="32"/>
      <c r="W248" s="32"/>
      <c r="X248" s="32"/>
      <c r="Y248" s="32">
        <f t="shared" ref="Y248:AD250" si="176">Y239*Y244</f>
        <v>0.375</v>
      </c>
      <c r="Z248" s="32">
        <f t="shared" si="176"/>
        <v>2.25</v>
      </c>
      <c r="AA248" s="32">
        <f t="shared" si="176"/>
        <v>4.6875</v>
      </c>
      <c r="AB248" s="32">
        <f t="shared" si="176"/>
        <v>7.8749999999999991</v>
      </c>
      <c r="AC248" s="32">
        <f t="shared" si="176"/>
        <v>7.8749999999999991</v>
      </c>
      <c r="AD248" s="32">
        <f t="shared" si="176"/>
        <v>3.75</v>
      </c>
      <c r="AE248" s="32"/>
      <c r="AF248" s="32"/>
      <c r="AH248" s="32"/>
      <c r="AI248" s="32"/>
      <c r="AJ248" s="32"/>
      <c r="AK248" s="32"/>
      <c r="AL248" s="32"/>
      <c r="AM248" s="32"/>
      <c r="AN248" s="32"/>
      <c r="AO248" s="32"/>
      <c r="AQ248" s="117"/>
      <c r="AR248" s="117"/>
      <c r="AS248" s="117"/>
      <c r="AT248" s="117"/>
      <c r="AU248" s="117"/>
      <c r="AV248" s="117"/>
      <c r="AW248" s="117"/>
      <c r="AY248" s="32"/>
      <c r="AZ248" s="32">
        <f t="shared" ref="AZ248:BE249" si="177">AZ239*AZ244</f>
        <v>0.1125</v>
      </c>
      <c r="BA248" s="32">
        <f t="shared" si="177"/>
        <v>0.45</v>
      </c>
      <c r="BB248" s="32">
        <f t="shared" si="177"/>
        <v>0.84375</v>
      </c>
      <c r="BC248" s="32">
        <f t="shared" si="177"/>
        <v>1.0125</v>
      </c>
      <c r="BD248" s="32">
        <f t="shared" si="177"/>
        <v>1.0125</v>
      </c>
      <c r="BE248" s="32">
        <f t="shared" si="177"/>
        <v>0.84375</v>
      </c>
      <c r="BF248" s="32"/>
      <c r="BG248" s="32"/>
      <c r="BH248" s="32"/>
      <c r="BI248" s="32">
        <f t="shared" ref="BI248:BN249" si="178">BI239*BI244</f>
        <v>0</v>
      </c>
      <c r="BJ248" s="32">
        <f t="shared" si="178"/>
        <v>0.22500000000000001</v>
      </c>
      <c r="BK248" s="32">
        <f t="shared" si="178"/>
        <v>0.5625</v>
      </c>
      <c r="BL248" s="32">
        <f t="shared" si="178"/>
        <v>0.67500000000000004</v>
      </c>
      <c r="BM248" s="32">
        <f t="shared" si="178"/>
        <v>0.67500000000000004</v>
      </c>
      <c r="BN248" s="32">
        <f t="shared" si="178"/>
        <v>0.5625</v>
      </c>
      <c r="BO248" s="32"/>
      <c r="BP248" s="32"/>
    </row>
    <row r="249" spans="2:68" ht="13.2" customHeight="1">
      <c r="B249" s="323" t="s">
        <v>2840</v>
      </c>
      <c r="G249" s="3738"/>
      <c r="H249" s="3739"/>
      <c r="I249" s="3739"/>
      <c r="J249" s="3739"/>
      <c r="K249" s="3739"/>
      <c r="L249" s="3922"/>
      <c r="O249" s="136">
        <f>ROW()</f>
        <v>249</v>
      </c>
      <c r="P249" s="32">
        <f t="shared" si="175"/>
        <v>0.01</v>
      </c>
      <c r="Q249" s="32">
        <f t="shared" si="175"/>
        <v>0.02</v>
      </c>
      <c r="R249" s="32">
        <f t="shared" si="175"/>
        <v>0.02</v>
      </c>
      <c r="S249" s="32">
        <f t="shared" si="175"/>
        <v>0.03</v>
      </c>
      <c r="T249" s="32">
        <f t="shared" si="175"/>
        <v>0.02</v>
      </c>
      <c r="U249" s="32">
        <f t="shared" si="175"/>
        <v>0.02</v>
      </c>
      <c r="V249" s="32"/>
      <c r="W249" s="117"/>
      <c r="Y249" s="32">
        <f t="shared" si="176"/>
        <v>0.01</v>
      </c>
      <c r="Z249" s="32">
        <f t="shared" si="176"/>
        <v>0.02</v>
      </c>
      <c r="AA249" s="32">
        <f t="shared" si="176"/>
        <v>0.02</v>
      </c>
      <c r="AB249" s="32">
        <f t="shared" si="176"/>
        <v>0.03</v>
      </c>
      <c r="AC249" s="32">
        <f t="shared" si="176"/>
        <v>0.02</v>
      </c>
      <c r="AD249" s="32">
        <f t="shared" si="176"/>
        <v>0.02</v>
      </c>
      <c r="AE249" s="32"/>
      <c r="AF249" s="117"/>
      <c r="AH249" s="32"/>
      <c r="AI249" s="32"/>
      <c r="AJ249" s="32"/>
      <c r="AK249" s="32"/>
      <c r="AL249" s="32"/>
      <c r="AM249" s="32"/>
      <c r="AN249" s="32"/>
      <c r="AO249" s="117"/>
      <c r="AQ249" s="117"/>
      <c r="AR249" s="117"/>
      <c r="AS249" s="117"/>
      <c r="AT249" s="117"/>
      <c r="AU249" s="117"/>
      <c r="AV249" s="117"/>
      <c r="AW249" s="117"/>
      <c r="AZ249" s="32">
        <f t="shared" si="177"/>
        <v>4.4999999999999998E-2</v>
      </c>
      <c r="BA249" s="32">
        <f t="shared" si="177"/>
        <v>0.18</v>
      </c>
      <c r="BB249" s="32">
        <f t="shared" si="177"/>
        <v>0.27</v>
      </c>
      <c r="BC249" s="32">
        <f t="shared" si="177"/>
        <v>0.40499999999999997</v>
      </c>
      <c r="BD249" s="32">
        <f t="shared" si="177"/>
        <v>0.27</v>
      </c>
      <c r="BE249" s="32">
        <f t="shared" si="177"/>
        <v>0.27</v>
      </c>
      <c r="BF249" s="32"/>
      <c r="BG249" s="117"/>
      <c r="BI249" s="32">
        <f t="shared" si="178"/>
        <v>0</v>
      </c>
      <c r="BJ249" s="32">
        <f t="shared" si="178"/>
        <v>0.03</v>
      </c>
      <c r="BK249" s="32">
        <f t="shared" si="178"/>
        <v>0.06</v>
      </c>
      <c r="BL249" s="32">
        <f t="shared" si="178"/>
        <v>0.09</v>
      </c>
      <c r="BM249" s="32">
        <f t="shared" si="178"/>
        <v>0.06</v>
      </c>
      <c r="BN249" s="32">
        <f t="shared" si="178"/>
        <v>0.06</v>
      </c>
      <c r="BO249" s="32"/>
      <c r="BP249" s="117"/>
    </row>
    <row r="250" spans="2:68" ht="13.2" customHeight="1">
      <c r="B250" s="323" t="s">
        <v>1144</v>
      </c>
      <c r="G250" s="3738"/>
      <c r="H250" s="3739"/>
      <c r="I250" s="3739"/>
      <c r="J250" s="3739"/>
      <c r="K250" s="3739"/>
      <c r="L250" s="3922"/>
      <c r="O250" s="136">
        <f>ROW()</f>
        <v>250</v>
      </c>
      <c r="P250" s="32">
        <f t="shared" si="175"/>
        <v>0.22500000000000001</v>
      </c>
      <c r="Q250" s="32">
        <f t="shared" si="175"/>
        <v>0.22500000000000001</v>
      </c>
      <c r="R250" s="32">
        <f t="shared" si="175"/>
        <v>0.45</v>
      </c>
      <c r="S250" s="32">
        <f t="shared" si="175"/>
        <v>0.67500000000000004</v>
      </c>
      <c r="T250" s="32">
        <f t="shared" si="175"/>
        <v>0.22500000000000001</v>
      </c>
      <c r="U250" s="32">
        <f t="shared" si="175"/>
        <v>0.22500000000000001</v>
      </c>
      <c r="V250" s="32"/>
      <c r="W250" s="117"/>
      <c r="Y250" s="32">
        <f t="shared" si="176"/>
        <v>0.22500000000000001</v>
      </c>
      <c r="Z250" s="32">
        <f t="shared" si="176"/>
        <v>0.22500000000000001</v>
      </c>
      <c r="AA250" s="32">
        <f t="shared" si="176"/>
        <v>0.45</v>
      </c>
      <c r="AB250" s="32">
        <f t="shared" si="176"/>
        <v>0.67500000000000004</v>
      </c>
      <c r="AC250" s="32">
        <f t="shared" si="176"/>
        <v>0.22500000000000001</v>
      </c>
      <c r="AD250" s="32">
        <f t="shared" si="176"/>
        <v>0.22500000000000001</v>
      </c>
      <c r="AE250" s="32"/>
      <c r="AF250" s="117"/>
      <c r="AH250" s="32"/>
      <c r="AI250" s="32"/>
      <c r="AJ250" s="32"/>
      <c r="AK250" s="32"/>
      <c r="AL250" s="32"/>
      <c r="AM250" s="32"/>
      <c r="AN250" s="32"/>
      <c r="AO250" s="117"/>
      <c r="AQ250" s="117"/>
      <c r="AR250" s="117"/>
      <c r="AS250" s="117"/>
      <c r="AT250" s="117"/>
      <c r="AU250" s="117"/>
      <c r="AV250" s="117"/>
      <c r="AW250" s="117"/>
      <c r="AZ250" s="32"/>
      <c r="BA250" s="32"/>
      <c r="BB250" s="32"/>
      <c r="BC250" s="32"/>
      <c r="BD250" s="32"/>
      <c r="BE250" s="32"/>
      <c r="BF250" s="32"/>
      <c r="BG250" s="117"/>
      <c r="BI250" s="32"/>
      <c r="BJ250" s="32"/>
      <c r="BK250" s="32"/>
      <c r="BL250" s="32"/>
      <c r="BM250" s="32"/>
      <c r="BN250" s="32"/>
      <c r="BO250" s="32"/>
      <c r="BP250" s="117"/>
    </row>
    <row r="251" spans="2:68" ht="13.2" customHeight="1">
      <c r="B251" s="323" t="s">
        <v>1302</v>
      </c>
      <c r="G251" s="3741"/>
      <c r="H251" s="3742"/>
      <c r="I251" s="3742"/>
      <c r="J251" s="3742"/>
      <c r="K251" s="3742"/>
      <c r="L251" s="3777"/>
      <c r="O251" s="136">
        <f>ROW()</f>
        <v>251</v>
      </c>
      <c r="P251" s="32">
        <f t="shared" ref="P251:U251" si="179">SUM(P248:P250)</f>
        <v>0.61</v>
      </c>
      <c r="Q251" s="32">
        <f t="shared" si="179"/>
        <v>2.4950000000000001</v>
      </c>
      <c r="R251" s="32">
        <f t="shared" si="179"/>
        <v>5.1574999999999998</v>
      </c>
      <c r="S251" s="32">
        <f t="shared" si="179"/>
        <v>8.58</v>
      </c>
      <c r="T251" s="32">
        <f t="shared" si="179"/>
        <v>8.1199999999999992</v>
      </c>
      <c r="U251" s="32">
        <f t="shared" si="179"/>
        <v>3.9950000000000001</v>
      </c>
      <c r="V251" s="32"/>
      <c r="W251" s="32">
        <f>SUMPRODUCT(P$122:V$122,P251:V251)/W$122</f>
        <v>4.0891386643363345</v>
      </c>
      <c r="Y251" s="32">
        <f t="shared" ref="Y251:AD251" si="180">SUM(Y248:Y250)</f>
        <v>0.61</v>
      </c>
      <c r="Z251" s="32">
        <f t="shared" si="180"/>
        <v>2.4950000000000001</v>
      </c>
      <c r="AA251" s="32">
        <f t="shared" si="180"/>
        <v>5.1574999999999998</v>
      </c>
      <c r="AB251" s="32">
        <f t="shared" si="180"/>
        <v>8.58</v>
      </c>
      <c r="AC251" s="32">
        <f t="shared" si="180"/>
        <v>8.1199999999999992</v>
      </c>
      <c r="AD251" s="32">
        <f t="shared" si="180"/>
        <v>3.9950000000000001</v>
      </c>
      <c r="AE251" s="32"/>
      <c r="AF251" s="32">
        <f>SUMPRODUCT(Y$122:AE$122,Y251:AE251)/AF$122</f>
        <v>5.1468499551119864</v>
      </c>
      <c r="AH251" s="32">
        <f t="shared" ref="AH251:AM251" si="181">$AN$244*AVERAGE(P251,Y251)</f>
        <v>6.0999999999999999E-2</v>
      </c>
      <c r="AI251" s="32">
        <f t="shared" si="181"/>
        <v>0.24950000000000003</v>
      </c>
      <c r="AJ251" s="32">
        <f t="shared" si="181"/>
        <v>0.51575000000000004</v>
      </c>
      <c r="AK251" s="32">
        <f t="shared" si="181"/>
        <v>0.8580000000000001</v>
      </c>
      <c r="AL251" s="32">
        <f t="shared" si="181"/>
        <v>0.81199999999999994</v>
      </c>
      <c r="AM251" s="32">
        <f t="shared" si="181"/>
        <v>0.39950000000000002</v>
      </c>
      <c r="AN251" s="32"/>
      <c r="AO251" s="32">
        <f>SUMPRODUCT(AH$122:AN$122,AH251:AN251)/AO$122</f>
        <v>0.4180168692921335</v>
      </c>
      <c r="AQ251" s="117"/>
      <c r="AR251" s="117"/>
      <c r="AS251" s="117"/>
      <c r="AT251" s="117"/>
      <c r="AU251" s="117"/>
      <c r="AV251" s="117"/>
      <c r="AW251" s="117"/>
      <c r="AZ251" s="32">
        <f t="shared" ref="AZ251:BE251" si="182">AZ248+AZ249</f>
        <v>0.1575</v>
      </c>
      <c r="BA251" s="32">
        <f t="shared" si="182"/>
        <v>0.63</v>
      </c>
      <c r="BB251" s="32">
        <f t="shared" si="182"/>
        <v>1.11375</v>
      </c>
      <c r="BC251" s="32">
        <f t="shared" si="182"/>
        <v>1.4175</v>
      </c>
      <c r="BD251" s="32">
        <f t="shared" si="182"/>
        <v>1.2825</v>
      </c>
      <c r="BE251" s="32">
        <f t="shared" si="182"/>
        <v>1.11375</v>
      </c>
      <c r="BF251" s="32"/>
      <c r="BG251" s="32">
        <f>SUMPRODUCT(AZ$122:BF$122,AZ251:BF251)/BG$122</f>
        <v>0.91768521794687463</v>
      </c>
      <c r="BI251" s="32">
        <f t="shared" ref="BI251:BN251" si="183">BI248+BI249</f>
        <v>0</v>
      </c>
      <c r="BJ251" s="32">
        <f t="shared" si="183"/>
        <v>0.255</v>
      </c>
      <c r="BK251" s="32">
        <f t="shared" si="183"/>
        <v>0.62250000000000005</v>
      </c>
      <c r="BL251" s="32">
        <f t="shared" si="183"/>
        <v>0.76500000000000001</v>
      </c>
      <c r="BM251" s="32">
        <f t="shared" si="183"/>
        <v>0.7350000000000001</v>
      </c>
      <c r="BN251" s="32">
        <f t="shared" si="183"/>
        <v>0.62250000000000005</v>
      </c>
      <c r="BO251" s="32"/>
      <c r="BP251" s="32">
        <f>SUMPRODUCT(BI$122:BO$122,BI251:BO251)/BP$122</f>
        <v>0.48002076481570954</v>
      </c>
    </row>
    <row r="252" spans="2:68" ht="13.2" customHeight="1">
      <c r="O252" s="136">
        <f>ROW()</f>
        <v>252</v>
      </c>
      <c r="AQ252" s="4265" t="s">
        <v>3170</v>
      </c>
      <c r="AR252" s="4266"/>
      <c r="AS252" s="4266"/>
      <c r="AT252" s="4266"/>
      <c r="AU252" s="4266"/>
      <c r="AV252" s="4266"/>
      <c r="AW252" s="4266"/>
      <c r="BI252" s="43" t="s">
        <v>982</v>
      </c>
    </row>
    <row r="253" spans="2:68" ht="13.2" customHeight="1">
      <c r="B253" s="2" t="s">
        <v>5262</v>
      </c>
      <c r="O253" s="136">
        <f>ROW()</f>
        <v>253</v>
      </c>
      <c r="P253" s="591">
        <f t="shared" ref="P253:U253" si="184">SUM(P254:P257)</f>
        <v>10.020731485631622</v>
      </c>
      <c r="Q253" s="591">
        <f t="shared" si="184"/>
        <v>13.821847428018877</v>
      </c>
      <c r="R253" s="591">
        <f t="shared" si="184"/>
        <v>17.72460323276621</v>
      </c>
      <c r="S253" s="591">
        <f t="shared" si="184"/>
        <v>21.513168896875698</v>
      </c>
      <c r="T253" s="591">
        <f t="shared" si="184"/>
        <v>19.9771074438484</v>
      </c>
      <c r="U253" s="591">
        <f t="shared" si="184"/>
        <v>15.372973099017653</v>
      </c>
      <c r="V253" s="591"/>
      <c r="W253" s="3469">
        <f>SUMPRODUCT(P$122:V$122,P253:V253)/W$122</f>
        <v>15.42553110924516</v>
      </c>
      <c r="Y253" s="591">
        <f t="shared" ref="Y253:AD253" si="185">SUM(Y254:Y257)</f>
        <v>10.020731485631622</v>
      </c>
      <c r="Z253" s="591">
        <f t="shared" si="185"/>
        <v>13.821847428018877</v>
      </c>
      <c r="AA253" s="591">
        <f t="shared" si="185"/>
        <v>17.72460323276621</v>
      </c>
      <c r="AB253" s="591">
        <f t="shared" si="185"/>
        <v>21.513168896875698</v>
      </c>
      <c r="AC253" s="591">
        <f t="shared" si="185"/>
        <v>19.9771074438484</v>
      </c>
      <c r="AD253" s="591">
        <f t="shared" si="185"/>
        <v>15.372973099017653</v>
      </c>
      <c r="AE253" s="591"/>
      <c r="AF253" s="3469">
        <f>SUMPRODUCT(Y$122:AE$122,Y253:AE253)/AF$122</f>
        <v>16.938026476565987</v>
      </c>
      <c r="AH253" s="591">
        <f t="shared" ref="AH253:AM253" si="186">SUM(AH254:AH257)</f>
        <v>14.085077091275213</v>
      </c>
      <c r="AI253" s="591">
        <f t="shared" si="186"/>
        <v>16.975557085844045</v>
      </c>
      <c r="AJ253" s="591">
        <f t="shared" si="186"/>
        <v>19.015514344430752</v>
      </c>
      <c r="AK253" s="591">
        <f t="shared" si="186"/>
        <v>19.801971344224551</v>
      </c>
      <c r="AL253" s="591">
        <f t="shared" si="186"/>
        <v>18.247906256215057</v>
      </c>
      <c r="AM253" s="591">
        <f t="shared" si="186"/>
        <v>17.210723074399109</v>
      </c>
      <c r="AN253" s="591"/>
      <c r="AO253" s="3469">
        <f>SUMPRODUCT(AH$122:AN$122,AH253:AN253)/AO$122</f>
        <v>17.180286479462506</v>
      </c>
      <c r="AZ253" s="591">
        <f t="shared" ref="AZ253:BE253" si="187">SUM(AZ254:AZ257)</f>
        <v>18.552016603085221</v>
      </c>
      <c r="BA253" s="591">
        <f t="shared" si="187"/>
        <v>22.429802119681714</v>
      </c>
      <c r="BB253" s="591">
        <f t="shared" si="187"/>
        <v>25.394063729176377</v>
      </c>
      <c r="BC253" s="591">
        <f t="shared" si="187"/>
        <v>26.429945057395351</v>
      </c>
      <c r="BD253" s="591">
        <f t="shared" si="187"/>
        <v>24.142822151340763</v>
      </c>
      <c r="BE253" s="591">
        <f t="shared" si="187"/>
        <v>23.015803461679262</v>
      </c>
      <c r="BF253" s="591"/>
      <c r="BG253" s="3469">
        <f>SUMPRODUCT(AZ$122:BF$122,AZ253:BF253)/BG$122</f>
        <v>23.351696684403539</v>
      </c>
      <c r="BI253" s="591">
        <f t="shared" ref="BI253:BN253" si="188">SUM(BI254:BI257)</f>
        <v>24.368600220455438</v>
      </c>
      <c r="BJ253" s="591">
        <f t="shared" si="188"/>
        <v>28.47299698100802</v>
      </c>
      <c r="BK253" s="591">
        <f t="shared" si="188"/>
        <v>32.368163993610679</v>
      </c>
      <c r="BL253" s="591">
        <f t="shared" si="188"/>
        <v>33.80196138757848</v>
      </c>
      <c r="BM253" s="591">
        <f t="shared" si="188"/>
        <v>30.543777028496596</v>
      </c>
      <c r="BN253" s="591">
        <f t="shared" si="188"/>
        <v>28.897323793184679</v>
      </c>
      <c r="BO253" s="591"/>
      <c r="BP253" s="3469">
        <f>SUMPRODUCT(BI$122:BO$122,BI253:BO253)/BP$122</f>
        <v>29.883692276038072</v>
      </c>
    </row>
    <row r="254" spans="2:68" ht="13.2" customHeight="1">
      <c r="B254" s="308" t="s">
        <v>1324</v>
      </c>
      <c r="C254" s="4297" t="str">
        <f>CONCATENATE("Fuel costs are calc'd on Row ",O235, " and gas price in 'Trip Price, (Future)'. Parking is derived in Rows ",O237, "-",O251, ". Baseline Tolls are from 'River Crossings', Rows ",'River Crossings'!O41, " (peak) and ",'River Crossings'!O50, " (off-pk).")</f>
        <v>Fuel costs are calc'd on Row 235 and gas price in 'Trip Price, (Future)'. Parking is derived in Rows 237-251. Baseline Tolls are from 'River Crossings', Rows 41 (peak) and 50 (off-pk).</v>
      </c>
      <c r="D254" s="4298"/>
      <c r="E254" s="4298"/>
      <c r="F254" s="4299"/>
      <c r="G254" s="4286" t="s">
        <v>2351</v>
      </c>
      <c r="H254" s="3775"/>
      <c r="I254" s="3775"/>
      <c r="J254" s="3775"/>
      <c r="K254" s="3775"/>
      <c r="L254" s="3776"/>
      <c r="O254" s="136">
        <f>ROW()</f>
        <v>254</v>
      </c>
      <c r="P254" s="932">
        <f t="shared" ref="P254:U254" si="189">P235*$W$259/100</f>
        <v>5.9740836173702174</v>
      </c>
      <c r="Q254" s="932">
        <f t="shared" si="189"/>
        <v>6.4181948613263096</v>
      </c>
      <c r="R254" s="932">
        <f t="shared" si="189"/>
        <v>7.4653502644342957</v>
      </c>
      <c r="S254" s="932">
        <f t="shared" si="189"/>
        <v>8.024516330183129</v>
      </c>
      <c r="T254" s="932">
        <f t="shared" si="189"/>
        <v>6.9484548771558341</v>
      </c>
      <c r="U254" s="932">
        <f t="shared" si="189"/>
        <v>6.3727703315054107</v>
      </c>
      <c r="V254" s="932"/>
      <c r="W254" s="32">
        <f>SUMPRODUCT(P$122:V$122,P254:V254)/W$122</f>
        <v>6.8198884580910928</v>
      </c>
      <c r="Y254" s="932">
        <f t="shared" ref="Y254:AD254" si="190">Y235*$W$259/100</f>
        <v>5.9740836173702174</v>
      </c>
      <c r="Z254" s="932">
        <f t="shared" si="190"/>
        <v>6.4181948613263096</v>
      </c>
      <c r="AA254" s="932">
        <f t="shared" si="190"/>
        <v>7.4653502644342957</v>
      </c>
      <c r="AB254" s="932">
        <f t="shared" si="190"/>
        <v>8.024516330183129</v>
      </c>
      <c r="AC254" s="932">
        <f t="shared" si="190"/>
        <v>6.9484548771558341</v>
      </c>
      <c r="AD254" s="932">
        <f t="shared" si="190"/>
        <v>6.3727703315054107</v>
      </c>
      <c r="AE254" s="932"/>
      <c r="AF254" s="32">
        <f>SUMPRODUCT(Y$122:AE$122,Y254:AE254)/AF$122</f>
        <v>7.0801987657911374</v>
      </c>
      <c r="AH254" s="932">
        <f t="shared" ref="AH254:AM254" si="191">AH235*$W$259/100</f>
        <v>8.5441766549170595</v>
      </c>
      <c r="AI254" s="932">
        <f t="shared" si="191"/>
        <v>9.1061496018391477</v>
      </c>
      <c r="AJ254" s="932">
        <f t="shared" si="191"/>
        <v>10.551586177638962</v>
      </c>
      <c r="AK254" s="932">
        <f t="shared" si="191"/>
        <v>11.324063860219651</v>
      </c>
      <c r="AL254" s="932">
        <f t="shared" si="191"/>
        <v>9.8159987722101576</v>
      </c>
      <c r="AM254" s="932">
        <f t="shared" si="191"/>
        <v>9.0271802490007644</v>
      </c>
      <c r="AN254" s="932"/>
      <c r="AO254" s="32">
        <f>SUMPRODUCT(AH$122:AN$122,AH254:AN254)/AO$122</f>
        <v>9.7018861800689713</v>
      </c>
      <c r="AQ254" s="932">
        <f t="shared" ref="AQ254:AV254" si="192">AQ235*$W$259/100</f>
        <v>2.8746271635005547</v>
      </c>
      <c r="AR254" s="932">
        <f t="shared" si="192"/>
        <v>3.2348952706457492</v>
      </c>
      <c r="AS254" s="932">
        <f t="shared" si="192"/>
        <v>3.8401733213507669</v>
      </c>
      <c r="AT254" s="932">
        <f t="shared" si="192"/>
        <v>4.1591992766604555</v>
      </c>
      <c r="AU254" s="932">
        <f t="shared" si="192"/>
        <v>3.5821172164450736</v>
      </c>
      <c r="AV254" s="932">
        <f t="shared" si="192"/>
        <v>3.2377849667232885</v>
      </c>
      <c r="AW254" s="932"/>
      <c r="AZ254" s="932">
        <f t="shared" ref="AZ254:BE254" si="193">AZ235*$W$259/100</f>
        <v>11.948167234740435</v>
      </c>
      <c r="BA254" s="932">
        <f t="shared" si="193"/>
        <v>12.836389722652619</v>
      </c>
      <c r="BB254" s="932">
        <f t="shared" si="193"/>
        <v>14.930700528868591</v>
      </c>
      <c r="BC254" s="932">
        <f t="shared" si="193"/>
        <v>16.049032660366258</v>
      </c>
      <c r="BD254" s="932">
        <f t="shared" si="193"/>
        <v>13.896909754311668</v>
      </c>
      <c r="BE254" s="932">
        <f t="shared" si="193"/>
        <v>12.745540663010821</v>
      </c>
      <c r="BF254" s="932"/>
      <c r="BG254" s="32">
        <f>SUMPRODUCT(AZ$122:BF$122,AZ254:BF254)/BG$122</f>
        <v>13.939320089531385</v>
      </c>
      <c r="BI254" s="932">
        <f t="shared" ref="BI254:BN254" si="194">BI235*$W$259/100</f>
        <v>17.922250852110654</v>
      </c>
      <c r="BJ254" s="932">
        <f t="shared" si="194"/>
        <v>19.254584583978929</v>
      </c>
      <c r="BK254" s="932">
        <f t="shared" si="194"/>
        <v>22.396050793302894</v>
      </c>
      <c r="BL254" s="932">
        <f t="shared" si="194"/>
        <v>24.073548990549387</v>
      </c>
      <c r="BM254" s="932">
        <f t="shared" si="194"/>
        <v>20.845364631467504</v>
      </c>
      <c r="BN254" s="932">
        <f t="shared" si="194"/>
        <v>19.118310994516239</v>
      </c>
      <c r="BO254" s="932"/>
      <c r="BP254" s="32">
        <f>SUMPRODUCT(BI$122:BO$122,BI254:BO254)/BP$122</f>
        <v>20.908980134297082</v>
      </c>
    </row>
    <row r="255" spans="2:68" ht="13.2" customHeight="1">
      <c r="B255" s="308" t="s">
        <v>1325</v>
      </c>
      <c r="C255" s="4300"/>
      <c r="D255" s="3796"/>
      <c r="E255" s="3796"/>
      <c r="F255" s="4301"/>
      <c r="G255" s="3738"/>
      <c r="H255" s="3739"/>
      <c r="I255" s="3739"/>
      <c r="J255" s="3739"/>
      <c r="K255" s="3739"/>
      <c r="L255" s="3922"/>
      <c r="O255" s="136">
        <f>ROW()</f>
        <v>255</v>
      </c>
      <c r="P255" s="932">
        <f t="shared" ref="P255:U255" si="195">P251</f>
        <v>0.61</v>
      </c>
      <c r="Q255" s="932">
        <f t="shared" si="195"/>
        <v>2.4950000000000001</v>
      </c>
      <c r="R255" s="932">
        <f t="shared" si="195"/>
        <v>5.1574999999999998</v>
      </c>
      <c r="S255" s="932">
        <f t="shared" si="195"/>
        <v>8.58</v>
      </c>
      <c r="T255" s="932">
        <f t="shared" si="195"/>
        <v>8.1199999999999992</v>
      </c>
      <c r="U255" s="932">
        <f t="shared" si="195"/>
        <v>3.9950000000000001</v>
      </c>
      <c r="V255" s="932"/>
      <c r="W255" s="32">
        <f>SUMPRODUCT(P$122:V$122,P255:V255)/W$122</f>
        <v>4.0891386643363345</v>
      </c>
      <c r="Y255" s="932">
        <f t="shared" ref="Y255:AD255" si="196">Y251</f>
        <v>0.61</v>
      </c>
      <c r="Z255" s="932">
        <f t="shared" si="196"/>
        <v>2.4950000000000001</v>
      </c>
      <c r="AA255" s="932">
        <f t="shared" si="196"/>
        <v>5.1574999999999998</v>
      </c>
      <c r="AB255" s="932">
        <f t="shared" si="196"/>
        <v>8.58</v>
      </c>
      <c r="AC255" s="932">
        <f t="shared" si="196"/>
        <v>8.1199999999999992</v>
      </c>
      <c r="AD255" s="932">
        <f t="shared" si="196"/>
        <v>3.9950000000000001</v>
      </c>
      <c r="AE255" s="932"/>
      <c r="AF255" s="32">
        <f>SUMPRODUCT(Y$122:AE$122,Y255:AE255)/AF$122</f>
        <v>5.1468499551119864</v>
      </c>
      <c r="AH255" s="932">
        <f t="shared" ref="AH255:AM255" si="197">AH251</f>
        <v>6.0999999999999999E-2</v>
      </c>
      <c r="AI255" s="932">
        <f t="shared" si="197"/>
        <v>0.24950000000000003</v>
      </c>
      <c r="AJ255" s="932">
        <f t="shared" si="197"/>
        <v>0.51575000000000004</v>
      </c>
      <c r="AK255" s="932">
        <f t="shared" si="197"/>
        <v>0.8580000000000001</v>
      </c>
      <c r="AL255" s="932">
        <f t="shared" si="197"/>
        <v>0.81199999999999994</v>
      </c>
      <c r="AM255" s="932">
        <f t="shared" si="197"/>
        <v>0.39950000000000002</v>
      </c>
      <c r="AN255" s="932"/>
      <c r="AO255" s="32">
        <f>SUMPRODUCT(AH$122:AN$122,AH255:AN255)/AO$122</f>
        <v>0.4180168692921335</v>
      </c>
      <c r="AZ255" s="932">
        <f t="shared" ref="AZ255:BE255" si="198">AZ251</f>
        <v>0.1575</v>
      </c>
      <c r="BA255" s="932">
        <f t="shared" si="198"/>
        <v>0.63</v>
      </c>
      <c r="BB255" s="932">
        <f t="shared" si="198"/>
        <v>1.11375</v>
      </c>
      <c r="BC255" s="932">
        <f t="shared" si="198"/>
        <v>1.4175</v>
      </c>
      <c r="BD255" s="932">
        <f t="shared" si="198"/>
        <v>1.2825</v>
      </c>
      <c r="BE255" s="932">
        <f t="shared" si="198"/>
        <v>1.11375</v>
      </c>
      <c r="BF255" s="932"/>
      <c r="BG255" s="32">
        <f>SUMPRODUCT(AZ$122:BF$122,AZ255:BF255)/BG$122</f>
        <v>0.91768521794687463</v>
      </c>
      <c r="BI255" s="932">
        <f t="shared" ref="BI255:BN255" si="199">BI251</f>
        <v>0</v>
      </c>
      <c r="BJ255" s="932">
        <f t="shared" si="199"/>
        <v>0.255</v>
      </c>
      <c r="BK255" s="932">
        <f t="shared" si="199"/>
        <v>0.62250000000000005</v>
      </c>
      <c r="BL255" s="932">
        <f t="shared" si="199"/>
        <v>0.76500000000000001</v>
      </c>
      <c r="BM255" s="932">
        <f t="shared" si="199"/>
        <v>0.7350000000000001</v>
      </c>
      <c r="BN255" s="932">
        <f t="shared" si="199"/>
        <v>0.62250000000000005</v>
      </c>
      <c r="BO255" s="932"/>
      <c r="BP255" s="32">
        <f>SUMPRODUCT(BI$122:BO$122,BI255:BO255)/BP$122</f>
        <v>0.48002076481570954</v>
      </c>
    </row>
    <row r="256" spans="2:68" ht="13.2" customHeight="1">
      <c r="B256" s="308" t="s">
        <v>637</v>
      </c>
      <c r="C256" s="4302"/>
      <c r="D256" s="4303"/>
      <c r="E256" s="4303"/>
      <c r="F256" s="4304"/>
      <c r="G256" s="3738"/>
      <c r="H256" s="3739"/>
      <c r="I256" s="3739"/>
      <c r="J256" s="3739"/>
      <c r="K256" s="3739"/>
      <c r="L256" s="3922"/>
      <c r="M256" s="7"/>
      <c r="O256" s="136">
        <f>ROW()</f>
        <v>256</v>
      </c>
      <c r="P256" s="26">
        <f>'River Crossings'!$K$50</f>
        <v>1.9646431698302398</v>
      </c>
      <c r="Q256" s="26">
        <f>'River Crossings'!$K$50</f>
        <v>1.9646431698302398</v>
      </c>
      <c r="R256" s="26">
        <f>'River Crossings'!$K$41</f>
        <v>2.1577435714695872</v>
      </c>
      <c r="S256" s="26">
        <f>'River Crossings'!$K$50</f>
        <v>1.9646431698302398</v>
      </c>
      <c r="T256" s="26">
        <f>'River Crossings'!$K$50</f>
        <v>1.9646431698302398</v>
      </c>
      <c r="U256" s="26">
        <f>0.5*'River Crossings'!$K$41+0.5*'River Crossings'!$K$50</f>
        <v>2.0611933706499137</v>
      </c>
      <c r="V256" s="26"/>
      <c r="W256" s="32">
        <f>SUMPRODUCT(P$122:V$122,P256:V256)/W$122</f>
        <v>2.0271944594460378</v>
      </c>
      <c r="Y256" s="26">
        <f>'River Crossings'!$K$50</f>
        <v>1.9646431698302398</v>
      </c>
      <c r="Z256" s="26">
        <f>'River Crossings'!$K$50</f>
        <v>1.9646431698302398</v>
      </c>
      <c r="AA256" s="26">
        <f>'River Crossings'!$K$41</f>
        <v>2.1577435714695872</v>
      </c>
      <c r="AB256" s="26">
        <f>'River Crossings'!$K$50</f>
        <v>1.9646431698302398</v>
      </c>
      <c r="AC256" s="26">
        <f>'River Crossings'!$K$50</f>
        <v>1.9646431698302398</v>
      </c>
      <c r="AD256" s="26">
        <f>0.5*'River Crossings'!$K$41+0.5*'River Crossings'!$K$50</f>
        <v>2.0611933706499137</v>
      </c>
      <c r="AE256" s="26"/>
      <c r="AF256" s="32">
        <f>SUMPRODUCT(Y$122:AE$122,Y256:AE256)/AF$122</f>
        <v>2.0323349056440163</v>
      </c>
      <c r="AH256" s="26">
        <f>'River Crossings'!$K$50*$AM$258</f>
        <v>3.339893388711408</v>
      </c>
      <c r="AI256" s="26">
        <f>'River Crossings'!$K$50*$AM$258</f>
        <v>3.339893388711408</v>
      </c>
      <c r="AJ256" s="26">
        <f>'River Crossings'!$K$41*$AM$258</f>
        <v>3.6681640714982984</v>
      </c>
      <c r="AK256" s="26">
        <f>'River Crossings'!$K$50*$AM$258</f>
        <v>3.339893388711408</v>
      </c>
      <c r="AL256" s="26">
        <f>'River Crossings'!$K$50*$AM$258</f>
        <v>3.339893388711408</v>
      </c>
      <c r="AM256" s="26">
        <f>(0.5*'River Crossings'!$K$41+0.5*'River Crossings'!$K$50)*$AM$258</f>
        <v>3.5040287301048538</v>
      </c>
      <c r="AN256" s="26"/>
      <c r="AO256" s="32">
        <f>SUMPRODUCT(AH$122:AN$122,AH256:AN256)/AO$122</f>
        <v>3.4375435819756515</v>
      </c>
      <c r="AZ256" s="26">
        <f>$BF$258*'River Crossings'!$K$50</f>
        <v>3.9292863396604796</v>
      </c>
      <c r="BA256" s="26">
        <f>$BF$258*'River Crossings'!$K$50</f>
        <v>3.9292863396604796</v>
      </c>
      <c r="BB256" s="26">
        <f>$BF$258*'River Crossings'!$K$41</f>
        <v>4.3154871429391743</v>
      </c>
      <c r="BC256" s="26">
        <f>$BF$258*'River Crossings'!$K$50</f>
        <v>3.9292863396604796</v>
      </c>
      <c r="BD256" s="26">
        <f>$BF$258*'River Crossings'!$K$50</f>
        <v>3.9292863396604796</v>
      </c>
      <c r="BE256" s="26">
        <f>$BF$258*(0.5*'River Crossings'!$K$41+0.5*'River Crossings'!$K$50)</f>
        <v>4.1223867412998274</v>
      </c>
      <c r="BF256" s="26"/>
      <c r="BG256" s="32">
        <f>SUMPRODUCT(AZ$122:BF$122,AZ256:BF256)/BG$122</f>
        <v>4.0574203652522742</v>
      </c>
      <c r="BI256" s="26">
        <f>$BO$258*'River Crossings'!$K$50</f>
        <v>3.9292863396604796</v>
      </c>
      <c r="BJ256" s="26">
        <f>$BO$258*'River Crossings'!$K$50</f>
        <v>3.9292863396604796</v>
      </c>
      <c r="BK256" s="26">
        <f>$BO$258*'River Crossings'!$K$41</f>
        <v>4.3154871429391743</v>
      </c>
      <c r="BL256" s="26">
        <f>$BO$258*'River Crossings'!$K$50</f>
        <v>3.9292863396604796</v>
      </c>
      <c r="BM256" s="26">
        <f>$BO$258*'River Crossings'!$K$50</f>
        <v>3.9292863396604796</v>
      </c>
      <c r="BN256" s="26">
        <f>$BO$258*(0.5*'River Crossings'!$K$41+0.5*'River Crossings'!$K$50)</f>
        <v>4.1223867412998274</v>
      </c>
      <c r="BO256" s="26"/>
      <c r="BP256" s="32">
        <f>SUMPRODUCT(BI$122:BO$122,BI256:BO256)/BP$122</f>
        <v>4.0574203652522751</v>
      </c>
    </row>
    <row r="257" spans="2:68" ht="13.2" customHeight="1">
      <c r="B257" s="308" t="s">
        <v>864</v>
      </c>
      <c r="G257" s="3741"/>
      <c r="H257" s="3742"/>
      <c r="I257" s="3742"/>
      <c r="J257" s="3742"/>
      <c r="K257" s="3742"/>
      <c r="L257" s="3777"/>
      <c r="M257" s="7"/>
      <c r="O257" s="136">
        <f>ROW()</f>
        <v>257</v>
      </c>
      <c r="P257" s="26">
        <f>2*$I$87*'Trip Price'!$N$23</f>
        <v>1.4720046984311637</v>
      </c>
      <c r="Q257" s="26">
        <f>2*$I$87*'Trip Price'!$L$23</f>
        <v>2.9440093968623273</v>
      </c>
      <c r="R257" s="26">
        <f>2*$I$87*'Trip Price'!$L$23</f>
        <v>2.9440093968623273</v>
      </c>
      <c r="S257" s="26">
        <f>2*$I$87*'Trip Price'!$L$23</f>
        <v>2.9440093968623273</v>
      </c>
      <c r="T257" s="26">
        <f>2*$I$87*'Trip Price'!$L$23</f>
        <v>2.9440093968623273</v>
      </c>
      <c r="U257" s="26">
        <f>2*$I$87*'Trip Price'!$L$23</f>
        <v>2.9440093968623273</v>
      </c>
      <c r="V257" s="26"/>
      <c r="W257" s="32">
        <f>SUMPRODUCT(P$122:V$122,P257:V257)/W$122</f>
        <v>2.4893095273716948</v>
      </c>
      <c r="X257" s="3181"/>
      <c r="Y257" s="26">
        <f>2*$J$87*'Trip Price'!$N$23</f>
        <v>1.4720046984311637</v>
      </c>
      <c r="Z257" s="26">
        <f>2*$J$87*'Trip Price'!$L$23</f>
        <v>2.9440093968623273</v>
      </c>
      <c r="AA257" s="26">
        <f>2*$J$87*'Trip Price'!$L$23</f>
        <v>2.9440093968623273</v>
      </c>
      <c r="AB257" s="26">
        <f>2*$J$87*'Trip Price'!$L$23</f>
        <v>2.9440093968623273</v>
      </c>
      <c r="AC257" s="26">
        <f>2*$J$87*'Trip Price'!$L$23</f>
        <v>2.9440093968623273</v>
      </c>
      <c r="AD257" s="26">
        <f>2*$J$87*'Trip Price'!$L$23</f>
        <v>2.9440093968623273</v>
      </c>
      <c r="AE257" s="26"/>
      <c r="AF257" s="32">
        <f>SUMPRODUCT(Y$122:AE$122,Y257:AE257)/AF$122</f>
        <v>2.6786428500188491</v>
      </c>
      <c r="AG257" s="3181"/>
      <c r="AH257" s="26">
        <f>2*$K$87*'Trip Price'!$N$23</f>
        <v>2.1400070476467454</v>
      </c>
      <c r="AI257" s="26">
        <f>2*$K$87*'Trip Price'!$L$23</f>
        <v>4.2800140952934909</v>
      </c>
      <c r="AJ257" s="26">
        <f>2*$K$87*'Trip Price'!$L$23</f>
        <v>4.2800140952934909</v>
      </c>
      <c r="AK257" s="26">
        <f>2*$K$87*'Trip Price'!$L$23</f>
        <v>4.2800140952934909</v>
      </c>
      <c r="AL257" s="26">
        <f>2*$K$87*'Trip Price'!$L$23</f>
        <v>4.2800140952934909</v>
      </c>
      <c r="AM257" s="26">
        <f>2*$K$87*'Trip Price'!$L$23</f>
        <v>4.2800140952934909</v>
      </c>
      <c r="AN257" s="26"/>
      <c r="AO257" s="32">
        <f>SUMPRODUCT(AH$122:AN$122,AH257:AN257)/AO$122</f>
        <v>3.6228398481257518</v>
      </c>
      <c r="AP257" s="3181"/>
      <c r="AQ257" s="3181"/>
      <c r="AR257" s="3181"/>
      <c r="AS257" s="3181"/>
      <c r="AT257" s="3181"/>
      <c r="AU257" s="3181"/>
      <c r="AV257" s="3181"/>
      <c r="AW257" s="3181"/>
      <c r="AX257" s="3181"/>
      <c r="AY257" s="3181"/>
      <c r="AZ257" s="26">
        <f>2*$BF$258*$M$87*'Trip Price'!$N$23</f>
        <v>2.5170630286843063</v>
      </c>
      <c r="BA257" s="26">
        <f>2*$BF$258*$M$87*'Trip Price'!$L$23</f>
        <v>5.0341260573686126</v>
      </c>
      <c r="BB257" s="26">
        <f>2*$BF$258*$M$87*'Trip Price'!$L$23</f>
        <v>5.0341260573686126</v>
      </c>
      <c r="BC257" s="26">
        <f>2*$BF$258*$M$87*'Trip Price'!$L$23</f>
        <v>5.0341260573686126</v>
      </c>
      <c r="BD257" s="26">
        <f>2*$BF$258*$M$87*'Trip Price'!$L$23</f>
        <v>5.0341260573686126</v>
      </c>
      <c r="BE257" s="26">
        <f>2*$BF$258*$M$87*'Trip Price'!$L$23</f>
        <v>5.0341260573686126</v>
      </c>
      <c r="BF257" s="26"/>
      <c r="BG257" s="32">
        <f>SUMPRODUCT(AZ$122:BF$122,AZ257:BF257)/BG$122</f>
        <v>4.4372710116730074</v>
      </c>
      <c r="BH257" s="3181"/>
      <c r="BI257" s="26">
        <f>2*$BO$258*$M$87*'Trip Price'!$N$23</f>
        <v>2.5170630286843063</v>
      </c>
      <c r="BJ257" s="26">
        <f>2*$BO$258*$M$87*'Trip Price'!$L$23</f>
        <v>5.0341260573686126</v>
      </c>
      <c r="BK257" s="26">
        <f>2*$BO$258*$M$87*'Trip Price'!$L$23</f>
        <v>5.0341260573686126</v>
      </c>
      <c r="BL257" s="26">
        <f>2*$BO$258*$M$87*'Trip Price'!$L$23</f>
        <v>5.0341260573686126</v>
      </c>
      <c r="BM257" s="26">
        <f>2*$BO$258*$M$87*'Trip Price'!$L$23</f>
        <v>5.0341260573686126</v>
      </c>
      <c r="BN257" s="26">
        <f>2*$BO$258*$M$87*'Trip Price'!$L$23</f>
        <v>5.0341260573686126</v>
      </c>
      <c r="BO257" s="26"/>
      <c r="BP257" s="32">
        <f>SUMPRODUCT(BI$122:BO$122,BI257:BO257)/BP$122</f>
        <v>4.4372710116730083</v>
      </c>
    </row>
    <row r="258" spans="2:68" ht="13.2" customHeight="1">
      <c r="L258" s="7"/>
      <c r="M258" s="7"/>
      <c r="O258" s="136">
        <f>ROW()</f>
        <v>258</v>
      </c>
      <c r="P258" s="3181"/>
      <c r="Q258" s="3181"/>
      <c r="R258" s="3181"/>
      <c r="S258" s="3181"/>
      <c r="T258" s="3181"/>
      <c r="U258" s="3181"/>
      <c r="V258" s="3181"/>
      <c r="W258" s="7"/>
      <c r="X258" s="3181"/>
      <c r="Y258" s="3181"/>
      <c r="Z258" s="3181"/>
      <c r="AA258" s="3181"/>
      <c r="AB258" s="3181"/>
      <c r="AC258" s="3181"/>
      <c r="AD258" s="3181"/>
      <c r="AE258" s="3181"/>
      <c r="AF258" s="7"/>
      <c r="AG258" s="3181"/>
      <c r="AH258" s="3181"/>
      <c r="AI258" s="3181"/>
      <c r="AJ258" s="3181"/>
      <c r="AK258" s="3181"/>
      <c r="AL258" s="118" t="s">
        <v>2442</v>
      </c>
      <c r="AM258" s="3183">
        <f>1+$I$43</f>
        <v>1.7000000000000002</v>
      </c>
      <c r="AN258" s="3181"/>
      <c r="AO258" s="7"/>
      <c r="AP258" s="3181"/>
      <c r="AQ258" s="3181"/>
      <c r="AR258" s="3181"/>
      <c r="AS258" s="3181"/>
      <c r="AT258" s="3181"/>
      <c r="AU258" s="3181"/>
      <c r="AV258" s="3181"/>
      <c r="AW258" s="3181"/>
      <c r="AX258" s="3181"/>
      <c r="AY258" s="3181"/>
      <c r="AZ258" s="3181"/>
      <c r="BA258" s="3181"/>
      <c r="BB258" s="3181"/>
      <c r="BC258" s="3181"/>
      <c r="BD258" s="3181"/>
      <c r="BE258" s="131" t="s">
        <v>5513</v>
      </c>
      <c r="BF258" s="3181">
        <v>2</v>
      </c>
      <c r="BG258" s="7"/>
      <c r="BH258" s="3181"/>
      <c r="BI258" s="3181"/>
      <c r="BJ258" s="3181"/>
      <c r="BK258" s="3181"/>
      <c r="BL258" s="3181"/>
      <c r="BM258" s="3181"/>
      <c r="BN258" s="131" t="s">
        <v>5255</v>
      </c>
      <c r="BO258" s="3181">
        <f>BF258</f>
        <v>2</v>
      </c>
      <c r="BP258" s="7"/>
    </row>
    <row r="259" spans="2:68" ht="13.2" customHeight="1">
      <c r="B259" s="24" t="s">
        <v>1239</v>
      </c>
      <c r="G259" s="54"/>
      <c r="H259" s="4459" t="str">
        <f>CONCATENATE("Default is CORDON. If only tolling East &amp; Harlem River bridges, type BRIDGES in 'User Inputs' worksheet, Row ",'User Inputs'!N42, ". If only tolling East River bridges, type EAST there.")</f>
        <v>Default is CORDON. If only tolling East &amp; Harlem River bridges, type BRIDGES in 'User Inputs' worksheet, Row 42. If only tolling East River bridges, type EAST there.</v>
      </c>
      <c r="I259" s="4151"/>
      <c r="J259" s="4151"/>
      <c r="K259" s="4152"/>
      <c r="O259" s="136">
        <f>ROW()</f>
        <v>259</v>
      </c>
      <c r="Q259" s="3434"/>
      <c r="R259" s="3435"/>
      <c r="S259" s="3435"/>
      <c r="T259" s="3435"/>
      <c r="U259" s="3435"/>
      <c r="V259" s="3440" t="s">
        <v>5962</v>
      </c>
      <c r="W259" s="3441">
        <f>'Motor Vs'!W259</f>
        <v>380</v>
      </c>
      <c r="AF259" s="7"/>
      <c r="AO259" s="7"/>
      <c r="AR259" s="117"/>
      <c r="BG259" s="7"/>
      <c r="BP259" s="7"/>
    </row>
    <row r="260" spans="2:68" ht="13.2" customHeight="1">
      <c r="B260" s="24"/>
      <c r="G260" s="54"/>
      <c r="H260" s="4153"/>
      <c r="I260" s="3809"/>
      <c r="J260" s="3809"/>
      <c r="K260" s="4154"/>
      <c r="O260" s="136">
        <f>ROW()</f>
        <v>260</v>
      </c>
      <c r="Q260" s="3436"/>
      <c r="R260" s="3437"/>
      <c r="S260" s="3437"/>
      <c r="T260" s="3437"/>
      <c r="U260" s="3437"/>
      <c r="V260" s="3438" t="s">
        <v>5964</v>
      </c>
      <c r="W260" s="3439"/>
      <c r="AF260" s="7"/>
      <c r="AO260" s="7"/>
      <c r="BC260" s="1958"/>
      <c r="BD260" s="1958"/>
      <c r="BE260" s="1958"/>
      <c r="BF260" s="1959" t="s">
        <v>3202</v>
      </c>
      <c r="BG260" s="1963">
        <f>'User Inputs'!J72</f>
        <v>1</v>
      </c>
      <c r="BP260" s="7"/>
    </row>
    <row r="261" spans="2:68" ht="13.2" customHeight="1">
      <c r="B261" s="2" t="s">
        <v>4354</v>
      </c>
      <c r="G261" s="54"/>
      <c r="H261" s="4164"/>
      <c r="I261" s="4165"/>
      <c r="J261" s="4165"/>
      <c r="K261" s="4166"/>
      <c r="O261" s="136">
        <f>ROW()</f>
        <v>261</v>
      </c>
      <c r="W261" s="7"/>
      <c r="AF261" s="7"/>
      <c r="AO261" s="7"/>
      <c r="BC261" s="1958"/>
      <c r="BD261" s="1958"/>
      <c r="BE261" s="1958"/>
      <c r="BF261" s="1960" t="str">
        <f>CONCATENATE("Discount is looked up from 'User Inputs' worksheet, Row ",'User Inputs'!N72, ".")</f>
        <v>Discount is looked up from 'User Inputs' worksheet, Row 72.</v>
      </c>
      <c r="BG261" s="1961"/>
      <c r="BP261" s="7"/>
    </row>
    <row r="262" spans="2:68" ht="13.2" customHeight="1">
      <c r="B262" s="6"/>
      <c r="G262" s="54"/>
      <c r="O262" s="136">
        <f>ROW()</f>
        <v>262</v>
      </c>
      <c r="P262" s="4147" t="s">
        <v>2680</v>
      </c>
      <c r="Q262" s="4147"/>
      <c r="R262" s="4147"/>
      <c r="S262" s="4147"/>
      <c r="T262" s="4147"/>
      <c r="U262" s="4147"/>
      <c r="V262" s="4147"/>
      <c r="W262" s="4147"/>
      <c r="Y262" s="4147" t="s">
        <v>2681</v>
      </c>
      <c r="Z262" s="4147"/>
      <c r="AA262" s="4147"/>
      <c r="AB262" s="4147"/>
      <c r="AC262" s="4147"/>
      <c r="AD262" s="4147"/>
      <c r="AE262" s="4147"/>
      <c r="AF262" s="4147"/>
      <c r="AH262" s="4263" t="s">
        <v>5482</v>
      </c>
      <c r="AI262" s="4264"/>
      <c r="AJ262" s="4264"/>
      <c r="AK262" s="4264"/>
      <c r="AL262" s="4264"/>
      <c r="AM262" s="4264"/>
      <c r="AN262" s="4264"/>
      <c r="AO262" s="4264"/>
      <c r="AQ262" s="4147" t="s">
        <v>713</v>
      </c>
      <c r="AR262" s="4147"/>
      <c r="AS262" s="4147"/>
      <c r="AT262" s="4147"/>
      <c r="AU262" s="4147"/>
      <c r="AV262" s="4147"/>
      <c r="AW262" s="4147"/>
      <c r="AX262" s="4147"/>
      <c r="AZ262" s="4147" t="s">
        <v>460</v>
      </c>
      <c r="BA262" s="4147"/>
      <c r="BB262" s="4147"/>
      <c r="BC262" s="4147"/>
      <c r="BD262" s="4147"/>
      <c r="BE262" s="4147"/>
      <c r="BF262" s="4147"/>
      <c r="BG262" s="4147"/>
      <c r="BI262" s="4147" t="s">
        <v>849</v>
      </c>
      <c r="BJ262" s="4147"/>
      <c r="BK262" s="4147"/>
      <c r="BL262" s="4147"/>
      <c r="BM262" s="4147"/>
      <c r="BN262" s="4147"/>
      <c r="BO262" s="4147"/>
      <c r="BP262" s="4147"/>
    </row>
    <row r="263" spans="2:68" ht="13.2" customHeight="1">
      <c r="B263" s="4247" t="s">
        <v>5618</v>
      </c>
      <c r="C263" s="4247"/>
      <c r="D263" s="4247"/>
      <c r="E263" s="4247"/>
      <c r="F263" s="4247"/>
      <c r="G263" s="4247"/>
      <c r="H263" s="4247"/>
      <c r="I263" s="4247"/>
      <c r="J263" s="4247"/>
      <c r="K263" s="4247"/>
      <c r="O263" s="136">
        <f>ROW()</f>
        <v>263</v>
      </c>
      <c r="W263" s="7"/>
      <c r="AF263" s="7"/>
      <c r="AO263" s="7"/>
      <c r="AR263" s="117"/>
      <c r="BG263" s="7"/>
      <c r="BP263" s="7"/>
    </row>
    <row r="264" spans="2:68" ht="13.2" customHeight="1">
      <c r="B264" s="4247"/>
      <c r="C264" s="4247"/>
      <c r="D264" s="4247"/>
      <c r="E264" s="4247"/>
      <c r="F264" s="4247"/>
      <c r="G264" s="4247"/>
      <c r="H264" s="4247"/>
      <c r="I264" s="4247"/>
      <c r="J264" s="4247"/>
      <c r="K264" s="4247"/>
      <c r="L264" s="4460" t="s">
        <v>2044</v>
      </c>
      <c r="N264" s="2724" t="s">
        <v>4646</v>
      </c>
      <c r="O264" s="136">
        <f>ROW()</f>
        <v>264</v>
      </c>
      <c r="P264" s="591">
        <f>VLOOKUP('Weekend Hours'!$H31,'Weekend Hours'!$G$3:$H$7,2)</f>
        <v>5</v>
      </c>
      <c r="Q264" s="591">
        <f>VLOOKUP('Weekend Hours'!$H41,'Weekend Hours'!$G$3:$H$7,2)</f>
        <v>5</v>
      </c>
      <c r="R264" s="591">
        <f>VLOOKUP('Weekend Hours'!$H43,'Weekend Hours'!$G$3:$H$7,2)</f>
        <v>5</v>
      </c>
      <c r="S264" s="591">
        <f>VLOOKUP('Weekend Hours'!$H48,'Weekend Hours'!$G$3:$H$7,2)</f>
        <v>5</v>
      </c>
      <c r="T264" s="591">
        <f>VLOOKUP('Weekend Hours'!$H51,'Weekend Hours'!$G$3:$H$7,2)</f>
        <v>5</v>
      </c>
      <c r="U264" s="591">
        <f>VLOOKUP('Weekend Hours'!$H53,'Weekend Hours'!$G$3:$H$7,2)</f>
        <v>5</v>
      </c>
      <c r="V264" s="591"/>
      <c r="W264" s="591">
        <f>SUMPRODUCT(P$122:V$122,P$264:V$264)/W$122</f>
        <v>5</v>
      </c>
      <c r="Y264" s="591">
        <f>VLOOKUP('Weekend Hours'!$H31,'Weekend Hours'!$G$3:$H$7,2)</f>
        <v>5</v>
      </c>
      <c r="Z264" s="591">
        <f>VLOOKUP('Weekend Hours'!$H41,'Weekend Hours'!$G$3:$H$7,2)</f>
        <v>5</v>
      </c>
      <c r="AA264" s="591">
        <f>VLOOKUP('Weekend Hours'!$H43,'Weekend Hours'!$G$3:$H$7,2)</f>
        <v>5</v>
      </c>
      <c r="AB264" s="591">
        <f>VLOOKUP('Weekend Hours'!$H48,'Weekend Hours'!$G$3:$H$7,2)</f>
        <v>5</v>
      </c>
      <c r="AC264" s="591">
        <f>VLOOKUP('Weekend Hours'!$H51,'Weekend Hours'!$G$3:$H$7,2)</f>
        <v>5</v>
      </c>
      <c r="AD264" s="591">
        <f>VLOOKUP('Weekend Hours'!$H53,'Weekend Hours'!$G$3:$H$7,2)</f>
        <v>5</v>
      </c>
      <c r="AE264" s="591"/>
      <c r="AF264" s="591">
        <f>SUMPRODUCT(Y$122:AE$122,Y$264:AE$264)/AF$122</f>
        <v>5</v>
      </c>
      <c r="AH264" s="591">
        <f>VLOOKUP('Weekend Hours'!$H31,'Weekend Hours'!$G$3:$H$7,2)*IF($AL$267="YES",(1+$I$43),1)</f>
        <v>8.5</v>
      </c>
      <c r="AI264" s="591">
        <f>VLOOKUP('Weekend Hours'!$H41,'Weekend Hours'!$G$3:$H$7,2)*IF($AL$267="YES",(1+$I$43),1)</f>
        <v>8.5</v>
      </c>
      <c r="AJ264" s="591">
        <f>VLOOKUP('Weekend Hours'!$H43,'Weekend Hours'!$G$3:$H$7,2)*IF($AL$267="YES",(1+$I$43),1)</f>
        <v>8.5</v>
      </c>
      <c r="AK264" s="591">
        <f>VLOOKUP('Weekend Hours'!$H48,'Weekend Hours'!$G$3:$H$7,2)*IF($AL$267="YES",(1+$I$43),1)</f>
        <v>8.5</v>
      </c>
      <c r="AL264" s="591">
        <f>VLOOKUP('Weekend Hours'!$H51,'Weekend Hours'!$G$3:$H$7,2)*IF($AL$267="YES",(1+$I$43),1)</f>
        <v>8.5</v>
      </c>
      <c r="AM264" s="591">
        <f>VLOOKUP('Weekend Hours'!$H53,'Weekend Hours'!$G$3:$H$7,2)*IF($AL$267="YES",(1+$I$43),1)</f>
        <v>8.5</v>
      </c>
      <c r="AN264" s="591"/>
      <c r="AO264" s="591">
        <f>SUMPRODUCT(AH$122:AN$122,AH$264:AN$264)/AO$122</f>
        <v>8.5</v>
      </c>
      <c r="AR264" s="117"/>
      <c r="AZ264" s="591">
        <f>'User Inputs'!$J$69*VLOOKUP('Weekend Hours'!$H31,'Weekend Hours'!$G$3:$H$7,2)*(1+$M78)</f>
        <v>9.4562647754137128</v>
      </c>
      <c r="BA264" s="591">
        <f>'User Inputs'!$J$69*VLOOKUP('Weekend Hours'!$H41,'Weekend Hours'!$G$3:$H$7,2)*(1+$M78)</f>
        <v>9.4562647754137128</v>
      </c>
      <c r="BB264" s="591">
        <f>'User Inputs'!$J$69*VLOOKUP('Weekend Hours'!$H43,'Weekend Hours'!$G$3:$H$7,2)*(1+$M78)</f>
        <v>9.4562647754137128</v>
      </c>
      <c r="BC264" s="591">
        <f>'User Inputs'!$J$69*VLOOKUP('Weekend Hours'!$H48,'Weekend Hours'!$G$3:$H$7,2)*(1+$M78)</f>
        <v>9.4562647754137128</v>
      </c>
      <c r="BD264" s="591">
        <f>'User Inputs'!$J$69*VLOOKUP('Weekend Hours'!$H51,'Weekend Hours'!$G$3:$H$7,2)*(1+$M78)</f>
        <v>9.4562647754137128</v>
      </c>
      <c r="BE264" s="591">
        <f>'User Inputs'!$J$69*VLOOKUP('Weekend Hours'!$H53,'Weekend Hours'!$G$3:$H$7,2)*(1+$M78)</f>
        <v>9.4562647754137128</v>
      </c>
      <c r="BF264" s="591"/>
      <c r="BG264" s="591">
        <f>SUMPRODUCT(AZ$122:BF$122,AZ$264:BF$264)/BG$122</f>
        <v>9.456264775413711</v>
      </c>
      <c r="BI264" s="591">
        <f>'User Inputs'!$J$69*VLOOKUP('Weekend Hours'!$H31,'Weekend Hours'!$G$3:$H$7,2)*(1+$N78)</f>
        <v>8.4112149532710276</v>
      </c>
      <c r="BJ264" s="591">
        <f>'User Inputs'!$J$69*VLOOKUP('Weekend Hours'!$H41,'Weekend Hours'!$G$3:$H$7,2)*(1+$N78)</f>
        <v>8.4112149532710276</v>
      </c>
      <c r="BK264" s="591">
        <f>'User Inputs'!$J$69*VLOOKUP('Weekend Hours'!$H43,'Weekend Hours'!$G$3:$H$7,2)*(1+$N78)</f>
        <v>8.4112149532710276</v>
      </c>
      <c r="BL264" s="591">
        <f>'User Inputs'!$J$69*VLOOKUP('Weekend Hours'!$H48,'Weekend Hours'!$G$3:$H$7,2)*(1+$N78)</f>
        <v>8.4112149532710276</v>
      </c>
      <c r="BM264" s="591">
        <f>'User Inputs'!$J$69*VLOOKUP('Weekend Hours'!$H51,'Weekend Hours'!$G$3:$H$7,2)*(1+$N78)</f>
        <v>8.4112149532710276</v>
      </c>
      <c r="BN264" s="591">
        <f>'User Inputs'!$J$69*VLOOKUP('Weekend Hours'!$H53,'Weekend Hours'!$G$3:$H$7,2)*(1+$N78)</f>
        <v>8.4112149532710276</v>
      </c>
      <c r="BO264" s="591"/>
      <c r="BP264" s="591">
        <f>SUMPRODUCT(BI$122:BO$122,BI$264:BO$264)/BP$122</f>
        <v>8.4112149532710276</v>
      </c>
    </row>
    <row r="265" spans="2:68" ht="13.2" customHeight="1">
      <c r="L265" s="4461"/>
      <c r="O265" s="136">
        <f>ROW()</f>
        <v>265</v>
      </c>
      <c r="P265" s="4347" t="s">
        <v>398</v>
      </c>
      <c r="Q265" s="4347"/>
      <c r="R265" s="4347"/>
      <c r="S265" s="4347"/>
      <c r="T265" s="4347"/>
      <c r="U265" s="4347"/>
      <c r="W265" s="7"/>
      <c r="Y265" s="4347" t="s">
        <v>398</v>
      </c>
      <c r="Z265" s="4347"/>
      <c r="AA265" s="4347"/>
      <c r="AB265" s="4347"/>
      <c r="AC265" s="4347"/>
      <c r="AD265" s="4347"/>
      <c r="AF265" s="7"/>
      <c r="AH265" s="4406" t="str">
        <f>CONCATENATE("Tolls shown above are literally 'looked up' from toll schedule in by Hour worksheet and are then 'marked up' by ",I43*100, "%, per Cell I",O43, ", to reflect share of through-entries that will pay second cordon toll when their return leg re-enters cordon.")</f>
        <v>Tolls shown above are literally 'looked up' from toll schedule in by Hour worksheet and are then 'marked up' by 70%, per Cell I43, to reflect share of through-entries that will pay second cordon toll when their return leg re-enters cordon.</v>
      </c>
      <c r="AI265" s="3833"/>
      <c r="AJ265" s="3833"/>
      <c r="AK265" s="3833"/>
      <c r="AL265" s="3833"/>
      <c r="AM265" s="3833"/>
      <c r="AN265" s="3833"/>
      <c r="AO265" s="7"/>
      <c r="AZ265" s="2927" t="s">
        <v>4980</v>
      </c>
      <c r="BG265" s="7"/>
      <c r="BI265" s="2927" t="s">
        <v>4981</v>
      </c>
      <c r="BP265" s="7"/>
    </row>
    <row r="266" spans="2:68" ht="13.2" customHeight="1">
      <c r="B266" s="2060" t="s">
        <v>3339</v>
      </c>
      <c r="C266" s="50"/>
      <c r="D266" s="50"/>
      <c r="E266" s="50"/>
      <c r="F266" s="50"/>
      <c r="G266" s="50"/>
      <c r="L266" s="2723" t="str">
        <f>'User Inputs'!J42</f>
        <v>CORDON</v>
      </c>
      <c r="N266" s="4320" t="s">
        <v>4647</v>
      </c>
      <c r="O266" s="136">
        <f>ROW()</f>
        <v>266</v>
      </c>
      <c r="P266" s="3433"/>
      <c r="W266" s="7"/>
      <c r="AF266" s="7"/>
      <c r="AH266" s="3833"/>
      <c r="AI266" s="3833"/>
      <c r="AJ266" s="3833"/>
      <c r="AK266" s="3833"/>
      <c r="AL266" s="3833"/>
      <c r="AM266" s="3833"/>
      <c r="AN266" s="3833"/>
      <c r="AO266" s="7"/>
      <c r="AZ266" s="1955"/>
      <c r="BA266" s="1955"/>
      <c r="BB266" s="1955"/>
      <c r="BC266" s="1955"/>
      <c r="BD266" s="1955"/>
      <c r="BE266" s="1955"/>
      <c r="BF266" s="1956" t="s">
        <v>3200</v>
      </c>
      <c r="BG266" s="1962">
        <v>0.05</v>
      </c>
      <c r="BP266" s="7"/>
    </row>
    <row r="267" spans="2:68" ht="13.2" customHeight="1">
      <c r="G267" s="4101" t="s">
        <v>421</v>
      </c>
      <c r="H267" s="3659"/>
      <c r="I267" s="3659"/>
      <c r="J267" s="3659"/>
      <c r="K267" s="3659"/>
      <c r="N267" s="3813"/>
      <c r="O267" s="136">
        <f>ROW()</f>
        <v>267</v>
      </c>
      <c r="AH267" s="2630"/>
      <c r="AI267" s="2631"/>
      <c r="AJ267" s="2631"/>
      <c r="AK267" s="2632" t="s">
        <v>4590</v>
      </c>
      <c r="AL267" s="2633" t="s">
        <v>2129</v>
      </c>
      <c r="AZ267" s="1955"/>
      <c r="BA267" s="1955"/>
      <c r="BB267" s="1955"/>
      <c r="BC267" s="1955"/>
      <c r="BD267" s="1955"/>
      <c r="BE267" s="1955"/>
      <c r="BF267" s="1957" t="s">
        <v>3201</v>
      </c>
      <c r="BG267" s="1955"/>
    </row>
    <row r="268" spans="2:68" ht="13.2" customHeight="1">
      <c r="B268" s="308" t="s">
        <v>2045</v>
      </c>
      <c r="G268" s="3659"/>
      <c r="H268" s="3659"/>
      <c r="I268" s="3659"/>
      <c r="J268" s="3659"/>
      <c r="K268" s="3659"/>
      <c r="L268" s="258">
        <f>IF($L$266="CORDON", 1, IF($L$266="BRIDGES", 'River Crossings'!$L$22, 'River Crossings'!$L$11))</f>
        <v>1</v>
      </c>
      <c r="N268" s="3813"/>
      <c r="O268" s="136">
        <f>ROW()</f>
        <v>268</v>
      </c>
      <c r="P268" s="2291">
        <f t="shared" ref="P268:U268" si="200">P264*$L$268</f>
        <v>5</v>
      </c>
      <c r="Q268" s="2291">
        <f t="shared" si="200"/>
        <v>5</v>
      </c>
      <c r="R268" s="2291">
        <f t="shared" si="200"/>
        <v>5</v>
      </c>
      <c r="S268" s="2291">
        <f t="shared" si="200"/>
        <v>5</v>
      </c>
      <c r="T268" s="2291">
        <f t="shared" si="200"/>
        <v>5</v>
      </c>
      <c r="U268" s="2291">
        <f t="shared" si="200"/>
        <v>5</v>
      </c>
      <c r="W268" s="591">
        <f>SUMPRODUCT(P$122:V$122,P$268:V$268)/W$122</f>
        <v>5</v>
      </c>
      <c r="Y268" s="2291">
        <f t="shared" ref="Y268:AD268" si="201">Y264*$L$268</f>
        <v>5</v>
      </c>
      <c r="Z268" s="2291">
        <f t="shared" si="201"/>
        <v>5</v>
      </c>
      <c r="AA268" s="2291">
        <f t="shared" si="201"/>
        <v>5</v>
      </c>
      <c r="AB268" s="2291">
        <f t="shared" si="201"/>
        <v>5</v>
      </c>
      <c r="AC268" s="2291">
        <f t="shared" si="201"/>
        <v>5</v>
      </c>
      <c r="AD268" s="2291">
        <f t="shared" si="201"/>
        <v>5</v>
      </c>
      <c r="AF268" s="7"/>
      <c r="AH268" s="2291">
        <f t="shared" ref="AH268:AM268" si="202">AH264*$L$268</f>
        <v>8.5</v>
      </c>
      <c r="AI268" s="2291">
        <f t="shared" si="202"/>
        <v>8.5</v>
      </c>
      <c r="AJ268" s="2291">
        <f t="shared" si="202"/>
        <v>8.5</v>
      </c>
      <c r="AK268" s="2291">
        <f t="shared" si="202"/>
        <v>8.5</v>
      </c>
      <c r="AL268" s="2291">
        <f t="shared" si="202"/>
        <v>8.5</v>
      </c>
      <c r="AM268" s="2291">
        <f t="shared" si="202"/>
        <v>8.5</v>
      </c>
      <c r="AO268" s="7"/>
      <c r="AQ268" s="117"/>
      <c r="AR268" s="117"/>
      <c r="AZ268" s="2291">
        <f t="shared" ref="AZ268:BE268" si="203">AZ264*$L$268</f>
        <v>9.4562647754137128</v>
      </c>
      <c r="BA268" s="2291">
        <f t="shared" si="203"/>
        <v>9.4562647754137128</v>
      </c>
      <c r="BB268" s="2291">
        <f t="shared" si="203"/>
        <v>9.4562647754137128</v>
      </c>
      <c r="BC268" s="2291">
        <f t="shared" si="203"/>
        <v>9.4562647754137128</v>
      </c>
      <c r="BD268" s="2291">
        <f t="shared" si="203"/>
        <v>9.4562647754137128</v>
      </c>
      <c r="BE268" s="2291">
        <f t="shared" si="203"/>
        <v>9.4562647754137128</v>
      </c>
      <c r="BI268" s="2291">
        <f t="shared" ref="BI268:BN268" si="204">BI264*$L$268</f>
        <v>8.4112149532710276</v>
      </c>
      <c r="BJ268" s="2291">
        <f t="shared" si="204"/>
        <v>8.4112149532710276</v>
      </c>
      <c r="BK268" s="2291">
        <f t="shared" si="204"/>
        <v>8.4112149532710276</v>
      </c>
      <c r="BL268" s="2291">
        <f t="shared" si="204"/>
        <v>8.4112149532710276</v>
      </c>
      <c r="BM268" s="2291">
        <f t="shared" si="204"/>
        <v>8.4112149532710276</v>
      </c>
      <c r="BN268" s="2291">
        <f t="shared" si="204"/>
        <v>8.4112149532710276</v>
      </c>
      <c r="BP268" s="7"/>
    </row>
    <row r="269" spans="2:68" ht="13.2" customHeight="1">
      <c r="B269" s="308"/>
      <c r="G269" s="217"/>
      <c r="H269" s="217"/>
      <c r="I269" s="217"/>
      <c r="J269" s="217"/>
      <c r="K269" s="217"/>
      <c r="M269" s="2068"/>
      <c r="O269" s="136">
        <f>ROW()</f>
        <v>269</v>
      </c>
      <c r="W269" s="7"/>
      <c r="AF269" s="7"/>
      <c r="AO269" s="7"/>
      <c r="AQ269" s="117"/>
      <c r="AR269" s="117"/>
      <c r="BP269" s="7"/>
    </row>
    <row r="270" spans="2:68" ht="13.2" customHeight="1">
      <c r="B270" s="1688" t="s">
        <v>2853</v>
      </c>
      <c r="C270" s="1516"/>
      <c r="D270" s="1516"/>
      <c r="E270" s="1516"/>
      <c r="F270" s="1516"/>
      <c r="G270" s="2718"/>
      <c r="H270" s="2718"/>
      <c r="I270" s="2718"/>
      <c r="J270" s="2718"/>
      <c r="K270" s="2718"/>
      <c r="L270" s="2719" t="str">
        <f>CONCATENATE("Default is INCREMENT. If new toll replaces old, type REPLACE in Row ",'User Inputs'!N50, " of User Inputs wksht.")</f>
        <v>Default is INCREMENT. If new toll replaces old, type REPLACE in Row 50 of User Inputs wksht.</v>
      </c>
      <c r="O270" s="136">
        <f>ROW()</f>
        <v>270</v>
      </c>
      <c r="P270" s="591">
        <f t="shared" ref="P270:U270" si="205">IF($L$271="REPLACE",MAX(P268-P256,0),P268)</f>
        <v>5</v>
      </c>
      <c r="Q270" s="591">
        <f t="shared" si="205"/>
        <v>5</v>
      </c>
      <c r="R270" s="591">
        <f t="shared" si="205"/>
        <v>5</v>
      </c>
      <c r="S270" s="591">
        <f t="shared" si="205"/>
        <v>5</v>
      </c>
      <c r="T270" s="591">
        <f t="shared" si="205"/>
        <v>5</v>
      </c>
      <c r="U270" s="591">
        <f t="shared" si="205"/>
        <v>5</v>
      </c>
      <c r="V270" s="591"/>
      <c r="W270" s="591">
        <f>SUMPRODUCT(P$122:V$122,P$270:V$270)/W$122</f>
        <v>5</v>
      </c>
      <c r="X270" s="591"/>
      <c r="Y270" s="591">
        <f t="shared" ref="Y270:AD270" si="206">IF($L$271="REPLACE",MAX(Y268-Y256,0),Y268)</f>
        <v>5</v>
      </c>
      <c r="Z270" s="591">
        <f t="shared" si="206"/>
        <v>5</v>
      </c>
      <c r="AA270" s="591">
        <f t="shared" si="206"/>
        <v>5</v>
      </c>
      <c r="AB270" s="591">
        <f t="shared" si="206"/>
        <v>5</v>
      </c>
      <c r="AC270" s="591">
        <f t="shared" si="206"/>
        <v>5</v>
      </c>
      <c r="AD270" s="591">
        <f t="shared" si="206"/>
        <v>5</v>
      </c>
      <c r="AE270" s="591"/>
      <c r="AF270" s="591">
        <f>SUMPRODUCT(Y$122:AE$122,Y$270:AE$270)/AF$122</f>
        <v>5</v>
      </c>
      <c r="AH270" s="591">
        <f t="shared" ref="AH270:AM270" si="207">IF($L$271="REPLACE",MAX(AH268-AH256,0),AH268)</f>
        <v>8.5</v>
      </c>
      <c r="AI270" s="591">
        <f t="shared" si="207"/>
        <v>8.5</v>
      </c>
      <c r="AJ270" s="591">
        <f t="shared" si="207"/>
        <v>8.5</v>
      </c>
      <c r="AK270" s="591">
        <f t="shared" si="207"/>
        <v>8.5</v>
      </c>
      <c r="AL270" s="591">
        <f t="shared" si="207"/>
        <v>8.5</v>
      </c>
      <c r="AM270" s="591">
        <f t="shared" si="207"/>
        <v>8.5</v>
      </c>
      <c r="AN270" s="591"/>
      <c r="AO270" s="591">
        <f>SUMPRODUCT(AH$122:AN$122,AH$270:AN$270)/AO$122</f>
        <v>8.5</v>
      </c>
      <c r="AQ270" s="117"/>
      <c r="AR270" s="117"/>
      <c r="AY270" s="591"/>
      <c r="AZ270" s="591">
        <f t="shared" ref="AZ270:BE270" si="208">IF($L$271="REPLACE",MAX(AZ268-AZ256,0),AZ268)</f>
        <v>9.4562647754137128</v>
      </c>
      <c r="BA270" s="591">
        <f t="shared" si="208"/>
        <v>9.4562647754137128</v>
      </c>
      <c r="BB270" s="591">
        <f t="shared" si="208"/>
        <v>9.4562647754137128</v>
      </c>
      <c r="BC270" s="591">
        <f t="shared" si="208"/>
        <v>9.4562647754137128</v>
      </c>
      <c r="BD270" s="591">
        <f t="shared" si="208"/>
        <v>9.4562647754137128</v>
      </c>
      <c r="BE270" s="591">
        <f t="shared" si="208"/>
        <v>9.4562647754137128</v>
      </c>
      <c r="BF270" s="591"/>
      <c r="BG270" s="591">
        <f>SUMPRODUCT(AZ$122:BF$122,AZ$270:BF$270)/BG$122</f>
        <v>9.456264775413711</v>
      </c>
      <c r="BH270" s="591"/>
      <c r="BI270" s="591">
        <f t="shared" ref="BI270:BN270" si="209">IF($L$271="REPLACE",MAX(BI268-BI256,0),BI268)</f>
        <v>8.4112149532710276</v>
      </c>
      <c r="BJ270" s="591">
        <f t="shared" si="209"/>
        <v>8.4112149532710276</v>
      </c>
      <c r="BK270" s="591">
        <f t="shared" si="209"/>
        <v>8.4112149532710276</v>
      </c>
      <c r="BL270" s="591">
        <f t="shared" si="209"/>
        <v>8.4112149532710276</v>
      </c>
      <c r="BM270" s="591">
        <f t="shared" si="209"/>
        <v>8.4112149532710276</v>
      </c>
      <c r="BN270" s="591">
        <f t="shared" si="209"/>
        <v>8.4112149532710276</v>
      </c>
      <c r="BO270" s="591"/>
      <c r="BP270" s="591">
        <f>SUMPRODUCT(BI$122:BO$122,BI$270:BO$270)/BP$122</f>
        <v>8.4112149532710276</v>
      </c>
    </row>
    <row r="271" spans="2:68" ht="13.2" customHeight="1">
      <c r="B271" s="309"/>
      <c r="J271" s="2720"/>
      <c r="K271" s="2721" t="s">
        <v>4645</v>
      </c>
      <c r="L271" s="2722" t="str">
        <f>'User Inputs'!J50</f>
        <v>INCREMENT</v>
      </c>
      <c r="O271" s="136">
        <f>ROW()</f>
        <v>271</v>
      </c>
      <c r="AQ271" s="117"/>
      <c r="AR271" s="117"/>
    </row>
    <row r="272" spans="2:68" s="3495" customFormat="1" ht="13.2" customHeight="1">
      <c r="B272" s="518" t="s">
        <v>6098</v>
      </c>
      <c r="J272" s="3502"/>
      <c r="K272" s="3503"/>
      <c r="L272" s="1794"/>
      <c r="O272" s="136">
        <f>ROW()</f>
        <v>272</v>
      </c>
      <c r="P272" s="716">
        <f>PA_Offpeak_Toll_EZPass</f>
        <v>7.5</v>
      </c>
      <c r="Q272" s="716">
        <f>1/2*PA_Offpeak_Toll_EZPass+1/2*PA_Peak_Toll_EZPass</f>
        <v>8.5</v>
      </c>
      <c r="R272" s="716">
        <f>PA_Peak_Toll_EZPass</f>
        <v>9.5</v>
      </c>
      <c r="S272" s="716">
        <f>PA_Peak_Toll_EZPass</f>
        <v>9.5</v>
      </c>
      <c r="T272" s="716">
        <f>1/2*PA_Offpeak_Toll_EZPass+1/2*PA_Peak_Toll_EZPass</f>
        <v>8.5</v>
      </c>
      <c r="U272" s="716">
        <f>PA_Offpeak_Toll_EZPass</f>
        <v>7.5</v>
      </c>
      <c r="W272" s="590">
        <f>SUMPRODUCT(P$122:V$122,P272:V272)/W$122</f>
        <v>8.5246889324440644</v>
      </c>
      <c r="Y272" s="716">
        <f>PA_Offpeak_Toll_EZPass</f>
        <v>7.5</v>
      </c>
      <c r="Z272" s="716">
        <f>1/2*PA_Offpeak_Toll_EZPass+1/2*PA_Peak_Toll_EZPass</f>
        <v>8.5</v>
      </c>
      <c r="AA272" s="716">
        <f>PA_Peak_Toll_EZPass</f>
        <v>9.5</v>
      </c>
      <c r="AB272" s="716">
        <f>PA_Peak_Toll_EZPass</f>
        <v>9.5</v>
      </c>
      <c r="AC272" s="716">
        <f>1/2*PA_Offpeak_Toll_EZPass+1/2*PA_Peak_Toll_EZPass</f>
        <v>8.5</v>
      </c>
      <c r="AD272" s="716">
        <f>PA_Offpeak_Toll_EZPass</f>
        <v>7.5</v>
      </c>
      <c r="AF272" s="590">
        <f>SUMPRODUCT(Y$122:AE$122,Y272:AE272)/AF$122</f>
        <v>8.7568440918059434</v>
      </c>
      <c r="AH272" s="716">
        <f t="shared" ref="AH272:AM272" si="210">P272*(1+$I$43)</f>
        <v>12.750000000000002</v>
      </c>
      <c r="AI272" s="716">
        <f t="shared" si="210"/>
        <v>14.450000000000001</v>
      </c>
      <c r="AJ272" s="716">
        <f t="shared" si="210"/>
        <v>16.150000000000002</v>
      </c>
      <c r="AK272" s="716">
        <f t="shared" si="210"/>
        <v>16.150000000000002</v>
      </c>
      <c r="AL272" s="716">
        <f t="shared" si="210"/>
        <v>14.450000000000001</v>
      </c>
      <c r="AM272" s="716">
        <f t="shared" si="210"/>
        <v>12.750000000000002</v>
      </c>
      <c r="AO272" s="590">
        <f>SUMPRODUCT(AH$122:AN$122,AH272:AN272)/AO$122</f>
        <v>14.491466998947226</v>
      </c>
      <c r="AQ272" s="117"/>
      <c r="AR272" s="117"/>
      <c r="AZ272" s="716">
        <f>PA_Offpeak_Toll_EZPass*(1+$M$78)*'User Inputs'!$J$69</f>
        <v>14.184397163120572</v>
      </c>
      <c r="BA272" s="716">
        <f>(1/2*PA_Offpeak_Toll_EZPass+1/2*PA_Peak_Toll_EZPass)*(1+$M$78)*'User Inputs'!$J$69</f>
        <v>16.07565011820331</v>
      </c>
      <c r="BB272" s="716">
        <f>PA_Peak_Toll_EZPass*(1+$M$78)*'User Inputs'!$J$69</f>
        <v>17.966903073286055</v>
      </c>
      <c r="BC272" s="716">
        <f>PA_Peak_Toll_EZPass*(1+$M$78)*'User Inputs'!$J$69</f>
        <v>17.966903073286055</v>
      </c>
      <c r="BD272" s="716">
        <f>(1/2*PA_Offpeak_Toll_EZPass+1/2*PA_Peak_Toll_EZPass)*(1+$M$78)*'User Inputs'!$J$69</f>
        <v>16.07565011820331</v>
      </c>
      <c r="BE272" s="716">
        <f>PA_Offpeak_Toll_EZPass*(1+$M$78)*'User Inputs'!$J$69</f>
        <v>14.184397163120572</v>
      </c>
      <c r="BG272" s="590">
        <f>SUMPRODUCT(AZ$122:BF$122,AZ272:BF272)/BG$122</f>
        <v>16.365594062347345</v>
      </c>
      <c r="BI272" s="716">
        <f>PA_Offpeak_Toll_EZPass*(1+$N$78)*'User Inputs'!$J$69</f>
        <v>12.616822429906541</v>
      </c>
      <c r="BJ272" s="716">
        <f>(1/2*PA_Offpeak_Toll_EZPass+1/2*PA_Peak_Toll_EZPass)*(1+$N$78)*'User Inputs'!$J$69</f>
        <v>14.299065420560749</v>
      </c>
      <c r="BK272" s="716">
        <f>PA_Peak_Toll_EZPass*(1+$N$78)*'User Inputs'!$J$69</f>
        <v>15.981308411214952</v>
      </c>
      <c r="BL272" s="716">
        <f>PA_Peak_Toll_EZPass*(1+$N$78)*'User Inputs'!$J$69</f>
        <v>15.981308411214952</v>
      </c>
      <c r="BM272" s="716">
        <f>(1/2*PA_Offpeak_Toll_EZPass+1/2*PA_Peak_Toll_EZPass)*(1+$N$78)*'User Inputs'!$J$69</f>
        <v>14.299065420560749</v>
      </c>
      <c r="BN272" s="716">
        <f>PA_Offpeak_Toll_EZPass*(1+$N$78)*'User Inputs'!$J$69</f>
        <v>12.616822429906541</v>
      </c>
      <c r="BP272" s="590">
        <f>SUMPRODUCT(BI$122:BO$122,BI272:BO272)/BP$122</f>
        <v>14.556966494242134</v>
      </c>
    </row>
    <row r="273" spans="1:68" s="3495" customFormat="1" ht="13.2" customHeight="1">
      <c r="J273" s="3502"/>
      <c r="K273" s="3503"/>
      <c r="L273" s="1794"/>
      <c r="O273" s="136">
        <f>ROW()</f>
        <v>273</v>
      </c>
      <c r="AQ273" s="117"/>
      <c r="AR273" s="117"/>
    </row>
    <row r="274" spans="1:68" s="3495" customFormat="1" ht="13.2" customHeight="1">
      <c r="B274" s="518" t="s">
        <v>6102</v>
      </c>
      <c r="J274" s="3502"/>
      <c r="K274" s="3503"/>
      <c r="L274" s="1794"/>
      <c r="O274" s="136">
        <f>ROW()</f>
        <v>274</v>
      </c>
      <c r="P274" s="26">
        <f t="shared" ref="P274:U274" si="211">MAX(0,P270-P272)</f>
        <v>0</v>
      </c>
      <c r="Q274" s="26">
        <f t="shared" si="211"/>
        <v>0</v>
      </c>
      <c r="R274" s="26">
        <f t="shared" si="211"/>
        <v>0</v>
      </c>
      <c r="S274" s="26">
        <f t="shared" si="211"/>
        <v>0</v>
      </c>
      <c r="T274" s="26">
        <f t="shared" si="211"/>
        <v>0</v>
      </c>
      <c r="U274" s="26">
        <f t="shared" si="211"/>
        <v>0</v>
      </c>
      <c r="W274" s="590">
        <f>SUMPRODUCT(P$122:V$122,P274:V274)/W$122</f>
        <v>0</v>
      </c>
      <c r="Y274" s="26">
        <f t="shared" ref="Y274:AD274" si="212">MAX(0,Y270-Y272)</f>
        <v>0</v>
      </c>
      <c r="Z274" s="26">
        <f t="shared" si="212"/>
        <v>0</v>
      </c>
      <c r="AA274" s="26">
        <f t="shared" si="212"/>
        <v>0</v>
      </c>
      <c r="AB274" s="26">
        <f t="shared" si="212"/>
        <v>0</v>
      </c>
      <c r="AC274" s="26">
        <f t="shared" si="212"/>
        <v>0</v>
      </c>
      <c r="AD274" s="26">
        <f t="shared" si="212"/>
        <v>0</v>
      </c>
      <c r="AF274" s="590">
        <f>SUMPRODUCT(Y$122:AE$122,Y274:AE274)/AF$122</f>
        <v>0</v>
      </c>
      <c r="AH274" s="26">
        <f t="shared" ref="AH274:AM274" si="213">MAX(0,AH270-AH272)</f>
        <v>0</v>
      </c>
      <c r="AI274" s="26">
        <f t="shared" si="213"/>
        <v>0</v>
      </c>
      <c r="AJ274" s="26">
        <f t="shared" si="213"/>
        <v>0</v>
      </c>
      <c r="AK274" s="26">
        <f t="shared" si="213"/>
        <v>0</v>
      </c>
      <c r="AL274" s="26">
        <f t="shared" si="213"/>
        <v>0</v>
      </c>
      <c r="AM274" s="26">
        <f t="shared" si="213"/>
        <v>0</v>
      </c>
      <c r="AO274" s="590">
        <f>SUMPRODUCT(AH$122:AN$122,AH274:AN274)/AO$122</f>
        <v>0</v>
      </c>
      <c r="AQ274" s="117"/>
      <c r="AR274" s="117"/>
    </row>
    <row r="275" spans="1:68" s="3495" customFormat="1" ht="13.2" customHeight="1">
      <c r="J275" s="3502"/>
      <c r="K275" s="3503"/>
      <c r="L275" s="1794"/>
      <c r="O275" s="136">
        <f>ROW()</f>
        <v>275</v>
      </c>
      <c r="AQ275" s="117"/>
      <c r="AR275" s="117"/>
    </row>
    <row r="276" spans="1:68" ht="13.2" customHeight="1">
      <c r="B276" s="518" t="str">
        <f>CONCATENATE("Average Change to New Toll if Toll Increment Applied to PANYNJ Tunnels Is Less Than Nominal Cordon Toll in Row ",O264, "")</f>
        <v>Average Change to New Toll if Toll Increment Applied to PANYNJ Tunnels Is Less Than Nominal Cordon Toll in Row 264</v>
      </c>
      <c r="O276" s="136">
        <f>ROW()</f>
        <v>276</v>
      </c>
      <c r="P276" s="716">
        <f>IF($L266="CORDON",IF($L$271="REPLACE",0,-'Hub-Bound'!$E$74*(P264-P274)),0)</f>
        <v>-0.69119769846173973</v>
      </c>
      <c r="Q276" s="716">
        <f>IF($L266="CORDON",IF($L$271="REPLACE",0,-'Hub-Bound'!$E$74*(Q264-Q274)),0)</f>
        <v>-0.69119769846173973</v>
      </c>
      <c r="R276" s="716">
        <f>IF($L266="CORDON",IF($L$271="REPLACE",0,-'Hub-Bound'!$E$74*(R264-R274)),0)</f>
        <v>-0.69119769846173973</v>
      </c>
      <c r="S276" s="716">
        <f>IF($L266="CORDON",IF($L$271="REPLACE",0,-'Hub-Bound'!$E$74*(S264-S274)),0)</f>
        <v>-0.69119769846173973</v>
      </c>
      <c r="T276" s="716">
        <f>IF($L266="CORDON",IF($L$271="REPLACE",0,-'Hub-Bound'!$E$74*(T264-T274)),0)</f>
        <v>-0.69119769846173973</v>
      </c>
      <c r="U276" s="716">
        <f>IF($L266="CORDON",IF($L$271="REPLACE",0,-'Hub-Bound'!$E$74*(U264-U274)),0)</f>
        <v>-0.69119769846173973</v>
      </c>
      <c r="V276" s="596"/>
      <c r="W276" s="2449">
        <f>SUMPRODUCT(P$122:V$122,P$276:V$276)/W$122</f>
        <v>-0.69119769846173973</v>
      </c>
      <c r="Y276" s="716">
        <f>IF($L266="CORDON",IF($L$271="REPLACE",0,-'Hub-Bound'!$E$74*(Y264-Y274)),0)</f>
        <v>-0.69119769846173973</v>
      </c>
      <c r="Z276" s="716">
        <f>IF($L266="CORDON",IF($L$271="REPLACE",0,-'Hub-Bound'!$E$74*(Z264-Z274)),0)</f>
        <v>-0.69119769846173973</v>
      </c>
      <c r="AA276" s="716">
        <f>IF($L266="CORDON",IF($L$271="REPLACE",0,-'Hub-Bound'!$E$74*(AA264-AA274)),0)</f>
        <v>-0.69119769846173973</v>
      </c>
      <c r="AB276" s="716">
        <f>IF($L266="CORDON",IF($L$271="REPLACE",0,-'Hub-Bound'!$E$74*(AB264-AB274)),0)</f>
        <v>-0.69119769846173973</v>
      </c>
      <c r="AC276" s="716">
        <f>IF($L266="CORDON",IF($L$271="REPLACE",0,-'Hub-Bound'!$E$74*(AC264-AC274)),0)</f>
        <v>-0.69119769846173973</v>
      </c>
      <c r="AD276" s="716">
        <f>IF($L266="CORDON",IF($L$271="REPLACE",0,-'Hub-Bound'!$E$74*(AD264-AD274)),0)</f>
        <v>-0.69119769846173973</v>
      </c>
      <c r="AE276" s="596"/>
      <c r="AF276" s="2449">
        <f>SUMPRODUCT(Y$122:AE$122,Y$276:AE$276)/AF$122</f>
        <v>-0.69119769846173973</v>
      </c>
      <c r="AH276" s="716">
        <f>IF($L266="CORDON",IF($L$271="REPLACE",0,-'Hub-Bound'!$E$74*(AH264-AH274)),0)</f>
        <v>-1.1750360873849577</v>
      </c>
      <c r="AI276" s="716">
        <f>IF($L266="CORDON",IF($L$271="REPLACE",0,-'Hub-Bound'!$E$74*(AI264-AI274)),0)</f>
        <v>-1.1750360873849577</v>
      </c>
      <c r="AJ276" s="716">
        <f>IF($L266="CORDON",IF($L$271="REPLACE",0,-'Hub-Bound'!$E$74*(AJ264-AJ274)),0)</f>
        <v>-1.1750360873849577</v>
      </c>
      <c r="AK276" s="716">
        <f>IF($L266="CORDON",IF($L$271="REPLACE",0,-'Hub-Bound'!$E$74*(AK264-AK274)),0)</f>
        <v>-1.1750360873849577</v>
      </c>
      <c r="AL276" s="716">
        <f>IF($L266="CORDON",IF($L$271="REPLACE",0,-'Hub-Bound'!$E$74*(AL264-AL274)),0)</f>
        <v>-1.1750360873849577</v>
      </c>
      <c r="AM276" s="716">
        <f>IF($L266="CORDON",IF($L$271="REPLACE",0,-'Hub-Bound'!$E$74*(AM264-AM274)),0)</f>
        <v>-1.1750360873849577</v>
      </c>
      <c r="AN276" s="596"/>
      <c r="AO276" s="2449">
        <f>SUMPRODUCT(AH$122:AN$122,AH$276:AN$276)/AO$122</f>
        <v>-1.1750360873849577</v>
      </c>
      <c r="AQ276" s="117"/>
      <c r="AR276" s="117"/>
      <c r="AZ276" s="716">
        <f>IF($L266="CORDON",IF($L$271="REPLACE",0,-'Hub-Bound'!$E$74*(AZ264-AZ274)),0)</f>
        <v>-1.3072296897621558</v>
      </c>
      <c r="BA276" s="716">
        <f>IF($L266="CORDON",IF($L$271="REPLACE",0,-'Hub-Bound'!$E$74*(BA264-BA274)),0)</f>
        <v>-1.3072296897621558</v>
      </c>
      <c r="BB276" s="716">
        <f>IF($L266="CORDON",IF($L$271="REPLACE",0,-'Hub-Bound'!$E$74*(BB264-BB274)),0)</f>
        <v>-1.3072296897621558</v>
      </c>
      <c r="BC276" s="716">
        <f>IF($L266="CORDON",IF($L$271="REPLACE",0,-'Hub-Bound'!$E$74*(BC264-BC274)),0)</f>
        <v>-1.3072296897621558</v>
      </c>
      <c r="BD276" s="716">
        <f>IF($L266="CORDON",IF($L$271="REPLACE",0,-'Hub-Bound'!$E$74*(BD264-BD274)),0)</f>
        <v>-1.3072296897621558</v>
      </c>
      <c r="BE276" s="716">
        <f>IF($L266="CORDON",IF($L$271="REPLACE",0,-'Hub-Bound'!$E$74*(BE264-BE274)),0)</f>
        <v>-1.3072296897621558</v>
      </c>
      <c r="BF276" s="596"/>
      <c r="BG276" s="2449">
        <f>SUMPRODUCT(AZ$122:BF$122,AZ$276:BF$276)/BG$122</f>
        <v>-1.3072296897621558</v>
      </c>
      <c r="BI276" s="716">
        <f>IF($L266="CORDON",IF($L$271="REPLACE",0,-'Hub-Bound'!$E$74*(BI264-BI274)),0)</f>
        <v>-1.1627624833935808</v>
      </c>
      <c r="BJ276" s="716">
        <f>IF($L266="CORDON",IF($L$271="REPLACE",0,-'Hub-Bound'!$E$74*(BJ264-BJ274)),0)</f>
        <v>-1.1627624833935808</v>
      </c>
      <c r="BK276" s="716">
        <f>IF($L266="CORDON",IF($L$271="REPLACE",0,-'Hub-Bound'!$E$74*(BK264-BK274)),0)</f>
        <v>-1.1627624833935808</v>
      </c>
      <c r="BL276" s="716">
        <f>IF($L266="CORDON",IF($L$271="REPLACE",0,-'Hub-Bound'!$E$74*(BL264-BL274)),0)</f>
        <v>-1.1627624833935808</v>
      </c>
      <c r="BM276" s="716">
        <f>IF($L266="CORDON",IF($L$271="REPLACE",0,-'Hub-Bound'!$E$74*(BM264-BM274)),0)</f>
        <v>-1.1627624833935808</v>
      </c>
      <c r="BN276" s="716">
        <f>IF($L266="CORDON",IF($L$271="REPLACE",0,-'Hub-Bound'!$E$74*(BN264-BN274)),0)</f>
        <v>-1.1627624833935808</v>
      </c>
      <c r="BO276" s="596"/>
      <c r="BP276" s="2449">
        <f>SUMPRODUCT(BI$122:BO$122,BI$276:BO$276)/BP$122</f>
        <v>-1.162762483393581</v>
      </c>
    </row>
    <row r="277" spans="1:68" ht="13.2" customHeight="1">
      <c r="B277" s="309" t="str">
        <f>CONCATENATE("If Cordon toll (and not bridge toll), applies NJ Tunnels' percent of CBD trips, derived in 'Hub-Bound' worksheet tab, Row ",'Hub-Bound'!F74, ", to discount percentage referenced in row above this one.")</f>
        <v>If Cordon toll (and not bridge toll), applies NJ Tunnels' percent of CBD trips, derived in 'Hub-Bound' worksheet tab, Row 74, to discount percentage referenced in row above this one.</v>
      </c>
      <c r="O277" s="136">
        <f>ROW()</f>
        <v>277</v>
      </c>
      <c r="P277" s="611"/>
      <c r="Y277" s="611"/>
      <c r="AH277" s="611"/>
      <c r="AQ277" s="117"/>
      <c r="AR277" s="117"/>
      <c r="AZ277" s="611"/>
      <c r="BI277" s="611"/>
    </row>
    <row r="278" spans="1:68" ht="13.2" customHeight="1">
      <c r="B278" s="518" t="s">
        <v>5615</v>
      </c>
      <c r="O278" s="136">
        <f>ROW()</f>
        <v>278</v>
      </c>
      <c r="P278" s="716">
        <f>IF(OR($L$271="REPLACE",Results!$H$25="Baseline"),0,-IF('User Inputs'!$J$54="YES",MAX(0,P264-'River Crossings'!$G$75),0))*'Hub-Bound'!$E$67</f>
        <v>-1.9612659970626712E-2</v>
      </c>
      <c r="Q278" s="716">
        <f>IF(OR($L$271="REPLACE",Results!$H$25="Baseline"),0,-IF('User Inputs'!$J$54="YES",MAX(0,P264-'River Crossings'!$G$75),0))*'Hub-Bound'!$E$67</f>
        <v>-1.9612659970626712E-2</v>
      </c>
      <c r="R278" s="716">
        <f>IF(OR($L$271="REPLACE",Results!$H$25="Baseline"),0,-IF('User Inputs'!$J$54="YES",MAX(0,P264-'River Crossings'!$G$75),0))*'Hub-Bound'!$E$67</f>
        <v>-1.9612659970626712E-2</v>
      </c>
      <c r="S278" s="716">
        <f>IF(OR($L$271="REPLACE",Results!$H$25="Baseline"),0,-IF('User Inputs'!$J$54="YES",MAX(0,P264-'River Crossings'!$G$75),0))*'Hub-Bound'!$E$67</f>
        <v>-1.9612659970626712E-2</v>
      </c>
      <c r="T278" s="716">
        <f>IF(OR($L$271="REPLACE",Results!$H$25="Baseline"),0,-IF('User Inputs'!$J$54="YES",MAX(0,P264-'River Crossings'!$G$75),0))*'Hub-Bound'!$E$67</f>
        <v>-1.9612659970626712E-2</v>
      </c>
      <c r="U278" s="716">
        <f>IF(OR($L$271="REPLACE",Results!$H$25="Baseline"),0,-IF('User Inputs'!$J$54="YES",MAX(0,P264-'River Crossings'!$G$75),0))*'Hub-Bound'!$E$67</f>
        <v>-1.9612659970626712E-2</v>
      </c>
      <c r="W278" s="2449">
        <f>SUMPRODUCT(P$122:V$122,P$278:V$278)/W$122</f>
        <v>-1.9612659970626709E-2</v>
      </c>
      <c r="Y278" s="716">
        <f>IF(OR($L$271="REPLACE",Results!$H$25="Baseline"),0,-IF('User Inputs'!$J$54="YES",MAX(0,P264-'River Crossings'!$G$75),0))*'Hub-Bound'!$E$67</f>
        <v>-1.9612659970626712E-2</v>
      </c>
      <c r="Z278" s="716">
        <f>IF(OR($L$271="REPLACE",Results!$H$25="Baseline"),0,-IF('User Inputs'!$J$54="YES",MAX(0,P264-'River Crossings'!$G$75),0))*'Hub-Bound'!$E$67</f>
        <v>-1.9612659970626712E-2</v>
      </c>
      <c r="AA278" s="716">
        <f>IF(OR($L$271="REPLACE",Results!$H$25="Baseline"),0,-IF('User Inputs'!$J$54="YES",MAX(0,P264-'River Crossings'!$G$75),0))*'Hub-Bound'!$E$67</f>
        <v>-1.9612659970626712E-2</v>
      </c>
      <c r="AB278" s="716">
        <f>IF(OR($L$271="REPLACE",Results!$H$25="Baseline"),0,-IF('User Inputs'!$J$54="YES",MAX(0,P264-'River Crossings'!$G$75),0))*'Hub-Bound'!$E$67</f>
        <v>-1.9612659970626712E-2</v>
      </c>
      <c r="AC278" s="716">
        <f>IF(OR($L$271="REPLACE",Results!$H$25="Baseline"),0,-IF('User Inputs'!$J$54="YES",MAX(0,P264-'River Crossings'!$G$75),0))*'Hub-Bound'!$E$67</f>
        <v>-1.9612659970626712E-2</v>
      </c>
      <c r="AD278" s="716">
        <f>IF(OR($L$271="REPLACE",Results!$H$25="Baseline"),0,-IF('User Inputs'!$J$54="YES",MAX(0,P264-'River Crossings'!$G$75),0))*'Hub-Bound'!$E$67</f>
        <v>-1.9612659970626712E-2</v>
      </c>
      <c r="AF278" s="2449">
        <f>SUMPRODUCT(Y$122:AE$122,Y$278:AE$278)/AF$122</f>
        <v>-1.9612659970626712E-2</v>
      </c>
      <c r="AH278" s="716">
        <f>P278*IF($AL$267="YES",(1+$I$43),1)</f>
        <v>-3.3341521950065414E-2</v>
      </c>
      <c r="AI278" s="716">
        <f>P278*IF($AL$267="YES",(1+$I$43),1)</f>
        <v>-3.3341521950065414E-2</v>
      </c>
      <c r="AJ278" s="716">
        <f>P278*IF($AL$267="YES",(1+$I$43),1)</f>
        <v>-3.3341521950065414E-2</v>
      </c>
      <c r="AK278" s="716">
        <f>P278*IF($AL$267="YES",(1+$I$43),1)</f>
        <v>-3.3341521950065414E-2</v>
      </c>
      <c r="AL278" s="716">
        <f>P278*IF($AL$267="YES",(1+$I$43),1)</f>
        <v>-3.3341521950065414E-2</v>
      </c>
      <c r="AM278" s="716">
        <f>P278*IF($AL$267="YES",(1+$I$43),1)</f>
        <v>-3.3341521950065414E-2</v>
      </c>
      <c r="AO278" s="2449">
        <f>SUMPRODUCT(AH$122:AN$122,AH$278:AN$278)/AO$122</f>
        <v>-3.3341521950065414E-2</v>
      </c>
      <c r="AZ278" s="716">
        <f>P278*'User Inputs'!$J$69</f>
        <v>-3.1380255953002742E-2</v>
      </c>
      <c r="BA278" s="716">
        <f>P278*'User Inputs'!$J$69</f>
        <v>-3.1380255953002742E-2</v>
      </c>
      <c r="BB278" s="716">
        <f>P278*'User Inputs'!$J$69</f>
        <v>-3.1380255953002742E-2</v>
      </c>
      <c r="BC278" s="716">
        <f>P278*'User Inputs'!$J$69</f>
        <v>-3.1380255953002742E-2</v>
      </c>
      <c r="BD278" s="716">
        <f>P278*'User Inputs'!$J$69</f>
        <v>-3.1380255953002742E-2</v>
      </c>
      <c r="BE278" s="716">
        <f>P278*'User Inputs'!$J$69</f>
        <v>-3.1380255953002742E-2</v>
      </c>
      <c r="BG278" s="2449">
        <f>SUMPRODUCT(AZ$122:BF$122,AZ$278:BF$278)/BG$122</f>
        <v>-3.1380255953002742E-2</v>
      </c>
      <c r="BI278" s="716">
        <f>P278*'User Inputs'!$J$69</f>
        <v>-3.1380255953002742E-2</v>
      </c>
      <c r="BJ278" s="716">
        <f>Q278*'User Inputs'!$J$69</f>
        <v>-3.1380255953002742E-2</v>
      </c>
      <c r="BK278" s="716">
        <f>R278*'User Inputs'!$J$69</f>
        <v>-3.1380255953002742E-2</v>
      </c>
      <c r="BL278" s="716">
        <f>S278*'User Inputs'!$J$69</f>
        <v>-3.1380255953002742E-2</v>
      </c>
      <c r="BM278" s="716">
        <f>T278*'User Inputs'!$J$69</f>
        <v>-3.1380255953002742E-2</v>
      </c>
      <c r="BN278" s="716">
        <f>U278*'User Inputs'!$J$69</f>
        <v>-3.1380255953002742E-2</v>
      </c>
      <c r="BP278" s="2449">
        <f>SUMPRODUCT(BI$122:BO$122,BI$278:BO$278)/BP$122</f>
        <v>-3.1380255953002742E-2</v>
      </c>
    </row>
    <row r="279" spans="1:68" ht="13.2" customHeight="1">
      <c r="B279" s="215" t="s">
        <v>6016</v>
      </c>
      <c r="O279" s="136">
        <f>ROW()</f>
        <v>279</v>
      </c>
      <c r="P279" s="612"/>
      <c r="Q279" s="612"/>
      <c r="R279" s="612"/>
      <c r="S279" s="612"/>
      <c r="T279" s="612"/>
      <c r="U279" s="612"/>
      <c r="V279" s="612"/>
      <c r="Y279" s="612"/>
      <c r="Z279" s="612"/>
      <c r="AA279" s="612"/>
      <c r="AB279" s="612"/>
      <c r="AC279" s="612"/>
      <c r="AD279" s="612"/>
      <c r="AE279" s="612"/>
      <c r="AH279" s="612"/>
      <c r="AI279" s="612"/>
      <c r="AJ279" s="612"/>
      <c r="AK279" s="612"/>
      <c r="AL279" s="612"/>
      <c r="AM279" s="612"/>
      <c r="AN279" s="612"/>
      <c r="BB279" s="612"/>
      <c r="BC279" s="612"/>
      <c r="BD279" s="612"/>
      <c r="BE279" s="612"/>
      <c r="BF279" s="612"/>
      <c r="BI279" s="612"/>
      <c r="BJ279" s="612"/>
      <c r="BK279" s="612"/>
      <c r="BL279" s="612"/>
      <c r="BM279" s="612"/>
      <c r="BN279" s="612"/>
      <c r="BO279" s="612"/>
    </row>
    <row r="280" spans="1:68" ht="13.2" customHeight="1">
      <c r="B280" s="518" t="s">
        <v>4644</v>
      </c>
      <c r="H280" s="4334" t="str">
        <f>CONCATENATE("If entry in Cell M",O282, " = 'YES', all auto tolls are discounted by % shown in Cell H",238, " (does not apply to taxis, trucks, buses).")</f>
        <v>If entry in Cell M282 = 'YES', all auto tolls are discounted by % shown in Cell H238 (does not apply to taxis, trucks, buses).</v>
      </c>
      <c r="I280" s="4335"/>
      <c r="J280" s="4335"/>
      <c r="K280" s="4335"/>
      <c r="L280" s="4336"/>
      <c r="O280" s="136">
        <f>ROW()</f>
        <v>280</v>
      </c>
      <c r="P280" s="591">
        <f t="shared" ref="P280:U280" si="214">P270+P276+P278</f>
        <v>4.2891896415676332</v>
      </c>
      <c r="Q280" s="591">
        <f t="shared" si="214"/>
        <v>4.2891896415676332</v>
      </c>
      <c r="R280" s="591">
        <f t="shared" si="214"/>
        <v>4.2891896415676332</v>
      </c>
      <c r="S280" s="591">
        <f t="shared" si="214"/>
        <v>4.2891896415676332</v>
      </c>
      <c r="T280" s="591">
        <f t="shared" si="214"/>
        <v>4.2891896415676332</v>
      </c>
      <c r="U280" s="591">
        <f t="shared" si="214"/>
        <v>4.2891896415676332</v>
      </c>
      <c r="W280" s="591">
        <f>SUMPRODUCT(P$122:V$122,P$280:V$280)/W$122</f>
        <v>4.2891896415676332</v>
      </c>
      <c r="Y280" s="591">
        <f t="shared" ref="Y280:AD280" si="215">Y270+Y276+Y278</f>
        <v>4.2891896415676332</v>
      </c>
      <c r="Z280" s="591">
        <f t="shared" si="215"/>
        <v>4.2891896415676332</v>
      </c>
      <c r="AA280" s="591">
        <f t="shared" si="215"/>
        <v>4.2891896415676332</v>
      </c>
      <c r="AB280" s="591">
        <f t="shared" si="215"/>
        <v>4.2891896415676332</v>
      </c>
      <c r="AC280" s="591">
        <f t="shared" si="215"/>
        <v>4.2891896415676332</v>
      </c>
      <c r="AD280" s="591">
        <f t="shared" si="215"/>
        <v>4.2891896415676332</v>
      </c>
      <c r="AF280" s="591">
        <f>SUMPRODUCT(Y$122:AE$122,Y$280:AE$280)/AF$122</f>
        <v>4.2891896415676332</v>
      </c>
      <c r="AH280" s="591">
        <f t="shared" ref="AH280:AM280" si="216">AH270+AH276+AH278</f>
        <v>7.2916223906649771</v>
      </c>
      <c r="AI280" s="591">
        <f t="shared" si="216"/>
        <v>7.2916223906649771</v>
      </c>
      <c r="AJ280" s="591">
        <f t="shared" si="216"/>
        <v>7.2916223906649771</v>
      </c>
      <c r="AK280" s="591">
        <f t="shared" si="216"/>
        <v>7.2916223906649771</v>
      </c>
      <c r="AL280" s="591">
        <f t="shared" si="216"/>
        <v>7.2916223906649771</v>
      </c>
      <c r="AM280" s="591">
        <f t="shared" si="216"/>
        <v>7.2916223906649771</v>
      </c>
      <c r="AO280" s="591">
        <f>SUMPRODUCT(AH$122:AN$122,AH$280:AN$280)/AO$122</f>
        <v>7.291622390664978</v>
      </c>
      <c r="AZ280" s="591">
        <f t="shared" ref="AZ280:BE280" si="217">AZ270+AZ276+AZ278</f>
        <v>8.1176548296985533</v>
      </c>
      <c r="BA280" s="591">
        <f t="shared" si="217"/>
        <v>8.1176548296985533</v>
      </c>
      <c r="BB280" s="591">
        <f t="shared" si="217"/>
        <v>8.1176548296985533</v>
      </c>
      <c r="BC280" s="591">
        <f t="shared" si="217"/>
        <v>8.1176548296985533</v>
      </c>
      <c r="BD280" s="591">
        <f t="shared" si="217"/>
        <v>8.1176548296985533</v>
      </c>
      <c r="BE280" s="591">
        <f t="shared" si="217"/>
        <v>8.1176548296985533</v>
      </c>
      <c r="BG280" s="591">
        <f>SUMPRODUCT(AZ$122:BF$122,AZ$280:BF$280)/BG$122</f>
        <v>8.1176548296985533</v>
      </c>
      <c r="BI280" s="591">
        <f t="shared" ref="BI280:BN280" si="218">BI270+BI276+BI278</f>
        <v>7.2170722139244443</v>
      </c>
      <c r="BJ280" s="591">
        <f t="shared" si="218"/>
        <v>7.2170722139244443</v>
      </c>
      <c r="BK280" s="591">
        <f t="shared" si="218"/>
        <v>7.2170722139244443</v>
      </c>
      <c r="BL280" s="591">
        <f t="shared" si="218"/>
        <v>7.2170722139244443</v>
      </c>
      <c r="BM280" s="591">
        <f t="shared" si="218"/>
        <v>7.2170722139244443</v>
      </c>
      <c r="BN280" s="591">
        <f t="shared" si="218"/>
        <v>7.2170722139244443</v>
      </c>
      <c r="BP280" s="591">
        <f>SUMPRODUCT(BI$122:BO$122,BI$280:BO$280)/BP$122</f>
        <v>7.2170722139244461</v>
      </c>
    </row>
    <row r="281" spans="1:68" ht="13.2" customHeight="1" thickBot="1">
      <c r="B281" s="281"/>
      <c r="H281" s="4337"/>
      <c r="I281" s="4338"/>
      <c r="J281" s="4338"/>
      <c r="K281" s="4338"/>
      <c r="L281" s="4339"/>
      <c r="N281" s="4320" t="s">
        <v>4648</v>
      </c>
      <c r="O281" s="136">
        <f>ROW()</f>
        <v>281</v>
      </c>
    </row>
    <row r="282" spans="1:68" ht="13.2" customHeight="1" thickBot="1">
      <c r="B282" s="2061" t="s">
        <v>3340</v>
      </c>
      <c r="C282" s="2062"/>
      <c r="D282" s="2062"/>
      <c r="E282" s="2062"/>
      <c r="F282" s="2062"/>
      <c r="G282" s="2062"/>
      <c r="H282" s="2066">
        <v>0.06</v>
      </c>
      <c r="I282" s="2064" t="s">
        <v>3342</v>
      </c>
      <c r="J282" s="2065" t="s">
        <v>3341</v>
      </c>
      <c r="K282" s="2063" t="s">
        <v>3343</v>
      </c>
      <c r="L282" s="2067">
        <f>IF(M282="YES",$H$282,0)</f>
        <v>0</v>
      </c>
      <c r="M282" s="782" t="str">
        <f>'User Inputs'!J57</f>
        <v>NO</v>
      </c>
      <c r="N282" s="3813"/>
      <c r="O282" s="136">
        <f>ROW()</f>
        <v>282</v>
      </c>
      <c r="P282" s="716">
        <f t="shared" ref="P282:U282" si="219">-$L$282*P280</f>
        <v>0</v>
      </c>
      <c r="Q282" s="716">
        <f t="shared" si="219"/>
        <v>0</v>
      </c>
      <c r="R282" s="716">
        <f t="shared" si="219"/>
        <v>0</v>
      </c>
      <c r="S282" s="716">
        <f t="shared" si="219"/>
        <v>0</v>
      </c>
      <c r="T282" s="716">
        <f t="shared" si="219"/>
        <v>0</v>
      </c>
      <c r="U282" s="716">
        <f t="shared" si="219"/>
        <v>0</v>
      </c>
      <c r="W282" s="2449">
        <f>SUMPRODUCT(P$122:U$122,P$282:U$282)/W$122</f>
        <v>0</v>
      </c>
      <c r="Y282" s="716">
        <f t="shared" ref="Y282:AD282" si="220">-$L$282*Y280</f>
        <v>0</v>
      </c>
      <c r="Z282" s="716">
        <f t="shared" si="220"/>
        <v>0</v>
      </c>
      <c r="AA282" s="716">
        <f t="shared" si="220"/>
        <v>0</v>
      </c>
      <c r="AB282" s="716">
        <f t="shared" si="220"/>
        <v>0</v>
      </c>
      <c r="AC282" s="716">
        <f t="shared" si="220"/>
        <v>0</v>
      </c>
      <c r="AD282" s="716">
        <f t="shared" si="220"/>
        <v>0</v>
      </c>
      <c r="AF282" s="2449">
        <f>SUMPRODUCT(Y$122:AD$122,Y$282:AD$282)/AF$122</f>
        <v>0</v>
      </c>
      <c r="AH282" s="716">
        <f t="shared" ref="AH282:AM282" si="221">-$L$282*AH280</f>
        <v>0</v>
      </c>
      <c r="AI282" s="716">
        <f t="shared" si="221"/>
        <v>0</v>
      </c>
      <c r="AJ282" s="716">
        <f t="shared" si="221"/>
        <v>0</v>
      </c>
      <c r="AK282" s="716">
        <f t="shared" si="221"/>
        <v>0</v>
      </c>
      <c r="AL282" s="716">
        <f t="shared" si="221"/>
        <v>0</v>
      </c>
      <c r="AM282" s="716">
        <f t="shared" si="221"/>
        <v>0</v>
      </c>
      <c r="AO282" s="2449">
        <f>SUMPRODUCT(AH$122:AM$122,AH$282:AM$282)/AO$122</f>
        <v>0</v>
      </c>
      <c r="AZ282" s="591"/>
      <c r="BA282" s="591"/>
      <c r="BB282" s="591"/>
      <c r="BC282" s="591"/>
      <c r="BD282" s="591"/>
      <c r="BE282" s="591"/>
      <c r="BG282" s="591"/>
      <c r="BI282" s="591"/>
      <c r="BJ282" s="591"/>
      <c r="BK282" s="591"/>
      <c r="BL282" s="591"/>
      <c r="BM282" s="591"/>
      <c r="BN282" s="591"/>
      <c r="BP282" s="591"/>
    </row>
    <row r="283" spans="1:68" ht="13.2" customHeight="1">
      <c r="H283" s="4331" t="str">
        <f>CONCATENATE("Note: % in Cell H",O282, " (which feeds L",O282, ") was est'd outside the BTA.")</f>
        <v>Note: % in Cell H282 (which feeds L282) was est'd outside the BTA.</v>
      </c>
      <c r="I283" s="4332"/>
      <c r="J283" s="4332"/>
      <c r="K283" s="4332"/>
      <c r="L283" s="4333"/>
      <c r="N283" s="3813"/>
      <c r="O283" s="136">
        <f>ROW()</f>
        <v>283</v>
      </c>
    </row>
    <row r="284" spans="1:68" ht="13.2" customHeight="1">
      <c r="H284" s="3919" t="str">
        <f>CONCATENATE("Amounts shown are product of % of cordon trips not using E-ZPass specified in 'Cordon' tab, Row ",Cordon!L79, ", and cash-payers' surcharge specified in 'User Inputs' tab, Row ",'User Inputs'!N67, ". Trucks + buses are surcharged same as autos. Thru-trips pay for each crossing.")</f>
        <v>Amounts shown are product of % of cordon trips not using E-ZPass specified in 'Cordon' tab, Row 79, and cash-payers' surcharge specified in 'User Inputs' tab, Row 67. Trucks + buses are surcharged same as autos. Thru-trips pay for each crossing.</v>
      </c>
      <c r="I284" s="4109"/>
      <c r="J284" s="4109"/>
      <c r="K284" s="4109"/>
      <c r="L284" s="4109"/>
      <c r="M284" s="4109"/>
      <c r="N284" s="4462"/>
      <c r="O284" s="39">
        <f>ROW()</f>
        <v>284</v>
      </c>
      <c r="W284" s="7"/>
      <c r="AF284" s="7"/>
      <c r="AO284" s="7"/>
      <c r="AQ284" s="117"/>
      <c r="AR284" s="117"/>
      <c r="BG284" s="7"/>
      <c r="BP284" s="7"/>
    </row>
    <row r="285" spans="1:68" ht="13.2" customHeight="1">
      <c r="B285" s="3013" t="s">
        <v>6017</v>
      </c>
      <c r="C285" s="2718"/>
      <c r="D285" s="2718"/>
      <c r="E285" s="2718"/>
      <c r="F285" s="2718"/>
      <c r="G285" s="2718"/>
      <c r="H285" s="4110"/>
      <c r="I285" s="4111"/>
      <c r="J285" s="4111"/>
      <c r="K285" s="4111"/>
      <c r="L285" s="4111"/>
      <c r="M285" s="4111"/>
      <c r="N285" s="4463"/>
      <c r="O285" s="39">
        <f>ROW()</f>
        <v>285</v>
      </c>
      <c r="P285" s="2291">
        <f>Cordon!$H$79*'User Inputs'!$J$67</f>
        <v>0.49999999999999989</v>
      </c>
      <c r="Q285" s="2291">
        <f>Cordon!$H$79*'User Inputs'!$J$67</f>
        <v>0.49999999999999989</v>
      </c>
      <c r="R285" s="2291">
        <f>Cordon!$H$79*'User Inputs'!$J$67</f>
        <v>0.49999999999999989</v>
      </c>
      <c r="S285" s="2291">
        <f>Cordon!$H$79*'User Inputs'!$J$67</f>
        <v>0.49999999999999989</v>
      </c>
      <c r="T285" s="2291">
        <f>Cordon!$H$79*'User Inputs'!$J$67</f>
        <v>0.49999999999999989</v>
      </c>
      <c r="U285" s="2291">
        <f>Cordon!$H$79*'User Inputs'!$J$67</f>
        <v>0.49999999999999989</v>
      </c>
      <c r="V285" s="2291"/>
      <c r="W285" s="2449">
        <f>SUMPRODUCT(P$122:V$122,P$285:V$285)/W$122</f>
        <v>0.49999999999999994</v>
      </c>
      <c r="Y285" s="2291">
        <f>Cordon!$H$79*'User Inputs'!$J$67</f>
        <v>0.49999999999999989</v>
      </c>
      <c r="Z285" s="2291">
        <f>Cordon!$H$79*'User Inputs'!$J$67</f>
        <v>0.49999999999999989</v>
      </c>
      <c r="AA285" s="2291">
        <f>Cordon!$H$79*'User Inputs'!$J$67</f>
        <v>0.49999999999999989</v>
      </c>
      <c r="AB285" s="2291">
        <f>Cordon!$H$79*'User Inputs'!$J$67</f>
        <v>0.49999999999999989</v>
      </c>
      <c r="AC285" s="2291">
        <f>Cordon!$H$79*'User Inputs'!$J$67</f>
        <v>0.49999999999999989</v>
      </c>
      <c r="AD285" s="2291">
        <f>Cordon!$H$79*'User Inputs'!$J$67</f>
        <v>0.49999999999999989</v>
      </c>
      <c r="AE285" s="2291"/>
      <c r="AF285" s="2449">
        <f>SUMPRODUCT(Y$122:AE$122,Y$285:AE$285)/AF$122</f>
        <v>0.49999999999999989</v>
      </c>
      <c r="AH285" s="2291">
        <f>Cordon!$H$79*'User Inputs'!$J$67*(1+$I$43)</f>
        <v>0.84999999999999987</v>
      </c>
      <c r="AI285" s="2291">
        <f>Cordon!$H$79*'User Inputs'!$J$67*(1+$I$43)</f>
        <v>0.84999999999999987</v>
      </c>
      <c r="AJ285" s="2291">
        <f>Cordon!$H$79*'User Inputs'!$J$67*(1+$I$43)</f>
        <v>0.84999999999999987</v>
      </c>
      <c r="AK285" s="2291">
        <f>Cordon!$H$79*'User Inputs'!$J$67*(1+$I$43)</f>
        <v>0.84999999999999987</v>
      </c>
      <c r="AL285" s="2291">
        <f>Cordon!$H$79*'User Inputs'!$J$67*(1+$I$43)</f>
        <v>0.84999999999999987</v>
      </c>
      <c r="AM285" s="2291">
        <f>Cordon!$H$79*'User Inputs'!$J$67*(1+$I$43)</f>
        <v>0.84999999999999987</v>
      </c>
      <c r="AN285" s="2291"/>
      <c r="AO285" s="2449">
        <f>SUMPRODUCT(AH$122:AN$122,AH$285:AN$285)/AO$122</f>
        <v>0.84999999999999987</v>
      </c>
      <c r="AQ285" s="117"/>
      <c r="AR285" s="117"/>
      <c r="AZ285" s="2291">
        <f>Cordon!$H$79*'User Inputs'!$J$67*(1+$M$78)</f>
        <v>0.59101654846335694</v>
      </c>
      <c r="BA285" s="2291">
        <f>Cordon!$H$79*'User Inputs'!$J$67*(1+$M$78)</f>
        <v>0.59101654846335694</v>
      </c>
      <c r="BB285" s="2291">
        <f>Cordon!$H$79*'User Inputs'!$J$67*(1+$M$78)</f>
        <v>0.59101654846335694</v>
      </c>
      <c r="BC285" s="2291">
        <f>Cordon!$H$79*'User Inputs'!$J$67*(1+$M$78)</f>
        <v>0.59101654846335694</v>
      </c>
      <c r="BD285" s="2291">
        <f>Cordon!$H$79*'User Inputs'!$J$67*(1+$M$78)</f>
        <v>0.59101654846335694</v>
      </c>
      <c r="BE285" s="2291">
        <f>Cordon!$H$79*'User Inputs'!$J$67*(1+$M$78)</f>
        <v>0.59101654846335694</v>
      </c>
      <c r="BF285" s="2291"/>
      <c r="BG285" s="2449">
        <f>SUMPRODUCT(AZ$122:BF$122,AZ$285:BF$285)/BG$122</f>
        <v>0.59101654846335694</v>
      </c>
      <c r="BI285" s="2291">
        <f>Cordon!$H$79*'User Inputs'!$J$67*(1+$N$78)</f>
        <v>0.52570093457943912</v>
      </c>
      <c r="BJ285" s="2291">
        <f>Cordon!$H$79*'User Inputs'!$J$67*(1+$N$78)</f>
        <v>0.52570093457943912</v>
      </c>
      <c r="BK285" s="2291">
        <f>Cordon!$H$79*'User Inputs'!$J$67*(1+$N$78)</f>
        <v>0.52570093457943912</v>
      </c>
      <c r="BL285" s="2291">
        <f>Cordon!$H$79*'User Inputs'!$J$67*(1+$N$78)</f>
        <v>0.52570093457943912</v>
      </c>
      <c r="BM285" s="2291">
        <f>Cordon!$H$79*'User Inputs'!$J$67*(1+$N$78)</f>
        <v>0.52570093457943912</v>
      </c>
      <c r="BN285" s="2291">
        <f>Cordon!$H$79*'User Inputs'!$J$67*(1+$N$78)</f>
        <v>0.52570093457943912</v>
      </c>
      <c r="BO285" s="2291"/>
      <c r="BP285" s="2449">
        <f>SUMPRODUCT(BI$122:BO$122,BI$285:BO$285)/BP$122</f>
        <v>0.52570093457943912</v>
      </c>
    </row>
    <row r="286" spans="1:68" ht="13.2" customHeight="1">
      <c r="H286" s="4112"/>
      <c r="I286" s="4113"/>
      <c r="J286" s="4113"/>
      <c r="K286" s="4113"/>
      <c r="L286" s="4113"/>
      <c r="M286" s="4113"/>
      <c r="N286" s="4464"/>
      <c r="O286" s="39">
        <f>ROW()</f>
        <v>286</v>
      </c>
      <c r="W286" s="7"/>
      <c r="AF286" s="7"/>
      <c r="AO286" s="7"/>
      <c r="AQ286" s="117"/>
      <c r="AR286" s="117"/>
      <c r="BG286" s="7"/>
      <c r="BP286" s="7"/>
    </row>
    <row r="287" spans="1:68" s="89" customFormat="1" ht="13.2" customHeight="1">
      <c r="A287" s="1"/>
      <c r="B287" s="312" t="s">
        <v>5276</v>
      </c>
      <c r="C287" s="1"/>
      <c r="D287" s="1"/>
      <c r="E287" s="1"/>
      <c r="F287" s="1"/>
      <c r="G287" s="1"/>
      <c r="H287" s="1"/>
      <c r="I287" s="1"/>
      <c r="J287" s="1"/>
      <c r="K287" s="1"/>
      <c r="L287" s="1"/>
      <c r="M287" s="1"/>
      <c r="N287" s="1"/>
      <c r="O287" s="136">
        <f>ROW()</f>
        <v>287</v>
      </c>
      <c r="P287" s="590">
        <f t="shared" ref="P287:U287" si="222">P280+P282+P285</f>
        <v>4.7891896415676332</v>
      </c>
      <c r="Q287" s="590">
        <f t="shared" si="222"/>
        <v>4.7891896415676332</v>
      </c>
      <c r="R287" s="590">
        <f t="shared" si="222"/>
        <v>4.7891896415676332</v>
      </c>
      <c r="S287" s="590">
        <f t="shared" si="222"/>
        <v>4.7891896415676332</v>
      </c>
      <c r="T287" s="590">
        <f t="shared" si="222"/>
        <v>4.7891896415676332</v>
      </c>
      <c r="U287" s="590">
        <f t="shared" si="222"/>
        <v>4.7891896415676332</v>
      </c>
      <c r="V287" s="590"/>
      <c r="W287" s="590">
        <f>SUMPRODUCT(P$122:V$122,P287:V287)/W$122</f>
        <v>4.7891896415676332</v>
      </c>
      <c r="X287" s="1"/>
      <c r="Y287" s="590">
        <f t="shared" ref="Y287:AD287" si="223">Y280+Y282+Y285</f>
        <v>4.7891896415676332</v>
      </c>
      <c r="Z287" s="590">
        <f t="shared" si="223"/>
        <v>4.7891896415676332</v>
      </c>
      <c r="AA287" s="590">
        <f t="shared" si="223"/>
        <v>4.7891896415676332</v>
      </c>
      <c r="AB287" s="590">
        <f t="shared" si="223"/>
        <v>4.7891896415676332</v>
      </c>
      <c r="AC287" s="590">
        <f t="shared" si="223"/>
        <v>4.7891896415676332</v>
      </c>
      <c r="AD287" s="590">
        <f t="shared" si="223"/>
        <v>4.7891896415676332</v>
      </c>
      <c r="AE287" s="590"/>
      <c r="AF287" s="590">
        <f>SUMPRODUCT(Y$122:AE$122,Y287:AE287)/AF$122</f>
        <v>4.789189641567634</v>
      </c>
      <c r="AG287" s="1"/>
      <c r="AH287" s="590">
        <f t="shared" ref="AH287:AM287" si="224">AH280+AH282+AH285</f>
        <v>8.1416223906649776</v>
      </c>
      <c r="AI287" s="590">
        <f t="shared" si="224"/>
        <v>8.1416223906649776</v>
      </c>
      <c r="AJ287" s="590">
        <f t="shared" si="224"/>
        <v>8.1416223906649776</v>
      </c>
      <c r="AK287" s="590">
        <f t="shared" si="224"/>
        <v>8.1416223906649776</v>
      </c>
      <c r="AL287" s="590">
        <f t="shared" si="224"/>
        <v>8.1416223906649776</v>
      </c>
      <c r="AM287" s="590">
        <f t="shared" si="224"/>
        <v>8.1416223906649776</v>
      </c>
      <c r="AN287" s="590"/>
      <c r="AO287" s="590">
        <f>SUMPRODUCT(AH$122:AN$122,AH287:AN287)/AO$122</f>
        <v>8.1416223906649776</v>
      </c>
      <c r="AP287" s="1"/>
      <c r="AQ287" s="638"/>
      <c r="AR287" s="638"/>
      <c r="AS287" s="1"/>
      <c r="AT287" s="1"/>
      <c r="AU287" s="1"/>
      <c r="AV287" s="1"/>
      <c r="AW287" s="1"/>
      <c r="AX287" s="1"/>
      <c r="AY287" s="1"/>
      <c r="AZ287" s="590">
        <f t="shared" ref="AZ287:BE287" si="225">AZ280+AZ282+AZ285</f>
        <v>8.7086713781619096</v>
      </c>
      <c r="BA287" s="590">
        <f t="shared" si="225"/>
        <v>8.7086713781619096</v>
      </c>
      <c r="BB287" s="590">
        <f t="shared" si="225"/>
        <v>8.7086713781619096</v>
      </c>
      <c r="BC287" s="590">
        <f t="shared" si="225"/>
        <v>8.7086713781619096</v>
      </c>
      <c r="BD287" s="590">
        <f t="shared" si="225"/>
        <v>8.7086713781619096</v>
      </c>
      <c r="BE287" s="590">
        <f t="shared" si="225"/>
        <v>8.7086713781619096</v>
      </c>
      <c r="BF287" s="590"/>
      <c r="BG287" s="590">
        <f>SUMPRODUCT(AZ$122:BF$122,AZ287:BF287)/BG$122</f>
        <v>8.7086713781619096</v>
      </c>
      <c r="BH287" s="1"/>
      <c r="BI287" s="590">
        <f t="shared" ref="BI287:BN287" si="226">BI280+BI282+BI285</f>
        <v>7.7427731485038835</v>
      </c>
      <c r="BJ287" s="590">
        <f t="shared" si="226"/>
        <v>7.7427731485038835</v>
      </c>
      <c r="BK287" s="590">
        <f t="shared" si="226"/>
        <v>7.7427731485038835</v>
      </c>
      <c r="BL287" s="590">
        <f t="shared" si="226"/>
        <v>7.7427731485038835</v>
      </c>
      <c r="BM287" s="590">
        <f t="shared" si="226"/>
        <v>7.7427731485038835</v>
      </c>
      <c r="BN287" s="590">
        <f t="shared" si="226"/>
        <v>7.7427731485038835</v>
      </c>
      <c r="BO287" s="590"/>
      <c r="BP287" s="590">
        <f>SUMPRODUCT(BI$122:BO$122,BI287:BO287)/BP$122</f>
        <v>7.7427731485038853</v>
      </c>
    </row>
    <row r="288" spans="1:68" ht="13.2" customHeight="1">
      <c r="B288" s="309" t="str">
        <f>CONCATENATE("Sum of Rows ",O280, ", ",O282, " and ",O285,".")</f>
        <v>Sum of Rows 280, 282 and 285.</v>
      </c>
      <c r="O288" s="39">
        <f>ROW()</f>
        <v>288</v>
      </c>
      <c r="W288" s="7"/>
      <c r="AF288" s="7"/>
      <c r="AO288" s="7"/>
      <c r="AQ288" s="117"/>
      <c r="AR288" s="117"/>
      <c r="BG288" s="7"/>
      <c r="BP288" s="7"/>
    </row>
    <row r="289" spans="2:82" s="3212" customFormat="1" ht="13.2" customHeight="1">
      <c r="B289" s="3213" t="s">
        <v>5616</v>
      </c>
      <c r="C289" s="1955"/>
      <c r="D289" s="1955"/>
      <c r="E289" s="1955"/>
      <c r="F289" s="1955"/>
      <c r="G289" s="1955"/>
      <c r="H289" s="1955"/>
      <c r="O289" s="39">
        <f>ROW()</f>
        <v>289</v>
      </c>
      <c r="P289" s="716">
        <f>-P287*Incidence!$X$396*IF('User Inputs'!$J$60="YES",1,0)</f>
        <v>-0.4877355333680865</v>
      </c>
      <c r="Q289" s="716">
        <f>-Q287*Incidence!$X$396*IF('User Inputs'!$J$60="YES",1,0)</f>
        <v>-0.4877355333680865</v>
      </c>
      <c r="R289" s="716">
        <f>-R287*Incidence!$X$396*IF('User Inputs'!$J$60="YES",1,0)</f>
        <v>-0.4877355333680865</v>
      </c>
      <c r="S289" s="716">
        <f>-S287*Incidence!$X$396*IF('User Inputs'!$J$60="YES",1,0)</f>
        <v>-0.4877355333680865</v>
      </c>
      <c r="T289" s="716">
        <f>-T287*Incidence!$X$396*IF('User Inputs'!$J$60="YES",1,0)</f>
        <v>-0.4877355333680865</v>
      </c>
      <c r="U289" s="716">
        <f>-U287*Incidence!$X$396*IF('User Inputs'!$J$60="YES",1,0)</f>
        <v>-0.4877355333680865</v>
      </c>
      <c r="V289" s="716"/>
      <c r="W289" s="590">
        <f>SUMPRODUCT(P$122:V$122,P289:V289)/W$122</f>
        <v>-0.4877355333680865</v>
      </c>
      <c r="Y289" s="716">
        <f>-Y287*Incidence!$X$396*IF('User Inputs'!$J$60="YES",1,0)</f>
        <v>-0.4877355333680865</v>
      </c>
      <c r="Z289" s="716">
        <f>-Z287*Incidence!$X$396*IF('User Inputs'!$J$60="YES",1,0)</f>
        <v>-0.4877355333680865</v>
      </c>
      <c r="AA289" s="716">
        <f>-AA287*Incidence!$X$396*IF('User Inputs'!$J$60="YES",1,0)</f>
        <v>-0.4877355333680865</v>
      </c>
      <c r="AB289" s="716">
        <f>-AB287*Incidence!$X$396*IF('User Inputs'!$J$60="YES",1,0)</f>
        <v>-0.4877355333680865</v>
      </c>
      <c r="AC289" s="716">
        <f>-AC287*Incidence!$X$396*IF('User Inputs'!$J$60="YES",1,0)</f>
        <v>-0.4877355333680865</v>
      </c>
      <c r="AD289" s="716">
        <f>-AD287*Incidence!$X$396*IF('User Inputs'!$J$60="YES",1,0)</f>
        <v>-0.4877355333680865</v>
      </c>
      <c r="AE289" s="716"/>
      <c r="AF289" s="590">
        <f>SUMPRODUCT(Y$122:AE$122,Y289:AE289)/AF$122</f>
        <v>-0.48773553336808656</v>
      </c>
      <c r="AH289" s="716">
        <f>-AH287*Incidence!$X$396*IF('User Inputs'!$J$60="YES",1,0)</f>
        <v>-0.82915040672574725</v>
      </c>
      <c r="AI289" s="716">
        <f>-AI287*Incidence!$X$396*IF('User Inputs'!$J$60="YES",1,0)</f>
        <v>-0.82915040672574725</v>
      </c>
      <c r="AJ289" s="716">
        <f>-AJ287*Incidence!$X$396*IF('User Inputs'!$J$60="YES",1,0)</f>
        <v>-0.82915040672574725</v>
      </c>
      <c r="AK289" s="716">
        <f>-AK287*Incidence!$X$396*IF('User Inputs'!$J$60="YES",1,0)</f>
        <v>-0.82915040672574725</v>
      </c>
      <c r="AL289" s="716">
        <f>-AL287*Incidence!$X$396*IF('User Inputs'!$J$60="YES",1,0)</f>
        <v>-0.82915040672574725</v>
      </c>
      <c r="AM289" s="716">
        <f>-AM287*Incidence!$X$396*IF('User Inputs'!$J$60="YES",1,0)</f>
        <v>-0.82915040672574725</v>
      </c>
      <c r="AN289" s="716"/>
      <c r="AO289" s="590">
        <f>SUMPRODUCT(AH$122:AN$122,AH289:AN289)/AO$122</f>
        <v>-0.82915040672574747</v>
      </c>
      <c r="AQ289" s="117"/>
      <c r="AR289" s="117"/>
      <c r="BG289" s="590">
        <f>SUMPRODUCT(AZ$122:BF$122,AZ289:BF289)/BG$122</f>
        <v>0</v>
      </c>
      <c r="BP289" s="590">
        <f>SUMPRODUCT(BI$122:BO$122,BI289:BO289)/BP$122</f>
        <v>0</v>
      </c>
    </row>
    <row r="290" spans="2:82" s="3212" customFormat="1" ht="13.2" customHeight="1">
      <c r="B290" s="309" t="str">
        <f>CONCATENATE("Product of (I) percent of CBD trips that qualify for exemption, shown in 'Incidence' tab, Cell X",Incidence!AA396, "; (ii) prior row here (Row ",O287, "); and (iii) 'IF' statement reflecting applicability of exemption.")</f>
        <v>Product of (I) percent of CBD trips that qualify for exemption, shown in 'Incidence' tab, Cell X396; (ii) prior row here (Row 287); and (iii) 'IF' statement reflecting applicability of exemption.</v>
      </c>
      <c r="O290" s="39">
        <f>ROW()</f>
        <v>290</v>
      </c>
      <c r="AF290" s="3468"/>
      <c r="AO290" s="3468"/>
      <c r="BG290" s="3468"/>
      <c r="BP290" s="3468"/>
    </row>
    <row r="291" spans="2:82" s="3212" customFormat="1" ht="13.2" customHeight="1">
      <c r="B291" s="518" t="s">
        <v>5276</v>
      </c>
      <c r="O291" s="39">
        <f>ROW()</f>
        <v>291</v>
      </c>
      <c r="P291" s="2291">
        <f t="shared" ref="P291:U291" si="227">P287+P289</f>
        <v>4.3014541081995468</v>
      </c>
      <c r="Q291" s="2291">
        <f t="shared" si="227"/>
        <v>4.3014541081995468</v>
      </c>
      <c r="R291" s="2291">
        <f t="shared" si="227"/>
        <v>4.3014541081995468</v>
      </c>
      <c r="S291" s="2291">
        <f t="shared" si="227"/>
        <v>4.3014541081995468</v>
      </c>
      <c r="T291" s="2291">
        <f t="shared" si="227"/>
        <v>4.3014541081995468</v>
      </c>
      <c r="U291" s="2291">
        <f t="shared" si="227"/>
        <v>4.3014541081995468</v>
      </c>
      <c r="V291" s="2291"/>
      <c r="W291" s="2291">
        <f>SUMPRODUCT(P$122:V$122,P291:V291)/W$122</f>
        <v>4.3014541081995468</v>
      </c>
      <c r="Y291" s="2291">
        <f t="shared" ref="Y291:AD291" si="228">Y287+Y289</f>
        <v>4.3014541081995468</v>
      </c>
      <c r="Z291" s="2291">
        <f t="shared" si="228"/>
        <v>4.3014541081995468</v>
      </c>
      <c r="AA291" s="2291">
        <f t="shared" si="228"/>
        <v>4.3014541081995468</v>
      </c>
      <c r="AB291" s="2291">
        <f t="shared" si="228"/>
        <v>4.3014541081995468</v>
      </c>
      <c r="AC291" s="2291">
        <f t="shared" si="228"/>
        <v>4.3014541081995468</v>
      </c>
      <c r="AD291" s="2291">
        <f t="shared" si="228"/>
        <v>4.3014541081995468</v>
      </c>
      <c r="AE291" s="2291"/>
      <c r="AF291" s="2291">
        <f>SUMPRODUCT(Y$122:AE$122,Y291:AE291)/AF$122</f>
        <v>4.3014541081995468</v>
      </c>
      <c r="AH291" s="2291">
        <f t="shared" ref="AH291:AM291" si="229">AH287+AH289</f>
        <v>7.31247198393923</v>
      </c>
      <c r="AI291" s="2291">
        <f t="shared" si="229"/>
        <v>7.31247198393923</v>
      </c>
      <c r="AJ291" s="2291">
        <f t="shared" si="229"/>
        <v>7.31247198393923</v>
      </c>
      <c r="AK291" s="2291">
        <f t="shared" si="229"/>
        <v>7.31247198393923</v>
      </c>
      <c r="AL291" s="2291">
        <f t="shared" si="229"/>
        <v>7.31247198393923</v>
      </c>
      <c r="AM291" s="2291">
        <f t="shared" si="229"/>
        <v>7.31247198393923</v>
      </c>
      <c r="AN291" s="2291"/>
      <c r="AO291" s="2291">
        <f>SUMPRODUCT(AH$122:AN$122,AH291:AN291)/AO$122</f>
        <v>7.31247198393923</v>
      </c>
      <c r="AZ291" s="2291">
        <f t="shared" ref="AZ291:BE291" si="230">AZ287+AZ289</f>
        <v>8.7086713781619096</v>
      </c>
      <c r="BA291" s="2291">
        <f t="shared" si="230"/>
        <v>8.7086713781619096</v>
      </c>
      <c r="BB291" s="2291">
        <f t="shared" si="230"/>
        <v>8.7086713781619096</v>
      </c>
      <c r="BC291" s="2291">
        <f t="shared" si="230"/>
        <v>8.7086713781619096</v>
      </c>
      <c r="BD291" s="2291">
        <f t="shared" si="230"/>
        <v>8.7086713781619096</v>
      </c>
      <c r="BE291" s="2291">
        <f t="shared" si="230"/>
        <v>8.7086713781619096</v>
      </c>
      <c r="BF291" s="2291"/>
      <c r="BG291" s="2291">
        <f>SUMPRODUCT(AZ$122:BF$122,AZ291:BF291)/BG$122</f>
        <v>8.7086713781619096</v>
      </c>
      <c r="BI291" s="2291">
        <f t="shared" ref="BI291:BN291" si="231">BI287+BI289</f>
        <v>7.7427731485038835</v>
      </c>
      <c r="BJ291" s="2291">
        <f t="shared" si="231"/>
        <v>7.7427731485038835</v>
      </c>
      <c r="BK291" s="2291">
        <f t="shared" si="231"/>
        <v>7.7427731485038835</v>
      </c>
      <c r="BL291" s="2291">
        <f t="shared" si="231"/>
        <v>7.7427731485038835</v>
      </c>
      <c r="BM291" s="2291">
        <f t="shared" si="231"/>
        <v>7.7427731485038835</v>
      </c>
      <c r="BN291" s="2291">
        <f t="shared" si="231"/>
        <v>7.7427731485038835</v>
      </c>
      <c r="BO291" s="2291"/>
      <c r="BP291" s="2291">
        <f>SUMPRODUCT(BI$122:BO$122,BI291:BO291)/BP$122</f>
        <v>7.7427731485038853</v>
      </c>
    </row>
    <row r="292" spans="2:82" ht="13.2" customHeight="1">
      <c r="O292" s="785">
        <f>ROW()</f>
        <v>292</v>
      </c>
      <c r="AF292" s="3468"/>
      <c r="AO292" s="3468"/>
      <c r="AQ292" s="1581"/>
      <c r="AR292" s="300"/>
      <c r="AS292" s="300"/>
      <c r="AT292" s="300"/>
      <c r="AU292" s="300"/>
      <c r="AV292" s="300"/>
      <c r="AW292" s="300"/>
      <c r="AX292" s="300"/>
      <c r="BG292" s="3468"/>
      <c r="BP292" s="3468"/>
    </row>
    <row r="293" spans="2:82" ht="13.2" customHeight="1">
      <c r="B293" s="308" t="s">
        <v>2043</v>
      </c>
      <c r="H293" s="4386" t="str">
        <f>CONCATENATE("Weighted avg toll. Will change as trip times resettle. Includes trucks and buses as well as double toll (where applicable) for through-trips. Includes any current toll, unless REPLACE switch has been set in Cell L",O271, ", in which case any current toll will have been erased.")</f>
        <v>Weighted avg toll. Will change as trip times resettle. Includes trucks and buses as well as double toll (where applicable) for through-trips. Includes any current toll, unless REPLACE switch has been set in Cell L271, in which case any current toll will have been erased.</v>
      </c>
      <c r="I293" s="4387"/>
      <c r="J293" s="4387"/>
      <c r="K293" s="4387"/>
      <c r="L293" s="4387"/>
      <c r="M293" s="4387"/>
      <c r="N293" s="4306">
        <f>(W293*W122+AF293*AF122+AO293*AO122+BG293*BG122+BP293*BP122)/(W122+AF122+AO122+BG122+BP122)</f>
        <v>7.6584728043838526</v>
      </c>
      <c r="O293" s="785">
        <f>ROW()</f>
        <v>293</v>
      </c>
      <c r="P293" s="591">
        <f t="shared" ref="P293:U293" si="232">P256+P291</f>
        <v>6.2660972780297861</v>
      </c>
      <c r="Q293" s="591">
        <f t="shared" si="232"/>
        <v>6.2660972780297861</v>
      </c>
      <c r="R293" s="591">
        <f t="shared" si="232"/>
        <v>6.4591976796691339</v>
      </c>
      <c r="S293" s="591">
        <f t="shared" si="232"/>
        <v>6.2660972780297861</v>
      </c>
      <c r="T293" s="591">
        <f t="shared" si="232"/>
        <v>6.2660972780297861</v>
      </c>
      <c r="U293" s="591">
        <f t="shared" si="232"/>
        <v>6.3626474788494605</v>
      </c>
      <c r="V293" s="591"/>
      <c r="W293" s="2291">
        <f>SUMPRODUCT(P$122:V$122,P293:V293)/W$122</f>
        <v>6.3286485676455833</v>
      </c>
      <c r="X293" s="3212"/>
      <c r="Y293" s="591">
        <f t="shared" ref="Y293:AD293" si="233">Y256+Y291</f>
        <v>6.2660972780297861</v>
      </c>
      <c r="Z293" s="591">
        <f t="shared" si="233"/>
        <v>6.2660972780297861</v>
      </c>
      <c r="AA293" s="591">
        <f t="shared" si="233"/>
        <v>6.4591976796691339</v>
      </c>
      <c r="AB293" s="591">
        <f t="shared" si="233"/>
        <v>6.2660972780297861</v>
      </c>
      <c r="AC293" s="591">
        <f t="shared" si="233"/>
        <v>6.2660972780297861</v>
      </c>
      <c r="AD293" s="591">
        <f t="shared" si="233"/>
        <v>6.3626474788494605</v>
      </c>
      <c r="AE293" s="591"/>
      <c r="AF293" s="2291">
        <f>SUMPRODUCT(Y$122:AE$122,Y293:AE293)/AF$122</f>
        <v>6.3337890138435631</v>
      </c>
      <c r="AG293" s="3212"/>
      <c r="AH293" s="591">
        <f t="shared" ref="AH293:AM293" si="234">AH256+AH291</f>
        <v>10.652365372650639</v>
      </c>
      <c r="AI293" s="591">
        <f t="shared" si="234"/>
        <v>10.652365372650639</v>
      </c>
      <c r="AJ293" s="591">
        <f t="shared" si="234"/>
        <v>10.980636055437529</v>
      </c>
      <c r="AK293" s="591">
        <f t="shared" si="234"/>
        <v>10.652365372650639</v>
      </c>
      <c r="AL293" s="591">
        <f t="shared" si="234"/>
        <v>10.652365372650639</v>
      </c>
      <c r="AM293" s="591">
        <f t="shared" si="234"/>
        <v>10.816500714044084</v>
      </c>
      <c r="AN293" s="591"/>
      <c r="AO293" s="2291">
        <f>SUMPRODUCT(AH$122:AN$122,AH293:AN293)/AO$122</f>
        <v>10.750015565914884</v>
      </c>
      <c r="AP293" s="3212"/>
      <c r="AQ293" s="3212"/>
      <c r="AR293" s="3212"/>
      <c r="AS293" s="3212"/>
      <c r="AT293" s="3212"/>
      <c r="AU293" s="3212"/>
      <c r="AV293" s="3212"/>
      <c r="AW293" s="3212"/>
      <c r="AX293" s="3212"/>
      <c r="AY293" s="3212"/>
      <c r="AZ293" s="591">
        <f t="shared" ref="AZ293:BE293" si="235">AZ256+AZ291</f>
        <v>12.637957717822388</v>
      </c>
      <c r="BA293" s="591">
        <f t="shared" si="235"/>
        <v>12.637957717822388</v>
      </c>
      <c r="BB293" s="591">
        <f t="shared" si="235"/>
        <v>13.024158521101084</v>
      </c>
      <c r="BC293" s="591">
        <f t="shared" si="235"/>
        <v>12.637957717822388</v>
      </c>
      <c r="BD293" s="591">
        <f t="shared" si="235"/>
        <v>12.637957717822388</v>
      </c>
      <c r="BE293" s="591">
        <f t="shared" si="235"/>
        <v>12.831058119461737</v>
      </c>
      <c r="BF293" s="591"/>
      <c r="BG293" s="2291">
        <f>SUMPRODUCT(AZ$122:BF$122,AZ293:BF293)/BG$122</f>
        <v>12.766091743414185</v>
      </c>
      <c r="BH293" s="3212"/>
      <c r="BI293" s="591">
        <f t="shared" ref="BI293:BN293" si="236">BI256+BI291</f>
        <v>11.672059488164363</v>
      </c>
      <c r="BJ293" s="591">
        <f t="shared" si="236"/>
        <v>11.672059488164363</v>
      </c>
      <c r="BK293" s="591">
        <f t="shared" si="236"/>
        <v>12.058260291443059</v>
      </c>
      <c r="BL293" s="591">
        <f t="shared" si="236"/>
        <v>11.672059488164363</v>
      </c>
      <c r="BM293" s="591">
        <f t="shared" si="236"/>
        <v>11.672059488164363</v>
      </c>
      <c r="BN293" s="591">
        <f t="shared" si="236"/>
        <v>11.86515988980371</v>
      </c>
      <c r="BO293" s="591"/>
      <c r="BP293" s="2291">
        <f>SUMPRODUCT(BI$122:BO$122,BI293:BO293)/BP$122</f>
        <v>11.80019351375616</v>
      </c>
    </row>
    <row r="294" spans="2:82" ht="13.2" customHeight="1">
      <c r="H294" s="4387"/>
      <c r="I294" s="4387"/>
      <c r="J294" s="4387"/>
      <c r="K294" s="4387"/>
      <c r="L294" s="4387"/>
      <c r="M294" s="4387"/>
      <c r="N294" s="3952"/>
      <c r="O294" s="785">
        <f>ROW()</f>
        <v>294</v>
      </c>
      <c r="P294" s="611"/>
      <c r="Q294" s="3212"/>
      <c r="R294" s="3212"/>
      <c r="S294" s="3212"/>
      <c r="T294" s="3212"/>
      <c r="U294" s="3212"/>
      <c r="V294" s="3212"/>
      <c r="W294" s="3212"/>
      <c r="X294" s="3212"/>
      <c r="Y294" s="611"/>
      <c r="Z294" s="3212"/>
      <c r="AA294" s="3212"/>
      <c r="AB294" s="3212"/>
      <c r="AC294" s="3212"/>
      <c r="AD294" s="3212"/>
      <c r="AE294" s="3212"/>
      <c r="AF294" s="3468"/>
      <c r="AG294" s="3212"/>
      <c r="AH294" s="611"/>
      <c r="AI294" s="3212"/>
      <c r="AJ294" s="3212"/>
      <c r="AK294" s="3212"/>
      <c r="AL294" s="3212"/>
      <c r="AM294" s="3212"/>
      <c r="AN294" s="3212"/>
      <c r="AO294" s="3468"/>
      <c r="AP294" s="3212"/>
      <c r="AQ294" s="3212"/>
      <c r="AR294" s="3212"/>
      <c r="AS294" s="3212"/>
      <c r="AT294" s="3212"/>
      <c r="AU294" s="3212"/>
      <c r="AV294" s="3212"/>
      <c r="AW294" s="3212"/>
      <c r="AX294" s="3212"/>
      <c r="AY294" s="3212"/>
      <c r="AZ294" s="611"/>
      <c r="BA294" s="3212"/>
      <c r="BB294" s="3212"/>
      <c r="BC294" s="3212"/>
      <c r="BD294" s="3212"/>
      <c r="BE294" s="3212"/>
      <c r="BF294" s="3212"/>
      <c r="BG294" s="3468"/>
      <c r="BH294" s="3212"/>
      <c r="BI294" s="611"/>
      <c r="BJ294" s="3212"/>
      <c r="BK294" s="3212"/>
      <c r="BL294" s="3212"/>
      <c r="BM294" s="3212"/>
      <c r="BN294" s="3212"/>
      <c r="BO294" s="3212"/>
      <c r="BP294" s="3468"/>
    </row>
    <row r="295" spans="2:82" ht="13.2" customHeight="1">
      <c r="B295" s="308" t="str">
        <f>CONCATENATE("Near-Final Trip Cost - including new toll (sum of Rows ",O253," and ",O291,")")</f>
        <v>Near-Final Trip Cost - including new toll (sum of Rows 253 and 291)</v>
      </c>
      <c r="H295" s="4387"/>
      <c r="I295" s="4387"/>
      <c r="J295" s="4387"/>
      <c r="K295" s="4387"/>
      <c r="L295" s="4387"/>
      <c r="M295" s="4387"/>
      <c r="N295" s="3952"/>
      <c r="O295" s="785">
        <f>ROW()</f>
        <v>295</v>
      </c>
      <c r="P295" s="1703">
        <f t="shared" ref="P295:U295" si="237">P253+P291</f>
        <v>14.322185593831168</v>
      </c>
      <c r="Q295" s="1703">
        <f t="shared" si="237"/>
        <v>18.123301536218424</v>
      </c>
      <c r="R295" s="1703">
        <f t="shared" si="237"/>
        <v>22.026057340965757</v>
      </c>
      <c r="S295" s="1703">
        <f t="shared" si="237"/>
        <v>25.814623005075244</v>
      </c>
      <c r="T295" s="1703">
        <f t="shared" si="237"/>
        <v>24.278561552047947</v>
      </c>
      <c r="U295" s="1703">
        <f t="shared" si="237"/>
        <v>19.6744272072172</v>
      </c>
      <c r="V295" s="1703"/>
      <c r="W295" s="2291">
        <f>SUMPRODUCT(P$122:V$122,P295:V295)/W$122</f>
        <v>19.726985217444707</v>
      </c>
      <c r="X295" s="86"/>
      <c r="Y295" s="1703">
        <f t="shared" ref="Y295:AD295" si="238">Y253+Y291</f>
        <v>14.322185593831168</v>
      </c>
      <c r="Z295" s="1703">
        <f t="shared" si="238"/>
        <v>18.123301536218424</v>
      </c>
      <c r="AA295" s="1703">
        <f t="shared" si="238"/>
        <v>22.026057340965757</v>
      </c>
      <c r="AB295" s="1703">
        <f t="shared" si="238"/>
        <v>25.814623005075244</v>
      </c>
      <c r="AC295" s="1703">
        <f t="shared" si="238"/>
        <v>24.278561552047947</v>
      </c>
      <c r="AD295" s="1703">
        <f t="shared" si="238"/>
        <v>19.6744272072172</v>
      </c>
      <c r="AE295" s="1703"/>
      <c r="AF295" s="2291">
        <f>SUMPRODUCT(Y$122:AE$122,Y295:AE295)/AF$122</f>
        <v>21.239480584765538</v>
      </c>
      <c r="AG295" s="86"/>
      <c r="AH295" s="1703">
        <f t="shared" ref="AH295:AM295" si="239">AH253+AH291</f>
        <v>21.397549075214442</v>
      </c>
      <c r="AI295" s="1703">
        <f t="shared" si="239"/>
        <v>24.288029069783274</v>
      </c>
      <c r="AJ295" s="1703">
        <f t="shared" si="239"/>
        <v>26.327986328369981</v>
      </c>
      <c r="AK295" s="1703">
        <f t="shared" si="239"/>
        <v>27.11444332816378</v>
      </c>
      <c r="AL295" s="1703">
        <f t="shared" si="239"/>
        <v>25.560378240154286</v>
      </c>
      <c r="AM295" s="1703">
        <f t="shared" si="239"/>
        <v>24.523195058338338</v>
      </c>
      <c r="AN295" s="1703"/>
      <c r="AO295" s="2291">
        <f>SUMPRODUCT(AH$122:AN$122,AH295:AN295)/AO$122</f>
        <v>24.492758463401739</v>
      </c>
      <c r="AP295" s="86"/>
      <c r="AQ295" s="1701"/>
      <c r="AR295" s="1582"/>
      <c r="AS295" s="1582"/>
      <c r="AT295" s="1582"/>
      <c r="AU295" s="1582"/>
      <c r="AV295" s="1582"/>
      <c r="AW295" s="1582"/>
      <c r="AX295" s="1582"/>
      <c r="AY295" s="86"/>
      <c r="AZ295" s="1703">
        <f t="shared" ref="AZ295:BE295" si="240">AZ253+AZ291</f>
        <v>27.260687981247131</v>
      </c>
      <c r="BA295" s="1703">
        <f t="shared" si="240"/>
        <v>31.138473497843624</v>
      </c>
      <c r="BB295" s="1703">
        <f t="shared" si="240"/>
        <v>34.10273510733829</v>
      </c>
      <c r="BC295" s="1703">
        <f t="shared" si="240"/>
        <v>35.13861643555726</v>
      </c>
      <c r="BD295" s="1703">
        <f t="shared" si="240"/>
        <v>32.851493529502676</v>
      </c>
      <c r="BE295" s="1703">
        <f t="shared" si="240"/>
        <v>31.724474839841172</v>
      </c>
      <c r="BF295" s="1703"/>
      <c r="BG295" s="2291">
        <f>SUMPRODUCT(AZ$122:BF$122,AZ295:BF295)/BG$122</f>
        <v>32.060368062565452</v>
      </c>
      <c r="BH295" s="86"/>
      <c r="BI295" s="1703">
        <f t="shared" ref="BI295:BN295" si="241">BI253+BI291</f>
        <v>32.11137336895932</v>
      </c>
      <c r="BJ295" s="1703">
        <f t="shared" si="241"/>
        <v>36.215770129511903</v>
      </c>
      <c r="BK295" s="1703">
        <f t="shared" si="241"/>
        <v>40.110937142114565</v>
      </c>
      <c r="BL295" s="1703">
        <f t="shared" si="241"/>
        <v>41.544734536082366</v>
      </c>
      <c r="BM295" s="1703">
        <f t="shared" si="241"/>
        <v>38.286550177000478</v>
      </c>
      <c r="BN295" s="1703">
        <f t="shared" si="241"/>
        <v>36.640096941688562</v>
      </c>
      <c r="BO295" s="1703"/>
      <c r="BP295" s="2291">
        <f>SUMPRODUCT(BI$122:BO$122,BI295:BO295)/BP$122</f>
        <v>37.626465424541962</v>
      </c>
    </row>
    <row r="296" spans="2:82" ht="13.2" customHeight="1">
      <c r="O296" s="785">
        <f>ROW()</f>
        <v>296</v>
      </c>
      <c r="AF296" s="3468"/>
      <c r="AO296" s="3468"/>
      <c r="AQ296" s="1581"/>
      <c r="AR296" s="300"/>
      <c r="AS296" s="300"/>
      <c r="AT296" s="300"/>
      <c r="AU296" s="300"/>
      <c r="AV296" s="300"/>
      <c r="AW296" s="300"/>
      <c r="AX296" s="300"/>
      <c r="BG296" s="3468"/>
      <c r="BP296" s="3468"/>
    </row>
    <row r="297" spans="2:82" ht="13.2" customHeight="1">
      <c r="B297" s="2480" t="s">
        <v>6076</v>
      </c>
      <c r="C297" s="3468"/>
      <c r="D297" s="3468"/>
      <c r="E297" s="3468"/>
      <c r="F297" s="3468"/>
      <c r="G297" s="3468"/>
      <c r="H297" s="3468"/>
      <c r="I297" s="4422" t="s">
        <v>6135</v>
      </c>
      <c r="J297" s="4423"/>
      <c r="K297" s="4423"/>
      <c r="L297" s="4248"/>
      <c r="M297" s="4426">
        <f>'Motor Vs'!M297</f>
        <v>0.5</v>
      </c>
      <c r="N297" s="3468"/>
      <c r="O297" s="926">
        <f>ROW()</f>
        <v>297</v>
      </c>
      <c r="P297" s="1704"/>
      <c r="Q297" s="1704"/>
      <c r="R297" s="1704"/>
      <c r="S297" s="1704"/>
      <c r="T297" s="1704"/>
      <c r="U297" s="1704"/>
      <c r="V297" s="1705"/>
      <c r="W297" s="86"/>
      <c r="X297" s="86"/>
      <c r="Y297" s="1704"/>
      <c r="Z297" s="1704"/>
      <c r="AA297" s="1704"/>
      <c r="AB297" s="1704"/>
      <c r="AC297" s="1704"/>
      <c r="AD297" s="1704"/>
      <c r="AE297" s="1705"/>
      <c r="AF297" s="86"/>
      <c r="AG297" s="86"/>
      <c r="AH297" s="1704"/>
      <c r="AI297" s="1704"/>
      <c r="AJ297" s="1704"/>
      <c r="AK297" s="1704"/>
      <c r="AL297" s="1704"/>
      <c r="AM297" s="1704"/>
      <c r="AN297" s="1705"/>
      <c r="AO297" s="86"/>
      <c r="AP297" s="86"/>
      <c r="AX297" s="86"/>
      <c r="AY297" s="86"/>
      <c r="AZ297" s="1704"/>
      <c r="BA297" s="1704"/>
      <c r="BB297" s="1704"/>
      <c r="BC297" s="1704"/>
      <c r="BD297" s="1704"/>
      <c r="BE297" s="1704"/>
      <c r="BF297" s="86"/>
      <c r="BG297" s="86"/>
      <c r="BH297" s="86"/>
      <c r="BI297" s="1704"/>
      <c r="BJ297" s="1704"/>
      <c r="BK297" s="1704"/>
      <c r="BL297" s="1704"/>
      <c r="BM297" s="1704"/>
      <c r="BN297" s="1704"/>
      <c r="BO297" s="86"/>
      <c r="BP297" s="86"/>
      <c r="BQ297" s="86"/>
      <c r="BR297" s="86"/>
      <c r="BS297" s="86"/>
      <c r="BT297" s="86"/>
      <c r="BU297" s="86"/>
      <c r="BV297" s="86"/>
      <c r="BW297" s="86"/>
      <c r="BX297" s="86"/>
      <c r="BY297" s="86"/>
      <c r="BZ297" s="86"/>
      <c r="CA297" s="86"/>
      <c r="CB297" s="86"/>
      <c r="CC297" s="86"/>
      <c r="CD297" s="86"/>
    </row>
    <row r="298" spans="2:82" ht="13.2" customHeight="1">
      <c r="B298" s="3468"/>
      <c r="C298" s="3468"/>
      <c r="D298" s="3468"/>
      <c r="E298" s="3468"/>
      <c r="F298" s="3468"/>
      <c r="G298" s="3468"/>
      <c r="H298" s="3468"/>
      <c r="I298" s="4249"/>
      <c r="J298" s="4424"/>
      <c r="K298" s="4424"/>
      <c r="L298" s="4250"/>
      <c r="M298" s="3952"/>
      <c r="N298" s="3468"/>
      <c r="O298" s="926">
        <f>ROW()</f>
        <v>298</v>
      </c>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row>
    <row r="299" spans="2:82" ht="13.2" customHeight="1">
      <c r="B299" s="316" t="s">
        <v>6066</v>
      </c>
      <c r="C299" s="3468"/>
      <c r="D299" s="3468"/>
      <c r="E299" s="3468"/>
      <c r="F299" s="3468"/>
      <c r="G299" s="1100" t="str">
        <f>CONCATENATE("Reproduced from Row ",O244, ".")</f>
        <v>Reproduced from Row 244.</v>
      </c>
      <c r="H299" s="3468"/>
      <c r="I299" s="4251"/>
      <c r="J299" s="4425"/>
      <c r="K299" s="4425"/>
      <c r="L299" s="4252"/>
      <c r="M299" s="3470" t="s">
        <v>6064</v>
      </c>
      <c r="N299" s="3468"/>
      <c r="O299" s="136">
        <f>ROW()</f>
        <v>299</v>
      </c>
      <c r="P299" s="32">
        <f t="shared" ref="P299:U299" si="242">P244</f>
        <v>7.5</v>
      </c>
      <c r="Q299" s="32">
        <f t="shared" si="242"/>
        <v>15</v>
      </c>
      <c r="R299" s="32">
        <f t="shared" si="242"/>
        <v>18.75</v>
      </c>
      <c r="S299" s="32">
        <f t="shared" si="242"/>
        <v>22.5</v>
      </c>
      <c r="T299" s="32">
        <f t="shared" si="242"/>
        <v>22.5</v>
      </c>
      <c r="U299" s="32">
        <f t="shared" si="242"/>
        <v>18.75</v>
      </c>
      <c r="W299" s="590">
        <f>SUMPRODUCT(P$122:V$122,P299:V299)/W$122</f>
        <v>15.693857825317107</v>
      </c>
      <c r="Y299" s="32">
        <f t="shared" ref="Y299:AD299" si="243">Y244</f>
        <v>7.5</v>
      </c>
      <c r="Z299" s="32">
        <f t="shared" si="243"/>
        <v>15</v>
      </c>
      <c r="AA299" s="32">
        <f t="shared" si="243"/>
        <v>18.75</v>
      </c>
      <c r="AB299" s="32">
        <f t="shared" si="243"/>
        <v>22.5</v>
      </c>
      <c r="AC299" s="32">
        <f t="shared" si="243"/>
        <v>22.5</v>
      </c>
      <c r="AD299" s="32">
        <f t="shared" si="243"/>
        <v>18.75</v>
      </c>
      <c r="AE299" s="3468"/>
      <c r="AF299" s="590">
        <f>SUMPRODUCT(Y$122:AE$122,Y299:AE299)/AF$122</f>
        <v>17.723158963908833</v>
      </c>
      <c r="AO299" s="590"/>
      <c r="AZ299" s="32">
        <f t="shared" ref="AZ299:BE299" si="244">AZ244</f>
        <v>11.25</v>
      </c>
      <c r="BA299" s="32">
        <f t="shared" si="244"/>
        <v>22.5</v>
      </c>
      <c r="BB299" s="32">
        <f t="shared" si="244"/>
        <v>28.125</v>
      </c>
      <c r="BC299" s="32">
        <f t="shared" si="244"/>
        <v>33.75</v>
      </c>
      <c r="BD299" s="32">
        <f t="shared" si="244"/>
        <v>33.75</v>
      </c>
      <c r="BE299" s="32">
        <f t="shared" si="244"/>
        <v>28.125</v>
      </c>
      <c r="BF299" s="3468"/>
      <c r="BG299" s="590">
        <f>SUMPRODUCT(AZ$122:BF$122,AZ299:BF299)/BG$122</f>
        <v>25.273661724140819</v>
      </c>
      <c r="BI299" s="32">
        <f t="shared" ref="BI299:BN299" si="245">BI244</f>
        <v>11.25</v>
      </c>
      <c r="BJ299" s="32">
        <f t="shared" si="245"/>
        <v>22.5</v>
      </c>
      <c r="BK299" s="32">
        <f t="shared" si="245"/>
        <v>28.125</v>
      </c>
      <c r="BL299" s="32">
        <f t="shared" si="245"/>
        <v>33.75</v>
      </c>
      <c r="BM299" s="32">
        <f t="shared" si="245"/>
        <v>33.75</v>
      </c>
      <c r="BN299" s="32">
        <f t="shared" si="245"/>
        <v>28.125</v>
      </c>
      <c r="BO299" s="3468"/>
      <c r="BP299" s="590">
        <f>SUMPRODUCT(BI$122:BO$122,BI299:BO299)/BP$122</f>
        <v>25.273661724140823</v>
      </c>
    </row>
    <row r="300" spans="2:82" s="3467" customFormat="1" ht="13.2" customHeight="1">
      <c r="B300" s="316" t="s">
        <v>6067</v>
      </c>
      <c r="C300" s="3468"/>
      <c r="D300" s="3468"/>
      <c r="E300" s="3468"/>
      <c r="F300" s="3468"/>
      <c r="G300" s="1100" t="str">
        <f>CONCATENATE("Reproduced from Row ",O287, ".")</f>
        <v>Reproduced from Row 287.</v>
      </c>
      <c r="H300" s="3468"/>
      <c r="I300" s="3468"/>
      <c r="J300" s="3468"/>
      <c r="K300" s="3468"/>
      <c r="L300" s="3468"/>
      <c r="M300" s="3468"/>
      <c r="N300" s="3468"/>
      <c r="O300" s="136">
        <f>ROW()</f>
        <v>300</v>
      </c>
      <c r="P300" s="32">
        <f t="shared" ref="P300:U300" si="246">P287</f>
        <v>4.7891896415676332</v>
      </c>
      <c r="Q300" s="32">
        <f t="shared" si="246"/>
        <v>4.7891896415676332</v>
      </c>
      <c r="R300" s="32">
        <f t="shared" si="246"/>
        <v>4.7891896415676332</v>
      </c>
      <c r="S300" s="32">
        <f t="shared" si="246"/>
        <v>4.7891896415676332</v>
      </c>
      <c r="T300" s="32">
        <f t="shared" si="246"/>
        <v>4.7891896415676332</v>
      </c>
      <c r="U300" s="32">
        <f t="shared" si="246"/>
        <v>4.7891896415676332</v>
      </c>
      <c r="V300"/>
      <c r="W300" s="590">
        <f>SUMPRODUCT(P$122:V$122,P300:V300)/W$122</f>
        <v>4.7891896415676332</v>
      </c>
      <c r="Y300" s="32">
        <f t="shared" ref="Y300:AD300" si="247">Y287</f>
        <v>4.7891896415676332</v>
      </c>
      <c r="Z300" s="32">
        <f t="shared" si="247"/>
        <v>4.7891896415676332</v>
      </c>
      <c r="AA300" s="32">
        <f t="shared" si="247"/>
        <v>4.7891896415676332</v>
      </c>
      <c r="AB300" s="32">
        <f t="shared" si="247"/>
        <v>4.7891896415676332</v>
      </c>
      <c r="AC300" s="32">
        <f t="shared" si="247"/>
        <v>4.7891896415676332</v>
      </c>
      <c r="AD300" s="32">
        <f t="shared" si="247"/>
        <v>4.7891896415676332</v>
      </c>
      <c r="AE300" s="3468"/>
      <c r="AF300" s="590">
        <f>SUMPRODUCT(Y$122:AE$122,Y300:AE300)/AF$122</f>
        <v>4.789189641567634</v>
      </c>
      <c r="AO300" s="590"/>
      <c r="AZ300" s="32">
        <f t="shared" ref="AZ300:BE300" si="248">AZ287</f>
        <v>8.7086713781619096</v>
      </c>
      <c r="BA300" s="32">
        <f t="shared" si="248"/>
        <v>8.7086713781619096</v>
      </c>
      <c r="BB300" s="32">
        <f t="shared" si="248"/>
        <v>8.7086713781619096</v>
      </c>
      <c r="BC300" s="32">
        <f t="shared" si="248"/>
        <v>8.7086713781619096</v>
      </c>
      <c r="BD300" s="32">
        <f t="shared" si="248"/>
        <v>8.7086713781619096</v>
      </c>
      <c r="BE300" s="32">
        <f t="shared" si="248"/>
        <v>8.7086713781619096</v>
      </c>
      <c r="BF300" s="3468"/>
      <c r="BG300" s="590">
        <f>SUMPRODUCT(AZ$122:BF$122,AZ300:BF300)/BG$122</f>
        <v>8.7086713781619096</v>
      </c>
      <c r="BI300" s="32">
        <f t="shared" ref="BI300:BN300" si="249">BI287</f>
        <v>7.7427731485038835</v>
      </c>
      <c r="BJ300" s="32">
        <f t="shared" si="249"/>
        <v>7.7427731485038835</v>
      </c>
      <c r="BK300" s="32">
        <f t="shared" si="249"/>
        <v>7.7427731485038835</v>
      </c>
      <c r="BL300" s="32">
        <f t="shared" si="249"/>
        <v>7.7427731485038835</v>
      </c>
      <c r="BM300" s="32">
        <f t="shared" si="249"/>
        <v>7.7427731485038835</v>
      </c>
      <c r="BN300" s="32">
        <f t="shared" si="249"/>
        <v>7.7427731485038835</v>
      </c>
      <c r="BO300" s="3468"/>
      <c r="BP300" s="590">
        <f>SUMPRODUCT(BI$122:BO$122,BI300:BO300)/BP$122</f>
        <v>7.7427731485038853</v>
      </c>
    </row>
    <row r="301" spans="2:82" s="3467" customFormat="1" ht="13.2" customHeight="1">
      <c r="B301" s="316" t="s">
        <v>6068</v>
      </c>
      <c r="C301" s="3468"/>
      <c r="D301" s="3468"/>
      <c r="E301" s="3468"/>
      <c r="F301" s="3468"/>
      <c r="G301" s="1100" t="str">
        <f>CONCATENATE("Sum of Cells I",O71, " and J",O71,", which pertain to auto work and non-work trips, resp'ly.")</f>
        <v>Sum of Cells I71 and J71, which pertain to auto work and non-work trips, resp'ly.</v>
      </c>
      <c r="H301" s="3468"/>
      <c r="I301" s="3468"/>
      <c r="J301" s="3468"/>
      <c r="K301" s="3468"/>
      <c r="L301" s="3468"/>
      <c r="M301" s="3468"/>
      <c r="N301" s="10">
        <f>I71+J71</f>
        <v>369339.99999999994</v>
      </c>
      <c r="O301" s="136">
        <f>ROW()</f>
        <v>301</v>
      </c>
      <c r="P301" s="611"/>
      <c r="Q301" s="3468"/>
      <c r="R301" s="3468"/>
      <c r="S301" s="3468"/>
      <c r="T301" s="3468"/>
      <c r="U301" s="3468"/>
      <c r="V301"/>
      <c r="Y301" s="611"/>
      <c r="Z301" s="3468"/>
      <c r="AA301" s="3468"/>
      <c r="AB301" s="3468"/>
      <c r="AC301" s="3468"/>
      <c r="AD301" s="3468"/>
      <c r="AE301" s="3468"/>
      <c r="AF301" s="3468"/>
      <c r="AO301" s="3468"/>
      <c r="AZ301" s="611"/>
      <c r="BA301" s="3468"/>
      <c r="BB301" s="3468"/>
      <c r="BC301" s="3468"/>
      <c r="BD301" s="3468"/>
      <c r="BE301" s="3468"/>
      <c r="BF301" s="3468"/>
      <c r="BG301" s="3468"/>
      <c r="BI301" s="611"/>
      <c r="BJ301" s="3468"/>
      <c r="BK301" s="3468"/>
      <c r="BL301" s="3468"/>
      <c r="BM301" s="3468"/>
      <c r="BN301" s="3468"/>
      <c r="BO301" s="3468"/>
      <c r="BP301" s="3468"/>
    </row>
    <row r="302" spans="2:82" s="3467" customFormat="1" ht="13.2" customHeight="1">
      <c r="B302" s="316" t="s">
        <v>6069</v>
      </c>
      <c r="C302" s="3468"/>
      <c r="D302" s="3468"/>
      <c r="E302" s="3468"/>
      <c r="F302" s="3468"/>
      <c r="G302" s="1100" t="str">
        <f>CONCATENATE("Sum of Cells W",O848, " and AF",O848,", which also pertain to auto work + non-work trips).")</f>
        <v>Sum of Cells W848 and AF848, which also pertain to auto work + non-work trips).</v>
      </c>
      <c r="H302" s="3468"/>
      <c r="I302" s="3468"/>
      <c r="J302" s="3468"/>
      <c r="K302" s="3468"/>
      <c r="L302" s="3468"/>
      <c r="M302" s="3468"/>
      <c r="N302" s="10">
        <f ca="1">W848+AF848</f>
        <v>310857.93270316767</v>
      </c>
      <c r="O302" s="136">
        <f>ROW()</f>
        <v>302</v>
      </c>
      <c r="P302" s="611"/>
      <c r="Q302" s="3468"/>
      <c r="R302" s="3468"/>
      <c r="S302" s="3468"/>
      <c r="T302" s="3468"/>
      <c r="U302" s="3468"/>
      <c r="V302"/>
      <c r="Y302" s="611"/>
      <c r="Z302" s="3468"/>
      <c r="AA302" s="3468"/>
      <c r="AB302" s="3468"/>
      <c r="AC302" s="3468"/>
      <c r="AD302" s="3468"/>
      <c r="AE302" s="3468"/>
      <c r="AF302" s="3468"/>
      <c r="AO302" s="3468"/>
      <c r="AZ302" s="611"/>
      <c r="BA302" s="3468"/>
      <c r="BB302" s="3468"/>
      <c r="BC302" s="3468"/>
      <c r="BD302" s="3468"/>
      <c r="BE302" s="3468"/>
      <c r="BF302" s="3468"/>
      <c r="BG302" s="3468"/>
      <c r="BI302" s="611"/>
      <c r="BJ302" s="3468"/>
      <c r="BK302" s="3468"/>
      <c r="BL302" s="3468"/>
      <c r="BM302" s="3468"/>
      <c r="BN302" s="3468"/>
      <c r="BO302" s="3468"/>
      <c r="BP302" s="3468"/>
    </row>
    <row r="303" spans="2:82" s="3467" customFormat="1" ht="13.2" customHeight="1">
      <c r="B303" s="316" t="s">
        <v>6062</v>
      </c>
      <c r="C303" s="3468"/>
      <c r="D303" s="3468"/>
      <c r="E303" s="3468"/>
      <c r="F303" s="3468"/>
      <c r="G303" s="3468"/>
      <c r="H303" s="3468"/>
      <c r="I303" s="3468"/>
      <c r="J303" s="3468"/>
      <c r="K303" s="3468"/>
      <c r="L303" s="3481" t="s">
        <v>6063</v>
      </c>
      <c r="M303" s="3480">
        <f ca="1">N303/'Motor Vs'!N301</f>
        <v>0.13166299089745662</v>
      </c>
      <c r="N303" s="10">
        <f ca="1">N301-N302</f>
        <v>58482.067296832276</v>
      </c>
      <c r="O303" s="136">
        <f>ROW()</f>
        <v>303</v>
      </c>
      <c r="P303" s="611"/>
      <c r="Q303" s="3468"/>
      <c r="R303" s="3468"/>
      <c r="S303" s="3468"/>
      <c r="T303" s="3468"/>
      <c r="U303" s="3468"/>
      <c r="V303"/>
      <c r="Y303" s="611"/>
      <c r="Z303" s="3468"/>
      <c r="AA303" s="3468"/>
      <c r="AB303" s="3468"/>
      <c r="AC303" s="3468"/>
      <c r="AD303" s="3468"/>
      <c r="AE303" s="3468"/>
      <c r="AF303" s="3468"/>
      <c r="AO303" s="3468"/>
      <c r="AZ303" s="611"/>
      <c r="BA303" s="3468"/>
      <c r="BB303" s="3468"/>
      <c r="BC303" s="3468"/>
      <c r="BD303" s="3468"/>
      <c r="BE303" s="3468"/>
      <c r="BF303" s="3468"/>
      <c r="BG303" s="3468"/>
      <c r="BI303" s="611"/>
      <c r="BJ303" s="3468"/>
      <c r="BK303" s="3468"/>
      <c r="BL303" s="3468"/>
      <c r="BM303" s="3468"/>
      <c r="BN303" s="3468"/>
      <c r="BO303" s="3468"/>
      <c r="BP303" s="3468"/>
    </row>
    <row r="304" spans="2:82" s="3467" customFormat="1" ht="13.2" customHeight="1">
      <c r="B304" s="1815" t="s">
        <v>6070</v>
      </c>
      <c r="C304" s="3468"/>
      <c r="D304" s="3468"/>
      <c r="E304" s="3468"/>
      <c r="F304" s="3468"/>
      <c r="G304" s="826" t="str">
        <f>CONCATENATE("Product of %'s in Rows ",O297, " and ",O303, ", but capped at 1/2 cordon toll.")</f>
        <v>Product of %'s in Rows 297 and 303, but capped at 1/2 cordon toll.</v>
      </c>
      <c r="H304" s="3468"/>
      <c r="I304" s="3468"/>
      <c r="J304" s="3468"/>
      <c r="K304" s="3468"/>
      <c r="L304" s="4465" t="s">
        <v>6075</v>
      </c>
      <c r="M304" s="4466"/>
      <c r="N304" s="3485">
        <f ca="1">M303/M297</f>
        <v>0.26332598179491323</v>
      </c>
      <c r="O304" s="136">
        <f>ROW()</f>
        <v>304</v>
      </c>
      <c r="P304" s="32">
        <f t="shared" ref="P304:U304" ca="1" si="250">MAX(-$N$304*P300,-0.5*P300)</f>
        <v>-1.2611180643678257</v>
      </c>
      <c r="Q304" s="32">
        <f t="shared" ca="1" si="250"/>
        <v>-1.2611180643678257</v>
      </c>
      <c r="R304" s="32">
        <f t="shared" ca="1" si="250"/>
        <v>-1.2611180643678257</v>
      </c>
      <c r="S304" s="32">
        <f t="shared" ca="1" si="250"/>
        <v>-1.2611180643678257</v>
      </c>
      <c r="T304" s="32">
        <f t="shared" ca="1" si="250"/>
        <v>-1.2611180643678257</v>
      </c>
      <c r="U304" s="32">
        <f t="shared" ca="1" si="250"/>
        <v>-1.2611180643678257</v>
      </c>
      <c r="V304"/>
      <c r="W304" s="590">
        <f ca="1">SUMPRODUCT(P$122:V$122,P304:V304)/W$122</f>
        <v>-1.2611180643678257</v>
      </c>
      <c r="Y304" s="32">
        <f t="shared" ref="Y304:AD304" ca="1" si="251">MAX(-$N$304*Y300,-0.5*Y300)</f>
        <v>-1.2611180643678257</v>
      </c>
      <c r="Z304" s="32">
        <f t="shared" ca="1" si="251"/>
        <v>-1.2611180643678257</v>
      </c>
      <c r="AA304" s="32">
        <f t="shared" ca="1" si="251"/>
        <v>-1.2611180643678257</v>
      </c>
      <c r="AB304" s="32">
        <f t="shared" ca="1" si="251"/>
        <v>-1.2611180643678257</v>
      </c>
      <c r="AC304" s="32">
        <f t="shared" ca="1" si="251"/>
        <v>-1.2611180643678257</v>
      </c>
      <c r="AD304" s="32">
        <f t="shared" ca="1" si="251"/>
        <v>-1.2611180643678257</v>
      </c>
      <c r="AE304" s="3468"/>
      <c r="AF304" s="590">
        <f ca="1">SUMPRODUCT(Y$122:AE$122,Y304:AE304)/AF$122</f>
        <v>-1.2611180643678259</v>
      </c>
      <c r="AO304" s="590"/>
      <c r="AZ304" s="32">
        <f t="shared" ref="AZ304:BE304" ca="1" si="252">MAX(-$N$304*AZ300,-0.5*AZ300)</f>
        <v>-2.2932194407837447</v>
      </c>
      <c r="BA304" s="32">
        <f t="shared" ca="1" si="252"/>
        <v>-2.2932194407837447</v>
      </c>
      <c r="BB304" s="32">
        <f t="shared" ca="1" si="252"/>
        <v>-2.2932194407837447</v>
      </c>
      <c r="BC304" s="32">
        <f t="shared" ca="1" si="252"/>
        <v>-2.2932194407837447</v>
      </c>
      <c r="BD304" s="32">
        <f t="shared" ca="1" si="252"/>
        <v>-2.2932194407837447</v>
      </c>
      <c r="BE304" s="32">
        <f t="shared" ca="1" si="252"/>
        <v>-2.2932194407837447</v>
      </c>
      <c r="BF304" s="3468"/>
      <c r="BG304" s="590">
        <f ca="1">SUMPRODUCT(AZ$122:BF$122,AZ304:BF304)/BG$122</f>
        <v>-2.2932194407837447</v>
      </c>
      <c r="BI304" s="32">
        <f t="shared" ref="BI304:BN304" ca="1" si="253">MAX(-$N$304*BI300,-0.5*BI300)</f>
        <v>-2.0388733411450768</v>
      </c>
      <c r="BJ304" s="32">
        <f t="shared" ca="1" si="253"/>
        <v>-2.0388733411450768</v>
      </c>
      <c r="BK304" s="32">
        <f t="shared" ca="1" si="253"/>
        <v>-2.0388733411450768</v>
      </c>
      <c r="BL304" s="32">
        <f t="shared" ca="1" si="253"/>
        <v>-2.0388733411450768</v>
      </c>
      <c r="BM304" s="32">
        <f t="shared" ca="1" si="253"/>
        <v>-2.0388733411450768</v>
      </c>
      <c r="BN304" s="32">
        <f t="shared" ca="1" si="253"/>
        <v>-2.0388733411450768</v>
      </c>
      <c r="BO304" s="3468"/>
      <c r="BP304" s="590">
        <f ca="1">SUMPRODUCT(BI$122:BO$122,BI304:BO304)/BP$122</f>
        <v>-2.0388733411450768</v>
      </c>
    </row>
    <row r="305" spans="2:68" s="3467" customFormat="1" ht="13.2" customHeight="1">
      <c r="B305" s="316" t="s">
        <v>6065</v>
      </c>
      <c r="C305" s="3468"/>
      <c r="D305" s="3468"/>
      <c r="E305" s="3468"/>
      <c r="F305" s="3468"/>
      <c r="G305" s="3468"/>
      <c r="H305" s="3468"/>
      <c r="I305" s="3468"/>
      <c r="J305" s="3468"/>
      <c r="K305" s="3468"/>
      <c r="L305" s="4467"/>
      <c r="M305" s="4468"/>
      <c r="N305" s="4471" t="s">
        <v>6078</v>
      </c>
      <c r="O305" s="136">
        <f>ROW()</f>
        <v>305</v>
      </c>
      <c r="P305" s="39">
        <f t="shared" ref="P305:U305" si="254">P239</f>
        <v>0.05</v>
      </c>
      <c r="Q305" s="39">
        <f t="shared" si="254"/>
        <v>0.15</v>
      </c>
      <c r="R305" s="39">
        <f t="shared" si="254"/>
        <v>0.25</v>
      </c>
      <c r="S305" s="39">
        <f t="shared" si="254"/>
        <v>0.35</v>
      </c>
      <c r="T305" s="39">
        <f t="shared" si="254"/>
        <v>0.35</v>
      </c>
      <c r="U305" s="39">
        <f t="shared" si="254"/>
        <v>0.2</v>
      </c>
      <c r="V305"/>
      <c r="Y305" s="39">
        <f t="shared" ref="Y305:AD305" si="255">Y239</f>
        <v>0.05</v>
      </c>
      <c r="Z305" s="39">
        <f t="shared" si="255"/>
        <v>0.15</v>
      </c>
      <c r="AA305" s="39">
        <f t="shared" si="255"/>
        <v>0.25</v>
      </c>
      <c r="AB305" s="39">
        <f t="shared" si="255"/>
        <v>0.35</v>
      </c>
      <c r="AC305" s="39">
        <f t="shared" si="255"/>
        <v>0.35</v>
      </c>
      <c r="AD305" s="39">
        <f t="shared" si="255"/>
        <v>0.2</v>
      </c>
      <c r="AE305" s="3468"/>
      <c r="AF305" s="3468"/>
      <c r="AO305" s="3468"/>
      <c r="AZ305" s="39">
        <f t="shared" ref="AZ305:BE305" si="256">AZ239</f>
        <v>0.01</v>
      </c>
      <c r="BA305" s="39">
        <f t="shared" si="256"/>
        <v>0.02</v>
      </c>
      <c r="BB305" s="39">
        <f t="shared" si="256"/>
        <v>0.03</v>
      </c>
      <c r="BC305" s="39">
        <f t="shared" si="256"/>
        <v>0.03</v>
      </c>
      <c r="BD305" s="39">
        <f t="shared" si="256"/>
        <v>0.03</v>
      </c>
      <c r="BE305" s="39">
        <f t="shared" si="256"/>
        <v>0.03</v>
      </c>
      <c r="BF305" s="3468"/>
      <c r="BG305" s="3468"/>
      <c r="BI305" s="39">
        <f t="shared" ref="BI305:BN305" si="257">BI239</f>
        <v>0</v>
      </c>
      <c r="BJ305" s="39">
        <f t="shared" si="257"/>
        <v>0.01</v>
      </c>
      <c r="BK305" s="39">
        <f t="shared" si="257"/>
        <v>0.02</v>
      </c>
      <c r="BL305" s="39">
        <f t="shared" si="257"/>
        <v>0.02</v>
      </c>
      <c r="BM305" s="39">
        <f t="shared" si="257"/>
        <v>0.02</v>
      </c>
      <c r="BN305" s="39">
        <f t="shared" si="257"/>
        <v>0.02</v>
      </c>
      <c r="BO305" s="3468"/>
      <c r="BP305" s="3468"/>
    </row>
    <row r="306" spans="2:68" s="3467" customFormat="1" ht="13.2" customHeight="1">
      <c r="B306" s="316" t="s">
        <v>6071</v>
      </c>
      <c r="C306" s="3468"/>
      <c r="D306" s="3468"/>
      <c r="E306" s="3468"/>
      <c r="F306" s="3468"/>
      <c r="G306" s="1100" t="str">
        <f>CONCATENATE("Reproduced from Row ",O244, ".")</f>
        <v>Reproduced from Row 244.</v>
      </c>
      <c r="H306" s="3468"/>
      <c r="I306" s="3468"/>
      <c r="J306" s="3468"/>
      <c r="K306" s="3468"/>
      <c r="L306" s="4467"/>
      <c r="M306" s="4468"/>
      <c r="N306" s="4472"/>
      <c r="O306" s="136">
        <f>ROW()</f>
        <v>306</v>
      </c>
      <c r="P306" s="32">
        <f t="shared" ref="P306:U306" si="258">P244</f>
        <v>7.5</v>
      </c>
      <c r="Q306" s="32">
        <f t="shared" si="258"/>
        <v>15</v>
      </c>
      <c r="R306" s="32">
        <f t="shared" si="258"/>
        <v>18.75</v>
      </c>
      <c r="S306" s="32">
        <f t="shared" si="258"/>
        <v>22.5</v>
      </c>
      <c r="T306" s="32">
        <f t="shared" si="258"/>
        <v>22.5</v>
      </c>
      <c r="U306" s="32">
        <f t="shared" si="258"/>
        <v>18.75</v>
      </c>
      <c r="V306"/>
      <c r="W306" s="590">
        <f>SUMPRODUCT(P$122:V$122,P306:V306)/W$122</f>
        <v>15.693857825317107</v>
      </c>
      <c r="Y306" s="32">
        <f t="shared" ref="Y306:AD306" si="259">Y244</f>
        <v>7.5</v>
      </c>
      <c r="Z306" s="32">
        <f t="shared" si="259"/>
        <v>15</v>
      </c>
      <c r="AA306" s="32">
        <f t="shared" si="259"/>
        <v>18.75</v>
      </c>
      <c r="AB306" s="32">
        <f t="shared" si="259"/>
        <v>22.5</v>
      </c>
      <c r="AC306" s="32">
        <f t="shared" si="259"/>
        <v>22.5</v>
      </c>
      <c r="AD306" s="32">
        <f t="shared" si="259"/>
        <v>18.75</v>
      </c>
      <c r="AE306" s="3468"/>
      <c r="AF306" s="590">
        <f>SUMPRODUCT(Y$122:AE$122,Y306:AE306)/AF$122</f>
        <v>17.723158963908833</v>
      </c>
      <c r="AO306" s="590"/>
      <c r="AZ306" s="32">
        <f t="shared" ref="AZ306:BE306" si="260">AZ244</f>
        <v>11.25</v>
      </c>
      <c r="BA306" s="32">
        <f t="shared" si="260"/>
        <v>22.5</v>
      </c>
      <c r="BB306" s="32">
        <f t="shared" si="260"/>
        <v>28.125</v>
      </c>
      <c r="BC306" s="32">
        <f t="shared" si="260"/>
        <v>33.75</v>
      </c>
      <c r="BD306" s="32">
        <f t="shared" si="260"/>
        <v>33.75</v>
      </c>
      <c r="BE306" s="32">
        <f t="shared" si="260"/>
        <v>28.125</v>
      </c>
      <c r="BF306" s="3468"/>
      <c r="BG306" s="590">
        <f>SUMPRODUCT(AZ$122:BF$122,AZ306:BF306)/BG$122</f>
        <v>25.273661724140819</v>
      </c>
      <c r="BI306" s="32">
        <f t="shared" ref="BI306:BN306" si="261">BI244</f>
        <v>11.25</v>
      </c>
      <c r="BJ306" s="32">
        <f t="shared" si="261"/>
        <v>22.5</v>
      </c>
      <c r="BK306" s="32">
        <f t="shared" si="261"/>
        <v>28.125</v>
      </c>
      <c r="BL306" s="32">
        <f t="shared" si="261"/>
        <v>33.75</v>
      </c>
      <c r="BM306" s="32">
        <f t="shared" si="261"/>
        <v>33.75</v>
      </c>
      <c r="BN306" s="32">
        <f t="shared" si="261"/>
        <v>28.125</v>
      </c>
      <c r="BO306" s="3468"/>
      <c r="BP306" s="590">
        <f>SUMPRODUCT(BI$122:BO$122,BI306:BO306)/BP$122</f>
        <v>25.273661724140823</v>
      </c>
    </row>
    <row r="307" spans="2:68" s="3467" customFormat="1" ht="13.2" customHeight="1">
      <c r="B307" s="316" t="s">
        <v>6077</v>
      </c>
      <c r="C307" s="3468"/>
      <c r="D307" s="3468"/>
      <c r="E307" s="3468"/>
      <c r="F307" s="3468"/>
      <c r="G307" s="1100" t="str">
        <f>CONCATENATE("Sum of baseline in Row ",O306, " and change in Row ",O304, ".")</f>
        <v>Sum of baseline in Row 306 and change in Row 304.</v>
      </c>
      <c r="H307" s="3468"/>
      <c r="I307" s="3468"/>
      <c r="J307" s="3468"/>
      <c r="K307" s="3468"/>
      <c r="L307" s="4469"/>
      <c r="M307" s="4470"/>
      <c r="N307" s="4472"/>
      <c r="O307" s="136">
        <f>ROW()</f>
        <v>307</v>
      </c>
      <c r="P307" s="32">
        <f t="shared" ref="P307:U307" ca="1" si="262">MAX(0,P306+P304)</f>
        <v>6.2388819356321745</v>
      </c>
      <c r="Q307" s="32">
        <f t="shared" ca="1" si="262"/>
        <v>13.738881935632174</v>
      </c>
      <c r="R307" s="32">
        <f t="shared" ca="1" si="262"/>
        <v>17.488881935632175</v>
      </c>
      <c r="S307" s="32">
        <f t="shared" ca="1" si="262"/>
        <v>21.238881935632175</v>
      </c>
      <c r="T307" s="32">
        <f t="shared" ca="1" si="262"/>
        <v>21.238881935632175</v>
      </c>
      <c r="U307" s="32">
        <f t="shared" ca="1" si="262"/>
        <v>17.488881935632175</v>
      </c>
      <c r="V307"/>
      <c r="W307" s="590">
        <f ca="1">SUMPRODUCT(P$122:V$122,P307:V307)/W$122</f>
        <v>14.432739760949284</v>
      </c>
      <c r="Y307" s="32">
        <f t="shared" ref="Y307" ca="1" si="263">MAX(0,Y306+Y304)</f>
        <v>6.2388819356321745</v>
      </c>
      <c r="Z307" s="32">
        <f t="shared" ref="Z307" ca="1" si="264">MAX(0,Z306+Z304)</f>
        <v>13.738881935632174</v>
      </c>
      <c r="AA307" s="32">
        <f t="shared" ref="AA307" ca="1" si="265">MAX(0,AA306+AA304)</f>
        <v>17.488881935632175</v>
      </c>
      <c r="AB307" s="32">
        <f t="shared" ref="AB307" ca="1" si="266">MAX(0,AB306+AB304)</f>
        <v>21.238881935632175</v>
      </c>
      <c r="AC307" s="32">
        <f t="shared" ref="AC307" ca="1" si="267">MAX(0,AC306+AC304)</f>
        <v>21.238881935632175</v>
      </c>
      <c r="AD307" s="32">
        <f t="shared" ref="AD307" ca="1" si="268">MAX(0,AD306+AD304)</f>
        <v>17.488881935632175</v>
      </c>
      <c r="AE307" s="3468"/>
      <c r="AF307" s="590">
        <f ca="1">SUMPRODUCT(Y$122:AE$122,Y307:AE307)/AF$122</f>
        <v>16.462040899541009</v>
      </c>
      <c r="AO307" s="590"/>
      <c r="AZ307" s="32">
        <f t="shared" ref="AZ307" ca="1" si="269">MAX(0,AZ306+AZ304)</f>
        <v>8.9567805592162557</v>
      </c>
      <c r="BA307" s="32">
        <f t="shared" ref="BA307" ca="1" si="270">MAX(0,BA306+BA304)</f>
        <v>20.206780559216256</v>
      </c>
      <c r="BB307" s="32">
        <f t="shared" ref="BB307" ca="1" si="271">MAX(0,BB306+BB304)</f>
        <v>25.831780559216256</v>
      </c>
      <c r="BC307" s="32">
        <f t="shared" ref="BC307" ca="1" si="272">MAX(0,BC306+BC304)</f>
        <v>31.456780559216256</v>
      </c>
      <c r="BD307" s="32">
        <f t="shared" ref="BD307" ca="1" si="273">MAX(0,BD306+BD304)</f>
        <v>31.456780559216256</v>
      </c>
      <c r="BE307" s="32">
        <f t="shared" ref="BE307" ca="1" si="274">MAX(0,BE306+BE304)</f>
        <v>25.831780559216256</v>
      </c>
      <c r="BF307" s="3468"/>
      <c r="BG307" s="590">
        <f ca="1">SUMPRODUCT(AZ$122:BF$122,AZ307:BF307)/BG$122</f>
        <v>22.980442283357082</v>
      </c>
      <c r="BI307" s="32">
        <f t="shared" ref="BI307" ca="1" si="275">MAX(0,BI306+BI304)</f>
        <v>9.2111266588549228</v>
      </c>
      <c r="BJ307" s="32">
        <f t="shared" ref="BJ307" ca="1" si="276">MAX(0,BJ306+BJ304)</f>
        <v>20.461126658854923</v>
      </c>
      <c r="BK307" s="32">
        <f t="shared" ref="BK307" ca="1" si="277">MAX(0,BK306+BK304)</f>
        <v>26.086126658854923</v>
      </c>
      <c r="BL307" s="32">
        <f t="shared" ref="BL307" ca="1" si="278">MAX(0,BL306+BL304)</f>
        <v>31.711126658854923</v>
      </c>
      <c r="BM307" s="32">
        <f t="shared" ref="BM307" ca="1" si="279">MAX(0,BM306+BM304)</f>
        <v>31.711126658854923</v>
      </c>
      <c r="BN307" s="32">
        <f t="shared" ref="BN307" ca="1" si="280">MAX(0,BN306+BN304)</f>
        <v>26.086126658854923</v>
      </c>
      <c r="BO307" s="3468"/>
      <c r="BP307" s="590">
        <f ca="1">SUMPRODUCT(BI$122:BO$122,BI307:BO307)/BP$122</f>
        <v>23.234788382995745</v>
      </c>
    </row>
    <row r="308" spans="2:68" s="3467" customFormat="1" ht="13.2" customHeight="1">
      <c r="B308" s="316" t="s">
        <v>6072</v>
      </c>
      <c r="C308" s="3468"/>
      <c r="D308" s="3468"/>
      <c r="E308" s="3468"/>
      <c r="F308" s="3468"/>
      <c r="G308" s="3468"/>
      <c r="H308" s="3468"/>
      <c r="I308" s="1100" t="str">
        <f>CONCATENATE("Product of % in Row ",O305, " and $ change in Row ",O304, ".")</f>
        <v>Product of % in Row 305 and $ change in Row 304.</v>
      </c>
      <c r="J308" s="3468"/>
      <c r="K308" s="3468"/>
      <c r="L308" s="3468"/>
      <c r="M308" s="3468"/>
      <c r="N308" s="4472"/>
      <c r="O308" s="136">
        <f>ROW()</f>
        <v>308</v>
      </c>
      <c r="P308" s="32">
        <f t="shared" ref="P308:U308" ca="1" si="281">P305*P304</f>
        <v>-6.3055903218391288E-2</v>
      </c>
      <c r="Q308" s="32">
        <f t="shared" ca="1" si="281"/>
        <v>-0.18916770965517385</v>
      </c>
      <c r="R308" s="32">
        <f t="shared" ca="1" si="281"/>
        <v>-0.31527951609195642</v>
      </c>
      <c r="S308" s="32">
        <f t="shared" ca="1" si="281"/>
        <v>-0.44139132252873897</v>
      </c>
      <c r="T308" s="32">
        <f t="shared" ca="1" si="281"/>
        <v>-0.44139132252873897</v>
      </c>
      <c r="U308" s="32">
        <f t="shared" ca="1" si="281"/>
        <v>-0.25222361287356515</v>
      </c>
      <c r="V308"/>
      <c r="W308" s="590">
        <f ca="1">SUMPRODUCT(P$122:V$122,P308:V308)/W$122</f>
        <v>-0.24715191073031256</v>
      </c>
      <c r="Y308" s="32">
        <f t="shared" ref="Y308:AD308" ca="1" si="282">Y305*Y304</f>
        <v>-6.3055903218391288E-2</v>
      </c>
      <c r="Z308" s="32">
        <f t="shared" ca="1" si="282"/>
        <v>-0.18916770965517385</v>
      </c>
      <c r="AA308" s="32">
        <f t="shared" ca="1" si="282"/>
        <v>-0.31527951609195642</v>
      </c>
      <c r="AB308" s="32">
        <f t="shared" ca="1" si="282"/>
        <v>-0.44139132252873897</v>
      </c>
      <c r="AC308" s="32">
        <f t="shared" ca="1" si="282"/>
        <v>-0.44139132252873897</v>
      </c>
      <c r="AD308" s="32">
        <f t="shared" ca="1" si="282"/>
        <v>-0.25222361287356515</v>
      </c>
      <c r="AE308" s="3468"/>
      <c r="AF308" s="590">
        <f ca="1">SUMPRODUCT(Y$122:AE$122,Y308:AE308)/AF$122</f>
        <v>-0.29749439144245526</v>
      </c>
      <c r="AO308" s="590"/>
      <c r="AV308" s="3602" t="s">
        <v>6373</v>
      </c>
      <c r="AW308" s="3603"/>
      <c r="AX308" s="3596">
        <f>'Motor Vs'!AX308</f>
        <v>0</v>
      </c>
      <c r="AZ308" s="32">
        <f t="shared" ref="AZ308:BE308" ca="1" si="283">AZ305*AZ304</f>
        <v>-2.2932194407837447E-2</v>
      </c>
      <c r="BA308" s="32">
        <f t="shared" ca="1" si="283"/>
        <v>-4.5864388815674895E-2</v>
      </c>
      <c r="BB308" s="32">
        <f t="shared" ca="1" si="283"/>
        <v>-6.8796583223512342E-2</v>
      </c>
      <c r="BC308" s="32">
        <f t="shared" ca="1" si="283"/>
        <v>-6.8796583223512342E-2</v>
      </c>
      <c r="BD308" s="32">
        <f t="shared" ca="1" si="283"/>
        <v>-6.8796583223512342E-2</v>
      </c>
      <c r="BE308" s="32">
        <f t="shared" ca="1" si="283"/>
        <v>-6.8796583223512342E-2</v>
      </c>
      <c r="BF308" s="3468"/>
      <c r="BG308" s="590">
        <f ca="1">SUMPRODUCT(AZ$122:BF$122,AZ308:BF308)/BG$122</f>
        <v>-5.5810849342556944E-2</v>
      </c>
      <c r="BI308" s="32">
        <f t="shared" ref="BI308:BN308" ca="1" si="284">BI305*BI304</f>
        <v>0</v>
      </c>
      <c r="BJ308" s="32">
        <f t="shared" ca="1" si="284"/>
        <v>-2.0388733411450768E-2</v>
      </c>
      <c r="BK308" s="32">
        <f t="shared" ca="1" si="284"/>
        <v>-4.0777466822901537E-2</v>
      </c>
      <c r="BL308" s="32">
        <f t="shared" ca="1" si="284"/>
        <v>-4.0777466822901537E-2</v>
      </c>
      <c r="BM308" s="32">
        <f t="shared" ca="1" si="284"/>
        <v>-4.0777466822901537E-2</v>
      </c>
      <c r="BN308" s="32">
        <f t="shared" ca="1" si="284"/>
        <v>-4.0777466822901537E-2</v>
      </c>
      <c r="BO308" s="3468"/>
      <c r="BP308" s="590">
        <f ca="1">SUMPRODUCT(BI$122:BO$122,BI308:BO308)/BP$122</f>
        <v>-2.9232009744430389E-2</v>
      </c>
    </row>
    <row r="309" spans="2:68" s="3467" customFormat="1" ht="13.2" customHeight="1">
      <c r="B309" s="316"/>
      <c r="C309" s="3468"/>
      <c r="D309" s="3468"/>
      <c r="E309" s="3468"/>
      <c r="F309" s="3468"/>
      <c r="G309" s="3468"/>
      <c r="H309" s="3468"/>
      <c r="I309" s="1100"/>
      <c r="J309" s="3468"/>
      <c r="K309" s="3468"/>
      <c r="L309" s="3468"/>
      <c r="M309" s="3468"/>
      <c r="N309" s="4472"/>
      <c r="O309" s="136">
        <f>ROW()</f>
        <v>309</v>
      </c>
      <c r="P309" s="32"/>
      <c r="Q309" s="32"/>
      <c r="R309" s="32"/>
      <c r="S309" s="32"/>
      <c r="T309" s="32"/>
      <c r="U309" s="32"/>
      <c r="V309"/>
      <c r="Y309" s="32"/>
      <c r="Z309" s="32"/>
      <c r="AA309" s="32"/>
      <c r="AB309" s="32"/>
      <c r="AC309" s="32"/>
      <c r="AD309" s="32"/>
      <c r="AE309" s="3468"/>
      <c r="AF309" s="3468"/>
      <c r="AO309" s="3468"/>
      <c r="AV309" s="4480" t="s">
        <v>6375</v>
      </c>
      <c r="AW309" s="3681"/>
      <c r="AX309" s="3681"/>
      <c r="AZ309" s="32"/>
      <c r="BA309" s="32"/>
      <c r="BB309" s="32"/>
      <c r="BC309" s="32"/>
      <c r="BD309" s="32"/>
      <c r="BE309" s="32"/>
      <c r="BF309" s="3468"/>
      <c r="BG309" s="3468"/>
      <c r="BI309" s="32"/>
      <c r="BJ309" s="32"/>
      <c r="BK309" s="32"/>
      <c r="BL309" s="32"/>
      <c r="BM309" s="32"/>
      <c r="BN309" s="32"/>
      <c r="BO309" s="3468"/>
      <c r="BP309" s="3468"/>
    </row>
    <row r="310" spans="2:68" s="3467" customFormat="1" ht="13.2" customHeight="1">
      <c r="B310" s="2480" t="s">
        <v>6074</v>
      </c>
      <c r="C310" s="3468"/>
      <c r="D310" s="3468"/>
      <c r="E310" s="3468"/>
      <c r="F310" s="3468"/>
      <c r="G310" s="3468"/>
      <c r="H310" s="1100" t="str">
        <f>CONCATENATE("Sum of Rows ",O295," and ",O308,".")</f>
        <v>Sum of Rows 295 and 308.</v>
      </c>
      <c r="I310" s="3468"/>
      <c r="J310" s="3468"/>
      <c r="K310" s="3468"/>
      <c r="L310" s="3468"/>
      <c r="M310" s="3468"/>
      <c r="N310" s="4472"/>
      <c r="O310" s="136">
        <f>ROW()</f>
        <v>310</v>
      </c>
      <c r="P310" s="32">
        <f t="shared" ref="P310:U310" ca="1" si="285">P295+P308</f>
        <v>14.259129690612777</v>
      </c>
      <c r="Q310" s="32">
        <f t="shared" ca="1" si="285"/>
        <v>17.934133826563251</v>
      </c>
      <c r="R310" s="32">
        <f t="shared" ca="1" si="285"/>
        <v>21.710777824873801</v>
      </c>
      <c r="S310" s="32">
        <f t="shared" ca="1" si="285"/>
        <v>25.373231682546507</v>
      </c>
      <c r="T310" s="32">
        <f t="shared" ca="1" si="285"/>
        <v>23.837170229519209</v>
      </c>
      <c r="U310" s="32">
        <f t="shared" ca="1" si="285"/>
        <v>19.422203594343635</v>
      </c>
      <c r="V310"/>
      <c r="W310" s="590">
        <f ca="1">SUMPRODUCT(P$122:V$122,P310:V310)/W$122</f>
        <v>19.479833306714397</v>
      </c>
      <c r="Y310" s="32">
        <f t="shared" ref="Y310:AD310" ca="1" si="286">Y295+Y308</f>
        <v>14.259129690612777</v>
      </c>
      <c r="Z310" s="32">
        <f t="shared" ca="1" si="286"/>
        <v>17.934133826563251</v>
      </c>
      <c r="AA310" s="32">
        <f t="shared" ca="1" si="286"/>
        <v>21.710777824873801</v>
      </c>
      <c r="AB310" s="32">
        <f t="shared" ca="1" si="286"/>
        <v>25.373231682546507</v>
      </c>
      <c r="AC310" s="32">
        <f t="shared" ca="1" si="286"/>
        <v>23.837170229519209</v>
      </c>
      <c r="AD310" s="32">
        <f t="shared" ca="1" si="286"/>
        <v>19.422203594343635</v>
      </c>
      <c r="AE310" s="3468"/>
      <c r="AF310" s="590">
        <f ca="1">SUMPRODUCT(Y$122:AE$122,Y310:AE310)/AF$122</f>
        <v>20.941986193323078</v>
      </c>
      <c r="AH310" s="32">
        <f t="shared" ref="AH310:AI310" si="287">AH295+AH308</f>
        <v>21.397549075214442</v>
      </c>
      <c r="AI310" s="32">
        <f t="shared" si="287"/>
        <v>24.288029069783274</v>
      </c>
      <c r="AJ310" s="32">
        <f t="shared" ref="AJ310:AM310" si="288">AJ295+AJ308</f>
        <v>26.327986328369981</v>
      </c>
      <c r="AK310" s="32">
        <f t="shared" si="288"/>
        <v>27.11444332816378</v>
      </c>
      <c r="AL310" s="32">
        <f t="shared" si="288"/>
        <v>25.560378240154286</v>
      </c>
      <c r="AM310" s="32">
        <f t="shared" si="288"/>
        <v>24.523195058338338</v>
      </c>
      <c r="AO310" s="590">
        <f>SUMPRODUCT(AH$122:AN$122,AH310:AN310)/AO$122</f>
        <v>24.492758463401739</v>
      </c>
      <c r="AV310" s="3681"/>
      <c r="AW310" s="3681"/>
      <c r="AX310" s="3681"/>
      <c r="AZ310" s="32">
        <f t="shared" ref="AZ310:BE310" ca="1" si="289">AZ295+AZ308</f>
        <v>27.237755786839294</v>
      </c>
      <c r="BA310" s="32">
        <f t="shared" ca="1" si="289"/>
        <v>31.092609109027947</v>
      </c>
      <c r="BB310" s="32">
        <f t="shared" ca="1" si="289"/>
        <v>34.033938524114781</v>
      </c>
      <c r="BC310" s="32">
        <f t="shared" ca="1" si="289"/>
        <v>35.069819852333751</v>
      </c>
      <c r="BD310" s="32">
        <f t="shared" ca="1" si="289"/>
        <v>32.782696946279167</v>
      </c>
      <c r="BE310" s="32">
        <f t="shared" ca="1" si="289"/>
        <v>31.655678256617659</v>
      </c>
      <c r="BF310" s="3468"/>
      <c r="BG310" s="590">
        <f ca="1">SUMPRODUCT(AZ$122:BF$122,AZ310:BF310)/BG$122</f>
        <v>32.004557213222903</v>
      </c>
      <c r="BI310" s="32">
        <f t="shared" ref="BI310:BN310" ca="1" si="290">BI295+BI308</f>
        <v>32.11137336895932</v>
      </c>
      <c r="BJ310" s="32">
        <f t="shared" ca="1" si="290"/>
        <v>36.195381396100451</v>
      </c>
      <c r="BK310" s="32">
        <f t="shared" ca="1" si="290"/>
        <v>40.070159675291663</v>
      </c>
      <c r="BL310" s="32">
        <f t="shared" ca="1" si="290"/>
        <v>41.503957069259464</v>
      </c>
      <c r="BM310" s="32">
        <f t="shared" ca="1" si="290"/>
        <v>38.245772710177576</v>
      </c>
      <c r="BN310" s="32">
        <f t="shared" ca="1" si="290"/>
        <v>36.599319474865659</v>
      </c>
      <c r="BO310" s="3468"/>
      <c r="BP310" s="590">
        <f ca="1">SUMPRODUCT(BI$122:BO$122,BI310:BO310)/BP$122</f>
        <v>37.597233414797529</v>
      </c>
    </row>
    <row r="311" spans="2:68" s="3467" customFormat="1" ht="13.2" customHeight="1">
      <c r="B311" s="985"/>
      <c r="C311" s="3468"/>
      <c r="D311" s="3468"/>
      <c r="E311" s="3468"/>
      <c r="F311" s="3468"/>
      <c r="G311" s="3468"/>
      <c r="H311" s="3468"/>
      <c r="I311" s="3468"/>
      <c r="J311" s="3468"/>
      <c r="K311" s="3468"/>
      <c r="L311" s="3468"/>
      <c r="M311" s="3468"/>
      <c r="N311" s="4473"/>
      <c r="O311" s="136">
        <f>ROW()</f>
        <v>311</v>
      </c>
      <c r="P311" s="32"/>
      <c r="Q311" s="32"/>
      <c r="R311" s="32"/>
      <c r="S311" s="32"/>
      <c r="T311" s="32"/>
      <c r="U311" s="32"/>
      <c r="V311"/>
      <c r="Y311" s="32"/>
      <c r="Z311" s="32"/>
      <c r="AA311" s="32"/>
      <c r="AB311" s="32"/>
      <c r="AC311" s="32"/>
      <c r="AD311" s="32"/>
      <c r="AE311" s="3468"/>
      <c r="AF311" s="3468"/>
      <c r="AH311" s="611"/>
      <c r="AI311" s="611"/>
      <c r="AJ311" s="611"/>
      <c r="AK311" s="611"/>
      <c r="AL311" s="611"/>
      <c r="AM311" s="611"/>
      <c r="AS311"/>
      <c r="AT311"/>
      <c r="AZ311" s="32"/>
      <c r="BA311" s="32"/>
      <c r="BB311" s="32"/>
      <c r="BC311" s="32"/>
      <c r="BD311" s="32"/>
      <c r="BE311" s="32"/>
      <c r="BF311" s="3468"/>
      <c r="BG311" s="3468"/>
      <c r="BI311" s="32"/>
      <c r="BJ311" s="32"/>
      <c r="BK311" s="32"/>
      <c r="BL311" s="32"/>
      <c r="BM311" s="32"/>
      <c r="BN311" s="32"/>
      <c r="BO311" s="3468"/>
      <c r="BP311" s="3468"/>
    </row>
    <row r="312" spans="2:68" s="3467" customFormat="1" ht="13.2" customHeight="1">
      <c r="B312" s="2480" t="s">
        <v>6073</v>
      </c>
      <c r="C312" s="3468"/>
      <c r="D312" s="3468"/>
      <c r="E312" s="3468"/>
      <c r="F312" s="3468"/>
      <c r="G312" s="3468"/>
      <c r="H312" s="1100" t="str">
        <f>CONCATENATE("Ratio of new trip cost in Row ",O310, " to old trip cost in Row ",O253,".")</f>
        <v>Ratio of new trip cost in Row 310 to old trip cost in Row 253.</v>
      </c>
      <c r="I312" s="3468"/>
      <c r="J312" s="3468"/>
      <c r="K312" s="3468"/>
      <c r="L312" s="3468"/>
      <c r="M312" s="3468"/>
      <c r="N312" s="3468"/>
      <c r="O312" s="136">
        <f>ROW()</f>
        <v>312</v>
      </c>
      <c r="P312" s="1704">
        <f t="shared" ref="P312:U312" ca="1" si="291">P310/P253</f>
        <v>1.4229629554547438</v>
      </c>
      <c r="Q312" s="1704">
        <f t="shared" ca="1" si="291"/>
        <v>1.2975207489418654</v>
      </c>
      <c r="R312" s="1704">
        <f t="shared" ca="1" si="291"/>
        <v>1.2248949970704357</v>
      </c>
      <c r="S312" s="1704">
        <f t="shared" ca="1" si="291"/>
        <v>1.1794279031682495</v>
      </c>
      <c r="T312" s="1704">
        <f t="shared" ca="1" si="291"/>
        <v>1.1932243092009522</v>
      </c>
      <c r="U312" s="1704">
        <f t="shared" ca="1" si="291"/>
        <v>1.2633993092451798</v>
      </c>
      <c r="V312"/>
      <c r="Y312" s="1704">
        <f t="shared" ref="Y312:AD312" ca="1" si="292">Y310/Y253</f>
        <v>1.4229629554547438</v>
      </c>
      <c r="Z312" s="1704">
        <f t="shared" ca="1" si="292"/>
        <v>1.2975207489418654</v>
      </c>
      <c r="AA312" s="1704">
        <f t="shared" ca="1" si="292"/>
        <v>1.2248949970704357</v>
      </c>
      <c r="AB312" s="1704">
        <f t="shared" ca="1" si="292"/>
        <v>1.1794279031682495</v>
      </c>
      <c r="AC312" s="1704">
        <f t="shared" ca="1" si="292"/>
        <v>1.1932243092009522</v>
      </c>
      <c r="AD312" s="1704">
        <f t="shared" ca="1" si="292"/>
        <v>1.2633993092451798</v>
      </c>
      <c r="AE312" s="3468"/>
      <c r="AF312" s="3468"/>
      <c r="AH312" s="1704">
        <f t="shared" ref="AH312:AI312" si="293">AH310/AH253</f>
        <v>1.5191644984654595</v>
      </c>
      <c r="AI312" s="1704">
        <f t="shared" si="293"/>
        <v>1.4307647723700989</v>
      </c>
      <c r="AJ312" s="1704">
        <f t="shared" ref="AJ312:AM312" si="294">AJ310/AJ253</f>
        <v>1.3845529419550462</v>
      </c>
      <c r="AK312" s="1704">
        <f t="shared" si="294"/>
        <v>1.3692800003001715</v>
      </c>
      <c r="AL312" s="1704">
        <f t="shared" si="294"/>
        <v>1.4007293703324826</v>
      </c>
      <c r="AM312" s="1704">
        <f t="shared" si="294"/>
        <v>1.4248788358471995</v>
      </c>
      <c r="AS312"/>
      <c r="AT312"/>
      <c r="AV312" s="3602" t="s">
        <v>6371</v>
      </c>
      <c r="AW312" s="3603"/>
      <c r="AX312" s="3598">
        <f>AX308/Taxis!L192</f>
        <v>0</v>
      </c>
      <c r="AZ312" s="1704">
        <f t="shared" ref="AZ312:BE312" ca="1" si="295">AZ310/AZ253</f>
        <v>1.468183021263016</v>
      </c>
      <c r="BA312" s="1704">
        <f t="shared" ca="1" si="295"/>
        <v>1.3862186096481337</v>
      </c>
      <c r="BB312" s="1704">
        <f t="shared" ca="1" si="295"/>
        <v>1.3402320671114827</v>
      </c>
      <c r="BC312" s="1704">
        <f t="shared" ca="1" si="295"/>
        <v>1.3268971909013061</v>
      </c>
      <c r="BD312" s="1704">
        <f t="shared" ca="1" si="295"/>
        <v>1.3578651551495853</v>
      </c>
      <c r="BE312" s="1704">
        <f t="shared" ca="1" si="295"/>
        <v>1.3753887979328452</v>
      </c>
      <c r="BF312" s="3468"/>
      <c r="BG312" s="3468"/>
      <c r="BI312" s="1704">
        <f t="shared" ref="BI312:BN312" ca="1" si="296">BI310/BI253</f>
        <v>1.3177356548368528</v>
      </c>
      <c r="BJ312" s="1704">
        <f t="shared" ca="1" si="296"/>
        <v>1.2712178286059383</v>
      </c>
      <c r="BK312" s="1704">
        <f t="shared" ca="1" si="296"/>
        <v>1.2379497237841888</v>
      </c>
      <c r="BL312" s="1704">
        <f t="shared" ca="1" si="296"/>
        <v>1.2278564723913123</v>
      </c>
      <c r="BM312" s="1704">
        <f t="shared" ca="1" si="296"/>
        <v>1.2521625165903747</v>
      </c>
      <c r="BN312" s="1704">
        <f t="shared" ca="1" si="296"/>
        <v>1.2665297221570901</v>
      </c>
      <c r="BO312" s="3468"/>
      <c r="BP312" s="3468"/>
    </row>
    <row r="313" spans="2:68" s="3467" customFormat="1" ht="13.2" customHeight="1">
      <c r="O313" s="136">
        <f>ROW()</f>
        <v>313</v>
      </c>
      <c r="AH313" s="611"/>
      <c r="AI313" s="611"/>
      <c r="AJ313" s="611"/>
      <c r="AK313" s="611"/>
      <c r="AL313" s="611"/>
      <c r="AM313" s="611"/>
      <c r="AS313"/>
      <c r="AT313"/>
      <c r="AV313" s="4480" t="str">
        <f>CONCATENATE("Ratio of Cell AX",O308, " to baseline number of medallion taxis, in 'Taxis' tab, Row ",Taxis!O192,".")</f>
        <v>Ratio of Cell AX308 to baseline number of medallion taxis, in 'Taxis' tab, Row 192.</v>
      </c>
      <c r="AW313" s="3681"/>
      <c r="AX313" s="3681"/>
    </row>
    <row r="314" spans="2:68" ht="13.2" customHeight="1">
      <c r="B314" s="6" t="s">
        <v>431</v>
      </c>
      <c r="O314" s="136">
        <f>ROW()</f>
        <v>314</v>
      </c>
      <c r="AH314" s="3468"/>
      <c r="AI314" s="3468"/>
      <c r="AJ314" s="3468"/>
      <c r="AK314" s="3468"/>
      <c r="AL314" s="3468"/>
      <c r="AM314" s="3468"/>
      <c r="AV314" s="3681"/>
      <c r="AW314" s="3681"/>
      <c r="AX314" s="3681"/>
    </row>
    <row r="315" spans="2:68" ht="13.2" customHeight="1">
      <c r="B315" s="1101" t="s">
        <v>4357</v>
      </c>
      <c r="C315" s="86"/>
      <c r="D315" s="86"/>
      <c r="E315" s="86"/>
      <c r="F315" s="86"/>
      <c r="G315" s="86"/>
      <c r="H315" s="86"/>
      <c r="I315" s="86"/>
      <c r="J315" s="86"/>
      <c r="K315" s="86"/>
      <c r="M315" s="86"/>
      <c r="N315" s="86"/>
      <c r="O315" s="136">
        <f>ROW()</f>
        <v>315</v>
      </c>
      <c r="P315" s="927">
        <f ca="1">P312^Elasticities!$G$51</f>
        <v>0.83830721302286271</v>
      </c>
      <c r="Q315" s="927">
        <f ca="1">Q312^Elasticities!$G$51</f>
        <v>0.87789554321700791</v>
      </c>
      <c r="R315" s="927">
        <f ca="1">R312^Elasticities!$G$51</f>
        <v>0.9035466282424528</v>
      </c>
      <c r="S315" s="927">
        <f ca="1">S312^Elasticities!$G$51</f>
        <v>0.92079785917097956</v>
      </c>
      <c r="T315" s="927">
        <f ca="1">T312^Elasticities!$G$51</f>
        <v>0.91545911613356834</v>
      </c>
      <c r="U315" s="927">
        <f ca="1">U312^Elasticities!$G$51</f>
        <v>0.88967150813547913</v>
      </c>
      <c r="V315" s="927"/>
      <c r="W315" s="23"/>
      <c r="Y315" s="927">
        <f ca="1">Y312^Elasticities!$H$51</f>
        <v>0.72799058944637351</v>
      </c>
      <c r="Z315" s="927">
        <f ca="1">Z312^Elasticities!$H$51</f>
        <v>0.79103758648231293</v>
      </c>
      <c r="AA315" s="927">
        <f ca="1">AA312^Elasticities!$H$51</f>
        <v>0.83312664689656313</v>
      </c>
      <c r="AB315" s="927">
        <f ca="1">AB312^Elasticities!$H$51</f>
        <v>0.86197712673704652</v>
      </c>
      <c r="AC315" s="927">
        <f ca="1">AC312^Elasticities!$H$51</f>
        <v>0.85300213214527665</v>
      </c>
      <c r="AD315" s="927">
        <f ca="1">AD312^Elasticities!$H$51</f>
        <v>0.81023953122836923</v>
      </c>
      <c r="AE315" s="927"/>
      <c r="AF315" s="927"/>
      <c r="AH315" s="785">
        <f>AH312^Elasticities!$J$51</f>
        <v>0.71567551267245988</v>
      </c>
      <c r="AI315" s="785">
        <f>AI312^Elasticities!$J$51</f>
        <v>0.75083655624268453</v>
      </c>
      <c r="AJ315" s="785">
        <f>AJ312^Elasticities!$J$51</f>
        <v>0.77081888551681954</v>
      </c>
      <c r="AK315" s="785">
        <f>AK312^Elasticities!$J$51</f>
        <v>0.77768941534857383</v>
      </c>
      <c r="AL315" s="785">
        <f>AL312^Elasticities!$J$51</f>
        <v>0.76368913512631154</v>
      </c>
      <c r="AM315" s="785">
        <f>AM312^Elasticities!$J$51</f>
        <v>0.75331679730573831</v>
      </c>
      <c r="AN315" s="927"/>
      <c r="AO315" s="927"/>
      <c r="AV315" s="3592"/>
      <c r="AW315" s="3592"/>
      <c r="AX315" s="3592"/>
      <c r="AZ315" s="927">
        <f ca="1">AZ312^(Elasticities!$J$62*Elasticities!$G$51)</f>
        <v>0.93800099796208791</v>
      </c>
      <c r="BA315" s="927">
        <f ca="1">BA312^(Elasticities!$J$62*Elasticities!$G$51)</f>
        <v>0.94702485898589372</v>
      </c>
      <c r="BB315" s="927">
        <f ca="1">BB312^(Elasticities!$J$62*Elasticities!$G$51)</f>
        <v>0.95236479404769481</v>
      </c>
      <c r="BC315" s="927">
        <f ca="1">BC312^(Elasticities!$J$62*Elasticities!$G$51)</f>
        <v>0.95395331360412339</v>
      </c>
      <c r="BD315" s="927">
        <f ca="1">BD312^(Elasticities!$J$62*Elasticities!$G$51)</f>
        <v>0.9502923344411508</v>
      </c>
      <c r="BE315" s="927">
        <f ca="1">BE312^(Elasticities!$J$62*Elasticities!$G$51)</f>
        <v>0.94826361336388376</v>
      </c>
      <c r="BF315" s="927"/>
      <c r="BG315" s="927"/>
      <c r="BI315" s="927">
        <f ca="1">BI312^(Elasticities!$J$63*Elasticities!$G$51)</f>
        <v>0.97278568312681979</v>
      </c>
      <c r="BJ315" s="927">
        <f ca="1">BJ312^(Elasticities!$J$63*Elasticities!$G$51)</f>
        <v>0.97628811521537584</v>
      </c>
      <c r="BK315" s="927">
        <f ca="1">BK312^(Elasticities!$J$63*Elasticities!$G$51)</f>
        <v>0.97888054989528428</v>
      </c>
      <c r="BL315" s="927">
        <f ca="1">BL312^(Elasticities!$J$63*Elasticities!$G$51)</f>
        <v>0.97968225020910549</v>
      </c>
      <c r="BM315" s="927">
        <f ca="1">BM312^(Elasticities!$J$63*Elasticities!$G$51)</f>
        <v>0.97776374566083635</v>
      </c>
      <c r="BN315" s="927">
        <f ca="1">BN312^(Elasticities!$J$63*Elasticities!$G$51)</f>
        <v>0.97664889132499122</v>
      </c>
      <c r="BO315" s="927"/>
      <c r="BP315" s="927"/>
    </row>
    <row r="316" spans="2:68" ht="13.2" customHeight="1">
      <c r="B316" s="1700" t="str">
        <f>CONCATENATE("Calculated by raising factor change due to tolls in Row ",O297, " to price-elasticity for respective trip type shown in Elasticities worksheet.")</f>
        <v>Calculated by raising factor change due to tolls in Row 297 to price-elasticity for respective trip type shown in Elasticities worksheet.</v>
      </c>
      <c r="C316" s="86"/>
      <c r="D316" s="86"/>
      <c r="E316" s="86"/>
      <c r="F316" s="86"/>
      <c r="G316" s="86"/>
      <c r="H316" s="86"/>
      <c r="I316" s="86"/>
      <c r="J316" s="86"/>
      <c r="K316" s="86"/>
      <c r="M316" s="86"/>
      <c r="N316" s="86"/>
      <c r="O316" s="136">
        <f>ROW()</f>
        <v>316</v>
      </c>
      <c r="P316" s="927"/>
      <c r="Q316" s="927"/>
      <c r="R316" s="927"/>
      <c r="S316" s="927"/>
      <c r="T316" s="927"/>
      <c r="U316" s="927"/>
      <c r="V316" s="927"/>
      <c r="W316" s="23"/>
      <c r="Y316" s="927"/>
      <c r="Z316" s="927"/>
      <c r="AA316" s="927"/>
      <c r="AB316" s="927"/>
      <c r="AC316" s="927"/>
      <c r="AD316" s="927"/>
      <c r="AE316" s="927"/>
      <c r="AF316" s="927"/>
      <c r="AH316" s="927"/>
      <c r="AI316" s="927"/>
      <c r="AJ316" s="927"/>
      <c r="AK316" s="927"/>
      <c r="AL316" s="927"/>
      <c r="AM316" s="927"/>
      <c r="AN316" s="927"/>
      <c r="AO316" s="927"/>
      <c r="AV316" s="4397" t="str">
        <f>CONCATENATE(" The 'IF' statement used to calculated value of Cell AX",O325, " allows its ordinary value to be overridden, in order to model exogenous change in number of medallion taxicabs. The override is triggered by the presence of a positive, non-zero value in the 'Taxis' worksheet tab, in Cell L",Taxis!O474, ". This causes Cell AX",O325, " to be calculated as the prorated change in weekday cordon-crossing taxi trips, calculated as product of baseline cordon-crossing taxi trips in Cell L",O30, " and percent in Cell AX",O316, " above.")</f>
        <v xml:space="preserve"> The 'IF' statement used to calculated value of Cell AX325 allows its ordinary value to be overridden, in order to model exogenous change in number of medallion taxicabs. The override is triggered by the presence of a positive, non-zero value in the 'Taxis' worksheet tab, in Cell L474. This causes Cell AX325 to be calculated as the prorated change in weekday cordon-crossing taxi trips, calculated as product of baseline cordon-crossing taxi trips in Cell L30 and percent in Cell AX316 above.</v>
      </c>
      <c r="AW316" s="4398"/>
      <c r="AX316" s="4399"/>
      <c r="AZ316" s="927"/>
      <c r="BA316" s="927"/>
      <c r="BB316" s="927"/>
      <c r="BC316" s="927"/>
      <c r="BD316" s="927"/>
      <c r="BE316" s="927"/>
      <c r="BF316" s="927"/>
      <c r="BG316" s="927"/>
      <c r="BI316" s="927"/>
      <c r="BJ316" s="927"/>
      <c r="BK316" s="927"/>
      <c r="BL316" s="927"/>
      <c r="BM316" s="927"/>
      <c r="BN316" s="927"/>
      <c r="BO316" s="927"/>
      <c r="BP316" s="927"/>
    </row>
    <row r="317" spans="2:68" ht="13.2" customHeight="1">
      <c r="B317" s="312" t="s">
        <v>4356</v>
      </c>
      <c r="C317" s="86"/>
      <c r="D317" s="86"/>
      <c r="E317" s="86"/>
      <c r="F317" s="86"/>
      <c r="G317" s="86"/>
      <c r="H317" s="86"/>
      <c r="I317" s="86"/>
      <c r="J317" s="86"/>
      <c r="K317" s="86"/>
      <c r="M317" s="86"/>
      <c r="N317" s="86"/>
      <c r="O317" s="136">
        <f>ROW()</f>
        <v>317</v>
      </c>
      <c r="P317" s="927">
        <f t="shared" ref="P317:U317" ca="1" si="297">1-P315</f>
        <v>0.16169278697713729</v>
      </c>
      <c r="Q317" s="927">
        <f t="shared" ca="1" si="297"/>
        <v>0.12210445678299209</v>
      </c>
      <c r="R317" s="927">
        <f t="shared" ca="1" si="297"/>
        <v>9.6453371757547202E-2</v>
      </c>
      <c r="S317" s="927">
        <f t="shared" ca="1" si="297"/>
        <v>7.920214082902044E-2</v>
      </c>
      <c r="T317" s="927">
        <f t="shared" ca="1" si="297"/>
        <v>8.454088386643166E-2</v>
      </c>
      <c r="U317" s="927">
        <f t="shared" ca="1" si="297"/>
        <v>0.11032849186452087</v>
      </c>
      <c r="V317" s="927"/>
      <c r="W317" s="23"/>
      <c r="Y317" s="927">
        <f t="shared" ref="Y317:AD317" ca="1" si="298">1-Y315</f>
        <v>0.27200941055362649</v>
      </c>
      <c r="Z317" s="927">
        <f t="shared" ca="1" si="298"/>
        <v>0.20896241351768707</v>
      </c>
      <c r="AA317" s="927">
        <f t="shared" ca="1" si="298"/>
        <v>0.16687335310343687</v>
      </c>
      <c r="AB317" s="927">
        <f t="shared" ca="1" si="298"/>
        <v>0.13802287326295348</v>
      </c>
      <c r="AC317" s="927">
        <f t="shared" ca="1" si="298"/>
        <v>0.14699786785472335</v>
      </c>
      <c r="AD317" s="927">
        <f t="shared" ca="1" si="298"/>
        <v>0.18976046877163077</v>
      </c>
      <c r="AE317" s="927"/>
      <c r="AF317" s="927"/>
      <c r="AH317" s="927">
        <f t="shared" ref="AH317:AM317" si="299">1-AH315</f>
        <v>0.28432448732754012</v>
      </c>
      <c r="AI317" s="927">
        <f t="shared" si="299"/>
        <v>0.24916344375731547</v>
      </c>
      <c r="AJ317" s="927">
        <f t="shared" si="299"/>
        <v>0.22918111448318046</v>
      </c>
      <c r="AK317" s="927">
        <f t="shared" si="299"/>
        <v>0.22231058465142617</v>
      </c>
      <c r="AL317" s="927">
        <f t="shared" si="299"/>
        <v>0.23631086487368846</v>
      </c>
      <c r="AM317" s="927">
        <f t="shared" si="299"/>
        <v>0.24668320269426169</v>
      </c>
      <c r="AN317" s="927"/>
      <c r="AO317" s="927"/>
      <c r="AV317" s="4400"/>
      <c r="AW317" s="4401"/>
      <c r="AX317" s="4402"/>
      <c r="AZ317" s="927">
        <f t="shared" ref="AZ317:BE317" ca="1" si="300">1-AZ315</f>
        <v>6.1999002037912088E-2</v>
      </c>
      <c r="BA317" s="927">
        <f t="shared" ca="1" si="300"/>
        <v>5.2975141014106275E-2</v>
      </c>
      <c r="BB317" s="927">
        <f t="shared" ca="1" si="300"/>
        <v>4.7635205952305193E-2</v>
      </c>
      <c r="BC317" s="927">
        <f t="shared" ca="1" si="300"/>
        <v>4.6046686395876613E-2</v>
      </c>
      <c r="BD317" s="927">
        <f t="shared" ca="1" si="300"/>
        <v>4.9707665558849201E-2</v>
      </c>
      <c r="BE317" s="927">
        <f t="shared" ca="1" si="300"/>
        <v>5.1736386636116238E-2</v>
      </c>
      <c r="BF317" s="927"/>
      <c r="BG317" s="927"/>
      <c r="BI317" s="927">
        <f t="shared" ref="BI317:BN317" ca="1" si="301">1-BI315</f>
        <v>2.7214316873180211E-2</v>
      </c>
      <c r="BJ317" s="927">
        <f t="shared" ca="1" si="301"/>
        <v>2.371188478462416E-2</v>
      </c>
      <c r="BK317" s="927">
        <f t="shared" ca="1" si="301"/>
        <v>2.111945010471572E-2</v>
      </c>
      <c r="BL317" s="927">
        <f t="shared" ca="1" si="301"/>
        <v>2.0317749790894513E-2</v>
      </c>
      <c r="BM317" s="927">
        <f t="shared" ca="1" si="301"/>
        <v>2.2236254339163652E-2</v>
      </c>
      <c r="BN317" s="927">
        <f t="shared" ca="1" si="301"/>
        <v>2.335110867500878E-2</v>
      </c>
      <c r="BO317" s="927"/>
      <c r="BP317" s="927"/>
    </row>
    <row r="318" spans="2:68" ht="13.2" customHeight="1">
      <c r="B318" s="1700" t="str">
        <f>CONCATENATE("Complement of preliminary traffic-retention factor in Row ",O315, ".")</f>
        <v>Complement of preliminary traffic-retention factor in Row 315.</v>
      </c>
      <c r="C318" s="86"/>
      <c r="D318" s="86"/>
      <c r="E318" s="86"/>
      <c r="F318" s="86"/>
      <c r="G318" s="86"/>
      <c r="H318" s="86"/>
      <c r="I318" s="86"/>
      <c r="J318" s="86"/>
      <c r="K318" s="86"/>
      <c r="M318" s="86"/>
      <c r="N318" s="86"/>
      <c r="O318" s="136">
        <f>ROW()</f>
        <v>318</v>
      </c>
      <c r="AR318" s="1002"/>
      <c r="AU318" s="1002"/>
      <c r="AV318" s="4400"/>
      <c r="AW318" s="4401"/>
      <c r="AX318" s="4402"/>
    </row>
    <row r="319" spans="2:68" ht="13.2" customHeight="1">
      <c r="B319" s="518" t="s">
        <v>4355</v>
      </c>
      <c r="C319" s="86"/>
      <c r="D319" s="86"/>
      <c r="E319" s="86"/>
      <c r="F319" s="86"/>
      <c r="G319" s="86"/>
      <c r="H319" s="86"/>
      <c r="I319" s="86"/>
      <c r="J319" s="86"/>
      <c r="K319" s="2016">
        <f>'Motor Vs'!K319</f>
        <v>2.5000000000000001E-2</v>
      </c>
      <c r="N319" s="86"/>
      <c r="O319" s="136">
        <f>ROW()</f>
        <v>319</v>
      </c>
      <c r="AQ319" s="1002"/>
      <c r="AR319" s="1002"/>
      <c r="AS319" s="1002"/>
      <c r="AT319" s="1002"/>
      <c r="AU319" s="1002"/>
      <c r="AV319" s="4400"/>
      <c r="AW319" s="4401"/>
      <c r="AX319" s="4402"/>
    </row>
    <row r="320" spans="2:68" ht="13.2" customHeight="1">
      <c r="B320" s="494" t="str">
        <f>CONCATENATE("Komanoff assumption. Is set equal to value given in corresponding cell (Row ",'Motor Vs'!O319, ") in 'Motor Vs' worksheet, and is described in Row ",'Motor Vs'!O320, " of that worksheet.")</f>
        <v>Komanoff assumption. Is set equal to value given in corresponding cell (Row 319) in 'Motor Vs' worksheet, and is described in Row 320 of that worksheet.</v>
      </c>
      <c r="C320" s="86"/>
      <c r="D320" s="86"/>
      <c r="E320" s="86"/>
      <c r="F320" s="86"/>
      <c r="G320" s="86"/>
      <c r="H320" s="86"/>
      <c r="I320" s="86"/>
      <c r="J320" s="86"/>
      <c r="K320" s="86"/>
      <c r="M320" s="86"/>
      <c r="N320" s="86"/>
      <c r="O320" s="136">
        <f>ROW()</f>
        <v>320</v>
      </c>
      <c r="AQ320" s="1002"/>
      <c r="AR320" s="1002"/>
      <c r="AS320" s="1002"/>
      <c r="AT320" s="1002"/>
      <c r="AU320" s="1002"/>
      <c r="AV320" s="4400"/>
      <c r="AW320" s="4401"/>
      <c r="AX320" s="4402"/>
    </row>
    <row r="321" spans="1:68" ht="13.2" customHeight="1">
      <c r="B321" s="815" t="s">
        <v>432</v>
      </c>
      <c r="C321" s="86"/>
      <c r="D321" s="86"/>
      <c r="E321" s="86"/>
      <c r="F321" s="86"/>
      <c r="G321" s="86"/>
      <c r="H321" s="86"/>
      <c r="I321" s="86"/>
      <c r="J321" s="86"/>
      <c r="K321" s="86"/>
      <c r="M321" s="86"/>
      <c r="N321" s="86"/>
      <c r="O321" s="136">
        <f>ROW()</f>
        <v>321</v>
      </c>
      <c r="P321" s="785">
        <f t="shared" ref="P321:U321" ca="1" si="302">(1-$K$319)*P315+$K$319</f>
        <v>0.84234953269729118</v>
      </c>
      <c r="Q321" s="785">
        <f t="shared" ca="1" si="302"/>
        <v>0.88094815463658271</v>
      </c>
      <c r="R321" s="785">
        <f t="shared" ca="1" si="302"/>
        <v>0.90595796253639149</v>
      </c>
      <c r="S321" s="785">
        <f t="shared" ca="1" si="302"/>
        <v>0.92277791269170506</v>
      </c>
      <c r="T321" s="785">
        <f t="shared" ca="1" si="302"/>
        <v>0.91757263823022917</v>
      </c>
      <c r="U321" s="785">
        <f t="shared" ca="1" si="302"/>
        <v>0.89242972043209212</v>
      </c>
      <c r="Y321" s="785">
        <f t="shared" ref="Y321:AD321" ca="1" si="303">(1-$K$319)*Y315+$K$319</f>
        <v>0.73479082471021417</v>
      </c>
      <c r="Z321" s="785">
        <f t="shared" ca="1" si="303"/>
        <v>0.79626164682025513</v>
      </c>
      <c r="AA321" s="785">
        <f t="shared" ca="1" si="303"/>
        <v>0.83729848072414903</v>
      </c>
      <c r="AB321" s="785">
        <f t="shared" ca="1" si="303"/>
        <v>0.86542769856862034</v>
      </c>
      <c r="AC321" s="785">
        <f t="shared" ca="1" si="303"/>
        <v>0.85667707884164479</v>
      </c>
      <c r="AD321" s="785">
        <f t="shared" ca="1" si="303"/>
        <v>0.81498354294765996</v>
      </c>
      <c r="AH321" s="785">
        <f t="shared" ref="AH321:AM321" si="304">(1-$K$319)*AH315+$K$319</f>
        <v>0.7227836248556484</v>
      </c>
      <c r="AI321" s="785">
        <f t="shared" si="304"/>
        <v>0.75706564233661744</v>
      </c>
      <c r="AJ321" s="785">
        <f t="shared" si="304"/>
        <v>0.77654841337889902</v>
      </c>
      <c r="AK321" s="785">
        <f t="shared" si="304"/>
        <v>0.78324717996485949</v>
      </c>
      <c r="AL321" s="785">
        <f t="shared" si="304"/>
        <v>0.76959690674815373</v>
      </c>
      <c r="AM321" s="785">
        <f t="shared" si="304"/>
        <v>0.75948387737309486</v>
      </c>
      <c r="AQ321" s="1002"/>
      <c r="AR321" s="1002"/>
      <c r="AS321" s="1002"/>
      <c r="AT321" s="1002"/>
      <c r="AU321" s="1002"/>
      <c r="AV321" s="4400"/>
      <c r="AW321" s="4401"/>
      <c r="AX321" s="4402"/>
      <c r="AZ321" s="785">
        <f t="shared" ref="AZ321:BE321" ca="1" si="305">(1-$K$319)*AZ315+$K$319</f>
        <v>0.9395509730130357</v>
      </c>
      <c r="BA321" s="785">
        <f t="shared" ca="1" si="305"/>
        <v>0.94834923751124633</v>
      </c>
      <c r="BB321" s="785">
        <f t="shared" ca="1" si="305"/>
        <v>0.95355567419650245</v>
      </c>
      <c r="BC321" s="785">
        <f t="shared" ca="1" si="305"/>
        <v>0.95510448076402032</v>
      </c>
      <c r="BD321" s="785">
        <f t="shared" ca="1" si="305"/>
        <v>0.95153502608012208</v>
      </c>
      <c r="BE321" s="785">
        <f t="shared" ca="1" si="305"/>
        <v>0.94955702302978662</v>
      </c>
      <c r="BI321" s="785">
        <f t="shared" ref="BI321:BN321" ca="1" si="306">(1-$K$319)*BI315+$K$319</f>
        <v>0.97346604104864931</v>
      </c>
      <c r="BJ321" s="785">
        <f t="shared" ca="1" si="306"/>
        <v>0.97688091233499141</v>
      </c>
      <c r="BK321" s="785">
        <f t="shared" ca="1" si="306"/>
        <v>0.97940853614790213</v>
      </c>
      <c r="BL321" s="785">
        <f t="shared" ca="1" si="306"/>
        <v>0.98019019395387785</v>
      </c>
      <c r="BM321" s="785">
        <f t="shared" ca="1" si="306"/>
        <v>0.97831965201931548</v>
      </c>
      <c r="BN321" s="785">
        <f t="shared" ca="1" si="306"/>
        <v>0.97723266904186645</v>
      </c>
    </row>
    <row r="322" spans="1:68" ht="13.2" customHeight="1">
      <c r="B322" s="1700" t="str">
        <f>CONCATENATE("Calculated as sum of (i) product of Row ",O315, " and complement of parameter in Row ",O319, "; and (ii) parameter in Row ",O319, ". Mathematically, reflects 'free pass' given to vehicle share shown in Row ",O319, ".")</f>
        <v>Calculated as sum of (i) product of Row 315 and complement of parameter in Row 319; and (ii) parameter in Row 319. Mathematically, reflects 'free pass' given to vehicle share shown in Row 319.</v>
      </c>
      <c r="C322" s="86"/>
      <c r="D322" s="86"/>
      <c r="E322" s="86"/>
      <c r="F322" s="86"/>
      <c r="G322" s="86"/>
      <c r="H322" s="86"/>
      <c r="I322" s="86"/>
      <c r="J322" s="86"/>
      <c r="K322" s="86"/>
      <c r="M322" s="86"/>
      <c r="N322" s="86"/>
      <c r="O322" s="136">
        <f>ROW()</f>
        <v>322</v>
      </c>
      <c r="P322" s="785"/>
      <c r="Q322" s="785"/>
      <c r="R322" s="785"/>
      <c r="S322" s="785"/>
      <c r="T322" s="785"/>
      <c r="U322" s="785"/>
      <c r="Y322" s="785"/>
      <c r="Z322" s="785"/>
      <c r="AA322" s="785"/>
      <c r="AB322" s="785"/>
      <c r="AC322" s="785"/>
      <c r="AD322" s="785"/>
      <c r="AH322" s="785"/>
      <c r="AI322" s="785"/>
      <c r="AJ322" s="785"/>
      <c r="AK322" s="785"/>
      <c r="AL322" s="785"/>
      <c r="AM322" s="785"/>
      <c r="AQ322" s="1002"/>
      <c r="AR322" s="1002"/>
      <c r="AS322" s="1002"/>
      <c r="AT322" s="1002"/>
      <c r="AU322" s="1002"/>
      <c r="AV322" s="4400"/>
      <c r="AW322" s="4401"/>
      <c r="AX322" s="4402"/>
      <c r="AZ322" s="785"/>
      <c r="BA322" s="785"/>
      <c r="BB322" s="785"/>
      <c r="BC322" s="785"/>
      <c r="BD322" s="785"/>
      <c r="BE322" s="785"/>
      <c r="BI322" s="785"/>
      <c r="BJ322" s="785"/>
      <c r="BK322" s="785"/>
      <c r="BL322" s="785"/>
      <c r="BM322" s="785"/>
      <c r="BN322" s="785"/>
    </row>
    <row r="323" spans="1:68" ht="13.2" customHeight="1">
      <c r="B323" s="1101" t="s">
        <v>4358</v>
      </c>
      <c r="C323" s="86"/>
      <c r="D323" s="86"/>
      <c r="E323" s="86"/>
      <c r="F323" s="86"/>
      <c r="G323" s="86"/>
      <c r="H323" s="86"/>
      <c r="I323" s="86"/>
      <c r="J323" s="86"/>
      <c r="K323" s="86"/>
      <c r="M323" s="86"/>
      <c r="N323" s="86"/>
      <c r="O323" s="136">
        <f>ROW()</f>
        <v>323</v>
      </c>
      <c r="P323" s="785">
        <f t="shared" ref="P323:U323" ca="1" si="307">1-P321</f>
        <v>0.15765046730270882</v>
      </c>
      <c r="Q323" s="785">
        <f t="shared" ca="1" si="307"/>
        <v>0.11905184536341729</v>
      </c>
      <c r="R323" s="785">
        <f t="shared" ca="1" si="307"/>
        <v>9.4042037463608508E-2</v>
      </c>
      <c r="S323" s="785">
        <f t="shared" ca="1" si="307"/>
        <v>7.722208730829494E-2</v>
      </c>
      <c r="T323" s="785">
        <f t="shared" ca="1" si="307"/>
        <v>8.2427361769770835E-2</v>
      </c>
      <c r="U323" s="785">
        <f t="shared" ca="1" si="307"/>
        <v>0.10757027956790788</v>
      </c>
      <c r="Y323" s="785">
        <f t="shared" ref="Y323:AD323" ca="1" si="308">1-Y321</f>
        <v>0.26520917528978583</v>
      </c>
      <c r="Z323" s="785">
        <f t="shared" ca="1" si="308"/>
        <v>0.20373835317974487</v>
      </c>
      <c r="AA323" s="785">
        <f t="shared" ca="1" si="308"/>
        <v>0.16270151927585097</v>
      </c>
      <c r="AB323" s="785">
        <f t="shared" ca="1" si="308"/>
        <v>0.13457230143137966</v>
      </c>
      <c r="AC323" s="785">
        <f t="shared" ca="1" si="308"/>
        <v>0.14332292115835521</v>
      </c>
      <c r="AD323" s="785">
        <f t="shared" ca="1" si="308"/>
        <v>0.18501645705234004</v>
      </c>
      <c r="AH323" s="785">
        <f t="shared" ref="AH323:AM323" si="309">1-AH321</f>
        <v>0.2772163751443516</v>
      </c>
      <c r="AI323" s="785">
        <f t="shared" si="309"/>
        <v>0.24293435766338256</v>
      </c>
      <c r="AJ323" s="785">
        <f t="shared" si="309"/>
        <v>0.22345158662110098</v>
      </c>
      <c r="AK323" s="785">
        <f t="shared" si="309"/>
        <v>0.21675282003514051</v>
      </c>
      <c r="AL323" s="785">
        <f t="shared" si="309"/>
        <v>0.23040309325184627</v>
      </c>
      <c r="AM323" s="785">
        <f t="shared" si="309"/>
        <v>0.24051612262690514</v>
      </c>
      <c r="AQ323" s="1002"/>
      <c r="AR323" s="1002"/>
      <c r="AS323" s="1002"/>
      <c r="AT323" s="1002"/>
      <c r="AU323" s="1002"/>
      <c r="AV323" s="4400"/>
      <c r="AW323" s="4401"/>
      <c r="AX323" s="4402"/>
      <c r="AZ323" s="785">
        <f t="shared" ref="AZ323:BE323" ca="1" si="310">1-AZ321</f>
        <v>6.0449026986964305E-2</v>
      </c>
      <c r="BA323" s="785">
        <f t="shared" ca="1" si="310"/>
        <v>5.1650762488753665E-2</v>
      </c>
      <c r="BB323" s="785">
        <f t="shared" ca="1" si="310"/>
        <v>4.6444325803497555E-2</v>
      </c>
      <c r="BC323" s="785">
        <f t="shared" ca="1" si="310"/>
        <v>4.4895519235979675E-2</v>
      </c>
      <c r="BD323" s="785">
        <f t="shared" ca="1" si="310"/>
        <v>4.8464973919877918E-2</v>
      </c>
      <c r="BE323" s="785">
        <f t="shared" ca="1" si="310"/>
        <v>5.0442976970213382E-2</v>
      </c>
      <c r="BI323" s="785">
        <f t="shared" ref="BI323:BN323" ca="1" si="311">1-BI321</f>
        <v>2.6533958951350689E-2</v>
      </c>
      <c r="BJ323" s="785">
        <f t="shared" ca="1" si="311"/>
        <v>2.3119087665008586E-2</v>
      </c>
      <c r="BK323" s="785">
        <f t="shared" ca="1" si="311"/>
        <v>2.0591463852097869E-2</v>
      </c>
      <c r="BL323" s="785">
        <f t="shared" ca="1" si="311"/>
        <v>1.9809806046122147E-2</v>
      </c>
      <c r="BM323" s="785">
        <f t="shared" ca="1" si="311"/>
        <v>2.1680347980684522E-2</v>
      </c>
      <c r="BN323" s="785">
        <f t="shared" ca="1" si="311"/>
        <v>2.2767330958133547E-2</v>
      </c>
    </row>
    <row r="324" spans="1:68" ht="13.2" customHeight="1">
      <c r="B324" s="1700" t="str">
        <f>CONCATENATE("Complement of preliminary traffic-retention factor in Row ",O321, ".")</f>
        <v>Complement of preliminary traffic-retention factor in Row 321.</v>
      </c>
      <c r="C324" s="86"/>
      <c r="D324" s="86"/>
      <c r="E324" s="86"/>
      <c r="F324" s="86"/>
      <c r="G324" s="86"/>
      <c r="H324" s="86"/>
      <c r="I324" s="86"/>
      <c r="J324" s="86"/>
      <c r="K324" s="86"/>
      <c r="M324" s="86"/>
      <c r="N324" s="86"/>
      <c r="O324" s="136">
        <f>ROW()</f>
        <v>324</v>
      </c>
      <c r="AQ324" s="1002"/>
      <c r="AR324" s="1002"/>
      <c r="AS324" s="1002"/>
      <c r="AT324" s="1002"/>
      <c r="AU324" s="1002"/>
      <c r="AV324" s="4403"/>
      <c r="AW324" s="4404"/>
      <c r="AX324" s="4405"/>
    </row>
    <row r="325" spans="1:68" ht="13.2" customHeight="1">
      <c r="O325" s="136">
        <f>ROW()</f>
        <v>325</v>
      </c>
      <c r="AQ325" s="89" t="s">
        <v>6440</v>
      </c>
      <c r="AR325" s="1002"/>
      <c r="AS325" s="1002"/>
      <c r="AT325" s="1002"/>
      <c r="AU325" s="1002"/>
      <c r="AX325" s="3596">
        <f ca="1">IF(Taxis!L474&gt;0,L30*AX312,Taxis!N304)</f>
        <v>1615.6248189696007</v>
      </c>
    </row>
    <row r="326" spans="1:68" ht="13.2" customHeight="1">
      <c r="B326" s="6" t="s">
        <v>2609</v>
      </c>
      <c r="O326" s="136">
        <f>ROW()</f>
        <v>326</v>
      </c>
      <c r="AQ326" s="826" t="str">
        <f>CONCATENATE("Above figure is derived in 'Taxis' Worksheet, Row ",Taxis!O304, )</f>
        <v>Above figure is derived in 'Taxis' Worksheet, Row 304</v>
      </c>
      <c r="AR326" s="86"/>
      <c r="AS326" s="86"/>
      <c r="AT326" s="86"/>
      <c r="AU326" s="86"/>
      <c r="AV326" s="86"/>
      <c r="AW326" s="86"/>
    </row>
    <row r="327" spans="1:68" ht="13.2" customHeight="1">
      <c r="B327" s="280" t="s">
        <v>1346</v>
      </c>
      <c r="O327" s="136">
        <f>ROW()</f>
        <v>327</v>
      </c>
      <c r="P327" s="717">
        <f>P122/U122</f>
        <v>4.5235903997644549</v>
      </c>
      <c r="Q327" s="717">
        <f>Q122/P122</f>
        <v>0.35821364900972963</v>
      </c>
      <c r="R327" s="717">
        <f>R122/Q122</f>
        <v>2.6189258419190695</v>
      </c>
      <c r="S327" s="717">
        <f>S122/R122</f>
        <v>0.38678239930619945</v>
      </c>
      <c r="T327" s="717">
        <f>T122/S122</f>
        <v>0.98398918740916586</v>
      </c>
      <c r="U327" s="717">
        <f>U122/T122</f>
        <v>0.61914784578263304</v>
      </c>
      <c r="V327" s="717"/>
      <c r="Y327" s="717">
        <f>Y122/AD122</f>
        <v>1.898518223807917</v>
      </c>
      <c r="Z327" s="717">
        <f>Z122/Y122</f>
        <v>0.42904259938186823</v>
      </c>
      <c r="AA327" s="717">
        <f>AA122/Z122</f>
        <v>3.9184232916384243</v>
      </c>
      <c r="AB327" s="717">
        <f>AB122/AA122</f>
        <v>0.75559627073686519</v>
      </c>
      <c r="AC327" s="717">
        <f>AC122/AB122</f>
        <v>0.50369451721396097</v>
      </c>
      <c r="AD327" s="717">
        <f>AD122/AC122</f>
        <v>0.82322099128982862</v>
      </c>
      <c r="AE327" s="717"/>
      <c r="AH327" s="717">
        <f>AH122/AM122</f>
        <v>4.0209692442350704</v>
      </c>
      <c r="AI327" s="717">
        <f>AI122/AH122</f>
        <v>0.35821364900972968</v>
      </c>
      <c r="AJ327" s="717">
        <f>AJ122/AI122</f>
        <v>2.3570332577271627</v>
      </c>
      <c r="AK327" s="717">
        <f>AK122/AJ122</f>
        <v>0.57301096193511036</v>
      </c>
      <c r="AL327" s="717">
        <f>AL122/AK122</f>
        <v>0.66419270150118681</v>
      </c>
      <c r="AM327" s="717">
        <f>AM122/AL122</f>
        <v>0.77393480722829133</v>
      </c>
      <c r="AN327" s="717"/>
      <c r="AQ327" s="4009" t="s">
        <v>3297</v>
      </c>
      <c r="AR327" s="3659"/>
      <c r="AS327" s="3659"/>
      <c r="AT327" s="3659"/>
      <c r="AU327" s="3659"/>
      <c r="AV327" s="3659"/>
      <c r="AW327" s="3659"/>
      <c r="AZ327" s="717">
        <f>AZ122/BE122</f>
        <v>2.783747938316588</v>
      </c>
      <c r="BA327" s="717">
        <f>BA122/AZ122</f>
        <v>0.3880647864272071</v>
      </c>
      <c r="BB327" s="717">
        <f>BB122/BA122</f>
        <v>3.1427110103028828</v>
      </c>
      <c r="BC327" s="717">
        <f>BC122/BB122</f>
        <v>0.64463733217699926</v>
      </c>
      <c r="BD327" s="717">
        <f>BD122/BC122</f>
        <v>0.59039351244549942</v>
      </c>
      <c r="BE327" s="717">
        <f>BE122/BD122</f>
        <v>0.77393480722829133</v>
      </c>
      <c r="BF327" s="717"/>
      <c r="BI327" s="717">
        <f>BI122/BN122</f>
        <v>2.7837479383165871</v>
      </c>
      <c r="BJ327" s="717">
        <f>BJ122/BI122</f>
        <v>0.38806478642720715</v>
      </c>
      <c r="BK327" s="717">
        <f>BK122/BJ122</f>
        <v>3.1427110103028828</v>
      </c>
      <c r="BL327" s="717">
        <f>BL122/BK122</f>
        <v>0.64463733217699926</v>
      </c>
      <c r="BM327" s="717">
        <f>BM122/BL122</f>
        <v>0.59039351244549954</v>
      </c>
      <c r="BN327" s="717">
        <f>BN122/BM122</f>
        <v>0.77393480722829133</v>
      </c>
      <c r="BO327" s="717"/>
    </row>
    <row r="328" spans="1:68" ht="13.2" customHeight="1">
      <c r="B328" s="280" t="s">
        <v>1523</v>
      </c>
      <c r="O328" s="136">
        <f>ROW()</f>
        <v>328</v>
      </c>
      <c r="P328" s="717">
        <f>P122/Q122</f>
        <v>2.7916300865823191</v>
      </c>
      <c r="Q328" s="717">
        <f>Q122/R122</f>
        <v>0.38183593593747212</v>
      </c>
      <c r="R328" s="717">
        <f>R122/S122</f>
        <v>2.5854330543317765</v>
      </c>
      <c r="S328" s="717">
        <f>S122/T122</f>
        <v>1.0162713298029122</v>
      </c>
      <c r="T328" s="717">
        <f>T122/U122</f>
        <v>1.615123119318862</v>
      </c>
      <c r="U328" s="717">
        <f>U122/P122</f>
        <v>0.22106333943322332</v>
      </c>
      <c r="V328" s="717"/>
      <c r="Y328" s="717">
        <f>Y122/Z122</f>
        <v>2.3307708871816541</v>
      </c>
      <c r="Z328" s="717">
        <f>Z122/AA122</f>
        <v>0.25520468963470927</v>
      </c>
      <c r="AA328" s="717">
        <f>AA122/AB122</f>
        <v>1.3234580935990987</v>
      </c>
      <c r="AB328" s="717">
        <f>AB122/AC122</f>
        <v>1.9853303258713393</v>
      </c>
      <c r="AC328" s="717">
        <f>AC122/AD122</f>
        <v>1.2147406475060758</v>
      </c>
      <c r="AD328" s="717">
        <f>AD122/Y122</f>
        <v>0.52672657415648549</v>
      </c>
      <c r="AE328" s="717"/>
      <c r="AH328" s="717">
        <f>AH122/AI122</f>
        <v>2.7916300865823187</v>
      </c>
      <c r="AI328" s="717">
        <f>AI122/AJ122</f>
        <v>0.42426215104163562</v>
      </c>
      <c r="AJ328" s="717">
        <f>AJ122/AK122</f>
        <v>1.745167311673949</v>
      </c>
      <c r="AK328" s="717">
        <f>AK122/AL122</f>
        <v>1.505587155263574</v>
      </c>
      <c r="AL328" s="717">
        <f>AL122/AM122</f>
        <v>1.2920984954550896</v>
      </c>
      <c r="AM328" s="717">
        <f>AM122/AH122</f>
        <v>0.24869625686237626</v>
      </c>
      <c r="AN328" s="717"/>
      <c r="AQ328" s="3659"/>
      <c r="AR328" s="3659"/>
      <c r="AS328" s="3659"/>
      <c r="AT328" s="3659"/>
      <c r="AU328" s="3659"/>
      <c r="AV328" s="3659"/>
      <c r="AW328" s="3659"/>
      <c r="AZ328" s="717">
        <f>AZ122/BA122</f>
        <v>2.5768893106913713</v>
      </c>
      <c r="BA328" s="717">
        <f>BA122/BB122</f>
        <v>0.31819661328122678</v>
      </c>
      <c r="BB328" s="717">
        <f>BB122/BC122</f>
        <v>1.5512598325990654</v>
      </c>
      <c r="BC328" s="717">
        <f>BC122/BD122</f>
        <v>1.6937855496715208</v>
      </c>
      <c r="BD328" s="717">
        <f>BD122/BE122</f>
        <v>1.2920984954550896</v>
      </c>
      <c r="BE328" s="717">
        <f>BE122/AZ122</f>
        <v>0.35922792657898783</v>
      </c>
      <c r="BF328" s="717"/>
      <c r="BI328" s="717">
        <f>BI122/BJ122</f>
        <v>2.5768893106913713</v>
      </c>
      <c r="BJ328" s="717">
        <f>BJ122/BK122</f>
        <v>0.31819661328122678</v>
      </c>
      <c r="BK328" s="717">
        <f>BK122/BL122</f>
        <v>1.5512598325990656</v>
      </c>
      <c r="BL328" s="717">
        <f>BL122/BM122</f>
        <v>1.6937855496715204</v>
      </c>
      <c r="BM328" s="717">
        <f>BM122/BN122</f>
        <v>1.2920984954550896</v>
      </c>
      <c r="BN328" s="717">
        <f>BN122/BI122</f>
        <v>0.35922792657898794</v>
      </c>
      <c r="BO328" s="717"/>
    </row>
    <row r="329" spans="1:68" ht="13.2" customHeight="1">
      <c r="B329" s="815" t="s">
        <v>611</v>
      </c>
      <c r="C329" s="86"/>
      <c r="D329" s="86"/>
      <c r="E329" s="86"/>
      <c r="F329" s="86"/>
      <c r="G329" s="815"/>
      <c r="H329" s="86"/>
      <c r="I329" s="86"/>
      <c r="J329" s="86"/>
      <c r="K329" s="86"/>
      <c r="M329" s="86"/>
      <c r="N329" s="86"/>
      <c r="O329" s="926">
        <f>ROW()</f>
        <v>329</v>
      </c>
      <c r="P329" s="717">
        <f>IF(ABS(P256-U256)&lt;1,1,P256/U256)</f>
        <v>1</v>
      </c>
      <c r="Q329" s="717">
        <f>IF(ABS(Q256-P256)&lt;1,1,Q256/P256)</f>
        <v>1</v>
      </c>
      <c r="R329" s="717">
        <f>IF(ABS(R256-Q256)&lt;1,1,R256/Q256)</f>
        <v>1</v>
      </c>
      <c r="S329" s="717">
        <f>IF(ABS(S256-R256)&lt;1,1,S256/R256)</f>
        <v>1</v>
      </c>
      <c r="T329" s="717">
        <f>IF(ABS(T256-S256)&lt;1,1,T256/S256)</f>
        <v>1</v>
      </c>
      <c r="U329" s="717">
        <f>IF(ABS(U256-T256)&lt;1,1,U256/T256)</f>
        <v>1</v>
      </c>
      <c r="V329" s="814"/>
      <c r="W329" s="86"/>
      <c r="X329" s="86"/>
      <c r="Y329" s="717">
        <f>IF(ABS(Y256-AD256)&lt;1,1,Y256/AD256)</f>
        <v>1</v>
      </c>
      <c r="Z329" s="717">
        <f>IF(ABS(Z256-Y256)&lt;1,1,Z256/Y256)</f>
        <v>1</v>
      </c>
      <c r="AA329" s="717">
        <f>IF(ABS(AA256-Z256)&lt;1,1,AA256/Z256)</f>
        <v>1</v>
      </c>
      <c r="AB329" s="717">
        <f>IF(ABS(AB256-AA256)&lt;1,1,AB256/AA256)</f>
        <v>1</v>
      </c>
      <c r="AC329" s="717">
        <f>IF(ABS(AC256-AB256)&lt;1,1,AC256/AB256)</f>
        <v>1</v>
      </c>
      <c r="AD329" s="717">
        <f>IF(ABS(AD256-AC256)&lt;1,1,AD256/AC256)</f>
        <v>1</v>
      </c>
      <c r="AE329" s="814"/>
      <c r="AF329" s="86"/>
      <c r="AG329" s="86"/>
      <c r="AH329" s="717">
        <f>IF(ABS(AH256-AM256)&lt;1,1,AH256/AM256)</f>
        <v>1</v>
      </c>
      <c r="AI329" s="717">
        <f>IF(ABS(AI256-AH256)&lt;1,1,AI256/AH256)</f>
        <v>1</v>
      </c>
      <c r="AJ329" s="717">
        <f>IF(ABS(AJ256-AI256)&lt;1,1,AJ256/AI256)</f>
        <v>1</v>
      </c>
      <c r="AK329" s="717">
        <f>IF(ABS(AK256-AJ256)&lt;1,1,AK256/AJ256)</f>
        <v>1</v>
      </c>
      <c r="AL329" s="717">
        <f>IF(ABS(AL256-AK256)&lt;1,1,AL256/AK256)</f>
        <v>1</v>
      </c>
      <c r="AM329" s="717">
        <f>IF(ABS(AM256-AL256)&lt;1,1,AM256/AL256)</f>
        <v>1</v>
      </c>
      <c r="AN329" s="814"/>
      <c r="AO329" s="86"/>
      <c r="AP329" s="86"/>
      <c r="AQ329" s="3659"/>
      <c r="AR329" s="3659"/>
      <c r="AS329" s="3659"/>
      <c r="AT329" s="3659"/>
      <c r="AU329" s="3659"/>
      <c r="AV329" s="3659"/>
      <c r="AW329" s="3659"/>
      <c r="AY329" s="86"/>
      <c r="AZ329" s="717">
        <f>IF(ABS(AZ256-BE256)&lt;1,1,AZ256/BE256)</f>
        <v>1</v>
      </c>
      <c r="BA329" s="717">
        <f>IF(ABS(BA256-AZ256)&lt;1,1,BA256/AZ256)</f>
        <v>1</v>
      </c>
      <c r="BB329" s="717">
        <f>IF(ABS(BB256-BA256)&lt;1,1,BB256/BA256)</f>
        <v>1</v>
      </c>
      <c r="BC329" s="717">
        <f>IF(ABS(BC256-BB256)&lt;1,1,BC256/BB256)</f>
        <v>1</v>
      </c>
      <c r="BD329" s="717">
        <f>IF(ABS(BD256-BC256)&lt;1,1,BD256/BC256)</f>
        <v>1</v>
      </c>
      <c r="BE329" s="717">
        <f>IF(ABS(BE256-BD256)&lt;1,1,BE256/BD256)</f>
        <v>1</v>
      </c>
      <c r="BF329" s="814"/>
      <c r="BG329" s="86"/>
      <c r="BH329" s="86"/>
      <c r="BI329" s="717">
        <f>IF(ABS(BI256-BN256)&lt;1,1,BI256/BN256)</f>
        <v>1</v>
      </c>
      <c r="BJ329" s="717">
        <f>IF(ABS(BJ256-BI256)&lt;1,1,BJ256/BI256)</f>
        <v>1</v>
      </c>
      <c r="BK329" s="717">
        <f>IF(ABS(BK256-BJ256)&lt;1,1,BK256/BJ256)</f>
        <v>1</v>
      </c>
      <c r="BL329" s="717">
        <f>IF(ABS(BL256-BK256)&lt;1,1,BL256/BK256)</f>
        <v>1</v>
      </c>
      <c r="BM329" s="717">
        <f>IF(ABS(BM256-BL256)&lt;1,1,BM256/BL256)</f>
        <v>1</v>
      </c>
      <c r="BN329" s="717">
        <f>IF(ABS(BN256-BM256)&lt;1,1,BN256/BM256)</f>
        <v>1</v>
      </c>
      <c r="BO329" s="814"/>
      <c r="BP329" s="86"/>
    </row>
    <row r="330" spans="1:68" ht="13.2" customHeight="1">
      <c r="B330" s="815" t="s">
        <v>1695</v>
      </c>
      <c r="C330" s="86"/>
      <c r="D330" s="86"/>
      <c r="E330" s="86"/>
      <c r="F330" s="86"/>
      <c r="G330" s="815"/>
      <c r="H330" s="86"/>
      <c r="I330" s="86"/>
      <c r="J330" s="86"/>
      <c r="K330" s="86"/>
      <c r="M330" s="86"/>
      <c r="N330" s="86"/>
      <c r="O330" s="926">
        <f>ROW()</f>
        <v>330</v>
      </c>
      <c r="P330" s="717">
        <f>IF(ABS(P256-Q256)&lt;1,1,P256/Q256)</f>
        <v>1</v>
      </c>
      <c r="Q330" s="717">
        <f>IF(ABS(Q256-R256)&lt;1,1,Q256/R256)</f>
        <v>1</v>
      </c>
      <c r="R330" s="717">
        <f>IF(ABS(R256-S256)&lt;1,1,R256/S256)</f>
        <v>1</v>
      </c>
      <c r="S330" s="717">
        <f>IF(ABS(S256-T256)&lt;1,1,S256/T256)</f>
        <v>1</v>
      </c>
      <c r="T330" s="717">
        <f>IF(ABS(T256-U256)&lt;1,1,T256/U256)</f>
        <v>1</v>
      </c>
      <c r="U330" s="717">
        <f>IF(ABS(U256-P256)&lt;1,1,U256/P256)</f>
        <v>1</v>
      </c>
      <c r="V330" s="814"/>
      <c r="W330" s="86"/>
      <c r="X330" s="86"/>
      <c r="Y330" s="717">
        <f>IF(ABS(Y256-Z256)&lt;1,1,Y256/Z256)</f>
        <v>1</v>
      </c>
      <c r="Z330" s="717">
        <f>IF(ABS(Z256-AA256)&lt;1,1,Z256/AA256)</f>
        <v>1</v>
      </c>
      <c r="AA330" s="717">
        <f>IF(ABS(AA256-AB256)&lt;1,1,AA256/AB256)</f>
        <v>1</v>
      </c>
      <c r="AB330" s="717">
        <f>IF(ABS(AB256-AC256)&lt;1,1,AB256/AC256)</f>
        <v>1</v>
      </c>
      <c r="AC330" s="717">
        <f>IF(ABS(AC256-AD256)&lt;1,1,AC256/AD256)</f>
        <v>1</v>
      </c>
      <c r="AD330" s="717">
        <f>IF(ABS(AD256-Y256)&lt;1,1,AD256/Y256)</f>
        <v>1</v>
      </c>
      <c r="AE330" s="814"/>
      <c r="AF330" s="86"/>
      <c r="AG330" s="86"/>
      <c r="AH330" s="717">
        <f>IF(ABS(AH256-AI256)&lt;1,1,AH256/AI256)</f>
        <v>1</v>
      </c>
      <c r="AI330" s="717">
        <f>IF(ABS(AI256-AJ256)&lt;1,1,AI256/AJ256)</f>
        <v>1</v>
      </c>
      <c r="AJ330" s="717">
        <f>IF(ABS(AJ256-AK256)&lt;1,1,AJ256/AK256)</f>
        <v>1</v>
      </c>
      <c r="AK330" s="717">
        <f>IF(ABS(AK256-AL256)&lt;1,1,AK256/AL256)</f>
        <v>1</v>
      </c>
      <c r="AL330" s="717">
        <f>IF(ABS(AL256-AM256)&lt;1,1,AL256/AM256)</f>
        <v>1</v>
      </c>
      <c r="AM330" s="717">
        <f>IF(ABS(AM256-AH256)&lt;1,1,AM256/AH256)</f>
        <v>1</v>
      </c>
      <c r="AN330" s="814"/>
      <c r="AO330" s="86"/>
      <c r="AP330" s="86"/>
      <c r="AR330" s="1002"/>
      <c r="AS330" s="1002"/>
      <c r="AT330" s="1002"/>
      <c r="AU330" s="1002"/>
      <c r="AV330" s="1002"/>
      <c r="AW330" s="1002"/>
      <c r="AX330" s="4388" t="str">
        <f>CONCATENATE("Sum below matches Row ",O325, ".")</f>
        <v>Sum below matches Row 325.</v>
      </c>
      <c r="AY330" s="86"/>
      <c r="AZ330" s="717">
        <f>IF(ABS(AZ256-BA256)&lt;1,1,AZ256/BA256)</f>
        <v>1</v>
      </c>
      <c r="BA330" s="717">
        <f>IF(ABS(BA256-BB256)&lt;1,1,BA256/BB256)</f>
        <v>1</v>
      </c>
      <c r="BB330" s="717">
        <f>IF(ABS(BB256-BC256)&lt;1,1,BB256/BC256)</f>
        <v>1</v>
      </c>
      <c r="BC330" s="717">
        <f>IF(ABS(BC256-BD256)&lt;1,1,BC256/BD256)</f>
        <v>1</v>
      </c>
      <c r="BD330" s="717">
        <f>IF(ABS(BD256-BE256)&lt;1,1,BD256/BE256)</f>
        <v>1</v>
      </c>
      <c r="BE330" s="717">
        <f>IF(ABS(BE256-AZ256)&lt;1,1,BE256/AZ256)</f>
        <v>1</v>
      </c>
      <c r="BF330" s="814"/>
      <c r="BG330" s="86"/>
      <c r="BH330" s="86"/>
      <c r="BI330" s="717">
        <f>IF(ABS(BI256-BJ256)&lt;1,1,BI256/BJ256)</f>
        <v>1</v>
      </c>
      <c r="BJ330" s="717">
        <f>IF(ABS(BJ256-BK256)&lt;1,1,BJ256/BK256)</f>
        <v>1</v>
      </c>
      <c r="BK330" s="717">
        <f>IF(ABS(BK256-BL256)&lt;1,1,BK256/BL256)</f>
        <v>1</v>
      </c>
      <c r="BL330" s="717">
        <f>IF(ABS(BL256-BM256)&lt;1,1,BL256/BM256)</f>
        <v>1</v>
      </c>
      <c r="BM330" s="717">
        <f>IF(ABS(BM256-BN256)&lt;1,1,BM256/BN256)</f>
        <v>1</v>
      </c>
      <c r="BN330" s="717">
        <f>IF(ABS(BN256-BI256)&lt;1,1,BN256/BI256)</f>
        <v>1</v>
      </c>
      <c r="BO330" s="814"/>
      <c r="BP330" s="86"/>
    </row>
    <row r="331" spans="1:68" ht="13.2" customHeight="1">
      <c r="B331" s="815" t="s">
        <v>1696</v>
      </c>
      <c r="C331" s="86"/>
      <c r="D331" s="86"/>
      <c r="E331" s="86"/>
      <c r="F331" s="86"/>
      <c r="G331" s="86"/>
      <c r="H331" s="86"/>
      <c r="I331" s="86"/>
      <c r="J331" s="86"/>
      <c r="K331" s="86"/>
      <c r="M331" s="86"/>
      <c r="N331" s="86"/>
      <c r="O331" s="926">
        <f>ROW()</f>
        <v>331</v>
      </c>
      <c r="P331" s="717">
        <f>IF(ABS(P293-U293)&lt;1, 1, P293/U293)</f>
        <v>1</v>
      </c>
      <c r="Q331" s="717">
        <f>IF(ABS(Q293-P293)&lt;1, 1, Q293/P293)</f>
        <v>1</v>
      </c>
      <c r="R331" s="717">
        <f>IF(ABS(R293-Q293)&lt;1, 1, R293/Q293)</f>
        <v>1</v>
      </c>
      <c r="S331" s="717">
        <f>IF(ABS(S293-R293)&lt;1, 1, S293/R293)</f>
        <v>1</v>
      </c>
      <c r="T331" s="717">
        <f>IF(ABS(T293-S293)&lt;1, 1, T293/S293)</f>
        <v>1</v>
      </c>
      <c r="U331" s="717">
        <f>IF(ABS(U293-T293)&lt;1, 1, U293/T293)</f>
        <v>1</v>
      </c>
      <c r="V331" s="814"/>
      <c r="W331" s="86"/>
      <c r="X331" s="86"/>
      <c r="Y331" s="717">
        <f>IF(ABS(Y293-AD293)&lt;1, 1, Y293/AD293)</f>
        <v>1</v>
      </c>
      <c r="Z331" s="717">
        <f>IF(ABS(Z293-Y293)&lt;1, 1, Z293/Y293)</f>
        <v>1</v>
      </c>
      <c r="AA331" s="717">
        <f>IF(ABS(AA293-Z293)&lt;1, 1, AA293/Z293)</f>
        <v>1</v>
      </c>
      <c r="AB331" s="717">
        <f>IF(ABS(AB293-AA293)&lt;1, 1, AB293/AA293)</f>
        <v>1</v>
      </c>
      <c r="AC331" s="717">
        <f>IF(ABS(AC293-AB293)&lt;1, 1, AC293/AB293)</f>
        <v>1</v>
      </c>
      <c r="AD331" s="717">
        <f>IF(ABS(AD293-AC293)&lt;1, 1, AD293/AC293)</f>
        <v>1</v>
      </c>
      <c r="AE331" s="814"/>
      <c r="AF331" s="86"/>
      <c r="AG331" s="86"/>
      <c r="AH331" s="717">
        <f>IF(ABS(AH293-AM293)&lt;1, 1, AH293/AM293)</f>
        <v>1</v>
      </c>
      <c r="AI331" s="717">
        <f>IF(ABS(AI293-AH293)&lt;1, 1, AI293/AH293)</f>
        <v>1</v>
      </c>
      <c r="AJ331" s="717">
        <f>IF(ABS(AJ293-AI293)&lt;1, 1, AJ293/AI293)</f>
        <v>1</v>
      </c>
      <c r="AK331" s="717">
        <f>IF(ABS(AK293-AJ293)&lt;1, 1, AK293/AJ293)</f>
        <v>1</v>
      </c>
      <c r="AL331" s="717">
        <f>IF(ABS(AL293-AK293)&lt;1, 1, AL293/AK293)</f>
        <v>1</v>
      </c>
      <c r="AM331" s="717">
        <f>IF(ABS(AM293-AL293)&lt;1, 1, AM293/AL293)</f>
        <v>1</v>
      </c>
      <c r="AN331" s="814"/>
      <c r="AO331" s="86"/>
      <c r="AP331" s="86"/>
      <c r="AQ331" s="1002" t="str">
        <f>CONCATENATE("Distribute Row ",O318, " figure, which is 24-h, to different time bins, based on taxi entry patterns in Row ",O122, ".")</f>
        <v>Distribute Row 318 figure, which is 24-h, to different time bins, based on taxi entry patterns in Row 122.</v>
      </c>
      <c r="AR331" s="1002"/>
      <c r="AS331" s="1002"/>
      <c r="AT331" s="1002"/>
      <c r="AU331" s="1002"/>
      <c r="AV331" s="1002"/>
      <c r="AW331" s="1002"/>
      <c r="AX331" s="4389"/>
      <c r="AY331" s="86"/>
      <c r="AZ331" s="717">
        <f>IF(ABS(AZ293-BE293)&lt;1, 1, AZ293/BE293)</f>
        <v>1</v>
      </c>
      <c r="BA331" s="717">
        <f>IF(ABS(BA293-AZ293)&lt;1, 1, BA293/AZ293)</f>
        <v>1</v>
      </c>
      <c r="BB331" s="717">
        <f>IF(ABS(BB293-BA293)&lt;1, 1, BB293/BA293)</f>
        <v>1</v>
      </c>
      <c r="BC331" s="717">
        <f>IF(ABS(BC293-BB293)&lt;1, 1, BC293/BB293)</f>
        <v>1</v>
      </c>
      <c r="BD331" s="717">
        <f>IF(ABS(BD293-BC293)&lt;1, 1, BD293/BC293)</f>
        <v>1</v>
      </c>
      <c r="BE331" s="717">
        <f>IF(ABS(BE293-BD293)&lt;1, 1, BE293/BD293)</f>
        <v>1</v>
      </c>
      <c r="BF331" s="814"/>
      <c r="BG331" s="86"/>
      <c r="BH331" s="86"/>
      <c r="BI331" s="717">
        <f>IF(ABS(BI293-BN293)&lt;1, 1, BI293/BN293)</f>
        <v>1</v>
      </c>
      <c r="BJ331" s="717">
        <f>IF(ABS(BJ293-BI293)&lt;1, 1, BJ293/BI293)</f>
        <v>1</v>
      </c>
      <c r="BK331" s="717">
        <f>IF(ABS(BK293-BJ293)&lt;1, 1, BK293/BJ293)</f>
        <v>1</v>
      </c>
      <c r="BL331" s="717">
        <f>IF(ABS(BL293-BK293)&lt;1, 1, BL293/BK293)</f>
        <v>1</v>
      </c>
      <c r="BM331" s="717">
        <f>IF(ABS(BM293-BL293)&lt;1, 1, BM293/BL293)</f>
        <v>1</v>
      </c>
      <c r="BN331" s="717">
        <f>IF(ABS(BN293-BM293)&lt;1, 1, BN293/BM293)</f>
        <v>1</v>
      </c>
      <c r="BO331" s="814"/>
      <c r="BP331" s="86"/>
    </row>
    <row r="332" spans="1:68" ht="13.2" customHeight="1">
      <c r="B332" s="815" t="s">
        <v>1697</v>
      </c>
      <c r="C332" s="86"/>
      <c r="D332" s="86"/>
      <c r="E332" s="86"/>
      <c r="F332" s="86"/>
      <c r="G332" s="86"/>
      <c r="H332" s="86"/>
      <c r="I332" s="86"/>
      <c r="J332" s="86"/>
      <c r="K332" s="86"/>
      <c r="M332" s="86"/>
      <c r="N332" s="86"/>
      <c r="O332" s="926">
        <f>ROW()</f>
        <v>332</v>
      </c>
      <c r="P332" s="717">
        <f>IF(ABS(P293-Q293)&lt;1, 1, P293/Q293)</f>
        <v>1</v>
      </c>
      <c r="Q332" s="717">
        <f>IF(ABS(Q293-R293)&lt;1, 1, Q293/R293)</f>
        <v>1</v>
      </c>
      <c r="R332" s="717">
        <f>IF(ABS(R293-S293)&lt;1, 1, R293/S293)</f>
        <v>1</v>
      </c>
      <c r="S332" s="717">
        <f>IF(ABS(S293-T293)&lt;1, 1, S293/T293)</f>
        <v>1</v>
      </c>
      <c r="T332" s="717">
        <f>IF(ABS(T293-U293)&lt;1, 1, T293/U293)</f>
        <v>1</v>
      </c>
      <c r="U332" s="717">
        <f>IF(ABS(U293-P293)&lt;1, 1, U293/P293)</f>
        <v>1</v>
      </c>
      <c r="V332" s="814"/>
      <c r="W332" s="86"/>
      <c r="X332" s="86"/>
      <c r="Y332" s="717">
        <f>IF(ABS(Y293-Z293)&lt;1, 1, Y293/Z293)</f>
        <v>1</v>
      </c>
      <c r="Z332" s="717">
        <f>IF(ABS(Z293-AA293)&lt;1, 1, Z293/AA293)</f>
        <v>1</v>
      </c>
      <c r="AA332" s="717">
        <f>IF(ABS(AA293-AB293)&lt;1, 1, AA293/AB293)</f>
        <v>1</v>
      </c>
      <c r="AB332" s="717">
        <f>IF(ABS(AB293-AC293)&lt;1, 1, AB293/AC293)</f>
        <v>1</v>
      </c>
      <c r="AC332" s="717">
        <f>IF(ABS(AC293-AD293)&lt;1, 1, AC293/AD293)</f>
        <v>1</v>
      </c>
      <c r="AD332" s="717">
        <f>IF(ABS(AD293-Y293)&lt;1, 1, AD293/Y293)</f>
        <v>1</v>
      </c>
      <c r="AE332" s="814"/>
      <c r="AF332" s="86"/>
      <c r="AG332" s="86"/>
      <c r="AH332" s="717">
        <f>IF(ABS(AH293-AI293)&lt;1, 1, AH293/AI293)</f>
        <v>1</v>
      </c>
      <c r="AI332" s="717">
        <f>IF(ABS(AI293-AJ293)&lt;1, 1, AI293/AJ293)</f>
        <v>1</v>
      </c>
      <c r="AJ332" s="717">
        <f>IF(ABS(AJ293-AK293)&lt;1, 1, AJ293/AK293)</f>
        <v>1</v>
      </c>
      <c r="AK332" s="717">
        <f>IF(ABS(AK293-AL293)&lt;1, 1, AK293/AL293)</f>
        <v>1</v>
      </c>
      <c r="AL332" s="717">
        <f>IF(ABS(AL293-AM293)&lt;1, 1, AL293/AM293)</f>
        <v>1</v>
      </c>
      <c r="AM332" s="717">
        <f>IF(ABS(AM293-AH293)&lt;1, 1, AM293/AH293)</f>
        <v>1</v>
      </c>
      <c r="AN332" s="814"/>
      <c r="AO332" s="86"/>
      <c r="AP332" s="86"/>
      <c r="AQ332" s="1772">
        <f t="shared" ref="AQ332:AV332" ca="1" si="312">(AQ122/$AX122)*$AX$325</f>
        <v>383.10277262190795</v>
      </c>
      <c r="AR332" s="1772">
        <f t="shared" ca="1" si="312"/>
        <v>148.66869563719158</v>
      </c>
      <c r="AS332" s="1772">
        <f t="shared" ca="1" si="312"/>
        <v>467.2227466663702</v>
      </c>
      <c r="AT332" s="1772">
        <f t="shared" ca="1" si="312"/>
        <v>301.18922494341882</v>
      </c>
      <c r="AU332" s="1772">
        <f t="shared" ca="1" si="312"/>
        <v>177.82016442508268</v>
      </c>
      <c r="AV332" s="1772">
        <f t="shared" ca="1" si="312"/>
        <v>137.62121467562943</v>
      </c>
      <c r="AW332" s="1772"/>
      <c r="AX332" s="1925">
        <f ca="1">SUM(AQ332:AW332)</f>
        <v>1615.6248189696005</v>
      </c>
      <c r="AY332" s="86"/>
      <c r="AZ332" s="717">
        <f>IF(ABS(AZ293-BA293)&lt;1, 1, AZ293/BA293)</f>
        <v>1</v>
      </c>
      <c r="BA332" s="717">
        <f>IF(ABS(BA293-BB293)&lt;1, 1, BA293/BB293)</f>
        <v>1</v>
      </c>
      <c r="BB332" s="717">
        <f>IF(ABS(BB293-BC293)&lt;1, 1, BB293/BC293)</f>
        <v>1</v>
      </c>
      <c r="BC332" s="717">
        <f>IF(ABS(BC293-BD293)&lt;1, 1, BC293/BD293)</f>
        <v>1</v>
      </c>
      <c r="BD332" s="717">
        <f>IF(ABS(BD293-BE293)&lt;1, 1, BD293/BE293)</f>
        <v>1</v>
      </c>
      <c r="BE332" s="717">
        <f>IF(ABS(BE293-AZ293)&lt;1, 1, BE293/AZ293)</f>
        <v>1</v>
      </c>
      <c r="BF332" s="814"/>
      <c r="BG332" s="86"/>
      <c r="BH332" s="86"/>
      <c r="BI332" s="717">
        <f>IF(ABS(BI293-BJ293)&lt;1, 1, BI293/BJ293)</f>
        <v>1</v>
      </c>
      <c r="BJ332" s="717">
        <f>IF(ABS(BJ293-BK293)&lt;1, 1, BJ293/BK293)</f>
        <v>1</v>
      </c>
      <c r="BK332" s="717">
        <f>IF(ABS(BK293-BL293)&lt;1, 1, BK293/BL293)</f>
        <v>1</v>
      </c>
      <c r="BL332" s="717">
        <f>IF(ABS(BL293-BM293)&lt;1, 1, BL293/BM293)</f>
        <v>1</v>
      </c>
      <c r="BM332" s="717">
        <f>IF(ABS(BM293-BN293)&lt;1, 1, BM293/BN293)</f>
        <v>1</v>
      </c>
      <c r="BN332" s="717">
        <f>IF(ABS(BN293-BI293)&lt;1, 1, BN293/BI293)</f>
        <v>1</v>
      </c>
      <c r="BO332" s="814"/>
      <c r="BP332" s="86"/>
    </row>
    <row r="333" spans="1:68" ht="13.2" customHeight="1">
      <c r="B333" s="280" t="str">
        <f>CONCATENATE("Ratio of toll ratios for time-switching earlier (Row ",O331," div. by Row ",O329,"); if &gt; 1, some trips will switch to earlier period")</f>
        <v>Ratio of toll ratios for time-switching earlier (Row 331 div. by Row 329); if &gt; 1, some trips will switch to earlier period</v>
      </c>
      <c r="G333" s="280"/>
      <c r="O333" s="136">
        <f>ROW()</f>
        <v>333</v>
      </c>
      <c r="P333" s="717">
        <f t="shared" ref="P333:U334" si="313">P331/P329</f>
        <v>1</v>
      </c>
      <c r="Q333" s="717">
        <f t="shared" si="313"/>
        <v>1</v>
      </c>
      <c r="R333" s="717">
        <f t="shared" si="313"/>
        <v>1</v>
      </c>
      <c r="S333" s="717">
        <f t="shared" si="313"/>
        <v>1</v>
      </c>
      <c r="T333" s="717">
        <f t="shared" si="313"/>
        <v>1</v>
      </c>
      <c r="U333" s="717">
        <f t="shared" si="313"/>
        <v>1</v>
      </c>
      <c r="V333" s="717"/>
      <c r="Y333" s="717">
        <f t="shared" ref="Y333:AD333" si="314">Y331/Y329</f>
        <v>1</v>
      </c>
      <c r="Z333" s="717">
        <f t="shared" si="314"/>
        <v>1</v>
      </c>
      <c r="AA333" s="717">
        <f t="shared" si="314"/>
        <v>1</v>
      </c>
      <c r="AB333" s="717">
        <f t="shared" si="314"/>
        <v>1</v>
      </c>
      <c r="AC333" s="717">
        <f t="shared" si="314"/>
        <v>1</v>
      </c>
      <c r="AD333" s="717">
        <f t="shared" si="314"/>
        <v>1</v>
      </c>
      <c r="AE333" s="717"/>
      <c r="AH333" s="717">
        <f t="shared" ref="AH333:AM333" si="315">AH331/AH329</f>
        <v>1</v>
      </c>
      <c r="AI333" s="717">
        <f t="shared" si="315"/>
        <v>1</v>
      </c>
      <c r="AJ333" s="717">
        <f t="shared" si="315"/>
        <v>1</v>
      </c>
      <c r="AK333" s="717">
        <f t="shared" si="315"/>
        <v>1</v>
      </c>
      <c r="AL333" s="717">
        <f t="shared" si="315"/>
        <v>1</v>
      </c>
      <c r="AM333" s="717">
        <f t="shared" si="315"/>
        <v>1</v>
      </c>
      <c r="AN333" s="717"/>
      <c r="AZ333" s="717">
        <f t="shared" ref="AZ333:BE333" si="316">AZ331/AZ329</f>
        <v>1</v>
      </c>
      <c r="BA333" s="717">
        <f t="shared" si="316"/>
        <v>1</v>
      </c>
      <c r="BB333" s="717">
        <f t="shared" si="316"/>
        <v>1</v>
      </c>
      <c r="BC333" s="717">
        <f t="shared" si="316"/>
        <v>1</v>
      </c>
      <c r="BD333" s="717">
        <f t="shared" si="316"/>
        <v>1</v>
      </c>
      <c r="BE333" s="717">
        <f t="shared" si="316"/>
        <v>1</v>
      </c>
      <c r="BF333" s="717"/>
      <c r="BI333" s="717">
        <f t="shared" ref="BI333:BN333" si="317">BI331/BI329</f>
        <v>1</v>
      </c>
      <c r="BJ333" s="717">
        <f t="shared" si="317"/>
        <v>1</v>
      </c>
      <c r="BK333" s="717">
        <f t="shared" si="317"/>
        <v>1</v>
      </c>
      <c r="BL333" s="717">
        <f t="shared" si="317"/>
        <v>1</v>
      </c>
      <c r="BM333" s="717">
        <f t="shared" si="317"/>
        <v>1</v>
      </c>
      <c r="BN333" s="717">
        <f t="shared" si="317"/>
        <v>1</v>
      </c>
      <c r="BO333" s="717"/>
    </row>
    <row r="334" spans="1:68" ht="13.2" customHeight="1">
      <c r="B334" s="280" t="str">
        <f>CONCATENATE("Ratio of toll ratios for time-switching later (Row ",O332," div. by Row ",O330,"); if &gt; 1, some trips will switch to later period")</f>
        <v>Ratio of toll ratios for time-switching later (Row 332 div. by Row 330); if &gt; 1, some trips will switch to later period</v>
      </c>
      <c r="G334" s="280"/>
      <c r="O334" s="136">
        <f>ROW()</f>
        <v>334</v>
      </c>
      <c r="P334" s="717">
        <f t="shared" si="313"/>
        <v>1</v>
      </c>
      <c r="Q334" s="717">
        <f t="shared" si="313"/>
        <v>1</v>
      </c>
      <c r="R334" s="717">
        <f t="shared" si="313"/>
        <v>1</v>
      </c>
      <c r="S334" s="717">
        <f t="shared" si="313"/>
        <v>1</v>
      </c>
      <c r="T334" s="717">
        <f t="shared" si="313"/>
        <v>1</v>
      </c>
      <c r="U334" s="717">
        <f t="shared" si="313"/>
        <v>1</v>
      </c>
      <c r="V334" s="717"/>
      <c r="Y334" s="717">
        <f t="shared" ref="Y334:AD334" si="318">Y332/Y330</f>
        <v>1</v>
      </c>
      <c r="Z334" s="717">
        <f t="shared" si="318"/>
        <v>1</v>
      </c>
      <c r="AA334" s="717">
        <f t="shared" si="318"/>
        <v>1</v>
      </c>
      <c r="AB334" s="717">
        <f t="shared" si="318"/>
        <v>1</v>
      </c>
      <c r="AC334" s="717">
        <f t="shared" si="318"/>
        <v>1</v>
      </c>
      <c r="AD334" s="717">
        <f t="shared" si="318"/>
        <v>1</v>
      </c>
      <c r="AE334" s="717"/>
      <c r="AH334" s="717">
        <f t="shared" ref="AH334:AM334" si="319">AH332/AH330</f>
        <v>1</v>
      </c>
      <c r="AI334" s="717">
        <f t="shared" si="319"/>
        <v>1</v>
      </c>
      <c r="AJ334" s="717">
        <f t="shared" si="319"/>
        <v>1</v>
      </c>
      <c r="AK334" s="717">
        <f t="shared" si="319"/>
        <v>1</v>
      </c>
      <c r="AL334" s="717">
        <f t="shared" si="319"/>
        <v>1</v>
      </c>
      <c r="AM334" s="717">
        <f t="shared" si="319"/>
        <v>1</v>
      </c>
      <c r="AN334" s="717"/>
      <c r="AZ334" s="717">
        <f t="shared" ref="AZ334:BE334" si="320">AZ332/AZ330</f>
        <v>1</v>
      </c>
      <c r="BA334" s="717">
        <f t="shared" si="320"/>
        <v>1</v>
      </c>
      <c r="BB334" s="717">
        <f t="shared" si="320"/>
        <v>1</v>
      </c>
      <c r="BC334" s="717">
        <f t="shared" si="320"/>
        <v>1</v>
      </c>
      <c r="BD334" s="717">
        <f t="shared" si="320"/>
        <v>1</v>
      </c>
      <c r="BE334" s="717">
        <f t="shared" si="320"/>
        <v>1</v>
      </c>
      <c r="BF334" s="717"/>
      <c r="BI334" s="717">
        <f t="shared" ref="BI334:BN334" si="321">BI332/BI330</f>
        <v>1</v>
      </c>
      <c r="BJ334" s="717">
        <f t="shared" si="321"/>
        <v>1</v>
      </c>
      <c r="BK334" s="717">
        <f t="shared" si="321"/>
        <v>1</v>
      </c>
      <c r="BL334" s="717">
        <f t="shared" si="321"/>
        <v>1</v>
      </c>
      <c r="BM334" s="717">
        <f t="shared" si="321"/>
        <v>1</v>
      </c>
      <c r="BN334" s="717">
        <f t="shared" si="321"/>
        <v>1</v>
      </c>
      <c r="BO334" s="717"/>
    </row>
    <row r="335" spans="1:68" ht="13.2" customHeight="1">
      <c r="A335" s="86"/>
      <c r="B335" s="815" t="s">
        <v>1582</v>
      </c>
      <c r="C335" s="86"/>
      <c r="D335" s="86"/>
      <c r="E335" s="86"/>
      <c r="F335" s="86"/>
      <c r="G335" s="86"/>
      <c r="H335" s="86"/>
      <c r="I335" s="4343" t="s">
        <v>1700</v>
      </c>
      <c r="J335" s="4344"/>
      <c r="K335" s="86"/>
      <c r="M335" s="86"/>
      <c r="N335" s="86"/>
      <c r="O335" s="136">
        <f>ROW()</f>
        <v>335</v>
      </c>
      <c r="P335" s="717">
        <f>'Weekday Hours'!$H182</f>
        <v>-0.41</v>
      </c>
      <c r="Q335" s="717">
        <f>'Weekday Hours'!$H182</f>
        <v>-0.41</v>
      </c>
      <c r="R335" s="717">
        <f>'Weekday Hours'!$H178</f>
        <v>-0.6</v>
      </c>
      <c r="S335" s="717">
        <f>'Weekday Hours'!$H182</f>
        <v>-0.41</v>
      </c>
      <c r="T335" s="717">
        <f>'Weekday Hours'!$H182</f>
        <v>-0.41</v>
      </c>
      <c r="U335" s="717">
        <f>'Weekday Hours'!$H180</f>
        <v>-0.22</v>
      </c>
      <c r="V335" s="117"/>
      <c r="Y335" s="717">
        <f>'Weekday Hours'!$H182</f>
        <v>-0.41</v>
      </c>
      <c r="Z335" s="717">
        <f>'Weekday Hours'!$H182</f>
        <v>-0.41</v>
      </c>
      <c r="AA335" s="717">
        <f>'Weekday Hours'!$H178</f>
        <v>-0.6</v>
      </c>
      <c r="AB335" s="717">
        <f>'Weekday Hours'!$H182</f>
        <v>-0.41</v>
      </c>
      <c r="AC335" s="717">
        <f>'Weekday Hours'!$H182</f>
        <v>-0.41</v>
      </c>
      <c r="AD335" s="717">
        <f>'Weekday Hours'!$H180</f>
        <v>-0.22</v>
      </c>
      <c r="AE335" s="117"/>
      <c r="AH335" s="717">
        <f>'Weekday Hours'!$H182</f>
        <v>-0.41</v>
      </c>
      <c r="AI335" s="717">
        <f>'Weekday Hours'!$H182</f>
        <v>-0.41</v>
      </c>
      <c r="AJ335" s="717">
        <f>'Weekday Hours'!$H178</f>
        <v>-0.6</v>
      </c>
      <c r="AK335" s="717">
        <f>'Weekday Hours'!$H182</f>
        <v>-0.41</v>
      </c>
      <c r="AL335" s="717">
        <f>'Weekday Hours'!$H182</f>
        <v>-0.41</v>
      </c>
      <c r="AM335" s="717">
        <f>'Weekday Hours'!$H180</f>
        <v>-0.22</v>
      </c>
      <c r="AN335" s="117"/>
      <c r="AZ335" s="717">
        <f>'Weekday Hours'!$H182</f>
        <v>-0.41</v>
      </c>
      <c r="BA335" s="717">
        <f>'Weekday Hours'!$H182</f>
        <v>-0.41</v>
      </c>
      <c r="BB335" s="717">
        <f>'Weekday Hours'!$H178</f>
        <v>-0.6</v>
      </c>
      <c r="BC335" s="717">
        <f>'Weekday Hours'!$H182</f>
        <v>-0.41</v>
      </c>
      <c r="BD335" s="717">
        <f>'Weekday Hours'!$H182</f>
        <v>-0.41</v>
      </c>
      <c r="BE335" s="717">
        <f>'Weekday Hours'!$H180</f>
        <v>-0.22</v>
      </c>
      <c r="BF335" s="117"/>
      <c r="BI335" s="717">
        <f>'Weekday Hours'!$H182</f>
        <v>-0.41</v>
      </c>
      <c r="BJ335" s="717">
        <f>'Weekday Hours'!$H182</f>
        <v>-0.41</v>
      </c>
      <c r="BK335" s="717">
        <f>'Weekday Hours'!$H178</f>
        <v>-0.6</v>
      </c>
      <c r="BL335" s="717">
        <f>'Weekday Hours'!$H182</f>
        <v>-0.41</v>
      </c>
      <c r="BM335" s="717">
        <f>'Weekday Hours'!$H182</f>
        <v>-0.41</v>
      </c>
      <c r="BN335" s="717">
        <f>'Weekday Hours'!$H180</f>
        <v>-0.22</v>
      </c>
      <c r="BO335" s="117"/>
    </row>
    <row r="336" spans="1:68" ht="13.2" customHeight="1">
      <c r="A336" s="86"/>
      <c r="B336" s="815" t="s">
        <v>2221</v>
      </c>
      <c r="C336" s="86"/>
      <c r="D336" s="86"/>
      <c r="E336" s="86"/>
      <c r="F336" s="86"/>
      <c r="G336" s="86"/>
      <c r="H336" s="86"/>
      <c r="I336" s="4345"/>
      <c r="J336" s="4346"/>
      <c r="K336" s="86"/>
      <c r="M336" s="86"/>
      <c r="N336" s="86"/>
      <c r="O336" s="136">
        <f>ROW()</f>
        <v>336</v>
      </c>
      <c r="P336" s="717">
        <f>'Weekday Hours'!$H183</f>
        <v>-0.11</v>
      </c>
      <c r="Q336" s="717">
        <f>'Weekday Hours'!$H183</f>
        <v>-0.11</v>
      </c>
      <c r="R336" s="717">
        <f>'Weekday Hours'!$H179</f>
        <v>-0.13</v>
      </c>
      <c r="S336" s="717">
        <f>'Weekday Hours'!$H183</f>
        <v>-0.11</v>
      </c>
      <c r="T336" s="717">
        <f>'Weekday Hours'!$H183</f>
        <v>-0.11</v>
      </c>
      <c r="U336" s="717">
        <f>'Weekday Hours'!$H181</f>
        <v>-0.09</v>
      </c>
      <c r="V336" s="117"/>
      <c r="Y336" s="717">
        <f>'Weekday Hours'!$H183</f>
        <v>-0.11</v>
      </c>
      <c r="Z336" s="717">
        <f>'Weekday Hours'!$H183</f>
        <v>-0.11</v>
      </c>
      <c r="AA336" s="717">
        <f>'Weekday Hours'!$H179</f>
        <v>-0.13</v>
      </c>
      <c r="AB336" s="717">
        <f>'Weekday Hours'!$H183</f>
        <v>-0.11</v>
      </c>
      <c r="AC336" s="717">
        <f>'Weekday Hours'!$H183</f>
        <v>-0.11</v>
      </c>
      <c r="AD336" s="717">
        <f>'Weekday Hours'!$H181</f>
        <v>-0.09</v>
      </c>
      <c r="AE336" s="117"/>
      <c r="AH336" s="717">
        <f>'Weekday Hours'!$H183</f>
        <v>-0.11</v>
      </c>
      <c r="AI336" s="717">
        <f>'Weekday Hours'!$H183</f>
        <v>-0.11</v>
      </c>
      <c r="AJ336" s="717">
        <f>'Weekday Hours'!$H179</f>
        <v>-0.13</v>
      </c>
      <c r="AK336" s="717">
        <f>'Weekday Hours'!$H183</f>
        <v>-0.11</v>
      </c>
      <c r="AL336" s="717">
        <f>'Weekday Hours'!$H183</f>
        <v>-0.11</v>
      </c>
      <c r="AM336" s="717">
        <f>'Weekday Hours'!$H181</f>
        <v>-0.09</v>
      </c>
      <c r="AN336" s="117"/>
      <c r="AZ336" s="717">
        <f>'Weekday Hours'!$H183</f>
        <v>-0.11</v>
      </c>
      <c r="BA336" s="717">
        <f>'Weekday Hours'!$H183</f>
        <v>-0.11</v>
      </c>
      <c r="BB336" s="717">
        <f>'Weekday Hours'!$H179</f>
        <v>-0.13</v>
      </c>
      <c r="BC336" s="717">
        <f>'Weekday Hours'!$H183</f>
        <v>-0.11</v>
      </c>
      <c r="BD336" s="717">
        <f>'Weekday Hours'!$H183</f>
        <v>-0.11</v>
      </c>
      <c r="BE336" s="717">
        <f>'Weekday Hours'!$H181</f>
        <v>-0.09</v>
      </c>
      <c r="BF336" s="117"/>
      <c r="BI336" s="717">
        <f>'Weekday Hours'!$H183</f>
        <v>-0.11</v>
      </c>
      <c r="BJ336" s="717">
        <f>'Weekday Hours'!$H183</f>
        <v>-0.11</v>
      </c>
      <c r="BK336" s="717">
        <f>'Weekday Hours'!$H179</f>
        <v>-0.13</v>
      </c>
      <c r="BL336" s="717">
        <f>'Weekday Hours'!$H183</f>
        <v>-0.11</v>
      </c>
      <c r="BM336" s="717">
        <f>'Weekday Hours'!$H183</f>
        <v>-0.11</v>
      </c>
      <c r="BN336" s="717">
        <f>'Weekday Hours'!$H181</f>
        <v>-0.09</v>
      </c>
      <c r="BO336" s="117"/>
    </row>
    <row r="337" spans="2:74" s="86" customFormat="1" ht="13.2" customHeight="1">
      <c r="B337" s="815" t="s">
        <v>1698</v>
      </c>
      <c r="O337" s="136">
        <f>ROW()</f>
        <v>337</v>
      </c>
      <c r="P337" s="717">
        <f>1-(1-MIN(P333^(P335*(VLOOKUP(P$118,'Weekday Hours'!$E$138:$G$147,3)/'Weekday Hours'!$G$140)),1))</f>
        <v>1</v>
      </c>
      <c r="Q337" s="717">
        <f>1-(1-MIN(Q333^(Q335*(VLOOKUP(Q$118,'Weekday Hours'!$E$138:$G$147,3)/'Weekday Hours'!$G$140)),1))</f>
        <v>1</v>
      </c>
      <c r="R337" s="717">
        <f>1-(1-MIN(R333^(R335*(VLOOKUP(R$118,'Weekday Hours'!$E$138:$G$147,3)/'Weekday Hours'!$G$140)),1))</f>
        <v>1</v>
      </c>
      <c r="S337" s="717">
        <f>1-(1-MIN(S333^(S335*(VLOOKUP(S$118,'Weekday Hours'!$E$138:$G$147,3)/'Weekday Hours'!$G$140)),1))</f>
        <v>1</v>
      </c>
      <c r="T337" s="717">
        <f>1-(1-MIN(T333^(T335*(VLOOKUP(T$118,'Weekday Hours'!$E$138:$G$147,3)/'Weekday Hours'!$G$140)),1))</f>
        <v>1</v>
      </c>
      <c r="U337" s="717">
        <f>1-(1-MIN(U333^(U335*(VLOOKUP(U$118,'Weekday Hours'!$E$138:$G$147,3)/'Weekday Hours'!$G$140)),1))</f>
        <v>1</v>
      </c>
      <c r="V337" s="814"/>
      <c r="Y337" s="717">
        <f>1-(1-MIN(Y333^(Y335*(VLOOKUP(Y$118,'Weekday Hours'!$E$138:$G$147,3)/'Weekday Hours'!$G$140)),1))</f>
        <v>1</v>
      </c>
      <c r="Z337" s="717">
        <f>1-(1-MIN(Z333^(Z335*(VLOOKUP(Z$118,'Weekday Hours'!$E$138:$G$147,3)/'Weekday Hours'!$G$140)),1))</f>
        <v>1</v>
      </c>
      <c r="AA337" s="717">
        <f>1-(1-MIN(AA333^(AA335*(VLOOKUP(AA$118,'Weekday Hours'!$E$138:$G$147,3)/'Weekday Hours'!$G$140)),1))</f>
        <v>1</v>
      </c>
      <c r="AB337" s="717">
        <f>1-(1-MIN(AB333^(AB335*(VLOOKUP(AB$118,'Weekday Hours'!$E$138:$G$147,3)/'Weekday Hours'!$G$140)),1))</f>
        <v>1</v>
      </c>
      <c r="AC337" s="717">
        <f>1-(1-MIN(AC333^(AC335*(VLOOKUP(AC$118,'Weekday Hours'!$E$138:$G$147,3)/'Weekday Hours'!$G$140)),1))</f>
        <v>1</v>
      </c>
      <c r="AD337" s="717">
        <f>1-(1-MIN(AD333^(AD335*(VLOOKUP(AD$118,'Weekday Hours'!$E$138:$G$147,3)/'Weekday Hours'!$G$140)),1))</f>
        <v>1</v>
      </c>
      <c r="AE337" s="814"/>
      <c r="AH337" s="717">
        <f>1-(1-MIN(AH333^(AH335*(VLOOKUP(AH$118,'Weekday Hours'!$E$138:$G$147,3)/'Weekday Hours'!$G$140)),1))</f>
        <v>1</v>
      </c>
      <c r="AI337" s="717">
        <f>1-(1-MIN(AI333^(AI335*(VLOOKUP(AI$118,'Weekday Hours'!$E$138:$G$147,3)/'Weekday Hours'!$G$140)),1))</f>
        <v>1</v>
      </c>
      <c r="AJ337" s="717">
        <f>1-(1-MIN(AJ333^(AJ335*(VLOOKUP(AJ$118,'Weekday Hours'!$E$138:$G$147,3)/'Weekday Hours'!$G$140)),1))</f>
        <v>1</v>
      </c>
      <c r="AK337" s="717">
        <f>1-(1-MIN(AK333^(AK335*(VLOOKUP(AK$118,'Weekday Hours'!$E$138:$G$147,3)/'Weekday Hours'!$G$140)),1))</f>
        <v>1</v>
      </c>
      <c r="AL337" s="717">
        <f>1-(1-MIN(AL333^(AL335*(VLOOKUP(AL$118,'Weekday Hours'!$E$138:$G$147,3)/'Weekday Hours'!$G$140)),1))</f>
        <v>1</v>
      </c>
      <c r="AM337" s="717">
        <f>1-(1-MIN(AM333^(AM335*(VLOOKUP(AM$118,'Weekday Hours'!$E$138:$G$147,3)/'Weekday Hours'!$G$140)),1))</f>
        <v>1</v>
      </c>
      <c r="AN337" s="814"/>
      <c r="AQ337"/>
      <c r="AR337"/>
      <c r="AS337"/>
      <c r="AT337"/>
      <c r="AU337"/>
      <c r="AV337"/>
      <c r="AW337"/>
      <c r="AX337"/>
      <c r="AZ337" s="717">
        <f>1-(1-MIN(AZ333^(AZ335*(VLOOKUP(AZ$118,'Weekday Hours'!$E$138:$G$147,3)/'Weekday Hours'!$G$140)),1))</f>
        <v>1</v>
      </c>
      <c r="BA337" s="717">
        <f>1-(1-MIN(BA333^(BA335*(VLOOKUP(BA$118,'Weekday Hours'!$E$138:$G$147,3)/'Weekday Hours'!$G$140)),1))</f>
        <v>1</v>
      </c>
      <c r="BB337" s="717">
        <f>1-(1-MIN(BB333^(BB335*(VLOOKUP(BB$118,'Weekday Hours'!$E$138:$G$147,3)/'Weekday Hours'!$G$140)),1))</f>
        <v>1</v>
      </c>
      <c r="BC337" s="717">
        <f>1-(1-MIN(BC333^(BC335*(VLOOKUP(BC$118,'Weekday Hours'!$E$138:$G$147,3)/'Weekday Hours'!$G$140)),1))</f>
        <v>1</v>
      </c>
      <c r="BD337" s="717">
        <f>1-(1-MIN(BD333^(BD335*(VLOOKUP(BD$118,'Weekday Hours'!$E$138:$G$147,3)/'Weekday Hours'!$G$140)),1))</f>
        <v>1</v>
      </c>
      <c r="BE337" s="717">
        <f>1-(1-MIN(BE333^(BE335*(VLOOKUP(BE$118,'Weekday Hours'!$E$138:$G$147,3)/'Weekday Hours'!$G$140)),1))</f>
        <v>1</v>
      </c>
      <c r="BF337" s="814"/>
      <c r="BI337" s="717">
        <f>1-(1-MIN(BI333^(BI335*(VLOOKUP(BI$118,'Weekday Hours'!$E$138:$G$147,3)/'Weekday Hours'!$G$140)),1))</f>
        <v>1</v>
      </c>
      <c r="BJ337" s="717">
        <f>1-(1-MIN(BJ333^(BJ335*(VLOOKUP(BJ$118,'Weekday Hours'!$E$138:$G$147,3)/'Weekday Hours'!$G$140)),1))</f>
        <v>1</v>
      </c>
      <c r="BK337" s="717">
        <f>1-(1-MIN(BK333^(BK335*(VLOOKUP(BK$118,'Weekday Hours'!$E$138:$G$147,3)/'Weekday Hours'!$G$140)),1))</f>
        <v>1</v>
      </c>
      <c r="BL337" s="717">
        <f>1-(1-MIN(BL333^(BL335*(VLOOKUP(BL$118,'Weekday Hours'!$E$138:$G$147,3)/'Weekday Hours'!$G$140)),1))</f>
        <v>1</v>
      </c>
      <c r="BM337" s="717">
        <f>1-(1-MIN(BM333^(BM335*(VLOOKUP(BM$118,'Weekday Hours'!$E$138:$G$147,3)/'Weekday Hours'!$G$140)),1))</f>
        <v>1</v>
      </c>
      <c r="BN337" s="717">
        <f>1-(1-MIN(BN333^(BN335*(VLOOKUP(BN$118,'Weekday Hours'!$E$138:$G$147,3)/'Weekday Hours'!$G$140)),1))</f>
        <v>1</v>
      </c>
      <c r="BO337" s="814"/>
    </row>
    <row r="338" spans="2:74" s="86" customFormat="1" ht="13.2" customHeight="1">
      <c r="B338" s="815" t="s">
        <v>1699</v>
      </c>
      <c r="O338" s="136">
        <f>ROW()</f>
        <v>338</v>
      </c>
      <c r="P338" s="717">
        <f>1-(1-MIN(P334^(P336*(VLOOKUP(P$118,'Weekday Hours'!$E$138:$G$147,3)/'Weekday Hours'!$G$140)),1))</f>
        <v>1</v>
      </c>
      <c r="Q338" s="717">
        <f>1-(1-MIN(Q334^(Q336*(VLOOKUP(Q$118,'Weekday Hours'!$E$138:$G$147,3)/'Weekday Hours'!$G$140)),1))</f>
        <v>1</v>
      </c>
      <c r="R338" s="717">
        <f>1-(1-MIN(R334^(R336*(VLOOKUP(R$118,'Weekday Hours'!$E$138:$G$147,3)/'Weekday Hours'!$G$140)),1))</f>
        <v>1</v>
      </c>
      <c r="S338" s="717">
        <f>1-(1-MIN(S334^(S336*(VLOOKUP(S$118,'Weekday Hours'!$E$138:$G$147,3)/'Weekday Hours'!$G$140)),1))</f>
        <v>1</v>
      </c>
      <c r="T338" s="717">
        <f>1-(1-MIN(T334^(T336*(VLOOKUP(T$118,'Weekday Hours'!$E$138:$G$147,3)/'Weekday Hours'!$G$140)),1))</f>
        <v>1</v>
      </c>
      <c r="U338" s="717">
        <f>1-(1-MIN(U334^(U336*(VLOOKUP(U$118,'Weekday Hours'!$E$138:$G$147,3)/'Weekday Hours'!$G$140)),1))</f>
        <v>1</v>
      </c>
      <c r="V338" s="814"/>
      <c r="Y338" s="717">
        <f>1-(1-MIN(Y334^(Y336*(VLOOKUP(Y$118,'Weekday Hours'!$E$138:$G$147,3)/'Weekday Hours'!$G$140)),1))</f>
        <v>1</v>
      </c>
      <c r="Z338" s="717">
        <f>1-(1-MIN(Z334^(Z336*(VLOOKUP(Z$118,'Weekday Hours'!$E$138:$G$147,3)/'Weekday Hours'!$G$140)),1))</f>
        <v>1</v>
      </c>
      <c r="AA338" s="717">
        <f>1-(1-MIN(AA334^(AA336*(VLOOKUP(AA$118,'Weekday Hours'!$E$138:$G$147,3)/'Weekday Hours'!$G$140)),1))</f>
        <v>1</v>
      </c>
      <c r="AB338" s="717">
        <f>1-(1-MIN(AB334^(AB336*(VLOOKUP(AB$118,'Weekday Hours'!$E$138:$G$147,3)/'Weekday Hours'!$G$140)),1))</f>
        <v>1</v>
      </c>
      <c r="AC338" s="717">
        <f>1-(1-MIN(AC334^(AC336*(VLOOKUP(AC$118,'Weekday Hours'!$E$138:$G$147,3)/'Weekday Hours'!$G$140)),1))</f>
        <v>1</v>
      </c>
      <c r="AD338" s="717">
        <f>1-(1-MIN(AD334^(AD336*(VLOOKUP(AD$118,'Weekday Hours'!$E$138:$G$147,3)/'Weekday Hours'!$G$140)),1))</f>
        <v>1</v>
      </c>
      <c r="AE338" s="814"/>
      <c r="AH338" s="717">
        <f>1-(1-MIN(AH334^(AH336*(VLOOKUP(AH$118,'Weekday Hours'!$E$138:$G$147,3)/'Weekday Hours'!$G$140)),1))</f>
        <v>1</v>
      </c>
      <c r="AI338" s="717">
        <f>1-(1-MIN(AI334^(AI336*(VLOOKUP(AI$118,'Weekday Hours'!$E$138:$G$147,3)/'Weekday Hours'!$G$140)),1))</f>
        <v>1</v>
      </c>
      <c r="AJ338" s="717">
        <f>1-(1-MIN(AJ334^(AJ336*(VLOOKUP(AJ$118,'Weekday Hours'!$E$138:$G$147,3)/'Weekday Hours'!$G$140)),1))</f>
        <v>1</v>
      </c>
      <c r="AK338" s="717">
        <f>1-(1-MIN(AK334^(AK336*(VLOOKUP(AK$118,'Weekday Hours'!$E$138:$G$147,3)/'Weekday Hours'!$G$140)),1))</f>
        <v>1</v>
      </c>
      <c r="AL338" s="717">
        <f>1-(1-MIN(AL334^(AL336*(VLOOKUP(AL$118,'Weekday Hours'!$E$138:$G$147,3)/'Weekday Hours'!$G$140)),1))</f>
        <v>1</v>
      </c>
      <c r="AM338" s="717">
        <f>1-(1-MIN(AM334^(AM336*(VLOOKUP(AM$118,'Weekday Hours'!$E$138:$G$147,3)/'Weekday Hours'!$G$140)),1))</f>
        <v>1</v>
      </c>
      <c r="AN338" s="814"/>
      <c r="AQ338"/>
      <c r="AR338"/>
      <c r="AS338"/>
      <c r="AT338"/>
      <c r="AU338"/>
      <c r="AV338"/>
      <c r="AW338"/>
      <c r="AX338"/>
      <c r="AZ338" s="717">
        <f>1-(1-MIN(AZ334^(AZ336*(VLOOKUP(AZ$118,'Weekday Hours'!$E$138:$G$147,3)/'Weekday Hours'!$G$140)),1))</f>
        <v>1</v>
      </c>
      <c r="BA338" s="717">
        <f>1-(1-MIN(BA334^(BA336*(VLOOKUP(BA$118,'Weekday Hours'!$E$138:$G$147,3)/'Weekday Hours'!$G$140)),1))</f>
        <v>1</v>
      </c>
      <c r="BB338" s="717">
        <f>1-(1-MIN(BB334^(BB336*(VLOOKUP(BB$118,'Weekday Hours'!$E$138:$G$147,3)/'Weekday Hours'!$G$140)),1))</f>
        <v>1</v>
      </c>
      <c r="BC338" s="717">
        <f>1-(1-MIN(BC334^(BC336*(VLOOKUP(BC$118,'Weekday Hours'!$E$138:$G$147,3)/'Weekday Hours'!$G$140)),1))</f>
        <v>1</v>
      </c>
      <c r="BD338" s="717">
        <f>1-(1-MIN(BD334^(BD336*(VLOOKUP(BD$118,'Weekday Hours'!$E$138:$G$147,3)/'Weekday Hours'!$G$140)),1))</f>
        <v>1</v>
      </c>
      <c r="BE338" s="717">
        <f>1-(1-MIN(BE334^(BE336*(VLOOKUP(BE$118,'Weekday Hours'!$E$138:$G$147,3)/'Weekday Hours'!$G$140)),1))</f>
        <v>1</v>
      </c>
      <c r="BF338" s="814"/>
      <c r="BI338" s="717">
        <f>1-(1-MIN(BI334^(BI336*(VLOOKUP(BI$118,'Weekday Hours'!$E$138:$G$147,3)/'Weekday Hours'!$G$140)),1))</f>
        <v>1</v>
      </c>
      <c r="BJ338" s="717">
        <f>1-(1-MIN(BJ334^(BJ336*(VLOOKUP(BJ$118,'Weekday Hours'!$E$138:$G$147,3)/'Weekday Hours'!$G$140)),1))</f>
        <v>1</v>
      </c>
      <c r="BK338" s="717">
        <f>1-(1-MIN(BK334^(BK336*(VLOOKUP(BK$118,'Weekday Hours'!$E$138:$G$147,3)/'Weekday Hours'!$G$140)),1))</f>
        <v>1</v>
      </c>
      <c r="BL338" s="717">
        <f>1-(1-MIN(BL334^(BL336*(VLOOKUP(BL$118,'Weekday Hours'!$E$138:$G$147,3)/'Weekday Hours'!$G$140)),1))</f>
        <v>1</v>
      </c>
      <c r="BM338" s="717">
        <f>1-(1-MIN(BM334^(BM336*(VLOOKUP(BM$118,'Weekday Hours'!$E$138:$G$147,3)/'Weekday Hours'!$G$140)),1))</f>
        <v>1</v>
      </c>
      <c r="BN338" s="717">
        <f>1-(1-MIN(BN334^(BN336*(VLOOKUP(BN$118,'Weekday Hours'!$E$138:$G$147,3)/'Weekday Hours'!$G$140)),1))</f>
        <v>1</v>
      </c>
      <c r="BO338" s="814"/>
    </row>
    <row r="339" spans="2:74" s="86" customFormat="1" ht="13.2" customHeight="1">
      <c r="B339" s="815" t="str">
        <f>CONCATENATE("Factor to multiply Row ",O327," fig., to indicate trips switching to earlier period")</f>
        <v>Factor to multiply Row 327 fig., to indicate trips switching to earlier period</v>
      </c>
      <c r="H339" s="4314" t="s">
        <v>2699</v>
      </c>
      <c r="I339" s="4315"/>
      <c r="J339" s="4316"/>
      <c r="O339" s="136">
        <f>ROW()</f>
        <v>339</v>
      </c>
      <c r="P339" s="717">
        <f t="shared" ref="P339:U339" si="322">MIN(P333^P337,1)</f>
        <v>1</v>
      </c>
      <c r="Q339" s="717">
        <f t="shared" si="322"/>
        <v>1</v>
      </c>
      <c r="R339" s="717">
        <f t="shared" si="322"/>
        <v>1</v>
      </c>
      <c r="S339" s="717">
        <f t="shared" si="322"/>
        <v>1</v>
      </c>
      <c r="T339" s="717">
        <f t="shared" si="322"/>
        <v>1</v>
      </c>
      <c r="U339" s="717">
        <f t="shared" si="322"/>
        <v>1</v>
      </c>
      <c r="V339" s="814"/>
      <c r="Y339" s="717">
        <f t="shared" ref="Y339:AD339" si="323">MIN(Y333^Y337,1)</f>
        <v>1</v>
      </c>
      <c r="Z339" s="717">
        <f t="shared" si="323"/>
        <v>1</v>
      </c>
      <c r="AA339" s="717">
        <f t="shared" si="323"/>
        <v>1</v>
      </c>
      <c r="AB339" s="717">
        <f t="shared" si="323"/>
        <v>1</v>
      </c>
      <c r="AC339" s="717">
        <f t="shared" si="323"/>
        <v>1</v>
      </c>
      <c r="AD339" s="717">
        <f t="shared" si="323"/>
        <v>1</v>
      </c>
      <c r="AE339" s="814"/>
      <c r="AH339" s="717">
        <f t="shared" ref="AH339:AM339" si="324">MIN(AH333^AH337,1)</f>
        <v>1</v>
      </c>
      <c r="AI339" s="717">
        <f t="shared" si="324"/>
        <v>1</v>
      </c>
      <c r="AJ339" s="717">
        <f t="shared" si="324"/>
        <v>1</v>
      </c>
      <c r="AK339" s="717">
        <f t="shared" si="324"/>
        <v>1</v>
      </c>
      <c r="AL339" s="717">
        <f t="shared" si="324"/>
        <v>1</v>
      </c>
      <c r="AM339" s="717">
        <f t="shared" si="324"/>
        <v>1</v>
      </c>
      <c r="AN339" s="814"/>
      <c r="AQ339" s="1581"/>
      <c r="AR339" s="1582"/>
      <c r="AS339" s="1582"/>
      <c r="AT339" s="1582"/>
      <c r="AU339" s="1582"/>
      <c r="AV339" s="1582"/>
      <c r="AW339" s="1582"/>
      <c r="AX339" s="1582"/>
      <c r="AZ339" s="717">
        <f t="shared" ref="AZ339:BE339" si="325">MIN(AZ333^AZ337,1)</f>
        <v>1</v>
      </c>
      <c r="BA339" s="717">
        <f t="shared" si="325"/>
        <v>1</v>
      </c>
      <c r="BB339" s="717">
        <f t="shared" si="325"/>
        <v>1</v>
      </c>
      <c r="BC339" s="717">
        <f t="shared" si="325"/>
        <v>1</v>
      </c>
      <c r="BD339" s="717">
        <f t="shared" si="325"/>
        <v>1</v>
      </c>
      <c r="BE339" s="717">
        <f t="shared" si="325"/>
        <v>1</v>
      </c>
      <c r="BF339" s="814"/>
      <c r="BI339" s="717">
        <f t="shared" ref="BI339:BN339" si="326">MIN(BI333^BI337,1)</f>
        <v>1</v>
      </c>
      <c r="BJ339" s="717">
        <f t="shared" si="326"/>
        <v>1</v>
      </c>
      <c r="BK339" s="717">
        <f t="shared" si="326"/>
        <v>1</v>
      </c>
      <c r="BL339" s="717">
        <f t="shared" si="326"/>
        <v>1</v>
      </c>
      <c r="BM339" s="717">
        <f t="shared" si="326"/>
        <v>1</v>
      </c>
      <c r="BN339" s="717">
        <f t="shared" si="326"/>
        <v>1</v>
      </c>
      <c r="BO339" s="814"/>
    </row>
    <row r="340" spans="2:74" s="86" customFormat="1" ht="13.2" customHeight="1">
      <c r="B340" s="815" t="str">
        <f>CONCATENATE("Factor to multiply Row ",O328," fig., to indicate trips switching to later period")</f>
        <v>Factor to multiply Row 328 fig., to indicate trips switching to later period</v>
      </c>
      <c r="H340" s="4317"/>
      <c r="I340" s="4318"/>
      <c r="J340" s="4319"/>
      <c r="O340" s="136">
        <f>ROW()</f>
        <v>340</v>
      </c>
      <c r="P340" s="717">
        <f t="shared" ref="P340:U340" si="327">MIN(P334^P338,1)</f>
        <v>1</v>
      </c>
      <c r="Q340" s="717">
        <f t="shared" si="327"/>
        <v>1</v>
      </c>
      <c r="R340" s="717">
        <f t="shared" si="327"/>
        <v>1</v>
      </c>
      <c r="S340" s="717">
        <f t="shared" si="327"/>
        <v>1</v>
      </c>
      <c r="T340" s="717">
        <f t="shared" si="327"/>
        <v>1</v>
      </c>
      <c r="U340" s="717">
        <f t="shared" si="327"/>
        <v>1</v>
      </c>
      <c r="V340" s="814"/>
      <c r="Y340" s="717">
        <f t="shared" ref="Y340:AD340" si="328">MIN(Y334^Y338,1)</f>
        <v>1</v>
      </c>
      <c r="Z340" s="717">
        <f t="shared" si="328"/>
        <v>1</v>
      </c>
      <c r="AA340" s="717">
        <f t="shared" si="328"/>
        <v>1</v>
      </c>
      <c r="AB340" s="717">
        <f t="shared" si="328"/>
        <v>1</v>
      </c>
      <c r="AC340" s="717">
        <f t="shared" si="328"/>
        <v>1</v>
      </c>
      <c r="AD340" s="717">
        <f t="shared" si="328"/>
        <v>1</v>
      </c>
      <c r="AE340" s="814"/>
      <c r="AH340" s="717">
        <f t="shared" ref="AH340:AM340" si="329">MIN(AH334^AH338,1)</f>
        <v>1</v>
      </c>
      <c r="AI340" s="717">
        <f t="shared" si="329"/>
        <v>1</v>
      </c>
      <c r="AJ340" s="717">
        <f t="shared" si="329"/>
        <v>1</v>
      </c>
      <c r="AK340" s="717">
        <f t="shared" si="329"/>
        <v>1</v>
      </c>
      <c r="AL340" s="717">
        <f t="shared" si="329"/>
        <v>1</v>
      </c>
      <c r="AM340" s="717">
        <f t="shared" si="329"/>
        <v>1</v>
      </c>
      <c r="AN340" s="814"/>
      <c r="AQ340" s="1581"/>
      <c r="AR340" s="1582"/>
      <c r="AS340" s="1582"/>
      <c r="AT340" s="1582"/>
      <c r="AU340" s="1582"/>
      <c r="AV340" s="1582"/>
      <c r="AW340" s="1582"/>
      <c r="AX340" s="1582"/>
      <c r="AZ340" s="717">
        <f t="shared" ref="AZ340:BE340" si="330">MIN(AZ334^AZ338,1)</f>
        <v>1</v>
      </c>
      <c r="BA340" s="717">
        <f t="shared" si="330"/>
        <v>1</v>
      </c>
      <c r="BB340" s="717">
        <f t="shared" si="330"/>
        <v>1</v>
      </c>
      <c r="BC340" s="717">
        <f t="shared" si="330"/>
        <v>1</v>
      </c>
      <c r="BD340" s="717">
        <f t="shared" si="330"/>
        <v>1</v>
      </c>
      <c r="BE340" s="717">
        <f t="shared" si="330"/>
        <v>1</v>
      </c>
      <c r="BF340" s="814"/>
      <c r="BI340" s="717">
        <f t="shared" ref="BI340:BN340" si="331">MIN(BI334^BI338,1)</f>
        <v>1</v>
      </c>
      <c r="BJ340" s="717">
        <f t="shared" si="331"/>
        <v>1</v>
      </c>
      <c r="BK340" s="717">
        <f t="shared" si="331"/>
        <v>1</v>
      </c>
      <c r="BL340" s="717">
        <f t="shared" si="331"/>
        <v>1</v>
      </c>
      <c r="BM340" s="717">
        <f t="shared" si="331"/>
        <v>1</v>
      </c>
      <c r="BN340" s="717">
        <f t="shared" si="331"/>
        <v>1</v>
      </c>
      <c r="BO340" s="814"/>
    </row>
    <row r="341" spans="2:74" ht="13.2" customHeight="1">
      <c r="B341" s="280" t="s">
        <v>847</v>
      </c>
      <c r="G341" s="718"/>
      <c r="H341" s="718"/>
      <c r="O341" s="136">
        <f>ROW()</f>
        <v>341</v>
      </c>
      <c r="P341" s="717">
        <f t="shared" ref="P341:U342" si="332">P339*P327</f>
        <v>4.5235903997644549</v>
      </c>
      <c r="Q341" s="717">
        <f t="shared" si="332"/>
        <v>0.35821364900972963</v>
      </c>
      <c r="R341" s="717">
        <f t="shared" si="332"/>
        <v>2.6189258419190695</v>
      </c>
      <c r="S341" s="717">
        <f t="shared" si="332"/>
        <v>0.38678239930619945</v>
      </c>
      <c r="T341" s="717">
        <f t="shared" si="332"/>
        <v>0.98398918740916586</v>
      </c>
      <c r="U341" s="717">
        <f t="shared" si="332"/>
        <v>0.61914784578263304</v>
      </c>
      <c r="V341" s="717"/>
      <c r="Y341" s="717">
        <f t="shared" ref="Y341:AD342" si="333">Y337*Y327</f>
        <v>1.898518223807917</v>
      </c>
      <c r="Z341" s="717">
        <f t="shared" si="333"/>
        <v>0.42904259938186823</v>
      </c>
      <c r="AA341" s="717">
        <f t="shared" si="333"/>
        <v>3.9184232916384243</v>
      </c>
      <c r="AB341" s="717">
        <f t="shared" si="333"/>
        <v>0.75559627073686519</v>
      </c>
      <c r="AC341" s="717">
        <f t="shared" si="333"/>
        <v>0.50369451721396097</v>
      </c>
      <c r="AD341" s="717">
        <f t="shared" si="333"/>
        <v>0.82322099128982862</v>
      </c>
      <c r="AE341" s="717"/>
      <c r="AH341" s="717">
        <f t="shared" ref="AH341:AM342" si="334">AH337*AH327</f>
        <v>4.0209692442350704</v>
      </c>
      <c r="AI341" s="717">
        <f t="shared" si="334"/>
        <v>0.35821364900972968</v>
      </c>
      <c r="AJ341" s="717">
        <f t="shared" si="334"/>
        <v>2.3570332577271627</v>
      </c>
      <c r="AK341" s="717">
        <f t="shared" si="334"/>
        <v>0.57301096193511036</v>
      </c>
      <c r="AL341" s="717">
        <f t="shared" si="334"/>
        <v>0.66419270150118681</v>
      </c>
      <c r="AM341" s="717">
        <f t="shared" si="334"/>
        <v>0.77393480722829133</v>
      </c>
      <c r="AN341" s="717"/>
      <c r="AZ341" s="717">
        <f t="shared" ref="AZ341:BE342" si="335">AZ337*AZ327</f>
        <v>2.783747938316588</v>
      </c>
      <c r="BA341" s="717">
        <f t="shared" si="335"/>
        <v>0.3880647864272071</v>
      </c>
      <c r="BB341" s="717">
        <f t="shared" si="335"/>
        <v>3.1427110103028828</v>
      </c>
      <c r="BC341" s="717">
        <f t="shared" si="335"/>
        <v>0.64463733217699926</v>
      </c>
      <c r="BD341" s="717">
        <f t="shared" si="335"/>
        <v>0.59039351244549942</v>
      </c>
      <c r="BE341" s="717">
        <f t="shared" si="335"/>
        <v>0.77393480722829133</v>
      </c>
      <c r="BF341" s="717"/>
      <c r="BI341" s="717">
        <f t="shared" ref="BI341:BN342" si="336">BI337*BI327</f>
        <v>2.7837479383165871</v>
      </c>
      <c r="BJ341" s="717">
        <f t="shared" si="336"/>
        <v>0.38806478642720715</v>
      </c>
      <c r="BK341" s="717">
        <f t="shared" si="336"/>
        <v>3.1427110103028828</v>
      </c>
      <c r="BL341" s="717">
        <f t="shared" si="336"/>
        <v>0.64463733217699926</v>
      </c>
      <c r="BM341" s="717">
        <f t="shared" si="336"/>
        <v>0.59039351244549954</v>
      </c>
      <c r="BN341" s="717">
        <f t="shared" si="336"/>
        <v>0.77393480722829133</v>
      </c>
      <c r="BO341" s="717"/>
    </row>
    <row r="342" spans="2:74" ht="13.2" customHeight="1">
      <c r="B342" s="280" t="s">
        <v>848</v>
      </c>
      <c r="G342" s="718"/>
      <c r="H342" s="718"/>
      <c r="O342" s="136">
        <f>ROW()</f>
        <v>342</v>
      </c>
      <c r="P342" s="717">
        <f t="shared" si="332"/>
        <v>2.7916300865823191</v>
      </c>
      <c r="Q342" s="717">
        <f t="shared" si="332"/>
        <v>0.38183593593747212</v>
      </c>
      <c r="R342" s="717">
        <f t="shared" si="332"/>
        <v>2.5854330543317765</v>
      </c>
      <c r="S342" s="717">
        <f t="shared" si="332"/>
        <v>1.0162713298029122</v>
      </c>
      <c r="T342" s="717">
        <f t="shared" si="332"/>
        <v>1.615123119318862</v>
      </c>
      <c r="U342" s="717">
        <f t="shared" si="332"/>
        <v>0.22106333943322332</v>
      </c>
      <c r="V342" s="717"/>
      <c r="Y342" s="717">
        <f t="shared" si="333"/>
        <v>2.3307708871816541</v>
      </c>
      <c r="Z342" s="717">
        <f t="shared" si="333"/>
        <v>0.25520468963470927</v>
      </c>
      <c r="AA342" s="717">
        <f t="shared" si="333"/>
        <v>1.3234580935990987</v>
      </c>
      <c r="AB342" s="717">
        <f t="shared" si="333"/>
        <v>1.9853303258713393</v>
      </c>
      <c r="AC342" s="717">
        <f t="shared" si="333"/>
        <v>1.2147406475060758</v>
      </c>
      <c r="AD342" s="717">
        <f t="shared" si="333"/>
        <v>0.52672657415648549</v>
      </c>
      <c r="AE342" s="717"/>
      <c r="AH342" s="717">
        <f t="shared" si="334"/>
        <v>2.7916300865823187</v>
      </c>
      <c r="AI342" s="717">
        <f t="shared" si="334"/>
        <v>0.42426215104163562</v>
      </c>
      <c r="AJ342" s="717">
        <f t="shared" si="334"/>
        <v>1.745167311673949</v>
      </c>
      <c r="AK342" s="717">
        <f t="shared" si="334"/>
        <v>1.505587155263574</v>
      </c>
      <c r="AL342" s="717">
        <f t="shared" si="334"/>
        <v>1.2920984954550896</v>
      </c>
      <c r="AM342" s="717">
        <f t="shared" si="334"/>
        <v>0.24869625686237626</v>
      </c>
      <c r="AN342" s="717"/>
      <c r="AZ342" s="717">
        <f t="shared" si="335"/>
        <v>2.5768893106913713</v>
      </c>
      <c r="BA342" s="717">
        <f t="shared" si="335"/>
        <v>0.31819661328122678</v>
      </c>
      <c r="BB342" s="717">
        <f t="shared" si="335"/>
        <v>1.5512598325990654</v>
      </c>
      <c r="BC342" s="717">
        <f t="shared" si="335"/>
        <v>1.6937855496715208</v>
      </c>
      <c r="BD342" s="717">
        <f t="shared" si="335"/>
        <v>1.2920984954550896</v>
      </c>
      <c r="BE342" s="717">
        <f t="shared" si="335"/>
        <v>0.35922792657898783</v>
      </c>
      <c r="BF342" s="717"/>
      <c r="BI342" s="717">
        <f t="shared" si="336"/>
        <v>2.5768893106913713</v>
      </c>
      <c r="BJ342" s="717">
        <f t="shared" si="336"/>
        <v>0.31819661328122678</v>
      </c>
      <c r="BK342" s="717">
        <f t="shared" si="336"/>
        <v>1.5512598325990656</v>
      </c>
      <c r="BL342" s="717">
        <f t="shared" si="336"/>
        <v>1.6937855496715204</v>
      </c>
      <c r="BM342" s="717">
        <f t="shared" si="336"/>
        <v>1.2920984954550896</v>
      </c>
      <c r="BN342" s="717">
        <f t="shared" si="336"/>
        <v>0.35922792657898794</v>
      </c>
      <c r="BO342" s="717"/>
    </row>
    <row r="343" spans="2:74" ht="13.2" customHeight="1">
      <c r="B343" s="815" t="s">
        <v>1819</v>
      </c>
      <c r="G343" s="10">
        <f t="shared" ref="G343:L344" si="337">P343+Y343+AH343+AQ343+AZ343+BI343</f>
        <v>0</v>
      </c>
      <c r="H343" s="10">
        <f t="shared" si="337"/>
        <v>0</v>
      </c>
      <c r="I343" s="10">
        <f t="shared" si="337"/>
        <v>0</v>
      </c>
      <c r="J343" s="10">
        <f t="shared" si="337"/>
        <v>0</v>
      </c>
      <c r="K343" s="10">
        <f t="shared" si="337"/>
        <v>-2.5623272209762999E-12</v>
      </c>
      <c r="L343" s="10">
        <f t="shared" si="337"/>
        <v>0</v>
      </c>
      <c r="N343" s="10">
        <f>SUM(G343:M343)</f>
        <v>-2.5623272209762999E-12</v>
      </c>
      <c r="O343" s="136">
        <f>ROW()</f>
        <v>343</v>
      </c>
      <c r="P343" s="719">
        <f>(P$122-U$122*P341)/(1+P341)</f>
        <v>0</v>
      </c>
      <c r="Q343" s="719">
        <f>(Q$122-P$122*Q341)/(1+Q341)</f>
        <v>0</v>
      </c>
      <c r="R343" s="719">
        <f>(R$122-Q$122*R341)/(1+R341)</f>
        <v>0</v>
      </c>
      <c r="S343" s="719">
        <f>(S$122-R$122*S341)/(1+S341)</f>
        <v>0</v>
      </c>
      <c r="T343" s="719">
        <f>(T$122-S$122*T341)/(1+T341)</f>
        <v>0</v>
      </c>
      <c r="U343" s="719">
        <f>(U$122-T$122*U341)/(1+U341)</f>
        <v>0</v>
      </c>
      <c r="V343" s="719"/>
      <c r="Y343" s="719">
        <f>(Y$122-AD$122*Y341)/(1+Y341)</f>
        <v>0</v>
      </c>
      <c r="Z343" s="719">
        <f>(Z$122-Y$122*Z341)/(1+Z341)</f>
        <v>0</v>
      </c>
      <c r="AA343" s="719">
        <f>(AA$122-Z$122*AA341)/(1+AA341)</f>
        <v>0</v>
      </c>
      <c r="AB343" s="719">
        <f>(AB$122-AA$122*AB341)/(1+AB341)</f>
        <v>0</v>
      </c>
      <c r="AC343" s="719">
        <f>(AC$122-AB$122*AC341)/(1+AC341)</f>
        <v>-2.4193602925627109E-12</v>
      </c>
      <c r="AD343" s="719">
        <f>(AD$122-AC$122*AD341)/(1+AD341)</f>
        <v>0</v>
      </c>
      <c r="AE343" s="719"/>
      <c r="AH343" s="719">
        <f>(AH$122-AM$122*AH341)/(1+AH341)</f>
        <v>0</v>
      </c>
      <c r="AI343" s="719">
        <f>(AI$122-AH$122*AI341)/(1+AI341)</f>
        <v>0</v>
      </c>
      <c r="AJ343" s="719">
        <f>(AJ$122-AI$122*AJ341)/(1+AJ341)</f>
        <v>0</v>
      </c>
      <c r="AK343" s="719">
        <f>(AK$122-AJ$122*AK341)/(1+AK341)</f>
        <v>0</v>
      </c>
      <c r="AL343" s="719">
        <f>(AL$122-AK$122*AL341)/(1+AL341)</f>
        <v>0</v>
      </c>
      <c r="AM343" s="719">
        <f>(AM$122-AL$122*AM341)/(1+AM341)</f>
        <v>0</v>
      </c>
      <c r="AN343" s="719"/>
      <c r="AZ343" s="719">
        <f>(AZ$122-BE$122*AZ341)/(1+AZ341)</f>
        <v>0</v>
      </c>
      <c r="BA343" s="719">
        <f>(BA$122-AZ$122*BA341)/(1+BA341)</f>
        <v>0</v>
      </c>
      <c r="BB343" s="719">
        <f>(BB$122-BA$122*BB341)/(1+BB341)</f>
        <v>0</v>
      </c>
      <c r="BC343" s="719">
        <f>(BC$122-BB$122*BC341)/(1+BC341)</f>
        <v>0</v>
      </c>
      <c r="BD343" s="719">
        <f>(BD$122-BC$122*BD341)/(1+BD341)</f>
        <v>-1.4296692841358899E-13</v>
      </c>
      <c r="BE343" s="719">
        <f>(BE$122-BD$122*BE341)/(1+BE341)</f>
        <v>0</v>
      </c>
      <c r="BF343" s="719"/>
      <c r="BI343" s="719">
        <f>(BI$122-BN$122*BI341)/(1+BI341)</f>
        <v>0</v>
      </c>
      <c r="BJ343" s="719">
        <f>(BJ$122-BI$122*BJ341)/(1+BJ341)</f>
        <v>0</v>
      </c>
      <c r="BK343" s="719">
        <f>(BK$122-BJ$122*BK341)/(1+BK341)</f>
        <v>0</v>
      </c>
      <c r="BL343" s="719">
        <f>(BL$122-BK$122*BL341)/(1+BL341)</f>
        <v>0</v>
      </c>
      <c r="BM343" s="719">
        <f>(BM$122-BL$122*BM341)/(1+BM341)</f>
        <v>0</v>
      </c>
      <c r="BN343" s="719">
        <f>(BN$122-BM$122*BN341)/(1+BN341)</f>
        <v>0</v>
      </c>
      <c r="BO343" s="719"/>
    </row>
    <row r="344" spans="2:74" ht="13.2" customHeight="1">
      <c r="B344" s="815" t="s">
        <v>1820</v>
      </c>
      <c r="G344" s="10">
        <f t="shared" si="337"/>
        <v>0</v>
      </c>
      <c r="H344" s="10">
        <f t="shared" si="337"/>
        <v>0</v>
      </c>
      <c r="I344" s="10">
        <f t="shared" si="337"/>
        <v>0</v>
      </c>
      <c r="J344" s="10">
        <f t="shared" si="337"/>
        <v>0</v>
      </c>
      <c r="K344" s="10">
        <f t="shared" si="337"/>
        <v>0</v>
      </c>
      <c r="L344" s="10">
        <f t="shared" si="337"/>
        <v>0</v>
      </c>
      <c r="N344" s="10">
        <f>SUM(G344:M344)</f>
        <v>0</v>
      </c>
      <c r="O344" s="136">
        <f>ROW()</f>
        <v>344</v>
      </c>
      <c r="P344" s="719">
        <f>(P$122-Q$122*P342)/(1+P342)</f>
        <v>0</v>
      </c>
      <c r="Q344" s="719">
        <f>(Q$122-R$122*Q342)/(1+Q342)</f>
        <v>0</v>
      </c>
      <c r="R344" s="719">
        <f>(R$122-S$122*R342)/(1+R342)</f>
        <v>0</v>
      </c>
      <c r="S344" s="719">
        <f>(S$122-T$122*S342)/(1+S342)</f>
        <v>0</v>
      </c>
      <c r="T344" s="719">
        <f>(T$122-U$122*T342)/(1+T342)</f>
        <v>0</v>
      </c>
      <c r="U344" s="719">
        <f>(U$122-P$122*U342)/(1+U342)</f>
        <v>0</v>
      </c>
      <c r="V344" s="719"/>
      <c r="Y344" s="719">
        <f>(Y$122-Z$122*Y342)/(1+Y342)</f>
        <v>0</v>
      </c>
      <c r="Z344" s="719">
        <f>(Z$122-AA$122*Z342)/(1+Z342)</f>
        <v>0</v>
      </c>
      <c r="AA344" s="719">
        <f>(AA$122-AB$122*AA342)/(1+AA342)</f>
        <v>0</v>
      </c>
      <c r="AB344" s="719">
        <f>(AB$122-AC$122*AB342)/(1+AB342)</f>
        <v>0</v>
      </c>
      <c r="AC344" s="719">
        <f>(AC$122-AD$122*AC342)/(1+AC342)</f>
        <v>0</v>
      </c>
      <c r="AD344" s="719">
        <f>(AD$122-Y$122*AD342)/(1+AD342)</f>
        <v>0</v>
      </c>
      <c r="AE344" s="719"/>
      <c r="AH344" s="719">
        <f>(AH$122-AI$122*AH342)/(1+AH342)</f>
        <v>0</v>
      </c>
      <c r="AI344" s="719">
        <f>(AI$122-AJ$122*AI342)/(1+AI342)</f>
        <v>0</v>
      </c>
      <c r="AJ344" s="719">
        <f>(AJ$122-AK$122*AJ342)/(1+AJ342)</f>
        <v>0</v>
      </c>
      <c r="AK344" s="719">
        <f>(AK$122-AL$122*AK342)/(1+AK342)</f>
        <v>0</v>
      </c>
      <c r="AL344" s="719">
        <f>(AL$122-AM$122*AL342)/(1+AL342)</f>
        <v>0</v>
      </c>
      <c r="AM344" s="719">
        <f>(AM$122-AH$122*AM342)/(1+AM342)</f>
        <v>0</v>
      </c>
      <c r="AN344" s="719"/>
      <c r="AZ344" s="719">
        <f>(AZ$122-BA$122*AZ342)/(1+AZ342)</f>
        <v>0</v>
      </c>
      <c r="BA344" s="719">
        <f>(BA$122-BB$122*BA342)/(1+BA342)</f>
        <v>0</v>
      </c>
      <c r="BB344" s="719">
        <f>(BB$122-BC$122*BB342)/(1+BB342)</f>
        <v>0</v>
      </c>
      <c r="BC344" s="719">
        <f>(BC$122-BD$122*BC342)/(1+BC342)</f>
        <v>0</v>
      </c>
      <c r="BD344" s="719">
        <f>(BD$122-BE$122*BD342)/(1+BD342)</f>
        <v>0</v>
      </c>
      <c r="BE344" s="719">
        <f>(BE$122-AZ$122*BE342)/(1+BE342)</f>
        <v>0</v>
      </c>
      <c r="BF344" s="719"/>
      <c r="BI344" s="719">
        <f>(BI$122-BJ$122*BI342)/(1+BI342)</f>
        <v>0</v>
      </c>
      <c r="BJ344" s="719">
        <f>(BJ$122-BK$122*BJ342)/(1+BJ342)</f>
        <v>0</v>
      </c>
      <c r="BK344" s="719">
        <f>(BK$122-BL$122*BK342)/(1+BK342)</f>
        <v>0</v>
      </c>
      <c r="BL344" s="719">
        <f>(BL$122-BM$122*BL342)/(1+BL342)</f>
        <v>0</v>
      </c>
      <c r="BM344" s="719">
        <f>(BM$122-BN$122*BM342)/(1+BM342)</f>
        <v>0</v>
      </c>
      <c r="BN344" s="719">
        <f>(BN$122-BI$122*BN342)/(1+BN342)</f>
        <v>0</v>
      </c>
      <c r="BO344" s="719"/>
    </row>
    <row r="345" spans="2:74" ht="13.2" customHeight="1">
      <c r="B345" s="280"/>
      <c r="G345" s="280"/>
      <c r="O345" s="136">
        <f>ROW()</f>
        <v>345</v>
      </c>
      <c r="P345" s="927"/>
      <c r="Q345" s="927"/>
      <c r="R345" s="927"/>
      <c r="S345" s="927"/>
      <c r="T345" s="927"/>
      <c r="U345" s="927"/>
      <c r="V345" s="927"/>
      <c r="Y345" s="927"/>
      <c r="Z345" s="927"/>
      <c r="AA345" s="927"/>
      <c r="AB345" s="927"/>
      <c r="AC345" s="927"/>
      <c r="AD345" s="927"/>
      <c r="AE345" s="927"/>
      <c r="AH345" s="927"/>
      <c r="AI345" s="927"/>
      <c r="AJ345" s="927"/>
      <c r="AK345" s="927"/>
      <c r="AL345" s="927"/>
      <c r="AM345" s="927"/>
      <c r="AN345" s="927"/>
      <c r="AZ345" s="927"/>
      <c r="BA345" s="927"/>
      <c r="BB345" s="927"/>
      <c r="BC345" s="927"/>
      <c r="BD345" s="927"/>
      <c r="BE345" s="927"/>
      <c r="BF345" s="927"/>
      <c r="BI345" s="927"/>
      <c r="BJ345" s="927"/>
      <c r="BK345" s="927"/>
      <c r="BL345" s="927"/>
      <c r="BM345" s="927"/>
      <c r="BN345" s="927"/>
      <c r="BO345" s="927"/>
    </row>
    <row r="346" spans="2:74" ht="13.2" customHeight="1">
      <c r="B346" s="6" t="s">
        <v>716</v>
      </c>
      <c r="O346" s="136">
        <f>ROW()</f>
        <v>346</v>
      </c>
    </row>
    <row r="347" spans="2:74" ht="13.2" customHeight="1">
      <c r="B347" s="280" t="str">
        <f>CONCATENATE("Daily cordon vehicle entries in period (reproduced from row ",O122, ")")</f>
        <v>Daily cordon vehicle entries in period (reproduced from row 122)</v>
      </c>
      <c r="G347" s="10">
        <f t="shared" ref="G347:L347" si="338">G122</f>
        <v>138094.94622810269</v>
      </c>
      <c r="H347" s="10">
        <f t="shared" si="338"/>
        <v>53594.813024996743</v>
      </c>
      <c r="I347" s="10">
        <f t="shared" si="338"/>
        <v>168482.99354880312</v>
      </c>
      <c r="J347" s="10">
        <f t="shared" si="338"/>
        <v>108615.6084364071</v>
      </c>
      <c r="K347" s="10">
        <f t="shared" si="338"/>
        <v>64122.891767235844</v>
      </c>
      <c r="L347" s="10">
        <f t="shared" si="338"/>
        <v>49625.413661121056</v>
      </c>
      <c r="M347" s="10"/>
      <c r="N347" s="10">
        <f t="shared" ref="N347:N356" si="339">SUM(G347:M347)</f>
        <v>582536.66666666663</v>
      </c>
      <c r="O347" s="136">
        <f>ROW()</f>
        <v>347</v>
      </c>
      <c r="P347" s="575">
        <f t="shared" ref="P347:U347" si="340">P122</f>
        <v>28522.13209248865</v>
      </c>
      <c r="Q347" s="575">
        <f t="shared" si="340"/>
        <v>10217.017014387875</v>
      </c>
      <c r="R347" s="575">
        <f t="shared" si="340"/>
        <v>26757.609886307222</v>
      </c>
      <c r="S347" s="575">
        <f t="shared" si="340"/>
        <v>10349.37255152519</v>
      </c>
      <c r="T347" s="575">
        <f t="shared" si="340"/>
        <v>10183.670687169997</v>
      </c>
      <c r="U347" s="575">
        <f t="shared" si="340"/>
        <v>6305.1977681210501</v>
      </c>
      <c r="V347" s="10"/>
      <c r="W347" s="575">
        <f t="shared" ref="W347:W356" si="341">SUM(P347:V347)</f>
        <v>92334.999999999985</v>
      </c>
      <c r="Y347" s="575">
        <f t="shared" ref="Y347:AD347" si="342">Y122</f>
        <v>49937.245707653819</v>
      </c>
      <c r="Z347" s="575">
        <f t="shared" si="342"/>
        <v>21425.205704382835</v>
      </c>
      <c r="AA347" s="575">
        <f t="shared" si="342"/>
        <v>83953.025060198139</v>
      </c>
      <c r="AB347" s="575">
        <f t="shared" si="342"/>
        <v>63434.592652564301</v>
      </c>
      <c r="AC347" s="575">
        <f t="shared" si="342"/>
        <v>31951.656520797649</v>
      </c>
      <c r="AD347" s="575">
        <f t="shared" si="342"/>
        <v>26303.274354403158</v>
      </c>
      <c r="AE347" s="575"/>
      <c r="AF347" s="575">
        <f t="shared" ref="AF347:AF356" si="343">SUM(Y347:AE347)</f>
        <v>277004.99999999988</v>
      </c>
      <c r="AH347" s="575">
        <f t="shared" ref="AH347:AM347" si="344">AH122</f>
        <v>39860.250636171477</v>
      </c>
      <c r="AI347" s="575">
        <f t="shared" si="344"/>
        <v>14278.485830825384</v>
      </c>
      <c r="AJ347" s="575">
        <f t="shared" si="344"/>
        <v>33654.865973241489</v>
      </c>
      <c r="AK347" s="575">
        <f t="shared" si="344"/>
        <v>19284.607125124319</v>
      </c>
      <c r="AL347" s="575">
        <f t="shared" si="344"/>
        <v>12808.695303825358</v>
      </c>
      <c r="AM347" s="575">
        <f t="shared" si="344"/>
        <v>9913.0951308119984</v>
      </c>
      <c r="AN347" s="575"/>
      <c r="AO347" s="575">
        <f t="shared" ref="AO347:AO356" si="345">SUM(AH347:AN347)</f>
        <v>129800.00000000001</v>
      </c>
      <c r="AQ347" s="575">
        <f t="shared" ref="AQ347:AV347" si="346">AQ122</f>
        <v>15413.033971776687</v>
      </c>
      <c r="AR347" s="575">
        <f t="shared" si="346"/>
        <v>5981.2557364528075</v>
      </c>
      <c r="AS347" s="575">
        <f t="shared" si="346"/>
        <v>18797.358258387518</v>
      </c>
      <c r="AT347" s="575">
        <f t="shared" si="346"/>
        <v>12117.478879662214</v>
      </c>
      <c r="AU347" s="575">
        <f t="shared" si="346"/>
        <v>7154.0809177479296</v>
      </c>
      <c r="AV347" s="575">
        <f t="shared" si="346"/>
        <v>5536.7922359728418</v>
      </c>
      <c r="AW347" s="575"/>
      <c r="AX347" s="575">
        <f>SUM(AQ347:AW347)</f>
        <v>65000</v>
      </c>
      <c r="AZ347" s="575">
        <f t="shared" ref="AZ347:BE347" si="347">AZ122</f>
        <v>3009.0984784899406</v>
      </c>
      <c r="BA347" s="575">
        <f t="shared" si="347"/>
        <v>1167.7251583936327</v>
      </c>
      <c r="BB347" s="575">
        <f t="shared" si="347"/>
        <v>3669.8227122913472</v>
      </c>
      <c r="BC347" s="575">
        <f t="shared" si="347"/>
        <v>2365.7047228140536</v>
      </c>
      <c r="BD347" s="575">
        <f t="shared" si="347"/>
        <v>1396.6967207110956</v>
      </c>
      <c r="BE347" s="575">
        <f t="shared" si="347"/>
        <v>1080.9522072999284</v>
      </c>
      <c r="BF347" s="575"/>
      <c r="BG347" s="575">
        <f t="shared" ref="BG347:BG356" si="348">SUM(AZ347:BF347)</f>
        <v>12689.999999999998</v>
      </c>
      <c r="BI347" s="575">
        <f t="shared" ref="BI347:BN347" si="349">BI122</f>
        <v>1353.1853415221378</v>
      </c>
      <c r="BJ347" s="575">
        <f t="shared" si="349"/>
        <v>525.12358055421578</v>
      </c>
      <c r="BK347" s="575">
        <f t="shared" si="349"/>
        <v>1650.3116583774067</v>
      </c>
      <c r="BL347" s="575">
        <f t="shared" si="349"/>
        <v>1063.8525047170108</v>
      </c>
      <c r="BM347" s="575">
        <f t="shared" si="349"/>
        <v>628.09161698381831</v>
      </c>
      <c r="BN347" s="575">
        <f t="shared" si="349"/>
        <v>486.10196451207725</v>
      </c>
      <c r="BO347" s="575"/>
      <c r="BP347" s="575">
        <f t="shared" ref="BP347:BP356" si="350">SUM(BI347:BO347)</f>
        <v>5706.6666666666661</v>
      </c>
    </row>
    <row r="348" spans="2:74" ht="13.2" customHeight="1">
      <c r="B348" s="280" t="s">
        <v>556</v>
      </c>
      <c r="G348" s="1122">
        <f ca="1">P348+Y348+AH348+AZ348+BI348</f>
        <v>29751.856242424277</v>
      </c>
      <c r="H348" s="10">
        <f t="shared" ref="H348:H356" ca="1" si="351">Q348+Z348+AI348+AR348+BA348+BJ348</f>
        <v>9356.5947826050724</v>
      </c>
      <c r="I348" s="10">
        <f t="shared" ref="I348:I356" ca="1" si="352">R348+AA348+AJ348+AS348+BB348+BK348</f>
        <v>24513.110615643865</v>
      </c>
      <c r="J348" s="10">
        <f t="shared" ref="J348:J356" ca="1" si="353">S348+AB348+AK348+AT348+BC348+BL348</f>
        <v>13992.837441731224</v>
      </c>
      <c r="K348" s="10">
        <f t="shared" ref="K348:K356" ca="1" si="354">T348+AC348+AL348+AU348+BD348+BM348</f>
        <v>8667.9887074560647</v>
      </c>
      <c r="L348" s="10">
        <f t="shared" ref="L348:L356" ca="1" si="355">U348+AD348+AM348+AV348+BE348+BN348</f>
        <v>8199.6342689987796</v>
      </c>
      <c r="N348" s="10">
        <f t="shared" ca="1" si="339"/>
        <v>94482.022058859293</v>
      </c>
      <c r="O348" s="136">
        <f>ROW()</f>
        <v>348</v>
      </c>
      <c r="P348" s="575">
        <f t="shared" ref="P348:U348" ca="1" si="356">P$347*P317</f>
        <v>4611.8230285645386</v>
      </c>
      <c r="Q348" s="575">
        <f t="shared" ca="1" si="356"/>
        <v>1247.5433124844192</v>
      </c>
      <c r="R348" s="575">
        <f t="shared" ca="1" si="356"/>
        <v>2580.8616937074107</v>
      </c>
      <c r="S348" s="575">
        <f t="shared" ca="1" si="356"/>
        <v>819.69246231789668</v>
      </c>
      <c r="T348" s="575">
        <f t="shared" ca="1" si="356"/>
        <v>860.93652089802299</v>
      </c>
      <c r="U348" s="575">
        <f t="shared" ca="1" si="356"/>
        <v>695.64296066433849</v>
      </c>
      <c r="V348" s="10"/>
      <c r="W348" s="575">
        <f t="shared" ca="1" si="341"/>
        <v>10816.499978636626</v>
      </c>
      <c r="Y348" s="575">
        <f t="shared" ref="Y348:AD348" ca="1" si="357">Y$347*Y317</f>
        <v>13583.400769610529</v>
      </c>
      <c r="Z348" s="575">
        <f t="shared" ca="1" si="357"/>
        <v>4477.062694100754</v>
      </c>
      <c r="AA348" s="575">
        <f t="shared" ca="1" si="357"/>
        <v>14009.522794972128</v>
      </c>
      <c r="AB348" s="575">
        <f t="shared" ca="1" si="357"/>
        <v>8755.4247421719629</v>
      </c>
      <c r="AC348" s="575">
        <f t="shared" ca="1" si="357"/>
        <v>4696.8253829837222</v>
      </c>
      <c r="AD348" s="575">
        <f t="shared" ca="1" si="357"/>
        <v>4991.3216717203568</v>
      </c>
      <c r="AE348" s="575"/>
      <c r="AF348" s="575">
        <f t="shared" ca="1" si="343"/>
        <v>50513.55805555945</v>
      </c>
      <c r="AH348" s="575">
        <f t="shared" ref="AH348:AM348" si="358">AH$347*AH317</f>
        <v>11333.245326876709</v>
      </c>
      <c r="AI348" s="575">
        <f t="shared" si="358"/>
        <v>3557.6767012484866</v>
      </c>
      <c r="AJ348" s="575">
        <f t="shared" si="358"/>
        <v>7713.0596915295519</v>
      </c>
      <c r="AK348" s="575">
        <f t="shared" si="358"/>
        <v>4287.1722847594465</v>
      </c>
      <c r="AL348" s="575">
        <f t="shared" si="358"/>
        <v>3026.8338651505223</v>
      </c>
      <c r="AM348" s="575">
        <f t="shared" si="358"/>
        <v>2445.3940554815949</v>
      </c>
      <c r="AN348" s="575"/>
      <c r="AO348" s="575">
        <f t="shared" si="345"/>
        <v>32363.381925046313</v>
      </c>
      <c r="AQ348" s="4366" t="str">
        <f>CONCATENATE("We have eliminated these entries for medallion taxis, since (i) changes in taxi entries into the CBD are accounted for above, in Rows ",O318, " and ",O332, " and (ii) switching between time periods doesn't apply since taxi fares aren't varied by time of day.")</f>
        <v>We have eliminated these entries for medallion taxis, since (i) changes in taxi entries into the CBD are accounted for above, in Rows 318 and 332 and (ii) switching between time periods doesn't apply since taxi fares aren't varied by time of day.</v>
      </c>
      <c r="AR348" s="3775"/>
      <c r="AS348" s="3775"/>
      <c r="AT348" s="3775"/>
      <c r="AU348" s="3775"/>
      <c r="AV348" s="3775"/>
      <c r="AW348" s="3775"/>
      <c r="AX348" s="3776"/>
      <c r="AZ348" s="575">
        <f t="shared" ref="AZ348:BE348" ca="1" si="359">AZ$347*AZ317</f>
        <v>186.56110270017598</v>
      </c>
      <c r="BA348" s="575">
        <f t="shared" ca="1" si="359"/>
        <v>61.860404931622277</v>
      </c>
      <c r="BB348" s="575">
        <f t="shared" ca="1" si="359"/>
        <v>174.81276070844558</v>
      </c>
      <c r="BC348" s="575">
        <f t="shared" ca="1" si="359"/>
        <v>108.93286347666293</v>
      </c>
      <c r="BD348" s="575">
        <f t="shared" ca="1" si="359"/>
        <v>69.426533480248551</v>
      </c>
      <c r="BE348" s="575">
        <f t="shared" ca="1" si="359"/>
        <v>55.924561332032368</v>
      </c>
      <c r="BF348" s="575"/>
      <c r="BG348" s="575">
        <f t="shared" ca="1" si="348"/>
        <v>657.51822662918755</v>
      </c>
      <c r="BI348" s="575">
        <f t="shared" ref="BI348:BN348" ca="1" si="360">BI$347*BI317</f>
        <v>36.826014672326039</v>
      </c>
      <c r="BJ348" s="575">
        <f t="shared" ca="1" si="360"/>
        <v>12.451669839790869</v>
      </c>
      <c r="BK348" s="575">
        <f t="shared" ca="1" si="360"/>
        <v>34.853674726332294</v>
      </c>
      <c r="BL348" s="575">
        <f t="shared" ca="1" si="360"/>
        <v>21.61508900525665</v>
      </c>
      <c r="BM348" s="575">
        <f t="shared" ca="1" si="360"/>
        <v>13.966404943548746</v>
      </c>
      <c r="BN348" s="575">
        <f t="shared" ca="1" si="360"/>
        <v>11.351019800456777</v>
      </c>
      <c r="BO348" s="575"/>
      <c r="BP348" s="575">
        <f t="shared" ca="1" si="350"/>
        <v>131.06387298771136</v>
      </c>
      <c r="BV348">
        <f>ROW()</f>
        <v>348</v>
      </c>
    </row>
    <row r="349" spans="2:74" ht="13.2" customHeight="1">
      <c r="B349" s="280" t="s">
        <v>1085</v>
      </c>
      <c r="G349" s="10">
        <f t="shared" ref="G349:G356" si="361">P349+Y349+AH349+AQ349+AZ349+BI349</f>
        <v>0</v>
      </c>
      <c r="H349" s="10">
        <f t="shared" si="351"/>
        <v>0</v>
      </c>
      <c r="I349" s="10">
        <f t="shared" si="352"/>
        <v>0</v>
      </c>
      <c r="J349" s="10">
        <f t="shared" si="353"/>
        <v>0</v>
      </c>
      <c r="K349" s="10">
        <f t="shared" si="354"/>
        <v>-2.5623272209762999E-12</v>
      </c>
      <c r="L349" s="10">
        <f t="shared" si="355"/>
        <v>0</v>
      </c>
      <c r="N349" s="10">
        <f t="shared" si="339"/>
        <v>-2.5623272209762999E-12</v>
      </c>
      <c r="O349" s="136">
        <f>ROW()</f>
        <v>349</v>
      </c>
      <c r="P349" s="575">
        <f t="shared" ref="P349:U350" si="362">P343</f>
        <v>0</v>
      </c>
      <c r="Q349" s="575">
        <f t="shared" si="362"/>
        <v>0</v>
      </c>
      <c r="R349" s="575">
        <f t="shared" si="362"/>
        <v>0</v>
      </c>
      <c r="S349" s="575">
        <f t="shared" si="362"/>
        <v>0</v>
      </c>
      <c r="T349" s="575">
        <f t="shared" si="362"/>
        <v>0</v>
      </c>
      <c r="U349" s="575">
        <f t="shared" si="362"/>
        <v>0</v>
      </c>
      <c r="V349" s="10"/>
      <c r="W349" s="575">
        <f t="shared" si="341"/>
        <v>0</v>
      </c>
      <c r="Y349" s="575">
        <f t="shared" ref="Y349:AD349" si="363">Y343</f>
        <v>0</v>
      </c>
      <c r="Z349" s="575">
        <f t="shared" si="363"/>
        <v>0</v>
      </c>
      <c r="AA349" s="575">
        <f t="shared" si="363"/>
        <v>0</v>
      </c>
      <c r="AB349" s="575">
        <f t="shared" si="363"/>
        <v>0</v>
      </c>
      <c r="AC349" s="575">
        <f t="shared" si="363"/>
        <v>-2.4193602925627109E-12</v>
      </c>
      <c r="AD349" s="575">
        <f t="shared" si="363"/>
        <v>0</v>
      </c>
      <c r="AE349" s="575"/>
      <c r="AF349" s="575">
        <f t="shared" si="343"/>
        <v>-2.4193602925627109E-12</v>
      </c>
      <c r="AH349" s="575">
        <f t="shared" ref="AH349:AM349" si="364">AH343</f>
        <v>0</v>
      </c>
      <c r="AI349" s="575">
        <f t="shared" si="364"/>
        <v>0</v>
      </c>
      <c r="AJ349" s="575">
        <f t="shared" si="364"/>
        <v>0</v>
      </c>
      <c r="AK349" s="575">
        <f t="shared" si="364"/>
        <v>0</v>
      </c>
      <c r="AL349" s="575">
        <f t="shared" si="364"/>
        <v>0</v>
      </c>
      <c r="AM349" s="575">
        <f t="shared" si="364"/>
        <v>0</v>
      </c>
      <c r="AN349" s="575"/>
      <c r="AO349" s="575">
        <f t="shared" si="345"/>
        <v>0</v>
      </c>
      <c r="AQ349" s="3738"/>
      <c r="AR349" s="3739"/>
      <c r="AS349" s="3739"/>
      <c r="AT349" s="3739"/>
      <c r="AU349" s="3739"/>
      <c r="AV349" s="3739"/>
      <c r="AW349" s="3739"/>
      <c r="AX349" s="3922"/>
      <c r="AZ349" s="575">
        <f t="shared" ref="AZ349:BE349" si="365">AZ343</f>
        <v>0</v>
      </c>
      <c r="BA349" s="575">
        <f t="shared" si="365"/>
        <v>0</v>
      </c>
      <c r="BB349" s="575">
        <f t="shared" si="365"/>
        <v>0</v>
      </c>
      <c r="BC349" s="575">
        <f t="shared" si="365"/>
        <v>0</v>
      </c>
      <c r="BD349" s="575">
        <f t="shared" si="365"/>
        <v>-1.4296692841358899E-13</v>
      </c>
      <c r="BE349" s="575">
        <f t="shared" si="365"/>
        <v>0</v>
      </c>
      <c r="BF349" s="575"/>
      <c r="BG349" s="575">
        <f t="shared" si="348"/>
        <v>-1.4296692841358899E-13</v>
      </c>
      <c r="BI349" s="575">
        <f t="shared" ref="BI349:BN349" si="366">BI343</f>
        <v>0</v>
      </c>
      <c r="BJ349" s="575">
        <f t="shared" si="366"/>
        <v>0</v>
      </c>
      <c r="BK349" s="575">
        <f t="shared" si="366"/>
        <v>0</v>
      </c>
      <c r="BL349" s="575">
        <f t="shared" si="366"/>
        <v>0</v>
      </c>
      <c r="BM349" s="575">
        <f t="shared" si="366"/>
        <v>0</v>
      </c>
      <c r="BN349" s="575">
        <f t="shared" si="366"/>
        <v>0</v>
      </c>
      <c r="BO349" s="575"/>
      <c r="BP349" s="575">
        <f t="shared" si="350"/>
        <v>0</v>
      </c>
    </row>
    <row r="350" spans="2:74" ht="13.2" customHeight="1">
      <c r="B350" s="280" t="s">
        <v>1086</v>
      </c>
      <c r="G350" s="10">
        <f t="shared" si="361"/>
        <v>0</v>
      </c>
      <c r="H350" s="10">
        <f t="shared" si="351"/>
        <v>0</v>
      </c>
      <c r="I350" s="10">
        <f t="shared" si="352"/>
        <v>0</v>
      </c>
      <c r="J350" s="10">
        <f t="shared" si="353"/>
        <v>0</v>
      </c>
      <c r="K350" s="10">
        <f t="shared" si="354"/>
        <v>0</v>
      </c>
      <c r="L350" s="10">
        <f t="shared" si="355"/>
        <v>0</v>
      </c>
      <c r="N350" s="10">
        <f t="shared" si="339"/>
        <v>0</v>
      </c>
      <c r="O350" s="136">
        <f>ROW()</f>
        <v>350</v>
      </c>
      <c r="P350" s="575">
        <f t="shared" si="362"/>
        <v>0</v>
      </c>
      <c r="Q350" s="575">
        <f t="shared" si="362"/>
        <v>0</v>
      </c>
      <c r="R350" s="575">
        <f t="shared" si="362"/>
        <v>0</v>
      </c>
      <c r="S350" s="575">
        <f t="shared" si="362"/>
        <v>0</v>
      </c>
      <c r="T350" s="575">
        <f t="shared" si="362"/>
        <v>0</v>
      </c>
      <c r="U350" s="575">
        <f t="shared" si="362"/>
        <v>0</v>
      </c>
      <c r="V350" s="10"/>
      <c r="W350" s="575">
        <f t="shared" si="341"/>
        <v>0</v>
      </c>
      <c r="Y350" s="575">
        <f t="shared" ref="Y350:AD350" si="367">Y344</f>
        <v>0</v>
      </c>
      <c r="Z350" s="575">
        <f t="shared" si="367"/>
        <v>0</v>
      </c>
      <c r="AA350" s="575">
        <f t="shared" si="367"/>
        <v>0</v>
      </c>
      <c r="AB350" s="575">
        <f t="shared" si="367"/>
        <v>0</v>
      </c>
      <c r="AC350" s="575">
        <f t="shared" si="367"/>
        <v>0</v>
      </c>
      <c r="AD350" s="575">
        <f t="shared" si="367"/>
        <v>0</v>
      </c>
      <c r="AE350" s="575"/>
      <c r="AF350" s="575">
        <f t="shared" si="343"/>
        <v>0</v>
      </c>
      <c r="AH350" s="575">
        <f t="shared" ref="AH350:AM350" si="368">AH344</f>
        <v>0</v>
      </c>
      <c r="AI350" s="575">
        <f t="shared" si="368"/>
        <v>0</v>
      </c>
      <c r="AJ350" s="575">
        <f t="shared" si="368"/>
        <v>0</v>
      </c>
      <c r="AK350" s="575">
        <f t="shared" si="368"/>
        <v>0</v>
      </c>
      <c r="AL350" s="575">
        <f t="shared" si="368"/>
        <v>0</v>
      </c>
      <c r="AM350" s="575">
        <f t="shared" si="368"/>
        <v>0</v>
      </c>
      <c r="AN350" s="575"/>
      <c r="AO350" s="575">
        <f t="shared" si="345"/>
        <v>0</v>
      </c>
      <c r="AQ350" s="3738"/>
      <c r="AR350" s="3739"/>
      <c r="AS350" s="3739"/>
      <c r="AT350" s="3739"/>
      <c r="AU350" s="3739"/>
      <c r="AV350" s="3739"/>
      <c r="AW350" s="3739"/>
      <c r="AX350" s="3922"/>
      <c r="AZ350" s="575">
        <f t="shared" ref="AZ350:BE350" si="369">AZ344</f>
        <v>0</v>
      </c>
      <c r="BA350" s="575">
        <f t="shared" si="369"/>
        <v>0</v>
      </c>
      <c r="BB350" s="575">
        <f t="shared" si="369"/>
        <v>0</v>
      </c>
      <c r="BC350" s="575">
        <f t="shared" si="369"/>
        <v>0</v>
      </c>
      <c r="BD350" s="575">
        <f t="shared" si="369"/>
        <v>0</v>
      </c>
      <c r="BE350" s="575">
        <f t="shared" si="369"/>
        <v>0</v>
      </c>
      <c r="BF350" s="575"/>
      <c r="BG350" s="575">
        <f t="shared" si="348"/>
        <v>0</v>
      </c>
      <c r="BI350" s="575">
        <f t="shared" ref="BI350:BN350" si="370">BI344</f>
        <v>0</v>
      </c>
      <c r="BJ350" s="575">
        <f t="shared" si="370"/>
        <v>0</v>
      </c>
      <c r="BK350" s="575">
        <f t="shared" si="370"/>
        <v>0</v>
      </c>
      <c r="BL350" s="575">
        <f t="shared" si="370"/>
        <v>0</v>
      </c>
      <c r="BM350" s="575">
        <f t="shared" si="370"/>
        <v>0</v>
      </c>
      <c r="BN350" s="575">
        <f t="shared" si="370"/>
        <v>0</v>
      </c>
      <c r="BO350" s="575"/>
      <c r="BP350" s="575">
        <f t="shared" si="350"/>
        <v>0</v>
      </c>
    </row>
    <row r="351" spans="2:74" ht="13.2" customHeight="1">
      <c r="B351" s="280" t="s">
        <v>1213</v>
      </c>
      <c r="G351" s="10">
        <f t="shared" si="361"/>
        <v>0</v>
      </c>
      <c r="H351" s="10">
        <f t="shared" si="351"/>
        <v>0</v>
      </c>
      <c r="I351" s="10">
        <f t="shared" si="352"/>
        <v>0</v>
      </c>
      <c r="J351" s="10">
        <f t="shared" si="353"/>
        <v>0</v>
      </c>
      <c r="K351" s="10">
        <f t="shared" si="354"/>
        <v>-2.5623272209762999E-12</v>
      </c>
      <c r="L351" s="10">
        <f t="shared" si="355"/>
        <v>0</v>
      </c>
      <c r="N351" s="10">
        <f t="shared" si="339"/>
        <v>-2.5623272209762999E-12</v>
      </c>
      <c r="O351" s="136">
        <f>ROW()</f>
        <v>351</v>
      </c>
      <c r="P351" s="575">
        <f t="shared" ref="P351:U351" si="371">P349+P350</f>
        <v>0</v>
      </c>
      <c r="Q351" s="575">
        <f t="shared" si="371"/>
        <v>0</v>
      </c>
      <c r="R351" s="575">
        <f t="shared" si="371"/>
        <v>0</v>
      </c>
      <c r="S351" s="575">
        <f t="shared" si="371"/>
        <v>0</v>
      </c>
      <c r="T351" s="575">
        <f t="shared" si="371"/>
        <v>0</v>
      </c>
      <c r="U351" s="575">
        <f t="shared" si="371"/>
        <v>0</v>
      </c>
      <c r="V351" s="10"/>
      <c r="W351" s="575">
        <f t="shared" si="341"/>
        <v>0</v>
      </c>
      <c r="Y351" s="575">
        <f t="shared" ref="Y351:AD351" si="372">Y349+Y350</f>
        <v>0</v>
      </c>
      <c r="Z351" s="575">
        <f t="shared" si="372"/>
        <v>0</v>
      </c>
      <c r="AA351" s="575">
        <f t="shared" si="372"/>
        <v>0</v>
      </c>
      <c r="AB351" s="575">
        <f t="shared" si="372"/>
        <v>0</v>
      </c>
      <c r="AC351" s="575">
        <f t="shared" si="372"/>
        <v>-2.4193602925627109E-12</v>
      </c>
      <c r="AD351" s="575">
        <f t="shared" si="372"/>
        <v>0</v>
      </c>
      <c r="AE351" s="575"/>
      <c r="AF351" s="575">
        <f t="shared" si="343"/>
        <v>-2.4193602925627109E-12</v>
      </c>
      <c r="AH351" s="575">
        <f t="shared" ref="AH351:AM351" si="373">AH349+AH350</f>
        <v>0</v>
      </c>
      <c r="AI351" s="575">
        <f t="shared" si="373"/>
        <v>0</v>
      </c>
      <c r="AJ351" s="575">
        <f t="shared" si="373"/>
        <v>0</v>
      </c>
      <c r="AK351" s="575">
        <f t="shared" si="373"/>
        <v>0</v>
      </c>
      <c r="AL351" s="575">
        <f t="shared" si="373"/>
        <v>0</v>
      </c>
      <c r="AM351" s="575">
        <f t="shared" si="373"/>
        <v>0</v>
      </c>
      <c r="AN351" s="575"/>
      <c r="AO351" s="575">
        <f t="shared" si="345"/>
        <v>0</v>
      </c>
      <c r="AQ351" s="3738"/>
      <c r="AR351" s="3739"/>
      <c r="AS351" s="3739"/>
      <c r="AT351" s="3739"/>
      <c r="AU351" s="3739"/>
      <c r="AV351" s="3739"/>
      <c r="AW351" s="3739"/>
      <c r="AX351" s="3922"/>
      <c r="AZ351" s="575">
        <f t="shared" ref="AZ351:BE351" si="374">AZ349+AZ350</f>
        <v>0</v>
      </c>
      <c r="BA351" s="575">
        <f t="shared" si="374"/>
        <v>0</v>
      </c>
      <c r="BB351" s="575">
        <f t="shared" si="374"/>
        <v>0</v>
      </c>
      <c r="BC351" s="575">
        <f t="shared" si="374"/>
        <v>0</v>
      </c>
      <c r="BD351" s="575">
        <f t="shared" si="374"/>
        <v>-1.4296692841358899E-13</v>
      </c>
      <c r="BE351" s="575">
        <f t="shared" si="374"/>
        <v>0</v>
      </c>
      <c r="BF351" s="575"/>
      <c r="BG351" s="575">
        <f t="shared" si="348"/>
        <v>-1.4296692841358899E-13</v>
      </c>
      <c r="BI351" s="575">
        <f t="shared" ref="BI351:BN351" si="375">BI349+BI350</f>
        <v>0</v>
      </c>
      <c r="BJ351" s="575">
        <f t="shared" si="375"/>
        <v>0</v>
      </c>
      <c r="BK351" s="575">
        <f t="shared" si="375"/>
        <v>0</v>
      </c>
      <c r="BL351" s="575">
        <f t="shared" si="375"/>
        <v>0</v>
      </c>
      <c r="BM351" s="575">
        <f t="shared" si="375"/>
        <v>0</v>
      </c>
      <c r="BN351" s="575">
        <f t="shared" si="375"/>
        <v>0</v>
      </c>
      <c r="BO351" s="575"/>
      <c r="BP351" s="575">
        <f t="shared" si="350"/>
        <v>0</v>
      </c>
    </row>
    <row r="352" spans="2:74" ht="13.2" customHeight="1">
      <c r="B352" s="280" t="s">
        <v>2183</v>
      </c>
      <c r="G352" s="10">
        <f t="shared" si="361"/>
        <v>0</v>
      </c>
      <c r="H352" s="10">
        <f t="shared" si="351"/>
        <v>0</v>
      </c>
      <c r="I352" s="10">
        <f t="shared" si="352"/>
        <v>0</v>
      </c>
      <c r="J352" s="10">
        <f t="shared" si="353"/>
        <v>-2.5623272209762999E-12</v>
      </c>
      <c r="K352" s="10">
        <f t="shared" si="354"/>
        <v>0</v>
      </c>
      <c r="L352" s="10">
        <f t="shared" si="355"/>
        <v>0</v>
      </c>
      <c r="N352" s="10">
        <f t="shared" si="339"/>
        <v>-2.5623272209762999E-12</v>
      </c>
      <c r="O352" s="136">
        <f>ROW()</f>
        <v>352</v>
      </c>
      <c r="P352" s="575">
        <f>Q349</f>
        <v>0</v>
      </c>
      <c r="Q352" s="575">
        <f>R349</f>
        <v>0</v>
      </c>
      <c r="R352" s="575">
        <f>S349</f>
        <v>0</v>
      </c>
      <c r="S352" s="575">
        <f>T349</f>
        <v>0</v>
      </c>
      <c r="T352" s="575">
        <f>U349</f>
        <v>0</v>
      </c>
      <c r="U352" s="575">
        <f>P349</f>
        <v>0</v>
      </c>
      <c r="V352" s="10"/>
      <c r="W352" s="575">
        <f t="shared" si="341"/>
        <v>0</v>
      </c>
      <c r="Y352" s="575">
        <f>Z349</f>
        <v>0</v>
      </c>
      <c r="Z352" s="575">
        <f>AA349</f>
        <v>0</v>
      </c>
      <c r="AA352" s="575">
        <f>AB349</f>
        <v>0</v>
      </c>
      <c r="AB352" s="575">
        <f>AC349</f>
        <v>-2.4193602925627109E-12</v>
      </c>
      <c r="AC352" s="575">
        <f>AD349</f>
        <v>0</v>
      </c>
      <c r="AD352" s="575">
        <f>Y349</f>
        <v>0</v>
      </c>
      <c r="AE352" s="575"/>
      <c r="AF352" s="575">
        <f t="shared" si="343"/>
        <v>-2.4193602925627109E-12</v>
      </c>
      <c r="AH352" s="575">
        <f>AI349</f>
        <v>0</v>
      </c>
      <c r="AI352" s="575">
        <f>AJ349</f>
        <v>0</v>
      </c>
      <c r="AJ352" s="575">
        <f>AK349</f>
        <v>0</v>
      </c>
      <c r="AK352" s="575">
        <f>AL349</f>
        <v>0</v>
      </c>
      <c r="AL352" s="575">
        <f>AM349</f>
        <v>0</v>
      </c>
      <c r="AM352" s="575">
        <f>AH349</f>
        <v>0</v>
      </c>
      <c r="AN352" s="575"/>
      <c r="AO352" s="575">
        <f t="shared" si="345"/>
        <v>0</v>
      </c>
      <c r="AQ352" s="3738"/>
      <c r="AR352" s="3739"/>
      <c r="AS352" s="3739"/>
      <c r="AT352" s="3739"/>
      <c r="AU352" s="3739"/>
      <c r="AV352" s="3739"/>
      <c r="AW352" s="3739"/>
      <c r="AX352" s="3922"/>
      <c r="AZ352" s="575">
        <f>BA349</f>
        <v>0</v>
      </c>
      <c r="BA352" s="575">
        <f>BB349</f>
        <v>0</v>
      </c>
      <c r="BB352" s="575">
        <f>BC349</f>
        <v>0</v>
      </c>
      <c r="BC352" s="575">
        <f>BD349</f>
        <v>-1.4296692841358899E-13</v>
      </c>
      <c r="BD352" s="575">
        <f>BE349</f>
        <v>0</v>
      </c>
      <c r="BE352" s="575">
        <f>AZ349</f>
        <v>0</v>
      </c>
      <c r="BF352" s="575"/>
      <c r="BG352" s="575">
        <f t="shared" si="348"/>
        <v>-1.4296692841358899E-13</v>
      </c>
      <c r="BI352" s="575">
        <f>BJ349</f>
        <v>0</v>
      </c>
      <c r="BJ352" s="575">
        <f>BK349</f>
        <v>0</v>
      </c>
      <c r="BK352" s="575">
        <f>BL349</f>
        <v>0</v>
      </c>
      <c r="BL352" s="575">
        <f>BM349</f>
        <v>0</v>
      </c>
      <c r="BM352" s="575">
        <f>BN349</f>
        <v>0</v>
      </c>
      <c r="BN352" s="575">
        <f>BI349</f>
        <v>0</v>
      </c>
      <c r="BO352" s="575"/>
      <c r="BP352" s="575">
        <f t="shared" si="350"/>
        <v>0</v>
      </c>
    </row>
    <row r="353" spans="2:68" ht="13.2" customHeight="1">
      <c r="B353" s="280" t="s">
        <v>2184</v>
      </c>
      <c r="G353" s="10">
        <f t="shared" si="361"/>
        <v>0</v>
      </c>
      <c r="H353" s="10">
        <f t="shared" si="351"/>
        <v>0</v>
      </c>
      <c r="I353" s="10">
        <f t="shared" si="352"/>
        <v>0</v>
      </c>
      <c r="J353" s="10">
        <f t="shared" si="353"/>
        <v>0</v>
      </c>
      <c r="K353" s="10">
        <f t="shared" si="354"/>
        <v>0</v>
      </c>
      <c r="L353" s="10">
        <f t="shared" si="355"/>
        <v>0</v>
      </c>
      <c r="N353" s="10">
        <f t="shared" si="339"/>
        <v>0</v>
      </c>
      <c r="O353" s="136">
        <f>ROW()</f>
        <v>353</v>
      </c>
      <c r="P353" s="575">
        <f>U350</f>
        <v>0</v>
      </c>
      <c r="Q353" s="575">
        <f>P350</f>
        <v>0</v>
      </c>
      <c r="R353" s="575">
        <f>Q350</f>
        <v>0</v>
      </c>
      <c r="S353" s="575">
        <f>R350</f>
        <v>0</v>
      </c>
      <c r="T353" s="575">
        <f>S350</f>
        <v>0</v>
      </c>
      <c r="U353" s="575">
        <f>T350</f>
        <v>0</v>
      </c>
      <c r="V353" s="10"/>
      <c r="W353" s="575">
        <f t="shared" si="341"/>
        <v>0</v>
      </c>
      <c r="Y353" s="575">
        <f>AD350</f>
        <v>0</v>
      </c>
      <c r="Z353" s="575">
        <f>Y350</f>
        <v>0</v>
      </c>
      <c r="AA353" s="575">
        <f>Z350</f>
        <v>0</v>
      </c>
      <c r="AB353" s="575">
        <f>AA350</f>
        <v>0</v>
      </c>
      <c r="AC353" s="575">
        <f>AB350</f>
        <v>0</v>
      </c>
      <c r="AD353" s="575">
        <f>AC350</f>
        <v>0</v>
      </c>
      <c r="AE353" s="575"/>
      <c r="AF353" s="575">
        <f t="shared" si="343"/>
        <v>0</v>
      </c>
      <c r="AH353" s="575">
        <f>AM350</f>
        <v>0</v>
      </c>
      <c r="AI353" s="575">
        <f>AH350</f>
        <v>0</v>
      </c>
      <c r="AJ353" s="575">
        <f>AI350</f>
        <v>0</v>
      </c>
      <c r="AK353" s="575">
        <f>AJ350</f>
        <v>0</v>
      </c>
      <c r="AL353" s="575">
        <f>AK350</f>
        <v>0</v>
      </c>
      <c r="AM353" s="575">
        <f>AL350</f>
        <v>0</v>
      </c>
      <c r="AN353" s="575"/>
      <c r="AO353" s="575">
        <f t="shared" si="345"/>
        <v>0</v>
      </c>
      <c r="AQ353" s="3738"/>
      <c r="AR353" s="3739"/>
      <c r="AS353" s="3739"/>
      <c r="AT353" s="3739"/>
      <c r="AU353" s="3739"/>
      <c r="AV353" s="3739"/>
      <c r="AW353" s="3739"/>
      <c r="AX353" s="3922"/>
      <c r="AZ353" s="575">
        <f>BE350</f>
        <v>0</v>
      </c>
      <c r="BA353" s="575">
        <f>AZ350</f>
        <v>0</v>
      </c>
      <c r="BB353" s="575">
        <f>BA350</f>
        <v>0</v>
      </c>
      <c r="BC353" s="575">
        <f>BB350</f>
        <v>0</v>
      </c>
      <c r="BD353" s="575">
        <f>BC350</f>
        <v>0</v>
      </c>
      <c r="BE353" s="575">
        <f>BD350</f>
        <v>0</v>
      </c>
      <c r="BF353" s="575"/>
      <c r="BG353" s="575">
        <f t="shared" si="348"/>
        <v>0</v>
      </c>
      <c r="BI353" s="575">
        <f>BN350</f>
        <v>0</v>
      </c>
      <c r="BJ353" s="575">
        <f>BI350</f>
        <v>0</v>
      </c>
      <c r="BK353" s="575">
        <f>BJ350</f>
        <v>0</v>
      </c>
      <c r="BL353" s="575">
        <f>BK350</f>
        <v>0</v>
      </c>
      <c r="BM353" s="575">
        <f>BL350</f>
        <v>0</v>
      </c>
      <c r="BN353" s="575">
        <f>BM350</f>
        <v>0</v>
      </c>
      <c r="BO353" s="575"/>
      <c r="BP353" s="575">
        <f t="shared" si="350"/>
        <v>0</v>
      </c>
    </row>
    <row r="354" spans="2:68" ht="13.2" customHeight="1">
      <c r="B354" s="280" t="s">
        <v>1214</v>
      </c>
      <c r="G354" s="10">
        <f t="shared" si="361"/>
        <v>0</v>
      </c>
      <c r="H354" s="10">
        <f t="shared" si="351"/>
        <v>0</v>
      </c>
      <c r="I354" s="10">
        <f t="shared" si="352"/>
        <v>0</v>
      </c>
      <c r="J354" s="10">
        <f t="shared" si="353"/>
        <v>-2.5623272209762999E-12</v>
      </c>
      <c r="K354" s="10">
        <f t="shared" si="354"/>
        <v>0</v>
      </c>
      <c r="L354" s="10">
        <f t="shared" si="355"/>
        <v>0</v>
      </c>
      <c r="N354" s="10">
        <f t="shared" si="339"/>
        <v>-2.5623272209762999E-12</v>
      </c>
      <c r="O354" s="136">
        <f>ROW()</f>
        <v>354</v>
      </c>
      <c r="P354" s="575">
        <f t="shared" ref="P354:U354" si="376">P352+P353</f>
        <v>0</v>
      </c>
      <c r="Q354" s="575">
        <f t="shared" si="376"/>
        <v>0</v>
      </c>
      <c r="R354" s="575">
        <f t="shared" si="376"/>
        <v>0</v>
      </c>
      <c r="S354" s="575">
        <f t="shared" si="376"/>
        <v>0</v>
      </c>
      <c r="T354" s="575">
        <f t="shared" si="376"/>
        <v>0</v>
      </c>
      <c r="U354" s="575">
        <f t="shared" si="376"/>
        <v>0</v>
      </c>
      <c r="V354" s="10"/>
      <c r="W354" s="575">
        <f t="shared" si="341"/>
        <v>0</v>
      </c>
      <c r="Y354" s="575">
        <f t="shared" ref="Y354:AD354" si="377">Y352+Y353</f>
        <v>0</v>
      </c>
      <c r="Z354" s="575">
        <f t="shared" si="377"/>
        <v>0</v>
      </c>
      <c r="AA354" s="575">
        <f t="shared" si="377"/>
        <v>0</v>
      </c>
      <c r="AB354" s="575">
        <f t="shared" si="377"/>
        <v>-2.4193602925627109E-12</v>
      </c>
      <c r="AC354" s="575">
        <f t="shared" si="377"/>
        <v>0</v>
      </c>
      <c r="AD354" s="575">
        <f t="shared" si="377"/>
        <v>0</v>
      </c>
      <c r="AE354" s="575"/>
      <c r="AF354" s="575">
        <f t="shared" si="343"/>
        <v>-2.4193602925627109E-12</v>
      </c>
      <c r="AH354" s="575">
        <f t="shared" ref="AH354:AM354" si="378">AH352+AH353</f>
        <v>0</v>
      </c>
      <c r="AI354" s="575">
        <f t="shared" si="378"/>
        <v>0</v>
      </c>
      <c r="AJ354" s="575">
        <f t="shared" si="378"/>
        <v>0</v>
      </c>
      <c r="AK354" s="575">
        <f t="shared" si="378"/>
        <v>0</v>
      </c>
      <c r="AL354" s="575">
        <f t="shared" si="378"/>
        <v>0</v>
      </c>
      <c r="AM354" s="575">
        <f t="shared" si="378"/>
        <v>0</v>
      </c>
      <c r="AN354" s="575"/>
      <c r="AO354" s="575">
        <f t="shared" si="345"/>
        <v>0</v>
      </c>
      <c r="AQ354" s="3741"/>
      <c r="AR354" s="3742"/>
      <c r="AS354" s="3742"/>
      <c r="AT354" s="3742"/>
      <c r="AU354" s="3742"/>
      <c r="AV354" s="3742"/>
      <c r="AW354" s="3742"/>
      <c r="AX354" s="3777"/>
      <c r="AZ354" s="575">
        <f t="shared" ref="AZ354:BE354" si="379">AZ352+AZ353</f>
        <v>0</v>
      </c>
      <c r="BA354" s="575">
        <f t="shared" si="379"/>
        <v>0</v>
      </c>
      <c r="BB354" s="575">
        <f t="shared" si="379"/>
        <v>0</v>
      </c>
      <c r="BC354" s="575">
        <f t="shared" si="379"/>
        <v>-1.4296692841358899E-13</v>
      </c>
      <c r="BD354" s="575">
        <f t="shared" si="379"/>
        <v>0</v>
      </c>
      <c r="BE354" s="575">
        <f t="shared" si="379"/>
        <v>0</v>
      </c>
      <c r="BF354" s="575"/>
      <c r="BG354" s="575">
        <f t="shared" si="348"/>
        <v>-1.4296692841358899E-13</v>
      </c>
      <c r="BI354" s="575">
        <f t="shared" ref="BI354:BN354" si="380">BI352+BI353</f>
        <v>0</v>
      </c>
      <c r="BJ354" s="575">
        <f t="shared" si="380"/>
        <v>0</v>
      </c>
      <c r="BK354" s="575">
        <f t="shared" si="380"/>
        <v>0</v>
      </c>
      <c r="BL354" s="575">
        <f t="shared" si="380"/>
        <v>0</v>
      </c>
      <c r="BM354" s="575">
        <f t="shared" si="380"/>
        <v>0</v>
      </c>
      <c r="BN354" s="575">
        <f t="shared" si="380"/>
        <v>0</v>
      </c>
      <c r="BO354" s="575"/>
      <c r="BP354" s="575">
        <f t="shared" si="350"/>
        <v>0</v>
      </c>
    </row>
    <row r="355" spans="2:68" ht="13.2" customHeight="1">
      <c r="B355" s="280" t="s">
        <v>2185</v>
      </c>
      <c r="G355" s="575">
        <f t="shared" ca="1" si="361"/>
        <v>-29368.75346980237</v>
      </c>
      <c r="H355" s="575">
        <f t="shared" ca="1" si="351"/>
        <v>-9207.9260869678801</v>
      </c>
      <c r="I355" s="575">
        <f t="shared" ca="1" si="352"/>
        <v>-24045.887868977494</v>
      </c>
      <c r="J355" s="575">
        <f t="shared" ca="1" si="353"/>
        <v>-13691.648216787808</v>
      </c>
      <c r="K355" s="575">
        <f t="shared" ca="1" si="354"/>
        <v>-8490.168543030979</v>
      </c>
      <c r="L355" s="575">
        <f t="shared" ca="1" si="355"/>
        <v>-8062.0130543231498</v>
      </c>
      <c r="N355" s="575">
        <f t="shared" ca="1" si="339"/>
        <v>-92866.397239889673</v>
      </c>
      <c r="O355" s="136">
        <f>ROW()</f>
        <v>355</v>
      </c>
      <c r="P355" s="575">
        <f t="shared" ref="P355:U355" ca="1" si="381">P354-P351-P348</f>
        <v>-4611.8230285645386</v>
      </c>
      <c r="Q355" s="575">
        <f t="shared" ca="1" si="381"/>
        <v>-1247.5433124844192</v>
      </c>
      <c r="R355" s="575">
        <f t="shared" ca="1" si="381"/>
        <v>-2580.8616937074107</v>
      </c>
      <c r="S355" s="575">
        <f t="shared" ca="1" si="381"/>
        <v>-819.69246231789668</v>
      </c>
      <c r="T355" s="575">
        <f t="shared" ca="1" si="381"/>
        <v>-860.93652089802299</v>
      </c>
      <c r="U355" s="575">
        <f t="shared" ca="1" si="381"/>
        <v>-695.64296066433849</v>
      </c>
      <c r="V355" s="10"/>
      <c r="W355" s="575">
        <f t="shared" ca="1" si="341"/>
        <v>-10816.499978636626</v>
      </c>
      <c r="Y355" s="575">
        <f t="shared" ref="Y355:AD355" ca="1" si="382">Y354-Y351-Y348</f>
        <v>-13583.400769610529</v>
      </c>
      <c r="Z355" s="575">
        <f t="shared" ca="1" si="382"/>
        <v>-4477.062694100754</v>
      </c>
      <c r="AA355" s="575">
        <f t="shared" ca="1" si="382"/>
        <v>-14009.522794972128</v>
      </c>
      <c r="AB355" s="575">
        <f t="shared" ca="1" si="382"/>
        <v>-8755.4247421719647</v>
      </c>
      <c r="AC355" s="575">
        <f t="shared" ca="1" si="382"/>
        <v>-4696.8253829837195</v>
      </c>
      <c r="AD355" s="575">
        <f t="shared" ca="1" si="382"/>
        <v>-4991.3216717203568</v>
      </c>
      <c r="AE355" s="575"/>
      <c r="AF355" s="575">
        <f t="shared" ca="1" si="343"/>
        <v>-50513.55805555945</v>
      </c>
      <c r="AH355" s="575">
        <f t="shared" ref="AH355:AM355" si="383">AH354-AH351-AH348</f>
        <v>-11333.245326876709</v>
      </c>
      <c r="AI355" s="575">
        <f t="shared" si="383"/>
        <v>-3557.6767012484866</v>
      </c>
      <c r="AJ355" s="575">
        <f t="shared" si="383"/>
        <v>-7713.0596915295519</v>
      </c>
      <c r="AK355" s="575">
        <f t="shared" si="383"/>
        <v>-4287.1722847594465</v>
      </c>
      <c r="AL355" s="575">
        <f t="shared" si="383"/>
        <v>-3026.8338651505223</v>
      </c>
      <c r="AM355" s="575">
        <f t="shared" si="383"/>
        <v>-2445.3940554815949</v>
      </c>
      <c r="AN355" s="575"/>
      <c r="AO355" s="575">
        <f t="shared" si="345"/>
        <v>-32363.381925046313</v>
      </c>
      <c r="AQ355" s="575">
        <f t="shared" ref="AQ355:AV355" ca="1" si="384">AQ332</f>
        <v>383.10277262190795</v>
      </c>
      <c r="AR355" s="575">
        <f t="shared" ca="1" si="384"/>
        <v>148.66869563719158</v>
      </c>
      <c r="AS355" s="575">
        <f t="shared" ca="1" si="384"/>
        <v>467.2227466663702</v>
      </c>
      <c r="AT355" s="575">
        <f t="shared" ca="1" si="384"/>
        <v>301.18922494341882</v>
      </c>
      <c r="AU355" s="575">
        <f t="shared" ca="1" si="384"/>
        <v>177.82016442508268</v>
      </c>
      <c r="AV355" s="575">
        <f t="shared" ca="1" si="384"/>
        <v>137.62121467562943</v>
      </c>
      <c r="AW355" s="575"/>
      <c r="AX355" s="575">
        <f ca="1">SUM(AQ355:AW355)</f>
        <v>1615.6248189696005</v>
      </c>
      <c r="AZ355" s="575">
        <f t="shared" ref="AZ355:BE355" ca="1" si="385">AZ354-AZ351-AZ348</f>
        <v>-186.56110270017598</v>
      </c>
      <c r="BA355" s="575">
        <f t="shared" ca="1" si="385"/>
        <v>-61.860404931622277</v>
      </c>
      <c r="BB355" s="575">
        <f t="shared" ca="1" si="385"/>
        <v>-174.81276070844558</v>
      </c>
      <c r="BC355" s="575">
        <f t="shared" ca="1" si="385"/>
        <v>-108.93286347666307</v>
      </c>
      <c r="BD355" s="575">
        <f t="shared" ca="1" si="385"/>
        <v>-69.426533480248409</v>
      </c>
      <c r="BE355" s="575">
        <f t="shared" ca="1" si="385"/>
        <v>-55.924561332032368</v>
      </c>
      <c r="BF355" s="575"/>
      <c r="BG355" s="575">
        <f t="shared" ca="1" si="348"/>
        <v>-657.51822662918767</v>
      </c>
      <c r="BI355" s="575">
        <f t="shared" ref="BI355:BN355" ca="1" si="386">BI354-BI351-BI348</f>
        <v>-36.826014672326039</v>
      </c>
      <c r="BJ355" s="575">
        <f t="shared" ca="1" si="386"/>
        <v>-12.451669839790869</v>
      </c>
      <c r="BK355" s="575">
        <f t="shared" ca="1" si="386"/>
        <v>-34.853674726332294</v>
      </c>
      <c r="BL355" s="575">
        <f t="shared" ca="1" si="386"/>
        <v>-21.61508900525665</v>
      </c>
      <c r="BM355" s="575">
        <f t="shared" ca="1" si="386"/>
        <v>-13.966404943548746</v>
      </c>
      <c r="BN355" s="575">
        <f t="shared" ca="1" si="386"/>
        <v>-11.351019800456777</v>
      </c>
      <c r="BO355" s="575"/>
      <c r="BP355" s="575">
        <f t="shared" ca="1" si="350"/>
        <v>-131.06387298771136</v>
      </c>
    </row>
    <row r="356" spans="2:68" ht="13.2" customHeight="1">
      <c r="B356" s="280" t="s">
        <v>799</v>
      </c>
      <c r="G356" s="10">
        <f t="shared" ca="1" si="361"/>
        <v>108726.19275830033</v>
      </c>
      <c r="H356" s="10">
        <f t="shared" ca="1" si="351"/>
        <v>44386.886938028867</v>
      </c>
      <c r="I356" s="10">
        <f t="shared" ca="1" si="352"/>
        <v>144437.10567982565</v>
      </c>
      <c r="J356" s="10">
        <f t="shared" ca="1" si="353"/>
        <v>94923.960219619286</v>
      </c>
      <c r="K356" s="10">
        <f t="shared" ca="1" si="354"/>
        <v>55632.72322420487</v>
      </c>
      <c r="L356" s="10">
        <f t="shared" ca="1" si="355"/>
        <v>41563.400606797899</v>
      </c>
      <c r="N356" s="617">
        <f t="shared" ca="1" si="339"/>
        <v>489670.26942677685</v>
      </c>
      <c r="O356" s="136">
        <f>ROW()</f>
        <v>356</v>
      </c>
      <c r="P356" s="575">
        <f t="shared" ref="P356:U356" ca="1" si="387">P347+P355</f>
        <v>23910.309063924113</v>
      </c>
      <c r="Q356" s="575">
        <f t="shared" ca="1" si="387"/>
        <v>8969.4737019034565</v>
      </c>
      <c r="R356" s="575">
        <f t="shared" ca="1" si="387"/>
        <v>24176.748192599811</v>
      </c>
      <c r="S356" s="575">
        <f t="shared" ca="1" si="387"/>
        <v>9529.6800892072933</v>
      </c>
      <c r="T356" s="575">
        <f t="shared" ca="1" si="387"/>
        <v>9322.7341662719737</v>
      </c>
      <c r="U356" s="575">
        <f t="shared" ca="1" si="387"/>
        <v>5609.5548074567114</v>
      </c>
      <c r="V356" s="10"/>
      <c r="W356" s="575">
        <f t="shared" ca="1" si="341"/>
        <v>81518.500021363347</v>
      </c>
      <c r="Y356" s="575">
        <f t="shared" ref="Y356:AD356" ca="1" si="388">Y347+Y355</f>
        <v>36353.844938043287</v>
      </c>
      <c r="Z356" s="575">
        <f t="shared" ca="1" si="388"/>
        <v>16948.143010282081</v>
      </c>
      <c r="AA356" s="575">
        <f t="shared" ca="1" si="388"/>
        <v>69943.502265226009</v>
      </c>
      <c r="AB356" s="575">
        <f t="shared" ca="1" si="388"/>
        <v>54679.167910392338</v>
      </c>
      <c r="AC356" s="575">
        <f t="shared" ca="1" si="388"/>
        <v>27254.83113781393</v>
      </c>
      <c r="AD356" s="575">
        <f t="shared" ca="1" si="388"/>
        <v>21311.952682682801</v>
      </c>
      <c r="AE356" s="575"/>
      <c r="AF356" s="575">
        <f t="shared" ca="1" si="343"/>
        <v>226491.44194444045</v>
      </c>
      <c r="AH356" s="575">
        <f t="shared" ref="AH356:AM356" si="389">AH347+AH355</f>
        <v>28527.005309294767</v>
      </c>
      <c r="AI356" s="575">
        <f t="shared" si="389"/>
        <v>10720.809129576897</v>
      </c>
      <c r="AJ356" s="575">
        <f t="shared" si="389"/>
        <v>25941.806281711935</v>
      </c>
      <c r="AK356" s="575">
        <f t="shared" si="389"/>
        <v>14997.434840364873</v>
      </c>
      <c r="AL356" s="575">
        <f t="shared" si="389"/>
        <v>9781.8614386748359</v>
      </c>
      <c r="AM356" s="575">
        <f t="shared" si="389"/>
        <v>7467.7010753304039</v>
      </c>
      <c r="AN356" s="575"/>
      <c r="AO356" s="575">
        <f t="shared" si="345"/>
        <v>97436.618074953716</v>
      </c>
      <c r="AQ356" s="575">
        <f t="shared" ref="AQ356:AV356" ca="1" si="390">AQ347+AQ355</f>
        <v>15796.136744398595</v>
      </c>
      <c r="AR356" s="575">
        <f t="shared" ca="1" si="390"/>
        <v>6129.9244320899988</v>
      </c>
      <c r="AS356" s="575">
        <f t="shared" ca="1" si="390"/>
        <v>19264.581005053889</v>
      </c>
      <c r="AT356" s="575">
        <f t="shared" ca="1" si="390"/>
        <v>12418.668104605633</v>
      </c>
      <c r="AU356" s="575">
        <f t="shared" ca="1" si="390"/>
        <v>7331.9010821730126</v>
      </c>
      <c r="AV356" s="575">
        <f t="shared" ca="1" si="390"/>
        <v>5674.4134506484716</v>
      </c>
      <c r="AW356" s="575"/>
      <c r="AX356" s="575">
        <f ca="1">SUM(AQ356:AW356)</f>
        <v>66615.624818969605</v>
      </c>
      <c r="AZ356" s="575">
        <f t="shared" ref="AZ356:BE356" ca="1" si="391">AZ347+AZ355</f>
        <v>2822.5373757897646</v>
      </c>
      <c r="BA356" s="575">
        <f t="shared" ca="1" si="391"/>
        <v>1105.8647534620104</v>
      </c>
      <c r="BB356" s="575">
        <f t="shared" ca="1" si="391"/>
        <v>3495.0099515829015</v>
      </c>
      <c r="BC356" s="575">
        <f t="shared" ca="1" si="391"/>
        <v>2256.7718593373907</v>
      </c>
      <c r="BD356" s="575">
        <f t="shared" ca="1" si="391"/>
        <v>1327.2701872308471</v>
      </c>
      <c r="BE356" s="575">
        <f t="shared" ca="1" si="391"/>
        <v>1025.027645967896</v>
      </c>
      <c r="BF356" s="575"/>
      <c r="BG356" s="575">
        <f t="shared" ca="1" si="348"/>
        <v>12032.48177337081</v>
      </c>
      <c r="BI356" s="575">
        <f t="shared" ref="BI356:BN356" ca="1" si="392">BI347+BI355</f>
        <v>1316.3593268498119</v>
      </c>
      <c r="BJ356" s="575">
        <f t="shared" ca="1" si="392"/>
        <v>512.67191071442494</v>
      </c>
      <c r="BK356" s="575">
        <f t="shared" ca="1" si="392"/>
        <v>1615.4579836510745</v>
      </c>
      <c r="BL356" s="575">
        <f t="shared" ca="1" si="392"/>
        <v>1042.2374157117542</v>
      </c>
      <c r="BM356" s="575">
        <f t="shared" ca="1" si="392"/>
        <v>614.12521204026962</v>
      </c>
      <c r="BN356" s="575">
        <f t="shared" ca="1" si="392"/>
        <v>474.75094471162049</v>
      </c>
      <c r="BO356" s="575"/>
      <c r="BP356" s="575">
        <f t="shared" ca="1" si="350"/>
        <v>5575.602793678956</v>
      </c>
    </row>
    <row r="357" spans="2:68" s="1122" customFormat="1" ht="13.2" customHeight="1">
      <c r="B357" s="1123" t="s">
        <v>800</v>
      </c>
      <c r="G357" s="1122">
        <f t="shared" ref="G357:L357" ca="1" si="393">G356/G118</f>
        <v>10872.619275830033</v>
      </c>
      <c r="H357" s="1122">
        <f t="shared" ca="1" si="393"/>
        <v>22193.443469014434</v>
      </c>
      <c r="I357" s="1122">
        <f t="shared" ca="1" si="393"/>
        <v>28887.421135965131</v>
      </c>
      <c r="J357" s="1122">
        <f t="shared" ca="1" si="393"/>
        <v>31641.320073206429</v>
      </c>
      <c r="K357" s="1122">
        <f t="shared" ca="1" si="393"/>
        <v>27816.361612102435</v>
      </c>
      <c r="L357" s="1122">
        <f t="shared" ca="1" si="393"/>
        <v>20781.700303398949</v>
      </c>
      <c r="N357" s="1124"/>
      <c r="O357" s="136">
        <f>ROW()</f>
        <v>357</v>
      </c>
      <c r="P357" s="575">
        <f t="shared" ref="P357:U357" ca="1" si="394">P356/P118</f>
        <v>2391.0309063924115</v>
      </c>
      <c r="Q357" s="575">
        <f t="shared" ca="1" si="394"/>
        <v>4484.7368509517282</v>
      </c>
      <c r="R357" s="575">
        <f t="shared" ca="1" si="394"/>
        <v>4835.3496385199624</v>
      </c>
      <c r="S357" s="575">
        <f t="shared" ca="1" si="394"/>
        <v>3176.5600297357646</v>
      </c>
      <c r="T357" s="575">
        <f t="shared" ca="1" si="394"/>
        <v>4661.3670831359868</v>
      </c>
      <c r="U357" s="575">
        <f t="shared" ca="1" si="394"/>
        <v>2804.7774037283557</v>
      </c>
      <c r="Y357" s="1122">
        <f t="shared" ref="Y357:AD357" ca="1" si="395">Y356/Y118</f>
        <v>3635.3844938043285</v>
      </c>
      <c r="Z357" s="1122">
        <f t="shared" ca="1" si="395"/>
        <v>8474.0715051410407</v>
      </c>
      <c r="AA357" s="1122">
        <f t="shared" ca="1" si="395"/>
        <v>13988.700453045201</v>
      </c>
      <c r="AB357" s="1122">
        <f t="shared" ca="1" si="395"/>
        <v>18226.389303464111</v>
      </c>
      <c r="AC357" s="1122">
        <f t="shared" ca="1" si="395"/>
        <v>13627.415568906965</v>
      </c>
      <c r="AD357" s="1122">
        <f t="shared" ca="1" si="395"/>
        <v>10655.9763413414</v>
      </c>
      <c r="AH357" s="1122">
        <f t="shared" ref="AH357:AM357" si="396">AH356/AH118</f>
        <v>2852.7005309294768</v>
      </c>
      <c r="AI357" s="1122">
        <f t="shared" si="396"/>
        <v>5360.4045647884486</v>
      </c>
      <c r="AJ357" s="1122">
        <f t="shared" si="396"/>
        <v>5188.3612563423867</v>
      </c>
      <c r="AK357" s="1122">
        <f t="shared" si="396"/>
        <v>4999.1449467882912</v>
      </c>
      <c r="AL357" s="1122">
        <f t="shared" si="396"/>
        <v>4890.9307193374179</v>
      </c>
      <c r="AM357" s="1122">
        <f t="shared" si="396"/>
        <v>3733.850537665202</v>
      </c>
      <c r="AQ357" s="1698">
        <f t="shared" ref="AQ357:AV357" ca="1" si="397">AQ356/AQ118</f>
        <v>1579.6136744398596</v>
      </c>
      <c r="AR357" s="1698">
        <f t="shared" ca="1" si="397"/>
        <v>3064.9622160449994</v>
      </c>
      <c r="AS357" s="1698">
        <f t="shared" ca="1" si="397"/>
        <v>3852.916201010778</v>
      </c>
      <c r="AT357" s="1698">
        <f t="shared" ca="1" si="397"/>
        <v>4139.556034868544</v>
      </c>
      <c r="AU357" s="1698">
        <f t="shared" ca="1" si="397"/>
        <v>3665.9505410865063</v>
      </c>
      <c r="AV357" s="1698">
        <f t="shared" ca="1" si="397"/>
        <v>2837.2067253242358</v>
      </c>
      <c r="AW357" s="1698"/>
      <c r="AX357" s="1698"/>
      <c r="AZ357" s="1122">
        <f t="shared" ref="AZ357:BE357" ca="1" si="398">AZ356/AZ118</f>
        <v>282.25373757897648</v>
      </c>
      <c r="BA357" s="1122">
        <f t="shared" ca="1" si="398"/>
        <v>552.93237673100521</v>
      </c>
      <c r="BB357" s="1122">
        <f t="shared" ca="1" si="398"/>
        <v>699.0019903165803</v>
      </c>
      <c r="BC357" s="1122">
        <f t="shared" ca="1" si="398"/>
        <v>752.25728644579692</v>
      </c>
      <c r="BD357" s="1122">
        <f t="shared" ca="1" si="398"/>
        <v>663.63509361542356</v>
      </c>
      <c r="BE357" s="1122">
        <f t="shared" ca="1" si="398"/>
        <v>512.51382298394799</v>
      </c>
      <c r="BI357" s="1122">
        <f t="shared" ref="BI357:BN357" ca="1" si="399">BI356/BI118</f>
        <v>131.63593268498119</v>
      </c>
      <c r="BJ357" s="1122">
        <f t="shared" ca="1" si="399"/>
        <v>256.33595535721247</v>
      </c>
      <c r="BK357" s="1122">
        <f t="shared" ca="1" si="399"/>
        <v>323.09159673021492</v>
      </c>
      <c r="BL357" s="1122">
        <f t="shared" ca="1" si="399"/>
        <v>347.41247190391806</v>
      </c>
      <c r="BM357" s="1122">
        <f t="shared" ca="1" si="399"/>
        <v>307.06260602013481</v>
      </c>
      <c r="BN357" s="1122">
        <f t="shared" ca="1" si="399"/>
        <v>237.37547235581025</v>
      </c>
    </row>
    <row r="358" spans="2:68" ht="13.2" customHeight="1">
      <c r="B358" s="280"/>
      <c r="G358" s="928"/>
      <c r="H358" s="928"/>
      <c r="I358" s="928"/>
      <c r="J358" s="928"/>
      <c r="K358" s="928"/>
      <c r="L358" s="928"/>
      <c r="M358" s="928"/>
      <c r="N358" s="928"/>
      <c r="O358" s="136">
        <f>ROW()</f>
        <v>358</v>
      </c>
      <c r="P358" s="930"/>
      <c r="Q358" s="930"/>
      <c r="R358" s="930"/>
      <c r="S358" s="930"/>
      <c r="T358" s="930"/>
      <c r="U358" s="930"/>
      <c r="V358" s="930"/>
      <c r="W358" s="930"/>
      <c r="Y358" s="930"/>
      <c r="Z358" s="930"/>
      <c r="AA358" s="930"/>
      <c r="AB358" s="930"/>
      <c r="AC358" s="930"/>
      <c r="AD358" s="930"/>
      <c r="AE358" s="930"/>
      <c r="AF358" s="930"/>
      <c r="AH358" s="930"/>
      <c r="AI358" s="930"/>
      <c r="AJ358" s="930"/>
      <c r="AK358" s="930"/>
      <c r="AL358" s="930"/>
      <c r="AM358" s="930"/>
      <c r="AN358" s="930"/>
      <c r="AO358" s="930"/>
      <c r="AQ358" s="12"/>
      <c r="AR358" s="12"/>
      <c r="AS358" s="12"/>
      <c r="AT358" s="12"/>
      <c r="AU358" s="12"/>
      <c r="AV358" s="12"/>
      <c r="AW358" s="12"/>
      <c r="AX358" s="12"/>
      <c r="AZ358" s="930"/>
      <c r="BA358" s="930"/>
      <c r="BB358" s="930"/>
      <c r="BC358" s="930"/>
      <c r="BD358" s="930"/>
      <c r="BE358" s="930"/>
      <c r="BF358" s="930"/>
      <c r="BG358" s="930"/>
      <c r="BI358" s="930"/>
      <c r="BJ358" s="930"/>
      <c r="BK358" s="930"/>
      <c r="BL358" s="930"/>
      <c r="BM358" s="930"/>
      <c r="BN358" s="930"/>
      <c r="BO358" s="930"/>
      <c r="BP358" s="930"/>
    </row>
    <row r="359" spans="2:68" ht="13.2" customHeight="1">
      <c r="B359" s="6" t="s">
        <v>2219</v>
      </c>
      <c r="G359" s="933"/>
      <c r="H359" s="928"/>
      <c r="I359" s="928"/>
      <c r="J359" s="928"/>
      <c r="K359" s="928"/>
      <c r="L359" s="928"/>
      <c r="M359" s="928"/>
      <c r="N359" s="928"/>
      <c r="O359" s="136">
        <f>ROW()</f>
        <v>359</v>
      </c>
      <c r="P359" s="930"/>
      <c r="Q359" s="930"/>
      <c r="R359" s="930"/>
      <c r="S359" s="930"/>
      <c r="T359" s="930"/>
      <c r="U359" s="930"/>
      <c r="V359" s="930"/>
      <c r="W359" s="930"/>
      <c r="Y359" s="930"/>
      <c r="Z359" s="930"/>
      <c r="AA359" s="930"/>
      <c r="AB359" s="930"/>
      <c r="AC359" s="930"/>
      <c r="AD359" s="930"/>
      <c r="AE359" s="930"/>
      <c r="AF359" s="930"/>
      <c r="AH359" s="930"/>
      <c r="AI359" s="930"/>
      <c r="AJ359" s="930"/>
      <c r="AK359" s="930"/>
      <c r="AL359" s="930"/>
      <c r="AM359" s="930"/>
      <c r="AN359" s="930"/>
      <c r="AO359" s="930"/>
      <c r="AQ359" s="12"/>
      <c r="AR359" s="12"/>
      <c r="AS359" s="12"/>
      <c r="AT359" s="12"/>
      <c r="AU359" s="12"/>
      <c r="AV359" s="12"/>
      <c r="AW359" s="12"/>
      <c r="AX359" s="12"/>
      <c r="AZ359" s="930"/>
      <c r="BA359" s="930"/>
      <c r="BB359" s="930"/>
      <c r="BC359" s="930"/>
      <c r="BD359" s="930"/>
      <c r="BE359" s="930"/>
      <c r="BF359" s="930"/>
      <c r="BG359" s="930"/>
      <c r="BI359" s="930"/>
      <c r="BJ359" s="930"/>
      <c r="BK359" s="930"/>
      <c r="BL359" s="930"/>
      <c r="BM359" s="930"/>
      <c r="BN359" s="930"/>
      <c r="BO359" s="930"/>
      <c r="BP359" s="930"/>
    </row>
    <row r="360" spans="2:68" ht="13.2" customHeight="1">
      <c r="B360" s="4350" t="s">
        <v>4491</v>
      </c>
      <c r="C360" s="4351"/>
      <c r="D360" s="4351"/>
      <c r="E360" s="4351"/>
      <c r="F360" s="4351"/>
      <c r="G360" s="4351"/>
      <c r="H360" s="4351"/>
      <c r="I360" s="4351"/>
      <c r="J360" s="4351"/>
      <c r="K360" s="4351"/>
      <c r="L360" s="4352"/>
      <c r="M360" s="928"/>
      <c r="N360" s="928"/>
      <c r="O360" s="136">
        <f>ROW()</f>
        <v>360</v>
      </c>
      <c r="P360" s="930"/>
      <c r="Q360" s="930"/>
      <c r="R360" s="930"/>
      <c r="S360" s="930"/>
      <c r="T360" s="930"/>
      <c r="U360" s="930"/>
      <c r="V360" s="930"/>
      <c r="W360" s="930"/>
      <c r="Y360" s="930"/>
      <c r="Z360" s="930"/>
      <c r="AA360" s="930"/>
      <c r="AB360" s="930"/>
      <c r="AC360" s="930"/>
      <c r="AD360" s="930"/>
      <c r="AE360" s="930"/>
      <c r="AF360" s="930"/>
      <c r="AH360" s="930"/>
      <c r="AI360" s="930"/>
      <c r="AJ360" s="930"/>
      <c r="AK360" s="930"/>
      <c r="AL360" s="930"/>
      <c r="AM360" s="930"/>
      <c r="AN360" s="930"/>
      <c r="AO360" s="930"/>
      <c r="AQ360" s="12"/>
      <c r="AR360" s="12"/>
      <c r="AS360" s="12"/>
      <c r="AT360" s="12"/>
      <c r="AU360" s="12"/>
      <c r="AV360" s="12"/>
      <c r="AW360" s="12"/>
      <c r="AX360" s="12"/>
      <c r="AZ360" s="930"/>
      <c r="BA360" s="930"/>
      <c r="BB360" s="930"/>
      <c r="BC360" s="930"/>
      <c r="BD360" s="930"/>
      <c r="BE360" s="930"/>
      <c r="BF360" s="930"/>
      <c r="BG360" s="930"/>
      <c r="BI360" s="930"/>
      <c r="BJ360" s="930"/>
      <c r="BK360" s="930"/>
      <c r="BL360" s="930"/>
      <c r="BM360" s="930"/>
      <c r="BN360" s="930"/>
      <c r="BO360" s="930"/>
      <c r="BP360" s="930"/>
    </row>
    <row r="361" spans="2:68" ht="13.2" customHeight="1">
      <c r="B361" s="4353"/>
      <c r="C361" s="4354"/>
      <c r="D361" s="4354"/>
      <c r="E361" s="4354"/>
      <c r="F361" s="4354"/>
      <c r="G361" s="4354"/>
      <c r="H361" s="4354"/>
      <c r="I361" s="4354"/>
      <c r="J361" s="4354"/>
      <c r="K361" s="4354"/>
      <c r="L361" s="4355"/>
      <c r="M361" s="928"/>
      <c r="N361" s="928"/>
      <c r="O361" s="136">
        <f>ROW()</f>
        <v>361</v>
      </c>
      <c r="P361" s="930"/>
      <c r="Q361" s="930"/>
      <c r="R361" s="930"/>
      <c r="S361" s="930"/>
      <c r="T361" s="930"/>
      <c r="U361" s="930"/>
      <c r="V361" s="930"/>
      <c r="W361" s="930"/>
      <c r="Y361" s="930"/>
      <c r="Z361" s="930"/>
      <c r="AA361" s="930"/>
      <c r="AB361" s="930"/>
      <c r="AC361" s="930"/>
      <c r="AD361" s="930"/>
      <c r="AE361" s="930"/>
      <c r="AF361" s="930"/>
      <c r="AH361" s="930"/>
      <c r="AI361" s="930"/>
      <c r="AJ361" s="930"/>
      <c r="AK361" s="930"/>
      <c r="AL361" s="930"/>
      <c r="AM361" s="930"/>
      <c r="AN361" s="930"/>
      <c r="AO361" s="930"/>
      <c r="AQ361" s="12"/>
      <c r="AR361" s="12"/>
      <c r="AS361" s="12"/>
      <c r="AT361" s="12"/>
      <c r="AU361" s="12"/>
      <c r="AV361" s="12"/>
      <c r="AW361" s="12"/>
      <c r="AX361" s="12"/>
      <c r="AZ361" s="930"/>
      <c r="BA361" s="930"/>
      <c r="BB361" s="930"/>
      <c r="BC361" s="930"/>
      <c r="BD361" s="930"/>
      <c r="BE361" s="930"/>
      <c r="BF361" s="930"/>
      <c r="BG361" s="930"/>
      <c r="BI361" s="930"/>
      <c r="BJ361" s="930"/>
      <c r="BK361" s="930"/>
      <c r="BL361" s="930"/>
      <c r="BM361" s="930"/>
      <c r="BN361" s="930"/>
      <c r="BO361" s="930"/>
      <c r="BP361" s="930"/>
    </row>
    <row r="362" spans="2:68" ht="13.2" customHeight="1">
      <c r="B362" s="4356"/>
      <c r="C362" s="4357"/>
      <c r="D362" s="4357"/>
      <c r="E362" s="4357"/>
      <c r="F362" s="4357"/>
      <c r="G362" s="4357"/>
      <c r="H362" s="4357"/>
      <c r="I362" s="4357"/>
      <c r="J362" s="4357"/>
      <c r="K362" s="4357"/>
      <c r="L362" s="4358"/>
      <c r="M362" s="928"/>
      <c r="N362" s="928"/>
      <c r="O362" s="136">
        <f>ROW()</f>
        <v>362</v>
      </c>
      <c r="P362" s="930"/>
      <c r="Q362" s="930"/>
      <c r="R362" s="930"/>
      <c r="S362" s="930"/>
      <c r="T362" s="930"/>
      <c r="U362" s="930"/>
      <c r="V362" s="930"/>
      <c r="W362" s="930"/>
      <c r="Y362" s="930"/>
      <c r="Z362" s="930"/>
      <c r="AA362" s="930"/>
      <c r="AB362" s="930"/>
      <c r="AC362" s="930"/>
      <c r="AD362" s="930"/>
      <c r="AE362" s="930"/>
      <c r="AF362" s="930"/>
      <c r="AH362" s="930"/>
      <c r="AI362" s="930"/>
      <c r="AJ362" s="930"/>
      <c r="AK362" s="930"/>
      <c r="AL362" s="930"/>
      <c r="AM362" s="930"/>
      <c r="AN362" s="930"/>
      <c r="AO362" s="930"/>
      <c r="AQ362" s="12"/>
      <c r="AR362" s="12"/>
      <c r="AS362" s="12"/>
      <c r="AT362" s="12"/>
      <c r="AU362" s="12"/>
      <c r="AV362" s="12"/>
      <c r="AW362" s="12"/>
      <c r="AX362" s="12"/>
      <c r="AZ362" s="930"/>
      <c r="BA362" s="930"/>
      <c r="BB362" s="930"/>
      <c r="BC362" s="930"/>
      <c r="BD362" s="930"/>
      <c r="BE362" s="930"/>
      <c r="BF362" s="930"/>
      <c r="BG362" s="930"/>
      <c r="BI362" s="930"/>
      <c r="BJ362" s="930"/>
      <c r="BK362" s="930"/>
      <c r="BL362" s="930"/>
      <c r="BM362" s="930"/>
      <c r="BN362" s="930"/>
      <c r="BO362" s="930"/>
      <c r="BP362" s="930"/>
    </row>
    <row r="363" spans="2:68" ht="13.2" customHeight="1">
      <c r="B363" s="280" t="s">
        <v>1907</v>
      </c>
      <c r="G363" s="10">
        <f>'Motor Vs'!G363+'Motor Vs'!G364</f>
        <v>924.7122281385324</v>
      </c>
      <c r="H363" s="10">
        <f>'Motor Vs'!H363+'Motor Vs'!H364</f>
        <v>1069.5158956865093</v>
      </c>
      <c r="I363" s="10">
        <f>'Motor Vs'!I363+'Motor Vs'!I364</f>
        <v>26305.096880442856</v>
      </c>
      <c r="J363" s="10">
        <f>'Motor Vs'!J363+'Motor Vs'!J364</f>
        <v>8256.021934104725</v>
      </c>
      <c r="K363" s="10">
        <f>'Motor Vs'!K363+'Motor Vs'!K364</f>
        <v>10350.571121316278</v>
      </c>
      <c r="L363" s="10">
        <f>'Motor Vs'!L363+'Motor Vs'!L364</f>
        <v>15156.530690586409</v>
      </c>
      <c r="N363" s="10">
        <f>SUM(G363:M363)</f>
        <v>62062.448750275318</v>
      </c>
      <c r="O363" s="136">
        <f>ROW()</f>
        <v>363</v>
      </c>
      <c r="P363" s="10">
        <f ca="1">$W$363*('Weekend Hours'!T54+SUM('Weekend Hours'!T31:T35))</f>
        <v>620.02464578805677</v>
      </c>
      <c r="Q363" s="10">
        <f ca="1">$W$363*'Weekend Hours'!T36</f>
        <v>81.978060852075302</v>
      </c>
      <c r="R363" s="10">
        <f ca="1">$W$363*SUM('Weekend Hours'!T37:T39)</f>
        <v>399.73140797472155</v>
      </c>
      <c r="S363" s="10">
        <f ca="1">$W$363*'Weekend Hours'!T40</f>
        <v>169.77162943670871</v>
      </c>
      <c r="T363" s="10">
        <f ca="1">$W$363*SUM('Weekend Hours'!T41:T44)</f>
        <v>838.2970312214062</v>
      </c>
      <c r="U363" s="10">
        <f ca="1">$W$363*SUM('Weekend Hours'!T45:T50)</f>
        <v>1081.7227298273763</v>
      </c>
      <c r="V363" s="10"/>
      <c r="W363" s="10">
        <f ca="1">$N$365*($I76/($I76+$J76+$K76))</f>
        <v>3746.1969970528703</v>
      </c>
      <c r="Y363" s="10">
        <f ca="1">$AF$363*('Weekend Hours'!U54+SUM('Weekend Hours'!U31:U35))</f>
        <v>1362.286184205884</v>
      </c>
      <c r="Z363" s="10">
        <f ca="1">$AF$363*'Weekend Hours'!U36</f>
        <v>143.52919179156245</v>
      </c>
      <c r="AA363" s="10">
        <f ca="1">$AF$363*SUM('Weekend Hours'!U37:U39)</f>
        <v>699.85951514322369</v>
      </c>
      <c r="AB363" s="10">
        <f ca="1">$AF$363*'Weekend Hours'!U40</f>
        <v>297.24031660320213</v>
      </c>
      <c r="AC363" s="10">
        <f ca="1">$AF$363*SUM('Weekend Hours'!U41:U44)</f>
        <v>2198.8671387842132</v>
      </c>
      <c r="AD363" s="10">
        <f ca="1">$AF$363*SUM('Weekend Hours'!U45:U50)</f>
        <v>4650.1726852188867</v>
      </c>
      <c r="AF363" s="10">
        <f ca="1">$N$365*($J76/($I76+$J76+$K76))</f>
        <v>11238.590991158611</v>
      </c>
      <c r="AH363" s="10">
        <f ca="1">$AO$363*('Weekend Hours'!V54+SUM('Weekend Hours'!V31:V35))</f>
        <v>886.46594146033567</v>
      </c>
      <c r="AI363" s="10">
        <f ca="1">$AO$363*'Weekend Hours'!V36</f>
        <v>114.56598131005728</v>
      </c>
      <c r="AJ363" s="10">
        <f ca="1">$AO$363*SUM('Weekend Hours'!V37:V39)</f>
        <v>558.63264560149094</v>
      </c>
      <c r="AK363" s="10">
        <f ca="1">$AO$363*'Weekend Hours'!V40</f>
        <v>237.2592511076889</v>
      </c>
      <c r="AL363" s="10">
        <f ca="1">$AO$363*SUM('Weekend Hours'!V41:V44)</f>
        <v>1112.3135808166674</v>
      </c>
      <c r="AM363" s="10">
        <f ca="1">$AO$363*SUM('Weekend Hours'!V45:V50)</f>
        <v>1614.8398917404265</v>
      </c>
      <c r="AN363" s="10"/>
      <c r="AO363" s="10">
        <f ca="1">$N$365*($K76/($I76+$J76+$K76))</f>
        <v>5266.2194207772009</v>
      </c>
      <c r="AQ363" s="4390" t="str">
        <f>CONCATENATE("We have eliminated these entries for medallion taxis, since changes in taxi entries into the CBD due to taxi users' attraction to subways are accounted for above, in Rows ",O318, " and ",O332, ".")</f>
        <v>We have eliminated these entries for medallion taxis, since changes in taxi entries into the CBD due to taxi users' attraction to subways are accounted for above, in Rows 318 and 332.</v>
      </c>
      <c r="AR363" s="4391"/>
      <c r="AS363" s="4391"/>
      <c r="AT363" s="4391"/>
      <c r="AU363" s="4391"/>
      <c r="AV363" s="4391"/>
      <c r="AW363" s="4391"/>
      <c r="AX363" s="4392"/>
      <c r="AZ363" s="930"/>
      <c r="BA363" s="930"/>
      <c r="BB363" s="930"/>
      <c r="BC363" s="930"/>
      <c r="BD363" s="930"/>
      <c r="BE363" s="930"/>
      <c r="BF363" s="930"/>
      <c r="BG363" s="930"/>
      <c r="BI363" s="930"/>
      <c r="BJ363" s="930"/>
      <c r="BK363" s="930"/>
      <c r="BL363" s="930"/>
      <c r="BM363" s="930"/>
      <c r="BN363" s="930"/>
      <c r="BO363" s="930"/>
      <c r="BP363" s="930"/>
    </row>
    <row r="364" spans="2:68" ht="13.2" customHeight="1">
      <c r="B364" s="308" t="s">
        <v>1906</v>
      </c>
      <c r="G364" s="163">
        <f ca="1">Subways!N564</f>
        <v>0.32630048953553176</v>
      </c>
      <c r="N364" s="10"/>
      <c r="O364" s="136">
        <f>ROW()</f>
        <v>364</v>
      </c>
      <c r="P364" s="930"/>
      <c r="Q364" s="930"/>
      <c r="R364" s="930"/>
      <c r="S364" s="930"/>
      <c r="T364" s="930"/>
      <c r="U364" s="930"/>
      <c r="V364" s="930"/>
      <c r="W364" s="930"/>
      <c r="Y364" s="10"/>
      <c r="Z364" s="10"/>
      <c r="AA364" s="10"/>
      <c r="AB364" s="10"/>
      <c r="AC364" s="10"/>
      <c r="AD364" s="10"/>
      <c r="AE364" s="10"/>
      <c r="AF364" s="10"/>
      <c r="AH364" s="10"/>
      <c r="AI364" s="10"/>
      <c r="AJ364" s="10"/>
      <c r="AK364" s="10"/>
      <c r="AL364" s="10"/>
      <c r="AM364" s="10"/>
      <c r="AN364" s="10"/>
      <c r="AO364" s="10"/>
      <c r="AQ364" s="4393"/>
      <c r="AR364" s="4394"/>
      <c r="AS364" s="4394"/>
      <c r="AT364" s="4394"/>
      <c r="AU364" s="4394"/>
      <c r="AV364" s="4394"/>
      <c r="AW364" s="4394"/>
      <c r="AX364" s="4395"/>
      <c r="AZ364" s="930"/>
      <c r="BA364" s="930"/>
      <c r="BB364" s="930"/>
      <c r="BC364" s="930"/>
      <c r="BD364" s="930"/>
      <c r="BE364" s="930"/>
      <c r="BF364" s="930"/>
      <c r="BG364" s="930"/>
      <c r="BI364" s="930"/>
      <c r="BJ364" s="930"/>
      <c r="BK364" s="930"/>
      <c r="BL364" s="930"/>
      <c r="BM364" s="930"/>
      <c r="BN364" s="930"/>
      <c r="BO364" s="930"/>
      <c r="BP364" s="930"/>
    </row>
    <row r="365" spans="2:68" ht="13.2" customHeight="1">
      <c r="B365" s="280" t="s">
        <v>1908</v>
      </c>
      <c r="G365" s="10">
        <f t="shared" ref="G365:L365" ca="1" si="400">$G$364*G363</f>
        <v>301.73405272109545</v>
      </c>
      <c r="H365" s="10">
        <f t="shared" ca="1" si="400"/>
        <v>348.9835603285407</v>
      </c>
      <c r="I365" s="10">
        <f t="shared" ca="1" si="400"/>
        <v>8583.3659893680924</v>
      </c>
      <c r="J365" s="10">
        <f t="shared" ca="1" si="400"/>
        <v>2693.9439987144597</v>
      </c>
      <c r="K365" s="10">
        <f t="shared" ca="1" si="400"/>
        <v>3377.3964238578392</v>
      </c>
      <c r="L365" s="10">
        <f t="shared" ca="1" si="400"/>
        <v>4945.5833839986562</v>
      </c>
      <c r="N365" s="10">
        <f ca="1">SUM(G365:M365)</f>
        <v>20251.007408988684</v>
      </c>
      <c r="O365" s="136">
        <f>ROW()</f>
        <v>365</v>
      </c>
      <c r="P365" s="930"/>
      <c r="Q365" s="930"/>
      <c r="R365" s="930"/>
      <c r="S365" s="930"/>
      <c r="T365" s="930"/>
      <c r="U365" s="930"/>
      <c r="V365" s="930"/>
      <c r="W365" s="930"/>
      <c r="Y365" s="10"/>
      <c r="Z365" s="10"/>
      <c r="AA365" s="10"/>
      <c r="AB365" s="10"/>
      <c r="AC365" s="10"/>
      <c r="AD365" s="10"/>
      <c r="AE365" s="10"/>
      <c r="AF365" s="10"/>
      <c r="AH365" s="10"/>
      <c r="AI365" s="10"/>
      <c r="AJ365" s="10"/>
      <c r="AK365" s="10"/>
      <c r="AL365" s="10"/>
      <c r="AM365" s="10"/>
      <c r="AN365" s="10"/>
      <c r="AO365" s="10"/>
      <c r="AQ365" s="12"/>
      <c r="AR365" s="12"/>
      <c r="AS365" s="12"/>
      <c r="AT365" s="12"/>
      <c r="AU365" s="12"/>
      <c r="AV365" s="12"/>
      <c r="AW365" s="12"/>
      <c r="AX365" s="12"/>
      <c r="AZ365" s="930"/>
      <c r="BA365" s="930"/>
      <c r="BB365" s="930"/>
      <c r="BC365" s="930"/>
      <c r="BD365" s="930"/>
      <c r="BE365" s="930"/>
      <c r="BF365" s="930"/>
      <c r="BG365" s="930"/>
      <c r="BI365" s="930"/>
      <c r="BJ365" s="930"/>
      <c r="BK365" s="930"/>
      <c r="BL365" s="930"/>
      <c r="BM365" s="930"/>
      <c r="BN365" s="930"/>
      <c r="BO365" s="930"/>
      <c r="BP365" s="930"/>
    </row>
    <row r="366" spans="2:68" s="1122" customFormat="1" ht="13.2" customHeight="1">
      <c r="B366" s="1123" t="s">
        <v>2186</v>
      </c>
      <c r="G366" s="1122">
        <f t="shared" ref="G366:L366" ca="1" si="401">P366+Y366+AH366+AQ366+AZ366+BI366</f>
        <v>-32237.530241256645</v>
      </c>
      <c r="H366" s="1122">
        <f t="shared" ca="1" si="401"/>
        <v>-9547.9993209215754</v>
      </c>
      <c r="I366" s="1122">
        <f t="shared" ca="1" si="401"/>
        <v>-25704.111437696934</v>
      </c>
      <c r="J366" s="1122">
        <f t="shared" ca="1" si="401"/>
        <v>-14395.919413935408</v>
      </c>
      <c r="K366" s="1122">
        <f t="shared" ca="1" si="401"/>
        <v>-12639.646293853266</v>
      </c>
      <c r="L366" s="1122">
        <f t="shared" ca="1" si="401"/>
        <v>-15408.74836110984</v>
      </c>
      <c r="N366" s="1122">
        <f ca="1">SUM(G366:M366)</f>
        <v>-109933.95506877366</v>
      </c>
      <c r="O366" s="136">
        <f>ROW()</f>
        <v>366</v>
      </c>
      <c r="P366" s="1122">
        <f t="shared" ref="P366:U366" ca="1" si="402">P355-P363</f>
        <v>-5231.8476743525953</v>
      </c>
      <c r="Q366" s="1122">
        <f t="shared" ca="1" si="402"/>
        <v>-1329.5213733364944</v>
      </c>
      <c r="R366" s="1122">
        <f t="shared" ca="1" si="402"/>
        <v>-2980.5931016821323</v>
      </c>
      <c r="S366" s="1122">
        <f t="shared" ca="1" si="402"/>
        <v>-989.46409175460542</v>
      </c>
      <c r="T366" s="1122">
        <f t="shared" ca="1" si="402"/>
        <v>-1699.2335521194291</v>
      </c>
      <c r="U366" s="1122">
        <f t="shared" ca="1" si="402"/>
        <v>-1777.3656904917148</v>
      </c>
      <c r="W366" s="1122">
        <f ca="1">SUM(P366:V366)</f>
        <v>-14008.025483736972</v>
      </c>
      <c r="Y366" s="1122">
        <f t="shared" ref="Y366:AD366" ca="1" si="403">Y355-Y363</f>
        <v>-14945.686953816414</v>
      </c>
      <c r="Z366" s="1122">
        <f t="shared" ca="1" si="403"/>
        <v>-4620.5918858923169</v>
      </c>
      <c r="AA366" s="1122">
        <f t="shared" ca="1" si="403"/>
        <v>-14709.382310115352</v>
      </c>
      <c r="AB366" s="1122">
        <f t="shared" ca="1" si="403"/>
        <v>-9052.6650587751665</v>
      </c>
      <c r="AC366" s="1122">
        <f t="shared" ca="1" si="403"/>
        <v>-6895.6925217679327</v>
      </c>
      <c r="AD366" s="1122">
        <f t="shared" ca="1" si="403"/>
        <v>-9641.4943569392435</v>
      </c>
      <c r="AF366" s="1122">
        <f ca="1">SUM(Y366:AE366)</f>
        <v>-59865.513087306419</v>
      </c>
      <c r="AH366" s="1122">
        <f t="shared" ref="AH366:AM366" ca="1" si="404">AH355-AH363-AH364</f>
        <v>-12219.711268337045</v>
      </c>
      <c r="AI366" s="1122">
        <f t="shared" ca="1" si="404"/>
        <v>-3672.2426825585439</v>
      </c>
      <c r="AJ366" s="1122">
        <f t="shared" ca="1" si="404"/>
        <v>-8271.6923371310422</v>
      </c>
      <c r="AK366" s="1122">
        <f t="shared" ca="1" si="404"/>
        <v>-4524.4315358671356</v>
      </c>
      <c r="AL366" s="1122">
        <f t="shared" ca="1" si="404"/>
        <v>-4139.1474459671899</v>
      </c>
      <c r="AM366" s="1122">
        <f t="shared" ca="1" si="404"/>
        <v>-4060.2339472220215</v>
      </c>
      <c r="AO366" s="1122">
        <f ca="1">SUM(AH366:AN366)</f>
        <v>-36887.459217082978</v>
      </c>
      <c r="AQ366" s="575">
        <f t="shared" ref="AQ366:AV366" ca="1" si="405">AQ355</f>
        <v>383.10277262190795</v>
      </c>
      <c r="AR366" s="575">
        <f t="shared" ca="1" si="405"/>
        <v>148.66869563719158</v>
      </c>
      <c r="AS366" s="575">
        <f t="shared" ca="1" si="405"/>
        <v>467.2227466663702</v>
      </c>
      <c r="AT366" s="575">
        <f t="shared" ca="1" si="405"/>
        <v>301.18922494341882</v>
      </c>
      <c r="AU366" s="575">
        <f t="shared" ca="1" si="405"/>
        <v>177.82016442508268</v>
      </c>
      <c r="AV366" s="575">
        <f t="shared" ca="1" si="405"/>
        <v>137.62121467562943</v>
      </c>
      <c r="AW366" s="575"/>
      <c r="AX366" s="1122">
        <f ca="1">SUM(AQ366:AW366)</f>
        <v>1615.6248189696005</v>
      </c>
      <c r="AZ366" s="1122">
        <f t="shared" ref="AZ366:BE366" ca="1" si="406">AZ355-AZ363-AZ364</f>
        <v>-186.56110270017598</v>
      </c>
      <c r="BA366" s="1122">
        <f t="shared" ca="1" si="406"/>
        <v>-61.860404931622277</v>
      </c>
      <c r="BB366" s="1122">
        <f t="shared" ca="1" si="406"/>
        <v>-174.81276070844558</v>
      </c>
      <c r="BC366" s="1122">
        <f t="shared" ca="1" si="406"/>
        <v>-108.93286347666307</v>
      </c>
      <c r="BD366" s="1122">
        <f t="shared" ca="1" si="406"/>
        <v>-69.426533480248409</v>
      </c>
      <c r="BE366" s="1122">
        <f t="shared" ca="1" si="406"/>
        <v>-55.924561332032368</v>
      </c>
      <c r="BG366" s="1122">
        <f ca="1">SUM(AZ366:BF366)</f>
        <v>-657.51822662918767</v>
      </c>
      <c r="BI366" s="1122">
        <f t="shared" ref="BI366:BN366" ca="1" si="407">BI355-BI363-BI364</f>
        <v>-36.826014672326039</v>
      </c>
      <c r="BJ366" s="1122">
        <f t="shared" ca="1" si="407"/>
        <v>-12.451669839790869</v>
      </c>
      <c r="BK366" s="1122">
        <f t="shared" ca="1" si="407"/>
        <v>-34.853674726332294</v>
      </c>
      <c r="BL366" s="1122">
        <f t="shared" ca="1" si="407"/>
        <v>-21.61508900525665</v>
      </c>
      <c r="BM366" s="1122">
        <f t="shared" ca="1" si="407"/>
        <v>-13.966404943548746</v>
      </c>
      <c r="BN366" s="1122">
        <f t="shared" ca="1" si="407"/>
        <v>-11.351019800456777</v>
      </c>
      <c r="BP366" s="1122">
        <f ca="1">SUM(BI366:BO366)</f>
        <v>-131.06387298771136</v>
      </c>
    </row>
    <row r="367" spans="2:68" ht="13.2" customHeight="1">
      <c r="B367" s="309" t="str">
        <f>CONCATENATE("Each figure in above row is calculated as Row ",O355, " less Rows ",O363, " and ",O364,".")</f>
        <v>Each figure in above row is calculated as Row 355 less Rows 363 and 364.</v>
      </c>
      <c r="G367" s="10"/>
      <c r="H367" s="10"/>
      <c r="I367" s="10"/>
      <c r="J367" s="10"/>
      <c r="K367" s="10"/>
      <c r="L367" s="10"/>
      <c r="N367" s="10"/>
      <c r="O367" s="136">
        <f>ROW()</f>
        <v>367</v>
      </c>
    </row>
    <row r="368" spans="2:68" ht="13.2" customHeight="1">
      <c r="B368" s="280" t="s">
        <v>2395</v>
      </c>
      <c r="G368" s="10">
        <f t="shared" ref="G368:L368" ca="1" si="408">P368+Y368+AH368+AQ368+AZ368+BI368</f>
        <v>105857.41598684607</v>
      </c>
      <c r="H368" s="10">
        <f t="shared" ca="1" si="408"/>
        <v>44046.813704075168</v>
      </c>
      <c r="I368" s="10">
        <f t="shared" ca="1" si="408"/>
        <v>142778.88211110618</v>
      </c>
      <c r="J368" s="10">
        <f t="shared" ca="1" si="408"/>
        <v>94219.689022471677</v>
      </c>
      <c r="K368" s="10">
        <f t="shared" ca="1" si="408"/>
        <v>51483.24547338258</v>
      </c>
      <c r="L368" s="10">
        <f t="shared" ca="1" si="408"/>
        <v>34216.665300011206</v>
      </c>
      <c r="N368" s="10">
        <f ca="1">SUM(G368:M368)</f>
        <v>472602.71159789292</v>
      </c>
      <c r="O368" s="136">
        <f>ROW()</f>
        <v>368</v>
      </c>
      <c r="P368" s="10">
        <f t="shared" ref="P368:U368" ca="1" si="409">P347+P366</f>
        <v>23290.284418136056</v>
      </c>
      <c r="Q368" s="10">
        <f t="shared" ca="1" si="409"/>
        <v>8887.4956410513805</v>
      </c>
      <c r="R368" s="10">
        <f t="shared" ca="1" si="409"/>
        <v>23777.016784625092</v>
      </c>
      <c r="S368" s="10">
        <f t="shared" ca="1" si="409"/>
        <v>9359.9084597705842</v>
      </c>
      <c r="T368" s="10">
        <f t="shared" ca="1" si="409"/>
        <v>8484.437135050568</v>
      </c>
      <c r="U368" s="10">
        <f t="shared" ca="1" si="409"/>
        <v>4527.8320776293349</v>
      </c>
      <c r="V368" s="10"/>
      <c r="W368" s="10">
        <f ca="1">SUM(P368:V368)</f>
        <v>78326.974516263013</v>
      </c>
      <c r="Y368" s="10">
        <f t="shared" ref="Y368:AD368" ca="1" si="410">Y347+Y366</f>
        <v>34991.558753837409</v>
      </c>
      <c r="Z368" s="10">
        <f t="shared" ca="1" si="410"/>
        <v>16804.613818490518</v>
      </c>
      <c r="AA368" s="10">
        <f t="shared" ca="1" si="410"/>
        <v>69243.642750082785</v>
      </c>
      <c r="AB368" s="10">
        <f t="shared" ca="1" si="410"/>
        <v>54381.927593789136</v>
      </c>
      <c r="AC368" s="10">
        <f t="shared" ca="1" si="410"/>
        <v>25055.963999029715</v>
      </c>
      <c r="AD368" s="10">
        <f t="shared" ca="1" si="410"/>
        <v>16661.779997463913</v>
      </c>
      <c r="AE368" s="10"/>
      <c r="AF368" s="10">
        <f ca="1">SUM(Y368:AE368)</f>
        <v>217139.48691269348</v>
      </c>
      <c r="AH368" s="10">
        <f t="shared" ref="AH368:AM368" ca="1" si="411">AH347+AH366</f>
        <v>27640.539367834434</v>
      </c>
      <c r="AI368" s="10">
        <f t="shared" ca="1" si="411"/>
        <v>10606.24314826684</v>
      </c>
      <c r="AJ368" s="10">
        <f t="shared" ca="1" si="411"/>
        <v>25383.173636110449</v>
      </c>
      <c r="AK368" s="10">
        <f t="shared" ca="1" si="411"/>
        <v>14760.175589257184</v>
      </c>
      <c r="AL368" s="10">
        <f t="shared" ca="1" si="411"/>
        <v>8669.5478578581678</v>
      </c>
      <c r="AM368" s="10">
        <f t="shared" ca="1" si="411"/>
        <v>5852.8611835899774</v>
      </c>
      <c r="AN368" s="10"/>
      <c r="AO368" s="10">
        <f ca="1">SUM(AH368:AN368)</f>
        <v>92912.540782917058</v>
      </c>
      <c r="AQ368" s="10">
        <f t="shared" ref="AQ368:AV368" ca="1" si="412">AQ347+AQ366</f>
        <v>15796.136744398595</v>
      </c>
      <c r="AR368" s="10">
        <f t="shared" ca="1" si="412"/>
        <v>6129.9244320899988</v>
      </c>
      <c r="AS368" s="10">
        <f t="shared" ca="1" si="412"/>
        <v>19264.581005053889</v>
      </c>
      <c r="AT368" s="10">
        <f t="shared" ca="1" si="412"/>
        <v>12418.668104605633</v>
      </c>
      <c r="AU368" s="10">
        <f t="shared" ca="1" si="412"/>
        <v>7331.9010821730126</v>
      </c>
      <c r="AV368" s="10">
        <f t="shared" ca="1" si="412"/>
        <v>5674.4134506484716</v>
      </c>
      <c r="AW368" s="10"/>
      <c r="AX368" s="10">
        <f ca="1">SUM(AQ368:AW368)</f>
        <v>66615.624818969605</v>
      </c>
      <c r="AZ368" s="10">
        <f t="shared" ref="AZ368:BE368" ca="1" si="413">AZ347+AZ366</f>
        <v>2822.5373757897646</v>
      </c>
      <c r="BA368" s="10">
        <f t="shared" ca="1" si="413"/>
        <v>1105.8647534620104</v>
      </c>
      <c r="BB368" s="10">
        <f t="shared" ca="1" si="413"/>
        <v>3495.0099515829015</v>
      </c>
      <c r="BC368" s="10">
        <f t="shared" ca="1" si="413"/>
        <v>2256.7718593373907</v>
      </c>
      <c r="BD368" s="10">
        <f t="shared" ca="1" si="413"/>
        <v>1327.2701872308471</v>
      </c>
      <c r="BE368" s="10">
        <f t="shared" ca="1" si="413"/>
        <v>1025.027645967896</v>
      </c>
      <c r="BF368" s="10"/>
      <c r="BG368" s="10">
        <f ca="1">SUM(AZ368:BF368)</f>
        <v>12032.48177337081</v>
      </c>
      <c r="BI368" s="10">
        <f t="shared" ref="BI368:BN368" ca="1" si="414">BI347+BI366</f>
        <v>1316.3593268498119</v>
      </c>
      <c r="BJ368" s="10">
        <f t="shared" ca="1" si="414"/>
        <v>512.67191071442494</v>
      </c>
      <c r="BK368" s="10">
        <f t="shared" ca="1" si="414"/>
        <v>1615.4579836510745</v>
      </c>
      <c r="BL368" s="10">
        <f t="shared" ca="1" si="414"/>
        <v>1042.2374157117542</v>
      </c>
      <c r="BM368" s="10">
        <f t="shared" ca="1" si="414"/>
        <v>614.12521204026962</v>
      </c>
      <c r="BN368" s="10">
        <f t="shared" ca="1" si="414"/>
        <v>474.75094471162049</v>
      </c>
      <c r="BO368" s="10"/>
      <c r="BP368" s="10">
        <f ca="1">SUM(BI368:BO368)</f>
        <v>5575.602793678956</v>
      </c>
    </row>
    <row r="369" spans="2:68" ht="13.2" customHeight="1">
      <c r="B369" s="309" t="str">
        <f>CONCATENATE("Each figure in above row is calculated as Sum of figures in Rows ",O347, " and ",O366, ".")</f>
        <v>Each figure in above row is calculated as Sum of figures in Rows 347 and 366.</v>
      </c>
      <c r="G369" s="10"/>
      <c r="H369" s="10"/>
      <c r="I369" s="10"/>
      <c r="J369" s="10"/>
      <c r="K369" s="10"/>
      <c r="L369" s="10"/>
      <c r="N369" s="10"/>
      <c r="O369" s="136">
        <f>ROW()</f>
        <v>369</v>
      </c>
      <c r="P369" s="10"/>
      <c r="Q369" s="10"/>
      <c r="R369" s="10"/>
      <c r="S369" s="10"/>
      <c r="T369" s="10"/>
      <c r="U369" s="10"/>
      <c r="V369" s="10"/>
      <c r="W369" s="10"/>
      <c r="Y369" s="10"/>
      <c r="Z369" s="10"/>
      <c r="AA369" s="10"/>
      <c r="AB369" s="10"/>
      <c r="AC369" s="10"/>
      <c r="AD369" s="10"/>
      <c r="AE369" s="10"/>
      <c r="AF369" s="10"/>
      <c r="AH369" s="10"/>
      <c r="AI369" s="10"/>
      <c r="AJ369" s="10"/>
      <c r="AK369" s="10"/>
      <c r="AL369" s="10"/>
      <c r="AM369" s="10"/>
      <c r="AN369" s="10"/>
      <c r="AO369" s="10"/>
      <c r="AQ369" s="10"/>
      <c r="AR369" s="10"/>
      <c r="AS369" s="10"/>
      <c r="AT369" s="10"/>
      <c r="AU369" s="10"/>
      <c r="AV369" s="10"/>
      <c r="AW369" s="10"/>
      <c r="AX369" s="10"/>
      <c r="AZ369" s="10"/>
      <c r="BA369" s="10"/>
      <c r="BB369" s="10"/>
      <c r="BC369" s="10"/>
      <c r="BD369" s="10"/>
      <c r="BE369" s="10"/>
      <c r="BF369" s="10"/>
      <c r="BG369" s="10"/>
      <c r="BI369" s="10"/>
      <c r="BJ369" s="10"/>
      <c r="BK369" s="10"/>
      <c r="BL369" s="10"/>
      <c r="BM369" s="10"/>
      <c r="BN369" s="10"/>
      <c r="BO369" s="10"/>
      <c r="BP369" s="10"/>
    </row>
    <row r="370" spans="2:68" s="1122" customFormat="1" ht="13.2" customHeight="1">
      <c r="B370" s="1123" t="s">
        <v>801</v>
      </c>
      <c r="G370" s="1122">
        <f t="shared" ref="G370:L370" ca="1" si="415">G368/G118</f>
        <v>10585.741598684606</v>
      </c>
      <c r="H370" s="1122">
        <f t="shared" ca="1" si="415"/>
        <v>22023.406852037584</v>
      </c>
      <c r="I370" s="1122">
        <f t="shared" ca="1" si="415"/>
        <v>28555.776422221235</v>
      </c>
      <c r="J370" s="1122">
        <f t="shared" ca="1" si="415"/>
        <v>31406.56300749056</v>
      </c>
      <c r="K370" s="1122">
        <f t="shared" ca="1" si="415"/>
        <v>25741.62273669129</v>
      </c>
      <c r="L370" s="1122">
        <f t="shared" ca="1" si="415"/>
        <v>17108.332650005603</v>
      </c>
      <c r="N370" s="1133"/>
      <c r="O370" s="136">
        <f>ROW()</f>
        <v>370</v>
      </c>
      <c r="P370" s="1122">
        <f t="shared" ref="P370:U370" ca="1" si="416">P368/P118</f>
        <v>2329.0284418136057</v>
      </c>
      <c r="Q370" s="1122">
        <f t="shared" ca="1" si="416"/>
        <v>4443.7478205256903</v>
      </c>
      <c r="R370" s="1122">
        <f t="shared" ca="1" si="416"/>
        <v>4755.4033569250187</v>
      </c>
      <c r="S370" s="1122">
        <f t="shared" ca="1" si="416"/>
        <v>3119.9694865901947</v>
      </c>
      <c r="T370" s="1122">
        <f t="shared" ca="1" si="416"/>
        <v>4242.218567525284</v>
      </c>
      <c r="U370" s="1122">
        <f t="shared" ca="1" si="416"/>
        <v>2263.9160388146674</v>
      </c>
      <c r="W370" s="1133"/>
      <c r="Y370" s="1122">
        <f t="shared" ref="Y370:AD370" ca="1" si="417">Y368/Y118</f>
        <v>3499.1558753837407</v>
      </c>
      <c r="Z370" s="1122">
        <f t="shared" ca="1" si="417"/>
        <v>8402.3069092452588</v>
      </c>
      <c r="AA370" s="1122">
        <f t="shared" ca="1" si="417"/>
        <v>13848.728550016556</v>
      </c>
      <c r="AB370" s="1122">
        <f t="shared" ca="1" si="417"/>
        <v>18127.309197929713</v>
      </c>
      <c r="AC370" s="1122">
        <f t="shared" ca="1" si="417"/>
        <v>12527.981999514857</v>
      </c>
      <c r="AD370" s="1122">
        <f t="shared" ca="1" si="417"/>
        <v>8330.8899987319564</v>
      </c>
      <c r="AF370" s="1133"/>
      <c r="AH370" s="1122">
        <f t="shared" ref="AH370:AM370" ca="1" si="418">AH368/AH118</f>
        <v>2764.0539367834435</v>
      </c>
      <c r="AI370" s="1122">
        <f t="shared" ca="1" si="418"/>
        <v>5303.1215741334199</v>
      </c>
      <c r="AJ370" s="1122">
        <f t="shared" ca="1" si="418"/>
        <v>5076.6347272220901</v>
      </c>
      <c r="AK370" s="1122">
        <f t="shared" ca="1" si="418"/>
        <v>4920.0585297523949</v>
      </c>
      <c r="AL370" s="1122">
        <f t="shared" ca="1" si="418"/>
        <v>4334.7739289290839</v>
      </c>
      <c r="AM370" s="1122">
        <f t="shared" ca="1" si="418"/>
        <v>2926.4305917949887</v>
      </c>
      <c r="AO370" s="1133"/>
      <c r="AQ370" s="1122">
        <f t="shared" ref="AQ370:AV370" ca="1" si="419">AQ368/AQ118</f>
        <v>1579.6136744398596</v>
      </c>
      <c r="AR370" s="1122">
        <f t="shared" ca="1" si="419"/>
        <v>3064.9622160449994</v>
      </c>
      <c r="AS370" s="1122">
        <f t="shared" ca="1" si="419"/>
        <v>3852.916201010778</v>
      </c>
      <c r="AT370" s="1122">
        <f t="shared" ca="1" si="419"/>
        <v>4139.556034868544</v>
      </c>
      <c r="AU370" s="1122">
        <f t="shared" ca="1" si="419"/>
        <v>3665.9505410865063</v>
      </c>
      <c r="AV370" s="1122">
        <f t="shared" ca="1" si="419"/>
        <v>2837.2067253242358</v>
      </c>
      <c r="AZ370" s="1122">
        <f t="shared" ref="AZ370:BE370" ca="1" si="420">AZ368/AZ118</f>
        <v>282.25373757897648</v>
      </c>
      <c r="BA370" s="1122">
        <f t="shared" ca="1" si="420"/>
        <v>552.93237673100521</v>
      </c>
      <c r="BB370" s="1122">
        <f t="shared" ca="1" si="420"/>
        <v>699.0019903165803</v>
      </c>
      <c r="BC370" s="1122">
        <f t="shared" ca="1" si="420"/>
        <v>752.25728644579692</v>
      </c>
      <c r="BD370" s="1122">
        <f t="shared" ca="1" si="420"/>
        <v>663.63509361542356</v>
      </c>
      <c r="BE370" s="1122">
        <f t="shared" ca="1" si="420"/>
        <v>512.51382298394799</v>
      </c>
      <c r="BG370" s="1133"/>
      <c r="BI370" s="1122">
        <f t="shared" ref="BI370:BN370" ca="1" si="421">BI368/BI118</f>
        <v>131.63593268498119</v>
      </c>
      <c r="BJ370" s="1122">
        <f t="shared" ca="1" si="421"/>
        <v>256.33595535721247</v>
      </c>
      <c r="BK370" s="1122">
        <f t="shared" ca="1" si="421"/>
        <v>323.09159673021492</v>
      </c>
      <c r="BL370" s="1122">
        <f t="shared" ca="1" si="421"/>
        <v>347.41247190391806</v>
      </c>
      <c r="BM370" s="1122">
        <f t="shared" ca="1" si="421"/>
        <v>307.06260602013481</v>
      </c>
      <c r="BN370" s="1122">
        <f t="shared" ca="1" si="421"/>
        <v>237.37547235581025</v>
      </c>
      <c r="BP370" s="1133"/>
    </row>
    <row r="371" spans="2:68" ht="13.2" customHeight="1">
      <c r="B371" s="280" t="s">
        <v>1342</v>
      </c>
      <c r="G371" s="928">
        <f t="shared" ref="G371:N371" ca="1" si="422">G368/G347</f>
        <v>0.76655532210420452</v>
      </c>
      <c r="H371" s="928">
        <f t="shared" ca="1" si="422"/>
        <v>0.82184844424275971</v>
      </c>
      <c r="I371" s="928">
        <f t="shared" ca="1" si="422"/>
        <v>0.84743794672516048</v>
      </c>
      <c r="J371" s="928">
        <f t="shared" ca="1" si="422"/>
        <v>0.86745993857444503</v>
      </c>
      <c r="K371" s="928">
        <f t="shared" ca="1" si="422"/>
        <v>0.80288402557179117</v>
      </c>
      <c r="L371" s="928">
        <f t="shared" ca="1" si="422"/>
        <v>0.68949884294502506</v>
      </c>
      <c r="M371" s="928"/>
      <c r="N371" s="928">
        <f t="shared" ca="1" si="422"/>
        <v>0.81128405925445546</v>
      </c>
      <c r="O371" s="136">
        <f>ROW()</f>
        <v>371</v>
      </c>
      <c r="P371" s="928">
        <f t="shared" ref="P371:W371" ca="1" si="423">P368/P347</f>
        <v>0.81656884354271642</v>
      </c>
      <c r="Q371" s="928">
        <f t="shared" ca="1" si="423"/>
        <v>0.86987186460938382</v>
      </c>
      <c r="R371" s="928">
        <f t="shared" ca="1" si="423"/>
        <v>0.88860764790477786</v>
      </c>
      <c r="S371" s="928">
        <f t="shared" ca="1" si="423"/>
        <v>0.90439380872333286</v>
      </c>
      <c r="T371" s="928">
        <f t="shared" ca="1" si="423"/>
        <v>0.83314134909525051</v>
      </c>
      <c r="U371" s="928">
        <f t="shared" ca="1" si="423"/>
        <v>0.71811103222201222</v>
      </c>
      <c r="V371" s="928"/>
      <c r="W371" s="928">
        <f t="shared" ca="1" si="423"/>
        <v>0.84829127109181812</v>
      </c>
      <c r="Y371" s="928">
        <f t="shared" ref="Y371:AF371" ca="1" si="424">Y368/Y347</f>
        <v>0.7007106270675697</v>
      </c>
      <c r="Z371" s="928">
        <f t="shared" ca="1" si="424"/>
        <v>0.78433850532659721</v>
      </c>
      <c r="AA371" s="928">
        <f t="shared" ca="1" si="424"/>
        <v>0.82479032411794506</v>
      </c>
      <c r="AB371" s="928">
        <f t="shared" ca="1" si="424"/>
        <v>0.85729135034637571</v>
      </c>
      <c r="AC371" s="928">
        <f t="shared" ca="1" si="424"/>
        <v>0.7841835675317973</v>
      </c>
      <c r="AD371" s="928">
        <f t="shared" ca="1" si="424"/>
        <v>0.63344889206444888</v>
      </c>
      <c r="AE371" s="928"/>
      <c r="AF371" s="928">
        <f t="shared" ca="1" si="424"/>
        <v>0.78388291515565989</v>
      </c>
      <c r="AH371" s="928">
        <f t="shared" ref="AH371:AO371" ca="1" si="425">AH368/AH347</f>
        <v>0.69343616577141698</v>
      </c>
      <c r="AI371" s="928">
        <f t="shared" ca="1" si="425"/>
        <v>0.74281287763506043</v>
      </c>
      <c r="AJ371" s="928">
        <f t="shared" ca="1" si="425"/>
        <v>0.75422001847495856</v>
      </c>
      <c r="AK371" s="928">
        <f t="shared" ca="1" si="425"/>
        <v>0.76538637751283878</v>
      </c>
      <c r="AL371" s="928">
        <f t="shared" ca="1" si="425"/>
        <v>0.67684862917060562</v>
      </c>
      <c r="AM371" s="928">
        <f t="shared" ca="1" si="425"/>
        <v>0.59041713071006907</v>
      </c>
      <c r="AN371" s="928"/>
      <c r="AO371" s="928">
        <f t="shared" ca="1" si="425"/>
        <v>0.71581310310413748</v>
      </c>
      <c r="AQ371" s="576">
        <f t="shared" ref="AQ371:AX371" ca="1" si="426">AQ368/AQ347</f>
        <v>1.0248557664456861</v>
      </c>
      <c r="AR371" s="576">
        <f t="shared" ca="1" si="426"/>
        <v>1.0248557664456861</v>
      </c>
      <c r="AS371" s="576">
        <f t="shared" ca="1" si="426"/>
        <v>1.0248557664456863</v>
      </c>
      <c r="AT371" s="576">
        <f t="shared" ca="1" si="426"/>
        <v>1.0248557664456861</v>
      </c>
      <c r="AU371" s="576">
        <f t="shared" ca="1" si="426"/>
        <v>1.0248557664456863</v>
      </c>
      <c r="AV371" s="576">
        <f t="shared" ca="1" si="426"/>
        <v>1.0248557664456863</v>
      </c>
      <c r="AW371" s="576"/>
      <c r="AX371" s="576">
        <f t="shared" ca="1" si="426"/>
        <v>1.0248557664456863</v>
      </c>
      <c r="AZ371" s="928">
        <f t="shared" ref="AZ371:BG371" ca="1" si="427">AZ368/AZ347</f>
        <v>0.93800099796208791</v>
      </c>
      <c r="BA371" s="928">
        <f t="shared" ca="1" si="427"/>
        <v>0.94702485898589372</v>
      </c>
      <c r="BB371" s="928">
        <f t="shared" ca="1" si="427"/>
        <v>0.95236479404769481</v>
      </c>
      <c r="BC371" s="928">
        <f t="shared" ca="1" si="427"/>
        <v>0.95395331360412339</v>
      </c>
      <c r="BD371" s="928">
        <f t="shared" ca="1" si="427"/>
        <v>0.9502923344411508</v>
      </c>
      <c r="BE371" s="928">
        <f t="shared" ca="1" si="427"/>
        <v>0.94826361336388365</v>
      </c>
      <c r="BF371" s="928"/>
      <c r="BG371" s="928">
        <f t="shared" ca="1" si="427"/>
        <v>0.94818611295278266</v>
      </c>
      <c r="BI371" s="928">
        <f t="shared" ref="BI371:BP371" ca="1" si="428">BI368/BI347</f>
        <v>0.97278568312681979</v>
      </c>
      <c r="BJ371" s="928">
        <f t="shared" ca="1" si="428"/>
        <v>0.97628811521537595</v>
      </c>
      <c r="BK371" s="928">
        <f t="shared" ca="1" si="428"/>
        <v>0.97888054989528439</v>
      </c>
      <c r="BL371" s="928">
        <f t="shared" ca="1" si="428"/>
        <v>0.9796822502091056</v>
      </c>
      <c r="BM371" s="928">
        <f t="shared" ca="1" si="428"/>
        <v>0.97776374566083646</v>
      </c>
      <c r="BN371" s="928">
        <f t="shared" ca="1" si="428"/>
        <v>0.97664889132499122</v>
      </c>
      <c r="BO371" s="928"/>
      <c r="BP371" s="928">
        <f t="shared" ca="1" si="428"/>
        <v>0.97703319982691994</v>
      </c>
    </row>
    <row r="372" spans="2:68" ht="13.2" customHeight="1">
      <c r="B372" s="6"/>
      <c r="G372" s="928"/>
      <c r="H372" s="928"/>
      <c r="I372" s="928"/>
      <c r="J372" s="928"/>
      <c r="K372" s="928"/>
      <c r="L372" s="928"/>
      <c r="M372" s="928"/>
      <c r="N372" s="928"/>
      <c r="O372" s="136">
        <f>ROW()</f>
        <v>372</v>
      </c>
      <c r="P372" s="930"/>
      <c r="Q372" s="930"/>
      <c r="R372" s="930"/>
      <c r="S372" s="930"/>
      <c r="T372" s="930"/>
      <c r="U372" s="930"/>
      <c r="V372" s="930"/>
      <c r="W372" s="930"/>
      <c r="Y372" s="930"/>
      <c r="Z372" s="930"/>
      <c r="AA372" s="930"/>
      <c r="AB372" s="930"/>
      <c r="AC372" s="930"/>
      <c r="AD372" s="930"/>
      <c r="AE372" s="930"/>
      <c r="AF372" s="930"/>
      <c r="AH372" s="930"/>
      <c r="AI372" s="930"/>
      <c r="AJ372" s="930"/>
      <c r="AK372" s="930"/>
      <c r="AL372" s="930"/>
      <c r="AM372" s="930"/>
      <c r="AN372" s="930"/>
      <c r="AO372" s="930"/>
      <c r="AQ372" s="12"/>
      <c r="AR372" s="12"/>
      <c r="AS372" s="12"/>
      <c r="AT372" s="12"/>
      <c r="AU372" s="12"/>
      <c r="AV372" s="12"/>
      <c r="AW372" s="12"/>
      <c r="AX372" s="12"/>
      <c r="AZ372" s="930"/>
      <c r="BA372" s="930"/>
      <c r="BB372" s="930"/>
      <c r="BC372" s="930"/>
      <c r="BD372" s="930"/>
      <c r="BE372" s="930"/>
      <c r="BF372" s="930"/>
      <c r="BG372" s="930"/>
      <c r="BI372" s="930"/>
      <c r="BJ372" s="930"/>
      <c r="BK372" s="930"/>
      <c r="BL372" s="930"/>
      <c r="BM372" s="930"/>
      <c r="BN372" s="930"/>
      <c r="BO372" s="930"/>
      <c r="BP372" s="930"/>
    </row>
    <row r="373" spans="2:68" ht="13.2" customHeight="1">
      <c r="B373" s="6" t="s">
        <v>1343</v>
      </c>
      <c r="G373" s="928"/>
      <c r="H373" s="928"/>
      <c r="I373" s="928"/>
      <c r="J373" s="928"/>
      <c r="K373" s="928"/>
      <c r="L373" s="928"/>
      <c r="M373" s="973"/>
      <c r="N373" s="928"/>
      <c r="O373" s="136">
        <f>ROW()</f>
        <v>373</v>
      </c>
      <c r="P373" s="930"/>
      <c r="Q373" s="930"/>
      <c r="R373" s="930"/>
      <c r="S373" s="930"/>
      <c r="T373" s="930"/>
      <c r="U373" s="930"/>
      <c r="V373" s="930"/>
      <c r="W373" s="930"/>
      <c r="Y373" s="930"/>
      <c r="Z373" s="930"/>
      <c r="AA373" s="930"/>
      <c r="AB373" s="930"/>
      <c r="AC373" s="930"/>
      <c r="AD373" s="930"/>
      <c r="AE373" s="930"/>
      <c r="AF373" s="930"/>
      <c r="AH373" s="930"/>
      <c r="AI373" s="930"/>
      <c r="AJ373" s="930"/>
      <c r="AK373" s="930"/>
      <c r="AL373" s="930"/>
      <c r="AM373" s="930"/>
      <c r="AN373" s="930"/>
      <c r="AO373" s="930"/>
      <c r="AQ373" s="12"/>
      <c r="AR373" s="12"/>
      <c r="AS373" s="12"/>
      <c r="AT373" s="12"/>
      <c r="AU373" s="12"/>
      <c r="AV373" s="12"/>
      <c r="AW373" s="12"/>
      <c r="AX373" s="12"/>
      <c r="AZ373" s="930"/>
      <c r="BA373" s="930"/>
      <c r="BB373" s="930"/>
      <c r="BC373" s="930"/>
      <c r="BD373" s="930"/>
      <c r="BE373" s="930"/>
      <c r="BF373" s="930"/>
      <c r="BG373" s="930"/>
      <c r="BI373" s="930"/>
      <c r="BJ373" s="930"/>
      <c r="BK373" s="930"/>
      <c r="BL373" s="930"/>
      <c r="BM373" s="930"/>
      <c r="BN373" s="930"/>
      <c r="BO373" s="930"/>
      <c r="BP373" s="930"/>
    </row>
    <row r="374" spans="2:68" ht="13.2" customHeight="1">
      <c r="B374" s="1123" t="s">
        <v>2295</v>
      </c>
      <c r="G374" s="575">
        <f t="shared" ref="G374:L374" ca="1" si="429">P374+Y374+AH374+AQ374+AZ374+BI374</f>
        <v>-47054.46640742656</v>
      </c>
      <c r="H374" s="575">
        <f t="shared" ca="1" si="429"/>
        <v>-13917.596402693624</v>
      </c>
      <c r="I374" s="575">
        <f t="shared" ca="1" si="429"/>
        <v>-37600.219767216498</v>
      </c>
      <c r="J374" s="575">
        <f t="shared" ca="1" si="429"/>
        <v>-21056.11533108565</v>
      </c>
      <c r="K374" s="575">
        <f t="shared" ca="1" si="429"/>
        <v>-18498.341083182539</v>
      </c>
      <c r="L374" s="575">
        <f t="shared" ca="1" si="429"/>
        <v>-22671.926330170987</v>
      </c>
      <c r="M374" s="575"/>
      <c r="N374" s="575">
        <f ca="1">SUM(G374:M374)</f>
        <v>-160798.66532177583</v>
      </c>
      <c r="O374" s="136">
        <f>ROW()</f>
        <v>374</v>
      </c>
      <c r="P374" s="575">
        <f t="shared" ref="P374:U374" ca="1" si="430">P366*$I$85</f>
        <v>-7847.7715115288929</v>
      </c>
      <c r="Q374" s="575">
        <f t="shared" ca="1" si="430"/>
        <v>-1994.2820600047417</v>
      </c>
      <c r="R374" s="575">
        <f t="shared" ca="1" si="430"/>
        <v>-4470.8896525231985</v>
      </c>
      <c r="S374" s="575">
        <f t="shared" ca="1" si="430"/>
        <v>-1484.1961376319082</v>
      </c>
      <c r="T374" s="575">
        <f t="shared" ca="1" si="430"/>
        <v>-2548.8503281791436</v>
      </c>
      <c r="U374" s="575">
        <f t="shared" ca="1" si="430"/>
        <v>-2666.0485357375719</v>
      </c>
      <c r="V374" s="10"/>
      <c r="W374" s="575">
        <f ca="1">SUM(P374:V374)</f>
        <v>-21012.038225605458</v>
      </c>
      <c r="Y374" s="575">
        <f t="shared" ref="Y374:AD374" ca="1" si="431">Y366*$J$85</f>
        <v>-22418.530430724619</v>
      </c>
      <c r="Z374" s="575">
        <f t="shared" ca="1" si="431"/>
        <v>-6930.8878288384749</v>
      </c>
      <c r="AA374" s="575">
        <f t="shared" ca="1" si="431"/>
        <v>-22064.073465173027</v>
      </c>
      <c r="AB374" s="575">
        <f t="shared" ca="1" si="431"/>
        <v>-13578.997588162751</v>
      </c>
      <c r="AC374" s="575">
        <f t="shared" ca="1" si="431"/>
        <v>-10343.5387826519</v>
      </c>
      <c r="AD374" s="575">
        <f t="shared" ca="1" si="431"/>
        <v>-14462.241535408866</v>
      </c>
      <c r="AE374" s="10"/>
      <c r="AF374" s="575">
        <f ca="1">SUM(Y374:AE374)</f>
        <v>-89798.269630959636</v>
      </c>
      <c r="AH374" s="575">
        <f t="shared" ref="AH374:AM374" ca="1" si="432">AH366*$K$85</f>
        <v>-17107.595775671864</v>
      </c>
      <c r="AI374" s="575">
        <f t="shared" ca="1" si="432"/>
        <v>-5141.1397555819622</v>
      </c>
      <c r="AJ374" s="575">
        <f t="shared" ca="1" si="432"/>
        <v>-11580.36927198346</v>
      </c>
      <c r="AK374" s="575">
        <f t="shared" ca="1" si="432"/>
        <v>-6334.20415021399</v>
      </c>
      <c r="AL374" s="575">
        <f t="shared" ca="1" si="432"/>
        <v>-5794.8064243540666</v>
      </c>
      <c r="AM374" s="575">
        <f t="shared" ca="1" si="432"/>
        <v>-5684.3275261108301</v>
      </c>
      <c r="AN374" s="10"/>
      <c r="AO374" s="575">
        <f ca="1">SUM(AH374:AN374)</f>
        <v>-51642.44290391617</v>
      </c>
      <c r="AQ374" s="1122">
        <f t="shared" ref="AQ374:AV374" ca="1" si="433">AQ366*$L$85</f>
        <v>766.20554524381589</v>
      </c>
      <c r="AR374" s="1122">
        <f t="shared" ca="1" si="433"/>
        <v>297.33739127438315</v>
      </c>
      <c r="AS374" s="1122">
        <f t="shared" ca="1" si="433"/>
        <v>934.4454933327404</v>
      </c>
      <c r="AT374" s="1122">
        <f t="shared" ca="1" si="433"/>
        <v>602.37844988683764</v>
      </c>
      <c r="AU374" s="1122">
        <f t="shared" ca="1" si="433"/>
        <v>355.64032885016536</v>
      </c>
      <c r="AV374" s="1122">
        <f t="shared" ca="1" si="433"/>
        <v>275.24242935125886</v>
      </c>
      <c r="AW374" s="1122"/>
      <c r="AX374" s="1122">
        <f ca="1">SUM(AQ374:AW374)</f>
        <v>3231.249637939201</v>
      </c>
      <c r="AZ374" s="575">
        <f t="shared" ref="AZ374:BE374" ca="1" si="434">AZ366*$L$85</f>
        <v>-373.12220540035196</v>
      </c>
      <c r="BA374" s="575">
        <f t="shared" ca="1" si="434"/>
        <v>-123.72080986324455</v>
      </c>
      <c r="BB374" s="575">
        <f t="shared" ca="1" si="434"/>
        <v>-349.62552141689116</v>
      </c>
      <c r="BC374" s="575">
        <f t="shared" ca="1" si="434"/>
        <v>-217.86572695332615</v>
      </c>
      <c r="BD374" s="575">
        <f t="shared" ca="1" si="434"/>
        <v>-138.85306696049682</v>
      </c>
      <c r="BE374" s="575">
        <f t="shared" ca="1" si="434"/>
        <v>-111.84912266406474</v>
      </c>
      <c r="BF374" s="10"/>
      <c r="BG374" s="575">
        <f ca="1">SUM(AZ374:BF374)</f>
        <v>-1315.0364532583753</v>
      </c>
      <c r="BI374" s="575">
        <f t="shared" ref="BI374:BN374" ca="1" si="435">BI366*$L$85</f>
        <v>-73.652029344652078</v>
      </c>
      <c r="BJ374" s="575">
        <f t="shared" ca="1" si="435"/>
        <v>-24.903339679581737</v>
      </c>
      <c r="BK374" s="575">
        <f t="shared" ca="1" si="435"/>
        <v>-69.707349452664587</v>
      </c>
      <c r="BL374" s="575">
        <f t="shared" ca="1" si="435"/>
        <v>-43.230178010513299</v>
      </c>
      <c r="BM374" s="575">
        <f t="shared" ca="1" si="435"/>
        <v>-27.932809887097491</v>
      </c>
      <c r="BN374" s="575">
        <f t="shared" ca="1" si="435"/>
        <v>-22.702039600913555</v>
      </c>
      <c r="BO374" s="10"/>
      <c r="BP374" s="575">
        <f ca="1">SUM(BI374:BO374)</f>
        <v>-262.12774597542273</v>
      </c>
    </row>
    <row r="375" spans="2:68" ht="13.2" customHeight="1">
      <c r="B375" s="309" t="str">
        <f>CONCATENATE("Calculated as product of each period's changes in daily cordon entries in Row ",O366, " and each trip type's per-entry CBD miles in Row ",O82,".")</f>
        <v>Calculated as product of each period's changes in daily cordon entries in Row 366 and each trip type's per-entry CBD miles in Row 82.</v>
      </c>
      <c r="G375" s="575"/>
      <c r="H375" s="575"/>
      <c r="I375" s="575"/>
      <c r="J375" s="575"/>
      <c r="K375" s="575"/>
      <c r="L375" s="575"/>
      <c r="M375" s="1547"/>
      <c r="N375" s="575"/>
      <c r="O375" s="136">
        <f>ROW()</f>
        <v>375</v>
      </c>
      <c r="P375" s="575"/>
      <c r="Q375" s="575"/>
      <c r="R375" s="575"/>
      <c r="S375" s="575"/>
      <c r="T375" s="575"/>
      <c r="U375" s="575"/>
      <c r="V375" s="930"/>
      <c r="W375" s="575"/>
      <c r="Y375" s="575"/>
      <c r="Z375" s="575"/>
      <c r="AA375" s="575"/>
      <c r="AB375" s="575"/>
      <c r="AC375" s="575"/>
      <c r="AD375" s="575"/>
      <c r="AE375" s="930"/>
      <c r="AF375" s="575"/>
      <c r="AH375" s="575"/>
      <c r="AI375" s="575"/>
      <c r="AJ375" s="575"/>
      <c r="AK375" s="575"/>
      <c r="AL375" s="575"/>
      <c r="AM375" s="575"/>
      <c r="AN375" s="930"/>
      <c r="AO375" s="575"/>
      <c r="AZ375" s="575"/>
      <c r="BA375" s="575"/>
      <c r="BB375" s="575"/>
      <c r="BC375" s="575"/>
      <c r="BD375" s="575"/>
      <c r="BE375" s="575"/>
      <c r="BF375" s="930"/>
      <c r="BG375" s="575"/>
      <c r="BI375" s="575"/>
      <c r="BJ375" s="575"/>
      <c r="BK375" s="575"/>
      <c r="BL375" s="575"/>
      <c r="BM375" s="575"/>
      <c r="BN375" s="575"/>
      <c r="BO375" s="930"/>
      <c r="BP375" s="575"/>
    </row>
    <row r="376" spans="2:68" ht="13.2" customHeight="1">
      <c r="B376" s="1123" t="s">
        <v>2296</v>
      </c>
      <c r="G376" s="575">
        <f t="shared" ref="G376:L376" ca="1" si="436">P376+Y376+AH376+AQ376+AZ376+BI376</f>
        <v>-46307.164176009457</v>
      </c>
      <c r="H376" s="575">
        <f t="shared" ca="1" si="436"/>
        <v>-14980.972338798563</v>
      </c>
      <c r="I376" s="575">
        <f t="shared" ca="1" si="436"/>
        <v>-41637.361039499789</v>
      </c>
      <c r="J376" s="575">
        <f t="shared" ca="1" si="436"/>
        <v>-25571.422059127424</v>
      </c>
      <c r="K376" s="575">
        <f t="shared" ca="1" si="436"/>
        <v>-16877.906374278751</v>
      </c>
      <c r="L376" s="575">
        <f t="shared" ca="1" si="436"/>
        <v>-15423.839334061893</v>
      </c>
      <c r="M376" s="575"/>
      <c r="N376" s="575">
        <f ca="1">SUM(G376:M376)</f>
        <v>-160798.66532177586</v>
      </c>
      <c r="O376" s="136">
        <f>ROW()</f>
        <v>376</v>
      </c>
      <c r="P376" s="575">
        <f t="shared" ref="P376:U376" ca="1" si="437">$W$374*P141</f>
        <v>-5682.411341643362</v>
      </c>
      <c r="Q376" s="575">
        <f t="shared" ca="1" si="437"/>
        <v>-1889.313618419076</v>
      </c>
      <c r="R376" s="575">
        <f t="shared" ca="1" si="437"/>
        <v>-5755.5871976722738</v>
      </c>
      <c r="S376" s="575">
        <f t="shared" ca="1" si="437"/>
        <v>-3682.6166405802251</v>
      </c>
      <c r="T376" s="575">
        <f t="shared" ca="1" si="437"/>
        <v>-2127.6340781014369</v>
      </c>
      <c r="U376" s="575">
        <f t="shared" ca="1" si="437"/>
        <v>-1874.4753491890849</v>
      </c>
      <c r="V376" s="817"/>
      <c r="W376" s="575">
        <f ca="1">SUM(P376:V376)</f>
        <v>-21012.038225605458</v>
      </c>
      <c r="X376" s="86"/>
      <c r="Y376" s="575">
        <f t="shared" ref="Y376:AD376" ca="1" si="438">$AF$374*Y141</f>
        <v>-24284.683871795609</v>
      </c>
      <c r="Z376" s="575">
        <f t="shared" ca="1" si="438"/>
        <v>-8074.2806529589552</v>
      </c>
      <c r="AA376" s="575">
        <f t="shared" ca="1" si="438"/>
        <v>-24597.412469545492</v>
      </c>
      <c r="AB376" s="575">
        <f t="shared" ca="1" si="438"/>
        <v>-15738.24483315935</v>
      </c>
      <c r="AC376" s="575">
        <f t="shared" ca="1" si="438"/>
        <v>-9092.7808416294538</v>
      </c>
      <c r="AD376" s="575">
        <f t="shared" ca="1" si="438"/>
        <v>-8010.8669618707781</v>
      </c>
      <c r="AE376" s="817"/>
      <c r="AF376" s="575">
        <f ca="1">SUM(Y376:AE376)</f>
        <v>-89798.269630959636</v>
      </c>
      <c r="AH376" s="575">
        <f t="shared" ref="AH376:AO376" ca="1" si="439">AH374</f>
        <v>-17107.595775671864</v>
      </c>
      <c r="AI376" s="575">
        <f t="shared" ca="1" si="439"/>
        <v>-5141.1397555819622</v>
      </c>
      <c r="AJ376" s="575">
        <f t="shared" ca="1" si="439"/>
        <v>-11580.36927198346</v>
      </c>
      <c r="AK376" s="575">
        <f t="shared" ca="1" si="439"/>
        <v>-6334.20415021399</v>
      </c>
      <c r="AL376" s="575">
        <f t="shared" ca="1" si="439"/>
        <v>-5794.8064243540666</v>
      </c>
      <c r="AM376" s="575">
        <f t="shared" ca="1" si="439"/>
        <v>-5684.3275261108301</v>
      </c>
      <c r="AN376" s="817"/>
      <c r="AO376" s="575">
        <f t="shared" ca="1" si="439"/>
        <v>-51642.44290391617</v>
      </c>
      <c r="AQ376" s="1122">
        <f t="shared" ref="AQ376:AV376" ca="1" si="440">$AX$374*AQ141</f>
        <v>1194.0487733764562</v>
      </c>
      <c r="AR376" s="1122">
        <f t="shared" ca="1" si="440"/>
        <v>265.57362321037266</v>
      </c>
      <c r="AS376" s="1122">
        <f t="shared" ca="1" si="440"/>
        <v>728.02244185447535</v>
      </c>
      <c r="AT376" s="1122">
        <f t="shared" ca="1" si="440"/>
        <v>460.060876781535</v>
      </c>
      <c r="AU376" s="1122">
        <f t="shared" ca="1" si="440"/>
        <v>297.01524547780713</v>
      </c>
      <c r="AV376" s="1122">
        <f t="shared" ca="1" si="440"/>
        <v>286.52867723855468</v>
      </c>
      <c r="AW376" s="1122"/>
      <c r="AX376" s="1122">
        <f ca="1">SUM(AQ376:AW376)</f>
        <v>3231.2496379392014</v>
      </c>
      <c r="AZ376" s="575">
        <f t="shared" ref="AZ376:BE376" ca="1" si="441">$BG$374*AZ141</f>
        <v>-355.63318400799892</v>
      </c>
      <c r="BA376" s="575">
        <f t="shared" ca="1" si="441"/>
        <v>-118.24251665556724</v>
      </c>
      <c r="BB376" s="575">
        <f t="shared" ca="1" si="441"/>
        <v>-360.21288813489986</v>
      </c>
      <c r="BC376" s="575">
        <f t="shared" ca="1" si="441"/>
        <v>-230.47621909603436</v>
      </c>
      <c r="BD376" s="575">
        <f t="shared" ca="1" si="441"/>
        <v>-133.15778040459685</v>
      </c>
      <c r="BE376" s="575">
        <f t="shared" ca="1" si="441"/>
        <v>-117.31386495927813</v>
      </c>
      <c r="BF376" s="817"/>
      <c r="BG376" s="575">
        <f ca="1">SUM(AZ376:BF376)</f>
        <v>-1315.0364532583753</v>
      </c>
      <c r="BI376" s="575">
        <f t="shared" ref="BI376:BN376" ca="1" si="442">$BP$374*BI141</f>
        <v>-70.888776267074022</v>
      </c>
      <c r="BJ376" s="575">
        <f t="shared" ca="1" si="442"/>
        <v>-23.569418393373972</v>
      </c>
      <c r="BK376" s="575">
        <f t="shared" ca="1" si="442"/>
        <v>-71.801654018138933</v>
      </c>
      <c r="BL376" s="575">
        <f t="shared" ca="1" si="442"/>
        <v>-45.941092859355983</v>
      </c>
      <c r="BM376" s="575">
        <f t="shared" ca="1" si="442"/>
        <v>-26.542495267003339</v>
      </c>
      <c r="BN376" s="575">
        <f t="shared" ca="1" si="442"/>
        <v>-23.384309170476488</v>
      </c>
      <c r="BO376" s="817"/>
      <c r="BP376" s="575">
        <f ca="1">SUM(BI376:BO376)</f>
        <v>-262.12774597542278</v>
      </c>
    </row>
    <row r="377" spans="2:68" ht="13.2" customHeight="1">
      <c r="B377" s="309" t="s">
        <v>2742</v>
      </c>
      <c r="N377" s="6"/>
      <c r="O377" s="136">
        <f>ROW()</f>
        <v>377</v>
      </c>
      <c r="P377" s="575"/>
      <c r="Q377" s="575"/>
      <c r="R377" s="575"/>
      <c r="S377" s="575"/>
      <c r="T377" s="575"/>
      <c r="U377" s="575"/>
      <c r="V377" s="930"/>
      <c r="W377" s="930"/>
      <c r="Y377" s="930"/>
      <c r="Z377" s="930"/>
      <c r="AA377" s="930"/>
      <c r="AB377" s="930"/>
      <c r="AC377" s="930"/>
      <c r="AD377" s="930"/>
      <c r="AE377" s="930"/>
      <c r="AF377" s="930"/>
      <c r="AH377" s="137" t="str">
        <f>CONCATENATE("Figures in preceding row are made equal to corresponding figues in row ",O374,", since thru-trips leave cordon shortly after entering.")</f>
        <v>Figures in preceding row are made equal to corresponding figues in row 374, since thru-trips leave cordon shortly after entering.</v>
      </c>
      <c r="AI377" s="930"/>
      <c r="AJ377" s="930"/>
      <c r="AK377" s="930"/>
      <c r="AL377" s="930"/>
      <c r="AM377" s="930"/>
      <c r="AN377" s="930"/>
      <c r="AO377" s="930"/>
      <c r="AQ377" s="1"/>
      <c r="AR377" s="1926"/>
      <c r="AS377" s="1927"/>
      <c r="AT377" s="3215" t="s">
        <v>5620</v>
      </c>
      <c r="AU377" s="1928">
        <f>Taxis!$L$302</f>
        <v>7.2289156626506026</v>
      </c>
      <c r="AV377" s="265" t="str">
        <f>CONCATENATE("(Taxi worksheet, Row ",O251, ")")</f>
        <v>(Taxi worksheet, Row 251)</v>
      </c>
      <c r="AW377" s="202"/>
      <c r="AX377" s="202"/>
      <c r="AZ377" s="137"/>
      <c r="BA377" s="930"/>
      <c r="BB377" s="930"/>
      <c r="BC377" s="930"/>
      <c r="BD377" s="930"/>
      <c r="BE377" s="930"/>
      <c r="BF377" s="930"/>
      <c r="BG377" s="930"/>
      <c r="BI377" s="137"/>
      <c r="BJ377" s="930"/>
      <c r="BK377" s="930"/>
      <c r="BL377" s="930"/>
      <c r="BM377" s="930"/>
      <c r="BN377" s="930"/>
      <c r="BO377" s="930"/>
      <c r="BP377" s="930"/>
    </row>
    <row r="378" spans="2:68" ht="13.2" customHeight="1">
      <c r="B378" s="319" t="str">
        <f>CONCATENATE("(i) total change in each trip type's cordon VMT due to change in number of inbound entries, shown in Row ",O374, ", and")</f>
        <v>(i) total change in each trip type's cordon VMT due to change in number of inbound entries, shown in Row 374, and</v>
      </c>
      <c r="N378" s="6"/>
      <c r="O378" s="136">
        <f>ROW()</f>
        <v>378</v>
      </c>
      <c r="P378" s="575"/>
      <c r="Q378" s="575"/>
      <c r="R378" s="575"/>
      <c r="S378" s="575"/>
      <c r="T378" s="575"/>
      <c r="U378" s="575"/>
      <c r="V378" s="930"/>
      <c r="W378" s="930"/>
      <c r="Y378" s="930"/>
      <c r="Z378" s="930"/>
      <c r="AA378" s="930"/>
      <c r="AB378" s="930"/>
      <c r="AC378" s="930"/>
      <c r="AD378" s="930"/>
      <c r="AE378" s="930"/>
      <c r="AF378" s="930"/>
      <c r="AH378" s="930"/>
      <c r="AI378" s="930"/>
      <c r="AJ378" s="930"/>
      <c r="AK378" s="930"/>
      <c r="AL378" s="930"/>
      <c r="AM378" s="930"/>
      <c r="AN378" s="930"/>
      <c r="AO378" s="930"/>
      <c r="AQ378" s="202"/>
      <c r="AR378" s="1930"/>
      <c r="AS378" s="1931"/>
      <c r="AT378" s="1929" t="s">
        <v>3171</v>
      </c>
      <c r="AU378" s="1932">
        <f>Taxis!$L$126</f>
        <v>3.19</v>
      </c>
      <c r="AV378" s="265" t="str">
        <f>CONCATENATE("(Taxi worksheet, Row ",O133, ")")</f>
        <v>(Taxi worksheet, Row 133)</v>
      </c>
      <c r="AW378" s="202"/>
      <c r="AX378" s="202"/>
      <c r="AZ378" s="930"/>
      <c r="BA378" s="930"/>
      <c r="BB378" s="930"/>
      <c r="BC378" s="930"/>
      <c r="BD378" s="930"/>
      <c r="BE378" s="930"/>
      <c r="BF378" s="930"/>
      <c r="BG378" s="930"/>
      <c r="BI378" s="930"/>
      <c r="BJ378" s="930"/>
      <c r="BK378" s="930"/>
      <c r="BL378" s="930"/>
      <c r="BM378" s="930"/>
      <c r="BN378" s="930"/>
      <c r="BO378" s="930"/>
      <c r="BP378" s="930"/>
    </row>
    <row r="379" spans="2:68" ht="13.2" customHeight="1">
      <c r="B379" s="319" t="str">
        <f>CONCATENATE("(ii) each period's share of 24-h traffic volume for that trip type, shown in row ",O141, ".")</f>
        <v>(ii) each period's share of 24-h traffic volume for that trip type, shown in row 141.</v>
      </c>
      <c r="N379" s="6"/>
      <c r="O379" s="136">
        <f>ROW()</f>
        <v>379</v>
      </c>
      <c r="P379" s="575"/>
      <c r="Q379" s="575"/>
      <c r="R379" s="575"/>
      <c r="S379" s="575"/>
      <c r="T379" s="575"/>
      <c r="U379" s="575"/>
      <c r="V379" s="930"/>
      <c r="W379" s="930"/>
      <c r="Y379" s="930"/>
      <c r="Z379" s="930"/>
      <c r="AA379" s="930"/>
      <c r="AB379" s="930"/>
      <c r="AC379" s="930"/>
      <c r="AD379" s="930"/>
      <c r="AE379" s="930"/>
      <c r="AF379" s="930"/>
      <c r="AH379" s="930"/>
      <c r="AI379" s="930"/>
      <c r="AJ379" s="930"/>
      <c r="AK379" s="930"/>
      <c r="AL379" s="930"/>
      <c r="AM379" s="930"/>
      <c r="AN379" s="930"/>
      <c r="AO379" s="930"/>
      <c r="AQ379" s="202" t="str">
        <f>CONCATENATE("Shown directly below: Addit'l change to in-cordon VMT beyond entries in Rows ",O374," and ",O376, " (to reflect in-cordon taxi driving).")</f>
        <v>Shown directly below: Addit'l change to in-cordon VMT beyond entries in Rows 374 and 376 (to reflect in-cordon taxi driving).</v>
      </c>
      <c r="AR379" s="202"/>
      <c r="AS379" s="202"/>
      <c r="AT379" s="202"/>
      <c r="AU379" s="202"/>
      <c r="AV379" s="202"/>
      <c r="AW379" s="202"/>
      <c r="AX379" s="202"/>
      <c r="AZ379" s="930"/>
      <c r="BA379" s="930"/>
      <c r="BB379" s="930"/>
      <c r="BC379" s="930"/>
      <c r="BD379" s="930"/>
      <c r="BE379" s="930"/>
      <c r="BF379" s="930"/>
      <c r="BG379" s="930"/>
      <c r="BI379" s="930"/>
      <c r="BJ379" s="930"/>
      <c r="BK379" s="930"/>
      <c r="BL379" s="930"/>
      <c r="BM379" s="930"/>
      <c r="BN379" s="930"/>
      <c r="BO379" s="930"/>
      <c r="BP379" s="930"/>
    </row>
    <row r="380" spans="2:68" ht="13.2" customHeight="1">
      <c r="B380" s="4149" t="s">
        <v>2822</v>
      </c>
      <c r="C380" s="4149"/>
      <c r="D380" s="4149"/>
      <c r="E380" s="4149"/>
      <c r="F380" s="4149"/>
      <c r="G380" s="4149"/>
      <c r="H380" s="4149"/>
      <c r="I380" s="4149"/>
      <c r="J380" s="4149"/>
      <c r="K380" s="4149"/>
      <c r="L380" s="4149"/>
      <c r="M380" s="4149"/>
      <c r="N380" s="4149"/>
      <c r="O380" s="136">
        <f>ROW()</f>
        <v>380</v>
      </c>
      <c r="P380" s="575"/>
      <c r="Q380" s="575"/>
      <c r="R380" s="575"/>
      <c r="S380" s="575"/>
      <c r="T380" s="575"/>
      <c r="U380" s="575"/>
      <c r="V380" s="930"/>
      <c r="W380" s="930"/>
      <c r="Y380" s="930"/>
      <c r="Z380" s="930"/>
      <c r="AA380" s="930"/>
      <c r="AB380" s="930"/>
      <c r="AC380" s="930"/>
      <c r="AD380" s="930"/>
      <c r="AE380" s="930"/>
      <c r="AF380" s="930"/>
      <c r="AH380" s="930"/>
      <c r="AI380" s="930"/>
      <c r="AJ380" s="930"/>
      <c r="AK380" s="930"/>
      <c r="AL380" s="930"/>
      <c r="AM380" s="930"/>
      <c r="AN380" s="930"/>
      <c r="AO380" s="930"/>
      <c r="AQ380" s="1552">
        <f t="shared" ref="AQ380:AV380" ca="1" si="443">(AQ147/$AX$147)*$AX$380</f>
        <v>8435.5336591919113</v>
      </c>
      <c r="AR380" s="1552">
        <f t="shared" ca="1" si="443"/>
        <v>2029.209865716914</v>
      </c>
      <c r="AS380" s="1552">
        <f t="shared" ca="1" si="443"/>
        <v>5706.6090621999183</v>
      </c>
      <c r="AT380" s="1552">
        <f t="shared" ca="1" si="443"/>
        <v>3620.504326773475</v>
      </c>
      <c r="AU380" s="1552">
        <f t="shared" ca="1" si="443"/>
        <v>2297.3025785109253</v>
      </c>
      <c r="AV380" s="1552">
        <f t="shared" ca="1" si="443"/>
        <v>2134.3987036704561</v>
      </c>
      <c r="AW380" s="1552"/>
      <c r="AX380" s="2008">
        <f ca="1">Taxis!N265</f>
        <v>24223.558196063601</v>
      </c>
      <c r="AZ380" s="930"/>
      <c r="BA380" s="930"/>
      <c r="BB380" s="930"/>
      <c r="BC380" s="930"/>
      <c r="BD380" s="930"/>
      <c r="BE380" s="930"/>
      <c r="BF380" s="930"/>
      <c r="BG380" s="930"/>
      <c r="BI380" s="930"/>
      <c r="BJ380" s="930"/>
      <c r="BK380" s="930"/>
      <c r="BL380" s="930"/>
      <c r="BM380" s="930"/>
      <c r="BN380" s="930"/>
      <c r="BO380" s="930"/>
      <c r="BP380" s="930"/>
    </row>
    <row r="381" spans="2:68" ht="13.2" customHeight="1">
      <c r="B381" s="4149"/>
      <c r="C381" s="4149"/>
      <c r="D381" s="4149"/>
      <c r="E381" s="4149"/>
      <c r="F381" s="4149"/>
      <c r="G381" s="4149"/>
      <c r="H381" s="4149"/>
      <c r="I381" s="4149"/>
      <c r="J381" s="4149"/>
      <c r="K381" s="4149"/>
      <c r="L381" s="4149"/>
      <c r="M381" s="4149"/>
      <c r="N381" s="4149"/>
      <c r="O381" s="136">
        <f>ROW()</f>
        <v>381</v>
      </c>
      <c r="P381" s="575"/>
      <c r="Q381" s="575"/>
      <c r="R381" s="575"/>
      <c r="S381" s="575"/>
      <c r="T381" s="575"/>
      <c r="U381" s="575"/>
      <c r="V381" s="930"/>
      <c r="W381" s="930"/>
      <c r="Y381" s="930"/>
      <c r="Z381" s="930"/>
      <c r="AA381" s="930"/>
      <c r="AB381" s="930"/>
      <c r="AC381" s="930"/>
      <c r="AD381" s="930"/>
      <c r="AE381" s="930"/>
      <c r="AF381" s="930"/>
      <c r="AH381" s="930"/>
      <c r="AI381" s="930"/>
      <c r="AJ381" s="930"/>
      <c r="AK381" s="930"/>
      <c r="AL381" s="930"/>
      <c r="AM381" s="930"/>
      <c r="AN381" s="930"/>
      <c r="AO381" s="930"/>
      <c r="AQ381" s="2009" t="str">
        <f>CONCATENATE("Figs. in Row ",O380, " start w/ last column, which is taken directly from 'Taxi' wksht, Row ",Taxis!O265, ". Other columns are prorated from figures in Row ",O147, ".")</f>
        <v>Figs. in Row 380 start w/ last column, which is taken directly from 'Taxi' wksht, Row 265. Other columns are prorated from figures in Row 147.</v>
      </c>
      <c r="AR381" s="2010"/>
      <c r="AS381" s="2010"/>
      <c r="AT381" s="2010"/>
      <c r="AU381" s="2010"/>
      <c r="AV381" s="2010"/>
      <c r="AW381" s="2010"/>
      <c r="AX381" s="2011"/>
      <c r="AZ381" s="930"/>
      <c r="BA381" s="930"/>
      <c r="BB381" s="930"/>
      <c r="BC381" s="930"/>
      <c r="BD381" s="930"/>
      <c r="BE381" s="930"/>
      <c r="BF381" s="930"/>
      <c r="BG381" s="930"/>
      <c r="BI381" s="930"/>
      <c r="BJ381" s="930"/>
      <c r="BK381" s="930"/>
      <c r="BL381" s="930"/>
      <c r="BM381" s="930"/>
      <c r="BN381" s="930"/>
      <c r="BO381" s="930"/>
      <c r="BP381" s="930"/>
    </row>
    <row r="382" spans="2:68" ht="13.2" customHeight="1">
      <c r="B382" s="1123" t="s">
        <v>2294</v>
      </c>
      <c r="C382" s="1193"/>
      <c r="D382" s="1193"/>
      <c r="E382" s="4349" t="str">
        <f>CONCATENATE("Exceeds sum of Rows ",O374, " and ",O376, " due to Taxis.")</f>
        <v>Exceeds sum of Rows 374 and 376 due to Taxis.</v>
      </c>
      <c r="F382" s="4496"/>
      <c r="G382" s="1548">
        <f t="shared" ref="G382:L382" ca="1" si="444">P382+Y382+AH382+AQ382+AZ382+BI382</f>
        <v>-84926.096924244106</v>
      </c>
      <c r="H382" s="1548">
        <f t="shared" ca="1" si="444"/>
        <v>-26869.358875775273</v>
      </c>
      <c r="I382" s="1548">
        <f t="shared" ca="1" si="444"/>
        <v>-73530.97174451637</v>
      </c>
      <c r="J382" s="1548">
        <f t="shared" ca="1" si="444"/>
        <v>-43007.033063439601</v>
      </c>
      <c r="K382" s="1548">
        <f t="shared" ca="1" si="444"/>
        <v>-33078.944878950359</v>
      </c>
      <c r="L382" s="1548">
        <f t="shared" ca="1" si="444"/>
        <v>-35961.366960562424</v>
      </c>
      <c r="M382" s="575"/>
      <c r="N382" s="1550">
        <f ca="1">SUM(G382:M382)</f>
        <v>-297373.77244748815</v>
      </c>
      <c r="O382" s="136">
        <f>ROW()</f>
        <v>382</v>
      </c>
      <c r="P382" s="575">
        <f t="shared" ref="P382:W382" ca="1" si="445">P374+P376</f>
        <v>-13530.182853172255</v>
      </c>
      <c r="Q382" s="575">
        <f t="shared" ca="1" si="445"/>
        <v>-3883.5956784238178</v>
      </c>
      <c r="R382" s="575">
        <f t="shared" ca="1" si="445"/>
        <v>-10226.476850195471</v>
      </c>
      <c r="S382" s="575">
        <f t="shared" ca="1" si="445"/>
        <v>-5166.8127782121337</v>
      </c>
      <c r="T382" s="575">
        <f t="shared" ca="1" si="445"/>
        <v>-4676.4844062805805</v>
      </c>
      <c r="U382" s="575">
        <f t="shared" ca="1" si="445"/>
        <v>-4540.523884926657</v>
      </c>
      <c r="V382" s="10"/>
      <c r="W382" s="607">
        <f t="shared" ca="1" si="445"/>
        <v>-42024.076451210916</v>
      </c>
      <c r="Y382" s="575">
        <f t="shared" ref="Y382:AF382" ca="1" si="446">Y374+Y376</f>
        <v>-46703.214302520224</v>
      </c>
      <c r="Z382" s="575">
        <f t="shared" ca="1" si="446"/>
        <v>-15005.168481797431</v>
      </c>
      <c r="AA382" s="575">
        <f t="shared" ca="1" si="446"/>
        <v>-46661.485934718519</v>
      </c>
      <c r="AB382" s="575">
        <f t="shared" ca="1" si="446"/>
        <v>-29317.242421322102</v>
      </c>
      <c r="AC382" s="575">
        <f t="shared" ca="1" si="446"/>
        <v>-19436.319624281354</v>
      </c>
      <c r="AD382" s="575">
        <f t="shared" ca="1" si="446"/>
        <v>-22473.108497279645</v>
      </c>
      <c r="AE382" s="575"/>
      <c r="AF382" s="607">
        <f t="shared" ca="1" si="446"/>
        <v>-179596.53926191927</v>
      </c>
      <c r="AH382" s="575">
        <f t="shared" ref="AH382:AO382" ca="1" si="447">AH374+AH376</f>
        <v>-34215.191551343727</v>
      </c>
      <c r="AI382" s="575">
        <f t="shared" ca="1" si="447"/>
        <v>-10282.279511163924</v>
      </c>
      <c r="AJ382" s="575">
        <f t="shared" ca="1" si="447"/>
        <v>-23160.73854396692</v>
      </c>
      <c r="AK382" s="575">
        <f t="shared" ca="1" si="447"/>
        <v>-12668.40830042798</v>
      </c>
      <c r="AL382" s="575">
        <f t="shared" ca="1" si="447"/>
        <v>-11589.612848708133</v>
      </c>
      <c r="AM382" s="575">
        <f t="shared" ca="1" si="447"/>
        <v>-11368.65505222166</v>
      </c>
      <c r="AN382" s="575"/>
      <c r="AO382" s="607">
        <f t="shared" ca="1" si="447"/>
        <v>-103284.88580783234</v>
      </c>
      <c r="AQ382" s="1399">
        <f t="shared" ref="AQ382:AX382" ca="1" si="448">AQ374+AQ376+AQ380</f>
        <v>10395.787977812182</v>
      </c>
      <c r="AR382" s="1399">
        <f t="shared" ca="1" si="448"/>
        <v>2592.1208802016699</v>
      </c>
      <c r="AS382" s="1399">
        <f t="shared" ca="1" si="448"/>
        <v>7369.0769973871338</v>
      </c>
      <c r="AT382" s="1399">
        <f t="shared" ca="1" si="448"/>
        <v>4682.9436534418473</v>
      </c>
      <c r="AU382" s="1399">
        <f t="shared" ca="1" si="448"/>
        <v>2949.9581528388981</v>
      </c>
      <c r="AV382" s="1399">
        <f t="shared" ca="1" si="448"/>
        <v>2696.1698102602695</v>
      </c>
      <c r="AW382" s="1399"/>
      <c r="AX382" s="1399">
        <f t="shared" ca="1" si="448"/>
        <v>30686.057471942004</v>
      </c>
      <c r="AZ382" s="575">
        <f t="shared" ref="AZ382:BG382" ca="1" si="449">AZ374+AZ376</f>
        <v>-728.75538940835088</v>
      </c>
      <c r="BA382" s="575">
        <f t="shared" ca="1" si="449"/>
        <v>-241.96332651881181</v>
      </c>
      <c r="BB382" s="575">
        <f t="shared" ca="1" si="449"/>
        <v>-709.83840955179107</v>
      </c>
      <c r="BC382" s="575">
        <f t="shared" ca="1" si="449"/>
        <v>-448.3419460493605</v>
      </c>
      <c r="BD382" s="575">
        <f t="shared" ca="1" si="449"/>
        <v>-272.0108473650937</v>
      </c>
      <c r="BE382" s="575">
        <f t="shared" ca="1" si="449"/>
        <v>-229.16298762334287</v>
      </c>
      <c r="BF382" s="575"/>
      <c r="BG382" s="607">
        <f t="shared" ca="1" si="449"/>
        <v>-2630.0729065167507</v>
      </c>
      <c r="BI382" s="575">
        <f t="shared" ref="BI382:BP382" ca="1" si="450">BI374+BI376</f>
        <v>-144.54080561172611</v>
      </c>
      <c r="BJ382" s="575">
        <f t="shared" ca="1" si="450"/>
        <v>-48.472758072955713</v>
      </c>
      <c r="BK382" s="575">
        <f t="shared" ca="1" si="450"/>
        <v>-141.50900347080352</v>
      </c>
      <c r="BL382" s="575">
        <f t="shared" ca="1" si="450"/>
        <v>-89.171270869869289</v>
      </c>
      <c r="BM382" s="575">
        <f t="shared" ca="1" si="450"/>
        <v>-54.47530515410083</v>
      </c>
      <c r="BN382" s="575">
        <f t="shared" ca="1" si="450"/>
        <v>-46.086348771390043</v>
      </c>
      <c r="BO382" s="575"/>
      <c r="BP382" s="607">
        <f t="shared" ca="1" si="450"/>
        <v>-524.25549195084545</v>
      </c>
    </row>
    <row r="383" spans="2:68" s="1122" customFormat="1" ht="13.2" customHeight="1">
      <c r="B383" s="1123" t="s">
        <v>1347</v>
      </c>
      <c r="E383" s="4497"/>
      <c r="F383" s="4498"/>
      <c r="G383" s="1122">
        <f t="shared" ref="G383:L383" ca="1" si="451">G147+G382</f>
        <v>881422.30630021042</v>
      </c>
      <c r="H383" s="1122">
        <f t="shared" ca="1" si="451"/>
        <v>249214.6813441024</v>
      </c>
      <c r="I383" s="1122">
        <f t="shared" ca="1" si="451"/>
        <v>740954.44386343611</v>
      </c>
      <c r="J383" s="1122">
        <f t="shared" ca="1" si="451"/>
        <v>476581.62192143686</v>
      </c>
      <c r="K383" s="1122">
        <f t="shared" ca="1" si="451"/>
        <v>278976.913344278</v>
      </c>
      <c r="L383" s="1122">
        <f t="shared" ca="1" si="451"/>
        <v>245394.37066915771</v>
      </c>
      <c r="M383" s="1133"/>
      <c r="N383" s="1127">
        <f ca="1">SUM(G383:M383)</f>
        <v>2872544.3374426216</v>
      </c>
      <c r="O383" s="136">
        <f>ROW()</f>
        <v>383</v>
      </c>
      <c r="P383" s="1133">
        <f t="shared" ref="P383:U383" ca="1" si="452">P147+P382</f>
        <v>82024.656708216469</v>
      </c>
      <c r="Q383" s="1133">
        <f t="shared" ca="1" si="452"/>
        <v>27162.302007548249</v>
      </c>
      <c r="R383" s="1133">
        <f t="shared" ca="1" si="452"/>
        <v>76572.736667609162</v>
      </c>
      <c r="S383" s="1133">
        <f t="shared" ca="1" si="452"/>
        <v>40021.244327445587</v>
      </c>
      <c r="T383" s="1133">
        <f t="shared" ca="1" si="452"/>
        <v>27410.975784782335</v>
      </c>
      <c r="U383" s="1133">
        <f t="shared" ca="1" si="452"/>
        <v>21361.150910330085</v>
      </c>
      <c r="V383" s="1133"/>
      <c r="W383" s="1127">
        <f ca="1">SUM(P383:V383)</f>
        <v>274553.06640593184</v>
      </c>
      <c r="Y383" s="1133">
        <f t="shared" ref="Y383:AD383" ca="1" si="453">Y147+Y382</f>
        <v>186517.57852692774</v>
      </c>
      <c r="Z383" s="1133">
        <f t="shared" ca="1" si="453"/>
        <v>64293.756567947596</v>
      </c>
      <c r="AA383" s="1133">
        <f t="shared" ca="1" si="453"/>
        <v>219256.44772061007</v>
      </c>
      <c r="AB383" s="1133">
        <f t="shared" ca="1" si="453"/>
        <v>154826.64139263419</v>
      </c>
      <c r="AC383" s="1133">
        <f t="shared" ca="1" si="453"/>
        <v>78927.027637838881</v>
      </c>
      <c r="AD383" s="1133">
        <f t="shared" ca="1" si="453"/>
        <v>66313.437463550596</v>
      </c>
      <c r="AE383" s="1133"/>
      <c r="AF383" s="1127">
        <f ca="1">SUM(Y383:AE383)</f>
        <v>770134.88930950896</v>
      </c>
      <c r="AH383" s="1133">
        <f t="shared" ref="AH383:AM383" ca="1" si="454">AH147+AH382</f>
        <v>76786.314723639531</v>
      </c>
      <c r="AI383" s="1133">
        <f t="shared" ca="1" si="454"/>
        <v>25664.837830210108</v>
      </c>
      <c r="AJ383" s="1133">
        <f t="shared" ca="1" si="454"/>
        <v>70957.404412757707</v>
      </c>
      <c r="AK383" s="1133">
        <f t="shared" ca="1" si="454"/>
        <v>44150.603436222256</v>
      </c>
      <c r="AL383" s="1133">
        <f t="shared" ca="1" si="454"/>
        <v>23143.109143813384</v>
      </c>
      <c r="AM383" s="1133">
        <f t="shared" ca="1" si="454"/>
        <v>19452.844645524823</v>
      </c>
      <c r="AN383" s="1133"/>
      <c r="AO383" s="1127">
        <f ca="1">SUM(AH383:AN383)</f>
        <v>260155.11419216779</v>
      </c>
      <c r="AQ383" s="1122">
        <f t="shared" ref="AQ383:AV383" ca="1" si="455">AQ147+AQ382</f>
        <v>502998.12881102966</v>
      </c>
      <c r="AR383" s="1122">
        <f t="shared" ca="1" si="455"/>
        <v>121090.0808527504</v>
      </c>
      <c r="AS383" s="1122">
        <f t="shared" ca="1" si="455"/>
        <v>340612.84032427327</v>
      </c>
      <c r="AT383" s="1122">
        <f t="shared" ca="1" si="455"/>
        <v>216106.30800953342</v>
      </c>
      <c r="AU383" s="1122">
        <f t="shared" ca="1" si="455"/>
        <v>137103.48933382597</v>
      </c>
      <c r="AV383" s="1122">
        <f t="shared" ca="1" si="455"/>
        <v>127336.74860206751</v>
      </c>
      <c r="AX383" s="1122">
        <f ca="1">SUM(AQ383:AW383)</f>
        <v>1445247.5959334802</v>
      </c>
      <c r="AZ383" s="1133">
        <f t="shared" ref="AZ383:BE383" ca="1" si="456">AZ147+AZ382</f>
        <v>23980.440067440777</v>
      </c>
      <c r="BA383" s="1133">
        <f t="shared" ca="1" si="456"/>
        <v>7973.460842915375</v>
      </c>
      <c r="BB383" s="1133">
        <f t="shared" ca="1" si="456"/>
        <v>24317.55233810459</v>
      </c>
      <c r="BC383" s="1133">
        <f t="shared" ca="1" si="456"/>
        <v>15565.01732942086</v>
      </c>
      <c r="BD383" s="1133">
        <f t="shared" ca="1" si="456"/>
        <v>8979.7175361801674</v>
      </c>
      <c r="BE383" s="1133">
        <f t="shared" ca="1" si="456"/>
        <v>7921.7389794214678</v>
      </c>
      <c r="BF383" s="1133"/>
      <c r="BG383" s="1127">
        <f ca="1">SUM(AZ383:BF383)</f>
        <v>88737.927093483231</v>
      </c>
      <c r="BI383" s="1133">
        <f t="shared" ref="BI383:BN383" ca="1" si="457">BI147+BI382</f>
        <v>9115.1874629562008</v>
      </c>
      <c r="BJ383" s="1133">
        <f t="shared" ca="1" si="457"/>
        <v>3030.2432427306803</v>
      </c>
      <c r="BK383" s="1133">
        <f t="shared" ca="1" si="457"/>
        <v>9237.4624000813674</v>
      </c>
      <c r="BL383" s="1133">
        <f t="shared" ca="1" si="457"/>
        <v>5911.8074261805241</v>
      </c>
      <c r="BM383" s="1133">
        <f t="shared" ca="1" si="457"/>
        <v>3412.5939078372076</v>
      </c>
      <c r="BN383" s="1133">
        <f t="shared" ca="1" si="457"/>
        <v>3008.4500682631779</v>
      </c>
      <c r="BO383" s="1133"/>
      <c r="BP383" s="1127">
        <f ca="1">SUM(BI383:BO383)</f>
        <v>33715.74450804916</v>
      </c>
    </row>
    <row r="384" spans="2:68" ht="13.2" customHeight="1">
      <c r="B384" s="6"/>
      <c r="G384" s="928"/>
      <c r="H384" s="928"/>
      <c r="I384" s="928"/>
      <c r="J384" s="928"/>
      <c r="K384" s="928"/>
      <c r="L384" s="928"/>
      <c r="M384" s="928"/>
      <c r="N384" s="928"/>
      <c r="O384" s="136">
        <f>ROW()</f>
        <v>384</v>
      </c>
      <c r="P384" s="930"/>
      <c r="Q384" s="930"/>
      <c r="R384" s="930"/>
      <c r="S384" s="930"/>
      <c r="T384" s="930"/>
      <c r="U384" s="930"/>
      <c r="V384" s="930"/>
      <c r="W384" s="930"/>
      <c r="Y384" s="930"/>
      <c r="Z384" s="930"/>
      <c r="AA384" s="930"/>
      <c r="AB384" s="930"/>
      <c r="AC384" s="930"/>
      <c r="AD384" s="930"/>
      <c r="AE384" s="930"/>
      <c r="AF384" s="930"/>
      <c r="AH384" s="930"/>
      <c r="AI384" s="930"/>
      <c r="AJ384" s="930"/>
      <c r="AK384" s="930"/>
      <c r="AL384" s="930"/>
      <c r="AM384" s="930"/>
      <c r="AN384" s="930"/>
      <c r="AO384" s="930"/>
      <c r="AQ384" s="39"/>
      <c r="AR384" s="39"/>
      <c r="AS384" s="39"/>
      <c r="AT384" s="39"/>
      <c r="AU384" s="39"/>
      <c r="AV384" s="39"/>
      <c r="AW384" s="39"/>
      <c r="AX384" s="47"/>
      <c r="AZ384" s="930"/>
      <c r="BA384" s="930"/>
      <c r="BB384" s="930"/>
      <c r="BC384" s="930"/>
      <c r="BD384" s="930"/>
      <c r="BE384" s="930"/>
      <c r="BF384" s="930"/>
      <c r="BG384" s="930"/>
      <c r="BI384" s="930"/>
      <c r="BJ384" s="930"/>
      <c r="BK384" s="930"/>
      <c r="BL384" s="930"/>
      <c r="BM384" s="930"/>
      <c r="BN384" s="930"/>
      <c r="BO384" s="930"/>
      <c r="BP384" s="930"/>
    </row>
    <row r="385" spans="2:68" ht="13.2" customHeight="1">
      <c r="B385" s="6" t="s">
        <v>374</v>
      </c>
      <c r="G385" s="39"/>
      <c r="H385" s="39"/>
      <c r="N385" s="47"/>
      <c r="O385" s="39">
        <f>ROW()</f>
        <v>385</v>
      </c>
      <c r="P385" s="39"/>
      <c r="Q385" s="39"/>
      <c r="R385" s="39"/>
      <c r="S385" s="39"/>
      <c r="T385" s="39"/>
      <c r="U385" s="39"/>
      <c r="V385" s="39"/>
      <c r="W385" s="47"/>
      <c r="Y385" s="39"/>
      <c r="Z385" s="39"/>
      <c r="AA385" s="39"/>
      <c r="AB385" s="39"/>
      <c r="AC385" s="39"/>
      <c r="AD385" s="39"/>
      <c r="AE385" s="39"/>
      <c r="AF385" s="47"/>
      <c r="AH385" s="39"/>
      <c r="AI385" s="39"/>
      <c r="AJ385" s="39"/>
      <c r="AK385" s="39"/>
      <c r="AL385" s="39"/>
      <c r="AM385" s="39"/>
      <c r="AN385" s="39"/>
      <c r="AO385" s="47"/>
      <c r="AQ385" s="39"/>
      <c r="AR385" s="39"/>
      <c r="AS385" s="39"/>
      <c r="AT385" s="39"/>
      <c r="AU385" s="39"/>
      <c r="AV385" s="39"/>
      <c r="AW385" s="39"/>
      <c r="AX385" s="47"/>
      <c r="AZ385" s="39"/>
      <c r="BA385" s="39"/>
      <c r="BB385" s="39"/>
      <c r="BC385" s="39"/>
      <c r="BD385" s="39"/>
      <c r="BE385" s="39"/>
      <c r="BF385" s="39"/>
      <c r="BG385" s="47"/>
      <c r="BI385" s="39"/>
      <c r="BJ385" s="39"/>
      <c r="BK385" s="39"/>
      <c r="BL385" s="39"/>
      <c r="BM385" s="39"/>
      <c r="BN385" s="39"/>
      <c r="BO385" s="39"/>
      <c r="BP385" s="47"/>
    </row>
    <row r="386" spans="2:68" ht="13.2" customHeight="1">
      <c r="B386" s="280" t="s">
        <v>1456</v>
      </c>
      <c r="M386" s="1563" t="s">
        <v>311</v>
      </c>
      <c r="N386" s="1122">
        <f ca="1">W386+AF386</f>
        <v>-4118.0985838346305</v>
      </c>
      <c r="O386" s="39">
        <f>ROW()</f>
        <v>386</v>
      </c>
      <c r="P386" s="1122"/>
      <c r="Q386" s="1122"/>
      <c r="R386" s="1122"/>
      <c r="S386" s="1122"/>
      <c r="T386" s="1122"/>
      <c r="U386" s="1122"/>
      <c r="V386" s="1563" t="str">
        <f>CONCATENATE("(from 'Taxis' worksheet, Row ",Taxis!O449, ")")</f>
        <v>(from 'Taxis' worksheet, Row 449)</v>
      </c>
      <c r="W386" s="1122">
        <f ca="1">Taxis!L449</f>
        <v>-964.40027526785593</v>
      </c>
      <c r="Y386" s="1122"/>
      <c r="Z386" s="1122"/>
      <c r="AA386" s="1122"/>
      <c r="AB386" s="1122"/>
      <c r="AC386" s="1122"/>
      <c r="AD386" s="1122"/>
      <c r="AE386" s="1563" t="str">
        <f>CONCATENATE("(from 'Taxis' worksheet, Row ",Taxis!O449, ")")</f>
        <v>(from 'Taxis' worksheet, Row 449)</v>
      </c>
      <c r="AF386" s="1122">
        <f ca="1">Taxis!M449</f>
        <v>-3153.6983085667744</v>
      </c>
      <c r="AH386" s="39"/>
      <c r="AI386" s="39"/>
      <c r="AJ386" s="39"/>
      <c r="AK386" s="39"/>
      <c r="AL386" s="39"/>
      <c r="AM386" s="39"/>
      <c r="AN386" s="39"/>
      <c r="AO386" s="47"/>
      <c r="AQ386" s="39"/>
      <c r="AR386" s="39"/>
      <c r="AS386" s="39"/>
      <c r="AT386" s="39"/>
      <c r="AU386" s="39"/>
      <c r="AV386" s="39"/>
      <c r="AW386" s="39"/>
      <c r="AX386" s="1122"/>
      <c r="AZ386" s="39"/>
      <c r="BA386" s="39"/>
      <c r="BB386" s="39"/>
      <c r="BC386" s="39"/>
      <c r="BD386" s="39"/>
      <c r="BE386" s="39"/>
      <c r="BF386" s="39"/>
      <c r="BG386" s="47"/>
      <c r="BI386" s="39"/>
      <c r="BJ386" s="39"/>
      <c r="BK386" s="39"/>
      <c r="BL386" s="39"/>
      <c r="BM386" s="39"/>
      <c r="BN386" s="39"/>
      <c r="BO386" s="39"/>
      <c r="BP386" s="47"/>
    </row>
    <row r="387" spans="2:68" ht="13.2" customHeight="1">
      <c r="B387" s="280" t="s">
        <v>1455</v>
      </c>
      <c r="N387" s="1122"/>
      <c r="O387" s="39">
        <f>ROW()</f>
        <v>387</v>
      </c>
      <c r="P387" s="1122">
        <f t="shared" ref="P387:V387" ca="1" si="458">P122/$W$122*$W$386</f>
        <v>-297.90168453156662</v>
      </c>
      <c r="Q387" s="1122">
        <f t="shared" ca="1" si="458"/>
        <v>-106.71244946219782</v>
      </c>
      <c r="R387" s="1122">
        <f t="shared" ca="1" si="458"/>
        <v>-279.47199155103254</v>
      </c>
      <c r="S387" s="1122">
        <f t="shared" ca="1" si="458"/>
        <v>-108.09484743099027</v>
      </c>
      <c r="T387" s="1122">
        <f t="shared" ca="1" si="458"/>
        <v>-106.36416108673789</v>
      </c>
      <c r="U387" s="1122">
        <f t="shared" ca="1" si="458"/>
        <v>-65.855141205330725</v>
      </c>
      <c r="V387" s="1122">
        <f t="shared" ca="1" si="458"/>
        <v>0</v>
      </c>
      <c r="W387" s="1122">
        <f t="shared" ref="W387:W392" ca="1" si="459">SUM(P387:V387)</f>
        <v>-964.40027526785582</v>
      </c>
      <c r="Y387" s="1122">
        <f t="shared" ref="Y387:AE387" ca="1" si="460">Y122/$AF$122*$AF$386</f>
        <v>-568.53489042692843</v>
      </c>
      <c r="Z387" s="1122">
        <f t="shared" ca="1" si="460"/>
        <v>-243.92568722805501</v>
      </c>
      <c r="AA387" s="1122">
        <f t="shared" ca="1" si="460"/>
        <v>-955.80409426332005</v>
      </c>
      <c r="AB387" s="1122">
        <f t="shared" ca="1" si="460"/>
        <v>-722.20200918039188</v>
      </c>
      <c r="AC387" s="1122">
        <f t="shared" ca="1" si="460"/>
        <v>-363.76919234507005</v>
      </c>
      <c r="AD387" s="1122">
        <f t="shared" ca="1" si="460"/>
        <v>-299.46243512300896</v>
      </c>
      <c r="AE387" s="1122">
        <f t="shared" ca="1" si="460"/>
        <v>0</v>
      </c>
      <c r="AF387" s="1122">
        <f t="shared" ref="AF387:AF392" ca="1" si="461">SUM(Y387:AE387)</f>
        <v>-3153.6983085667748</v>
      </c>
      <c r="AH387" s="39"/>
      <c r="AI387" s="39"/>
      <c r="AJ387" s="39"/>
      <c r="AK387" s="39"/>
      <c r="AL387" s="39"/>
      <c r="AM387" s="39"/>
      <c r="AN387" s="39"/>
      <c r="AO387" s="47"/>
      <c r="AQ387" s="1122"/>
      <c r="AR387" s="1122"/>
      <c r="AS387" s="1122"/>
      <c r="AT387" s="1122"/>
      <c r="AU387" s="1122"/>
      <c r="AV387" s="1122"/>
      <c r="AW387" s="1122"/>
      <c r="AX387" s="1122"/>
      <c r="AZ387" s="39"/>
      <c r="BA387" s="39"/>
      <c r="BB387" s="39"/>
      <c r="BC387" s="39"/>
      <c r="BD387" s="39"/>
      <c r="BE387" s="39"/>
      <c r="BF387" s="39"/>
      <c r="BG387" s="47"/>
      <c r="BI387" s="39"/>
      <c r="BJ387" s="39"/>
      <c r="BK387" s="39"/>
      <c r="BL387" s="39"/>
      <c r="BM387" s="39"/>
      <c r="BN387" s="39"/>
      <c r="BO387" s="39"/>
      <c r="BP387" s="47"/>
    </row>
    <row r="388" spans="2:68" ht="13.2" customHeight="1">
      <c r="B388" s="280" t="s">
        <v>2659</v>
      </c>
      <c r="G388" s="39"/>
      <c r="I388" s="39"/>
      <c r="J388" s="39"/>
      <c r="K388" s="39"/>
      <c r="L388" s="39"/>
      <c r="M388" s="1558" t="str">
        <f>CONCATENATE("(algebra on a parameter in Row ",Taxis!O302," of Taxi worksheet)")</f>
        <v>(algebra on a parameter in Row 302 of Taxi worksheet)</v>
      </c>
      <c r="N388" s="39">
        <f>Taxis!L302/(1+Taxis!L302)</f>
        <v>0.87847730600292817</v>
      </c>
      <c r="O388" s="39">
        <f>ROW()</f>
        <v>388</v>
      </c>
      <c r="P388" s="1122">
        <f t="shared" ref="P388:V388" ca="1" si="462">$N$388*P387</f>
        <v>-261.6998692810248</v>
      </c>
      <c r="Q388" s="1122">
        <f t="shared" ca="1" si="462"/>
        <v>-93.744465120525163</v>
      </c>
      <c r="R388" s="1122">
        <f t="shared" ca="1" si="462"/>
        <v>-245.50980224102418</v>
      </c>
      <c r="S388" s="1122">
        <f t="shared" ca="1" si="462"/>
        <v>-94.958870363973872</v>
      </c>
      <c r="T388" s="1122">
        <f t="shared" ca="1" si="462"/>
        <v>-93.438501686738988</v>
      </c>
      <c r="U388" s="1122">
        <f t="shared" ca="1" si="462"/>
        <v>-57.85224703250136</v>
      </c>
      <c r="V388" s="1122">
        <f t="shared" ca="1" si="462"/>
        <v>0</v>
      </c>
      <c r="W388" s="1122">
        <f t="shared" ca="1" si="459"/>
        <v>-847.20375572578837</v>
      </c>
      <c r="Y388" s="1122">
        <f t="shared" ref="Y388:AE388" ca="1" si="463">$N$388*Y387</f>
        <v>-499.44499891091806</v>
      </c>
      <c r="Z388" s="1122">
        <f t="shared" ca="1" si="463"/>
        <v>-214.28318058101462</v>
      </c>
      <c r="AA388" s="1122">
        <f t="shared" ca="1" si="463"/>
        <v>-839.65220579501022</v>
      </c>
      <c r="AB388" s="1122">
        <f t="shared" ca="1" si="463"/>
        <v>-634.43807541469266</v>
      </c>
      <c r="AC388" s="1122">
        <f t="shared" ca="1" si="463"/>
        <v>-319.56298009815816</v>
      </c>
      <c r="AD388" s="1122">
        <f t="shared" ca="1" si="463"/>
        <v>-263.07095325593758</v>
      </c>
      <c r="AE388" s="1122">
        <f t="shared" ca="1" si="463"/>
        <v>0</v>
      </c>
      <c r="AF388" s="1122">
        <f t="shared" ca="1" si="461"/>
        <v>-2770.4523940557315</v>
      </c>
      <c r="AH388" s="39"/>
      <c r="AI388" s="47" t="s">
        <v>312</v>
      </c>
      <c r="AJ388" s="39"/>
      <c r="AK388" s="39"/>
      <c r="AL388" s="39"/>
      <c r="AM388" s="39"/>
      <c r="AN388" s="39"/>
      <c r="AO388" s="47"/>
      <c r="AQ388" s="39"/>
      <c r="AR388" s="39"/>
      <c r="AS388" s="39"/>
      <c r="AT388" s="39"/>
      <c r="AU388" s="39"/>
      <c r="AV388" s="39"/>
      <c r="AW388" s="39"/>
      <c r="AX388" s="47"/>
      <c r="AZ388" s="39"/>
      <c r="BA388" s="47" t="s">
        <v>313</v>
      </c>
      <c r="BB388" s="39"/>
      <c r="BC388" s="39"/>
      <c r="BD388" s="39"/>
      <c r="BE388" s="39"/>
      <c r="BF388" s="39"/>
      <c r="BG388" s="47"/>
      <c r="BI388" s="39"/>
      <c r="BJ388" s="47" t="s">
        <v>314</v>
      </c>
      <c r="BK388" s="39"/>
      <c r="BL388" s="39"/>
      <c r="BM388" s="39"/>
      <c r="BN388" s="39"/>
      <c r="BO388" s="39"/>
      <c r="BP388" s="47"/>
    </row>
    <row r="389" spans="2:68" ht="13.2" customHeight="1">
      <c r="B389" s="280" t="s">
        <v>735</v>
      </c>
      <c r="G389" s="39"/>
      <c r="H389" s="39"/>
      <c r="I389" s="39"/>
      <c r="J389" s="39"/>
      <c r="K389" s="39"/>
      <c r="L389" s="39"/>
      <c r="M389" s="1558" t="str">
        <f>CONCATENATE("(product of number of trips and per-trip in-cordon miles shown in Row ",O378," of taxi block)")</f>
        <v>(product of number of trips and per-trip in-cordon miles shown in Row 378 of taxi block)</v>
      </c>
      <c r="N389" s="1122"/>
      <c r="O389" s="39">
        <f>ROW()</f>
        <v>389</v>
      </c>
      <c r="P389" s="1122">
        <f t="shared" ref="P389:V389" ca="1" si="464">P388*$AU$378</f>
        <v>-834.82258300646913</v>
      </c>
      <c r="Q389" s="1122">
        <f t="shared" ca="1" si="464"/>
        <v>-299.04484373447525</v>
      </c>
      <c r="R389" s="1122">
        <f t="shared" ca="1" si="464"/>
        <v>-783.17626914886705</v>
      </c>
      <c r="S389" s="1122">
        <f t="shared" ca="1" si="464"/>
        <v>-302.91879646107662</v>
      </c>
      <c r="T389" s="1122">
        <f t="shared" ca="1" si="464"/>
        <v>-298.06882038069739</v>
      </c>
      <c r="U389" s="1122">
        <f t="shared" ca="1" si="464"/>
        <v>-184.54866803367935</v>
      </c>
      <c r="V389" s="1122">
        <f t="shared" ca="1" si="464"/>
        <v>0</v>
      </c>
      <c r="W389" s="1122">
        <f t="shared" ca="1" si="459"/>
        <v>-2702.5799807652652</v>
      </c>
      <c r="Y389" s="1122">
        <f t="shared" ref="Y389:AE389" ca="1" si="465">Y388*$AU$378</f>
        <v>-1593.2295465258285</v>
      </c>
      <c r="Z389" s="1122">
        <f t="shared" ca="1" si="465"/>
        <v>-683.56334605343659</v>
      </c>
      <c r="AA389" s="1122">
        <f t="shared" ca="1" si="465"/>
        <v>-2678.4905364860824</v>
      </c>
      <c r="AB389" s="1122">
        <f t="shared" ca="1" si="465"/>
        <v>-2023.8574605728695</v>
      </c>
      <c r="AC389" s="1122">
        <f t="shared" ca="1" si="465"/>
        <v>-1019.4059065131245</v>
      </c>
      <c r="AD389" s="1122">
        <f t="shared" ca="1" si="465"/>
        <v>-839.19634088644091</v>
      </c>
      <c r="AE389" s="1122">
        <f t="shared" ca="1" si="465"/>
        <v>0</v>
      </c>
      <c r="AF389" s="1122">
        <f t="shared" ca="1" si="461"/>
        <v>-8837.7431370377817</v>
      </c>
      <c r="AH389" s="39"/>
      <c r="AJ389" s="39"/>
      <c r="AK389" s="39"/>
      <c r="AL389" s="39"/>
      <c r="AM389" s="39"/>
      <c r="AN389" s="39"/>
      <c r="AO389" s="47"/>
      <c r="AQ389" s="1122">
        <f t="shared" ref="AQ389:AV389" si="466">$AX$312*AQ147</f>
        <v>0</v>
      </c>
      <c r="AR389" s="1122">
        <f t="shared" si="466"/>
        <v>0</v>
      </c>
      <c r="AS389" s="1122">
        <f t="shared" si="466"/>
        <v>0</v>
      </c>
      <c r="AT389" s="1122">
        <f t="shared" si="466"/>
        <v>0</v>
      </c>
      <c r="AU389" s="1122">
        <f t="shared" si="466"/>
        <v>0</v>
      </c>
      <c r="AV389" s="1122">
        <f t="shared" si="466"/>
        <v>0</v>
      </c>
      <c r="AW389" s="1122"/>
      <c r="AX389" s="1122">
        <f>SUM(AQ389:AW389)</f>
        <v>0</v>
      </c>
      <c r="AZ389" s="39"/>
      <c r="BB389" s="39"/>
      <c r="BC389" s="39"/>
      <c r="BD389" s="39"/>
      <c r="BE389" s="39"/>
      <c r="BF389" s="39"/>
      <c r="BG389" s="47"/>
      <c r="BI389" s="39"/>
      <c r="BK389" s="39"/>
      <c r="BL389" s="39"/>
      <c r="BM389" s="39"/>
      <c r="BN389" s="39"/>
      <c r="BO389" s="39"/>
      <c r="BP389" s="47"/>
    </row>
    <row r="390" spans="2:68" ht="13.2" customHeight="1">
      <c r="B390" s="280" t="s">
        <v>1549</v>
      </c>
      <c r="G390" s="39"/>
      <c r="I390" s="39"/>
      <c r="J390" s="39"/>
      <c r="K390" s="39"/>
      <c r="L390" s="39"/>
      <c r="M390" s="1558" t="str">
        <f>CONCATENATE("(complement of percentage in Row ",O388,")")</f>
        <v>(complement of percentage in Row 388)</v>
      </c>
      <c r="N390" s="39">
        <f>1-N388</f>
        <v>0.12152269399707183</v>
      </c>
      <c r="O390" s="39">
        <f>ROW()</f>
        <v>390</v>
      </c>
      <c r="P390" s="1122">
        <f t="shared" ref="P390:V390" ca="1" si="467">$N$390*P387</f>
        <v>-36.201815250541799</v>
      </c>
      <c r="Q390" s="1122">
        <f t="shared" ca="1" si="467"/>
        <v>-12.967984341672658</v>
      </c>
      <c r="R390" s="1122">
        <f t="shared" ca="1" si="467"/>
        <v>-33.96218931000837</v>
      </c>
      <c r="S390" s="1122">
        <f t="shared" ca="1" si="467"/>
        <v>-13.135977067016396</v>
      </c>
      <c r="T390" s="1122">
        <f t="shared" ca="1" si="467"/>
        <v>-12.925659399998905</v>
      </c>
      <c r="U390" s="1122">
        <f t="shared" ca="1" si="467"/>
        <v>-8.002894172829361</v>
      </c>
      <c r="V390" s="1122">
        <f t="shared" ca="1" si="467"/>
        <v>0</v>
      </c>
      <c r="W390" s="1122">
        <f t="shared" ca="1" si="459"/>
        <v>-117.19651954206749</v>
      </c>
      <c r="Y390" s="1122">
        <f t="shared" ref="Y390:AE390" ca="1" si="468">$N$390*Y387</f>
        <v>-69.089891516010383</v>
      </c>
      <c r="Z390" s="1122">
        <f t="shared" ca="1" si="468"/>
        <v>-29.642506647040381</v>
      </c>
      <c r="AA390" s="1122">
        <f t="shared" ca="1" si="468"/>
        <v>-116.15188846830983</v>
      </c>
      <c r="AB390" s="1122">
        <f t="shared" ca="1" si="468"/>
        <v>-87.763933765699221</v>
      </c>
      <c r="AC390" s="1122">
        <f t="shared" ca="1" si="468"/>
        <v>-44.20621224691191</v>
      </c>
      <c r="AD390" s="1122">
        <f t="shared" ca="1" si="468"/>
        <v>-36.391481867071391</v>
      </c>
      <c r="AE390" s="1122">
        <f t="shared" ca="1" si="468"/>
        <v>0</v>
      </c>
      <c r="AF390" s="1122">
        <f t="shared" ca="1" si="461"/>
        <v>-383.24591451104311</v>
      </c>
      <c r="AH390" s="39"/>
      <c r="AI390" s="39"/>
      <c r="AJ390" s="39"/>
      <c r="AK390" s="39"/>
      <c r="AL390" s="39"/>
      <c r="AM390" s="39"/>
      <c r="AN390" s="39"/>
      <c r="AO390" s="47"/>
      <c r="AQ390" s="265" t="str">
        <f>CONCATENATE("Figures are products of % increase in number of medallion taxis from Cell AX",O312, " and taxis' baseline cordon VMT for period in Row ",O147, ".")</f>
        <v>Figures are products of % increase in number of medallion taxis from Cell AX312 and taxis' baseline cordon VMT for period in Row 147.</v>
      </c>
      <c r="AR390" s="39"/>
      <c r="AS390" s="39"/>
      <c r="AT390" s="39"/>
      <c r="AU390" s="39"/>
      <c r="AV390" s="39"/>
      <c r="AW390" s="39"/>
      <c r="AX390" s="47"/>
      <c r="AZ390" s="39"/>
      <c r="BA390" s="39"/>
      <c r="BB390" s="39"/>
      <c r="BC390" s="39"/>
      <c r="BD390" s="39"/>
      <c r="BE390" s="39"/>
      <c r="BF390" s="39"/>
      <c r="BG390" s="47"/>
      <c r="BI390" s="39"/>
      <c r="BJ390" s="39"/>
      <c r="BK390" s="39"/>
      <c r="BL390" s="39"/>
      <c r="BM390" s="39"/>
      <c r="BN390" s="39"/>
      <c r="BO390" s="39"/>
      <c r="BP390" s="47"/>
    </row>
    <row r="391" spans="2:68" ht="13.2" customHeight="1">
      <c r="B391" s="280" t="s">
        <v>735</v>
      </c>
      <c r="G391" s="39"/>
      <c r="H391" s="39"/>
      <c r="I391" s="39"/>
      <c r="J391" s="39"/>
      <c r="K391" s="39"/>
      <c r="L391" s="39"/>
      <c r="M391" s="1558" t="str">
        <f>CONCATENATE("(product of number of trips and per-trip in-cordon miles shown in Row ",O381,")")</f>
        <v>(product of number of trips and per-trip in-cordon miles shown in Row 381)</v>
      </c>
      <c r="N391" s="1122"/>
      <c r="O391" s="39">
        <f>ROW()</f>
        <v>391</v>
      </c>
      <c r="P391" s="1122">
        <f t="shared" ref="P391:V391" ca="1" si="469">P390*$AU$378</f>
        <v>-115.48379064922834</v>
      </c>
      <c r="Q391" s="1122">
        <f t="shared" ca="1" si="469"/>
        <v>-41.367870049935775</v>
      </c>
      <c r="R391" s="1122">
        <f t="shared" ca="1" si="469"/>
        <v>-108.3393838989267</v>
      </c>
      <c r="S391" s="1122">
        <f t="shared" ca="1" si="469"/>
        <v>-41.903766843782307</v>
      </c>
      <c r="T391" s="1122">
        <f t="shared" ca="1" si="469"/>
        <v>-41.232853485996507</v>
      </c>
      <c r="U391" s="1122">
        <f t="shared" ca="1" si="469"/>
        <v>-25.529232411325662</v>
      </c>
      <c r="V391" s="1122">
        <f t="shared" ca="1" si="469"/>
        <v>0</v>
      </c>
      <c r="W391" s="1122">
        <f t="shared" ca="1" si="459"/>
        <v>-373.85689733919526</v>
      </c>
      <c r="Y391" s="1122">
        <f t="shared" ref="Y391:AE391" ca="1" si="470">Y390*$AU$378</f>
        <v>-220.39675393607311</v>
      </c>
      <c r="Z391" s="1122">
        <f t="shared" ca="1" si="470"/>
        <v>-94.55959620405882</v>
      </c>
      <c r="AA391" s="1122">
        <f t="shared" ca="1" si="470"/>
        <v>-370.52452421390836</v>
      </c>
      <c r="AB391" s="1122">
        <f t="shared" ca="1" si="470"/>
        <v>-279.96694871258052</v>
      </c>
      <c r="AC391" s="1122">
        <f t="shared" ca="1" si="470"/>
        <v>-141.01781706764899</v>
      </c>
      <c r="AD391" s="1122">
        <f t="shared" ca="1" si="470"/>
        <v>-116.08882715595773</v>
      </c>
      <c r="AE391" s="1122">
        <f t="shared" ca="1" si="470"/>
        <v>0</v>
      </c>
      <c r="AF391" s="1122">
        <f t="shared" ca="1" si="461"/>
        <v>-1222.5544672902274</v>
      </c>
      <c r="AH391" s="39"/>
      <c r="AI391" s="39"/>
      <c r="AJ391" s="39"/>
      <c r="AK391" s="39"/>
      <c r="AL391" s="39"/>
      <c r="AM391" s="39"/>
      <c r="AN391" s="39"/>
      <c r="AO391" s="47"/>
      <c r="AQ391" s="39"/>
      <c r="AR391" s="39"/>
      <c r="AS391" s="39"/>
      <c r="AT391" s="39"/>
      <c r="AU391" s="39"/>
      <c r="AV391" s="39"/>
      <c r="AW391" s="39"/>
      <c r="AX391" s="47"/>
      <c r="AZ391" s="39"/>
      <c r="BA391" s="39"/>
      <c r="BB391" s="39"/>
      <c r="BC391" s="39"/>
      <c r="BD391" s="39"/>
      <c r="BE391" s="39"/>
      <c r="BF391" s="39"/>
      <c r="BG391" s="47"/>
      <c r="BI391" s="39"/>
      <c r="BJ391" s="39"/>
      <c r="BK391" s="39"/>
      <c r="BL391" s="39"/>
      <c r="BM391" s="39"/>
      <c r="BN391" s="39"/>
      <c r="BO391" s="39"/>
      <c r="BP391" s="47"/>
    </row>
    <row r="392" spans="2:68" ht="13.2" customHeight="1">
      <c r="B392" s="280" t="str">
        <f>CONCATENATE("Cordon VMT in period after tolls (sum of Rows ",O383, ", ",O389, " and ",O391,")")</f>
        <v>Cordon VMT in period after tolls (sum of Rows 383, 389 and 391)</v>
      </c>
      <c r="G392" s="1122">
        <f t="shared" ref="G392:M392" ca="1" si="471">P392+Y392+AH392+AQ392+AZ392+BI392</f>
        <v>878658.37362609268</v>
      </c>
      <c r="H392" s="1122">
        <f t="shared" ca="1" si="471"/>
        <v>248096.1456880605</v>
      </c>
      <c r="I392" s="1122">
        <f t="shared" ca="1" si="471"/>
        <v>737013.91314968828</v>
      </c>
      <c r="J392" s="1122">
        <f t="shared" ca="1" si="471"/>
        <v>473932.9749488465</v>
      </c>
      <c r="K392" s="1122">
        <f t="shared" ca="1" si="471"/>
        <v>277477.18794683047</v>
      </c>
      <c r="L392" s="1122">
        <f t="shared" ca="1" si="471"/>
        <v>244229.00760067027</v>
      </c>
      <c r="M392" s="1122">
        <f t="shared" ca="1" si="471"/>
        <v>0</v>
      </c>
      <c r="N392" s="1122">
        <f ca="1">SUM(G392:M392)</f>
        <v>2859407.6029601889</v>
      </c>
      <c r="O392" s="39">
        <f>ROW()</f>
        <v>392</v>
      </c>
      <c r="P392" s="1122">
        <f t="shared" ref="P392:V392" ca="1" si="472">P383+P389+P391</f>
        <v>81074.350334560775</v>
      </c>
      <c r="Q392" s="1122">
        <f t="shared" ca="1" si="472"/>
        <v>26821.889293763837</v>
      </c>
      <c r="R392" s="1122">
        <f t="shared" ca="1" si="472"/>
        <v>75681.221014561364</v>
      </c>
      <c r="S392" s="1122">
        <f t="shared" ca="1" si="472"/>
        <v>39676.42176414073</v>
      </c>
      <c r="T392" s="1122">
        <f t="shared" ca="1" si="472"/>
        <v>27071.674110915643</v>
      </c>
      <c r="U392" s="1122">
        <f t="shared" ca="1" si="472"/>
        <v>21151.07300988508</v>
      </c>
      <c r="V392" s="1122">
        <f t="shared" ca="1" si="472"/>
        <v>0</v>
      </c>
      <c r="W392" s="1122">
        <f t="shared" ca="1" si="459"/>
        <v>271476.62952782743</v>
      </c>
      <c r="Y392" s="1122">
        <f t="shared" ref="Y392:AE392" ca="1" si="473">Y383+Y389+Y391</f>
        <v>184703.95222646583</v>
      </c>
      <c r="Z392" s="1122">
        <f t="shared" ca="1" si="473"/>
        <v>63515.633625690098</v>
      </c>
      <c r="AA392" s="1122">
        <f t="shared" ca="1" si="473"/>
        <v>216207.43265991006</v>
      </c>
      <c r="AB392" s="1122">
        <f t="shared" ca="1" si="473"/>
        <v>152522.81698334872</v>
      </c>
      <c r="AC392" s="1122">
        <f t="shared" ca="1" si="473"/>
        <v>77766.603914258099</v>
      </c>
      <c r="AD392" s="1122">
        <f t="shared" ca="1" si="473"/>
        <v>65358.152295508196</v>
      </c>
      <c r="AE392" s="1122">
        <f t="shared" ca="1" si="473"/>
        <v>0</v>
      </c>
      <c r="AF392" s="1122">
        <f t="shared" ca="1" si="461"/>
        <v>760074.59170518094</v>
      </c>
      <c r="AH392" s="1122">
        <f t="shared" ref="AH392:AN392" ca="1" si="474">AH383+AH389+AH391</f>
        <v>76786.314723639531</v>
      </c>
      <c r="AI392" s="1122">
        <f t="shared" ca="1" si="474"/>
        <v>25664.837830210108</v>
      </c>
      <c r="AJ392" s="1122">
        <f t="shared" ca="1" si="474"/>
        <v>70957.404412757707</v>
      </c>
      <c r="AK392" s="1122">
        <f t="shared" ca="1" si="474"/>
        <v>44150.603436222256</v>
      </c>
      <c r="AL392" s="1122">
        <f t="shared" ca="1" si="474"/>
        <v>23143.109143813384</v>
      </c>
      <c r="AM392" s="1122">
        <f t="shared" ca="1" si="474"/>
        <v>19452.844645524823</v>
      </c>
      <c r="AN392" s="1122">
        <f t="shared" si="474"/>
        <v>0</v>
      </c>
      <c r="AO392" s="1122">
        <f ca="1">SUM(AH392:AN392)</f>
        <v>260155.11419216779</v>
      </c>
      <c r="AQ392" s="1122">
        <f t="shared" ref="AQ392:AV392" ca="1" si="475">AQ383+AQ389</f>
        <v>502998.12881102966</v>
      </c>
      <c r="AR392" s="1122">
        <f t="shared" ca="1" si="475"/>
        <v>121090.0808527504</v>
      </c>
      <c r="AS392" s="1122">
        <f t="shared" ca="1" si="475"/>
        <v>340612.84032427327</v>
      </c>
      <c r="AT392" s="1122">
        <f t="shared" ca="1" si="475"/>
        <v>216106.30800953342</v>
      </c>
      <c r="AU392" s="1122">
        <f t="shared" ca="1" si="475"/>
        <v>137103.48933382597</v>
      </c>
      <c r="AV392" s="1122">
        <f t="shared" ca="1" si="475"/>
        <v>127336.74860206751</v>
      </c>
      <c r="AW392" s="1122"/>
      <c r="AX392" s="1122">
        <f ca="1">SUM(AQ392:AW392)</f>
        <v>1445247.5959334802</v>
      </c>
      <c r="AZ392" s="1122">
        <f t="shared" ref="AZ392:BF392" ca="1" si="476">AZ383+AZ389+AZ391</f>
        <v>23980.440067440777</v>
      </c>
      <c r="BA392" s="1122">
        <f t="shared" ca="1" si="476"/>
        <v>7973.460842915375</v>
      </c>
      <c r="BB392" s="1122">
        <f t="shared" ca="1" si="476"/>
        <v>24317.55233810459</v>
      </c>
      <c r="BC392" s="1122">
        <f t="shared" ca="1" si="476"/>
        <v>15565.01732942086</v>
      </c>
      <c r="BD392" s="1122">
        <f t="shared" ca="1" si="476"/>
        <v>8979.7175361801674</v>
      </c>
      <c r="BE392" s="1122">
        <f t="shared" ca="1" si="476"/>
        <v>7921.7389794214678</v>
      </c>
      <c r="BF392" s="1122">
        <f t="shared" si="476"/>
        <v>0</v>
      </c>
      <c r="BG392" s="1122">
        <f ca="1">SUM(AZ392:BF392)</f>
        <v>88737.927093483231</v>
      </c>
      <c r="BI392" s="1122">
        <f t="shared" ref="BI392:BO392" ca="1" si="477">BI383+BI389+BI391</f>
        <v>9115.1874629562008</v>
      </c>
      <c r="BJ392" s="1122">
        <f t="shared" ca="1" si="477"/>
        <v>3030.2432427306803</v>
      </c>
      <c r="BK392" s="1122">
        <f t="shared" ca="1" si="477"/>
        <v>9237.4624000813674</v>
      </c>
      <c r="BL392" s="1122">
        <f t="shared" ca="1" si="477"/>
        <v>5911.8074261805241</v>
      </c>
      <c r="BM392" s="1122">
        <f t="shared" ca="1" si="477"/>
        <v>3412.5939078372076</v>
      </c>
      <c r="BN392" s="1122">
        <f t="shared" ca="1" si="477"/>
        <v>3008.4500682631779</v>
      </c>
      <c r="BO392" s="1122">
        <f t="shared" si="477"/>
        <v>0</v>
      </c>
      <c r="BP392" s="1122">
        <f ca="1">SUM(BI392:BO392)</f>
        <v>33715.74450804916</v>
      </c>
    </row>
    <row r="393" spans="2:68" ht="13.2" customHeight="1">
      <c r="B393" s="6"/>
      <c r="G393" s="928"/>
      <c r="H393" s="928"/>
      <c r="I393" s="928"/>
      <c r="J393" s="928"/>
      <c r="K393" s="928"/>
      <c r="L393" s="928"/>
      <c r="M393" s="928"/>
      <c r="N393" s="928"/>
      <c r="O393" s="39">
        <f>ROW()</f>
        <v>393</v>
      </c>
      <c r="P393" s="930"/>
      <c r="Q393" s="930"/>
      <c r="R393" s="930"/>
      <c r="S393" s="930"/>
      <c r="T393" s="930"/>
      <c r="U393" s="930"/>
      <c r="V393" s="930"/>
      <c r="W393" s="930"/>
      <c r="Y393" s="930"/>
      <c r="Z393" s="930"/>
      <c r="AA393" s="930"/>
      <c r="AB393" s="930"/>
      <c r="AC393" s="930"/>
      <c r="AD393" s="930"/>
      <c r="AE393" s="930"/>
      <c r="AF393" s="930"/>
      <c r="AH393" s="930"/>
      <c r="AI393" s="930"/>
      <c r="AJ393" s="930"/>
      <c r="AK393" s="930"/>
      <c r="AL393" s="930"/>
      <c r="AM393" s="930"/>
      <c r="AN393" s="930"/>
      <c r="AO393" s="930"/>
      <c r="AQ393" s="265" t="str">
        <f>CONCATENATE("Figures are sums of Rows ",O383, " and ",O389, ".")</f>
        <v>Figures are sums of Rows 383 and 389.</v>
      </c>
      <c r="AZ393" s="930"/>
      <c r="BA393" s="930"/>
      <c r="BB393" s="930"/>
      <c r="BC393" s="930"/>
      <c r="BD393" s="930"/>
      <c r="BE393" s="930"/>
      <c r="BF393" s="930"/>
      <c r="BG393" s="930"/>
      <c r="BI393" s="930"/>
      <c r="BJ393" s="930"/>
      <c r="BK393" s="930"/>
      <c r="BL393" s="930"/>
      <c r="BM393" s="930"/>
      <c r="BN393" s="930"/>
      <c r="BO393" s="930"/>
      <c r="BP393" s="930"/>
    </row>
    <row r="394" spans="2:68" ht="13.2" customHeight="1">
      <c r="B394" s="6" t="s">
        <v>375</v>
      </c>
      <c r="O394" s="136">
        <f>ROW()</f>
        <v>394</v>
      </c>
    </row>
    <row r="395" spans="2:68" ht="13.2" customHeight="1">
      <c r="B395" s="280" t="s">
        <v>2405</v>
      </c>
      <c r="G395" s="10">
        <f t="shared" ref="G395:L395" ca="1" si="478">G392/G118</f>
        <v>87865.837362609265</v>
      </c>
      <c r="H395" s="10">
        <f t="shared" ca="1" si="478"/>
        <v>124048.07284403025</v>
      </c>
      <c r="I395" s="10">
        <f t="shared" ca="1" si="478"/>
        <v>147402.78262993766</v>
      </c>
      <c r="J395" s="10">
        <f t="shared" ca="1" si="478"/>
        <v>157977.65831628218</v>
      </c>
      <c r="K395" s="10">
        <f t="shared" ca="1" si="478"/>
        <v>138738.59397341523</v>
      </c>
      <c r="L395" s="10">
        <f t="shared" ca="1" si="478"/>
        <v>122114.50380033514</v>
      </c>
      <c r="M395" s="10"/>
      <c r="O395" s="136">
        <f>ROW()</f>
        <v>395</v>
      </c>
    </row>
    <row r="396" spans="2:68" ht="13.2" customHeight="1">
      <c r="B396" s="309" t="str">
        <f>CONCATENATE("Calculated as Cordon VMT in period, in Row ",O383, " divided by number of hours in period, in Row ",O118, ".")</f>
        <v>Calculated as Cordon VMT in period, in Row 383 divided by number of hours in period, in Row 118.</v>
      </c>
      <c r="G396" s="10"/>
      <c r="H396" s="10"/>
      <c r="I396" s="10"/>
      <c r="J396" s="10"/>
      <c r="K396" s="10"/>
      <c r="L396" s="10"/>
      <c r="M396" s="10"/>
      <c r="O396" s="136">
        <f>ROW()</f>
        <v>396</v>
      </c>
    </row>
    <row r="397" spans="2:68" ht="13.2" customHeight="1">
      <c r="B397" s="280" t="s">
        <v>315</v>
      </c>
      <c r="G397" s="39">
        <f t="shared" ref="G397:L397" ca="1" si="479">G395/G149</f>
        <v>0.90925629999929325</v>
      </c>
      <c r="H397" s="39">
        <f t="shared" ca="1" si="479"/>
        <v>0.89862545292539486</v>
      </c>
      <c r="I397" s="39">
        <f t="shared" ca="1" si="479"/>
        <v>0.90488288559416685</v>
      </c>
      <c r="J397" s="39">
        <f t="shared" ca="1" si="479"/>
        <v>0.91213110679377929</v>
      </c>
      <c r="K397" s="39">
        <f t="shared" ca="1" si="479"/>
        <v>0.88919076708483991</v>
      </c>
      <c r="L397" s="39">
        <f t="shared" ca="1" si="479"/>
        <v>0.86804345864127819</v>
      </c>
      <c r="M397" s="39"/>
      <c r="N397" s="743">
        <f ca="1">N392/N147</f>
        <v>0.90204462823152076</v>
      </c>
      <c r="O397" s="136">
        <f>ROW()</f>
        <v>397</v>
      </c>
      <c r="P397" s="4147" t="s">
        <v>2680</v>
      </c>
      <c r="Q397" s="4147"/>
      <c r="R397" s="4147"/>
      <c r="S397" s="4147"/>
      <c r="T397" s="4147"/>
      <c r="U397" s="4147"/>
      <c r="V397" s="4147"/>
      <c r="W397" s="4147"/>
      <c r="Y397" s="4147" t="s">
        <v>2681</v>
      </c>
      <c r="Z397" s="4147"/>
      <c r="AA397" s="4147"/>
      <c r="AB397" s="4147"/>
      <c r="AC397" s="4147"/>
      <c r="AD397" s="4147"/>
      <c r="AE397" s="4147"/>
      <c r="AF397" s="4147"/>
      <c r="AH397" s="4263" t="s">
        <v>5482</v>
      </c>
      <c r="AI397" s="4264"/>
      <c r="AJ397" s="4264"/>
      <c r="AK397" s="4264"/>
      <c r="AL397" s="4264"/>
      <c r="AM397" s="4264"/>
      <c r="AN397" s="4264"/>
      <c r="AO397" s="4264"/>
      <c r="AQ397" s="4147" t="s">
        <v>713</v>
      </c>
      <c r="AR397" s="4147"/>
      <c r="AS397" s="4147"/>
      <c r="AT397" s="4147"/>
      <c r="AU397" s="4147"/>
      <c r="AV397" s="4147"/>
      <c r="AW397" s="4147"/>
      <c r="AX397" s="4147"/>
      <c r="AZ397" s="4147" t="s">
        <v>460</v>
      </c>
      <c r="BA397" s="4147"/>
      <c r="BB397" s="4147"/>
      <c r="BC397" s="4147"/>
      <c r="BD397" s="4147"/>
      <c r="BE397" s="4147"/>
      <c r="BF397" s="4147"/>
      <c r="BG397" s="4147"/>
      <c r="BI397" s="4147" t="s">
        <v>849</v>
      </c>
      <c r="BJ397" s="4147"/>
      <c r="BK397" s="4147"/>
      <c r="BL397" s="4147"/>
      <c r="BM397" s="4147"/>
      <c r="BN397" s="4147"/>
      <c r="BO397" s="4147"/>
      <c r="BP397" s="4147"/>
    </row>
    <row r="398" spans="2:68" ht="13.2" customHeight="1">
      <c r="B398" s="309" t="str">
        <f>CONCATENATE("Ratio of post-toll hourly VMT in period, in Row ",O394, " to pre-toll hourly VMT, in Row ",O149, ".")</f>
        <v>Ratio of post-toll hourly VMT in period, in Row 394 to pre-toll hourly VMT, in Row 149.</v>
      </c>
      <c r="G398" s="39"/>
      <c r="H398" s="39"/>
      <c r="I398" s="39"/>
      <c r="J398" s="39"/>
      <c r="K398" s="39"/>
      <c r="L398" s="39"/>
      <c r="M398" s="39"/>
      <c r="O398" s="136">
        <f>ROW()</f>
        <v>398</v>
      </c>
    </row>
    <row r="399" spans="2:68" ht="13.2" customHeight="1">
      <c r="B399" s="281" t="s">
        <v>2823</v>
      </c>
      <c r="G399" s="819">
        <f>'User Inputs'!J93*Cordon!F164</f>
        <v>0</v>
      </c>
      <c r="I399" s="39"/>
      <c r="J399" s="39"/>
      <c r="K399" s="39"/>
      <c r="L399" s="39"/>
      <c r="M399" s="39"/>
      <c r="O399" s="136">
        <f>ROW()</f>
        <v>399</v>
      </c>
    </row>
    <row r="400" spans="2:68" ht="13.2" customHeight="1">
      <c r="B400" s="309" t="s">
        <v>2236</v>
      </c>
      <c r="G400" s="882"/>
      <c r="H400" s="7"/>
      <c r="I400" s="39"/>
      <c r="J400" s="39"/>
      <c r="K400" s="39"/>
      <c r="L400" s="39"/>
      <c r="M400" s="39"/>
      <c r="O400" s="136">
        <f>ROW()</f>
        <v>400</v>
      </c>
      <c r="P400" s="880" t="s">
        <v>1472</v>
      </c>
      <c r="Q400" s="880" t="s">
        <v>985</v>
      </c>
      <c r="R400" s="880" t="s">
        <v>987</v>
      </c>
      <c r="S400" s="880" t="s">
        <v>1367</v>
      </c>
      <c r="T400" s="880" t="s">
        <v>988</v>
      </c>
      <c r="U400" s="880" t="s">
        <v>986</v>
      </c>
      <c r="V400" s="880" t="s">
        <v>1638</v>
      </c>
      <c r="W400" s="880" t="s">
        <v>2684</v>
      </c>
      <c r="Y400" s="880" t="s">
        <v>1472</v>
      </c>
      <c r="Z400" s="880" t="s">
        <v>985</v>
      </c>
      <c r="AA400" s="880" t="s">
        <v>987</v>
      </c>
      <c r="AB400" s="880" t="s">
        <v>1367</v>
      </c>
      <c r="AC400" s="880" t="s">
        <v>988</v>
      </c>
      <c r="AD400" s="880" t="s">
        <v>986</v>
      </c>
      <c r="AE400" s="880" t="s">
        <v>1638</v>
      </c>
      <c r="AF400" s="880" t="s">
        <v>2684</v>
      </c>
      <c r="AH400" s="880" t="s">
        <v>1472</v>
      </c>
      <c r="AI400" s="880" t="s">
        <v>985</v>
      </c>
      <c r="AJ400" s="880" t="s">
        <v>987</v>
      </c>
      <c r="AK400" s="880" t="s">
        <v>1367</v>
      </c>
      <c r="AL400" s="880" t="s">
        <v>988</v>
      </c>
      <c r="AM400" s="880" t="s">
        <v>986</v>
      </c>
      <c r="AN400" s="880" t="s">
        <v>1638</v>
      </c>
      <c r="AO400" s="880" t="s">
        <v>2684</v>
      </c>
      <c r="AQ400" s="880" t="s">
        <v>1472</v>
      </c>
      <c r="AR400" s="880" t="s">
        <v>985</v>
      </c>
      <c r="AS400" s="880" t="s">
        <v>987</v>
      </c>
      <c r="AT400" s="880" t="s">
        <v>1367</v>
      </c>
      <c r="AU400" s="880" t="s">
        <v>988</v>
      </c>
      <c r="AV400" s="880" t="s">
        <v>986</v>
      </c>
      <c r="AW400" s="880" t="s">
        <v>1638</v>
      </c>
      <c r="AX400" s="880" t="s">
        <v>2684</v>
      </c>
      <c r="AZ400" s="880" t="s">
        <v>1472</v>
      </c>
      <c r="BA400" s="880" t="s">
        <v>985</v>
      </c>
      <c r="BB400" s="880" t="s">
        <v>987</v>
      </c>
      <c r="BC400" s="880" t="s">
        <v>1367</v>
      </c>
      <c r="BD400" s="880" t="s">
        <v>988</v>
      </c>
      <c r="BE400" s="880" t="s">
        <v>986</v>
      </c>
      <c r="BF400" s="880" t="s">
        <v>1638</v>
      </c>
      <c r="BG400" s="880" t="s">
        <v>2684</v>
      </c>
      <c r="BI400" s="880" t="s">
        <v>1472</v>
      </c>
      <c r="BJ400" s="880" t="s">
        <v>985</v>
      </c>
      <c r="BK400" s="880" t="s">
        <v>987</v>
      </c>
      <c r="BL400" s="880" t="s">
        <v>1367</v>
      </c>
      <c r="BM400" s="880" t="s">
        <v>988</v>
      </c>
      <c r="BN400" s="880" t="s">
        <v>986</v>
      </c>
      <c r="BO400" s="880" t="s">
        <v>1638</v>
      </c>
      <c r="BP400" s="880" t="s">
        <v>2684</v>
      </c>
    </row>
    <row r="401" spans="2:68" ht="13.2" customHeight="1">
      <c r="B401" s="281" t="s">
        <v>1641</v>
      </c>
      <c r="G401" s="621">
        <f>1/(1-G399)</f>
        <v>1</v>
      </c>
      <c r="I401" s="39"/>
      <c r="J401" s="39"/>
      <c r="K401" s="39"/>
      <c r="L401" s="39"/>
      <c r="M401" s="39"/>
      <c r="O401" s="136">
        <f>ROW()</f>
        <v>401</v>
      </c>
      <c r="P401" s="298" t="s">
        <v>989</v>
      </c>
      <c r="Q401" s="298" t="s">
        <v>990</v>
      </c>
      <c r="R401" s="298" t="s">
        <v>991</v>
      </c>
      <c r="S401" s="298" t="s">
        <v>992</v>
      </c>
      <c r="T401" s="298" t="s">
        <v>993</v>
      </c>
      <c r="U401" s="298" t="s">
        <v>994</v>
      </c>
      <c r="V401" s="298"/>
      <c r="W401" s="298"/>
      <c r="Y401" s="298" t="s">
        <v>989</v>
      </c>
      <c r="Z401" s="298" t="s">
        <v>990</v>
      </c>
      <c r="AA401" s="298" t="s">
        <v>991</v>
      </c>
      <c r="AB401" s="298" t="s">
        <v>992</v>
      </c>
      <c r="AC401" s="298" t="s">
        <v>993</v>
      </c>
      <c r="AD401" s="298" t="s">
        <v>994</v>
      </c>
      <c r="AE401" s="298"/>
      <c r="AF401" s="298"/>
      <c r="AH401" s="298" t="s">
        <v>989</v>
      </c>
      <c r="AI401" s="298" t="s">
        <v>990</v>
      </c>
      <c r="AJ401" s="298" t="s">
        <v>991</v>
      </c>
      <c r="AK401" s="298" t="s">
        <v>992</v>
      </c>
      <c r="AL401" s="298" t="s">
        <v>993</v>
      </c>
      <c r="AM401" s="298" t="s">
        <v>994</v>
      </c>
      <c r="AN401" s="298"/>
      <c r="AO401" s="298"/>
      <c r="AQ401" s="298" t="s">
        <v>989</v>
      </c>
      <c r="AR401" s="298" t="s">
        <v>990</v>
      </c>
      <c r="AS401" s="298" t="s">
        <v>991</v>
      </c>
      <c r="AT401" s="298" t="s">
        <v>992</v>
      </c>
      <c r="AU401" s="298" t="s">
        <v>993</v>
      </c>
      <c r="AV401" s="298" t="s">
        <v>994</v>
      </c>
      <c r="AW401" s="298"/>
      <c r="AX401" s="298"/>
      <c r="AZ401" s="298" t="s">
        <v>989</v>
      </c>
      <c r="BA401" s="298" t="s">
        <v>990</v>
      </c>
      <c r="BB401" s="298" t="s">
        <v>991</v>
      </c>
      <c r="BC401" s="298" t="s">
        <v>992</v>
      </c>
      <c r="BD401" s="298" t="s">
        <v>993</v>
      </c>
      <c r="BE401" s="298" t="s">
        <v>994</v>
      </c>
      <c r="BF401" s="298"/>
      <c r="BG401" s="298"/>
      <c r="BI401" s="298" t="s">
        <v>989</v>
      </c>
      <c r="BJ401" s="298" t="s">
        <v>990</v>
      </c>
      <c r="BK401" s="298" t="s">
        <v>991</v>
      </c>
      <c r="BL401" s="298" t="s">
        <v>992</v>
      </c>
      <c r="BM401" s="298" t="s">
        <v>993</v>
      </c>
      <c r="BN401" s="298" t="s">
        <v>994</v>
      </c>
      <c r="BO401" s="298"/>
      <c r="BP401" s="298"/>
    </row>
    <row r="402" spans="2:68" ht="13.2" customHeight="1">
      <c r="B402" s="309" t="str">
        <f>CONCATENATE("Calculated as reciprocal of the complement of the traffic capacity being removed from service (see Row ", O399, ").")</f>
        <v>Calculated as reciprocal of the complement of the traffic capacity being removed from service (see Row 399).</v>
      </c>
      <c r="G402" s="621"/>
      <c r="H402" s="641"/>
      <c r="I402" s="39"/>
      <c r="J402" s="39"/>
      <c r="K402" s="39"/>
      <c r="L402" s="39"/>
      <c r="M402" s="39"/>
      <c r="O402" s="136">
        <f>ROW()</f>
        <v>402</v>
      </c>
    </row>
    <row r="403" spans="2:68" ht="13.2" customHeight="1">
      <c r="B403" s="280" t="s">
        <v>1828</v>
      </c>
      <c r="G403" s="21">
        <f t="shared" ref="G403:L403" ca="1" si="480">KSC/(1+0.1*(G395*$G$401/V_sub_k)^KSE)</f>
        <v>20.266442337254919</v>
      </c>
      <c r="H403" s="21">
        <f t="shared" ca="1" si="480"/>
        <v>16.420195565751705</v>
      </c>
      <c r="I403" s="21">
        <f t="shared" ca="1" si="480"/>
        <v>13.114827340964171</v>
      </c>
      <c r="J403" s="21">
        <f t="shared" ca="1" si="480"/>
        <v>11.61656585582417</v>
      </c>
      <c r="K403" s="21">
        <f t="shared" ca="1" si="480"/>
        <v>14.363090796708253</v>
      </c>
      <c r="L403" s="21">
        <f t="shared" ca="1" si="480"/>
        <v>16.677826635012206</v>
      </c>
      <c r="M403" s="21"/>
      <c r="O403" s="136">
        <f>ROW()</f>
        <v>403</v>
      </c>
      <c r="P403" s="21">
        <f t="shared" ref="P403:U403" ca="1" si="481">G403</f>
        <v>20.266442337254919</v>
      </c>
      <c r="Q403" s="21">
        <f t="shared" ca="1" si="481"/>
        <v>16.420195565751705</v>
      </c>
      <c r="R403" s="21">
        <f t="shared" ca="1" si="481"/>
        <v>13.114827340964171</v>
      </c>
      <c r="S403" s="21">
        <f t="shared" ca="1" si="481"/>
        <v>11.61656585582417</v>
      </c>
      <c r="T403" s="21">
        <f t="shared" ca="1" si="481"/>
        <v>14.363090796708253</v>
      </c>
      <c r="U403" s="21">
        <f t="shared" ca="1" si="481"/>
        <v>16.677826635012206</v>
      </c>
      <c r="V403" s="21"/>
      <c r="Y403" s="21">
        <f t="shared" ref="Y403:AD403" ca="1" si="482">P403</f>
        <v>20.266442337254919</v>
      </c>
      <c r="Z403" s="21">
        <f t="shared" ca="1" si="482"/>
        <v>16.420195565751705</v>
      </c>
      <c r="AA403" s="21">
        <f t="shared" ca="1" si="482"/>
        <v>13.114827340964171</v>
      </c>
      <c r="AB403" s="21">
        <f t="shared" ca="1" si="482"/>
        <v>11.61656585582417</v>
      </c>
      <c r="AC403" s="21">
        <f t="shared" ca="1" si="482"/>
        <v>14.363090796708253</v>
      </c>
      <c r="AD403" s="21">
        <f t="shared" ca="1" si="482"/>
        <v>16.677826635012206</v>
      </c>
      <c r="AE403" s="21"/>
      <c r="AH403" s="21">
        <f t="shared" ref="AH403:AM403" ca="1" si="483">Y403</f>
        <v>20.266442337254919</v>
      </c>
      <c r="AI403" s="21">
        <f t="shared" ca="1" si="483"/>
        <v>16.420195565751705</v>
      </c>
      <c r="AJ403" s="21">
        <f t="shared" ca="1" si="483"/>
        <v>13.114827340964171</v>
      </c>
      <c r="AK403" s="21">
        <f t="shared" ca="1" si="483"/>
        <v>11.61656585582417</v>
      </c>
      <c r="AL403" s="21">
        <f t="shared" ca="1" si="483"/>
        <v>14.363090796708253</v>
      </c>
      <c r="AM403" s="21">
        <f t="shared" ca="1" si="483"/>
        <v>16.677826635012206</v>
      </c>
      <c r="AN403" s="21"/>
      <c r="AQ403" s="21">
        <f t="shared" ref="AQ403:AV403" ca="1" si="484">$AU$181*G403</f>
        <v>19.253120220392173</v>
      </c>
      <c r="AR403" s="21">
        <f t="shared" ca="1" si="484"/>
        <v>15.599185787464119</v>
      </c>
      <c r="AS403" s="21">
        <f t="shared" ca="1" si="484"/>
        <v>12.459085973915961</v>
      </c>
      <c r="AT403" s="21">
        <f t="shared" ca="1" si="484"/>
        <v>11.035737563032962</v>
      </c>
      <c r="AU403" s="21">
        <f t="shared" ca="1" si="484"/>
        <v>13.644936256872839</v>
      </c>
      <c r="AV403" s="21">
        <f t="shared" ca="1" si="484"/>
        <v>15.843935303261595</v>
      </c>
      <c r="AW403" s="21"/>
      <c r="AZ403" s="21">
        <f t="shared" ref="AZ403:BE403" ca="1" si="485">AQ403</f>
        <v>19.253120220392173</v>
      </c>
      <c r="BA403" s="21">
        <f t="shared" ca="1" si="485"/>
        <v>15.599185787464119</v>
      </c>
      <c r="BB403" s="21">
        <f t="shared" ca="1" si="485"/>
        <v>12.459085973915961</v>
      </c>
      <c r="BC403" s="21">
        <f t="shared" ca="1" si="485"/>
        <v>11.035737563032962</v>
      </c>
      <c r="BD403" s="21">
        <f t="shared" ca="1" si="485"/>
        <v>13.644936256872839</v>
      </c>
      <c r="BE403" s="21">
        <f t="shared" ca="1" si="485"/>
        <v>15.843935303261595</v>
      </c>
      <c r="BF403" s="21"/>
      <c r="BI403" s="21">
        <f t="shared" ref="BI403:BN403" ca="1" si="486">AZ403</f>
        <v>19.253120220392173</v>
      </c>
      <c r="BJ403" s="21">
        <f t="shared" ca="1" si="486"/>
        <v>15.599185787464119</v>
      </c>
      <c r="BK403" s="21">
        <f t="shared" ca="1" si="486"/>
        <v>12.459085973915961</v>
      </c>
      <c r="BL403" s="21">
        <f t="shared" ca="1" si="486"/>
        <v>11.035737563032962</v>
      </c>
      <c r="BM403" s="21">
        <f t="shared" ca="1" si="486"/>
        <v>13.644936256872839</v>
      </c>
      <c r="BN403" s="21">
        <f t="shared" ca="1" si="486"/>
        <v>15.843935303261595</v>
      </c>
      <c r="BO403" s="21"/>
    </row>
    <row r="404" spans="2:68" ht="13.2" customHeight="1">
      <c r="B404" s="309" t="str">
        <f>CONCATENATE("Speeds are calculated with 'speed-volume' relationship discussed in Part B, above, in note beginning in Row ",O177, ".")</f>
        <v>Speeds are calculated with 'speed-volume' relationship discussed in Part B, above, in note beginning in Row 177.</v>
      </c>
      <c r="G404" s="10"/>
      <c r="O404" s="136">
        <f>ROW()</f>
        <v>404</v>
      </c>
    </row>
    <row r="405" spans="2:68" ht="13.2" customHeight="1">
      <c r="B405" s="309"/>
      <c r="G405" s="10"/>
      <c r="O405" s="136">
        <f>ROW()</f>
        <v>405</v>
      </c>
      <c r="AQ405" s="1"/>
      <c r="AR405" s="1"/>
      <c r="AS405" s="1"/>
      <c r="AT405" s="131" t="s">
        <v>1438</v>
      </c>
      <c r="AU405" s="1551">
        <f>Taxis!$L$128</f>
        <v>1.1200000000000001</v>
      </c>
      <c r="AV405" s="265" t="str">
        <f>CONCATENATE("(Taxi worksheet, Row ",O132, ")")</f>
        <v>(Taxi worksheet, Row 132)</v>
      </c>
      <c r="AW405" s="202"/>
      <c r="AX405" s="202"/>
    </row>
    <row r="406" spans="2:68" ht="13.2" customHeight="1">
      <c r="B406" s="6" t="s">
        <v>316</v>
      </c>
      <c r="G406" s="10"/>
      <c r="O406" s="136">
        <f>ROW()</f>
        <v>406</v>
      </c>
      <c r="AQ406" s="202"/>
      <c r="AR406" s="202"/>
      <c r="AS406" s="202"/>
      <c r="AT406" s="202"/>
      <c r="AU406" s="202"/>
      <c r="AV406" s="202"/>
      <c r="AW406" s="202"/>
      <c r="AX406" s="202"/>
    </row>
    <row r="407" spans="2:68" ht="13.2" customHeight="1">
      <c r="B407" s="1123" t="s">
        <v>2297</v>
      </c>
      <c r="G407" s="1122">
        <f t="shared" ref="G407:M409" ca="1" si="487">P407+Y407+AH407+AQ407+AZ407+BI407</f>
        <v>-651491.24621137162</v>
      </c>
      <c r="H407" s="1122">
        <f t="shared" ca="1" si="487"/>
        <v>-193761.70590786016</v>
      </c>
      <c r="I407" s="1122">
        <f t="shared" ca="1" si="487"/>
        <v>-508680.0225874036</v>
      </c>
      <c r="J407" s="1122">
        <f t="shared" ca="1" si="487"/>
        <v>-284364.10136229318</v>
      </c>
      <c r="K407" s="1122">
        <f t="shared" ca="1" si="487"/>
        <v>-250243.11664661046</v>
      </c>
      <c r="L407" s="1122">
        <f t="shared" ca="1" si="487"/>
        <v>-295990.97375750379</v>
      </c>
      <c r="M407" s="1122">
        <f t="shared" si="487"/>
        <v>0</v>
      </c>
      <c r="N407" s="1122">
        <f ca="1">SUM(G407:M407)</f>
        <v>-2184531.1664730427</v>
      </c>
      <c r="O407" s="136">
        <f>ROW()</f>
        <v>407</v>
      </c>
      <c r="P407" s="1122">
        <f t="shared" ref="P407:U407" ca="1" si="488">P366*$I$79</f>
        <v>-88418.532965010818</v>
      </c>
      <c r="Q407" s="1122">
        <f t="shared" ca="1" si="488"/>
        <v>-22468.989292694921</v>
      </c>
      <c r="R407" s="1122">
        <f t="shared" ca="1" si="488"/>
        <v>-50372.198469821975</v>
      </c>
      <c r="S407" s="1122">
        <f t="shared" ca="1" si="488"/>
        <v>-16722.001262264381</v>
      </c>
      <c r="T407" s="1122">
        <f t="shared" ca="1" si="488"/>
        <v>-28717.146827466797</v>
      </c>
      <c r="U407" s="1122">
        <f t="shared" ca="1" si="488"/>
        <v>-30037.584554689347</v>
      </c>
      <c r="V407" s="1122"/>
      <c r="W407" s="1122">
        <f ca="1">SUM(P407:V407)</f>
        <v>-236736.45337194824</v>
      </c>
      <c r="Y407" s="1122">
        <f t="shared" ref="Y407:AD407" ca="1" si="489">Y366*$J$79</f>
        <v>-252582.98728551422</v>
      </c>
      <c r="Z407" s="1122">
        <f t="shared" ca="1" si="489"/>
        <v>-78088.27424074155</v>
      </c>
      <c r="AA407" s="1122">
        <f t="shared" ca="1" si="489"/>
        <v>-248589.4249287025</v>
      </c>
      <c r="AB407" s="1122">
        <f t="shared" ca="1" si="489"/>
        <v>-152990.57115984565</v>
      </c>
      <c r="AC407" s="1122">
        <f t="shared" ca="1" si="489"/>
        <v>-116537.60860458606</v>
      </c>
      <c r="AD407" s="1122">
        <f t="shared" ca="1" si="489"/>
        <v>-162941.8208809926</v>
      </c>
      <c r="AE407" s="1122"/>
      <c r="AF407" s="1122">
        <f ca="1">SUM(Y407:AE407)</f>
        <v>-1011730.6871003826</v>
      </c>
      <c r="AH407" s="1122">
        <f t="shared" ref="AH407:AM407" ca="1" si="490">AH366*$K$79</f>
        <v>-309770.75715494849</v>
      </c>
      <c r="AI407" s="1122">
        <f t="shared" ca="1" si="490"/>
        <v>-93091.675511223963</v>
      </c>
      <c r="AJ407" s="1122">
        <f t="shared" ca="1" si="490"/>
        <v>-209688.12944584165</v>
      </c>
      <c r="AK407" s="1122">
        <f t="shared" ca="1" si="490"/>
        <v>-114694.73801667175</v>
      </c>
      <c r="AL407" s="1122">
        <f t="shared" ca="1" si="490"/>
        <v>-104927.75239588109</v>
      </c>
      <c r="AM407" s="1122">
        <f t="shared" ca="1" si="490"/>
        <v>-102927.28825076029</v>
      </c>
      <c r="AN407" s="1122"/>
      <c r="AO407" s="1122">
        <f ca="1">SUM(AH407:AN407)</f>
        <v>-935100.34077532717</v>
      </c>
      <c r="AQ407" s="1399">
        <f t="shared" ref="AQ407:AV407" ca="1" si="491">AQ366*$L$79</f>
        <v>2298.6166357314478</v>
      </c>
      <c r="AR407" s="1399">
        <f t="shared" ca="1" si="491"/>
        <v>892.0121738231494</v>
      </c>
      <c r="AS407" s="1399">
        <f t="shared" ca="1" si="491"/>
        <v>2803.336479998221</v>
      </c>
      <c r="AT407" s="1399">
        <f t="shared" ca="1" si="491"/>
        <v>1807.1353496605129</v>
      </c>
      <c r="AU407" s="1399">
        <f t="shared" ca="1" si="491"/>
        <v>1066.9209865504961</v>
      </c>
      <c r="AV407" s="1399">
        <f t="shared" ca="1" si="491"/>
        <v>825.72728805377665</v>
      </c>
      <c r="AW407" s="1399"/>
      <c r="AX407" s="1399">
        <f ca="1">SUM(AQ407:AW407)</f>
        <v>9693.7489138176043</v>
      </c>
      <c r="AZ407" s="1122">
        <f t="shared" ref="AZ407:BE407" ca="1" si="492">AZ366*$M$79</f>
        <v>-2375.2295306319024</v>
      </c>
      <c r="BA407" s="1122">
        <f t="shared" ca="1" si="492"/>
        <v>-787.58464891030053</v>
      </c>
      <c r="BB407" s="1122">
        <f t="shared" ca="1" si="492"/>
        <v>-2225.6538236338192</v>
      </c>
      <c r="BC407" s="1122">
        <f t="shared" ca="1" si="492"/>
        <v>-1386.8944299814084</v>
      </c>
      <c r="BD407" s="1122">
        <f t="shared" ca="1" si="492"/>
        <v>-883.91390351454515</v>
      </c>
      <c r="BE407" s="1122">
        <f t="shared" ca="1" si="492"/>
        <v>-712.01160178044438</v>
      </c>
      <c r="BF407" s="1122"/>
      <c r="BG407" s="1122">
        <f ca="1">SUM(AZ407:BF407)</f>
        <v>-8371.2879384524203</v>
      </c>
      <c r="BI407" s="1122">
        <f t="shared" ref="BI407:BO407" ca="1" si="493">BI366*$N$79</f>
        <v>-642.35591099762519</v>
      </c>
      <c r="BJ407" s="1122">
        <f t="shared" ca="1" si="493"/>
        <v>-217.19438811257376</v>
      </c>
      <c r="BK407" s="1122">
        <f t="shared" ca="1" si="493"/>
        <v>-607.95239940184285</v>
      </c>
      <c r="BL407" s="1122">
        <f t="shared" ca="1" si="493"/>
        <v>-377.03184319047028</v>
      </c>
      <c r="BM407" s="1122">
        <f t="shared" ca="1" si="493"/>
        <v>-243.61590171246002</v>
      </c>
      <c r="BN407" s="1122">
        <f t="shared" ca="1" si="493"/>
        <v>-197.99575733493157</v>
      </c>
      <c r="BO407" s="1122">
        <f t="shared" si="493"/>
        <v>0</v>
      </c>
      <c r="BP407" s="1122">
        <f ca="1">SUM(BI407:BO407)</f>
        <v>-2286.1462007499035</v>
      </c>
    </row>
    <row r="408" spans="2:68" ht="13.2" customHeight="1">
      <c r="B408" s="309" t="str">
        <f>CONCATENATE("Calculated as product of each period's changes in daily cordon entries in Row ",O366, " and each trip type's per-entry non-CBD miles in Row ",O82,".")</f>
        <v>Calculated as product of each period's changes in daily cordon entries in Row 366 and each trip type's per-entry non-CBD miles in Row 82.</v>
      </c>
      <c r="G408" s="10"/>
      <c r="H408" s="10"/>
      <c r="I408" s="10"/>
      <c r="J408" s="10"/>
      <c r="K408" s="10"/>
      <c r="L408" s="10"/>
      <c r="M408" s="10"/>
      <c r="O408" s="136">
        <f>ROW()</f>
        <v>408</v>
      </c>
      <c r="AQ408" s="202"/>
      <c r="AR408" s="202"/>
      <c r="AS408" s="202"/>
      <c r="AT408" s="202"/>
      <c r="AU408" s="202"/>
      <c r="AV408" s="202"/>
      <c r="AW408" s="202"/>
      <c r="AX408" s="202"/>
    </row>
    <row r="409" spans="2:68" ht="13.2" customHeight="1">
      <c r="B409" s="1123" t="s">
        <v>2298</v>
      </c>
      <c r="G409" s="1122">
        <f t="shared" ca="1" si="487"/>
        <v>-646701.21063560713</v>
      </c>
      <c r="H409" s="1122">
        <f t="shared" ca="1" si="487"/>
        <v>-205510.11161769091</v>
      </c>
      <c r="I409" s="1122">
        <f t="shared" ca="1" si="487"/>
        <v>-552401.64911768946</v>
      </c>
      <c r="J409" s="1122">
        <f t="shared" ca="1" si="487"/>
        <v>-333991.53404218145</v>
      </c>
      <c r="K409" s="1122">
        <f t="shared" ca="1" si="487"/>
        <v>-231532.96974228715</v>
      </c>
      <c r="L409" s="1122">
        <f t="shared" ca="1" si="487"/>
        <v>-214393.69131758687</v>
      </c>
      <c r="M409" s="1122">
        <f t="shared" ca="1" si="487"/>
        <v>0</v>
      </c>
      <c r="N409" s="1122">
        <f ca="1">SUM(G409:M409)</f>
        <v>-2184531.1664730432</v>
      </c>
      <c r="O409" s="136">
        <f>ROW()</f>
        <v>409</v>
      </c>
      <c r="P409" s="1122">
        <f t="shared" ref="P409:U409" ca="1" si="494">$W$407*P141</f>
        <v>-64022.056936002977</v>
      </c>
      <c r="Q409" s="1122">
        <f t="shared" ca="1" si="494"/>
        <v>-21286.340740938111</v>
      </c>
      <c r="R409" s="1122">
        <f t="shared" ca="1" si="494"/>
        <v>-64846.507779026404</v>
      </c>
      <c r="S409" s="1122">
        <f t="shared" ca="1" si="494"/>
        <v>-41490.958338210432</v>
      </c>
      <c r="T409" s="1122">
        <f t="shared" ca="1" si="494"/>
        <v>-23971.427251128331</v>
      </c>
      <c r="U409" s="1122">
        <f t="shared" ca="1" si="494"/>
        <v>-21119.162326641988</v>
      </c>
      <c r="V409" s="1122"/>
      <c r="W409" s="1122">
        <f ca="1">SUM(P409:V409)</f>
        <v>-236736.45337194827</v>
      </c>
      <c r="Y409" s="1122">
        <f t="shared" ref="Y409:AD409" ca="1" si="495">$AF407*Y141</f>
        <v>-273608.38912152644</v>
      </c>
      <c r="Z409" s="1122">
        <f t="shared" ca="1" si="495"/>
        <v>-90970.544827102931</v>
      </c>
      <c r="AA409" s="1122">
        <f t="shared" ca="1" si="495"/>
        <v>-277131.81023395667</v>
      </c>
      <c r="AB409" s="1122">
        <f t="shared" ca="1" si="495"/>
        <v>-177318.17466242856</v>
      </c>
      <c r="AC409" s="1122">
        <f t="shared" ca="1" si="495"/>
        <v>-102445.68683073245</v>
      </c>
      <c r="AD409" s="1122">
        <f t="shared" ca="1" si="495"/>
        <v>-90256.081424635631</v>
      </c>
      <c r="AE409" s="1122"/>
      <c r="AF409" s="1122">
        <f ca="1">SUM(Y409:AE409)</f>
        <v>-1011730.6871003825</v>
      </c>
      <c r="AH409" s="1122">
        <f t="shared" ref="AH409:AM409" ca="1" si="496">AH407</f>
        <v>-309770.75715494849</v>
      </c>
      <c r="AI409" s="1122">
        <f t="shared" ca="1" si="496"/>
        <v>-93091.675511223963</v>
      </c>
      <c r="AJ409" s="1122">
        <f t="shared" ca="1" si="496"/>
        <v>-209688.12944584165</v>
      </c>
      <c r="AK409" s="1122">
        <f t="shared" ca="1" si="496"/>
        <v>-114694.73801667175</v>
      </c>
      <c r="AL409" s="1122">
        <f t="shared" ca="1" si="496"/>
        <v>-104927.75239588109</v>
      </c>
      <c r="AM409" s="1122">
        <f t="shared" ca="1" si="496"/>
        <v>-102927.28825076029</v>
      </c>
      <c r="AN409" s="1122"/>
      <c r="AO409" s="1122">
        <f ca="1">SUM(AH409:AN409)</f>
        <v>-935100.34077532717</v>
      </c>
      <c r="AQ409" s="1399">
        <f t="shared" ref="AQ409:AV409" ca="1" si="497">$AX407*AQ141</f>
        <v>3582.1463201293691</v>
      </c>
      <c r="AR409" s="1399">
        <f t="shared" ca="1" si="497"/>
        <v>796.72086963111815</v>
      </c>
      <c r="AS409" s="1399">
        <f t="shared" ca="1" si="497"/>
        <v>2184.0673255634265</v>
      </c>
      <c r="AT409" s="1399">
        <f t="shared" ca="1" si="497"/>
        <v>1380.1826303446053</v>
      </c>
      <c r="AU409" s="1399">
        <f t="shared" ca="1" si="497"/>
        <v>891.04573643342155</v>
      </c>
      <c r="AV409" s="1399">
        <f t="shared" ca="1" si="497"/>
        <v>859.58603171566415</v>
      </c>
      <c r="AW409" s="1399"/>
      <c r="AX409" s="1399">
        <f ca="1">SUM(AQ409:AW409)</f>
        <v>9693.7489138176043</v>
      </c>
      <c r="AZ409" s="1122">
        <f t="shared" ref="AZ409:BE409" ca="1" si="498">$BG407*AZ141</f>
        <v>-2263.8975341124296</v>
      </c>
      <c r="BA409" s="1122">
        <f t="shared" ca="1" si="498"/>
        <v>-752.71080968013871</v>
      </c>
      <c r="BB409" s="1122">
        <f t="shared" ca="1" si="498"/>
        <v>-2293.0511152350014</v>
      </c>
      <c r="BC409" s="1122">
        <f t="shared" ca="1" si="498"/>
        <v>-1467.1705778483611</v>
      </c>
      <c r="BD409" s="1122">
        <f t="shared" ca="1" si="498"/>
        <v>-847.65872326208705</v>
      </c>
      <c r="BE409" s="1122">
        <f t="shared" ca="1" si="498"/>
        <v>-746.79917831440264</v>
      </c>
      <c r="BF409" s="1122"/>
      <c r="BG409" s="1122">
        <f ca="1">SUM(AZ409:BF409)</f>
        <v>-8371.2879384524203</v>
      </c>
      <c r="BI409" s="1122">
        <f t="shared" ref="BI409:BO409" ca="1" si="499">$BP407*BI141</f>
        <v>-618.25620914611704</v>
      </c>
      <c r="BJ409" s="1122">
        <f t="shared" ca="1" si="499"/>
        <v>-205.5605983769033</v>
      </c>
      <c r="BK409" s="1122">
        <f t="shared" ca="1" si="499"/>
        <v>-626.21786919313035</v>
      </c>
      <c r="BL409" s="1122">
        <f t="shared" ca="1" si="499"/>
        <v>-400.67507736690607</v>
      </c>
      <c r="BM409" s="1122">
        <f t="shared" ca="1" si="499"/>
        <v>-231.49027771661906</v>
      </c>
      <c r="BN409" s="1122">
        <f t="shared" ca="1" si="499"/>
        <v>-203.94616895022779</v>
      </c>
      <c r="BO409" s="1122">
        <f t="shared" ca="1" si="499"/>
        <v>0</v>
      </c>
      <c r="BP409" s="1122">
        <f ca="1">SUM(BI409:BO409)</f>
        <v>-2286.1462007499035</v>
      </c>
    </row>
    <row r="410" spans="2:68" ht="13.2" customHeight="1">
      <c r="B410" s="309" t="s">
        <v>2742</v>
      </c>
      <c r="G410" s="10"/>
      <c r="O410" s="136">
        <f>ROW()</f>
        <v>410</v>
      </c>
      <c r="AH410" s="282" t="str">
        <f>CONCATENATE("Figures in preceding row are made equal to corresponding figues in row ",O407,", since thru-trips leave cordon shortly after entering.")</f>
        <v>Figures in preceding row are made equal to corresponding figues in row 407, since thru-trips leave cordon shortly after entering.</v>
      </c>
      <c r="AQ410" s="7" t="str">
        <f>CONCATENATE("Row ",O411, " is additional change to non-cordon VMT beyond entries in Rows ",O407," and ",O409,". It's product of Rows ",O366, ", ",O377, " and ",O405,".")</f>
        <v>Row 411 is additional change to non-cordon VMT beyond entries in Rows 407 and 409. It's product of Rows 366, 377 and 405.</v>
      </c>
      <c r="AR410" s="202"/>
      <c r="AS410" s="202"/>
      <c r="AT410" s="202"/>
      <c r="AU410" s="202"/>
      <c r="AV410" s="202"/>
      <c r="AW410" s="202"/>
      <c r="AX410" s="202"/>
    </row>
    <row r="411" spans="2:68" ht="13.2" customHeight="1">
      <c r="B411" s="319" t="str">
        <f>CONCATENATE("(i) total change in each trip type's non-cordon VMT due to change in number of inbound entries, shown in Row ",O407, ", and")</f>
        <v>(i) total change in each trip type's non-cordon VMT due to change in number of inbound entries, shown in Row 407, and</v>
      </c>
      <c r="G411" s="10"/>
      <c r="O411" s="136">
        <f>ROW()</f>
        <v>411</v>
      </c>
      <c r="AQ411" s="1552">
        <f t="shared" ref="AQ411:AV411" ca="1" si="500">AQ366*$AU$377*$AU$405</f>
        <v>3101.7477494207487</v>
      </c>
      <c r="AR411" s="1552">
        <f t="shared" ca="1" si="500"/>
        <v>1203.6790779300331</v>
      </c>
      <c r="AS411" s="1552">
        <f t="shared" ca="1" si="500"/>
        <v>3782.8154910819376</v>
      </c>
      <c r="AT411" s="1552">
        <f t="shared" ca="1" si="500"/>
        <v>2438.5440862888854</v>
      </c>
      <c r="AU411" s="1552">
        <f t="shared" ca="1" si="500"/>
        <v>1439.700608357296</v>
      </c>
      <c r="AV411" s="1552">
        <f t="shared" ca="1" si="500"/>
        <v>1114.2344127954577</v>
      </c>
      <c r="AW411" s="1552"/>
      <c r="AX411" s="1552">
        <f ca="1">SUM(AQ411:AW411)</f>
        <v>13080.721425874361</v>
      </c>
    </row>
    <row r="412" spans="2:68" ht="13.2" customHeight="1">
      <c r="B412" s="319" t="str">
        <f>CONCATENATE("(ii) each period's share of 24-h traffic volume for that trip type, shown in row ",O141, ".")</f>
        <v>(ii) each period's share of 24-h traffic volume for that trip type, shown in row 141.</v>
      </c>
      <c r="G412" s="10"/>
      <c r="O412" s="136">
        <f>ROW()</f>
        <v>412</v>
      </c>
      <c r="AQ412" s="7" t="str">
        <f>CONCATENATE("Row ",O413," is sum of Rows ",O407,", ",O409," and ",O411,".")</f>
        <v>Row 413 is sum of Rows 407, 409 and 411.</v>
      </c>
      <c r="AR412" s="202"/>
      <c r="AS412" s="202"/>
      <c r="AT412" s="202"/>
      <c r="AU412" s="202"/>
      <c r="AV412" s="202"/>
      <c r="AW412" s="202"/>
      <c r="AX412" s="202"/>
    </row>
    <row r="413" spans="2:68" ht="13.2" customHeight="1">
      <c r="B413" s="1123" t="s">
        <v>2604</v>
      </c>
      <c r="G413" s="1122">
        <f t="shared" ref="G413:M413" ca="1" si="501">P413+Y413+AH413+AQ413+AZ413+BI413</f>
        <v>-1295090.7090975579</v>
      </c>
      <c r="H413" s="1122">
        <f t="shared" ca="1" si="501"/>
        <v>-398068.13844762108</v>
      </c>
      <c r="I413" s="1122">
        <f t="shared" ca="1" si="501"/>
        <v>-1057298.8562140111</v>
      </c>
      <c r="J413" s="1122">
        <f t="shared" ca="1" si="501"/>
        <v>-615917.09131818579</v>
      </c>
      <c r="K413" s="1122">
        <f t="shared" ca="1" si="501"/>
        <v>-480336.38578054041</v>
      </c>
      <c r="L413" s="1122">
        <f t="shared" ca="1" si="501"/>
        <v>-509270.4306622952</v>
      </c>
      <c r="M413" s="1122">
        <f t="shared" ca="1" si="501"/>
        <v>0</v>
      </c>
      <c r="N413" s="1122">
        <f ca="1">SUM(G413:M413)</f>
        <v>-4355981.6115202112</v>
      </c>
      <c r="O413" s="136">
        <f>ROW()</f>
        <v>413</v>
      </c>
      <c r="P413" s="1122">
        <f t="shared" ref="P413:U413" ca="1" si="502">P407+P409</f>
        <v>-152440.58990101379</v>
      </c>
      <c r="Q413" s="1122">
        <f t="shared" ca="1" si="502"/>
        <v>-43755.330033633029</v>
      </c>
      <c r="R413" s="1122">
        <f t="shared" ca="1" si="502"/>
        <v>-115218.70624884838</v>
      </c>
      <c r="S413" s="1122">
        <f t="shared" ca="1" si="502"/>
        <v>-58212.959600474816</v>
      </c>
      <c r="T413" s="1122">
        <f t="shared" ca="1" si="502"/>
        <v>-52688.574078595128</v>
      </c>
      <c r="U413" s="1122">
        <f t="shared" ca="1" si="502"/>
        <v>-51156.746881331332</v>
      </c>
      <c r="V413" s="1122"/>
      <c r="W413" s="1122">
        <f ca="1">SUM(P413:V413)</f>
        <v>-473472.90674389643</v>
      </c>
      <c r="Y413" s="1122">
        <f t="shared" ref="Y413:AD413" ca="1" si="503">Y407+Y409</f>
        <v>-526191.37640704063</v>
      </c>
      <c r="Z413" s="1122">
        <f t="shared" ca="1" si="503"/>
        <v>-169058.81906784448</v>
      </c>
      <c r="AA413" s="1122">
        <f t="shared" ca="1" si="503"/>
        <v>-525721.2351626592</v>
      </c>
      <c r="AB413" s="1122">
        <f t="shared" ca="1" si="503"/>
        <v>-330308.74582227424</v>
      </c>
      <c r="AC413" s="1122">
        <f t="shared" ca="1" si="503"/>
        <v>-218983.29543531849</v>
      </c>
      <c r="AD413" s="1122">
        <f t="shared" ca="1" si="503"/>
        <v>-253197.90230562823</v>
      </c>
      <c r="AE413" s="1122"/>
      <c r="AF413" s="1122">
        <f ca="1">SUM(Y413:AE413)</f>
        <v>-2023461.3742007653</v>
      </c>
      <c r="AH413" s="1122">
        <f t="shared" ref="AH413:AM413" ca="1" si="504">AH407+AH409</f>
        <v>-619541.51430989697</v>
      </c>
      <c r="AI413" s="1122">
        <f t="shared" ca="1" si="504"/>
        <v>-186183.35102244793</v>
      </c>
      <c r="AJ413" s="1122">
        <f t="shared" ca="1" si="504"/>
        <v>-419376.2588916833</v>
      </c>
      <c r="AK413" s="1122">
        <f t="shared" ca="1" si="504"/>
        <v>-229389.4760333435</v>
      </c>
      <c r="AL413" s="1122">
        <f t="shared" ca="1" si="504"/>
        <v>-209855.50479176219</v>
      </c>
      <c r="AM413" s="1122">
        <f t="shared" ca="1" si="504"/>
        <v>-205854.57650152058</v>
      </c>
      <c r="AN413" s="1122"/>
      <c r="AO413" s="1122">
        <f ca="1">SUM(AH413:AN413)</f>
        <v>-1870200.6815506543</v>
      </c>
      <c r="AQ413" s="1399">
        <f t="shared" ref="AQ413:AV413" ca="1" si="505">AQ407+AQ409+AQ411</f>
        <v>8982.5107052815656</v>
      </c>
      <c r="AR413" s="1399">
        <f t="shared" ca="1" si="505"/>
        <v>2892.4121213843009</v>
      </c>
      <c r="AS413" s="1399">
        <f t="shared" ca="1" si="505"/>
        <v>8770.219296643585</v>
      </c>
      <c r="AT413" s="1399">
        <f t="shared" ca="1" si="505"/>
        <v>5625.8620662940039</v>
      </c>
      <c r="AU413" s="1399">
        <f t="shared" ca="1" si="505"/>
        <v>3397.6673313412139</v>
      </c>
      <c r="AV413" s="1399">
        <f t="shared" ca="1" si="505"/>
        <v>2799.5477325648985</v>
      </c>
      <c r="AW413" s="1399"/>
      <c r="AX413" s="1399">
        <f ca="1">SUM(AQ413:AW413)</f>
        <v>32468.219253509567</v>
      </c>
      <c r="AZ413" s="1122">
        <f t="shared" ref="AZ413:BE413" ca="1" si="506">AZ407+AZ409</f>
        <v>-4639.1270647443325</v>
      </c>
      <c r="BA413" s="1122">
        <f t="shared" ca="1" si="506"/>
        <v>-1540.2954585904392</v>
      </c>
      <c r="BB413" s="1122">
        <f t="shared" ca="1" si="506"/>
        <v>-4518.704938868821</v>
      </c>
      <c r="BC413" s="1122">
        <f t="shared" ca="1" si="506"/>
        <v>-2854.0650078297695</v>
      </c>
      <c r="BD413" s="1122">
        <f t="shared" ca="1" si="506"/>
        <v>-1731.5726267766322</v>
      </c>
      <c r="BE413" s="1122">
        <f t="shared" ca="1" si="506"/>
        <v>-1458.8107800948469</v>
      </c>
      <c r="BF413" s="1122"/>
      <c r="BG413" s="1122">
        <f ca="1">SUM(AZ413:BF413)</f>
        <v>-16742.575876904841</v>
      </c>
      <c r="BI413" s="1122">
        <f t="shared" ref="BI413:BO413" ca="1" si="507">BI407+BI409</f>
        <v>-1260.6121201437422</v>
      </c>
      <c r="BJ413" s="1122">
        <f t="shared" ca="1" si="507"/>
        <v>-422.75498648947706</v>
      </c>
      <c r="BK413" s="1122">
        <f t="shared" ca="1" si="507"/>
        <v>-1234.1702685949731</v>
      </c>
      <c r="BL413" s="1122">
        <f t="shared" ca="1" si="507"/>
        <v>-777.70692055737641</v>
      </c>
      <c r="BM413" s="1122">
        <f t="shared" ca="1" si="507"/>
        <v>-475.10617942907908</v>
      </c>
      <c r="BN413" s="1122">
        <f t="shared" ca="1" si="507"/>
        <v>-401.94192628515935</v>
      </c>
      <c r="BO413" s="1122">
        <f t="shared" ca="1" si="507"/>
        <v>0</v>
      </c>
      <c r="BP413" s="1122">
        <f ca="1">SUM(BI413:BO413)</f>
        <v>-4572.2924014998071</v>
      </c>
    </row>
    <row r="414" spans="2:68" ht="13.2" customHeight="1">
      <c r="B414" s="1190" t="s">
        <v>1957</v>
      </c>
      <c r="G414" s="10">
        <f t="shared" ref="G414:M414" ca="1" si="508">G167+G413</f>
        <v>14774601.51068512</v>
      </c>
      <c r="H414" s="10">
        <f t="shared" ca="1" si="508"/>
        <v>4939212.8091742517</v>
      </c>
      <c r="I414" s="10">
        <f t="shared" ca="1" si="508"/>
        <v>14937884.813554836</v>
      </c>
      <c r="J414" s="10">
        <f t="shared" ca="1" si="508"/>
        <v>9559175.4456491284</v>
      </c>
      <c r="K414" s="10">
        <f t="shared" ca="1" si="508"/>
        <v>5434172.1568049202</v>
      </c>
      <c r="L414" s="10">
        <f t="shared" ca="1" si="508"/>
        <v>4695214.8913633451</v>
      </c>
      <c r="M414" s="10">
        <f t="shared" ca="1" si="508"/>
        <v>0</v>
      </c>
      <c r="N414" s="1125">
        <f ca="1">SUM(G414:M414)</f>
        <v>54340261.627231605</v>
      </c>
      <c r="O414" s="136">
        <f>ROW()</f>
        <v>414</v>
      </c>
      <c r="P414" s="1179">
        <f t="shared" ref="P414:U414" ca="1" si="509">P167+P413</f>
        <v>2670590.4074937026</v>
      </c>
      <c r="Q414" s="1179">
        <f t="shared" ca="1" si="509"/>
        <v>870751.37618875608</v>
      </c>
      <c r="R414" s="1179">
        <f t="shared" ca="1" si="509"/>
        <v>2411930.9285242227</v>
      </c>
      <c r="S414" s="1179">
        <f t="shared" ca="1" si="509"/>
        <v>1214435.1680157988</v>
      </c>
      <c r="T414" s="1179">
        <f t="shared" ca="1" si="509"/>
        <v>881538.09096884937</v>
      </c>
      <c r="U414" s="1179">
        <f t="shared" ca="1" si="509"/>
        <v>693133.31873796717</v>
      </c>
      <c r="W414" s="1122">
        <f ca="1">SUM(P414:V414)</f>
        <v>8742379.2899292968</v>
      </c>
      <c r="Y414" s="1179">
        <f t="shared" ref="Y414:AD414" ca="1" si="510">Y167+Y413</f>
        <v>6164848.9513248261</v>
      </c>
      <c r="Z414" s="1179">
        <f t="shared" ca="1" si="510"/>
        <v>2114050.6913166023</v>
      </c>
      <c r="AA414" s="1179">
        <f t="shared" ca="1" si="510"/>
        <v>7239385.7450380716</v>
      </c>
      <c r="AB414" s="1179">
        <f t="shared" ca="1" si="510"/>
        <v>5103864.4059262918</v>
      </c>
      <c r="AC414" s="1179">
        <f t="shared" ca="1" si="510"/>
        <v>2653595.0714884866</v>
      </c>
      <c r="AD414" s="1179">
        <f t="shared" ca="1" si="510"/>
        <v>2348350.3507245318</v>
      </c>
      <c r="AF414" s="1122">
        <f ca="1">SUM(Y414:AE414)</f>
        <v>25624095.215818815</v>
      </c>
      <c r="AH414" s="1179">
        <f t="shared" ref="AH414:AM414" ca="1" si="511">AH167+AH413</f>
        <v>5315602.3065501181</v>
      </c>
      <c r="AI414" s="1179">
        <f t="shared" ca="1" si="511"/>
        <v>1735874.4527505226</v>
      </c>
      <c r="AJ414" s="1179">
        <f t="shared" ca="1" si="511"/>
        <v>4613030.357434731</v>
      </c>
      <c r="AK414" s="1179">
        <f t="shared" ca="1" si="511"/>
        <v>2808668.454286424</v>
      </c>
      <c r="AL414" s="1179">
        <f t="shared" ca="1" si="511"/>
        <v>1647269.7472285526</v>
      </c>
      <c r="AM414" s="1179">
        <f t="shared" ca="1" si="511"/>
        <v>1442141.3797654829</v>
      </c>
      <c r="AO414" s="1122">
        <f ca="1">SUM(AH414:AN414)</f>
        <v>17562586.698015835</v>
      </c>
      <c r="AQ414" s="1179">
        <f t="shared" ref="AQ414:AV414" ca="1" si="512">AQ167+AQ413</f>
        <v>212434.55913273382</v>
      </c>
      <c r="AR414" s="1179">
        <f t="shared" ca="1" si="512"/>
        <v>81844.987842561357</v>
      </c>
      <c r="AS414" s="1179">
        <f t="shared" ca="1" si="512"/>
        <v>256895.34830735883</v>
      </c>
      <c r="AT414" s="1179">
        <f t="shared" ca="1" si="512"/>
        <v>165576.58327783522</v>
      </c>
      <c r="AU414" s="1179">
        <f t="shared" ca="1" si="512"/>
        <v>97831.535445613874</v>
      </c>
      <c r="AV414" s="1179">
        <f t="shared" ca="1" si="512"/>
        <v>75885.205247406411</v>
      </c>
      <c r="AX414" s="1122">
        <f ca="1">SUM(AQ414:AW414)</f>
        <v>890468.21925350942</v>
      </c>
      <c r="AZ414" s="1179">
        <f t="shared" ref="AZ414:BE414" ca="1" si="513">AZ167+AZ413</f>
        <v>253403.54235428985</v>
      </c>
      <c r="BA414" s="1179">
        <f t="shared" ca="1" si="513"/>
        <v>84254.88904236129</v>
      </c>
      <c r="BB414" s="1179">
        <f t="shared" ca="1" si="513"/>
        <v>256846.93638266451</v>
      </c>
      <c r="BC414" s="1179">
        <f t="shared" ca="1" si="513"/>
        <v>164376.38897536552</v>
      </c>
      <c r="BD414" s="1179">
        <f t="shared" ca="1" si="513"/>
        <v>94885.927242816237</v>
      </c>
      <c r="BE414" s="1179">
        <f t="shared" ca="1" si="513"/>
        <v>83662.556502873165</v>
      </c>
      <c r="BG414" s="1122">
        <f ca="1">SUM(AZ414:BF414)</f>
        <v>937430.24050037062</v>
      </c>
      <c r="BI414" s="1179">
        <f t="shared" ref="BI414:BN414" ca="1" si="514">BI167+BI413</f>
        <v>157721.74382944949</v>
      </c>
      <c r="BJ414" s="1179">
        <f t="shared" ca="1" si="514"/>
        <v>52436.412033448367</v>
      </c>
      <c r="BK414" s="1179">
        <f t="shared" ca="1" si="514"/>
        <v>159795.49786778906</v>
      </c>
      <c r="BL414" s="1179">
        <f t="shared" ca="1" si="514"/>
        <v>102254.44516741546</v>
      </c>
      <c r="BM414" s="1179">
        <f t="shared" ca="1" si="514"/>
        <v>59051.784430602522</v>
      </c>
      <c r="BN414" s="1179">
        <f t="shared" ca="1" si="514"/>
        <v>52042.080385083216</v>
      </c>
      <c r="BP414" s="1122">
        <f ca="1">SUM(BI414:BO414)</f>
        <v>583301.96371378819</v>
      </c>
    </row>
    <row r="415" spans="2:68" ht="13.2" customHeight="1">
      <c r="B415" s="309" t="str">
        <f>CONCATENATE("Sum of baseline non-cordon VMT in period in Row ",O167, " and VMT change in Row ",O413, " directly above.")</f>
        <v>Sum of baseline non-cordon VMT in period in Row 167 and VMT change in Row 413 directly above.</v>
      </c>
      <c r="G415" s="10"/>
      <c r="O415" s="136">
        <f>ROW()</f>
        <v>415</v>
      </c>
      <c r="P415" s="1179"/>
      <c r="Q415" s="1179"/>
      <c r="R415" s="1179"/>
      <c r="S415" s="1179"/>
      <c r="T415" s="1179"/>
      <c r="U415" s="1179"/>
      <c r="V415" s="1179"/>
      <c r="W415" s="1122"/>
      <c r="Y415" s="1179"/>
      <c r="Z415" s="1179"/>
      <c r="AA415" s="1179"/>
      <c r="AB415" s="1179"/>
      <c r="AC415" s="1179"/>
      <c r="AD415" s="1179"/>
      <c r="AE415" s="1179"/>
      <c r="AF415" s="1122"/>
      <c r="AH415" s="1179"/>
      <c r="AI415" s="1179"/>
      <c r="AJ415" s="1179"/>
      <c r="AK415" s="1179"/>
      <c r="AL415" s="1179"/>
      <c r="AM415" s="1179"/>
      <c r="AN415" s="1179"/>
      <c r="AO415" s="1122"/>
      <c r="AQ415" s="1179"/>
      <c r="AR415" s="1179"/>
      <c r="AS415" s="1179"/>
      <c r="AT415" s="1179"/>
      <c r="AU415" s="1179"/>
      <c r="AV415" s="1179"/>
      <c r="AW415" s="1179"/>
      <c r="AX415" s="1122"/>
      <c r="AZ415" s="1179"/>
      <c r="BA415" s="1179"/>
      <c r="BB415" s="1179"/>
      <c r="BC415" s="1179"/>
      <c r="BD415" s="1179"/>
      <c r="BE415" s="1179"/>
      <c r="BF415" s="1179"/>
      <c r="BG415" s="1122"/>
      <c r="BI415" s="1179"/>
      <c r="BJ415" s="1179"/>
      <c r="BK415" s="1179"/>
      <c r="BL415" s="1179"/>
      <c r="BM415" s="1179"/>
      <c r="BN415" s="1179"/>
      <c r="BO415" s="1179"/>
      <c r="BP415" s="1122"/>
    </row>
    <row r="416" spans="2:68" ht="13.2" customHeight="1">
      <c r="B416" s="309"/>
      <c r="G416" s="10"/>
      <c r="O416" s="136">
        <f>ROW()</f>
        <v>416</v>
      </c>
    </row>
    <row r="417" spans="2:68" ht="13.2" customHeight="1">
      <c r="B417" s="6" t="s">
        <v>2402</v>
      </c>
      <c r="G417" s="39"/>
      <c r="H417" s="39"/>
      <c r="N417" s="47"/>
      <c r="O417" s="136">
        <f>ROW()</f>
        <v>417</v>
      </c>
    </row>
    <row r="418" spans="2:68" ht="13.2" customHeight="1">
      <c r="B418" s="280" t="s">
        <v>2659</v>
      </c>
      <c r="G418" s="39"/>
      <c r="I418" s="39"/>
      <c r="J418" s="39"/>
      <c r="K418" s="39"/>
      <c r="L418" s="39"/>
      <c r="M418" s="1558" t="str">
        <f>CONCATENATE("(reproduces values from Row ",O388,")")</f>
        <v>(reproduces values from Row 388)</v>
      </c>
      <c r="N418" s="39">
        <f>N388</f>
        <v>0.87847730600292817</v>
      </c>
      <c r="O418" s="136">
        <f>ROW()</f>
        <v>418</v>
      </c>
      <c r="P418" s="1179">
        <f t="shared" ref="P418:V420" ca="1" si="515">P388</f>
        <v>-261.6998692810248</v>
      </c>
      <c r="Q418" s="1179">
        <f t="shared" ca="1" si="515"/>
        <v>-93.744465120525163</v>
      </c>
      <c r="R418" s="1179">
        <f t="shared" ca="1" si="515"/>
        <v>-245.50980224102418</v>
      </c>
      <c r="S418" s="1179">
        <f t="shared" ca="1" si="515"/>
        <v>-94.958870363973872</v>
      </c>
      <c r="T418" s="1179">
        <f t="shared" ca="1" si="515"/>
        <v>-93.438501686738988</v>
      </c>
      <c r="U418" s="1179">
        <f t="shared" ca="1" si="515"/>
        <v>-57.85224703250136</v>
      </c>
      <c r="V418" s="1179">
        <f t="shared" ca="1" si="515"/>
        <v>0</v>
      </c>
      <c r="W418" s="1122">
        <f ca="1">SUM(P418:V418)</f>
        <v>-847.20375572578837</v>
      </c>
      <c r="Y418" s="1179">
        <f t="shared" ref="Y418:AE420" ca="1" si="516">Y388</f>
        <v>-499.44499891091806</v>
      </c>
      <c r="Z418" s="1179">
        <f t="shared" ca="1" si="516"/>
        <v>-214.28318058101462</v>
      </c>
      <c r="AA418" s="1179">
        <f t="shared" ca="1" si="516"/>
        <v>-839.65220579501022</v>
      </c>
      <c r="AB418" s="1179">
        <f t="shared" ca="1" si="516"/>
        <v>-634.43807541469266</v>
      </c>
      <c r="AC418" s="1179">
        <f t="shared" ca="1" si="516"/>
        <v>-319.56298009815816</v>
      </c>
      <c r="AD418" s="1179">
        <f t="shared" ca="1" si="516"/>
        <v>-263.07095325593758</v>
      </c>
      <c r="AE418" s="1179">
        <f t="shared" ca="1" si="516"/>
        <v>0</v>
      </c>
      <c r="AF418" s="1122">
        <f ca="1">SUM(Y418:AE418)</f>
        <v>-2770.4523940557315</v>
      </c>
    </row>
    <row r="419" spans="2:68" ht="13.2" customHeight="1">
      <c r="B419" s="280" t="s">
        <v>736</v>
      </c>
      <c r="G419" s="39"/>
      <c r="H419" s="39"/>
      <c r="I419" s="39"/>
      <c r="J419" s="39"/>
      <c r="K419" s="39"/>
      <c r="L419" s="39"/>
      <c r="M419" s="1558" t="str">
        <f>CONCATENATE("(product of number of trips and per-trip in-cordon miles shown in Row ",O405," of taxi block)")</f>
        <v>(product of number of trips and per-trip in-cordon miles shown in Row 405 of taxi block)</v>
      </c>
      <c r="N419" s="1122"/>
      <c r="O419" s="136">
        <f>ROW()</f>
        <v>419</v>
      </c>
      <c r="P419" s="1179">
        <f t="shared" ref="P419:V419" ca="1" si="517">P418*$AU$405</f>
        <v>-293.10385359474782</v>
      </c>
      <c r="Q419" s="1179">
        <f t="shared" ca="1" si="517"/>
        <v>-104.99380093498819</v>
      </c>
      <c r="R419" s="1179">
        <f t="shared" ca="1" si="517"/>
        <v>-274.97097850994709</v>
      </c>
      <c r="S419" s="1179">
        <f t="shared" ca="1" si="517"/>
        <v>-106.35393480765075</v>
      </c>
      <c r="T419" s="1179">
        <f t="shared" ca="1" si="517"/>
        <v>-104.65112188914767</v>
      </c>
      <c r="U419" s="1179">
        <f t="shared" ca="1" si="517"/>
        <v>-64.794516676401528</v>
      </c>
      <c r="V419" s="1179">
        <f t="shared" ca="1" si="517"/>
        <v>0</v>
      </c>
      <c r="W419" s="1122">
        <f ca="1">SUM(P419:V419)</f>
        <v>-948.86820641288307</v>
      </c>
      <c r="Y419" s="1179">
        <f t="shared" ref="Y419:AE419" ca="1" si="518">Y418*$AU$405</f>
        <v>-559.37839878022828</v>
      </c>
      <c r="Z419" s="1179">
        <f t="shared" ca="1" si="518"/>
        <v>-239.99716225073641</v>
      </c>
      <c r="AA419" s="1179">
        <f t="shared" ca="1" si="518"/>
        <v>-940.41047049041151</v>
      </c>
      <c r="AB419" s="1179">
        <f t="shared" ca="1" si="518"/>
        <v>-710.57064446445588</v>
      </c>
      <c r="AC419" s="1179">
        <f t="shared" ca="1" si="518"/>
        <v>-357.91053770993716</v>
      </c>
      <c r="AD419" s="1179">
        <f t="shared" ca="1" si="518"/>
        <v>-294.63946764665013</v>
      </c>
      <c r="AE419" s="1179">
        <f t="shared" ca="1" si="518"/>
        <v>0</v>
      </c>
      <c r="AF419" s="1122">
        <f ca="1">SUM(Y419:AE419)</f>
        <v>-3102.9066813424197</v>
      </c>
      <c r="AQ419" s="1122">
        <f t="shared" ref="AQ419:AV419" ca="1" si="519">(AQ158/$AX$158)*$AX$419</f>
        <v>2010.3920598097427</v>
      </c>
      <c r="AR419" s="1122">
        <f t="shared" ca="1" si="519"/>
        <v>780.1623653250208</v>
      </c>
      <c r="AS419" s="1122">
        <f t="shared" ca="1" si="519"/>
        <v>2451.8248553308831</v>
      </c>
      <c r="AT419" s="1122">
        <f t="shared" ca="1" si="519"/>
        <v>1580.5378337057575</v>
      </c>
      <c r="AU419" s="1122">
        <f t="shared" ca="1" si="519"/>
        <v>933.13928319454271</v>
      </c>
      <c r="AV419" s="1122">
        <f t="shared" ca="1" si="519"/>
        <v>722.18897125631452</v>
      </c>
      <c r="AW419" s="1122"/>
      <c r="AX419" s="2015">
        <f ca="1">Taxis!N267</f>
        <v>8478.2453686222616</v>
      </c>
    </row>
    <row r="420" spans="2:68" ht="13.2" customHeight="1">
      <c r="B420" s="280" t="s">
        <v>1549</v>
      </c>
      <c r="G420" s="39"/>
      <c r="I420" s="39"/>
      <c r="J420" s="39"/>
      <c r="K420" s="39"/>
      <c r="L420" s="39"/>
      <c r="M420" s="1558" t="str">
        <f>CONCATENATE("(complement of percentage in Row ",O418,")")</f>
        <v>(complement of percentage in Row 418)</v>
      </c>
      <c r="N420" s="39">
        <f>1-N418</f>
        <v>0.12152269399707183</v>
      </c>
      <c r="O420" s="136">
        <f>ROW()</f>
        <v>420</v>
      </c>
      <c r="P420" s="1179">
        <f t="shared" ca="1" si="515"/>
        <v>-36.201815250541799</v>
      </c>
      <c r="Q420" s="1179">
        <f t="shared" ca="1" si="515"/>
        <v>-12.967984341672658</v>
      </c>
      <c r="R420" s="1179">
        <f t="shared" ca="1" si="515"/>
        <v>-33.96218931000837</v>
      </c>
      <c r="S420" s="1179">
        <f t="shared" ca="1" si="515"/>
        <v>-13.135977067016396</v>
      </c>
      <c r="T420" s="1179">
        <f t="shared" ca="1" si="515"/>
        <v>-12.925659399998905</v>
      </c>
      <c r="U420" s="1179">
        <f t="shared" ca="1" si="515"/>
        <v>-8.002894172829361</v>
      </c>
      <c r="V420" s="1179">
        <f t="shared" ca="1" si="515"/>
        <v>0</v>
      </c>
      <c r="W420" s="1122">
        <f ca="1">SUM(P420:V420)</f>
        <v>-117.19651954206749</v>
      </c>
      <c r="Y420" s="1179">
        <f t="shared" ca="1" si="516"/>
        <v>-69.089891516010383</v>
      </c>
      <c r="Z420" s="1179">
        <f t="shared" ca="1" si="516"/>
        <v>-29.642506647040381</v>
      </c>
      <c r="AA420" s="1179">
        <f t="shared" ca="1" si="516"/>
        <v>-116.15188846830983</v>
      </c>
      <c r="AB420" s="1179">
        <f t="shared" ca="1" si="516"/>
        <v>-87.763933765699221</v>
      </c>
      <c r="AC420" s="1179">
        <f t="shared" ca="1" si="516"/>
        <v>-44.20621224691191</v>
      </c>
      <c r="AD420" s="1179">
        <f t="shared" ca="1" si="516"/>
        <v>-36.391481867071391</v>
      </c>
      <c r="AE420" s="1179">
        <f t="shared" ca="1" si="516"/>
        <v>0</v>
      </c>
      <c r="AF420" s="1122">
        <f ca="1">SUM(Y420:AE420)</f>
        <v>-383.24591451104311</v>
      </c>
      <c r="AQ420" s="2009" t="str">
        <f>CONCATENATE("Figs. in Row ",O419, " start w/ last column, which is taken directly from 'Taxi' wksht, Row ",Taxis!O267, ". Other columns are prorated from figures in Row ",O158, ".")</f>
        <v>Figs. in Row 419 start w/ last column, which is taken directly from 'Taxi' wksht, Row 267. Other columns are prorated from figures in Row 158.</v>
      </c>
      <c r="AR420" s="2013"/>
      <c r="AS420" s="2013"/>
      <c r="AT420" s="2013"/>
      <c r="AU420" s="2013"/>
      <c r="AV420" s="2013"/>
      <c r="AW420" s="2013"/>
      <c r="AX420" s="2014"/>
    </row>
    <row r="421" spans="2:68" ht="13.2" customHeight="1">
      <c r="B421" s="280" t="s">
        <v>736</v>
      </c>
      <c r="G421" s="39"/>
      <c r="H421" s="39"/>
      <c r="I421" s="39"/>
      <c r="J421" s="39"/>
      <c r="K421" s="39"/>
      <c r="L421" s="39"/>
      <c r="M421" s="1558" t="str">
        <f>CONCATENATE("(product of number of trips and per-trip non-cordon miles for taxi trips shown in Row ",O82,")")</f>
        <v>(product of number of trips and per-trip non-cordon miles for taxi trips shown in Row 82)</v>
      </c>
      <c r="N421" s="1122"/>
      <c r="O421" s="136">
        <f>ROW()</f>
        <v>421</v>
      </c>
      <c r="P421" s="1179">
        <f t="shared" ref="P421:V421" ca="1" si="520">P420*$L$79</f>
        <v>-217.21089150325079</v>
      </c>
      <c r="Q421" s="1179">
        <f t="shared" ca="1" si="520"/>
        <v>-77.807906050035939</v>
      </c>
      <c r="R421" s="1179">
        <f t="shared" ca="1" si="520"/>
        <v>-203.77313586005022</v>
      </c>
      <c r="S421" s="1179">
        <f t="shared" ca="1" si="520"/>
        <v>-78.815862402098375</v>
      </c>
      <c r="T421" s="1179">
        <f t="shared" ca="1" si="520"/>
        <v>-77.553956399993424</v>
      </c>
      <c r="U421" s="1179">
        <f t="shared" ca="1" si="520"/>
        <v>-48.017365036976166</v>
      </c>
      <c r="V421" s="1179">
        <f t="shared" ca="1" si="520"/>
        <v>0</v>
      </c>
      <c r="W421" s="1122">
        <f ca="1">SUM(P421:V421)</f>
        <v>-703.17911725240492</v>
      </c>
      <c r="Y421" s="1179">
        <f t="shared" ref="Y421:AE421" ca="1" si="521">Y420*$L$79</f>
        <v>-414.53934909606232</v>
      </c>
      <c r="Z421" s="1179">
        <f t="shared" ca="1" si="521"/>
        <v>-177.85503988224229</v>
      </c>
      <c r="AA421" s="1179">
        <f t="shared" ca="1" si="521"/>
        <v>-696.91133080985901</v>
      </c>
      <c r="AB421" s="1179">
        <f t="shared" ca="1" si="521"/>
        <v>-526.58360259419533</v>
      </c>
      <c r="AC421" s="1179">
        <f t="shared" ca="1" si="521"/>
        <v>-265.23727348147145</v>
      </c>
      <c r="AD421" s="1179">
        <f t="shared" ca="1" si="521"/>
        <v>-218.34889120242835</v>
      </c>
      <c r="AE421" s="1179">
        <f t="shared" ca="1" si="521"/>
        <v>0</v>
      </c>
      <c r="AF421" s="1122">
        <f ca="1">SUM(Y421:AE421)</f>
        <v>-2299.4754870662587</v>
      </c>
      <c r="AQ421" s="1179"/>
      <c r="AR421" s="1179"/>
      <c r="AS421" s="1179"/>
      <c r="AT421" s="1179"/>
      <c r="AU421" s="1179"/>
      <c r="AV421" s="1179"/>
      <c r="AW421" s="1179"/>
      <c r="AX421" s="1122"/>
    </row>
    <row r="422" spans="2:68" ht="13.2" customHeight="1">
      <c r="B422" s="280" t="str">
        <f>CONCATENATE("Non-Cordon VMT in period after tolls (sum of ",O414, ", ",O419, " and ",O421,")")</f>
        <v>Non-Cordon VMT in period after tolls (sum of 414, 419 and 421)</v>
      </c>
      <c r="G422" s="1122">
        <f t="shared" ref="G422:M422" ca="1" si="522">P422+Y422+AH422+AQ422+AZ422+BI422</f>
        <v>14775127.670251956</v>
      </c>
      <c r="H422" s="1122">
        <f t="shared" ca="1" si="522"/>
        <v>4939392.3176304586</v>
      </c>
      <c r="I422" s="1122">
        <f t="shared" ca="1" si="522"/>
        <v>14938220.572494498</v>
      </c>
      <c r="J422" s="1122">
        <f t="shared" ca="1" si="522"/>
        <v>9559333.6594385672</v>
      </c>
      <c r="K422" s="1122">
        <f t="shared" ca="1" si="522"/>
        <v>5434299.9431986343</v>
      </c>
      <c r="L422" s="1122">
        <f t="shared" ca="1" si="522"/>
        <v>4695311.2800940387</v>
      </c>
      <c r="M422" s="1122">
        <f t="shared" ca="1" si="522"/>
        <v>0</v>
      </c>
      <c r="N422" s="1125">
        <f ca="1">SUM(G422:M422)</f>
        <v>54341685.443108156</v>
      </c>
      <c r="O422" s="136">
        <f>ROW()</f>
        <v>422</v>
      </c>
      <c r="P422" s="1179">
        <f t="shared" ref="P422:V422" ca="1" si="523">P414+P419+P421</f>
        <v>2670080.0927486042</v>
      </c>
      <c r="Q422" s="1179">
        <f t="shared" ca="1" si="523"/>
        <v>870568.57448177109</v>
      </c>
      <c r="R422" s="1179">
        <f t="shared" ca="1" si="523"/>
        <v>2411452.1844098526</v>
      </c>
      <c r="S422" s="1179">
        <f t="shared" ca="1" si="523"/>
        <v>1214249.998218589</v>
      </c>
      <c r="T422" s="1179">
        <f t="shared" ca="1" si="523"/>
        <v>881355.88589056022</v>
      </c>
      <c r="U422" s="1179">
        <f t="shared" ca="1" si="523"/>
        <v>693020.50685625372</v>
      </c>
      <c r="V422" s="1179">
        <f t="shared" ca="1" si="523"/>
        <v>0</v>
      </c>
      <c r="W422" s="1122">
        <f ca="1">SUM(P422:V422)</f>
        <v>8740727.2426056303</v>
      </c>
      <c r="Y422" s="1179">
        <f t="shared" ref="Y422:AE422" ca="1" si="524">Y414+Y419+Y421</f>
        <v>6163875.0335769504</v>
      </c>
      <c r="Z422" s="1179">
        <f t="shared" ca="1" si="524"/>
        <v>2113632.839114469</v>
      </c>
      <c r="AA422" s="1179">
        <f t="shared" ca="1" si="524"/>
        <v>7237748.4232367715</v>
      </c>
      <c r="AB422" s="1179">
        <f t="shared" ca="1" si="524"/>
        <v>5102627.2516792333</v>
      </c>
      <c r="AC422" s="1179">
        <f t="shared" ca="1" si="524"/>
        <v>2652971.923677295</v>
      </c>
      <c r="AD422" s="1179">
        <f t="shared" ca="1" si="524"/>
        <v>2347837.3623656826</v>
      </c>
      <c r="AE422" s="1179">
        <f t="shared" ca="1" si="524"/>
        <v>0</v>
      </c>
      <c r="AF422" s="1122">
        <f ca="1">SUM(Y422:AE422)</f>
        <v>25618692.833650403</v>
      </c>
      <c r="AH422" s="1179">
        <f t="shared" ref="AH422:AN422" ca="1" si="525">AH414+AH419+AH421</f>
        <v>5315602.3065501181</v>
      </c>
      <c r="AI422" s="1179">
        <f t="shared" ca="1" si="525"/>
        <v>1735874.4527505226</v>
      </c>
      <c r="AJ422" s="1179">
        <f t="shared" ca="1" si="525"/>
        <v>4613030.357434731</v>
      </c>
      <c r="AK422" s="1179">
        <f t="shared" ca="1" si="525"/>
        <v>2808668.454286424</v>
      </c>
      <c r="AL422" s="1179">
        <f t="shared" ca="1" si="525"/>
        <v>1647269.7472285526</v>
      </c>
      <c r="AM422" s="1179">
        <f t="shared" ca="1" si="525"/>
        <v>1442141.3797654829</v>
      </c>
      <c r="AN422" s="1179">
        <f t="shared" si="525"/>
        <v>0</v>
      </c>
      <c r="AO422" s="1122">
        <f ca="1">SUM(AH422:AN422)</f>
        <v>17562586.698015835</v>
      </c>
      <c r="AQ422" s="1179">
        <f t="shared" ref="AQ422:AV422" ca="1" si="526">AQ414+AQ419</f>
        <v>214444.95119254355</v>
      </c>
      <c r="AR422" s="1179">
        <f t="shared" ca="1" si="526"/>
        <v>82625.150207886385</v>
      </c>
      <c r="AS422" s="1179">
        <f t="shared" ca="1" si="526"/>
        <v>259347.17316268972</v>
      </c>
      <c r="AT422" s="1179">
        <f t="shared" ca="1" si="526"/>
        <v>167157.12111154097</v>
      </c>
      <c r="AU422" s="1179">
        <f t="shared" ca="1" si="526"/>
        <v>98764.674728808415</v>
      </c>
      <c r="AV422" s="1179">
        <f t="shared" ca="1" si="526"/>
        <v>76607.394218662725</v>
      </c>
      <c r="AW422" s="1179"/>
      <c r="AX422" s="1122">
        <f ca="1">SUM(AQ422:AW422)</f>
        <v>898946.4646221319</v>
      </c>
      <c r="AZ422" s="1179">
        <f t="shared" ref="AZ422:BF422" ca="1" si="527">AZ414+AZ419+AZ421</f>
        <v>253403.54235428985</v>
      </c>
      <c r="BA422" s="1179">
        <f t="shared" ca="1" si="527"/>
        <v>84254.88904236129</v>
      </c>
      <c r="BB422" s="1179">
        <f t="shared" ca="1" si="527"/>
        <v>256846.93638266451</v>
      </c>
      <c r="BC422" s="1179">
        <f t="shared" ca="1" si="527"/>
        <v>164376.38897536552</v>
      </c>
      <c r="BD422" s="1179">
        <f t="shared" ca="1" si="527"/>
        <v>94885.927242816237</v>
      </c>
      <c r="BE422" s="1179">
        <f t="shared" ca="1" si="527"/>
        <v>83662.556502873165</v>
      </c>
      <c r="BF422" s="1179">
        <f t="shared" si="527"/>
        <v>0</v>
      </c>
      <c r="BG422" s="1122">
        <f ca="1">SUM(AZ422:BF422)</f>
        <v>937430.24050037062</v>
      </c>
      <c r="BI422" s="1179">
        <f t="shared" ref="BI422:BO422" ca="1" si="528">BI414+BI419+BI421</f>
        <v>157721.74382944949</v>
      </c>
      <c r="BJ422" s="1179">
        <f t="shared" ca="1" si="528"/>
        <v>52436.412033448367</v>
      </c>
      <c r="BK422" s="1179">
        <f t="shared" ca="1" si="528"/>
        <v>159795.49786778906</v>
      </c>
      <c r="BL422" s="1179">
        <f t="shared" ca="1" si="528"/>
        <v>102254.44516741546</v>
      </c>
      <c r="BM422" s="1179">
        <f t="shared" ca="1" si="528"/>
        <v>59051.784430602522</v>
      </c>
      <c r="BN422" s="1179">
        <f t="shared" ca="1" si="528"/>
        <v>52042.080385083216</v>
      </c>
      <c r="BO422" s="1179">
        <f t="shared" si="528"/>
        <v>0</v>
      </c>
      <c r="BP422" s="1122">
        <f ca="1">SUM(BI422:BO422)</f>
        <v>583301.96371378819</v>
      </c>
    </row>
    <row r="423" spans="2:68" ht="13.2" customHeight="1">
      <c r="B423" s="309"/>
      <c r="G423" s="10"/>
      <c r="O423" s="136">
        <f>ROW()</f>
        <v>423</v>
      </c>
    </row>
    <row r="424" spans="2:68" ht="13.2" customHeight="1">
      <c r="B424" s="6" t="s">
        <v>2403</v>
      </c>
      <c r="G424" s="10"/>
      <c r="O424" s="136">
        <f>ROW()</f>
        <v>424</v>
      </c>
    </row>
    <row r="425" spans="2:68" ht="13.2" customHeight="1">
      <c r="B425" s="280" t="s">
        <v>1344</v>
      </c>
      <c r="G425" s="576">
        <f t="shared" ref="G425:L425" ca="1" si="529">G422/G167</f>
        <v>0.91944061330950433</v>
      </c>
      <c r="H425" s="576">
        <f t="shared" ca="1" si="529"/>
        <v>0.92545106133700894</v>
      </c>
      <c r="I425" s="576">
        <f t="shared" ca="1" si="529"/>
        <v>0.93391991495089688</v>
      </c>
      <c r="J425" s="576">
        <f t="shared" ca="1" si="529"/>
        <v>0.93948370736761133</v>
      </c>
      <c r="K425" s="576">
        <f t="shared" ca="1" si="529"/>
        <v>0.91880836828127932</v>
      </c>
      <c r="L425" s="576">
        <f t="shared" ca="1" si="529"/>
        <v>0.90216630263577624</v>
      </c>
      <c r="M425" s="576"/>
      <c r="N425" s="743">
        <f ca="1">N422/N167</f>
        <v>0.92581198462853675</v>
      </c>
      <c r="O425" s="136">
        <f>ROW()</f>
        <v>425</v>
      </c>
      <c r="P425" s="23">
        <f t="shared" ref="P425:W425" ca="1" si="530">G425</f>
        <v>0.91944061330950433</v>
      </c>
      <c r="Q425" s="23">
        <f t="shared" ca="1" si="530"/>
        <v>0.92545106133700894</v>
      </c>
      <c r="R425" s="23">
        <f t="shared" ca="1" si="530"/>
        <v>0.93391991495089688</v>
      </c>
      <c r="S425" s="23">
        <f t="shared" ca="1" si="530"/>
        <v>0.93948370736761133</v>
      </c>
      <c r="T425" s="23">
        <f t="shared" ca="1" si="530"/>
        <v>0.91880836828127932</v>
      </c>
      <c r="U425" s="23">
        <f t="shared" ca="1" si="530"/>
        <v>0.90216630263577624</v>
      </c>
      <c r="V425" s="23"/>
      <c r="W425" s="48">
        <f t="shared" ca="1" si="530"/>
        <v>0.92581198462853675</v>
      </c>
      <c r="Y425" s="23">
        <f t="shared" ref="Y425:AD425" ca="1" si="531">P425</f>
        <v>0.91944061330950433</v>
      </c>
      <c r="Z425" s="23">
        <f t="shared" ca="1" si="531"/>
        <v>0.92545106133700894</v>
      </c>
      <c r="AA425" s="23">
        <f t="shared" ca="1" si="531"/>
        <v>0.93391991495089688</v>
      </c>
      <c r="AB425" s="23">
        <f t="shared" ca="1" si="531"/>
        <v>0.93948370736761133</v>
      </c>
      <c r="AC425" s="23">
        <f t="shared" ca="1" si="531"/>
        <v>0.91880836828127932</v>
      </c>
      <c r="AD425" s="23">
        <f t="shared" ca="1" si="531"/>
        <v>0.90216630263577624</v>
      </c>
      <c r="AE425" s="23"/>
      <c r="AF425" s="48">
        <f ca="1">W425</f>
        <v>0.92581198462853675</v>
      </c>
      <c r="AH425" s="23">
        <f t="shared" ref="AH425:AM425" ca="1" si="532">Y425</f>
        <v>0.91944061330950433</v>
      </c>
      <c r="AI425" s="23">
        <f t="shared" ca="1" si="532"/>
        <v>0.92545106133700894</v>
      </c>
      <c r="AJ425" s="23">
        <f t="shared" ca="1" si="532"/>
        <v>0.93391991495089688</v>
      </c>
      <c r="AK425" s="23">
        <f t="shared" ca="1" si="532"/>
        <v>0.93948370736761133</v>
      </c>
      <c r="AL425" s="23">
        <f t="shared" ca="1" si="532"/>
        <v>0.91880836828127932</v>
      </c>
      <c r="AM425" s="23">
        <f t="shared" ca="1" si="532"/>
        <v>0.90216630263577624</v>
      </c>
      <c r="AN425" s="23"/>
      <c r="AO425" s="48">
        <f ca="1">AF425</f>
        <v>0.92581198462853675</v>
      </c>
      <c r="AQ425" s="23">
        <f t="shared" ref="AQ425:AV425" ca="1" si="533">AH425</f>
        <v>0.91944061330950433</v>
      </c>
      <c r="AR425" s="23">
        <f t="shared" ca="1" si="533"/>
        <v>0.92545106133700894</v>
      </c>
      <c r="AS425" s="23">
        <f t="shared" ca="1" si="533"/>
        <v>0.93391991495089688</v>
      </c>
      <c r="AT425" s="23">
        <f t="shared" ca="1" si="533"/>
        <v>0.93948370736761133</v>
      </c>
      <c r="AU425" s="23">
        <f t="shared" ca="1" si="533"/>
        <v>0.91880836828127932</v>
      </c>
      <c r="AV425" s="23">
        <f t="shared" ca="1" si="533"/>
        <v>0.90216630263577624</v>
      </c>
      <c r="AW425" s="23"/>
      <c r="AX425" s="48">
        <f ca="1">AO425</f>
        <v>0.92581198462853675</v>
      </c>
      <c r="AZ425" s="23">
        <f t="shared" ref="AZ425:BE425" ca="1" si="534">AQ425</f>
        <v>0.91944061330950433</v>
      </c>
      <c r="BA425" s="23">
        <f t="shared" ca="1" si="534"/>
        <v>0.92545106133700894</v>
      </c>
      <c r="BB425" s="23">
        <f t="shared" ca="1" si="534"/>
        <v>0.93391991495089688</v>
      </c>
      <c r="BC425" s="23">
        <f t="shared" ca="1" si="534"/>
        <v>0.93948370736761133</v>
      </c>
      <c r="BD425" s="23">
        <f t="shared" ca="1" si="534"/>
        <v>0.91880836828127932</v>
      </c>
      <c r="BE425" s="23">
        <f t="shared" ca="1" si="534"/>
        <v>0.90216630263577624</v>
      </c>
      <c r="BF425" s="23"/>
      <c r="BG425" s="48">
        <f ca="1">AX425</f>
        <v>0.92581198462853675</v>
      </c>
      <c r="BI425" s="23">
        <f t="shared" ref="BI425:BN425" ca="1" si="535">AZ425</f>
        <v>0.91944061330950433</v>
      </c>
      <c r="BJ425" s="23">
        <f t="shared" ca="1" si="535"/>
        <v>0.92545106133700894</v>
      </c>
      <c r="BK425" s="23">
        <f t="shared" ca="1" si="535"/>
        <v>0.93391991495089688</v>
      </c>
      <c r="BL425" s="23">
        <f t="shared" ca="1" si="535"/>
        <v>0.93948370736761133</v>
      </c>
      <c r="BM425" s="23">
        <f t="shared" ca="1" si="535"/>
        <v>0.91880836828127932</v>
      </c>
      <c r="BN425" s="23">
        <f t="shared" ca="1" si="535"/>
        <v>0.90216630263577624</v>
      </c>
      <c r="BO425" s="23"/>
      <c r="BP425" s="48">
        <f ca="1">BG425</f>
        <v>0.92581198462853675</v>
      </c>
    </row>
    <row r="426" spans="2:68" ht="13.2" customHeight="1">
      <c r="B426" s="309" t="str">
        <f>CONCATENATE("Ratio of new VMT in Row ",O414, " to old VMT in Row ",O167, ".")</f>
        <v>Ratio of new VMT in Row 414 to old VMT in Row 167.</v>
      </c>
      <c r="G426" s="23"/>
      <c r="H426" s="23"/>
      <c r="I426" s="23"/>
      <c r="J426" s="23"/>
      <c r="K426" s="23"/>
      <c r="L426" s="23"/>
      <c r="M426" s="23"/>
      <c r="O426" s="136">
        <f>ROW()</f>
        <v>426</v>
      </c>
    </row>
    <row r="427" spans="2:68" ht="13.2" customHeight="1">
      <c r="B427" s="280" t="s">
        <v>2534</v>
      </c>
      <c r="G427" s="824">
        <f ca="1">MIN('Speed-Vol., non-Cordon'!$X$57*(G200 / 'Speed-Vol., non-Cordon'!$X$57)^G$425,'Speed-Vol., non-Cordon'!$X$32)</f>
        <v>55</v>
      </c>
      <c r="H427" s="824">
        <f ca="1">MIN('Speed-Vol., non-Cordon'!$X$57*(H200 / 'Speed-Vol., non-Cordon'!$X$57)^H$425,'Speed-Vol., non-Cordon'!$X$32)</f>
        <v>33.504220712475998</v>
      </c>
      <c r="I427" s="824">
        <f ca="1">MIN('Speed-Vol., non-Cordon'!$X$57*(I200 / 'Speed-Vol., non-Cordon'!$X$57)^I$425,'Speed-Vol., non-Cordon'!$X$32)</f>
        <v>25.186399382194047</v>
      </c>
      <c r="J427" s="824">
        <f ca="1">MIN('Speed-Vol., non-Cordon'!$X$57*(J200 / 'Speed-Vol., non-Cordon'!$X$57)^J$425,'Speed-Vol., non-Cordon'!$X$32)</f>
        <v>22.573430220651609</v>
      </c>
      <c r="K427" s="824">
        <f ca="1">MIN('Speed-Vol., non-Cordon'!$X$57*(K200 / 'Speed-Vol., non-Cordon'!$X$57)^K$425,'Speed-Vol., non-Cordon'!$X$32)</f>
        <v>29.23407271205124</v>
      </c>
      <c r="L427" s="824">
        <f ca="1">MIN('Speed-Vol., non-Cordon'!$X$57*(L200 / 'Speed-Vol., non-Cordon'!$X$57)^L$425,'Speed-Vol., non-Cordon'!$X$32)</f>
        <v>35.834479853660298</v>
      </c>
      <c r="M427" s="824"/>
      <c r="O427" s="136">
        <f>ROW()</f>
        <v>427</v>
      </c>
      <c r="P427" s="21">
        <f t="shared" ref="P427:V427" ca="1" si="536">G427</f>
        <v>55</v>
      </c>
      <c r="Q427" s="21">
        <f t="shared" ca="1" si="536"/>
        <v>33.504220712475998</v>
      </c>
      <c r="R427" s="21">
        <f t="shared" ca="1" si="536"/>
        <v>25.186399382194047</v>
      </c>
      <c r="S427" s="21">
        <f t="shared" ca="1" si="536"/>
        <v>22.573430220651609</v>
      </c>
      <c r="T427" s="21">
        <f t="shared" ca="1" si="536"/>
        <v>29.23407271205124</v>
      </c>
      <c r="U427" s="21">
        <f t="shared" ca="1" si="536"/>
        <v>35.834479853660298</v>
      </c>
      <c r="V427" s="21">
        <f t="shared" si="536"/>
        <v>0</v>
      </c>
      <c r="Y427" s="21">
        <f t="shared" ref="Y427:AD427" ca="1" si="537">P427</f>
        <v>55</v>
      </c>
      <c r="Z427" s="21">
        <f t="shared" ca="1" si="537"/>
        <v>33.504220712475998</v>
      </c>
      <c r="AA427" s="21">
        <f t="shared" ca="1" si="537"/>
        <v>25.186399382194047</v>
      </c>
      <c r="AB427" s="21">
        <f t="shared" ca="1" si="537"/>
        <v>22.573430220651609</v>
      </c>
      <c r="AC427" s="21">
        <f t="shared" ca="1" si="537"/>
        <v>29.23407271205124</v>
      </c>
      <c r="AD427" s="21">
        <f t="shared" ca="1" si="537"/>
        <v>35.834479853660298</v>
      </c>
      <c r="AE427" s="21"/>
      <c r="AH427" s="21">
        <f t="shared" ref="AH427:AM427" ca="1" si="538">Y427</f>
        <v>55</v>
      </c>
      <c r="AI427" s="21">
        <f t="shared" ca="1" si="538"/>
        <v>33.504220712475998</v>
      </c>
      <c r="AJ427" s="21">
        <f t="shared" ca="1" si="538"/>
        <v>25.186399382194047</v>
      </c>
      <c r="AK427" s="21">
        <f t="shared" ca="1" si="538"/>
        <v>22.573430220651609</v>
      </c>
      <c r="AL427" s="21">
        <f t="shared" ca="1" si="538"/>
        <v>29.23407271205124</v>
      </c>
      <c r="AM427" s="21">
        <f t="shared" ca="1" si="538"/>
        <v>35.834479853660298</v>
      </c>
      <c r="AN427" s="21"/>
      <c r="AQ427" s="21">
        <f t="shared" ref="AQ427:AV427" ca="1" si="539">$AV$181*G427</f>
        <v>54.45</v>
      </c>
      <c r="AR427" s="21">
        <f t="shared" ca="1" si="539"/>
        <v>33.16917850535124</v>
      </c>
      <c r="AS427" s="21">
        <f t="shared" ca="1" si="539"/>
        <v>24.934535388372105</v>
      </c>
      <c r="AT427" s="21">
        <f t="shared" ca="1" si="539"/>
        <v>22.347695918445094</v>
      </c>
      <c r="AU427" s="21">
        <f t="shared" ca="1" si="539"/>
        <v>28.941731984930726</v>
      </c>
      <c r="AV427" s="21">
        <f t="shared" ca="1" si="539"/>
        <v>35.476135055123692</v>
      </c>
      <c r="AW427" s="21"/>
      <c r="AZ427" s="21">
        <f t="shared" ref="AZ427:BE427" ca="1" si="540">AQ427</f>
        <v>54.45</v>
      </c>
      <c r="BA427" s="21">
        <f t="shared" ca="1" si="540"/>
        <v>33.16917850535124</v>
      </c>
      <c r="BB427" s="21">
        <f t="shared" ca="1" si="540"/>
        <v>24.934535388372105</v>
      </c>
      <c r="BC427" s="21">
        <f t="shared" ca="1" si="540"/>
        <v>22.347695918445094</v>
      </c>
      <c r="BD427" s="21">
        <f t="shared" ca="1" si="540"/>
        <v>28.941731984930726</v>
      </c>
      <c r="BE427" s="21">
        <f t="shared" ca="1" si="540"/>
        <v>35.476135055123692</v>
      </c>
      <c r="BF427" s="21"/>
      <c r="BI427" s="21">
        <f t="shared" ref="BI427:BN427" ca="1" si="541">AZ427</f>
        <v>54.45</v>
      </c>
      <c r="BJ427" s="21">
        <f t="shared" ca="1" si="541"/>
        <v>33.16917850535124</v>
      </c>
      <c r="BK427" s="21">
        <f t="shared" ca="1" si="541"/>
        <v>24.934535388372105</v>
      </c>
      <c r="BL427" s="21">
        <f t="shared" ca="1" si="541"/>
        <v>22.347695918445094</v>
      </c>
      <c r="BM427" s="21">
        <f t="shared" ca="1" si="541"/>
        <v>28.941731984930726</v>
      </c>
      <c r="BN427" s="21">
        <f t="shared" ca="1" si="541"/>
        <v>35.476135055123692</v>
      </c>
      <c r="BO427" s="21"/>
    </row>
    <row r="428" spans="2:68" ht="13.2" customHeight="1">
      <c r="B428" s="309" t="str">
        <f>CONCATENATE("Speeds are calculated with 'speed-volume' relationship discussed in Part B, above, in note beginning in Row ",O195, ".")</f>
        <v>Speeds are calculated with 'speed-volume' relationship discussed in Part B, above, in note beginning in Row 195.</v>
      </c>
      <c r="O428" s="136">
        <f>ROW()</f>
        <v>428</v>
      </c>
      <c r="W428" s="4360" t="s">
        <v>1878</v>
      </c>
      <c r="AF428" s="4360" t="s">
        <v>1878</v>
      </c>
      <c r="AO428" s="4360" t="s">
        <v>1878</v>
      </c>
      <c r="AX428" s="4360" t="s">
        <v>1878</v>
      </c>
      <c r="BG428" s="4360" t="s">
        <v>1878</v>
      </c>
      <c r="BP428" s="4360" t="s">
        <v>1878</v>
      </c>
    </row>
    <row r="429" spans="2:68" ht="13.2" customHeight="1">
      <c r="O429" s="136">
        <f>ROW()</f>
        <v>429</v>
      </c>
      <c r="W429" s="4361"/>
      <c r="AF429" s="4361"/>
      <c r="AO429" s="4361"/>
      <c r="AX429" s="4361"/>
      <c r="BG429" s="4361"/>
      <c r="BP429" s="4361"/>
    </row>
    <row r="430" spans="2:68" ht="13.2" customHeight="1">
      <c r="B430" s="6" t="s">
        <v>2406</v>
      </c>
      <c r="F430" s="606"/>
      <c r="O430" s="136">
        <f>ROW()</f>
        <v>430</v>
      </c>
      <c r="W430" s="4361"/>
      <c r="AF430" s="4361"/>
      <c r="AO430" s="4361"/>
      <c r="AX430" s="4361"/>
      <c r="BG430" s="4361"/>
      <c r="BP430" s="4361"/>
    </row>
    <row r="431" spans="2:68" ht="13.2" customHeight="1">
      <c r="B431" s="280" t="s">
        <v>2158</v>
      </c>
      <c r="C431" s="297"/>
      <c r="D431" s="297"/>
      <c r="E431" s="297"/>
      <c r="F431" s="297"/>
      <c r="G431" s="4286" t="s">
        <v>2351</v>
      </c>
      <c r="H431" s="3775"/>
      <c r="I431" s="3775"/>
      <c r="J431" s="3775"/>
      <c r="K431" s="3775"/>
      <c r="L431" s="3776"/>
      <c r="O431" s="136">
        <f>ROW()</f>
        <v>431</v>
      </c>
      <c r="P431" s="21">
        <f t="shared" ref="P431:U431" ca="1" si="542">($I$85)*60/P403</f>
        <v>4.4408386288182866</v>
      </c>
      <c r="Q431" s="21">
        <f t="shared" ca="1" si="542"/>
        <v>5.4810553040986187</v>
      </c>
      <c r="R431" s="21">
        <f t="shared" ca="1" si="542"/>
        <v>6.8624616748773315</v>
      </c>
      <c r="S431" s="21">
        <f t="shared" ca="1" si="542"/>
        <v>7.7475564738331775</v>
      </c>
      <c r="T431" s="21">
        <f t="shared" ca="1" si="542"/>
        <v>6.2660607855118684</v>
      </c>
      <c r="U431" s="21">
        <f t="shared" ca="1" si="542"/>
        <v>5.3963865897886603</v>
      </c>
      <c r="V431" s="21"/>
      <c r="W431" s="613">
        <f ca="1">SUMPRODUCT(P$383:V$383,P431:V431)/W$383</f>
        <v>5.9577281543505896</v>
      </c>
      <c r="Y431" s="21">
        <f t="shared" ref="Y431:AD431" ca="1" si="543">($J$85)*60/Y403</f>
        <v>4.4408386288182866</v>
      </c>
      <c r="Z431" s="21">
        <f t="shared" ca="1" si="543"/>
        <v>5.4810553040986187</v>
      </c>
      <c r="AA431" s="21">
        <f t="shared" ca="1" si="543"/>
        <v>6.8624616748773315</v>
      </c>
      <c r="AB431" s="21">
        <f t="shared" ca="1" si="543"/>
        <v>7.7475564738331775</v>
      </c>
      <c r="AC431" s="21">
        <f t="shared" ca="1" si="543"/>
        <v>6.2660607855118684</v>
      </c>
      <c r="AD431" s="21">
        <f t="shared" ca="1" si="543"/>
        <v>5.3963865897886603</v>
      </c>
      <c r="AE431" s="21"/>
      <c r="AF431" s="613">
        <f ca="1">SUMPRODUCT(Y$383:AE$383,Y431:AE431)/AF$383</f>
        <v>6.1512259522820987</v>
      </c>
      <c r="AH431" s="21">
        <f t="shared" ref="AH431:AM431" ca="1" si="544">($K$85)*60/AH403</f>
        <v>4.1447827202304017</v>
      </c>
      <c r="AI431" s="21">
        <f t="shared" ca="1" si="544"/>
        <v>5.1156516171587114</v>
      </c>
      <c r="AJ431" s="21">
        <f t="shared" ca="1" si="544"/>
        <v>6.4049642298855103</v>
      </c>
      <c r="AK431" s="21">
        <f t="shared" ca="1" si="544"/>
        <v>7.2310527089109673</v>
      </c>
      <c r="AL431" s="21">
        <f t="shared" ca="1" si="544"/>
        <v>5.8483233998110782</v>
      </c>
      <c r="AM431" s="21">
        <f t="shared" ca="1" si="544"/>
        <v>5.03662748380275</v>
      </c>
      <c r="AN431" s="21"/>
      <c r="AO431" s="613">
        <f ca="1">SUMPRODUCT(AH$383:AN$383,AH431:AN431)/AO$383</f>
        <v>5.5990252603979789</v>
      </c>
      <c r="AQ431" s="21">
        <f t="shared" ref="AQ431:AV431" ca="1" si="545">($L$85)*60/AQ403</f>
        <v>6.2327559702712794</v>
      </c>
      <c r="AR431" s="21">
        <f t="shared" ca="1" si="545"/>
        <v>7.6927091987349039</v>
      </c>
      <c r="AS431" s="21">
        <f t="shared" ca="1" si="545"/>
        <v>9.6315251577225709</v>
      </c>
      <c r="AT431" s="21">
        <f t="shared" ca="1" si="545"/>
        <v>10.873763472046566</v>
      </c>
      <c r="AU431" s="21">
        <f t="shared" ca="1" si="545"/>
        <v>8.7944712779113949</v>
      </c>
      <c r="AV431" s="21">
        <f t="shared" ca="1" si="545"/>
        <v>7.5738759154928559</v>
      </c>
      <c r="AW431" s="21"/>
      <c r="AX431" s="613">
        <f ca="1">SUMPRODUCT(AQ$383:AW$383,AQ431:AW431)/AX$383</f>
        <v>8.2112371982534427</v>
      </c>
      <c r="AZ431" s="21">
        <f t="shared" ref="AZ431:BE431" ca="1" si="546">($M$85)*60/AZ403</f>
        <v>9.3491339554069182</v>
      </c>
      <c r="BA431" s="21">
        <f t="shared" ca="1" si="546"/>
        <v>11.539063798102356</v>
      </c>
      <c r="BB431" s="21">
        <f t="shared" ca="1" si="546"/>
        <v>14.447287736583856</v>
      </c>
      <c r="BC431" s="21">
        <f t="shared" ca="1" si="546"/>
        <v>16.310645208069847</v>
      </c>
      <c r="BD431" s="21">
        <f t="shared" ca="1" si="546"/>
        <v>13.191706916867092</v>
      </c>
      <c r="BE431" s="21">
        <f t="shared" ca="1" si="546"/>
        <v>11.360813873239284</v>
      </c>
      <c r="BF431" s="21"/>
      <c r="BG431" s="613">
        <f ca="1">SUMPRODUCT(AZ$383:BF$383,AZ431:BF431)/BG$383</f>
        <v>12.732503585470466</v>
      </c>
      <c r="BI431" s="21">
        <f t="shared" ref="BI431:BN431" ca="1" si="547">($N$85)*60/BI403</f>
        <v>6.2327559702712794</v>
      </c>
      <c r="BJ431" s="21">
        <f t="shared" ca="1" si="547"/>
        <v>7.6927091987349039</v>
      </c>
      <c r="BK431" s="21">
        <f t="shared" ca="1" si="547"/>
        <v>9.6315251577225709</v>
      </c>
      <c r="BL431" s="21">
        <f t="shared" ca="1" si="547"/>
        <v>10.873763472046566</v>
      </c>
      <c r="BM431" s="21">
        <f t="shared" ca="1" si="547"/>
        <v>8.7944712779113949</v>
      </c>
      <c r="BN431" s="21">
        <f t="shared" ca="1" si="547"/>
        <v>7.5738759154928559</v>
      </c>
      <c r="BO431" s="21"/>
      <c r="BP431" s="613">
        <f ca="1">SUMPRODUCT(BI$383:BO$383,BI431:BO431)/BP$383</f>
        <v>8.4878906602352142</v>
      </c>
    </row>
    <row r="432" spans="2:68" ht="13.2" customHeight="1">
      <c r="B432" s="280" t="s">
        <v>2159</v>
      </c>
      <c r="C432" s="297"/>
      <c r="D432" s="297"/>
      <c r="E432" s="297"/>
      <c r="F432" s="297"/>
      <c r="G432" s="3738"/>
      <c r="H432" s="3739"/>
      <c r="I432" s="3739"/>
      <c r="J432" s="3739"/>
      <c r="K432" s="3739"/>
      <c r="L432" s="3922"/>
      <c r="O432" s="136">
        <f>ROW()</f>
        <v>432</v>
      </c>
      <c r="P432" s="21">
        <f t="shared" ref="P432:U432" ca="1" si="548">60*$I$85/(1/($P$135/$P403+$Q$135/$Q403+$R$135/$R403+$S$135/$S403+$T$135/$T403+$U$135/$U403))</f>
        <v>5.9590062217985036</v>
      </c>
      <c r="Q432" s="21">
        <f t="shared" ca="1" si="548"/>
        <v>5.9590062217985036</v>
      </c>
      <c r="R432" s="21">
        <f t="shared" ca="1" si="548"/>
        <v>5.9590062217985036</v>
      </c>
      <c r="S432" s="21">
        <f t="shared" ca="1" si="548"/>
        <v>5.9590062217985036</v>
      </c>
      <c r="T432" s="21">
        <f t="shared" ca="1" si="548"/>
        <v>5.9590062217985036</v>
      </c>
      <c r="U432" s="21">
        <f t="shared" ca="1" si="548"/>
        <v>5.9590062217985036</v>
      </c>
      <c r="V432" s="21"/>
      <c r="W432" s="613">
        <f ca="1">SUMPRODUCT(P$383:V$383,P432:V432)/W$383</f>
        <v>5.9590062217985045</v>
      </c>
      <c r="Y432" s="21">
        <f t="shared" ref="Y432:AD432" ca="1" si="549">60*$J$85/(1/($Y$135/$Y403+$Z$135/$Z403+$AA$135/$AA403+$AB$135/$AB403+$AC$135/$AC403+$AD$135/$AD403))</f>
        <v>5.9590062217985027</v>
      </c>
      <c r="Z432" s="21">
        <f t="shared" ca="1" si="549"/>
        <v>5.9590062217985027</v>
      </c>
      <c r="AA432" s="21">
        <f t="shared" ca="1" si="549"/>
        <v>5.9590062217985027</v>
      </c>
      <c r="AB432" s="21">
        <f t="shared" ca="1" si="549"/>
        <v>5.9590062217985027</v>
      </c>
      <c r="AC432" s="21">
        <f t="shared" ca="1" si="549"/>
        <v>5.9590062217985027</v>
      </c>
      <c r="AD432" s="21">
        <f t="shared" ca="1" si="549"/>
        <v>5.9590062217985027</v>
      </c>
      <c r="AE432" s="21"/>
      <c r="AF432" s="613">
        <f ca="1">SUMPRODUCT(Y$383:AE$383,Y432:AE432)/AF$383</f>
        <v>5.9590062217985036</v>
      </c>
      <c r="AH432" s="21">
        <f t="shared" ref="AH432:AM432" ca="1" si="550">AH431</f>
        <v>4.1447827202304017</v>
      </c>
      <c r="AI432" s="21">
        <f t="shared" ca="1" si="550"/>
        <v>5.1156516171587114</v>
      </c>
      <c r="AJ432" s="21">
        <f t="shared" ca="1" si="550"/>
        <v>6.4049642298855103</v>
      </c>
      <c r="AK432" s="21">
        <f t="shared" ca="1" si="550"/>
        <v>7.2310527089109673</v>
      </c>
      <c r="AL432" s="21">
        <f t="shared" ca="1" si="550"/>
        <v>5.8483233998110782</v>
      </c>
      <c r="AM432" s="21">
        <f t="shared" ca="1" si="550"/>
        <v>5.03662748380275</v>
      </c>
      <c r="AN432" s="21"/>
      <c r="AO432" s="613">
        <f ca="1">SUMPRODUCT(AH$383:AN$383,AH432:AN432)/AO$383</f>
        <v>5.5990252603979789</v>
      </c>
      <c r="AQ432" s="21"/>
      <c r="AR432" s="21"/>
      <c r="AS432" s="21"/>
      <c r="AT432" s="21"/>
      <c r="AU432" s="21"/>
      <c r="AV432" s="21"/>
      <c r="AW432" s="21"/>
      <c r="AX432" s="613"/>
      <c r="AZ432" s="21">
        <f t="shared" ref="AZ432:BE432" ca="1" si="551">60*$M$85/(1/($AZ$135/$AZ403+$BA$135/$BA403+$BB$135/$BB403+$BC$135/$BC403+$BD$135/$BD403+$BE$135/$BE403))</f>
        <v>12.545276256417903</v>
      </c>
      <c r="BA432" s="21">
        <f t="shared" ca="1" si="551"/>
        <v>12.545276256417903</v>
      </c>
      <c r="BB432" s="21">
        <f t="shared" ca="1" si="551"/>
        <v>12.545276256417903</v>
      </c>
      <c r="BC432" s="21">
        <f t="shared" ca="1" si="551"/>
        <v>12.545276256417903</v>
      </c>
      <c r="BD432" s="21">
        <f t="shared" ca="1" si="551"/>
        <v>12.545276256417903</v>
      </c>
      <c r="BE432" s="21">
        <f t="shared" ca="1" si="551"/>
        <v>12.545276256417903</v>
      </c>
      <c r="BF432" s="21"/>
      <c r="BG432" s="613">
        <f ca="1">SUMPRODUCT(AZ$383:BF$383,AZ432:BF432)/BG$383</f>
        <v>12.545276256417903</v>
      </c>
      <c r="BI432" s="21">
        <f t="shared" ref="BI432:BN432" ca="1" si="552">60*$N$85/(1/($BI$135/$BI403+$BJ$135/$BJ403+$BK$135/$BK403+$BL$135/$BL403+$BM$135/$BM403+$BN$135/$BN403))</f>
        <v>8.363517504278601</v>
      </c>
      <c r="BJ432" s="21">
        <f t="shared" ca="1" si="552"/>
        <v>8.363517504278601</v>
      </c>
      <c r="BK432" s="21">
        <f t="shared" ca="1" si="552"/>
        <v>8.363517504278601</v>
      </c>
      <c r="BL432" s="21">
        <f t="shared" ca="1" si="552"/>
        <v>8.363517504278601</v>
      </c>
      <c r="BM432" s="21">
        <f t="shared" ca="1" si="552"/>
        <v>8.363517504278601</v>
      </c>
      <c r="BN432" s="21">
        <f t="shared" ca="1" si="552"/>
        <v>8.363517504278601</v>
      </c>
      <c r="BO432" s="21"/>
      <c r="BP432" s="613">
        <f ca="1">SUMPRODUCT(BI$383:BO$383,BI432:BO432)/BP$383</f>
        <v>8.363517504278601</v>
      </c>
    </row>
    <row r="433" spans="2:68" ht="13.2" customHeight="1">
      <c r="B433" s="280" t="s">
        <v>2160</v>
      </c>
      <c r="C433" s="297"/>
      <c r="D433" s="297"/>
      <c r="E433" s="297"/>
      <c r="F433" s="297"/>
      <c r="G433" s="3738"/>
      <c r="H433" s="3739"/>
      <c r="I433" s="3739"/>
      <c r="J433" s="3739"/>
      <c r="K433" s="3739"/>
      <c r="L433" s="3922"/>
      <c r="O433" s="136">
        <f>ROW()</f>
        <v>433</v>
      </c>
      <c r="P433" s="21">
        <f t="shared" ref="P433:U433" ca="1" si="553">($I$79)*60/P427</f>
        <v>18.436427705879503</v>
      </c>
      <c r="Q433" s="21">
        <f t="shared" ca="1" si="553"/>
        <v>30.264948781387034</v>
      </c>
      <c r="R433" s="21">
        <f t="shared" ca="1" si="553"/>
        <v>40.259963658808637</v>
      </c>
      <c r="S433" s="21">
        <f t="shared" ca="1" si="553"/>
        <v>44.920223196548029</v>
      </c>
      <c r="T433" s="21">
        <f t="shared" ca="1" si="553"/>
        <v>34.685674275051227</v>
      </c>
      <c r="U433" s="21">
        <f t="shared" ca="1" si="553"/>
        <v>28.296867373667144</v>
      </c>
      <c r="V433" s="21"/>
      <c r="W433" s="613">
        <f ca="1">SUMPRODUCT(P$383:V$383,P433:V433)/W$383</f>
        <v>31.943216306145874</v>
      </c>
      <c r="Y433" s="21">
        <f t="shared" ref="Y433:AD433" ca="1" si="554">($J$79)*60/Y427</f>
        <v>18.436427705879503</v>
      </c>
      <c r="Z433" s="21">
        <f t="shared" ca="1" si="554"/>
        <v>30.264948781387034</v>
      </c>
      <c r="AA433" s="21">
        <f t="shared" ca="1" si="554"/>
        <v>40.259963658808637</v>
      </c>
      <c r="AB433" s="21">
        <f t="shared" ca="1" si="554"/>
        <v>44.920223196548029</v>
      </c>
      <c r="AC433" s="21">
        <f t="shared" ca="1" si="554"/>
        <v>34.685674275051227</v>
      </c>
      <c r="AD433" s="21">
        <f t="shared" ca="1" si="554"/>
        <v>28.296867373667144</v>
      </c>
      <c r="AE433" s="21"/>
      <c r="AF433" s="613">
        <f ca="1">SUMPRODUCT(Y$383:AE$383,Y433:AE433)/AF$383</f>
        <v>33.475653527989515</v>
      </c>
      <c r="AH433" s="21">
        <f t="shared" ref="AH433:AM433" ca="1" si="555">($K$79)*60/AH427</f>
        <v>27.654641558819254</v>
      </c>
      <c r="AI433" s="21">
        <f t="shared" ca="1" si="555"/>
        <v>45.397423172080551</v>
      </c>
      <c r="AJ433" s="21">
        <f t="shared" ca="1" si="555"/>
        <v>60.389945488212959</v>
      </c>
      <c r="AK433" s="21">
        <f t="shared" ca="1" si="555"/>
        <v>67.380334794822048</v>
      </c>
      <c r="AL433" s="21">
        <f t="shared" ca="1" si="555"/>
        <v>52.028511412576833</v>
      </c>
      <c r="AM433" s="21">
        <f t="shared" ca="1" si="555"/>
        <v>42.445301060500718</v>
      </c>
      <c r="AN433" s="21"/>
      <c r="AO433" s="613">
        <f ca="1">SUMPRODUCT(AH$383:AN$383,AH433:AN433)/AO$383</f>
        <v>48.34959767773784</v>
      </c>
      <c r="AQ433" s="21">
        <f t="shared" ref="AQ433:AV433" ca="1" si="556">($L$79)*60/AQ427</f>
        <v>6.6115702479338836</v>
      </c>
      <c r="AR433" s="21">
        <f t="shared" ca="1" si="556"/>
        <v>10.853449383496809</v>
      </c>
      <c r="AS433" s="21">
        <f t="shared" ca="1" si="556"/>
        <v>14.437806616115306</v>
      </c>
      <c r="AT433" s="21">
        <f t="shared" ca="1" si="556"/>
        <v>16.109043246058633</v>
      </c>
      <c r="AU433" s="21">
        <f t="shared" ca="1" si="556"/>
        <v>12.438785632713463</v>
      </c>
      <c r="AV433" s="21">
        <f t="shared" ca="1" si="556"/>
        <v>10.147666859442923</v>
      </c>
      <c r="AW433" s="21"/>
      <c r="AX433" s="613">
        <f ca="1">SUMPRODUCT(AQ$383:AW$383,AQ433:AW433)/AX$383</f>
        <v>11.095948244337047</v>
      </c>
      <c r="AZ433" s="21">
        <f t="shared" ref="AZ433:BE433" ca="1" si="557">($M$79)*60/AZ427</f>
        <v>14.02935970168255</v>
      </c>
      <c r="BA433" s="21">
        <f t="shared" ca="1" si="557"/>
        <v>23.030375492518569</v>
      </c>
      <c r="BB433" s="21">
        <f t="shared" ca="1" si="557"/>
        <v>30.636168826023084</v>
      </c>
      <c r="BC433" s="21">
        <f t="shared" ca="1" si="557"/>
        <v>34.182433775023611</v>
      </c>
      <c r="BD433" s="21">
        <f t="shared" ca="1" si="557"/>
        <v>26.394364931385546</v>
      </c>
      <c r="BE433" s="21">
        <f t="shared" ca="1" si="557"/>
        <v>21.532746861225171</v>
      </c>
      <c r="BF433" s="21"/>
      <c r="BG433" s="613">
        <f ca="1">SUMPRODUCT(AZ$383:BF$383,AZ433:BF433)/BG$383</f>
        <v>24.84506505416266</v>
      </c>
      <c r="BI433" s="21">
        <f t="shared" ref="BI433:BN433" ca="1" si="558">($N$79)*60/BI427</f>
        <v>19.220928771529003</v>
      </c>
      <c r="BJ433" s="21">
        <f t="shared" ca="1" si="558"/>
        <v>31.552773350745117</v>
      </c>
      <c r="BK433" s="21">
        <f t="shared" ca="1" si="558"/>
        <v>41.973092953551202</v>
      </c>
      <c r="BL433" s="21">
        <f t="shared" ca="1" si="558"/>
        <v>46.831654387508472</v>
      </c>
      <c r="BM433" s="21">
        <f t="shared" ca="1" si="558"/>
        <v>36.161608163418954</v>
      </c>
      <c r="BN433" s="21">
        <f t="shared" ca="1" si="558"/>
        <v>29.500946762761874</v>
      </c>
      <c r="BO433" s="21"/>
      <c r="BP433" s="613">
        <f ca="1">SUMPRODUCT(BI$383:BO$383,BI433:BO433)/BP$383</f>
        <v>34.036221448600699</v>
      </c>
    </row>
    <row r="434" spans="2:68" ht="13.2" customHeight="1">
      <c r="B434" s="280" t="s">
        <v>1138</v>
      </c>
      <c r="C434" s="297"/>
      <c r="D434" s="297"/>
      <c r="E434" s="297"/>
      <c r="F434" s="297"/>
      <c r="G434" s="3738"/>
      <c r="H434" s="3739"/>
      <c r="I434" s="3739"/>
      <c r="J434" s="3739"/>
      <c r="K434" s="3739"/>
      <c r="L434" s="3922"/>
      <c r="O434" s="136">
        <f>ROW()</f>
        <v>434</v>
      </c>
      <c r="P434" s="21">
        <f t="shared" ref="P434:U434" ca="1" si="559">60*$I$79/(1/($P$135/$P427+$Q$135/$Q427+$R$135/$R427+$S$135/$S427+$T$135/$T427+$U$135/$U427))</f>
        <v>31.887400250446785</v>
      </c>
      <c r="Q434" s="21">
        <f t="shared" ca="1" si="559"/>
        <v>31.887400250446785</v>
      </c>
      <c r="R434" s="21">
        <f t="shared" ca="1" si="559"/>
        <v>31.887400250446785</v>
      </c>
      <c r="S434" s="21">
        <f t="shared" ca="1" si="559"/>
        <v>31.887400250446785</v>
      </c>
      <c r="T434" s="21">
        <f t="shared" ca="1" si="559"/>
        <v>31.887400250446785</v>
      </c>
      <c r="U434" s="21">
        <f t="shared" ca="1" si="559"/>
        <v>31.887400250446785</v>
      </c>
      <c r="V434" s="21"/>
      <c r="W434" s="613">
        <f ca="1">SUMPRODUCT(P$383:V$383,P434:V434)/W$383</f>
        <v>31.887400250446788</v>
      </c>
      <c r="Y434" s="21">
        <f t="shared" ref="Y434:AD434" ca="1" si="560">60*$J$79/(1/($Y$135/$Y427+$Z$135/$Z427+$AA$135/$AA427+$AB$135/$AB427+$AC$135/$AC427+$AD$135/$AD427))</f>
        <v>31.887400250446778</v>
      </c>
      <c r="Z434" s="21">
        <f t="shared" ca="1" si="560"/>
        <v>31.887400250446778</v>
      </c>
      <c r="AA434" s="21">
        <f t="shared" ca="1" si="560"/>
        <v>31.887400250446778</v>
      </c>
      <c r="AB434" s="21">
        <f t="shared" ca="1" si="560"/>
        <v>31.887400250446778</v>
      </c>
      <c r="AC434" s="21">
        <f t="shared" ca="1" si="560"/>
        <v>31.887400250446778</v>
      </c>
      <c r="AD434" s="21">
        <f t="shared" ca="1" si="560"/>
        <v>31.887400250446778</v>
      </c>
      <c r="AE434" s="21"/>
      <c r="AF434" s="613">
        <f ca="1">SUMPRODUCT(Y$383:AE$383,Y434:AE434)/AF$383</f>
        <v>31.887400250446781</v>
      </c>
      <c r="AH434" s="21">
        <f t="shared" ref="AH434:AM434" ca="1" si="561">AH433</f>
        <v>27.654641558819254</v>
      </c>
      <c r="AI434" s="21">
        <f t="shared" ca="1" si="561"/>
        <v>45.397423172080551</v>
      </c>
      <c r="AJ434" s="21">
        <f t="shared" ca="1" si="561"/>
        <v>60.389945488212959</v>
      </c>
      <c r="AK434" s="21">
        <f t="shared" ca="1" si="561"/>
        <v>67.380334794822048</v>
      </c>
      <c r="AL434" s="21">
        <f t="shared" ca="1" si="561"/>
        <v>52.028511412576833</v>
      </c>
      <c r="AM434" s="21">
        <f t="shared" ca="1" si="561"/>
        <v>42.445301060500718</v>
      </c>
      <c r="AN434" s="21"/>
      <c r="AO434" s="613">
        <f ca="1">SUMPRODUCT(AH$383:AN$383,AH434:AN434)/AO$383</f>
        <v>48.34959767773784</v>
      </c>
      <c r="AX434" s="613"/>
      <c r="AZ434" s="21">
        <f t="shared" ref="AZ434:BE434" ca="1" si="562">60*$M$79/(1/($AZ$135/$AZ427+$BA$135/$BA427+$BB$135/$BB427+$BC$135/$BC427+$BD$135/$BD427+$BE$135/$BE427))</f>
        <v>24.264994021720049</v>
      </c>
      <c r="BA434" s="21">
        <f t="shared" ca="1" si="562"/>
        <v>24.264994021720049</v>
      </c>
      <c r="BB434" s="21">
        <f t="shared" ca="1" si="562"/>
        <v>24.264994021720049</v>
      </c>
      <c r="BC434" s="21">
        <f t="shared" ca="1" si="562"/>
        <v>24.264994021720049</v>
      </c>
      <c r="BD434" s="21">
        <f t="shared" ca="1" si="562"/>
        <v>24.264994021720049</v>
      </c>
      <c r="BE434" s="21">
        <f t="shared" ca="1" si="562"/>
        <v>24.264994021720049</v>
      </c>
      <c r="BF434" s="21"/>
      <c r="BG434" s="613">
        <f ca="1">SUMPRODUCT(AZ$383:BF$383,AZ434:BF434)/BG$383</f>
        <v>24.264994021720053</v>
      </c>
      <c r="BI434" s="21">
        <f t="shared" ref="BI434:BN434" ca="1" si="563">60*$N$79/(1/($BI$135/$BI427+$BJ$135/$BJ427+$BK$135/$BK427+$BL$135/$BL427+$BM$135/$BM427+$BN$135/$BN427))</f>
        <v>33.24426286376584</v>
      </c>
      <c r="BJ434" s="21">
        <f t="shared" ca="1" si="563"/>
        <v>33.24426286376584</v>
      </c>
      <c r="BK434" s="21">
        <f t="shared" ca="1" si="563"/>
        <v>33.24426286376584</v>
      </c>
      <c r="BL434" s="21">
        <f t="shared" ca="1" si="563"/>
        <v>33.24426286376584</v>
      </c>
      <c r="BM434" s="21">
        <f t="shared" ca="1" si="563"/>
        <v>33.24426286376584</v>
      </c>
      <c r="BN434" s="21">
        <f t="shared" ca="1" si="563"/>
        <v>33.24426286376584</v>
      </c>
      <c r="BO434" s="21"/>
      <c r="BP434" s="613">
        <f ca="1">SUMPRODUCT(BI$383:BO$383,BI434:BO434)/BP$383</f>
        <v>33.24426286376584</v>
      </c>
    </row>
    <row r="435" spans="2:68" ht="13.2" customHeight="1">
      <c r="B435" s="308" t="s">
        <v>2243</v>
      </c>
      <c r="C435" s="297"/>
      <c r="D435" s="297"/>
      <c r="E435" s="297"/>
      <c r="F435" s="297"/>
      <c r="G435" s="3738"/>
      <c r="H435" s="3739"/>
      <c r="I435" s="3739"/>
      <c r="J435" s="3739"/>
      <c r="K435" s="3739"/>
      <c r="L435" s="3922"/>
      <c r="O435" s="136">
        <f>ROW()</f>
        <v>435</v>
      </c>
      <c r="P435" s="21">
        <f t="shared" ref="P435:W435" ca="1" si="564">SUM(P431:P434)</f>
        <v>60.723672806943078</v>
      </c>
      <c r="Q435" s="21">
        <f t="shared" ca="1" si="564"/>
        <v>73.592410557730943</v>
      </c>
      <c r="R435" s="21">
        <f t="shared" ca="1" si="564"/>
        <v>84.968831805931259</v>
      </c>
      <c r="S435" s="21">
        <f t="shared" ca="1" si="564"/>
        <v>90.5141861426265</v>
      </c>
      <c r="T435" s="21">
        <f t="shared" ca="1" si="564"/>
        <v>78.798141532808387</v>
      </c>
      <c r="U435" s="21">
        <f t="shared" ca="1" si="564"/>
        <v>71.539660435701094</v>
      </c>
      <c r="V435" s="21"/>
      <c r="W435" s="613">
        <f t="shared" ca="1" si="564"/>
        <v>75.747350932741753</v>
      </c>
      <c r="Y435" s="21">
        <f t="shared" ref="Y435:AF435" ca="1" si="565">SUM(Y431:Y434)</f>
        <v>60.723672806943071</v>
      </c>
      <c r="Z435" s="21">
        <f t="shared" ca="1" si="565"/>
        <v>73.592410557730929</v>
      </c>
      <c r="AA435" s="21">
        <f t="shared" ca="1" si="565"/>
        <v>84.968831805931245</v>
      </c>
      <c r="AB435" s="21">
        <f t="shared" ca="1" si="565"/>
        <v>90.514186142626485</v>
      </c>
      <c r="AC435" s="21">
        <f t="shared" ca="1" si="565"/>
        <v>78.798141532808373</v>
      </c>
      <c r="AD435" s="21">
        <f t="shared" ca="1" si="565"/>
        <v>71.53966043570108</v>
      </c>
      <c r="AE435" s="21"/>
      <c r="AF435" s="613">
        <f t="shared" ca="1" si="565"/>
        <v>77.473285952516903</v>
      </c>
      <c r="AH435" s="21">
        <f t="shared" ref="AH435:AO435" ca="1" si="566">SUM(AH431:AH434)</f>
        <v>63.598848558099306</v>
      </c>
      <c r="AI435" s="21">
        <f t="shared" ca="1" si="566"/>
        <v>101.02614957847852</v>
      </c>
      <c r="AJ435" s="21">
        <f t="shared" ca="1" si="566"/>
        <v>133.58981943619693</v>
      </c>
      <c r="AK435" s="21">
        <f t="shared" ca="1" si="566"/>
        <v>149.22277500746603</v>
      </c>
      <c r="AL435" s="21">
        <f t="shared" ca="1" si="566"/>
        <v>115.75366962477582</v>
      </c>
      <c r="AM435" s="21">
        <f t="shared" ca="1" si="566"/>
        <v>94.963857088606943</v>
      </c>
      <c r="AN435" s="21"/>
      <c r="AO435" s="613">
        <f t="shared" ca="1" si="566"/>
        <v>107.89724587627164</v>
      </c>
      <c r="AQ435" s="21">
        <f t="shared" ref="AQ435:AX435" ca="1" si="567">AQ431+AQ433</f>
        <v>12.844326218205163</v>
      </c>
      <c r="AR435" s="21">
        <f t="shared" ca="1" si="567"/>
        <v>18.546158582231712</v>
      </c>
      <c r="AS435" s="21">
        <f t="shared" ca="1" si="567"/>
        <v>24.069331773837877</v>
      </c>
      <c r="AT435" s="21">
        <f t="shared" ca="1" si="567"/>
        <v>26.982806718105198</v>
      </c>
      <c r="AU435" s="21">
        <f t="shared" ca="1" si="567"/>
        <v>21.23325691062486</v>
      </c>
      <c r="AV435" s="21">
        <f t="shared" ca="1" si="567"/>
        <v>17.721542774935777</v>
      </c>
      <c r="AW435" s="21"/>
      <c r="AX435" s="613">
        <f t="shared" ca="1" si="567"/>
        <v>19.307185442590487</v>
      </c>
      <c r="AZ435" s="21">
        <f t="shared" ref="AZ435:BG435" ca="1" si="568">SUM(AZ431:AZ434)</f>
        <v>60.188763935227421</v>
      </c>
      <c r="BA435" s="21">
        <f t="shared" ca="1" si="568"/>
        <v>71.379709568758869</v>
      </c>
      <c r="BB435" s="21">
        <f t="shared" ca="1" si="568"/>
        <v>81.893726840744904</v>
      </c>
      <c r="BC435" s="21">
        <f t="shared" ca="1" si="568"/>
        <v>87.303349261231403</v>
      </c>
      <c r="BD435" s="21">
        <f t="shared" ca="1" si="568"/>
        <v>76.396342126390593</v>
      </c>
      <c r="BE435" s="21">
        <f t="shared" ca="1" si="568"/>
        <v>69.703831012602407</v>
      </c>
      <c r="BF435" s="21"/>
      <c r="BG435" s="613">
        <f t="shared" ca="1" si="568"/>
        <v>74.387838917771077</v>
      </c>
      <c r="BI435" s="21">
        <f t="shared" ref="BI435:BP435" ca="1" si="569">SUM(BI431:BI434)</f>
        <v>67.061465109844733</v>
      </c>
      <c r="BJ435" s="21">
        <f t="shared" ca="1" si="569"/>
        <v>80.853262917524461</v>
      </c>
      <c r="BK435" s="21">
        <f t="shared" ca="1" si="569"/>
        <v>93.21239847931821</v>
      </c>
      <c r="BL435" s="21">
        <f t="shared" ca="1" si="569"/>
        <v>99.313198227599486</v>
      </c>
      <c r="BM435" s="21">
        <f t="shared" ca="1" si="569"/>
        <v>86.56385980937479</v>
      </c>
      <c r="BN435" s="21">
        <f t="shared" ca="1" si="569"/>
        <v>78.682603046299164</v>
      </c>
      <c r="BO435" s="21"/>
      <c r="BP435" s="613">
        <f t="shared" ca="1" si="569"/>
        <v>84.131892476880353</v>
      </c>
    </row>
    <row r="436" spans="2:68" ht="13.2" customHeight="1">
      <c r="B436" s="280" t="s">
        <v>1298</v>
      </c>
      <c r="C436" s="297"/>
      <c r="D436" s="297"/>
      <c r="E436" s="297"/>
      <c r="F436" s="297"/>
      <c r="G436" s="3741"/>
      <c r="H436" s="3742"/>
      <c r="I436" s="3742"/>
      <c r="J436" s="3742"/>
      <c r="K436" s="3742"/>
      <c r="L436" s="3777"/>
      <c r="O436" s="136">
        <f>ROW()</f>
        <v>436</v>
      </c>
      <c r="P436" s="117">
        <f t="shared" ref="P436:U436" ca="1" si="570">P435/P217</f>
        <v>0.92490698810246774</v>
      </c>
      <c r="Q436" s="117">
        <f t="shared" ca="1" si="570"/>
        <v>0.89496486937435593</v>
      </c>
      <c r="R436" s="117">
        <f t="shared" ca="1" si="570"/>
        <v>0.88792725683047447</v>
      </c>
      <c r="S436" s="117">
        <f t="shared" ca="1" si="570"/>
        <v>0.88819711288027303</v>
      </c>
      <c r="T436" s="117">
        <f t="shared" ca="1" si="570"/>
        <v>0.88143469733417501</v>
      </c>
      <c r="U436" s="117">
        <f t="shared" ca="1" si="570"/>
        <v>0.88120573338046659</v>
      </c>
      <c r="V436" s="117"/>
      <c r="W436" s="640">
        <f ca="1">W435/W217</f>
        <v>0.89782373451777531</v>
      </c>
      <c r="X436" s="117"/>
      <c r="Y436" s="117">
        <f t="shared" ref="Y436:AD436" ca="1" si="571">Y435/Y217</f>
        <v>0.92490698810246763</v>
      </c>
      <c r="Z436" s="117">
        <f t="shared" ca="1" si="571"/>
        <v>0.89496486937435582</v>
      </c>
      <c r="AA436" s="117">
        <f t="shared" ca="1" si="571"/>
        <v>0.88792725683047435</v>
      </c>
      <c r="AB436" s="117">
        <f t="shared" ca="1" si="571"/>
        <v>0.88819711288027281</v>
      </c>
      <c r="AC436" s="117">
        <f t="shared" ca="1" si="571"/>
        <v>0.88143469733417479</v>
      </c>
      <c r="AD436" s="117">
        <f t="shared" ca="1" si="571"/>
        <v>0.88120573338046648</v>
      </c>
      <c r="AE436" s="117"/>
      <c r="AF436" s="640">
        <f ca="1">AF435/AF217</f>
        <v>0.89679608816112866</v>
      </c>
      <c r="AG436" s="117"/>
      <c r="AH436" s="117">
        <f t="shared" ref="AH436:AM436" ca="1" si="572">AH435/AH217</f>
        <v>0.97787839244164598</v>
      </c>
      <c r="AI436" s="117">
        <f t="shared" ca="1" si="572"/>
        <v>0.89460295786072463</v>
      </c>
      <c r="AJ436" s="117">
        <f t="shared" ca="1" si="572"/>
        <v>0.88439786309226998</v>
      </c>
      <c r="AK436" s="117">
        <f t="shared" ca="1" si="572"/>
        <v>0.88615976579303291</v>
      </c>
      <c r="AL436" s="117">
        <f t="shared" ca="1" si="572"/>
        <v>0.87094539051846798</v>
      </c>
      <c r="AM436" s="117">
        <f t="shared" ca="1" si="572"/>
        <v>0.86644320427774713</v>
      </c>
      <c r="AN436" s="117"/>
      <c r="AO436" s="640">
        <f ca="1">AO435/AO217</f>
        <v>0.91073740629025612</v>
      </c>
      <c r="AP436" s="117"/>
      <c r="AQ436" s="117">
        <f t="shared" ref="AQ436:AV436" ca="1" si="573">AQ435/AQ217</f>
        <v>0.97249766266437188</v>
      </c>
      <c r="AR436" s="117">
        <f t="shared" ca="1" si="573"/>
        <v>0.88974457551350006</v>
      </c>
      <c r="AS436" s="117">
        <f t="shared" ca="1" si="573"/>
        <v>0.86690410019807007</v>
      </c>
      <c r="AT436" s="117">
        <f t="shared" ca="1" si="573"/>
        <v>0.86500950079402705</v>
      </c>
      <c r="AU436" s="117">
        <f t="shared" ca="1" si="573"/>
        <v>0.85538173726277633</v>
      </c>
      <c r="AV436" s="117">
        <f t="shared" ca="1" si="573"/>
        <v>0.85841552095711415</v>
      </c>
      <c r="AW436" s="117"/>
      <c r="AX436" s="640">
        <f ca="1">AX435/AX217</f>
        <v>0.88883909610886103</v>
      </c>
      <c r="AY436" s="117"/>
      <c r="AZ436" s="117">
        <f t="shared" ref="AZ436:BE436" ca="1" si="574">AZ435/AZ217</f>
        <v>0.94328643281404745</v>
      </c>
      <c r="BA436" s="117">
        <f t="shared" ca="1" si="574"/>
        <v>0.91145439742297407</v>
      </c>
      <c r="BB436" s="117">
        <f t="shared" ca="1" si="574"/>
        <v>0.90039535584031472</v>
      </c>
      <c r="BC436" s="117">
        <f t="shared" ca="1" si="574"/>
        <v>0.89941497300122975</v>
      </c>
      <c r="BD436" s="117">
        <f t="shared" ca="1" si="574"/>
        <v>0.8946306003013863</v>
      </c>
      <c r="BE436" s="117">
        <f t="shared" ca="1" si="574"/>
        <v>0.89668201940589987</v>
      </c>
      <c r="BF436" s="117"/>
      <c r="BG436" s="640">
        <f ca="1">BG435/BG217</f>
        <v>0.90933145571540697</v>
      </c>
      <c r="BH436" s="117"/>
      <c r="BI436" s="117">
        <f t="shared" ref="BI436:BN436" ca="1" si="575">BI435/BI217</f>
        <v>0.94148429676142786</v>
      </c>
      <c r="BJ436" s="117">
        <f t="shared" ca="1" si="575"/>
        <v>0.91024837899963229</v>
      </c>
      <c r="BK436" s="117">
        <f t="shared" ca="1" si="575"/>
        <v>0.90212691293370717</v>
      </c>
      <c r="BL436" s="117">
        <f t="shared" ca="1" si="575"/>
        <v>0.90214900814021792</v>
      </c>
      <c r="BM436" s="117">
        <f t="shared" ca="1" si="575"/>
        <v>0.89582880907111073</v>
      </c>
      <c r="BN436" s="117">
        <f t="shared" ca="1" si="575"/>
        <v>0.89618965498949665</v>
      </c>
      <c r="BO436" s="117"/>
      <c r="BP436" s="640">
        <f ca="1">BP435/BP217</f>
        <v>0.90989659852182048</v>
      </c>
    </row>
    <row r="437" spans="2:68" ht="13.2" customHeight="1">
      <c r="O437" s="136">
        <f>ROW()</f>
        <v>437</v>
      </c>
    </row>
    <row r="438" spans="2:68" ht="13.2" customHeight="1">
      <c r="B438" s="6" t="s">
        <v>373</v>
      </c>
      <c r="G438" s="948" t="s">
        <v>1472</v>
      </c>
      <c r="H438" s="948" t="s">
        <v>985</v>
      </c>
      <c r="I438" s="948" t="s">
        <v>987</v>
      </c>
      <c r="J438" s="948" t="s">
        <v>1367</v>
      </c>
      <c r="K438" s="948" t="s">
        <v>988</v>
      </c>
      <c r="L438" s="948" t="s">
        <v>986</v>
      </c>
      <c r="M438" s="948" t="s">
        <v>1638</v>
      </c>
      <c r="N438" s="948" t="s">
        <v>2684</v>
      </c>
      <c r="O438" s="136">
        <f>ROW()</f>
        <v>438</v>
      </c>
    </row>
    <row r="439" spans="2:68" ht="13.2" customHeight="1">
      <c r="G439" s="298" t="s">
        <v>1918</v>
      </c>
      <c r="H439" s="298" t="s">
        <v>1838</v>
      </c>
      <c r="I439" s="298" t="s">
        <v>1839</v>
      </c>
      <c r="J439" s="298" t="s">
        <v>1840</v>
      </c>
      <c r="K439" s="298" t="s">
        <v>1841</v>
      </c>
      <c r="L439" s="298" t="s">
        <v>1917</v>
      </c>
      <c r="M439" s="298"/>
      <c r="N439" s="298"/>
      <c r="O439" s="136">
        <f>ROW()</f>
        <v>439</v>
      </c>
    </row>
    <row r="440" spans="2:68" ht="13.2" customHeight="1">
      <c r="B440" s="280" t="s">
        <v>1842</v>
      </c>
      <c r="O440" s="136">
        <f>ROW()</f>
        <v>440</v>
      </c>
      <c r="P440" s="117">
        <f ca="1">P436^Elasticities!$G$52</f>
        <v>1.0811897983943148</v>
      </c>
      <c r="Q440" s="117">
        <f ca="1">Q436^Elasticities!$G$52</f>
        <v>1.1173622945658985</v>
      </c>
      <c r="R440" s="117">
        <f ca="1">R436^Elasticities!$G$52</f>
        <v>1.1262183836653217</v>
      </c>
      <c r="S440" s="117">
        <f ca="1">S436^Elasticities!$G$52</f>
        <v>1.1258762109203093</v>
      </c>
      <c r="T440" s="117">
        <f ca="1">T436^Elasticities!$G$52</f>
        <v>1.1345139952221257</v>
      </c>
      <c r="U440" s="117">
        <f ca="1">U436^Elasticities!$G$52</f>
        <v>1.1348087763385479</v>
      </c>
      <c r="V440" s="117"/>
      <c r="Y440" s="117">
        <f ca="1">Y436^Elasticities!$H$52</f>
        <v>1.0811897983943148</v>
      </c>
      <c r="Z440" s="117">
        <f ca="1">Z436^Elasticities!$H$52</f>
        <v>1.1173622945658988</v>
      </c>
      <c r="AA440" s="117">
        <f ca="1">AA436^Elasticities!$H$52</f>
        <v>1.1262183836653219</v>
      </c>
      <c r="AB440" s="117">
        <f ca="1">AB436^Elasticities!$H$52</f>
        <v>1.1258762109203095</v>
      </c>
      <c r="AC440" s="117">
        <f ca="1">AC436^Elasticities!$H$52</f>
        <v>1.1345139952221259</v>
      </c>
      <c r="AD440" s="117">
        <f ca="1">AD436^Elasticities!$H$52</f>
        <v>1.1348087763385482</v>
      </c>
      <c r="AE440" s="117"/>
      <c r="AH440" s="117">
        <f ca="1">AH436^Elasticities!$J$52</f>
        <v>1.022622043527436</v>
      </c>
      <c r="AI440" s="117">
        <f ca="1">AI436^Elasticities!$J$52</f>
        <v>1.1178143233410636</v>
      </c>
      <c r="AJ440" s="117">
        <f ca="1">AJ436^Elasticities!$J$52</f>
        <v>1.1307128179884229</v>
      </c>
      <c r="AK440" s="117">
        <f ca="1">AK436^Elasticities!$J$52</f>
        <v>1.1284646839106833</v>
      </c>
      <c r="AL440" s="117">
        <f ca="1">AL436^Elasticities!$J$52</f>
        <v>1.148177613529485</v>
      </c>
      <c r="AM440" s="117">
        <f ca="1">AM436^Elasticities!$J$52</f>
        <v>1.15414373967372</v>
      </c>
      <c r="AN440" s="117"/>
      <c r="AQ440" s="117">
        <f ca="1">AQ436^Elasticities!$G$54</f>
        <v>1.0225608166352156</v>
      </c>
      <c r="AR440" s="117">
        <f ca="1">AR436^Elasticities!$G$54</f>
        <v>1.0979630396516016</v>
      </c>
      <c r="AS440" s="117">
        <f ca="1">AS436^Elasticities!$G$54</f>
        <v>1.1210452797023795</v>
      </c>
      <c r="AT440" s="117">
        <f ca="1">AT436^Elasticities!$G$54</f>
        <v>1.1230091581816573</v>
      </c>
      <c r="AU440" s="117">
        <f ca="1">AU436^Elasticities!$G$54</f>
        <v>1.1331098662619803</v>
      </c>
      <c r="AV440" s="117">
        <f ca="1">AV436^Elasticities!$G$54</f>
        <v>1.1299050529454948</v>
      </c>
      <c r="AZ440" s="117">
        <f ca="1">AZ436^(Elasticities!$J$64*Elasticities!$G$52)</f>
        <v>1.0196523800851867</v>
      </c>
      <c r="BA440" s="117">
        <f ca="1">BA436^(Elasticities!$J$64*Elasticities!$G$52)</f>
        <v>1.0313870761113637</v>
      </c>
      <c r="BB440" s="117">
        <f ca="1">BB436^(Elasticities!$J$64*Elasticities!$G$52)</f>
        <v>1.0355925510119677</v>
      </c>
      <c r="BC440" s="117">
        <f ca="1">BC436^(Elasticities!$J$64*Elasticities!$G$52)</f>
        <v>1.0359686875478389</v>
      </c>
      <c r="BD440" s="117">
        <f ca="1">BD436^(Elasticities!$J$64*Elasticities!$G$52)</f>
        <v>1.03781214895421</v>
      </c>
      <c r="BE440" s="117">
        <f ca="1">BE436^(Elasticities!$J$64*Elasticities!$G$52)</f>
        <v>1.0370201129637839</v>
      </c>
      <c r="BF440" s="117"/>
      <c r="BI440" s="117">
        <f ca="1">BI436^Elasticities!$G$50</f>
        <v>1.030607882140175</v>
      </c>
      <c r="BJ440" s="117">
        <f ca="1">BJ436^Elasticities!$G$50</f>
        <v>1.0481418044961024</v>
      </c>
      <c r="BK440" s="117">
        <f ca="1">BK436^Elasticities!$G$50</f>
        <v>1.0528492216240306</v>
      </c>
      <c r="BL440" s="117">
        <f ca="1">BL436^Elasticities!$G$50</f>
        <v>1.0528363284859759</v>
      </c>
      <c r="BM440" s="117">
        <f ca="1">BM436^Elasticities!$G$50</f>
        <v>1.0565437555463031</v>
      </c>
      <c r="BN440" s="117">
        <f ca="1">BN436^Elasticities!$G$50</f>
        <v>1.056331028315854</v>
      </c>
      <c r="BO440" s="117"/>
    </row>
    <row r="441" spans="2:68" ht="13.2" customHeight="1">
      <c r="B441" s="308"/>
      <c r="O441" s="136">
        <f>ROW()</f>
        <v>441</v>
      </c>
      <c r="P441" s="309" t="s">
        <v>2654</v>
      </c>
      <c r="Y441" s="309" t="s">
        <v>1823</v>
      </c>
      <c r="AH441" s="309" t="s">
        <v>1824</v>
      </c>
      <c r="AQ441" s="215" t="s">
        <v>3298</v>
      </c>
      <c r="AZ441" s="309" t="s">
        <v>3309</v>
      </c>
      <c r="BI441" s="309" t="s">
        <v>3310</v>
      </c>
    </row>
    <row r="442" spans="2:68" ht="13.2" customHeight="1">
      <c r="B442" s="280" t="s">
        <v>2431</v>
      </c>
      <c r="O442" s="136">
        <f>ROW()</f>
        <v>442</v>
      </c>
      <c r="P442" s="117">
        <f ca="1">(P184/P403)^Elasticities!$G$52</f>
        <v>1.0364862692560708</v>
      </c>
      <c r="Q442" s="117">
        <f ca="1">(Q184/Q403)^Elasticities!$G$52</f>
        <v>1.1353114733746656</v>
      </c>
      <c r="R442" s="117">
        <f ca="1">(R184/R403)^Elasticities!$G$52</f>
        <v>1.1985128837566701</v>
      </c>
      <c r="S442" s="117">
        <f ca="1">(S184/S403)^Elasticities!$G$52</f>
        <v>1.2098763793253198</v>
      </c>
      <c r="T442" s="117">
        <f ca="1">(T184/T403)^Elasticities!$G$52</f>
        <v>1.2081517741438301</v>
      </c>
      <c r="U442" s="117">
        <f ca="1">(U184/U403)^Elasticities!$G$52</f>
        <v>1.1841721653123964</v>
      </c>
      <c r="V442" s="117"/>
      <c r="Y442" s="117">
        <f ca="1">(Y184/Y403)^Elasticities!$H$52</f>
        <v>1.0364862692560708</v>
      </c>
      <c r="Z442" s="117">
        <f ca="1">(Z184/Z403)^Elasticities!$H$52</f>
        <v>1.1353114733746656</v>
      </c>
      <c r="AA442" s="117">
        <f ca="1">(AA184/AA403)^Elasticities!$H$52</f>
        <v>1.1985128837566701</v>
      </c>
      <c r="AB442" s="117">
        <f ca="1">(AB184/AB403)^Elasticities!$H$52</f>
        <v>1.2098763793253198</v>
      </c>
      <c r="AC442" s="117">
        <f ca="1">(AC184/AC403)^Elasticities!$H$52</f>
        <v>1.2081517741438301</v>
      </c>
      <c r="AD442" s="117">
        <f ca="1">(AD184/AD403)^Elasticities!$H$52</f>
        <v>1.1841721653123964</v>
      </c>
      <c r="AE442" s="117"/>
      <c r="AH442" s="117">
        <f ca="1">(AH184/AH403)^Elasticities!$J$52</f>
        <v>1.0364862692560708</v>
      </c>
      <c r="AI442" s="117">
        <f ca="1">(AI184/AI403)^Elasticities!$J$52</f>
        <v>1.1353114733746656</v>
      </c>
      <c r="AJ442" s="117">
        <f ca="1">(AJ184/AJ403)^Elasticities!$J$52</f>
        <v>1.1985128837566701</v>
      </c>
      <c r="AK442" s="117">
        <f ca="1">(AK184/AK403)^Elasticities!$J$52</f>
        <v>1.2098763793253198</v>
      </c>
      <c r="AL442" s="117">
        <f ca="1">(AL184/AL403)^Elasticities!$J$52</f>
        <v>1.2081517741438301</v>
      </c>
      <c r="AM442" s="117">
        <f ca="1">(AM184/AM403)^Elasticities!$J$52</f>
        <v>1.1841721653123964</v>
      </c>
      <c r="AN442" s="117"/>
      <c r="AQ442" s="117">
        <f ca="1">(AQ184/AQ403)^Elasticities!$G$54</f>
        <v>1.0290840394090233</v>
      </c>
      <c r="AR442" s="117">
        <f ca="1">(AR184/AR403)^Elasticities!$G$54</f>
        <v>1.106858288281712</v>
      </c>
      <c r="AS442" s="117">
        <f ca="1">(AS184/AS403)^Elasticities!$G$54</f>
        <v>1.155883769510057</v>
      </c>
      <c r="AT442" s="117">
        <f ca="1">(AT184/AT403)^Elasticities!$G$54</f>
        <v>1.1646429400747405</v>
      </c>
      <c r="AU442" s="117">
        <f ca="1">(AU184/AU403)^Elasticities!$G$54</f>
        <v>1.1633146485215098</v>
      </c>
      <c r="AV442" s="117">
        <f ca="1">(AV184/AV403)^Elasticities!$G$54</f>
        <v>1.1448059522500527</v>
      </c>
      <c r="AZ442" s="117">
        <f ca="1">(AZ184/AZ403)^(Elasticities!$J$64*Elasticities!$G$52)</f>
        <v>0.99486095404480668</v>
      </c>
      <c r="BA442" s="117">
        <f ca="1">(BA184/BA403)^(Elasticities!$J$64*Elasticities!$G$52)</f>
        <v>1.0255249025830468</v>
      </c>
      <c r="BB442" s="117">
        <f ca="1">(BB184/BB403)^(Elasticities!$J$64*Elasticities!$G$52)</f>
        <v>1.044212218730902</v>
      </c>
      <c r="BC442" s="117">
        <f ca="1">(BC184/BC403)^(Elasticities!$J$64*Elasticities!$G$52)</f>
        <v>1.0475020166882236</v>
      </c>
      <c r="BD442" s="117">
        <f ca="1">(BD184/BD403)^(Elasticities!$J$64*Elasticities!$G$52)</f>
        <v>1.0470040632108115</v>
      </c>
      <c r="BE442" s="117">
        <f ca="1">(BE184/BE403)^(Elasticities!$J$64*Elasticities!$G$52)</f>
        <v>1.0400306811235804</v>
      </c>
      <c r="BF442" s="117"/>
      <c r="BI442" s="117">
        <f ca="1">(BI184/BI403)^Elasticities!$G$50</f>
        <v>0.99230134323866936</v>
      </c>
      <c r="BJ442" s="117">
        <f ca="1">(BJ184/BJ403)^Elasticities!$G$50</f>
        <v>1.0385306445675699</v>
      </c>
      <c r="BK442" s="117">
        <f ca="1">(BK184/BK403)^Elasticities!$G$50</f>
        <v>1.0670460344187764</v>
      </c>
      <c r="BL442" s="117">
        <f ca="1">(BL184/BL403)^Elasticities!$G$50</f>
        <v>1.0720926081076456</v>
      </c>
      <c r="BM442" s="117">
        <f ca="1">(BM184/BM403)^Elasticities!$G$50</f>
        <v>1.0713282342198578</v>
      </c>
      <c r="BN442" s="117">
        <f ca="1">(BN184/BN403)^Elasticities!$G$50</f>
        <v>1.0606429922677925</v>
      </c>
      <c r="BO442" s="117"/>
    </row>
    <row r="443" spans="2:68" ht="13.2" customHeight="1">
      <c r="B443" s="281"/>
      <c r="O443" s="136">
        <f>ROW()</f>
        <v>443</v>
      </c>
      <c r="P443" s="309" t="s">
        <v>529</v>
      </c>
      <c r="Y443" s="309" t="s">
        <v>530</v>
      </c>
      <c r="AH443" s="309" t="s">
        <v>2922</v>
      </c>
      <c r="AQ443" s="215" t="s">
        <v>3299</v>
      </c>
      <c r="AZ443" s="309" t="s">
        <v>2398</v>
      </c>
      <c r="BI443" s="309" t="s">
        <v>2878</v>
      </c>
    </row>
    <row r="444" spans="2:68" ht="13.2" customHeight="1">
      <c r="B444" s="280" t="s">
        <v>2432</v>
      </c>
      <c r="G444" s="633">
        <f t="shared" ref="G444:L444" ca="1" si="576">($I$76*$I$79*P444+$J$76*$J$79*Y444+$K$76*$K$79*AH444+$L$76*$L$79*AQ444+$M$76*$M$79*AZ444+$N$76*$N$79*BI444)/SUMPRODUCT($I$76:$N$76,$I$79:$N$79)</f>
        <v>1.0199636110097765</v>
      </c>
      <c r="H444" s="633">
        <f t="shared" ca="1" si="576"/>
        <v>1.112980035962851</v>
      </c>
      <c r="I444" s="633">
        <f t="shared" ca="1" si="576"/>
        <v>1.1204711818292992</v>
      </c>
      <c r="J444" s="633">
        <f t="shared" ca="1" si="576"/>
        <v>1.116770109357581</v>
      </c>
      <c r="K444" s="633">
        <f t="shared" ca="1" si="576"/>
        <v>1.1379441399950485</v>
      </c>
      <c r="L444" s="633">
        <f t="shared" ca="1" si="576"/>
        <v>1.1468620204640887</v>
      </c>
      <c r="M444" s="633"/>
      <c r="O444" s="136">
        <f>ROW()</f>
        <v>444</v>
      </c>
      <c r="P444" s="117">
        <f ca="1">(P200/P427)^Elasticities!$G$52</f>
        <v>1.0205441209802499</v>
      </c>
      <c r="Q444" s="117">
        <f ca="1">(Q200/Q427)^Elasticities!$G$52</f>
        <v>1.1158426404214015</v>
      </c>
      <c r="R444" s="117">
        <f ca="1">(R200/R427)^Elasticities!$G$52</f>
        <v>1.1235219355903876</v>
      </c>
      <c r="S444" s="117">
        <f ca="1">(S200/S427)^Elasticities!$G$52</f>
        <v>1.1197278282322771</v>
      </c>
      <c r="T444" s="117">
        <f ca="1">(T200/T427)^Elasticities!$G$52</f>
        <v>1.1414361504858179</v>
      </c>
      <c r="U444" s="117">
        <f ca="1">(U200/U427)^Elasticities!$G$52</f>
        <v>1.1505805185376159</v>
      </c>
      <c r="V444" s="117"/>
      <c r="Y444" s="117">
        <f ca="1">(Y200/Y427)^Elasticities!$H$52</f>
        <v>1.0205441209802499</v>
      </c>
      <c r="Z444" s="117">
        <f ca="1">(Z200/Z427)^Elasticities!$H$52</f>
        <v>1.1158426404214015</v>
      </c>
      <c r="AA444" s="117">
        <f ca="1">(AA200/AA427)^Elasticities!$H$52</f>
        <v>1.1235219355903876</v>
      </c>
      <c r="AB444" s="117">
        <f ca="1">(AB200/AB427)^Elasticities!$H$52</f>
        <v>1.1197278282322771</v>
      </c>
      <c r="AC444" s="117">
        <f ca="1">(AC200/AC427)^Elasticities!$H$52</f>
        <v>1.1414361504858179</v>
      </c>
      <c r="AD444" s="117">
        <f ca="1">(AD200/AD427)^Elasticities!$H$52</f>
        <v>1.1505805185376159</v>
      </c>
      <c r="AE444" s="117"/>
      <c r="AH444" s="117">
        <f ca="1">(AH200/AH427)^Elasticities!$H$52</f>
        <v>1.0205441209802499</v>
      </c>
      <c r="AI444" s="117">
        <f ca="1">(AI200/AI427)^Elasticities!$H$52</f>
        <v>1.1158426404214015</v>
      </c>
      <c r="AJ444" s="117">
        <f ca="1">(AJ200/AJ427)^Elasticities!$H$52</f>
        <v>1.1235219355903876</v>
      </c>
      <c r="AK444" s="117">
        <f ca="1">(AK200/AK427)^Elasticities!$H$52</f>
        <v>1.1197278282322771</v>
      </c>
      <c r="AL444" s="117">
        <f ca="1">(AL200/AL427)^Elasticities!$H$52</f>
        <v>1.1414361504858179</v>
      </c>
      <c r="AM444" s="117">
        <f ca="1">(AM200/AM427)^Elasticities!$H$52</f>
        <v>1.1505805185376159</v>
      </c>
      <c r="AN444" s="117"/>
      <c r="AQ444" s="117">
        <f ca="1">(AQ200/AQ427)^Elasticities!$G$54</f>
        <v>1.0164018062849576</v>
      </c>
      <c r="AR444" s="117">
        <f ca="1">(AR200/AR427)^Elasticities!$G$54</f>
        <v>1.0916473445880686</v>
      </c>
      <c r="AS444" s="117">
        <f ca="1">(AS200/AS427)^Elasticities!$G$54</f>
        <v>1.0976534450264006</v>
      </c>
      <c r="AT444" s="117">
        <f ca="1">(AT200/AT427)^Elasticities!$G$54</f>
        <v>1.0946870422071988</v>
      </c>
      <c r="AU444" s="117">
        <f ca="1">(AU200/AU427)^Elasticities!$G$54</f>
        <v>1.1116326611269547</v>
      </c>
      <c r="AV444" s="117">
        <f ca="1">(AV200/AV427)^Elasticities!$G$54</f>
        <v>1.1187514548027211</v>
      </c>
      <c r="AZ444" s="117">
        <f ca="1">(AZ200/AZ427)^(Elasticities!$J$64*Elasticities!$G$52)</f>
        <v>1.0034344178608612</v>
      </c>
      <c r="BA444" s="117">
        <f ca="1">(BA200/BA427)^(Elasticities!$J$64*Elasticities!$G$52)</f>
        <v>1.0337433195465326</v>
      </c>
      <c r="BB444" s="117">
        <f ca="1">(BB200/BB427)^(Elasticities!$J$64*Elasticities!$G$52)</f>
        <v>1.0361093277420319</v>
      </c>
      <c r="BC444" s="117">
        <f ca="1">(BC200/BC427)^(Elasticities!$J$64*Elasticities!$G$52)</f>
        <v>1.0349417067373141</v>
      </c>
      <c r="BD444" s="117">
        <f ca="1">(BD200/BD427)^(Elasticities!$J$64*Elasticities!$G$52)</f>
        <v>1.0415871319468091</v>
      </c>
      <c r="BE444" s="117">
        <f ca="1">(BE200/BE427)^(Elasticities!$J$64*Elasticities!$G$52)</f>
        <v>1.0443612201822507</v>
      </c>
      <c r="BF444" s="117"/>
      <c r="BI444" s="117">
        <f ca="1">(BI200/BI427)^Elasticities!$G$50</f>
        <v>1.0051560474724546</v>
      </c>
      <c r="BJ444" s="117">
        <f ca="1">(BJ200/BJ427)^Elasticities!$G$50</f>
        <v>1.0510395872740415</v>
      </c>
      <c r="BK444" s="117">
        <f ca="1">(BK200/BK427)^Elasticities!$G$50</f>
        <v>1.0546500444386675</v>
      </c>
      <c r="BL444" s="117">
        <f ca="1">(BL200/BL427)^Elasticities!$G$50</f>
        <v>1.0528677742005188</v>
      </c>
      <c r="BM444" s="117">
        <f ca="1">(BM200/BM427)^Elasticities!$G$50</f>
        <v>1.0630248298986058</v>
      </c>
      <c r="BN444" s="117">
        <f ca="1">(BN200/BN427)^Elasticities!$G$50</f>
        <v>1.0672744320708896</v>
      </c>
      <c r="BO444" s="117"/>
    </row>
    <row r="445" spans="2:68" ht="13.2" customHeight="1">
      <c r="B445" s="280"/>
      <c r="G445" s="633"/>
      <c r="H445" s="633"/>
      <c r="I445" s="633"/>
      <c r="J445" s="633"/>
      <c r="K445" s="633"/>
      <c r="L445" s="633"/>
      <c r="M445" s="633"/>
      <c r="O445" s="136">
        <f>ROW()</f>
        <v>445</v>
      </c>
      <c r="P445" s="117"/>
      <c r="Q445" s="117"/>
      <c r="R445" s="117"/>
      <c r="S445" s="117"/>
      <c r="T445" s="117"/>
      <c r="U445" s="117"/>
      <c r="V445" s="117"/>
      <c r="Y445" s="117"/>
      <c r="Z445" s="117"/>
      <c r="AA445" s="117"/>
      <c r="AB445" s="117"/>
      <c r="AC445" s="117"/>
      <c r="AD445" s="117"/>
      <c r="AE445" s="117"/>
      <c r="AH445" s="117"/>
      <c r="AI445" s="117"/>
      <c r="AJ445" s="117"/>
      <c r="AK445" s="117"/>
      <c r="AL445" s="117"/>
      <c r="AM445" s="117"/>
      <c r="AN445" s="117"/>
      <c r="AQ445" s="215" t="s">
        <v>3300</v>
      </c>
      <c r="AZ445" s="117"/>
      <c r="BA445" s="117"/>
      <c r="BB445" s="117"/>
      <c r="BC445" s="117"/>
      <c r="BD445" s="117"/>
      <c r="BE445" s="117"/>
      <c r="BF445" s="117"/>
      <c r="BI445" s="117"/>
      <c r="BJ445" s="117"/>
      <c r="BK445" s="117"/>
      <c r="BL445" s="117"/>
      <c r="BM445" s="117"/>
      <c r="BN445" s="117"/>
      <c r="BO445" s="117"/>
    </row>
    <row r="446" spans="2:68" ht="13.2" customHeight="1">
      <c r="B446" s="4288" t="s">
        <v>895</v>
      </c>
      <c r="C446" s="4289"/>
      <c r="D446" s="4289"/>
      <c r="E446" s="4289"/>
      <c r="F446" s="4289"/>
      <c r="G446" s="4289"/>
      <c r="H446" s="4289"/>
      <c r="I446" s="4289"/>
      <c r="J446" s="4289"/>
      <c r="K446" s="4289"/>
      <c r="L446" s="4289"/>
      <c r="M446" s="4289"/>
      <c r="N446" s="4290"/>
      <c r="O446" s="136">
        <f>ROW()</f>
        <v>446</v>
      </c>
      <c r="P446" s="309" t="s">
        <v>2879</v>
      </c>
      <c r="Y446" s="309" t="s">
        <v>2842</v>
      </c>
      <c r="AH446" s="309" t="s">
        <v>2808</v>
      </c>
      <c r="AQ446" s="309"/>
      <c r="AZ446" s="309" t="s">
        <v>2903</v>
      </c>
      <c r="BI446" s="309" t="s">
        <v>91</v>
      </c>
    </row>
    <row r="447" spans="2:68" ht="13.2" customHeight="1">
      <c r="B447" s="4155"/>
      <c r="C447" s="4291"/>
      <c r="D447" s="4291"/>
      <c r="E447" s="4291"/>
      <c r="F447" s="4291"/>
      <c r="G447" s="4291"/>
      <c r="H447" s="4291"/>
      <c r="I447" s="4291"/>
      <c r="J447" s="4291"/>
      <c r="K447" s="4291"/>
      <c r="L447" s="4291"/>
      <c r="M447" s="4291"/>
      <c r="N447" s="4292"/>
      <c r="O447" s="136">
        <f>ROW()</f>
        <v>447</v>
      </c>
      <c r="P447" s="117"/>
      <c r="Q447" s="117"/>
      <c r="R447" s="117"/>
      <c r="S447" s="117"/>
      <c r="T447" s="117"/>
      <c r="U447" s="117"/>
      <c r="V447" s="117"/>
      <c r="Y447" s="117"/>
      <c r="Z447" s="117"/>
      <c r="AA447" s="117"/>
      <c r="AB447" s="117"/>
      <c r="AC447" s="117"/>
      <c r="AD447" s="117"/>
      <c r="AE447" s="117"/>
      <c r="AH447" s="117"/>
      <c r="AI447" s="117"/>
      <c r="AJ447" s="117"/>
      <c r="AK447" s="117"/>
      <c r="AL447" s="117"/>
      <c r="AM447" s="117"/>
      <c r="AN447" s="117"/>
      <c r="AQ447" s="117"/>
      <c r="AR447" s="117"/>
      <c r="AS447" s="117"/>
      <c r="AT447" s="117"/>
      <c r="AZ447" s="117"/>
      <c r="BA447" s="117"/>
      <c r="BB447" s="117"/>
      <c r="BC447" s="117"/>
      <c r="BD447" s="117"/>
      <c r="BE447" s="117"/>
      <c r="BF447" s="117"/>
      <c r="BI447" s="117"/>
      <c r="BJ447" s="117"/>
      <c r="BK447" s="117"/>
      <c r="BL447" s="117"/>
      <c r="BM447" s="117"/>
      <c r="BN447" s="117"/>
      <c r="BO447" s="117"/>
    </row>
    <row r="448" spans="2:68" ht="13.2" customHeight="1">
      <c r="B448" s="4155"/>
      <c r="C448" s="4291"/>
      <c r="D448" s="4291"/>
      <c r="E448" s="4291"/>
      <c r="F448" s="4291"/>
      <c r="G448" s="4291"/>
      <c r="H448" s="4291"/>
      <c r="I448" s="4291"/>
      <c r="J448" s="4291"/>
      <c r="K448" s="4291"/>
      <c r="L448" s="4291"/>
      <c r="M448" s="4291"/>
      <c r="N448" s="4292"/>
      <c r="O448" s="136">
        <f>ROW()</f>
        <v>448</v>
      </c>
      <c r="P448" s="117"/>
      <c r="Q448" s="117"/>
      <c r="R448" s="117"/>
      <c r="S448" s="117"/>
      <c r="T448" s="117"/>
      <c r="U448" s="117"/>
      <c r="V448" s="117"/>
      <c r="Y448" s="117"/>
      <c r="Z448" s="117"/>
      <c r="AA448" s="117"/>
      <c r="AB448" s="117"/>
      <c r="AC448" s="117"/>
      <c r="AD448" s="117"/>
      <c r="AE448" s="117"/>
      <c r="AH448" s="117"/>
      <c r="AI448" s="117"/>
      <c r="AJ448" s="117"/>
      <c r="AK448" s="117"/>
      <c r="AL448" s="117"/>
      <c r="AM448" s="117"/>
      <c r="AN448" s="117"/>
      <c r="AQ448" s="117"/>
      <c r="AR448" s="117"/>
      <c r="AS448" s="117"/>
      <c r="AT448" s="117"/>
      <c r="AU448" s="117"/>
      <c r="AV448" s="117"/>
      <c r="AW448" s="117"/>
      <c r="AZ448" s="117"/>
      <c r="BA448" s="117"/>
      <c r="BB448" s="117"/>
      <c r="BC448" s="117"/>
      <c r="BD448" s="117"/>
      <c r="BE448" s="117"/>
      <c r="BF448" s="117"/>
      <c r="BI448" s="117"/>
      <c r="BJ448" s="117"/>
      <c r="BK448" s="117"/>
      <c r="BL448" s="117"/>
      <c r="BM448" s="117"/>
      <c r="BN448" s="117"/>
      <c r="BO448" s="117"/>
    </row>
    <row r="449" spans="2:68" ht="13.2" customHeight="1">
      <c r="B449" s="4155"/>
      <c r="C449" s="4291"/>
      <c r="D449" s="4291"/>
      <c r="E449" s="4291"/>
      <c r="F449" s="4291"/>
      <c r="G449" s="4291"/>
      <c r="H449" s="4291"/>
      <c r="I449" s="4291"/>
      <c r="J449" s="4291"/>
      <c r="K449" s="4291"/>
      <c r="L449" s="4291"/>
      <c r="M449" s="4291"/>
      <c r="N449" s="4292"/>
      <c r="O449" s="136">
        <f>ROW()</f>
        <v>449</v>
      </c>
      <c r="P449" s="117"/>
      <c r="Q449" s="117"/>
      <c r="R449" s="117"/>
      <c r="S449" s="117"/>
      <c r="T449" s="117"/>
      <c r="U449" s="117"/>
      <c r="V449" s="117"/>
      <c r="Y449" s="117"/>
      <c r="Z449" s="117"/>
      <c r="AA449" s="117"/>
      <c r="AB449" s="117"/>
      <c r="AC449" s="117"/>
      <c r="AD449" s="117"/>
      <c r="AE449" s="117"/>
      <c r="AH449" s="117"/>
      <c r="AI449" s="117"/>
      <c r="AJ449" s="117"/>
      <c r="AK449" s="117"/>
      <c r="AL449" s="117"/>
      <c r="AM449" s="117"/>
      <c r="AN449" s="117"/>
      <c r="AQ449" s="117"/>
      <c r="AR449" s="117"/>
      <c r="AS449" s="117"/>
      <c r="AT449" s="117"/>
      <c r="AU449" s="117"/>
      <c r="AV449" s="117"/>
      <c r="AW449" s="117"/>
      <c r="AZ449" s="117"/>
      <c r="BA449" s="117"/>
      <c r="BB449" s="117"/>
      <c r="BC449" s="117"/>
      <c r="BD449" s="117"/>
      <c r="BE449" s="117"/>
      <c r="BF449" s="117"/>
      <c r="BI449" s="117"/>
      <c r="BJ449" s="117"/>
      <c r="BK449" s="117"/>
      <c r="BL449" s="117"/>
      <c r="BM449" s="117"/>
      <c r="BN449" s="117"/>
      <c r="BO449" s="117"/>
    </row>
    <row r="450" spans="2:68" ht="13.2" customHeight="1">
      <c r="B450" s="4155"/>
      <c r="C450" s="4291"/>
      <c r="D450" s="4291"/>
      <c r="E450" s="4291"/>
      <c r="F450" s="4291"/>
      <c r="G450" s="4291"/>
      <c r="H450" s="4291"/>
      <c r="I450" s="4291"/>
      <c r="J450" s="4291"/>
      <c r="K450" s="4291"/>
      <c r="L450" s="4291"/>
      <c r="M450" s="4291"/>
      <c r="N450" s="4292"/>
      <c r="O450" s="136">
        <f>ROW()</f>
        <v>450</v>
      </c>
      <c r="P450" s="117"/>
      <c r="Q450" s="117"/>
      <c r="R450" s="117"/>
      <c r="S450" s="117"/>
      <c r="T450" s="117"/>
      <c r="U450" s="117"/>
      <c r="V450" s="117"/>
      <c r="Y450" s="117"/>
      <c r="Z450" s="117"/>
      <c r="AA450" s="117"/>
      <c r="AB450" s="117"/>
      <c r="AC450" s="117"/>
      <c r="AD450" s="117"/>
      <c r="AE450" s="117"/>
      <c r="AH450" s="117"/>
      <c r="AI450" s="117"/>
      <c r="AJ450" s="117"/>
      <c r="AK450" s="117"/>
      <c r="AL450" s="117"/>
      <c r="AM450" s="117"/>
      <c r="AN450" s="117"/>
      <c r="AQ450" s="117"/>
      <c r="AR450" s="117"/>
      <c r="AS450" s="117"/>
      <c r="AT450" s="117"/>
      <c r="AU450" s="117"/>
      <c r="AV450" s="117"/>
      <c r="AW450" s="117"/>
      <c r="AZ450" s="117"/>
      <c r="BA450" s="117"/>
      <c r="BB450" s="117"/>
      <c r="BC450" s="117"/>
      <c r="BD450" s="117"/>
      <c r="BE450" s="117"/>
      <c r="BF450" s="117"/>
      <c r="BI450" s="117"/>
      <c r="BJ450" s="117"/>
      <c r="BK450" s="117"/>
      <c r="BL450" s="117"/>
      <c r="BM450" s="117"/>
      <c r="BN450" s="117"/>
      <c r="BO450" s="117"/>
    </row>
    <row r="451" spans="2:68" ht="13.2" customHeight="1">
      <c r="B451" s="4293"/>
      <c r="C451" s="4294"/>
      <c r="D451" s="4294"/>
      <c r="E451" s="4294"/>
      <c r="F451" s="4294"/>
      <c r="G451" s="4294"/>
      <c r="H451" s="4294"/>
      <c r="I451" s="4294"/>
      <c r="J451" s="4294"/>
      <c r="K451" s="4294"/>
      <c r="L451" s="4294"/>
      <c r="M451" s="4294"/>
      <c r="N451" s="4295"/>
      <c r="O451" s="136">
        <f>ROW()</f>
        <v>451</v>
      </c>
      <c r="P451" s="117"/>
      <c r="Q451" s="117"/>
      <c r="R451" s="117"/>
      <c r="S451" s="117"/>
      <c r="T451" s="117"/>
      <c r="U451" s="117"/>
      <c r="V451" s="117"/>
      <c r="Y451" s="117"/>
      <c r="Z451" s="117"/>
      <c r="AA451" s="117"/>
      <c r="AB451" s="117"/>
      <c r="AC451" s="117"/>
      <c r="AD451" s="117"/>
      <c r="AE451" s="117"/>
      <c r="AH451" s="117"/>
      <c r="AI451" s="117"/>
      <c r="AJ451" s="117"/>
      <c r="AK451" s="117"/>
      <c r="AL451" s="117"/>
      <c r="AM451" s="117"/>
      <c r="AN451" s="117"/>
      <c r="AQ451" s="117"/>
      <c r="AR451" s="117"/>
      <c r="AS451" s="117"/>
      <c r="AT451" s="117"/>
      <c r="AU451" s="117"/>
      <c r="AV451" s="117"/>
      <c r="AW451" s="117"/>
      <c r="AZ451" s="117"/>
      <c r="BA451" s="117"/>
      <c r="BB451" s="117"/>
      <c r="BC451" s="117"/>
      <c r="BD451" s="117"/>
      <c r="BE451" s="117"/>
      <c r="BF451" s="117"/>
      <c r="BI451" s="117"/>
      <c r="BJ451" s="117"/>
      <c r="BK451" s="117"/>
      <c r="BL451" s="117"/>
      <c r="BM451" s="117"/>
      <c r="BN451" s="117"/>
      <c r="BO451" s="117"/>
    </row>
    <row r="452" spans="2:68" ht="13.2" customHeight="1">
      <c r="B452" s="280"/>
      <c r="C452" s="280"/>
      <c r="D452" s="280"/>
      <c r="E452" s="280"/>
      <c r="F452" s="280"/>
      <c r="G452" s="280"/>
      <c r="H452" s="280"/>
      <c r="I452" s="280"/>
      <c r="J452" s="280"/>
      <c r="K452" s="280"/>
      <c r="L452" s="280"/>
      <c r="M452" s="280"/>
      <c r="N452" s="280"/>
      <c r="O452" s="136">
        <f>ROW()</f>
        <v>452</v>
      </c>
      <c r="P452" s="117"/>
      <c r="Q452" s="117"/>
      <c r="R452" s="117"/>
      <c r="S452" s="117"/>
      <c r="T452" s="117"/>
      <c r="U452" s="117"/>
      <c r="V452" s="117"/>
      <c r="Y452" s="117"/>
      <c r="Z452" s="117"/>
      <c r="AA452" s="117"/>
      <c r="AB452" s="117"/>
      <c r="AC452" s="117"/>
      <c r="AD452" s="117"/>
      <c r="AE452" s="117"/>
      <c r="AH452" s="117"/>
      <c r="AI452" s="117"/>
      <c r="AJ452" s="117"/>
      <c r="AK452" s="117"/>
      <c r="AL452" s="117"/>
      <c r="AM452" s="117"/>
      <c r="AN452" s="117"/>
      <c r="AQ452" s="117"/>
      <c r="AR452" s="117"/>
      <c r="AS452" s="117"/>
      <c r="AT452" s="117"/>
      <c r="AU452" s="117"/>
      <c r="AV452" s="117"/>
      <c r="AW452" s="117"/>
      <c r="AZ452" s="117"/>
      <c r="BA452" s="117"/>
      <c r="BB452" s="117"/>
      <c r="BC452" s="117"/>
      <c r="BD452" s="117"/>
      <c r="BE452" s="117"/>
      <c r="BF452" s="117"/>
      <c r="BI452" s="117"/>
      <c r="BJ452" s="117"/>
      <c r="BK452" s="117"/>
      <c r="BL452" s="117"/>
      <c r="BM452" s="117"/>
      <c r="BN452" s="117"/>
      <c r="BO452" s="117"/>
    </row>
    <row r="453" spans="2:68" ht="13.2" customHeight="1">
      <c r="B453" s="24" t="s">
        <v>224</v>
      </c>
      <c r="C453" s="284"/>
      <c r="D453" s="284"/>
      <c r="E453" s="284"/>
      <c r="F453" s="284"/>
      <c r="G453" s="284"/>
      <c r="H453" s="284"/>
      <c r="I453" s="54"/>
      <c r="J453" s="284"/>
      <c r="K453" s="284"/>
      <c r="L453" s="284"/>
      <c r="M453" s="284"/>
      <c r="O453" s="136">
        <f>ROW()</f>
        <v>453</v>
      </c>
      <c r="P453" s="4147" t="s">
        <v>2680</v>
      </c>
      <c r="Q453" s="4147"/>
      <c r="R453" s="4147"/>
      <c r="S453" s="4147"/>
      <c r="T453" s="4147"/>
      <c r="U453" s="4147"/>
      <c r="V453" s="4147"/>
      <c r="W453" s="4147"/>
      <c r="Y453" s="4147" t="s">
        <v>2681</v>
      </c>
      <c r="Z453" s="4147"/>
      <c r="AA453" s="4147"/>
      <c r="AB453" s="4147"/>
      <c r="AC453" s="4147"/>
      <c r="AD453" s="4147"/>
      <c r="AE453" s="4147"/>
      <c r="AF453" s="4147"/>
      <c r="AH453" s="4263" t="s">
        <v>5482</v>
      </c>
      <c r="AI453" s="4264"/>
      <c r="AJ453" s="4264"/>
      <c r="AK453" s="4264"/>
      <c r="AL453" s="4264"/>
      <c r="AM453" s="4264"/>
      <c r="AN453" s="4264"/>
      <c r="AO453" s="4264"/>
      <c r="AQ453" s="4147" t="s">
        <v>713</v>
      </c>
      <c r="AR453" s="4147"/>
      <c r="AS453" s="4147"/>
      <c r="AT453" s="4147"/>
      <c r="AU453" s="4147"/>
      <c r="AV453" s="4147"/>
      <c r="AW453" s="4147"/>
      <c r="AX453" s="4147"/>
      <c r="AZ453" s="4147" t="s">
        <v>460</v>
      </c>
      <c r="BA453" s="4147"/>
      <c r="BB453" s="4147"/>
      <c r="BC453" s="4147"/>
      <c r="BD453" s="4147"/>
      <c r="BE453" s="4147"/>
      <c r="BF453" s="4147"/>
      <c r="BG453" s="4147"/>
      <c r="BI453" s="4147" t="s">
        <v>849</v>
      </c>
      <c r="BJ453" s="4147"/>
      <c r="BK453" s="4147"/>
      <c r="BL453" s="4147"/>
      <c r="BM453" s="4147"/>
      <c r="BN453" s="4147"/>
      <c r="BO453" s="4147"/>
      <c r="BP453" s="4147"/>
    </row>
    <row r="454" spans="2:68" ht="13.2" customHeight="1">
      <c r="O454" s="136">
        <f>ROW()</f>
        <v>454</v>
      </c>
    </row>
    <row r="455" spans="2:68" ht="13.2" customHeight="1">
      <c r="B455" s="308" t="s">
        <v>112</v>
      </c>
      <c r="C455" s="280"/>
      <c r="D455" s="280"/>
      <c r="E455" s="280"/>
      <c r="F455" s="280"/>
      <c r="G455" s="280"/>
      <c r="H455" s="280"/>
      <c r="I455" s="280"/>
      <c r="J455" s="280"/>
      <c r="K455" s="280"/>
      <c r="L455" s="280"/>
      <c r="M455" s="280"/>
      <c r="O455" s="136">
        <f>ROW()</f>
        <v>455</v>
      </c>
    </row>
    <row r="456" spans="2:68" ht="13.2" customHeight="1">
      <c r="B456" s="280" t="s">
        <v>1299</v>
      </c>
      <c r="G456" s="10">
        <f t="shared" ref="G456:M456" ca="1" si="577">P456+Y456+AH456+AQ456+AZ456+BI456</f>
        <v>105857.41598684607</v>
      </c>
      <c r="H456" s="10">
        <f t="shared" ca="1" si="577"/>
        <v>44046.813704075168</v>
      </c>
      <c r="I456" s="10">
        <f t="shared" ca="1" si="577"/>
        <v>142778.88211110618</v>
      </c>
      <c r="J456" s="10">
        <f t="shared" ca="1" si="577"/>
        <v>94219.689022471677</v>
      </c>
      <c r="K456" s="10">
        <f t="shared" ca="1" si="577"/>
        <v>51483.24547338258</v>
      </c>
      <c r="L456" s="10">
        <f t="shared" ca="1" si="577"/>
        <v>34216.665300011206</v>
      </c>
      <c r="M456">
        <f t="shared" si="577"/>
        <v>0</v>
      </c>
      <c r="N456" s="186">
        <f ca="1">SUM(G456:M456)</f>
        <v>472602.71159789292</v>
      </c>
      <c r="O456" s="136">
        <f>ROW()</f>
        <v>456</v>
      </c>
      <c r="P456" s="10">
        <f t="shared" ref="P456:U456" ca="1" si="578">P368</f>
        <v>23290.284418136056</v>
      </c>
      <c r="Q456" s="10">
        <f t="shared" ca="1" si="578"/>
        <v>8887.4956410513805</v>
      </c>
      <c r="R456" s="10">
        <f t="shared" ca="1" si="578"/>
        <v>23777.016784625092</v>
      </c>
      <c r="S456" s="10">
        <f t="shared" ca="1" si="578"/>
        <v>9359.9084597705842</v>
      </c>
      <c r="T456" s="10">
        <f t="shared" ca="1" si="578"/>
        <v>8484.437135050568</v>
      </c>
      <c r="U456" s="10">
        <f t="shared" ca="1" si="578"/>
        <v>4527.8320776293349</v>
      </c>
      <c r="V456" s="10"/>
      <c r="W456" s="10">
        <f ca="1">SUM(P456:V456)</f>
        <v>78326.974516263013</v>
      </c>
      <c r="Y456" s="10">
        <f t="shared" ref="Y456:AD456" ca="1" si="579">Y368</f>
        <v>34991.558753837409</v>
      </c>
      <c r="Z456" s="10">
        <f t="shared" ca="1" si="579"/>
        <v>16804.613818490518</v>
      </c>
      <c r="AA456" s="10">
        <f t="shared" ca="1" si="579"/>
        <v>69243.642750082785</v>
      </c>
      <c r="AB456" s="10">
        <f t="shared" ca="1" si="579"/>
        <v>54381.927593789136</v>
      </c>
      <c r="AC456" s="10">
        <f t="shared" ca="1" si="579"/>
        <v>25055.963999029715</v>
      </c>
      <c r="AD456" s="10">
        <f t="shared" ca="1" si="579"/>
        <v>16661.779997463913</v>
      </c>
      <c r="AE456" s="10"/>
      <c r="AF456" s="10">
        <f ca="1">SUM(Y456:AE456)</f>
        <v>217139.48691269348</v>
      </c>
      <c r="AH456" s="10">
        <f t="shared" ref="AH456:AM456" ca="1" si="580">AH368</f>
        <v>27640.539367834434</v>
      </c>
      <c r="AI456" s="10">
        <f t="shared" ca="1" si="580"/>
        <v>10606.24314826684</v>
      </c>
      <c r="AJ456" s="10">
        <f t="shared" ca="1" si="580"/>
        <v>25383.173636110449</v>
      </c>
      <c r="AK456" s="10">
        <f t="shared" ca="1" si="580"/>
        <v>14760.175589257184</v>
      </c>
      <c r="AL456" s="10">
        <f t="shared" ca="1" si="580"/>
        <v>8669.5478578581678</v>
      </c>
      <c r="AM456" s="10">
        <f t="shared" ca="1" si="580"/>
        <v>5852.8611835899774</v>
      </c>
      <c r="AN456" s="10"/>
      <c r="AO456" s="10">
        <f ca="1">SUM(AH456:AN456)</f>
        <v>92912.540782917058</v>
      </c>
      <c r="AQ456" s="10">
        <f t="shared" ref="AQ456:AV456" ca="1" si="581">AQ368</f>
        <v>15796.136744398595</v>
      </c>
      <c r="AR456" s="10">
        <f t="shared" ca="1" si="581"/>
        <v>6129.9244320899988</v>
      </c>
      <c r="AS456" s="10">
        <f t="shared" ca="1" si="581"/>
        <v>19264.581005053889</v>
      </c>
      <c r="AT456" s="10">
        <f t="shared" ca="1" si="581"/>
        <v>12418.668104605633</v>
      </c>
      <c r="AU456" s="10">
        <f t="shared" ca="1" si="581"/>
        <v>7331.9010821730126</v>
      </c>
      <c r="AV456" s="10">
        <f t="shared" ca="1" si="581"/>
        <v>5674.4134506484716</v>
      </c>
      <c r="AW456" s="10"/>
      <c r="AX456" s="10">
        <f ca="1">SUM(AQ456:AW456)</f>
        <v>66615.624818969605</v>
      </c>
      <c r="AZ456" s="10">
        <f t="shared" ref="AZ456:BE456" ca="1" si="582">AZ368</f>
        <v>2822.5373757897646</v>
      </c>
      <c r="BA456" s="10">
        <f t="shared" ca="1" si="582"/>
        <v>1105.8647534620104</v>
      </c>
      <c r="BB456" s="10">
        <f t="shared" ca="1" si="582"/>
        <v>3495.0099515829015</v>
      </c>
      <c r="BC456" s="10">
        <f t="shared" ca="1" si="582"/>
        <v>2256.7718593373907</v>
      </c>
      <c r="BD456" s="10">
        <f t="shared" ca="1" si="582"/>
        <v>1327.2701872308471</v>
      </c>
      <c r="BE456" s="10">
        <f t="shared" ca="1" si="582"/>
        <v>1025.027645967896</v>
      </c>
      <c r="BF456" s="10"/>
      <c r="BG456" s="10">
        <f ca="1">SUM(AZ456:BF456)</f>
        <v>12032.48177337081</v>
      </c>
      <c r="BI456" s="10">
        <f t="shared" ref="BI456:BN456" ca="1" si="583">BI368</f>
        <v>1316.3593268498119</v>
      </c>
      <c r="BJ456" s="10">
        <f t="shared" ca="1" si="583"/>
        <v>512.67191071442494</v>
      </c>
      <c r="BK456" s="10">
        <f t="shared" ca="1" si="583"/>
        <v>1615.4579836510745</v>
      </c>
      <c r="BL456" s="10">
        <f t="shared" ca="1" si="583"/>
        <v>1042.2374157117542</v>
      </c>
      <c r="BM456" s="10">
        <f t="shared" ca="1" si="583"/>
        <v>614.12521204026962</v>
      </c>
      <c r="BN456" s="10">
        <f t="shared" ca="1" si="583"/>
        <v>474.75094471162049</v>
      </c>
      <c r="BO456" s="10"/>
      <c r="BP456" s="10">
        <f ca="1">SUM(BI456:BO456)</f>
        <v>5575.602793678956</v>
      </c>
    </row>
    <row r="457" spans="2:68" ht="13.2" customHeight="1">
      <c r="B457" s="309" t="str">
        <f>CONCATENATE("Above row repeats figures in Row ",O368,".")</f>
        <v>Above row repeats figures in Row 368.</v>
      </c>
      <c r="G457" s="10" t="s">
        <v>857</v>
      </c>
      <c r="H457" s="10"/>
      <c r="I457" s="10"/>
      <c r="J457" s="10"/>
      <c r="K457" s="10"/>
      <c r="L457" s="10"/>
      <c r="O457" s="136">
        <f>ROW()</f>
        <v>457</v>
      </c>
      <c r="P457" s="309" t="str">
        <f>CONCATENATE("Figures in Row ",O458, " are product of figures in Row ",O456, " and rebound factors in Row ",O440, ".")</f>
        <v>Figures in Row 458 are product of figures in Row 456 and rebound factors in Row 440.</v>
      </c>
    </row>
    <row r="458" spans="2:68" ht="13.2" customHeight="1">
      <c r="B458" s="280" t="s">
        <v>1300</v>
      </c>
      <c r="G458" s="10">
        <f t="shared" ref="G458:M458" ca="1" si="584">P458+Y458+AH458+AQ458+AZ458+BI458</f>
        <v>111577.63342564899</v>
      </c>
      <c r="H458" s="10">
        <f t="shared" ca="1" si="584"/>
        <v>48821.436316922751</v>
      </c>
      <c r="I458" s="10">
        <f t="shared" ca="1" si="584"/>
        <v>159796.39252459546</v>
      </c>
      <c r="J458" s="10">
        <f t="shared" ca="1" si="584"/>
        <v>105421.37966583334</v>
      </c>
      <c r="K458" s="10">
        <f t="shared" ca="1" si="584"/>
        <v>58096.404906494594</v>
      </c>
      <c r="L458" s="10">
        <f t="shared" ca="1" si="584"/>
        <v>38592.933968532874</v>
      </c>
      <c r="M458">
        <f t="shared" si="584"/>
        <v>0</v>
      </c>
      <c r="N458" s="617">
        <f ca="1">SUM(G458:M458)</f>
        <v>522306.18080802797</v>
      </c>
      <c r="O458" s="136">
        <f>ROW()</f>
        <v>458</v>
      </c>
      <c r="P458" s="10">
        <f t="shared" ref="P458:U458" ca="1" si="585">P456*P440</f>
        <v>25181.217914590776</v>
      </c>
      <c r="Q458" s="10">
        <f t="shared" ca="1" si="585"/>
        <v>9930.5525224295925</v>
      </c>
      <c r="R458" s="10">
        <f t="shared" ca="1" si="585"/>
        <v>26778.113411563696</v>
      </c>
      <c r="S458" s="10">
        <f t="shared" ca="1" si="585"/>
        <v>10538.098271247454</v>
      </c>
      <c r="T458" s="10">
        <f t="shared" ca="1" si="585"/>
        <v>9625.7126712971858</v>
      </c>
      <c r="U458" s="10">
        <f t="shared" ca="1" si="585"/>
        <v>5138.2235794809703</v>
      </c>
      <c r="V458" s="10"/>
      <c r="W458" s="10">
        <f ca="1">SUM(P458:V458)</f>
        <v>87191.918370609666</v>
      </c>
      <c r="Y458" s="10">
        <f t="shared" ref="Y458:AD458" ca="1" si="586">Y456*Y440</f>
        <v>37832.516354564294</v>
      </c>
      <c r="Z458" s="10">
        <f t="shared" ca="1" si="586"/>
        <v>18776.841855522372</v>
      </c>
      <c r="AA458" s="10">
        <f t="shared" ca="1" si="586"/>
        <v>77983.463417097213</v>
      </c>
      <c r="AB458" s="10">
        <f t="shared" ca="1" si="586"/>
        <v>61227.318581837942</v>
      </c>
      <c r="AC458" s="10">
        <f t="shared" ca="1" si="586"/>
        <v>28426.341820680958</v>
      </c>
      <c r="AD458" s="10">
        <f t="shared" ca="1" si="586"/>
        <v>18907.934170544122</v>
      </c>
      <c r="AE458" s="10"/>
      <c r="AF458" s="10">
        <f ca="1">SUM(Y458:AE458)</f>
        <v>243154.41620024687</v>
      </c>
      <c r="AH458" s="10">
        <f t="shared" ref="AH458:AM458" ca="1" si="587">AH456*AH440</f>
        <v>28265.824852535392</v>
      </c>
      <c r="AI458" s="10">
        <f t="shared" ca="1" si="587"/>
        <v>11855.810507970689</v>
      </c>
      <c r="AJ458" s="10">
        <f t="shared" ca="1" si="587"/>
        <v>28701.079791575889</v>
      </c>
      <c r="AK458" s="10">
        <f t="shared" ca="1" si="587"/>
        <v>16656.336880797291</v>
      </c>
      <c r="AL458" s="10">
        <f t="shared" ca="1" si="587"/>
        <v>9954.1807698152497</v>
      </c>
      <c r="AM458" s="10">
        <f t="shared" ca="1" si="587"/>
        <v>6755.0430942196917</v>
      </c>
      <c r="AN458" s="10"/>
      <c r="AO458" s="10">
        <f ca="1">SUM(AH458:AN458)</f>
        <v>102188.27589691422</v>
      </c>
      <c r="AQ458" s="10">
        <f ca="1">AQ456*(1+(AQ440-1)*Taxis!$N$243)</f>
        <v>16063.417052874969</v>
      </c>
      <c r="AR458" s="10">
        <f ca="1">AR456*(1+(AR440-1)*Taxis!$N$243)</f>
        <v>6580.3039547416147</v>
      </c>
      <c r="AS458" s="10">
        <f ca="1">AS456*(1+(AS440-1)*Taxis!$N$243)</f>
        <v>21013.495952133315</v>
      </c>
      <c r="AT458" s="10">
        <f ca="1">AT456*(1+(AT440-1)*Taxis!$N$243)</f>
        <v>13564.375536569334</v>
      </c>
      <c r="AU458" s="10">
        <f ca="1">AU456*(1+(AU440-1)*Taxis!$N$243)</f>
        <v>8063.8623615436009</v>
      </c>
      <c r="AV458" s="10">
        <f ca="1">AV456*(1+(AV440-1)*Taxis!$N$243)</f>
        <v>6227.2646854543091</v>
      </c>
      <c r="AW458" s="10"/>
      <c r="AX458" s="10">
        <f ca="1">SUM(AQ458:AW458)</f>
        <v>71512.719543317144</v>
      </c>
      <c r="AZ458" s="10">
        <f t="shared" ref="AZ458:BE458" ca="1" si="588">AZ456*AZ440</f>
        <v>2878.0069531034305</v>
      </c>
      <c r="BA458" s="10">
        <f t="shared" ca="1" si="588"/>
        <v>1140.574614647797</v>
      </c>
      <c r="BB458" s="10">
        <f t="shared" ca="1" si="588"/>
        <v>3619.4062715719506</v>
      </c>
      <c r="BC458" s="10">
        <f t="shared" ca="1" si="588"/>
        <v>2337.9449812126527</v>
      </c>
      <c r="BD458" s="10">
        <f t="shared" ca="1" si="588"/>
        <v>1377.4571252529022</v>
      </c>
      <c r="BE458" s="10">
        <f t="shared" ca="1" si="588"/>
        <v>1062.974285212629</v>
      </c>
      <c r="BF458" s="10"/>
      <c r="BG458" s="10">
        <f ca="1">SUM(AZ458:BF458)</f>
        <v>12416.364231001362</v>
      </c>
      <c r="BI458" s="10">
        <f t="shared" ref="BI458:BN458" ca="1" si="589">BI456*BI440</f>
        <v>1356.650297980151</v>
      </c>
      <c r="BJ458" s="10">
        <f t="shared" ca="1" si="589"/>
        <v>537.352861610682</v>
      </c>
      <c r="BK458" s="10">
        <f t="shared" ca="1" si="589"/>
        <v>1700.8336806533598</v>
      </c>
      <c r="BL458" s="10">
        <f t="shared" ca="1" si="589"/>
        <v>1097.305414168675</v>
      </c>
      <c r="BM458" s="10">
        <f t="shared" ca="1" si="589"/>
        <v>648.85015790469618</v>
      </c>
      <c r="BN458" s="10">
        <f t="shared" ca="1" si="589"/>
        <v>501.49415362114922</v>
      </c>
      <c r="BO458" s="10"/>
      <c r="BP458" s="10">
        <f ca="1">SUM(BI458:BO458)</f>
        <v>5842.4865659387133</v>
      </c>
    </row>
    <row r="459" spans="2:68" ht="13.2" customHeight="1">
      <c r="B459" s="309" t="str">
        <f>CONCATENATE("Each figure in above row is product of figures in Rows ",O440," and ",O456,".")</f>
        <v>Each figure in above row is product of figures in Rows 440 and 456.</v>
      </c>
      <c r="G459" s="10"/>
      <c r="H459" s="10"/>
      <c r="I459" s="10"/>
      <c r="J459" s="10"/>
      <c r="K459" s="10"/>
      <c r="L459" s="10"/>
      <c r="N459" s="617"/>
      <c r="O459" s="136">
        <f>ROW()</f>
        <v>459</v>
      </c>
      <c r="P459" s="10"/>
      <c r="Q459" s="10"/>
      <c r="R459" s="10"/>
      <c r="S459" s="10"/>
      <c r="T459" s="10"/>
      <c r="U459" s="10"/>
      <c r="V459" s="10"/>
      <c r="W459" s="10"/>
      <c r="Y459" s="10"/>
      <c r="Z459" s="10"/>
      <c r="AA459" s="10"/>
      <c r="AB459" s="10"/>
      <c r="AC459" s="10"/>
      <c r="AD459" s="10"/>
      <c r="AE459" s="10"/>
      <c r="AF459" s="10"/>
      <c r="AH459" s="10"/>
      <c r="AI459" s="10"/>
      <c r="AJ459" s="10"/>
      <c r="AK459" s="10"/>
      <c r="AL459" s="10"/>
      <c r="AM459" s="10"/>
      <c r="AN459" s="10"/>
      <c r="AO459" s="10"/>
      <c r="AQ459" s="2012" t="str">
        <f>CONCATENATE("Row ",O458, " figs. apply to Row ",O456, " the fractional chng from Row ",O440, " factored by % of taxi-trip chngs not absorbed by cruising, from Row ",Taxis!$O$243, " of 'Taxis'.")</f>
        <v>Row 458 figs. apply to Row 456 the fractional chng from Row 440 factored by % of taxi-trip chngs not absorbed by cruising, from Row 243 of 'Taxis'.</v>
      </c>
      <c r="AR459" s="10"/>
      <c r="AS459" s="10"/>
      <c r="AT459" s="10"/>
      <c r="AU459" s="10"/>
      <c r="AV459" s="10"/>
      <c r="AW459" s="10"/>
      <c r="AX459" s="10"/>
      <c r="AZ459" s="10"/>
      <c r="BA459" s="10"/>
      <c r="BB459" s="10"/>
      <c r="BC459" s="10"/>
      <c r="BD459" s="10"/>
      <c r="BE459" s="10"/>
      <c r="BF459" s="10"/>
      <c r="BG459" s="10"/>
      <c r="BI459" s="10"/>
      <c r="BJ459" s="10"/>
      <c r="BK459" s="10"/>
      <c r="BL459" s="10"/>
      <c r="BM459" s="10"/>
      <c r="BN459" s="10"/>
      <c r="BO459" s="10"/>
      <c r="BP459" s="10"/>
    </row>
    <row r="460" spans="2:68" ht="13.2" customHeight="1">
      <c r="B460" s="280" t="s">
        <v>522</v>
      </c>
      <c r="G460" s="10">
        <f t="shared" ref="G460:M460" ca="1" si="590">P460+Y460+AH460+AQ460+AZ460+BI460</f>
        <v>177566.91175830268</v>
      </c>
      <c r="H460" s="10">
        <f t="shared" ca="1" si="590"/>
        <v>77316.2637547349</v>
      </c>
      <c r="I460" s="10">
        <f t="shared" ca="1" si="590"/>
        <v>253610.75503148686</v>
      </c>
      <c r="J460" s="10">
        <f t="shared" ca="1" si="590"/>
        <v>167304.19375785827</v>
      </c>
      <c r="K460" s="10">
        <f t="shared" ca="1" si="590"/>
        <v>92571.731230363861</v>
      </c>
      <c r="L460" s="10">
        <f t="shared" ca="1" si="590"/>
        <v>62172.737490734005</v>
      </c>
      <c r="M460">
        <f t="shared" si="590"/>
        <v>0</v>
      </c>
      <c r="N460" s="186">
        <f ca="1">SUM(G460:M460)</f>
        <v>830542.5930234805</v>
      </c>
      <c r="O460" s="136">
        <f>ROW()</f>
        <v>460</v>
      </c>
      <c r="P460" s="10">
        <f t="shared" ref="P460:U460" ca="1" si="591">P458*$I$85</f>
        <v>37771.826871886165</v>
      </c>
      <c r="Q460" s="10">
        <f t="shared" ca="1" si="591"/>
        <v>14895.828783644389</v>
      </c>
      <c r="R460" s="10">
        <f t="shared" ca="1" si="591"/>
        <v>40167.170117345544</v>
      </c>
      <c r="S460" s="10">
        <f t="shared" ca="1" si="591"/>
        <v>15807.147406871181</v>
      </c>
      <c r="T460" s="10">
        <f t="shared" ca="1" si="591"/>
        <v>14438.569006945778</v>
      </c>
      <c r="U460" s="10">
        <f t="shared" ca="1" si="591"/>
        <v>7707.335369221455</v>
      </c>
      <c r="V460" s="10"/>
      <c r="W460" s="10">
        <f ca="1">SUM(P460:V460)</f>
        <v>130787.87755591451</v>
      </c>
      <c r="Y460" s="10">
        <f t="shared" ref="Y460:AD460" ca="1" si="592">Y458*$J$85</f>
        <v>56748.774531846444</v>
      </c>
      <c r="Z460" s="10">
        <f t="shared" ca="1" si="592"/>
        <v>28165.262783283557</v>
      </c>
      <c r="AA460" s="10">
        <f t="shared" ca="1" si="592"/>
        <v>116975.19512564581</v>
      </c>
      <c r="AB460" s="10">
        <f t="shared" ca="1" si="592"/>
        <v>91840.977872756921</v>
      </c>
      <c r="AC460" s="10">
        <f t="shared" ca="1" si="592"/>
        <v>42639.512731021438</v>
      </c>
      <c r="AD460" s="10">
        <f t="shared" ca="1" si="592"/>
        <v>28361.901255816185</v>
      </c>
      <c r="AE460" s="10"/>
      <c r="AF460" s="10">
        <f ca="1">SUM(Y460:AE460)</f>
        <v>364731.62430037034</v>
      </c>
      <c r="AH460" s="10">
        <f t="shared" ref="AH460:AM460" ca="1" si="593">AH458*$K$85</f>
        <v>39572.154793549555</v>
      </c>
      <c r="AI460" s="10">
        <f t="shared" ca="1" si="593"/>
        <v>16598.134711158968</v>
      </c>
      <c r="AJ460" s="10">
        <f t="shared" ca="1" si="593"/>
        <v>40181.51170820625</v>
      </c>
      <c r="AK460" s="10">
        <f t="shared" ca="1" si="593"/>
        <v>23318.87163311621</v>
      </c>
      <c r="AL460" s="10">
        <f t="shared" ca="1" si="593"/>
        <v>13935.853077741351</v>
      </c>
      <c r="AM460" s="10">
        <f t="shared" ca="1" si="593"/>
        <v>9457.060331907569</v>
      </c>
      <c r="AN460" s="10"/>
      <c r="AO460" s="10">
        <f ca="1">SUM(AH460:AN460)</f>
        <v>143063.5862556799</v>
      </c>
      <c r="AQ460" s="10">
        <f ca="1">AQ458*$L$85</f>
        <v>32126.834105749938</v>
      </c>
      <c r="AR460" s="10">
        <f t="shared" ref="AR460:AV460" ca="1" si="594">AR458*$L$85</f>
        <v>13160.607909483229</v>
      </c>
      <c r="AS460" s="10">
        <f t="shared" ca="1" si="594"/>
        <v>42026.99190426663</v>
      </c>
      <c r="AT460" s="10">
        <f t="shared" ca="1" si="594"/>
        <v>27128.751073138668</v>
      </c>
      <c r="AU460" s="10">
        <f t="shared" ca="1" si="594"/>
        <v>16127.724723087202</v>
      </c>
      <c r="AV460" s="10">
        <f t="shared" ca="1" si="594"/>
        <v>12454.529370908618</v>
      </c>
      <c r="AW460" s="10"/>
      <c r="AX460" s="10">
        <f ca="1">SUM(AQ460:AW460)</f>
        <v>143025.43908663429</v>
      </c>
      <c r="AZ460" s="10">
        <f t="shared" ref="AZ460:BE460" ca="1" si="595">AZ458*$M$85</f>
        <v>8634.0208593102907</v>
      </c>
      <c r="BA460" s="10">
        <f t="shared" ca="1" si="595"/>
        <v>3421.7238439433913</v>
      </c>
      <c r="BB460" s="10">
        <f t="shared" ca="1" si="595"/>
        <v>10858.218814715852</v>
      </c>
      <c r="BC460" s="10">
        <f t="shared" ca="1" si="595"/>
        <v>7013.8349436379576</v>
      </c>
      <c r="BD460" s="10">
        <f t="shared" ca="1" si="595"/>
        <v>4132.3713757587066</v>
      </c>
      <c r="BE460" s="10">
        <f t="shared" ca="1" si="595"/>
        <v>3188.9228556378866</v>
      </c>
      <c r="BF460" s="10"/>
      <c r="BG460" s="10">
        <f ca="1">SUM(AZ460:BF460)</f>
        <v>37249.092693004081</v>
      </c>
      <c r="BI460" s="10">
        <f t="shared" ref="BI460:BN460" ca="1" si="596">BI458*$N$85</f>
        <v>2713.300595960302</v>
      </c>
      <c r="BJ460" s="10">
        <f t="shared" ca="1" si="596"/>
        <v>1074.705723221364</v>
      </c>
      <c r="BK460" s="10">
        <f t="shared" ca="1" si="596"/>
        <v>3401.6673613067196</v>
      </c>
      <c r="BL460" s="10">
        <f t="shared" ca="1" si="596"/>
        <v>2194.6108283373501</v>
      </c>
      <c r="BM460" s="10">
        <f t="shared" ca="1" si="596"/>
        <v>1297.7003158093924</v>
      </c>
      <c r="BN460" s="10">
        <f t="shared" ca="1" si="596"/>
        <v>1002.9883072422984</v>
      </c>
      <c r="BO460" s="10"/>
      <c r="BP460" s="10">
        <f ca="1">SUM(BI460:BO460)</f>
        <v>11684.973131877427</v>
      </c>
    </row>
    <row r="461" spans="2:68" ht="13.2" customHeight="1">
      <c r="B461" s="280"/>
      <c r="G461" s="10"/>
      <c r="H461" s="10"/>
      <c r="I461" s="10"/>
      <c r="J461" s="10"/>
      <c r="K461" s="10"/>
      <c r="L461" s="10"/>
      <c r="M461" s="10"/>
      <c r="N461" s="186"/>
      <c r="O461" s="136">
        <f>ROW()</f>
        <v>461</v>
      </c>
      <c r="P461" s="309" t="str">
        <f>CONCATENATE("Figures in Row ",O460, " are product of trips in Row ",O458, " and CBD miles for that trip type in Row ",O82, ".")</f>
        <v>Figures in Row 460 are product of trips in Row 458 and CBD miles for that trip type in Row 82.</v>
      </c>
      <c r="Q461" s="10"/>
      <c r="R461" s="10"/>
      <c r="S461" s="10"/>
      <c r="T461" s="10"/>
      <c r="U461" s="10"/>
      <c r="V461" s="10"/>
      <c r="W461" s="10"/>
      <c r="Y461" s="10"/>
      <c r="Z461" s="10"/>
      <c r="AA461" s="10"/>
      <c r="AB461" s="10"/>
      <c r="AC461" s="10"/>
      <c r="AD461" s="10"/>
      <c r="AE461" s="10"/>
      <c r="AF461" s="10"/>
      <c r="AH461" s="10"/>
      <c r="AI461" s="10"/>
      <c r="AJ461" s="10"/>
      <c r="AK461" s="10"/>
      <c r="AL461" s="10"/>
      <c r="AM461" s="10"/>
      <c r="AN461" s="10"/>
      <c r="AO461" s="10"/>
      <c r="AQ461" s="265" t="s">
        <v>3173</v>
      </c>
      <c r="AR461" s="10"/>
      <c r="AS461" s="10"/>
      <c r="AT461" s="10"/>
      <c r="AU461" s="10"/>
      <c r="AV461" s="10"/>
      <c r="AW461" s="10"/>
      <c r="AX461" s="10"/>
      <c r="AZ461" s="10"/>
      <c r="BA461" s="10"/>
      <c r="BB461" s="10"/>
      <c r="BC461" s="10"/>
      <c r="BD461" s="10"/>
      <c r="BE461" s="10"/>
      <c r="BF461" s="10"/>
      <c r="BG461" s="10"/>
      <c r="BI461" s="10"/>
      <c r="BJ461" s="10"/>
      <c r="BK461" s="10"/>
      <c r="BL461" s="10"/>
      <c r="BM461" s="10"/>
      <c r="BN461" s="10"/>
      <c r="BO461" s="10"/>
      <c r="BP461" s="10"/>
    </row>
    <row r="462" spans="2:68" ht="13.2" customHeight="1">
      <c r="B462" s="308" t="s">
        <v>1010</v>
      </c>
      <c r="G462" s="10"/>
      <c r="H462" s="10"/>
      <c r="I462" s="10"/>
      <c r="J462" s="10"/>
      <c r="K462" s="10"/>
      <c r="L462" s="10"/>
      <c r="M462" s="10"/>
      <c r="N462" s="186"/>
      <c r="O462" s="136">
        <f>ROW()</f>
        <v>462</v>
      </c>
      <c r="P462" s="10"/>
      <c r="Q462" s="10"/>
      <c r="R462" s="10"/>
      <c r="S462" s="10"/>
      <c r="T462" s="10"/>
      <c r="U462" s="10"/>
      <c r="V462" s="10"/>
      <c r="W462" s="10"/>
      <c r="Y462" s="10"/>
      <c r="Z462" s="10"/>
      <c r="AA462" s="10"/>
      <c r="AB462" s="10"/>
      <c r="AC462" s="10"/>
      <c r="AD462" s="10"/>
      <c r="AE462" s="10"/>
      <c r="AF462" s="10"/>
      <c r="AH462" s="10"/>
      <c r="AI462" s="10"/>
      <c r="AJ462" s="10"/>
      <c r="AK462" s="10"/>
      <c r="AL462" s="10"/>
      <c r="AM462" s="10"/>
      <c r="AN462" s="10"/>
      <c r="AO462" s="10"/>
      <c r="AQ462" s="10"/>
      <c r="AR462" s="10"/>
      <c r="AS462" s="10"/>
      <c r="AT462" s="10"/>
      <c r="AU462" s="10"/>
      <c r="AV462" s="10"/>
      <c r="AW462" s="10"/>
      <c r="AX462" s="10"/>
      <c r="AZ462" s="10"/>
      <c r="BA462" s="10"/>
      <c r="BB462" s="10"/>
      <c r="BC462" s="10"/>
      <c r="BD462" s="10"/>
      <c r="BE462" s="10"/>
      <c r="BF462" s="10"/>
      <c r="BG462" s="10"/>
      <c r="BI462" s="10"/>
      <c r="BJ462" s="10"/>
      <c r="BK462" s="10"/>
      <c r="BL462" s="10"/>
      <c r="BM462" s="10"/>
      <c r="BN462" s="10"/>
      <c r="BO462" s="10"/>
      <c r="BP462" s="10"/>
    </row>
    <row r="463" spans="2:68" ht="13.2" customHeight="1">
      <c r="B463" s="280" t="s">
        <v>1301</v>
      </c>
      <c r="G463" s="10">
        <f t="shared" ref="G463:M463" ca="1" si="597">P463+Y463+AH463+AQ463+AZ463+BI463</f>
        <v>139114.05614222513</v>
      </c>
      <c r="H463" s="10">
        <f t="shared" ca="1" si="597"/>
        <v>41780.553064190201</v>
      </c>
      <c r="I463" s="10">
        <f t="shared" ca="1" si="597"/>
        <v>124271.91802171062</v>
      </c>
      <c r="J463" s="10">
        <f t="shared" ca="1" si="597"/>
        <v>79041.841094109623</v>
      </c>
      <c r="K463" s="10">
        <f t="shared" ca="1" si="597"/>
        <v>44866.601550319298</v>
      </c>
      <c r="L463" s="10">
        <f t="shared" ca="1" si="597"/>
        <v>43527.741725338012</v>
      </c>
      <c r="M463">
        <f t="shared" si="597"/>
        <v>0</v>
      </c>
      <c r="N463" s="186">
        <f ca="1">SUM(G463:M463)</f>
        <v>472602.71159789292</v>
      </c>
      <c r="O463" s="136">
        <f>ROW()</f>
        <v>463</v>
      </c>
      <c r="P463" s="10">
        <f t="shared" ref="P463:W463" ca="1" si="598">P$135*$W456</f>
        <v>23791.691520799344</v>
      </c>
      <c r="Q463" s="10">
        <f t="shared" ca="1" si="598"/>
        <v>6878.0657594556678</v>
      </c>
      <c r="R463" s="10">
        <f t="shared" ca="1" si="598"/>
        <v>20259.036009692387</v>
      </c>
      <c r="S463" s="10">
        <f t="shared" ca="1" si="598"/>
        <v>12853.590034953726</v>
      </c>
      <c r="T463" s="10">
        <f t="shared" ca="1" si="598"/>
        <v>7241.559209111002</v>
      </c>
      <c r="U463" s="10">
        <f t="shared" ca="1" si="598"/>
        <v>7303.0319822508955</v>
      </c>
      <c r="V463" s="10"/>
      <c r="W463" s="10">
        <f t="shared" ca="1" si="598"/>
        <v>78326.974516263013</v>
      </c>
      <c r="Y463" s="10">
        <f t="shared" ref="Y463:AD463" ca="1" si="599">Y$135*$AF456</f>
        <v>65955.767109819993</v>
      </c>
      <c r="Z463" s="10">
        <f t="shared" ca="1" si="599"/>
        <v>19067.501064398621</v>
      </c>
      <c r="AA463" s="10">
        <f t="shared" ca="1" si="599"/>
        <v>56162.47418795697</v>
      </c>
      <c r="AB463" s="10">
        <f t="shared" ca="1" si="599"/>
        <v>35632.959940211425</v>
      </c>
      <c r="AC463" s="10">
        <f t="shared" ca="1" si="599"/>
        <v>20075.184326030238</v>
      </c>
      <c r="AD463" s="10">
        <f t="shared" ca="1" si="599"/>
        <v>20245.600284276214</v>
      </c>
      <c r="AE463" s="10"/>
      <c r="AF463" s="10">
        <f ca="1">SUM(Y463:AE463)</f>
        <v>217139.48691269342</v>
      </c>
      <c r="AH463" s="10">
        <f t="shared" ref="AH463:AM463" ca="1" si="600">AH$135*$AO456</f>
        <v>28222.033627277098</v>
      </c>
      <c r="AI463" s="10">
        <f t="shared" ca="1" si="600"/>
        <v>8158.856758220918</v>
      </c>
      <c r="AJ463" s="10">
        <f t="shared" ca="1" si="600"/>
        <v>24031.548787605778</v>
      </c>
      <c r="AK463" s="10">
        <f t="shared" ca="1" si="600"/>
        <v>15247.106321993459</v>
      </c>
      <c r="AL463" s="10">
        <f t="shared" ca="1" si="600"/>
        <v>8590.0377169391959</v>
      </c>
      <c r="AM463" s="10">
        <f t="shared" ca="1" si="600"/>
        <v>8662.9575708806187</v>
      </c>
      <c r="AN463" s="10"/>
      <c r="AO463" s="10">
        <f ca="1">SUM(AH463:AN463)</f>
        <v>92912.540782917073</v>
      </c>
      <c r="AQ463" s="10">
        <f t="shared" ref="AQ463:AV463" ca="1" si="601">AQ456</f>
        <v>15796.136744398595</v>
      </c>
      <c r="AR463" s="10">
        <f t="shared" ca="1" si="601"/>
        <v>6129.9244320899988</v>
      </c>
      <c r="AS463" s="10">
        <f t="shared" ca="1" si="601"/>
        <v>19264.581005053889</v>
      </c>
      <c r="AT463" s="10">
        <f t="shared" ca="1" si="601"/>
        <v>12418.668104605633</v>
      </c>
      <c r="AU463" s="10">
        <f t="shared" ca="1" si="601"/>
        <v>7331.9010821730126</v>
      </c>
      <c r="AV463" s="10">
        <f t="shared" ca="1" si="601"/>
        <v>5674.4134506484716</v>
      </c>
      <c r="AW463" s="10"/>
      <c r="AX463" s="10">
        <f ca="1">SUM(AQ463:AW463)</f>
        <v>66615.624818969605</v>
      </c>
      <c r="AZ463" s="10">
        <f t="shared" ref="AZ463:BE463" ca="1" si="602">AZ$135*$BG456</f>
        <v>3654.8468308608049</v>
      </c>
      <c r="BA463" s="10">
        <f t="shared" ca="1" si="602"/>
        <v>1056.5989736972756</v>
      </c>
      <c r="BB463" s="10">
        <f t="shared" ca="1" si="602"/>
        <v>3112.1651645318348</v>
      </c>
      <c r="BC463" s="10">
        <f t="shared" ca="1" si="602"/>
        <v>1974.5507696821508</v>
      </c>
      <c r="BD463" s="10">
        <f t="shared" ca="1" si="602"/>
        <v>1112.4383359952458</v>
      </c>
      <c r="BE463" s="10">
        <f t="shared" ca="1" si="602"/>
        <v>1121.8816986034972</v>
      </c>
      <c r="BF463" s="10"/>
      <c r="BG463" s="10">
        <f ca="1">SUM(AZ463:BF463)</f>
        <v>12032.481773370811</v>
      </c>
      <c r="BI463" s="10">
        <f t="shared" ref="BI463:BN463" ca="1" si="603">BI$135*$BP456</f>
        <v>1693.5803090693107</v>
      </c>
      <c r="BJ463" s="10">
        <f t="shared" ca="1" si="603"/>
        <v>489.60607632771661</v>
      </c>
      <c r="BK463" s="10">
        <f t="shared" ca="1" si="603"/>
        <v>1442.1128668697697</v>
      </c>
      <c r="BL463" s="10">
        <f t="shared" ca="1" si="603"/>
        <v>914.96592266323103</v>
      </c>
      <c r="BM463" s="10">
        <f t="shared" ca="1" si="603"/>
        <v>515.48088007060187</v>
      </c>
      <c r="BN463" s="10">
        <f t="shared" ca="1" si="603"/>
        <v>519.85673867832611</v>
      </c>
      <c r="BO463" s="10"/>
      <c r="BP463" s="10">
        <f ca="1">SUM(BI463:BO463)</f>
        <v>5575.6027936789551</v>
      </c>
    </row>
    <row r="464" spans="2:68" ht="13.2" customHeight="1">
      <c r="B464" s="309" t="str">
        <f>CONCATENATE("Each fig. in column blocks to right is product of period's % of total exits in Row ",$O$135," times 24-h entries for trip type in Row ",O456,"; except taxicabs, where each fig. is corresp. # of entries for period.")</f>
        <v>Each fig. in column blocks to right is product of period's % of total exits in Row 135 times 24-h entries for trip type in Row 456; except taxicabs, where each fig. is corresp. # of entries for period.</v>
      </c>
      <c r="G464" s="10"/>
      <c r="H464" s="10"/>
      <c r="I464" s="10"/>
      <c r="J464" s="10"/>
      <c r="K464" s="10"/>
      <c r="L464" s="10"/>
      <c r="O464" s="136">
        <f>ROW()</f>
        <v>464</v>
      </c>
    </row>
    <row r="465" spans="2:68" ht="13.2" customHeight="1">
      <c r="B465" s="280" t="s">
        <v>1047</v>
      </c>
      <c r="G465" s="10"/>
      <c r="H465" s="10"/>
      <c r="I465" s="10"/>
      <c r="J465" s="10"/>
      <c r="K465" s="10"/>
      <c r="L465" s="10"/>
      <c r="M465" s="10"/>
      <c r="N465" s="186"/>
      <c r="O465" s="136">
        <f>ROW()</f>
        <v>465</v>
      </c>
      <c r="P465" s="10">
        <f t="shared" ref="P465:U465" ca="1" si="604">P463*$W458/$W456</f>
        <v>26484.403844164135</v>
      </c>
      <c r="Q465" s="10">
        <f t="shared" ca="1" si="604"/>
        <v>7656.5161867911283</v>
      </c>
      <c r="R465" s="10">
        <f t="shared" ca="1" si="604"/>
        <v>22551.927033228865</v>
      </c>
      <c r="S465" s="10">
        <f t="shared" ca="1" si="604"/>
        <v>14308.342432711614</v>
      </c>
      <c r="T465" s="10">
        <f t="shared" ca="1" si="604"/>
        <v>8061.1493465210324</v>
      </c>
      <c r="U465" s="10">
        <f t="shared" ca="1" si="604"/>
        <v>8129.5795271929001</v>
      </c>
      <c r="V465" s="10"/>
      <c r="W465" s="10">
        <f ca="1">SUM(P465:V465)</f>
        <v>87191.918370609666</v>
      </c>
      <c r="Y465" s="10">
        <f t="shared" ref="Y465:AD465" ca="1" si="605">Y463*$AF458/$AF456</f>
        <v>73857.75970390861</v>
      </c>
      <c r="Z465" s="10">
        <f t="shared" ca="1" si="605"/>
        <v>21351.929838424989</v>
      </c>
      <c r="AA465" s="10">
        <f t="shared" ca="1" si="605"/>
        <v>62891.15728188544</v>
      </c>
      <c r="AB465" s="10">
        <f t="shared" ca="1" si="605"/>
        <v>39902.054181571322</v>
      </c>
      <c r="AC465" s="10">
        <f t="shared" ca="1" si="605"/>
        <v>22480.341066988472</v>
      </c>
      <c r="AD465" s="10">
        <f t="shared" ca="1" si="605"/>
        <v>22671.17412746801</v>
      </c>
      <c r="AE465" s="10"/>
      <c r="AF465" s="10">
        <f ca="1">SUM(Y465:AE465)</f>
        <v>243154.41620024684</v>
      </c>
      <c r="AH465" s="10">
        <f t="shared" ref="AH465:AM465" ca="1" si="606">AH463*$AO458/$AO456</f>
        <v>31039.523129760641</v>
      </c>
      <c r="AI465" s="10">
        <f t="shared" ca="1" si="606"/>
        <v>8973.379679288395</v>
      </c>
      <c r="AJ465" s="10">
        <f t="shared" ca="1" si="606"/>
        <v>26430.689733000258</v>
      </c>
      <c r="AK465" s="10">
        <f t="shared" ca="1" si="606"/>
        <v>16769.270265698309</v>
      </c>
      <c r="AL465" s="10">
        <f t="shared" ca="1" si="606"/>
        <v>9447.6067147318245</v>
      </c>
      <c r="AM465" s="10">
        <f t="shared" ca="1" si="606"/>
        <v>9527.8063744348001</v>
      </c>
      <c r="AN465" s="10"/>
      <c r="AO465" s="10">
        <f ca="1">SUM(AH465:AN465)</f>
        <v>102188.27589691422</v>
      </c>
      <c r="AQ465" s="10">
        <f t="shared" ref="AQ465:AV465" ca="1" si="607">AQ463*$AX458/$AX456</f>
        <v>16957.353472850547</v>
      </c>
      <c r="AR465" s="10">
        <f t="shared" ca="1" si="607"/>
        <v>6580.5517538124068</v>
      </c>
      <c r="AS465" s="10">
        <f t="shared" ca="1" si="607"/>
        <v>20680.772450574197</v>
      </c>
      <c r="AT465" s="10">
        <f t="shared" ca="1" si="607"/>
        <v>13331.597979897733</v>
      </c>
      <c r="AU465" s="10">
        <f t="shared" ca="1" si="607"/>
        <v>7870.8889578631479</v>
      </c>
      <c r="AV465" s="10">
        <f t="shared" ca="1" si="607"/>
        <v>6091.5549283191031</v>
      </c>
      <c r="AW465" s="10"/>
      <c r="AX465" s="10">
        <f ca="1">SUM(AQ465:AW465)</f>
        <v>71512.719543317144</v>
      </c>
      <c r="AZ465" s="10">
        <f t="shared" ref="AZ465:BE465" ca="1" si="608">AZ463*$BG458/$BG456</f>
        <v>3771.4505049922</v>
      </c>
      <c r="BA465" s="10">
        <f t="shared" ca="1" si="608"/>
        <v>1090.3085457034836</v>
      </c>
      <c r="BB465" s="10">
        <f t="shared" ca="1" si="608"/>
        <v>3211.4552058063364</v>
      </c>
      <c r="BC465" s="10">
        <f t="shared" ca="1" si="608"/>
        <v>2037.5465353486659</v>
      </c>
      <c r="BD465" s="10">
        <f t="shared" ca="1" si="608"/>
        <v>1147.9293984732622</v>
      </c>
      <c r="BE465" s="10">
        <f t="shared" ca="1" si="608"/>
        <v>1157.6740406774134</v>
      </c>
      <c r="BF465" s="10"/>
      <c r="BG465" s="10">
        <f ca="1">SUM(AZ465:BF465)</f>
        <v>12416.364231001362</v>
      </c>
      <c r="BI465" s="10">
        <f t="shared" ref="BI465:BN465" ca="1" si="609">BI463*$BP458/$BP456</f>
        <v>1774.645822204802</v>
      </c>
      <c r="BJ465" s="10">
        <f t="shared" ca="1" si="609"/>
        <v>513.04173367399983</v>
      </c>
      <c r="BK465" s="10">
        <f t="shared" ca="1" si="609"/>
        <v>1511.1415506151166</v>
      </c>
      <c r="BL465" s="10">
        <f t="shared" ca="1" si="609"/>
        <v>958.76200462343263</v>
      </c>
      <c r="BM465" s="10">
        <f t="shared" ca="1" si="609"/>
        <v>540.15506991012705</v>
      </c>
      <c r="BN465" s="10">
        <f t="shared" ca="1" si="609"/>
        <v>544.7403849112352</v>
      </c>
      <c r="BO465" s="10"/>
      <c r="BP465" s="10">
        <f ca="1">SUM(BI465:BO465)</f>
        <v>5842.4865659387133</v>
      </c>
    </row>
    <row r="466" spans="2:68" ht="13.2" customHeight="1">
      <c r="B466" s="309" t="str">
        <f>CONCATENATE("Each fig. in column blocks to right prorates pre-toll # of exits, in Row ",O463,", by ratio of (i) sum of post-tolls entries for trip type, in Row ",O458," , to (ii) sum of pre-tolls entries for trip type, in Row ",O456,".")</f>
        <v>Each fig. in column blocks to right prorates pre-toll # of exits, in Row 463, by ratio of (i) sum of post-tolls entries for trip type, in Row 458 , to (ii) sum of pre-tolls entries for trip type, in Row 456.</v>
      </c>
      <c r="C466" s="309"/>
      <c r="D466" s="309"/>
      <c r="E466" s="309"/>
      <c r="F466" s="309"/>
      <c r="G466" s="10"/>
      <c r="H466" s="10"/>
      <c r="I466" s="10"/>
      <c r="J466" s="10"/>
      <c r="K466" s="10"/>
      <c r="L466" s="10"/>
      <c r="O466" s="136">
        <f>ROW()</f>
        <v>466</v>
      </c>
    </row>
    <row r="467" spans="2:68" ht="13.2" customHeight="1">
      <c r="B467" s="280" t="s">
        <v>1010</v>
      </c>
      <c r="G467" s="10">
        <f t="shared" ref="G467:M467" ca="1" si="610">P467+Y467+AH467+AQ467+AZ467+BI467</f>
        <v>234268.25107243599</v>
      </c>
      <c r="H467" s="10">
        <f t="shared" ca="1" si="610"/>
        <v>70243.237324004993</v>
      </c>
      <c r="I467" s="10">
        <f t="shared" ca="1" si="610"/>
        <v>208845.39949338237</v>
      </c>
      <c r="J467" s="10">
        <f t="shared" ca="1" si="610"/>
        <v>132820.1338785415</v>
      </c>
      <c r="K467" s="10">
        <f t="shared" ca="1" si="610"/>
        <v>75369.316792923564</v>
      </c>
      <c r="L467" s="10">
        <f t="shared" ca="1" si="610"/>
        <v>73239.89469053346</v>
      </c>
      <c r="M467">
        <f t="shared" si="610"/>
        <v>0</v>
      </c>
      <c r="N467" s="186">
        <f ca="1">SUM(G467:M467)</f>
        <v>794786.23325182195</v>
      </c>
      <c r="O467" s="136">
        <f>ROW()</f>
        <v>467</v>
      </c>
      <c r="P467" s="10">
        <f t="shared" ref="P467:U467" ca="1" si="611">P465*$I$85</f>
        <v>39726.605766246204</v>
      </c>
      <c r="Q467" s="10">
        <f t="shared" ca="1" si="611"/>
        <v>11484.774280186692</v>
      </c>
      <c r="R467" s="10">
        <f t="shared" ca="1" si="611"/>
        <v>33827.890549843301</v>
      </c>
      <c r="S467" s="10">
        <f t="shared" ca="1" si="611"/>
        <v>21462.513649067419</v>
      </c>
      <c r="T467" s="10">
        <f t="shared" ca="1" si="611"/>
        <v>12091.724019781548</v>
      </c>
      <c r="U467" s="10">
        <f t="shared" ca="1" si="611"/>
        <v>12194.369290789349</v>
      </c>
      <c r="V467" s="10"/>
      <c r="W467" s="10">
        <f ca="1">SUM(P467:V467)</f>
        <v>130787.87755591451</v>
      </c>
      <c r="Y467" s="10">
        <f t="shared" ref="Y467:AD467" ca="1" si="612">Y465*$J$85</f>
        <v>110786.63955586292</v>
      </c>
      <c r="Z467" s="10">
        <f t="shared" ca="1" si="612"/>
        <v>32027.894757637485</v>
      </c>
      <c r="AA467" s="10">
        <f t="shared" ca="1" si="612"/>
        <v>94336.735922828157</v>
      </c>
      <c r="AB467" s="10">
        <f t="shared" ca="1" si="612"/>
        <v>59853.081272356983</v>
      </c>
      <c r="AC467" s="10">
        <f t="shared" ca="1" si="612"/>
        <v>33720.511600482707</v>
      </c>
      <c r="AD467" s="10">
        <f t="shared" ca="1" si="612"/>
        <v>34006.761191202015</v>
      </c>
      <c r="AE467" s="10"/>
      <c r="AF467" s="10">
        <f ca="1">SUM(Y467:AE467)</f>
        <v>364731.62430037023</v>
      </c>
      <c r="AH467" s="10">
        <f t="shared" ref="AH467:AM467" ca="1" si="613">AH465*$K$85</f>
        <v>43455.332381664899</v>
      </c>
      <c r="AI467" s="10">
        <f t="shared" ca="1" si="613"/>
        <v>12562.731551003753</v>
      </c>
      <c r="AJ467" s="10">
        <f t="shared" ca="1" si="613"/>
        <v>37002.965626200363</v>
      </c>
      <c r="AK467" s="10">
        <f t="shared" ca="1" si="613"/>
        <v>23476.978371977635</v>
      </c>
      <c r="AL467" s="10">
        <f t="shared" ca="1" si="613"/>
        <v>13226.649400624556</v>
      </c>
      <c r="AM467" s="10">
        <f t="shared" ca="1" si="613"/>
        <v>13338.928924208722</v>
      </c>
      <c r="AN467" s="10"/>
      <c r="AO467" s="10">
        <f ca="1">SUM(AH467:AN467)</f>
        <v>143063.58625567993</v>
      </c>
      <c r="AQ467" s="10">
        <f ca="1">AQ465*$L$85*Taxis!$L$130</f>
        <v>25436.030209275821</v>
      </c>
      <c r="AR467" s="10">
        <f ca="1">AR465*$L$85*Taxis!$L$130</f>
        <v>9870.8276307186097</v>
      </c>
      <c r="AS467" s="10">
        <f ca="1">AS465*$L$85*Taxis!$L$130</f>
        <v>31021.158675861298</v>
      </c>
      <c r="AT467" s="10">
        <f ca="1">AT465*$L$85*Taxis!$L$130</f>
        <v>19997.396969846599</v>
      </c>
      <c r="AU467" s="10">
        <f ca="1">AU465*$L$85*Taxis!$L$130</f>
        <v>11806.333436794721</v>
      </c>
      <c r="AV467" s="10">
        <f ca="1">AV465*$L$85*Taxis!$L$130</f>
        <v>9137.3323924786546</v>
      </c>
      <c r="AW467" s="10"/>
      <c r="AX467" s="10">
        <f ca="1">AX465*$L$85</f>
        <v>143025.43908663429</v>
      </c>
      <c r="AZ467" s="10">
        <f t="shared" ref="AZ467:BE467" ca="1" si="614">AZ465*$M$85</f>
        <v>11314.351514976599</v>
      </c>
      <c r="BA467" s="10">
        <f t="shared" ca="1" si="614"/>
        <v>3270.9256371104507</v>
      </c>
      <c r="BB467" s="10">
        <f t="shared" ca="1" si="614"/>
        <v>9634.3656174190091</v>
      </c>
      <c r="BC467" s="10">
        <f t="shared" ca="1" si="614"/>
        <v>6112.6396060459974</v>
      </c>
      <c r="BD467" s="10">
        <f t="shared" ca="1" si="614"/>
        <v>3443.7881954197865</v>
      </c>
      <c r="BE467" s="10">
        <f t="shared" ca="1" si="614"/>
        <v>3473.0221220322401</v>
      </c>
      <c r="BF467" s="10"/>
      <c r="BG467" s="10">
        <f ca="1">SUM(AZ467:BF467)</f>
        <v>37249.092693004088</v>
      </c>
      <c r="BI467" s="10">
        <f t="shared" ref="BI467:BN467" ca="1" si="615">BI465*$N$85</f>
        <v>3549.291644409604</v>
      </c>
      <c r="BJ467" s="10">
        <f t="shared" ca="1" si="615"/>
        <v>1026.0834673479997</v>
      </c>
      <c r="BK467" s="10">
        <f t="shared" ca="1" si="615"/>
        <v>3022.2831012302331</v>
      </c>
      <c r="BL467" s="10">
        <f t="shared" ca="1" si="615"/>
        <v>1917.5240092468653</v>
      </c>
      <c r="BM467" s="10">
        <f t="shared" ca="1" si="615"/>
        <v>1080.3101398202541</v>
      </c>
      <c r="BN467" s="10">
        <f t="shared" ca="1" si="615"/>
        <v>1089.4807698224704</v>
      </c>
      <c r="BO467" s="10"/>
      <c r="BP467" s="10">
        <f ca="1">SUM(BI467:BO467)</f>
        <v>11684.973131877427</v>
      </c>
    </row>
    <row r="468" spans="2:68" ht="13.2" customHeight="1">
      <c r="B468" s="309" t="str">
        <f>CONCATENATE("Figures in Row ",O467, " are product of trips in Row ",O465, " and CBD miles for that trip type in Row ",O82, " (see column blocks to right).")</f>
        <v>Figures in Row 467 are product of trips in Row 465 and CBD miles for that trip type in Row 82 (see column blocks to right).</v>
      </c>
      <c r="G468" s="10"/>
      <c r="H468" s="10"/>
      <c r="I468" s="10"/>
      <c r="J468" s="10"/>
      <c r="K468" s="10"/>
      <c r="L468" s="10"/>
      <c r="N468" s="186"/>
      <c r="O468" s="136">
        <f>ROW()</f>
        <v>468</v>
      </c>
      <c r="P468" s="10"/>
      <c r="Q468" s="10"/>
      <c r="R468" s="10"/>
      <c r="S468" s="10"/>
      <c r="T468" s="10"/>
      <c r="U468" s="10"/>
      <c r="V468" s="10"/>
      <c r="W468" s="10"/>
      <c r="Y468" s="10"/>
      <c r="Z468" s="10"/>
      <c r="AA468" s="10"/>
      <c r="AB468" s="10"/>
      <c r="AC468" s="10"/>
      <c r="AD468" s="10"/>
      <c r="AE468" s="10"/>
      <c r="AF468" s="10"/>
      <c r="AH468" s="10"/>
      <c r="AI468" s="10"/>
      <c r="AJ468" s="10"/>
      <c r="AK468" s="10"/>
      <c r="AL468" s="10"/>
      <c r="AM468" s="10"/>
      <c r="AN468" s="10"/>
      <c r="AO468" s="10"/>
      <c r="AQ468"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468" s="10"/>
      <c r="AS468" s="10"/>
      <c r="AT468" s="10"/>
      <c r="AU468" s="10"/>
      <c r="AV468" s="10"/>
      <c r="AW468" s="10"/>
      <c r="AX468" s="10"/>
      <c r="AZ468" s="10"/>
      <c r="BA468" s="10"/>
      <c r="BB468" s="10"/>
      <c r="BC468" s="10"/>
      <c r="BD468" s="10"/>
      <c r="BE468" s="10"/>
      <c r="BF468" s="10"/>
      <c r="BG468" s="10"/>
      <c r="BI468" s="10"/>
      <c r="BJ468" s="10"/>
      <c r="BK468" s="10"/>
      <c r="BL468" s="10"/>
      <c r="BM468" s="10"/>
      <c r="BN468" s="10"/>
      <c r="BO468" s="10"/>
      <c r="BP468" s="10"/>
    </row>
    <row r="469" spans="2:68" ht="13.2" customHeight="1">
      <c r="B469" s="280"/>
      <c r="G469" s="10"/>
      <c r="H469" s="10"/>
      <c r="I469" s="10"/>
      <c r="J469" s="10"/>
      <c r="K469" s="10"/>
      <c r="L469" s="10"/>
      <c r="M469" s="10"/>
      <c r="N469" s="186"/>
      <c r="O469" s="136">
        <f>ROW()</f>
        <v>469</v>
      </c>
      <c r="P469" s="10"/>
      <c r="Q469" s="10"/>
      <c r="R469" s="10"/>
      <c r="S469" s="10"/>
      <c r="T469" s="10"/>
      <c r="U469" s="10"/>
      <c r="V469" s="10"/>
      <c r="W469" s="10"/>
      <c r="Y469" s="10"/>
      <c r="Z469" s="10"/>
      <c r="AA469" s="10"/>
      <c r="AB469" s="10"/>
      <c r="AC469" s="10"/>
      <c r="AD469" s="10"/>
      <c r="AE469" s="10"/>
      <c r="AF469" s="10"/>
      <c r="AH469" s="10"/>
      <c r="AI469" s="10"/>
      <c r="AJ469" s="10"/>
      <c r="AK469" s="10"/>
      <c r="AL469" s="10"/>
      <c r="AM469" s="10"/>
      <c r="AN469" s="10"/>
      <c r="AO469" s="10"/>
      <c r="AQ469" s="282"/>
      <c r="AR469" s="10"/>
      <c r="AS469" s="10"/>
      <c r="AT469" s="10"/>
      <c r="AU469" s="10"/>
      <c r="AV469" s="10"/>
      <c r="AW469" s="10"/>
      <c r="AX469" s="10"/>
      <c r="AZ469" s="10"/>
      <c r="BA469" s="10"/>
      <c r="BB469" s="10"/>
      <c r="BC469" s="10"/>
      <c r="BD469" s="10"/>
      <c r="BE469" s="10"/>
      <c r="BF469" s="10"/>
      <c r="BG469" s="10"/>
      <c r="BI469" s="10"/>
      <c r="BJ469" s="10"/>
      <c r="BK469" s="10"/>
      <c r="BL469" s="10"/>
      <c r="BM469" s="10"/>
      <c r="BN469" s="10"/>
      <c r="BO469" s="10"/>
      <c r="BP469" s="10"/>
    </row>
    <row r="470" spans="2:68" ht="13.2" customHeight="1">
      <c r="B470" s="308" t="s">
        <v>2760</v>
      </c>
      <c r="G470" s="10"/>
      <c r="H470" s="10"/>
      <c r="I470" s="10"/>
      <c r="J470" s="10"/>
      <c r="K470" s="10"/>
      <c r="L470" s="10"/>
      <c r="O470" s="136">
        <f>ROW()</f>
        <v>470</v>
      </c>
      <c r="P470" s="309" t="str">
        <f>CONCATENATE("Figs. in Row ",O471, " repeat figs. for same column in Row ",$O$143, "; figs. in Row ",O472, " multiply those figs. by intra-cordon rebound factor in Row ",O442,".")</f>
        <v>Figs. in Row 471 repeat figs. for same column in Row 143; figs. in Row 472 multiply those figs. by intra-cordon rebound factor in Row 442.</v>
      </c>
      <c r="AQ470" s="265" t="str">
        <f>CONCATENATE("Row ",O472, " figures are set equal to ",O471, " figures, since rebound effects are presumed accounted for by taxi time-elasticity.")</f>
        <v>Row 472 figures are set equal to 471 figures, since rebound effects are presumed accounted for by taxi time-elasticity.</v>
      </c>
    </row>
    <row r="471" spans="2:68" s="1122" customFormat="1" ht="13.2" customHeight="1">
      <c r="B471" s="1194" t="s">
        <v>1048</v>
      </c>
      <c r="G471" s="1122">
        <f t="shared" ref="G471:M473" si="616">P471+Y471+AH471+AQ471+AZ471+BI471</f>
        <v>488668.42365008855</v>
      </c>
      <c r="H471" s="1122">
        <f t="shared" si="616"/>
        <v>114191.67987211252</v>
      </c>
      <c r="I471" s="1122">
        <f t="shared" si="616"/>
        <v>318108.74214517971</v>
      </c>
      <c r="J471" s="1122">
        <f t="shared" si="616"/>
        <v>201423.41546546743</v>
      </c>
      <c r="K471" s="1122">
        <f t="shared" si="616"/>
        <v>127839.85484274241</v>
      </c>
      <c r="L471" s="1122">
        <f t="shared" si="616"/>
        <v>121759.32724785243</v>
      </c>
      <c r="M471" s="1122">
        <f t="shared" si="616"/>
        <v>0</v>
      </c>
      <c r="N471" s="1127">
        <f>SUM(G471:M471)</f>
        <v>1371991.4432234431</v>
      </c>
      <c r="O471" s="136">
        <f>ROW()</f>
        <v>471</v>
      </c>
      <c r="P471" s="1122">
        <f t="shared" ref="P471:U471" si="617">P143</f>
        <v>10701.73159643966</v>
      </c>
      <c r="Q471" s="1122">
        <f t="shared" si="617"/>
        <v>3558.1597371604262</v>
      </c>
      <c r="R471" s="1122">
        <f t="shared" si="617"/>
        <v>10839.544282547431</v>
      </c>
      <c r="S471" s="1122">
        <f t="shared" si="617"/>
        <v>6935.5019358162717</v>
      </c>
      <c r="T471" s="1122">
        <f t="shared" si="617"/>
        <v>4006.9906014046105</v>
      </c>
      <c r="U471" s="1122">
        <f t="shared" si="617"/>
        <v>3530.2147037744498</v>
      </c>
      <c r="W471" s="1122">
        <f>SUM(P471:V471)</f>
        <v>39572.142857142848</v>
      </c>
      <c r="Y471" s="1122">
        <f t="shared" ref="Y471:AD471" si="618">Y143</f>
        <v>32105.194789318979</v>
      </c>
      <c r="Z471" s="1122">
        <f t="shared" si="618"/>
        <v>10674.479211481277</v>
      </c>
      <c r="AA471" s="1122">
        <f t="shared" si="618"/>
        <v>32518.63284764229</v>
      </c>
      <c r="AB471" s="1122">
        <f t="shared" si="618"/>
        <v>20806.505807448815</v>
      </c>
      <c r="AC471" s="1122">
        <f t="shared" si="618"/>
        <v>12020.97180421383</v>
      </c>
      <c r="AD471" s="1122">
        <f t="shared" si="618"/>
        <v>10590.644111323349</v>
      </c>
      <c r="AF471" s="1122">
        <f>SUM(Y471:AE471)</f>
        <v>118716.42857142854</v>
      </c>
      <c r="AH471" s="1122">
        <f t="shared" ref="AH471:AM471" si="619">AH143</f>
        <v>0</v>
      </c>
      <c r="AI471" s="1122">
        <f t="shared" si="619"/>
        <v>0</v>
      </c>
      <c r="AJ471" s="1122">
        <f t="shared" si="619"/>
        <v>0</v>
      </c>
      <c r="AK471" s="1122">
        <f t="shared" si="619"/>
        <v>0</v>
      </c>
      <c r="AL471" s="1122">
        <f t="shared" si="619"/>
        <v>0</v>
      </c>
      <c r="AM471" s="1122">
        <f t="shared" si="619"/>
        <v>0</v>
      </c>
      <c r="AO471" s="1122">
        <f>SUM(AH471:AN471)</f>
        <v>0</v>
      </c>
      <c r="AQ471" s="1122">
        <f t="shared" ref="AQ471:AV471" si="620">AQ143</f>
        <v>438656.72193199908</v>
      </c>
      <c r="AR471" s="1122">
        <f t="shared" si="620"/>
        <v>97563.564894963914</v>
      </c>
      <c r="AS471" s="1122">
        <f t="shared" si="620"/>
        <v>267453.00942252984</v>
      </c>
      <c r="AT471" s="1122">
        <f t="shared" si="620"/>
        <v>169012.18827727382</v>
      </c>
      <c r="AU471" s="1122">
        <f t="shared" si="620"/>
        <v>109114.24796886933</v>
      </c>
      <c r="AV471" s="1122">
        <f t="shared" si="620"/>
        <v>105261.8059659023</v>
      </c>
      <c r="AX471" s="1122">
        <f>SUM(AQ471:AW471)</f>
        <v>1187061.5384615383</v>
      </c>
      <c r="AZ471" s="1122">
        <f t="shared" ref="AZ471:BE471" si="621">AZ143</f>
        <v>4118.1992428081885</v>
      </c>
      <c r="BA471" s="1122">
        <f t="shared" si="621"/>
        <v>1369.2373615723645</v>
      </c>
      <c r="BB471" s="1122">
        <f t="shared" si="621"/>
        <v>4171.2317912760636</v>
      </c>
      <c r="BC471" s="1122">
        <f t="shared" si="621"/>
        <v>2668.8932125783699</v>
      </c>
      <c r="BD471" s="1122">
        <f t="shared" si="621"/>
        <v>1541.954730590877</v>
      </c>
      <c r="BE471" s="1122">
        <f t="shared" si="621"/>
        <v>1358.4836611741352</v>
      </c>
      <c r="BG471" s="1122">
        <f>SUM(AZ471:BF471)</f>
        <v>15227.999999999998</v>
      </c>
      <c r="BI471" s="1122">
        <f t="shared" ref="BI471:BN471" si="622">BI143</f>
        <v>3086.5760895226422</v>
      </c>
      <c r="BJ471" s="1122">
        <f t="shared" si="622"/>
        <v>1026.2386669345453</v>
      </c>
      <c r="BK471" s="1122">
        <f t="shared" si="622"/>
        <v>3126.3238011840567</v>
      </c>
      <c r="BL471" s="1122">
        <f t="shared" si="622"/>
        <v>2000.3262323501315</v>
      </c>
      <c r="BM471" s="1122">
        <f t="shared" si="622"/>
        <v>1155.6897376637694</v>
      </c>
      <c r="BN471" s="1122">
        <f t="shared" si="622"/>
        <v>1018.1788056781892</v>
      </c>
      <c r="BP471" s="1122">
        <f>SUM(BI471:BO471)</f>
        <v>11413.333333333336</v>
      </c>
    </row>
    <row r="472" spans="2:68" s="1122" customFormat="1" ht="13.2" customHeight="1">
      <c r="B472" s="1194" t="s">
        <v>1049</v>
      </c>
      <c r="D472" s="4359" t="s">
        <v>896</v>
      </c>
      <c r="E472" s="4151"/>
      <c r="F472" s="4152"/>
      <c r="G472" s="1122">
        <f t="shared" ca="1" si="616"/>
        <v>490185.36258718179</v>
      </c>
      <c r="H472" s="1122">
        <f t="shared" ca="1" si="616"/>
        <v>116192.01050584725</v>
      </c>
      <c r="I472" s="1122">
        <f t="shared" ca="1" si="616"/>
        <v>327109.92594723776</v>
      </c>
      <c r="J472" s="1122">
        <f t="shared" ca="1" si="616"/>
        <v>207516.79415091811</v>
      </c>
      <c r="K472" s="1122">
        <f t="shared" ca="1" si="616"/>
        <v>131331.01509930097</v>
      </c>
      <c r="L472" s="1122">
        <f t="shared" ca="1" si="616"/>
        <v>124476.12282759167</v>
      </c>
      <c r="N472" s="1127">
        <f ca="1">SUM(G472:M472)</f>
        <v>1396811.2311180774</v>
      </c>
      <c r="O472" s="136">
        <f>ROW()</f>
        <v>472</v>
      </c>
      <c r="P472" s="1122">
        <f t="shared" ref="P472:U472" ca="1" si="623">P471*P442</f>
        <v>11092.197856973558</v>
      </c>
      <c r="Q472" s="1122">
        <f t="shared" ca="1" si="623"/>
        <v>4039.6195736980167</v>
      </c>
      <c r="R472" s="1122">
        <f t="shared" ca="1" si="623"/>
        <v>12991.333476684047</v>
      </c>
      <c r="S472" s="1122">
        <f t="shared" ca="1" si="623"/>
        <v>8391.0999709091375</v>
      </c>
      <c r="T472" s="1122">
        <f t="shared" ca="1" si="623"/>
        <v>4841.0528040646332</v>
      </c>
      <c r="U472" s="1122">
        <f t="shared" ca="1" si="623"/>
        <v>4180.3819897862504</v>
      </c>
      <c r="W472" s="1122">
        <f ca="1">SUM(P472:V472)</f>
        <v>45535.685672115644</v>
      </c>
      <c r="Y472" s="1122">
        <f t="shared" ref="Y472:AD472" ca="1" si="624">Y471*Y442</f>
        <v>33276.593570920675</v>
      </c>
      <c r="Z472" s="1122">
        <f t="shared" ca="1" si="624"/>
        <v>12118.858721094048</v>
      </c>
      <c r="AA472" s="1122">
        <f t="shared" ca="1" si="624"/>
        <v>38974.00043005214</v>
      </c>
      <c r="AB472" s="1122">
        <f t="shared" ca="1" si="624"/>
        <v>25173.299912727412</v>
      </c>
      <c r="AC472" s="1122">
        <f t="shared" ca="1" si="624"/>
        <v>14523.158412193898</v>
      </c>
      <c r="AD472" s="1122">
        <f t="shared" ca="1" si="624"/>
        <v>12541.145969358749</v>
      </c>
      <c r="AF472" s="1122">
        <f ca="1">SUM(Y472:AE472)</f>
        <v>136607.05701634692</v>
      </c>
      <c r="AH472" s="1122">
        <f t="shared" ref="AH472:AM472" ca="1" si="625">AH471*AH442</f>
        <v>0</v>
      </c>
      <c r="AI472" s="1122">
        <f t="shared" ca="1" si="625"/>
        <v>0</v>
      </c>
      <c r="AJ472" s="1122">
        <f t="shared" ca="1" si="625"/>
        <v>0</v>
      </c>
      <c r="AK472" s="1122">
        <f t="shared" ca="1" si="625"/>
        <v>0</v>
      </c>
      <c r="AL472" s="1122">
        <f t="shared" ca="1" si="625"/>
        <v>0</v>
      </c>
      <c r="AM472" s="1122">
        <f t="shared" ca="1" si="625"/>
        <v>0</v>
      </c>
      <c r="AO472" s="1122">
        <f ca="1">SUM(AH472:AN472)</f>
        <v>0</v>
      </c>
      <c r="AQ472" s="1122">
        <f t="shared" ref="AQ472:AV472" si="626">AQ471</f>
        <v>438656.72193199908</v>
      </c>
      <c r="AR472" s="1122">
        <f t="shared" si="626"/>
        <v>97563.564894963914</v>
      </c>
      <c r="AS472" s="1122">
        <f t="shared" si="626"/>
        <v>267453.00942252984</v>
      </c>
      <c r="AT472" s="1122">
        <f t="shared" si="626"/>
        <v>169012.18827727382</v>
      </c>
      <c r="AU472" s="1122">
        <f t="shared" si="626"/>
        <v>109114.24796886933</v>
      </c>
      <c r="AV472" s="1122">
        <f t="shared" si="626"/>
        <v>105261.8059659023</v>
      </c>
      <c r="AX472" s="1122">
        <f>SUM(AQ472:AW472)</f>
        <v>1187061.5384615383</v>
      </c>
      <c r="AZ472" s="1122">
        <f t="shared" ref="AZ472:BE472" ca="1" si="627">AZ471*AZ442</f>
        <v>4097.0356276467546</v>
      </c>
      <c r="BA472" s="1122">
        <f t="shared" ca="1" si="627"/>
        <v>1404.1870118395673</v>
      </c>
      <c r="BB472" s="1122">
        <f t="shared" ca="1" si="627"/>
        <v>4355.6512036092527</v>
      </c>
      <c r="BC472" s="1122">
        <f t="shared" ca="1" si="627"/>
        <v>2795.6710225013544</v>
      </c>
      <c r="BD472" s="1122">
        <f t="shared" ca="1" si="627"/>
        <v>1614.4328682157804</v>
      </c>
      <c r="BE472" s="1122">
        <f t="shared" ca="1" si="627"/>
        <v>1412.864687426191</v>
      </c>
      <c r="BG472" s="1122">
        <f ca="1">SUM(AZ472:BF472)</f>
        <v>15679.8424212389</v>
      </c>
      <c r="BI472" s="1122">
        <f t="shared" ref="BI472:BN472" ca="1" si="628">BI471*BI442</f>
        <v>3062.8135996416772</v>
      </c>
      <c r="BJ472" s="1122">
        <f t="shared" ca="1" si="628"/>
        <v>1065.7803042516971</v>
      </c>
      <c r="BK472" s="1122">
        <f t="shared" ca="1" si="628"/>
        <v>3335.9314143624829</v>
      </c>
      <c r="BL472" s="1122">
        <f t="shared" ca="1" si="628"/>
        <v>2144.5349675063926</v>
      </c>
      <c r="BM472" s="1122">
        <f t="shared" ca="1" si="628"/>
        <v>1238.1230459573367</v>
      </c>
      <c r="BN472" s="1122">
        <f t="shared" ca="1" si="628"/>
        <v>1079.9242151181618</v>
      </c>
      <c r="BP472" s="1122">
        <f ca="1">SUM(BI472:BO472)</f>
        <v>11927.107546837749</v>
      </c>
    </row>
    <row r="473" spans="2:68" ht="13.2" customHeight="1">
      <c r="B473" s="957" t="s">
        <v>1880</v>
      </c>
      <c r="D473" s="4164"/>
      <c r="E473" s="4165"/>
      <c r="F473" s="4166"/>
      <c r="G473" s="10">
        <f t="shared" ca="1" si="616"/>
        <v>1516.9389370931954</v>
      </c>
      <c r="H473" s="10">
        <f t="shared" ca="1" si="616"/>
        <v>2000.3306337347155</v>
      </c>
      <c r="I473" s="10">
        <f t="shared" ca="1" si="616"/>
        <v>9001.1838020580817</v>
      </c>
      <c r="J473" s="10">
        <f t="shared" ca="1" si="616"/>
        <v>6093.3786854507089</v>
      </c>
      <c r="K473" s="10">
        <f t="shared" ca="1" si="616"/>
        <v>3491.1602565585608</v>
      </c>
      <c r="L473" s="10">
        <f t="shared" ca="1" si="616"/>
        <v>2716.7955797392297</v>
      </c>
      <c r="N473" s="186">
        <f ca="1">W473+AF473+AO473+AX473+BG473+BP473</f>
        <v>24819.787894634497</v>
      </c>
      <c r="O473" s="136">
        <f>ROW()</f>
        <v>473</v>
      </c>
      <c r="P473" s="10">
        <f t="shared" ref="P473:W473" ca="1" si="629">P472-P471</f>
        <v>390.46626053389809</v>
      </c>
      <c r="Q473" s="10">
        <f t="shared" ca="1" si="629"/>
        <v>481.45983653759049</v>
      </c>
      <c r="R473" s="10">
        <f t="shared" ca="1" si="629"/>
        <v>2151.7891941366161</v>
      </c>
      <c r="S473" s="10">
        <f t="shared" ca="1" si="629"/>
        <v>1455.5980350928658</v>
      </c>
      <c r="T473" s="10">
        <f t="shared" ca="1" si="629"/>
        <v>834.06220266002265</v>
      </c>
      <c r="U473" s="10">
        <f t="shared" ca="1" si="629"/>
        <v>650.16728601180057</v>
      </c>
      <c r="V473" s="10"/>
      <c r="W473" s="138">
        <f t="shared" ca="1" si="629"/>
        <v>5963.5428149727959</v>
      </c>
      <c r="Y473" s="10">
        <f t="shared" ref="Y473:AF473" ca="1" si="630">Y472-Y471</f>
        <v>1171.3987816016961</v>
      </c>
      <c r="Z473" s="10">
        <f t="shared" ca="1" si="630"/>
        <v>1444.3795096127706</v>
      </c>
      <c r="AA473" s="10">
        <f t="shared" ca="1" si="630"/>
        <v>6455.36758240985</v>
      </c>
      <c r="AB473" s="10">
        <f t="shared" ca="1" si="630"/>
        <v>4366.7941052785973</v>
      </c>
      <c r="AC473" s="10">
        <f t="shared" ca="1" si="630"/>
        <v>2502.1866079800675</v>
      </c>
      <c r="AD473" s="10">
        <f t="shared" ca="1" si="630"/>
        <v>1950.5018580354008</v>
      </c>
      <c r="AE473" s="10"/>
      <c r="AF473" s="138">
        <f t="shared" ca="1" si="630"/>
        <v>17890.628444918388</v>
      </c>
      <c r="AH473" s="10">
        <f t="shared" ref="AH473:AO473" ca="1" si="631">AH472-AH471</f>
        <v>0</v>
      </c>
      <c r="AI473" s="10">
        <f t="shared" ca="1" si="631"/>
        <v>0</v>
      </c>
      <c r="AJ473" s="10">
        <f t="shared" ca="1" si="631"/>
        <v>0</v>
      </c>
      <c r="AK473" s="10">
        <f t="shared" ca="1" si="631"/>
        <v>0</v>
      </c>
      <c r="AL473" s="10">
        <f t="shared" ca="1" si="631"/>
        <v>0</v>
      </c>
      <c r="AM473" s="10">
        <f t="shared" ca="1" si="631"/>
        <v>0</v>
      </c>
      <c r="AN473" s="10"/>
      <c r="AO473" s="138">
        <f t="shared" ca="1" si="631"/>
        <v>0</v>
      </c>
      <c r="AQ473" s="10">
        <f t="shared" ref="AQ473:AX473" si="632">AQ472-AQ471</f>
        <v>0</v>
      </c>
      <c r="AR473" s="10">
        <f t="shared" si="632"/>
        <v>0</v>
      </c>
      <c r="AS473" s="10">
        <f t="shared" si="632"/>
        <v>0</v>
      </c>
      <c r="AT473" s="10">
        <f t="shared" si="632"/>
        <v>0</v>
      </c>
      <c r="AU473" s="10">
        <f t="shared" si="632"/>
        <v>0</v>
      </c>
      <c r="AV473" s="10">
        <f t="shared" si="632"/>
        <v>0</v>
      </c>
      <c r="AW473" s="10"/>
      <c r="AX473" s="138">
        <f t="shared" si="632"/>
        <v>0</v>
      </c>
      <c r="AZ473" s="10">
        <f t="shared" ref="AZ473:BG473" ca="1" si="633">AZ472-AZ471</f>
        <v>-21.163615161433881</v>
      </c>
      <c r="BA473" s="10">
        <f t="shared" ca="1" si="633"/>
        <v>34.949650267202742</v>
      </c>
      <c r="BB473" s="10">
        <f t="shared" ca="1" si="633"/>
        <v>184.41941233318903</v>
      </c>
      <c r="BC473" s="10">
        <f t="shared" ca="1" si="633"/>
        <v>126.77780992298449</v>
      </c>
      <c r="BD473" s="10">
        <f t="shared" ca="1" si="633"/>
        <v>72.478137624903411</v>
      </c>
      <c r="BE473" s="10">
        <f t="shared" ca="1" si="633"/>
        <v>54.38102625205579</v>
      </c>
      <c r="BF473" s="10"/>
      <c r="BG473" s="138">
        <f t="shared" ca="1" si="633"/>
        <v>451.84242123890181</v>
      </c>
      <c r="BI473" s="10">
        <f t="shared" ref="BI473:BP473" ca="1" si="634">BI472-BI471</f>
        <v>-23.762489880964949</v>
      </c>
      <c r="BJ473" s="10">
        <f t="shared" ca="1" si="634"/>
        <v>39.541637317151753</v>
      </c>
      <c r="BK473" s="10">
        <f t="shared" ca="1" si="634"/>
        <v>209.60761317842616</v>
      </c>
      <c r="BL473" s="10">
        <f t="shared" ca="1" si="634"/>
        <v>144.20873515626113</v>
      </c>
      <c r="BM473" s="10">
        <f t="shared" ca="1" si="634"/>
        <v>82.433308293567279</v>
      </c>
      <c r="BN473" s="10">
        <f t="shared" ca="1" si="634"/>
        <v>61.745409439972605</v>
      </c>
      <c r="BO473" s="10"/>
      <c r="BP473" s="138">
        <f t="shared" ca="1" si="634"/>
        <v>513.77421350441364</v>
      </c>
    </row>
    <row r="474" spans="2:68" ht="13.2" customHeight="1">
      <c r="G474" s="10"/>
      <c r="H474" s="10"/>
      <c r="I474" s="10"/>
      <c r="J474" s="10"/>
      <c r="K474" s="10"/>
      <c r="L474" s="10"/>
      <c r="N474" s="10"/>
      <c r="O474" s="136">
        <f>ROW()</f>
        <v>474</v>
      </c>
      <c r="P474" s="309" t="str">
        <f>CONCATENATE("Figs. in Row ",O475, " repeat figs. for same column in Row ",O383, ".")</f>
        <v>Figs. in Row 475 repeat figs. for same column in Row 383.</v>
      </c>
      <c r="AQ474" s="265" t="str">
        <f>CONCATENATE("Row ",O476, " figures are set equal to ",O475, " figures, since rebound effects are presumed accounted for by taxi time-elasticity.")</f>
        <v>Row 476 figures are set equal to 475 figures, since rebound effects are presumed accounted for by taxi time-elasticity.</v>
      </c>
    </row>
    <row r="475" spans="2:68" ht="13.2" customHeight="1">
      <c r="B475" s="308" t="s">
        <v>1050</v>
      </c>
      <c r="G475" s="10">
        <f t="shared" ref="G475:N476" ca="1" si="635">P475+Y475+AH475+AQ475+AZ475+BI475</f>
        <v>881422.3063002103</v>
      </c>
      <c r="H475" s="10">
        <f t="shared" ca="1" si="635"/>
        <v>249214.6813441024</v>
      </c>
      <c r="I475" s="10">
        <f t="shared" ca="1" si="635"/>
        <v>740954.44386343623</v>
      </c>
      <c r="J475" s="10">
        <f t="shared" ca="1" si="635"/>
        <v>476581.62192143674</v>
      </c>
      <c r="K475" s="10">
        <f t="shared" ca="1" si="635"/>
        <v>278976.91334427794</v>
      </c>
      <c r="L475" s="10">
        <f t="shared" ca="1" si="635"/>
        <v>245394.37066915768</v>
      </c>
      <c r="N475" s="186">
        <f t="shared" ca="1" si="635"/>
        <v>2872544.3374426207</v>
      </c>
      <c r="O475" s="136">
        <f>ROW()</f>
        <v>475</v>
      </c>
      <c r="P475" s="10">
        <f t="shared" ref="P475:U475" ca="1" si="636">P383</f>
        <v>82024.656708216469</v>
      </c>
      <c r="Q475" s="10">
        <f t="shared" ca="1" si="636"/>
        <v>27162.302007548249</v>
      </c>
      <c r="R475" s="10">
        <f t="shared" ca="1" si="636"/>
        <v>76572.736667609162</v>
      </c>
      <c r="S475" s="10">
        <f t="shared" ca="1" si="636"/>
        <v>40021.244327445587</v>
      </c>
      <c r="T475" s="10">
        <f t="shared" ca="1" si="636"/>
        <v>27410.975784782335</v>
      </c>
      <c r="U475" s="10">
        <f t="shared" ca="1" si="636"/>
        <v>21361.150910330085</v>
      </c>
      <c r="V475" s="10"/>
      <c r="W475" s="10">
        <f ca="1">SUM(P475:V475)</f>
        <v>274553.06640593184</v>
      </c>
      <c r="Y475" s="10">
        <f t="shared" ref="Y475:AD475" ca="1" si="637">Y383</f>
        <v>186517.57852692774</v>
      </c>
      <c r="Z475" s="10">
        <f t="shared" ca="1" si="637"/>
        <v>64293.756567947596</v>
      </c>
      <c r="AA475" s="10">
        <f t="shared" ca="1" si="637"/>
        <v>219256.44772061007</v>
      </c>
      <c r="AB475" s="10">
        <f t="shared" ca="1" si="637"/>
        <v>154826.64139263419</v>
      </c>
      <c r="AC475" s="10">
        <f t="shared" ca="1" si="637"/>
        <v>78927.027637838881</v>
      </c>
      <c r="AD475" s="10">
        <f t="shared" ca="1" si="637"/>
        <v>66313.437463550596</v>
      </c>
      <c r="AE475" s="10"/>
      <c r="AF475" s="10">
        <f ca="1">SUM(Y475:AE475)</f>
        <v>770134.88930950896</v>
      </c>
      <c r="AH475" s="10">
        <f t="shared" ref="AH475:AM475" ca="1" si="638">AH383</f>
        <v>76786.314723639531</v>
      </c>
      <c r="AI475" s="10">
        <f t="shared" ca="1" si="638"/>
        <v>25664.837830210108</v>
      </c>
      <c r="AJ475" s="10">
        <f t="shared" ca="1" si="638"/>
        <v>70957.404412757707</v>
      </c>
      <c r="AK475" s="10">
        <f t="shared" ca="1" si="638"/>
        <v>44150.603436222256</v>
      </c>
      <c r="AL475" s="10">
        <f t="shared" ca="1" si="638"/>
        <v>23143.109143813384</v>
      </c>
      <c r="AM475" s="10">
        <f t="shared" ca="1" si="638"/>
        <v>19452.844645524823</v>
      </c>
      <c r="AN475" s="10"/>
      <c r="AO475" s="10">
        <f ca="1">SUM(AH475:AN475)</f>
        <v>260155.11419216779</v>
      </c>
      <c r="AQ475" s="1122">
        <f t="shared" ref="AQ475:AV475" ca="1" si="639">AQ383*(1+$AX$312)</f>
        <v>502998.12881102966</v>
      </c>
      <c r="AR475" s="1122">
        <f t="shared" ca="1" si="639"/>
        <v>121090.0808527504</v>
      </c>
      <c r="AS475" s="1122">
        <f t="shared" ca="1" si="639"/>
        <v>340612.84032427327</v>
      </c>
      <c r="AT475" s="1122">
        <f t="shared" ca="1" si="639"/>
        <v>216106.30800953342</v>
      </c>
      <c r="AU475" s="1122">
        <f t="shared" ca="1" si="639"/>
        <v>137103.48933382597</v>
      </c>
      <c r="AV475" s="1122">
        <f t="shared" ca="1" si="639"/>
        <v>127336.74860206751</v>
      </c>
      <c r="AW475" s="1122"/>
      <c r="AX475" s="10">
        <f ca="1">SUM(AQ475:AW475)</f>
        <v>1445247.5959334802</v>
      </c>
      <c r="AZ475" s="10">
        <f t="shared" ref="AZ475:BE475" ca="1" si="640">AZ383</f>
        <v>23980.440067440777</v>
      </c>
      <c r="BA475" s="10">
        <f t="shared" ca="1" si="640"/>
        <v>7973.460842915375</v>
      </c>
      <c r="BB475" s="10">
        <f t="shared" ca="1" si="640"/>
        <v>24317.55233810459</v>
      </c>
      <c r="BC475" s="10">
        <f t="shared" ca="1" si="640"/>
        <v>15565.01732942086</v>
      </c>
      <c r="BD475" s="10">
        <f t="shared" ca="1" si="640"/>
        <v>8979.7175361801674</v>
      </c>
      <c r="BE475" s="10">
        <f t="shared" ca="1" si="640"/>
        <v>7921.7389794214678</v>
      </c>
      <c r="BF475" s="10"/>
      <c r="BG475" s="10">
        <f ca="1">SUM(AZ475:BF475)</f>
        <v>88737.927093483231</v>
      </c>
      <c r="BI475" s="10">
        <f t="shared" ref="BI475:BN475" ca="1" si="641">BI383</f>
        <v>9115.1874629562008</v>
      </c>
      <c r="BJ475" s="10">
        <f t="shared" ca="1" si="641"/>
        <v>3030.2432427306803</v>
      </c>
      <c r="BK475" s="10">
        <f t="shared" ca="1" si="641"/>
        <v>9237.4624000813674</v>
      </c>
      <c r="BL475" s="10">
        <f t="shared" ca="1" si="641"/>
        <v>5911.8074261805241</v>
      </c>
      <c r="BM475" s="10">
        <f t="shared" ca="1" si="641"/>
        <v>3412.5939078372076</v>
      </c>
      <c r="BN475" s="10">
        <f t="shared" ca="1" si="641"/>
        <v>3008.4500682631779</v>
      </c>
      <c r="BO475" s="10"/>
      <c r="BP475" s="10">
        <f ca="1">SUM(BI475:BO475)</f>
        <v>33715.74450804916</v>
      </c>
    </row>
    <row r="476" spans="2:68" ht="13.2" customHeight="1">
      <c r="B476" s="308" t="s">
        <v>540</v>
      </c>
      <c r="G476" s="10">
        <f t="shared" ca="1" si="635"/>
        <v>908799.06798192521</v>
      </c>
      <c r="H476" s="10">
        <f t="shared" ca="1" si="635"/>
        <v>264246.59200217179</v>
      </c>
      <c r="I476" s="10">
        <f t="shared" ca="1" si="635"/>
        <v>789677.76079372247</v>
      </c>
      <c r="J476" s="10">
        <f t="shared" ca="1" si="635"/>
        <v>507609.09347659216</v>
      </c>
      <c r="K476" s="10">
        <f t="shared" ca="1" si="635"/>
        <v>299327.24632766313</v>
      </c>
      <c r="L476" s="10">
        <f t="shared" ca="1" si="635"/>
        <v>260371.83588163709</v>
      </c>
      <c r="N476" s="186">
        <f t="shared" ca="1" si="635"/>
        <v>3030031.5964637119</v>
      </c>
      <c r="O476" s="136">
        <f>ROW()</f>
        <v>476</v>
      </c>
      <c r="P476" s="10">
        <f t="shared" ref="P476:U476" ca="1" si="642">P460+P467+P472</f>
        <v>88590.630495105928</v>
      </c>
      <c r="Q476" s="10">
        <f t="shared" ca="1" si="642"/>
        <v>30420.222637529096</v>
      </c>
      <c r="R476" s="10">
        <f t="shared" ca="1" si="642"/>
        <v>86986.39414387288</v>
      </c>
      <c r="S476" s="10">
        <f t="shared" ca="1" si="642"/>
        <v>45660.761026847744</v>
      </c>
      <c r="T476" s="10">
        <f t="shared" ca="1" si="642"/>
        <v>31371.345830791957</v>
      </c>
      <c r="U476" s="10">
        <f t="shared" ca="1" si="642"/>
        <v>24082.086649797056</v>
      </c>
      <c r="V476" s="10"/>
      <c r="W476" s="10">
        <f ca="1">SUM(P476:V476)</f>
        <v>307111.44078394468</v>
      </c>
      <c r="Y476" s="10">
        <f t="shared" ref="Y476:AD476" ca="1" si="643">Y460+Y467+Y472</f>
        <v>200812.00765863003</v>
      </c>
      <c r="Z476" s="10">
        <f t="shared" ca="1" si="643"/>
        <v>72312.016262015095</v>
      </c>
      <c r="AA476" s="10">
        <f t="shared" ca="1" si="643"/>
        <v>250285.93147852612</v>
      </c>
      <c r="AB476" s="10">
        <f t="shared" ca="1" si="643"/>
        <v>176867.35905784133</v>
      </c>
      <c r="AC476" s="10">
        <f t="shared" ca="1" si="643"/>
        <v>90883.182743698038</v>
      </c>
      <c r="AD476" s="10">
        <f t="shared" ca="1" si="643"/>
        <v>74909.808416376953</v>
      </c>
      <c r="AE476" s="10"/>
      <c r="AF476" s="10">
        <f ca="1">SUM(Y476:AE476)</f>
        <v>866070.30561708752</v>
      </c>
      <c r="AH476" s="10">
        <f t="shared" ref="AH476:AM476" ca="1" si="644">AH460+AH467+AH472</f>
        <v>83027.487175214454</v>
      </c>
      <c r="AI476" s="10">
        <f t="shared" ca="1" si="644"/>
        <v>29160.866262162723</v>
      </c>
      <c r="AJ476" s="10">
        <f t="shared" ca="1" si="644"/>
        <v>77184.477334406605</v>
      </c>
      <c r="AK476" s="10">
        <f t="shared" ca="1" si="644"/>
        <v>46795.850005093846</v>
      </c>
      <c r="AL476" s="10">
        <f t="shared" ca="1" si="644"/>
        <v>27162.502478365906</v>
      </c>
      <c r="AM476" s="10">
        <f t="shared" ca="1" si="644"/>
        <v>22795.989256116292</v>
      </c>
      <c r="AN476" s="10"/>
      <c r="AO476" s="10">
        <f ca="1">SUM(AH476:AN476)</f>
        <v>286127.17251135979</v>
      </c>
      <c r="AQ476" s="1122">
        <f t="shared" ref="AQ476:AV476" ca="1" si="645">AQ475</f>
        <v>502998.12881102966</v>
      </c>
      <c r="AR476" s="1122">
        <f t="shared" ca="1" si="645"/>
        <v>121090.0808527504</v>
      </c>
      <c r="AS476" s="1122">
        <f t="shared" ca="1" si="645"/>
        <v>340612.84032427327</v>
      </c>
      <c r="AT476" s="1122">
        <f t="shared" ca="1" si="645"/>
        <v>216106.30800953342</v>
      </c>
      <c r="AU476" s="1122">
        <f t="shared" ca="1" si="645"/>
        <v>137103.48933382597</v>
      </c>
      <c r="AV476" s="1122">
        <f t="shared" ca="1" si="645"/>
        <v>127336.74860206751</v>
      </c>
      <c r="AW476" s="10"/>
      <c r="AX476" s="10">
        <f ca="1">SUM(AQ476:AW476)</f>
        <v>1445247.5959334802</v>
      </c>
      <c r="AZ476" s="10">
        <f t="shared" ref="AZ476:BE476" ca="1" si="646">AZ460+AZ467+AZ472</f>
        <v>24045.408001933643</v>
      </c>
      <c r="BA476" s="10">
        <f t="shared" ca="1" si="646"/>
        <v>8096.8364928934097</v>
      </c>
      <c r="BB476" s="10">
        <f t="shared" ca="1" si="646"/>
        <v>24848.235635744117</v>
      </c>
      <c r="BC476" s="10">
        <f t="shared" ca="1" si="646"/>
        <v>15922.145572185309</v>
      </c>
      <c r="BD476" s="10">
        <f t="shared" ca="1" si="646"/>
        <v>9190.5924393942732</v>
      </c>
      <c r="BE476" s="10">
        <f t="shared" ca="1" si="646"/>
        <v>8074.809665096318</v>
      </c>
      <c r="BF476" s="10"/>
      <c r="BG476" s="10">
        <f ca="1">SUM(AZ476:BF476)</f>
        <v>90178.027807247068</v>
      </c>
      <c r="BI476" s="10">
        <f t="shared" ref="BI476:BN476" ca="1" si="647">BI460+BI467+BI472</f>
        <v>9325.4058400115828</v>
      </c>
      <c r="BJ476" s="10">
        <f t="shared" ca="1" si="647"/>
        <v>3166.5694948210607</v>
      </c>
      <c r="BK476" s="10">
        <f t="shared" ca="1" si="647"/>
        <v>9759.8818768994352</v>
      </c>
      <c r="BL476" s="10">
        <f t="shared" ca="1" si="647"/>
        <v>6256.669805090608</v>
      </c>
      <c r="BM476" s="10">
        <f t="shared" ca="1" si="647"/>
        <v>3616.1335015869831</v>
      </c>
      <c r="BN476" s="10">
        <f t="shared" ca="1" si="647"/>
        <v>3172.393292182931</v>
      </c>
      <c r="BO476" s="10"/>
      <c r="BP476" s="10">
        <f ca="1">SUM(BI476:BO476)</f>
        <v>35297.053810592603</v>
      </c>
    </row>
    <row r="477" spans="2:68" ht="13.2" customHeight="1">
      <c r="B477" s="309" t="s">
        <v>1660</v>
      </c>
      <c r="G477" s="10"/>
      <c r="H477" s="10"/>
      <c r="I477" s="10"/>
      <c r="J477" s="10"/>
      <c r="K477" s="10"/>
      <c r="L477" s="10"/>
      <c r="N477" s="6"/>
      <c r="O477" s="136">
        <f>ROW()</f>
        <v>477</v>
      </c>
      <c r="P477" s="10"/>
      <c r="Q477" s="10"/>
      <c r="R477" s="10"/>
      <c r="S477" s="10"/>
      <c r="T477" s="10"/>
      <c r="U477" s="10"/>
      <c r="V477" s="10"/>
      <c r="W477" s="10"/>
      <c r="Y477" s="10"/>
      <c r="Z477" s="10"/>
      <c r="AA477" s="10"/>
      <c r="AB477" s="10"/>
      <c r="AC477" s="10"/>
      <c r="AD477" s="10"/>
      <c r="AE477" s="10"/>
      <c r="AF477" s="10"/>
      <c r="AH477" s="10"/>
      <c r="AI477" s="10"/>
      <c r="AJ477" s="10"/>
      <c r="AK477" s="10"/>
      <c r="AL477" s="10"/>
      <c r="AM477" s="10"/>
      <c r="AN477" s="10"/>
      <c r="AO477" s="10"/>
      <c r="AQ477" s="1933"/>
      <c r="AR477" s="1933"/>
      <c r="AS477" s="1933"/>
      <c r="AT477" s="1933"/>
      <c r="AU477" s="1933"/>
      <c r="AV477" s="1933"/>
      <c r="AW477" s="1933"/>
      <c r="AX477" s="1933"/>
      <c r="AZ477" s="10"/>
      <c r="BA477" s="10"/>
      <c r="BB477" s="10"/>
      <c r="BC477" s="10"/>
      <c r="BD477" s="10"/>
      <c r="BE477" s="10"/>
      <c r="BF477" s="10"/>
      <c r="BG477" s="10"/>
      <c r="BI477" s="10"/>
      <c r="BJ477" s="10"/>
      <c r="BK477" s="10"/>
      <c r="BL477" s="10"/>
      <c r="BM477" s="10"/>
      <c r="BN477" s="10"/>
      <c r="BO477" s="10"/>
      <c r="BP477" s="10"/>
    </row>
    <row r="478" spans="2:68" ht="13.2" customHeight="1">
      <c r="B478" s="308" t="s">
        <v>714</v>
      </c>
      <c r="G478" s="10">
        <f t="shared" ref="G478:L478" ca="1" si="648">G476/G$118</f>
        <v>90879.906798192518</v>
      </c>
      <c r="H478" s="10">
        <f t="shared" ca="1" si="648"/>
        <v>132123.2960010859</v>
      </c>
      <c r="I478" s="10">
        <f t="shared" ca="1" si="648"/>
        <v>157935.55215874448</v>
      </c>
      <c r="J478" s="10">
        <f t="shared" ca="1" si="648"/>
        <v>169203.03115886406</v>
      </c>
      <c r="K478" s="10">
        <f t="shared" ca="1" si="648"/>
        <v>149663.62316383157</v>
      </c>
      <c r="L478" s="10">
        <f t="shared" ca="1" si="648"/>
        <v>130185.91794081854</v>
      </c>
      <c r="M478" s="10"/>
      <c r="N478" s="186"/>
      <c r="O478" s="136">
        <f>ROW()</f>
        <v>478</v>
      </c>
      <c r="P478" s="309" t="str">
        <f>CONCATENATE("Figures in Row ",O476," are sums of figures in Rows ",O460,", ",O467," and ",O472, " -- inbound, oubound and intra-cordon VMT.")</f>
        <v>Figures in Row 476 are sums of figures in Rows 460, 467 and 472 -- inbound, oubound and intra-cordon VMT.</v>
      </c>
      <c r="Q478" s="10"/>
      <c r="R478" s="10"/>
      <c r="S478" s="10"/>
      <c r="T478" s="10"/>
      <c r="U478" s="10"/>
      <c r="V478" s="10"/>
      <c r="W478" s="10"/>
      <c r="Y478" s="10"/>
      <c r="Z478" s="10"/>
      <c r="AA478" s="10"/>
      <c r="AB478" s="10"/>
      <c r="AC478" s="10"/>
      <c r="AD478" s="10"/>
      <c r="AE478" s="10"/>
      <c r="AF478" s="10"/>
      <c r="AH478" s="10"/>
      <c r="AI478" s="10"/>
      <c r="AJ478" s="10"/>
      <c r="AK478" s="10"/>
      <c r="AL478" s="10"/>
      <c r="AM478" s="10"/>
      <c r="AN478" s="10"/>
      <c r="AO478" s="10"/>
      <c r="AQ478" s="10"/>
      <c r="AR478" s="10"/>
      <c r="AS478" s="10"/>
      <c r="AT478" s="10"/>
      <c r="AU478" s="10"/>
      <c r="AV478" s="10"/>
      <c r="AW478" s="10"/>
      <c r="AX478" s="10"/>
      <c r="AZ478" s="10"/>
      <c r="BA478" s="10"/>
      <c r="BB478" s="10"/>
      <c r="BC478" s="10"/>
      <c r="BD478" s="10"/>
      <c r="BE478" s="10"/>
      <c r="BF478" s="10"/>
      <c r="BG478" s="10"/>
      <c r="BI478" s="10"/>
      <c r="BJ478" s="10"/>
      <c r="BK478" s="10"/>
      <c r="BL478" s="10"/>
      <c r="BM478" s="10"/>
      <c r="BN478" s="10"/>
      <c r="BO478" s="10"/>
      <c r="BP478" s="10"/>
    </row>
    <row r="479" spans="2:68" ht="13.2" customHeight="1">
      <c r="B479" t="s">
        <v>533</v>
      </c>
      <c r="O479" s="136">
        <f>ROW()</f>
        <v>479</v>
      </c>
    </row>
    <row r="480" spans="2:68" ht="13.2" customHeight="1">
      <c r="B480" s="308" t="s">
        <v>1106</v>
      </c>
      <c r="C480" s="280"/>
      <c r="D480" s="280"/>
      <c r="E480" s="280"/>
      <c r="F480" s="280"/>
      <c r="G480" s="616"/>
      <c r="H480" s="280"/>
      <c r="I480" s="280"/>
      <c r="J480" s="280"/>
      <c r="K480" s="280"/>
      <c r="L480" s="280"/>
      <c r="M480" s="280"/>
      <c r="N480" s="280"/>
      <c r="O480" s="136">
        <f>ROW()</f>
        <v>480</v>
      </c>
    </row>
    <row r="481" spans="2:68" ht="13.2" customHeight="1">
      <c r="B481" s="280" t="s">
        <v>2034</v>
      </c>
      <c r="E481" s="280"/>
      <c r="F481" s="280"/>
      <c r="G481" s="824">
        <f t="shared" ref="G481:L481" ca="1" si="649">KSC/(1+0.1*($G$401*G478/$I$181)^KSE)</f>
        <v>20.038380884358226</v>
      </c>
      <c r="H481" s="824">
        <f t="shared" ca="1" si="649"/>
        <v>15.306277054769884</v>
      </c>
      <c r="I481" s="824">
        <f t="shared" ca="1" si="649"/>
        <v>11.622411749137781</v>
      </c>
      <c r="J481" s="824">
        <f t="shared" ca="1" si="649"/>
        <v>10.108963028187775</v>
      </c>
      <c r="K481" s="824">
        <f t="shared" ca="1" si="649"/>
        <v>12.79053631425864</v>
      </c>
      <c r="L481" s="824">
        <f t="shared" ca="1" si="649"/>
        <v>15.578230325148107</v>
      </c>
      <c r="M481" s="824"/>
      <c r="O481" s="136">
        <f>ROW()</f>
        <v>481</v>
      </c>
      <c r="P481" s="21">
        <f t="shared" ref="P481:U482" ca="1" si="650">G481</f>
        <v>20.038380884358226</v>
      </c>
      <c r="Q481" s="21">
        <f t="shared" ca="1" si="650"/>
        <v>15.306277054769884</v>
      </c>
      <c r="R481" s="21">
        <f t="shared" ca="1" si="650"/>
        <v>11.622411749137781</v>
      </c>
      <c r="S481" s="21">
        <f t="shared" ca="1" si="650"/>
        <v>10.108963028187775</v>
      </c>
      <c r="T481" s="21">
        <f t="shared" ca="1" si="650"/>
        <v>12.79053631425864</v>
      </c>
      <c r="U481" s="21">
        <f t="shared" ca="1" si="650"/>
        <v>15.578230325148107</v>
      </c>
      <c r="V481" s="21"/>
      <c r="Y481" s="21">
        <f t="shared" ref="Y481:AD482" ca="1" si="651">G481</f>
        <v>20.038380884358226</v>
      </c>
      <c r="Z481" s="21">
        <f t="shared" ca="1" si="651"/>
        <v>15.306277054769884</v>
      </c>
      <c r="AA481" s="21">
        <f t="shared" ca="1" si="651"/>
        <v>11.622411749137781</v>
      </c>
      <c r="AB481" s="21">
        <f t="shared" ca="1" si="651"/>
        <v>10.108963028187775</v>
      </c>
      <c r="AC481" s="21">
        <f t="shared" ca="1" si="651"/>
        <v>12.79053631425864</v>
      </c>
      <c r="AD481" s="21">
        <f t="shared" ca="1" si="651"/>
        <v>15.578230325148107</v>
      </c>
      <c r="AE481" s="21"/>
      <c r="AH481" s="21">
        <f t="shared" ref="AH481:AM482" ca="1" si="652">P481</f>
        <v>20.038380884358226</v>
      </c>
      <c r="AI481" s="21">
        <f t="shared" ca="1" si="652"/>
        <v>15.306277054769884</v>
      </c>
      <c r="AJ481" s="21">
        <f t="shared" ca="1" si="652"/>
        <v>11.622411749137781</v>
      </c>
      <c r="AK481" s="21">
        <f t="shared" ca="1" si="652"/>
        <v>10.108963028187775</v>
      </c>
      <c r="AL481" s="21">
        <f t="shared" ca="1" si="652"/>
        <v>12.79053631425864</v>
      </c>
      <c r="AM481" s="21">
        <f t="shared" ca="1" si="652"/>
        <v>15.578230325148107</v>
      </c>
      <c r="AN481" s="21"/>
      <c r="AQ481" s="21">
        <f t="shared" ref="AQ481:AV481" ca="1" si="653">G481*$AU$181</f>
        <v>19.036461840140312</v>
      </c>
      <c r="AR481" s="21">
        <f t="shared" ca="1" si="653"/>
        <v>14.540963202031389</v>
      </c>
      <c r="AS481" s="21">
        <f t="shared" ca="1" si="653"/>
        <v>11.041291161680892</v>
      </c>
      <c r="AT481" s="21">
        <f t="shared" ca="1" si="653"/>
        <v>9.6035148767783856</v>
      </c>
      <c r="AU481" s="21">
        <f t="shared" ca="1" si="653"/>
        <v>12.151009498545708</v>
      </c>
      <c r="AV481" s="21">
        <f t="shared" ca="1" si="653"/>
        <v>14.799318808890702</v>
      </c>
      <c r="AW481" s="21"/>
      <c r="AZ481" s="21">
        <f t="shared" ref="AZ481:BE482" ca="1" si="654">G481</f>
        <v>20.038380884358226</v>
      </c>
      <c r="BA481" s="21">
        <f t="shared" ca="1" si="654"/>
        <v>15.306277054769884</v>
      </c>
      <c r="BB481" s="21">
        <f t="shared" ca="1" si="654"/>
        <v>11.622411749137781</v>
      </c>
      <c r="BC481" s="21">
        <f t="shared" ca="1" si="654"/>
        <v>10.108963028187775</v>
      </c>
      <c r="BD481" s="21">
        <f t="shared" ca="1" si="654"/>
        <v>12.79053631425864</v>
      </c>
      <c r="BE481" s="21">
        <f t="shared" ca="1" si="654"/>
        <v>15.578230325148107</v>
      </c>
      <c r="BF481" s="21"/>
      <c r="BG481" s="21"/>
      <c r="BI481" s="21">
        <f t="shared" ref="BI481:BN482" ca="1" si="655">G481</f>
        <v>20.038380884358226</v>
      </c>
      <c r="BJ481" s="21">
        <f t="shared" ca="1" si="655"/>
        <v>15.306277054769884</v>
      </c>
      <c r="BK481" s="21">
        <f t="shared" ca="1" si="655"/>
        <v>11.622411749137781</v>
      </c>
      <c r="BL481" s="21">
        <f t="shared" ca="1" si="655"/>
        <v>10.108963028187775</v>
      </c>
      <c r="BM481" s="21">
        <f t="shared" ca="1" si="655"/>
        <v>12.79053631425864</v>
      </c>
      <c r="BN481" s="21">
        <f t="shared" ca="1" si="655"/>
        <v>15.578230325148107</v>
      </c>
      <c r="BO481" s="21"/>
      <c r="BP481" s="21"/>
    </row>
    <row r="482" spans="2:68" ht="13.2" customHeight="1">
      <c r="B482" s="280" t="s">
        <v>1428</v>
      </c>
      <c r="E482" s="280"/>
      <c r="F482" s="280"/>
      <c r="G482" s="824">
        <f ca="1">MIN('Speed-Vol., non-Cordon'!$X$57*(G427 / 'Speed-Vol., non-Cordon'!$X$57)^G444,'Speed-Vol., non-Cordon'!$X$32)</f>
        <v>54.058346215018958</v>
      </c>
      <c r="H482" s="824">
        <f ca="1">MIN('Speed-Vol., non-Cordon'!$X$57*(H427 / 'Speed-Vol., non-Cordon'!$X$57)^H444,'Speed-Vol., non-Cordon'!$X$32)</f>
        <v>28.729939650218181</v>
      </c>
      <c r="I482" s="824">
        <f ca="1">MIN('Speed-Vol., non-Cordon'!$X$57*(I427 / 'Speed-Vol., non-Cordon'!$X$57)^I444,'Speed-Vol., non-Cordon'!$X$32)</f>
        <v>20.65589550014726</v>
      </c>
      <c r="J482" s="824">
        <f ca="1">MIN('Speed-Vol., non-Cordon'!$X$57*(J427 / 'Speed-Vol., non-Cordon'!$X$57)^J444,'Speed-Vol., non-Cordon'!$X$32)</f>
        <v>18.389364864252688</v>
      </c>
      <c r="K482" s="824">
        <f ca="1">MIN('Speed-Vol., non-Cordon'!$X$57*(K427 / 'Speed-Vol., non-Cordon'!$X$57)^K444,'Speed-Vol., non-Cordon'!$X$32)</f>
        <v>23.779594416848909</v>
      </c>
      <c r="L482" s="824">
        <f ca="1">MIN('Speed-Vol., non-Cordon'!$X$57*(L427 / 'Speed-Vol., non-Cordon'!$X$57)^L444,'Speed-Vol., non-Cordon'!$X$32)</f>
        <v>29.634838581636071</v>
      </c>
      <c r="M482" s="824"/>
      <c r="O482" s="136">
        <f>ROW()</f>
        <v>482</v>
      </c>
      <c r="P482" s="21">
        <f t="shared" ca="1" si="650"/>
        <v>54.058346215018958</v>
      </c>
      <c r="Q482" s="21">
        <f t="shared" ca="1" si="650"/>
        <v>28.729939650218181</v>
      </c>
      <c r="R482" s="21">
        <f t="shared" ca="1" si="650"/>
        <v>20.65589550014726</v>
      </c>
      <c r="S482" s="21">
        <f t="shared" ca="1" si="650"/>
        <v>18.389364864252688</v>
      </c>
      <c r="T482" s="21">
        <f t="shared" ca="1" si="650"/>
        <v>23.779594416848909</v>
      </c>
      <c r="U482" s="21">
        <f t="shared" ca="1" si="650"/>
        <v>29.634838581636071</v>
      </c>
      <c r="V482" s="21"/>
      <c r="W482" s="4272" t="s">
        <v>1878</v>
      </c>
      <c r="Y482" s="21">
        <f t="shared" ca="1" si="651"/>
        <v>54.058346215018958</v>
      </c>
      <c r="Z482" s="21">
        <f t="shared" ca="1" si="651"/>
        <v>28.729939650218181</v>
      </c>
      <c r="AA482" s="21">
        <f t="shared" ca="1" si="651"/>
        <v>20.65589550014726</v>
      </c>
      <c r="AB482" s="21">
        <f t="shared" ca="1" si="651"/>
        <v>18.389364864252688</v>
      </c>
      <c r="AC482" s="21">
        <f t="shared" ca="1" si="651"/>
        <v>23.779594416848909</v>
      </c>
      <c r="AD482" s="21">
        <f t="shared" ca="1" si="651"/>
        <v>29.634838581636071</v>
      </c>
      <c r="AE482" s="21"/>
      <c r="AF482" s="4272" t="s">
        <v>1878</v>
      </c>
      <c r="AH482" s="21">
        <f t="shared" ca="1" si="652"/>
        <v>54.058346215018958</v>
      </c>
      <c r="AI482" s="21">
        <f t="shared" ca="1" si="652"/>
        <v>28.729939650218181</v>
      </c>
      <c r="AJ482" s="21">
        <f t="shared" ca="1" si="652"/>
        <v>20.65589550014726</v>
      </c>
      <c r="AK482" s="21">
        <f t="shared" ca="1" si="652"/>
        <v>18.389364864252688</v>
      </c>
      <c r="AL482" s="21">
        <f t="shared" ca="1" si="652"/>
        <v>23.779594416848909</v>
      </c>
      <c r="AM482" s="21">
        <f t="shared" ca="1" si="652"/>
        <v>29.634838581636071</v>
      </c>
      <c r="AN482" s="21"/>
      <c r="AO482" s="4272" t="s">
        <v>1878</v>
      </c>
      <c r="AQ482" s="21">
        <f t="shared" ref="AQ482:AV482" ca="1" si="656">G482*$AV$181</f>
        <v>53.517762752868769</v>
      </c>
      <c r="AR482" s="21">
        <f t="shared" ca="1" si="656"/>
        <v>28.442640253716</v>
      </c>
      <c r="AS482" s="21">
        <f t="shared" ca="1" si="656"/>
        <v>20.449336545145787</v>
      </c>
      <c r="AT482" s="21">
        <f t="shared" ca="1" si="656"/>
        <v>18.20547121561016</v>
      </c>
      <c r="AU482" s="21">
        <f t="shared" ca="1" si="656"/>
        <v>23.541798472680419</v>
      </c>
      <c r="AV482" s="21">
        <f t="shared" ca="1" si="656"/>
        <v>29.338490195819709</v>
      </c>
      <c r="AW482" s="21"/>
      <c r="AX482" s="4272" t="s">
        <v>1878</v>
      </c>
      <c r="AZ482" s="21">
        <f t="shared" ca="1" si="654"/>
        <v>54.058346215018958</v>
      </c>
      <c r="BA482" s="21">
        <f t="shared" ca="1" si="654"/>
        <v>28.729939650218181</v>
      </c>
      <c r="BB482" s="21">
        <f t="shared" ca="1" si="654"/>
        <v>20.65589550014726</v>
      </c>
      <c r="BC482" s="21">
        <f t="shared" ca="1" si="654"/>
        <v>18.389364864252688</v>
      </c>
      <c r="BD482" s="21">
        <f t="shared" ca="1" si="654"/>
        <v>23.779594416848909</v>
      </c>
      <c r="BE482" s="21">
        <f t="shared" ca="1" si="654"/>
        <v>29.634838581636071</v>
      </c>
      <c r="BF482" s="21"/>
      <c r="BG482" s="4272" t="s">
        <v>1878</v>
      </c>
      <c r="BI482" s="21">
        <f t="shared" ca="1" si="655"/>
        <v>54.058346215018958</v>
      </c>
      <c r="BJ482" s="21">
        <f t="shared" ca="1" si="655"/>
        <v>28.729939650218181</v>
      </c>
      <c r="BK482" s="21">
        <f t="shared" ca="1" si="655"/>
        <v>20.65589550014726</v>
      </c>
      <c r="BL482" s="21">
        <f t="shared" ca="1" si="655"/>
        <v>18.389364864252688</v>
      </c>
      <c r="BM482" s="21">
        <f t="shared" ca="1" si="655"/>
        <v>23.779594416848909</v>
      </c>
      <c r="BN482" s="21">
        <f t="shared" ca="1" si="655"/>
        <v>29.634838581636071</v>
      </c>
      <c r="BO482" s="21"/>
      <c r="BP482" s="4272" t="s">
        <v>1878</v>
      </c>
    </row>
    <row r="483" spans="2:68" ht="13.2" customHeight="1">
      <c r="B483" s="280"/>
      <c r="O483" s="136">
        <f>ROW()</f>
        <v>483</v>
      </c>
      <c r="W483" s="4273"/>
      <c r="AF483" s="4273"/>
      <c r="AO483" s="4273"/>
      <c r="AX483" s="4273"/>
      <c r="BG483" s="4273"/>
      <c r="BP483" s="4273"/>
    </row>
    <row r="484" spans="2:68" ht="13.2" customHeight="1">
      <c r="B484" s="308" t="s">
        <v>2606</v>
      </c>
      <c r="F484" s="606"/>
      <c r="O484" s="136">
        <f>ROW()</f>
        <v>484</v>
      </c>
      <c r="W484" s="4273"/>
      <c r="AF484" s="4273"/>
      <c r="AO484" s="4273"/>
      <c r="AX484" s="4340"/>
      <c r="BG484" s="4273"/>
      <c r="BP484" s="4273"/>
    </row>
    <row r="485" spans="2:68" ht="13.2" customHeight="1">
      <c r="B485" s="280" t="s">
        <v>2158</v>
      </c>
      <c r="C485" s="297"/>
      <c r="D485" s="297"/>
      <c r="E485" s="297"/>
      <c r="F485" s="297"/>
      <c r="G485" s="4286" t="s">
        <v>2351</v>
      </c>
      <c r="H485" s="3775"/>
      <c r="I485" s="3775"/>
      <c r="J485" s="3775"/>
      <c r="K485" s="3775"/>
      <c r="L485" s="3776"/>
      <c r="O485" s="136">
        <f>ROW()</f>
        <v>485</v>
      </c>
      <c r="P485" s="21">
        <f t="shared" ref="P485:U485" ca="1" si="657">($I$85)*60/P481</f>
        <v>4.4913808415655563</v>
      </c>
      <c r="Q485" s="21">
        <f t="shared" ca="1" si="657"/>
        <v>5.8799406072395222</v>
      </c>
      <c r="R485" s="21">
        <f t="shared" ca="1" si="657"/>
        <v>7.7436595727798689</v>
      </c>
      <c r="S485" s="21">
        <f t="shared" ca="1" si="657"/>
        <v>8.9029903214646762</v>
      </c>
      <c r="T485" s="21">
        <f t="shared" ca="1" si="657"/>
        <v>7.0364524042412322</v>
      </c>
      <c r="U485" s="21">
        <f t="shared" ca="1" si="657"/>
        <v>5.7772929351745441</v>
      </c>
      <c r="V485" s="21"/>
      <c r="W485" s="613">
        <f ca="1">SUMPRODUCT(P$476:V$476,P485:V485)/W$476</f>
        <v>6.5668213005533627</v>
      </c>
      <c r="Y485" s="21">
        <f t="shared" ref="Y485:AD485" ca="1" si="658">($J$85)*60/Y481</f>
        <v>4.4913808415655563</v>
      </c>
      <c r="Z485" s="21">
        <f t="shared" ca="1" si="658"/>
        <v>5.8799406072395222</v>
      </c>
      <c r="AA485" s="21">
        <f t="shared" ca="1" si="658"/>
        <v>7.7436595727798689</v>
      </c>
      <c r="AB485" s="21">
        <f t="shared" ca="1" si="658"/>
        <v>8.9029903214646762</v>
      </c>
      <c r="AC485" s="21">
        <f t="shared" ca="1" si="658"/>
        <v>7.0364524042412322</v>
      </c>
      <c r="AD485" s="21">
        <f t="shared" ca="1" si="658"/>
        <v>5.7772929351745441</v>
      </c>
      <c r="AE485" s="21"/>
      <c r="AF485" s="613">
        <f ca="1">SUMPRODUCT(Y$476:AE$476,Y485:AE485)/AF$476</f>
        <v>6.8264228183116957</v>
      </c>
      <c r="AH485" s="21">
        <f t="shared" ref="AH485:AM485" ca="1" si="659">($K$85)*60/AH481</f>
        <v>4.1919554521278535</v>
      </c>
      <c r="AI485" s="21">
        <f t="shared" ca="1" si="659"/>
        <v>5.4879445667568882</v>
      </c>
      <c r="AJ485" s="21">
        <f t="shared" ca="1" si="659"/>
        <v>7.2274156012612121</v>
      </c>
      <c r="AK485" s="21">
        <f t="shared" ca="1" si="659"/>
        <v>8.3094576333670318</v>
      </c>
      <c r="AL485" s="21">
        <f t="shared" ca="1" si="659"/>
        <v>6.567355577291818</v>
      </c>
      <c r="AM485" s="21">
        <f t="shared" ca="1" si="659"/>
        <v>5.3921400728295756</v>
      </c>
      <c r="AN485" s="21"/>
      <c r="AO485" s="613">
        <f ca="1">SUMPRODUCT(AH$476:AN$476,AH485:AN485)/AO$476</f>
        <v>6.1374043496168147</v>
      </c>
      <c r="AQ485" s="21">
        <f t="shared" ref="AQ485:AV485" ca="1" si="660">($L$85)*60/AQ481</f>
        <v>6.3036924092148165</v>
      </c>
      <c r="AR485" s="21">
        <f t="shared" ca="1" si="660"/>
        <v>8.25254822068705</v>
      </c>
      <c r="AS485" s="21">
        <f t="shared" ca="1" si="660"/>
        <v>10.868294137234903</v>
      </c>
      <c r="AT485" s="21">
        <f t="shared" ca="1" si="660"/>
        <v>12.495425012582002</v>
      </c>
      <c r="AU485" s="21">
        <f t="shared" ca="1" si="660"/>
        <v>9.8757226726192737</v>
      </c>
      <c r="AV485" s="21">
        <f t="shared" ca="1" si="660"/>
        <v>8.1084813125256758</v>
      </c>
      <c r="AW485" s="21"/>
      <c r="AX485" s="613">
        <f ca="1">SUMPRODUCT(AQ$476:AW$476,AQ485:AW485)/AX$476</f>
        <v>8.9664716556326542</v>
      </c>
      <c r="AZ485" s="21">
        <f t="shared" ref="AZ485:BE485" ca="1" si="661">($M$85)*60/AZ481</f>
        <v>8.9827616831311126</v>
      </c>
      <c r="BA485" s="21">
        <f t="shared" ca="1" si="661"/>
        <v>11.759881214479044</v>
      </c>
      <c r="BB485" s="21">
        <f t="shared" ca="1" si="661"/>
        <v>15.487319145559738</v>
      </c>
      <c r="BC485" s="21">
        <f t="shared" ca="1" si="661"/>
        <v>17.805980642929352</v>
      </c>
      <c r="BD485" s="21">
        <f t="shared" ca="1" si="661"/>
        <v>14.072904808482464</v>
      </c>
      <c r="BE485" s="21">
        <f t="shared" ca="1" si="661"/>
        <v>11.554585870349088</v>
      </c>
      <c r="BF485" s="21"/>
      <c r="BG485" s="613">
        <f ca="1">SUMPRODUCT(AZ$476:BF$476,AZ485:BF485)/BG$476</f>
        <v>13.331333804909463</v>
      </c>
      <c r="BI485" s="21">
        <f t="shared" ref="BI485:BN485" ca="1" si="662">($N$85)*60/BI481</f>
        <v>5.9885077887540747</v>
      </c>
      <c r="BJ485" s="21">
        <f t="shared" ca="1" si="662"/>
        <v>7.8399208096526962</v>
      </c>
      <c r="BK485" s="21">
        <f t="shared" ca="1" si="662"/>
        <v>10.324879430373159</v>
      </c>
      <c r="BL485" s="21">
        <f t="shared" ca="1" si="662"/>
        <v>11.870653761952902</v>
      </c>
      <c r="BM485" s="21">
        <f t="shared" ca="1" si="662"/>
        <v>9.3819365389883096</v>
      </c>
      <c r="BN485" s="21">
        <f t="shared" ca="1" si="662"/>
        <v>7.7030572468993919</v>
      </c>
      <c r="BO485" s="21"/>
      <c r="BP485" s="613">
        <f ca="1">SUMPRODUCT(BI$476:BO$476,BI485:BO485)/BP$476</f>
        <v>8.8980442398888773</v>
      </c>
    </row>
    <row r="486" spans="2:68" ht="13.2" customHeight="1">
      <c r="B486" s="280" t="s">
        <v>2159</v>
      </c>
      <c r="C486" s="297"/>
      <c r="D486" s="297"/>
      <c r="E486" s="297"/>
      <c r="F486" s="297"/>
      <c r="G486" s="3738"/>
      <c r="H486" s="3739"/>
      <c r="I486" s="3739"/>
      <c r="J486" s="3739"/>
      <c r="K486" s="3739"/>
      <c r="L486" s="3922"/>
      <c r="O486" s="136">
        <f>ROW()</f>
        <v>486</v>
      </c>
      <c r="P486" s="21">
        <f t="shared" ref="P486:U486" ca="1" si="663">60*$I$85/(1/($P$135/$P481+$Q$135/$Q481+$R$135/$R481+$S$135/$S481+$T$135/$T481+$U$135/$U481))</f>
        <v>6.5336530154093548</v>
      </c>
      <c r="Q486" s="21">
        <f t="shared" ca="1" si="663"/>
        <v>6.5336530154093548</v>
      </c>
      <c r="R486" s="21">
        <f t="shared" ca="1" si="663"/>
        <v>6.5336530154093548</v>
      </c>
      <c r="S486" s="21">
        <f t="shared" ca="1" si="663"/>
        <v>6.5336530154093548</v>
      </c>
      <c r="T486" s="21">
        <f t="shared" ca="1" si="663"/>
        <v>6.5336530154093548</v>
      </c>
      <c r="U486" s="21">
        <f t="shared" ca="1" si="663"/>
        <v>6.5336530154093548</v>
      </c>
      <c r="V486" s="21"/>
      <c r="W486" s="613">
        <f ca="1">SUMPRODUCT(P$383:V$383,P486:V486)/W$383</f>
        <v>6.5336530154093557</v>
      </c>
      <c r="Y486" s="21">
        <f t="shared" ref="Y486:AD486" ca="1" si="664">60*$J$85/(1/($Y$135/$Y481+$Z$135/$Z481+$AA$135/$AA481+$AB$135/$AB481+$AC$135/$AC481+$AD$135/$AD481))</f>
        <v>6.5336530154093531</v>
      </c>
      <c r="Z486" s="21">
        <f t="shared" ca="1" si="664"/>
        <v>6.5336530154093531</v>
      </c>
      <c r="AA486" s="21">
        <f t="shared" ca="1" si="664"/>
        <v>6.5336530154093531</v>
      </c>
      <c r="AB486" s="21">
        <f t="shared" ca="1" si="664"/>
        <v>6.5336530154093531</v>
      </c>
      <c r="AC486" s="21">
        <f t="shared" ca="1" si="664"/>
        <v>6.5336530154093531</v>
      </c>
      <c r="AD486" s="21">
        <f t="shared" ca="1" si="664"/>
        <v>6.5336530154093531</v>
      </c>
      <c r="AE486" s="21"/>
      <c r="AF486" s="613">
        <f ca="1">SUMPRODUCT(Y$383:AE$383,Y486:AE486)/AF$383</f>
        <v>6.5336530154093548</v>
      </c>
      <c r="AH486" s="21">
        <f t="shared" ref="AH486:AM486" ca="1" si="665">AH485</f>
        <v>4.1919554521278535</v>
      </c>
      <c r="AI486" s="21">
        <f t="shared" ca="1" si="665"/>
        <v>5.4879445667568882</v>
      </c>
      <c r="AJ486" s="21">
        <f t="shared" ca="1" si="665"/>
        <v>7.2274156012612121</v>
      </c>
      <c r="AK486" s="21">
        <f t="shared" ca="1" si="665"/>
        <v>8.3094576333670318</v>
      </c>
      <c r="AL486" s="21">
        <f t="shared" ca="1" si="665"/>
        <v>6.567355577291818</v>
      </c>
      <c r="AM486" s="21">
        <f t="shared" ca="1" si="665"/>
        <v>5.3921400728295756</v>
      </c>
      <c r="AN486" s="21"/>
      <c r="AO486" s="613">
        <f ca="1">SUMPRODUCT(AH$383:AN$383,AH486:AN486)/AO$383</f>
        <v>6.1475621320056133</v>
      </c>
      <c r="AQ486" s="21"/>
      <c r="AR486" s="21"/>
      <c r="AS486" s="21"/>
      <c r="AT486" s="21"/>
      <c r="AU486" s="21"/>
      <c r="AV486" s="21"/>
      <c r="AW486" s="21"/>
      <c r="AX486" s="613"/>
      <c r="AZ486" s="21">
        <f t="shared" ref="AZ486:BE486" ca="1" si="666">60*$M$85/(1/($AZ$135/$AZ481+$BA$135/$BA481+$BB$135/$BB481+$BC$135/$BC481+$BD$135/$BD481+$BE$135/$BE481))</f>
        <v>13.067306030818706</v>
      </c>
      <c r="BA486" s="21">
        <f t="shared" ca="1" si="666"/>
        <v>13.067306030818706</v>
      </c>
      <c r="BB486" s="21">
        <f t="shared" ca="1" si="666"/>
        <v>13.067306030818706</v>
      </c>
      <c r="BC486" s="21">
        <f t="shared" ca="1" si="666"/>
        <v>13.067306030818706</v>
      </c>
      <c r="BD486" s="21">
        <f t="shared" ca="1" si="666"/>
        <v>13.067306030818706</v>
      </c>
      <c r="BE486" s="21">
        <f t="shared" ca="1" si="666"/>
        <v>13.067306030818706</v>
      </c>
      <c r="BF486" s="21"/>
      <c r="BG486" s="613">
        <f ca="1">SUMPRODUCT(AZ$383:BF$383,AZ486:BF486)/BG$383</f>
        <v>13.067306030818706</v>
      </c>
      <c r="BI486" s="21">
        <f t="shared" ref="BI486:BN486" ca="1" si="667">60*$N$85/(1/($BI$135/$BI481+$BJ$135/$BJ481+$BK$135/$BK481+$BL$135/$BL481+$BM$135/$BM481+$BN$135/$BN481))</f>
        <v>8.7115373538791374</v>
      </c>
      <c r="BJ486" s="21">
        <f t="shared" ca="1" si="667"/>
        <v>8.7115373538791374</v>
      </c>
      <c r="BK486" s="21">
        <f t="shared" ca="1" si="667"/>
        <v>8.7115373538791374</v>
      </c>
      <c r="BL486" s="21">
        <f t="shared" ca="1" si="667"/>
        <v>8.7115373538791374</v>
      </c>
      <c r="BM486" s="21">
        <f t="shared" ca="1" si="667"/>
        <v>8.7115373538791374</v>
      </c>
      <c r="BN486" s="21">
        <f t="shared" ca="1" si="667"/>
        <v>8.7115373538791374</v>
      </c>
      <c r="BO486" s="21"/>
      <c r="BP486" s="613">
        <f ca="1">SUMPRODUCT(BI$383:BO$383,BI486:BO486)/BP$383</f>
        <v>8.7115373538791356</v>
      </c>
    </row>
    <row r="487" spans="2:68" ht="13.2" customHeight="1">
      <c r="B487" s="280" t="s">
        <v>2160</v>
      </c>
      <c r="C487" s="297"/>
      <c r="D487" s="297"/>
      <c r="E487" s="297"/>
      <c r="F487" s="297"/>
      <c r="G487" s="3738"/>
      <c r="H487" s="3739"/>
      <c r="I487" s="3739"/>
      <c r="J487" s="3739"/>
      <c r="K487" s="3739"/>
      <c r="L487" s="3922"/>
      <c r="O487" s="136">
        <f>ROW()</f>
        <v>487</v>
      </c>
      <c r="P487" s="21">
        <f t="shared" ref="P487:U487" ca="1" si="668">($I$79)*60/P482</f>
        <v>18.757575745845763</v>
      </c>
      <c r="Q487" s="21">
        <f t="shared" ca="1" si="668"/>
        <v>35.2943144388287</v>
      </c>
      <c r="R487" s="21">
        <f t="shared" ca="1" si="668"/>
        <v>49.090271773312544</v>
      </c>
      <c r="S487" s="21">
        <f t="shared" ca="1" si="668"/>
        <v>55.140758330077325</v>
      </c>
      <c r="T487" s="21">
        <f t="shared" ca="1" si="668"/>
        <v>42.641750151335877</v>
      </c>
      <c r="U487" s="21">
        <f t="shared" ca="1" si="668"/>
        <v>34.216603577241145</v>
      </c>
      <c r="V487" s="21"/>
      <c r="W487" s="613">
        <f ca="1">SUMPRODUCT(P$476:V$476,P487:V487)/W$476</f>
        <v>38.048394928606889</v>
      </c>
      <c r="Y487" s="21">
        <f t="shared" ref="Y487:AD487" ca="1" si="669">($J$79)*60/Y482</f>
        <v>18.757575745845763</v>
      </c>
      <c r="Z487" s="21">
        <f t="shared" ca="1" si="669"/>
        <v>35.2943144388287</v>
      </c>
      <c r="AA487" s="21">
        <f t="shared" ca="1" si="669"/>
        <v>49.090271773312544</v>
      </c>
      <c r="AB487" s="21">
        <f t="shared" ca="1" si="669"/>
        <v>55.140758330077325</v>
      </c>
      <c r="AC487" s="21">
        <f t="shared" ca="1" si="669"/>
        <v>42.641750151335877</v>
      </c>
      <c r="AD487" s="21">
        <f t="shared" ca="1" si="669"/>
        <v>34.216603577241145</v>
      </c>
      <c r="AE487" s="21"/>
      <c r="AF487" s="613">
        <f ca="1">SUMPRODUCT(Y$476:AE$476,Y487:AE487)/AF$476</f>
        <v>40.177721309757167</v>
      </c>
      <c r="AH487" s="21">
        <f t="shared" ref="AH487:AM487" ca="1" si="670">($K$79)*60/AH482</f>
        <v>28.136363618768645</v>
      </c>
      <c r="AI487" s="21">
        <f t="shared" ca="1" si="670"/>
        <v>52.941471658243046</v>
      </c>
      <c r="AJ487" s="21">
        <f t="shared" ca="1" si="670"/>
        <v>73.63540765996882</v>
      </c>
      <c r="AK487" s="21">
        <f t="shared" ca="1" si="670"/>
        <v>82.711137495115992</v>
      </c>
      <c r="AL487" s="21">
        <f t="shared" ca="1" si="670"/>
        <v>63.962625227003812</v>
      </c>
      <c r="AM487" s="21">
        <f t="shared" ca="1" si="670"/>
        <v>51.324905365861717</v>
      </c>
      <c r="AN487" s="21"/>
      <c r="AO487" s="613">
        <f ca="1">SUMPRODUCT(AH$476:AN$476,AH487:AN487)/AO$476</f>
        <v>57.112178462076159</v>
      </c>
      <c r="AQ487" s="21">
        <f t="shared" ref="AQ487:AV487" ca="1" si="671">($L$79)*60/AQ482</f>
        <v>6.7267385907439214</v>
      </c>
      <c r="AR487" s="21">
        <f t="shared" ca="1" si="671"/>
        <v>12.657052818891044</v>
      </c>
      <c r="AS487" s="21">
        <f t="shared" ca="1" si="671"/>
        <v>17.6044831188157</v>
      </c>
      <c r="AT487" s="21">
        <f t="shared" ca="1" si="671"/>
        <v>19.774275311880992</v>
      </c>
      <c r="AU487" s="21">
        <f t="shared" ca="1" si="671"/>
        <v>15.291949781057282</v>
      </c>
      <c r="AV487" s="21">
        <f t="shared" ca="1" si="671"/>
        <v>12.270570080368163</v>
      </c>
      <c r="AW487" s="21"/>
      <c r="AX487" s="613">
        <f ca="1">SUMPRODUCT(AQ$476:AW$476,AQ487:AW487)/AX$476</f>
        <v>13.039228244592934</v>
      </c>
      <c r="AZ487" s="21">
        <f t="shared" ref="AZ487:BE487" ca="1" si="672">($M$79)*60/AZ482</f>
        <v>14.131002689541804</v>
      </c>
      <c r="BA487" s="21">
        <f t="shared" ca="1" si="672"/>
        <v>26.588939797888287</v>
      </c>
      <c r="BB487" s="21">
        <f t="shared" ca="1" si="672"/>
        <v>36.982111753575097</v>
      </c>
      <c r="BC487" s="21">
        <f t="shared" ca="1" si="672"/>
        <v>41.540240318009396</v>
      </c>
      <c r="BD487" s="21">
        <f t="shared" ca="1" si="672"/>
        <v>32.124123833472893</v>
      </c>
      <c r="BE487" s="21">
        <f t="shared" ca="1" si="672"/>
        <v>25.777047296960234</v>
      </c>
      <c r="BF487" s="21"/>
      <c r="BG487" s="613">
        <f ca="1">SUMPRODUCT(AZ$476:BF$476,AZ487:BF487)/BG$476</f>
        <v>29.262188897434065</v>
      </c>
      <c r="BI487" s="21">
        <f t="shared" ref="BI487:BN487" ca="1" si="673">($N$79)*60/BI482</f>
        <v>19.360184779736834</v>
      </c>
      <c r="BJ487" s="21">
        <f t="shared" ca="1" si="673"/>
        <v>36.428185521851816</v>
      </c>
      <c r="BK487" s="21">
        <f t="shared" ca="1" si="673"/>
        <v>50.667354102478541</v>
      </c>
      <c r="BL487" s="21">
        <f t="shared" ca="1" si="673"/>
        <v>56.912219608204808</v>
      </c>
      <c r="BM487" s="21">
        <f t="shared" ca="1" si="673"/>
        <v>44.01166619007622</v>
      </c>
      <c r="BN487" s="21">
        <f t="shared" ca="1" si="673"/>
        <v>35.315851939827745</v>
      </c>
      <c r="BO487" s="21"/>
      <c r="BP487" s="613">
        <f ca="1">SUMPRODUCT(BI$476:BO$476,BI487:BO487)/BP$476</f>
        <v>40.163979640680331</v>
      </c>
    </row>
    <row r="488" spans="2:68" ht="13.2" customHeight="1">
      <c r="B488" s="280" t="s">
        <v>1138</v>
      </c>
      <c r="C488" s="297"/>
      <c r="D488" s="297"/>
      <c r="E488" s="297"/>
      <c r="F488" s="297"/>
      <c r="G488" s="3738"/>
      <c r="H488" s="3739"/>
      <c r="I488" s="3739"/>
      <c r="J488" s="3739"/>
      <c r="K488" s="3739"/>
      <c r="L488" s="3922"/>
      <c r="O488" s="136">
        <f>ROW()</f>
        <v>488</v>
      </c>
      <c r="P488" s="21">
        <f t="shared" ref="P488:U488" ca="1" si="674">60*$I$79/(1/($P$135/$P482+$Q$135/$Q482+$R$135/$R482+$S$135/$S482+$T$135/$T482+$U$135/$U482))</f>
        <v>37.675233644798247</v>
      </c>
      <c r="Q488" s="21">
        <f t="shared" ca="1" si="674"/>
        <v>37.675233644798247</v>
      </c>
      <c r="R488" s="21">
        <f t="shared" ca="1" si="674"/>
        <v>37.675233644798247</v>
      </c>
      <c r="S488" s="21">
        <f t="shared" ca="1" si="674"/>
        <v>37.675233644798247</v>
      </c>
      <c r="T488" s="21">
        <f t="shared" ca="1" si="674"/>
        <v>37.675233644798247</v>
      </c>
      <c r="U488" s="21">
        <f t="shared" ca="1" si="674"/>
        <v>37.675233644798247</v>
      </c>
      <c r="V488" s="21"/>
      <c r="W488" s="613">
        <f ca="1">SUMPRODUCT(P$476:V$476,P488:V488)/W$476</f>
        <v>37.67523364479824</v>
      </c>
      <c r="Y488" s="21">
        <f t="shared" ref="Y488:AD488" ca="1" si="675">60*$J$79/(1/($Y$135/$Y482+$Z$135/$Z482+$AA$135/$AA482+$AB$135/$AB482+$AC$135/$AC482+$AD$135/$AD482))</f>
        <v>37.675233644798233</v>
      </c>
      <c r="Z488" s="21">
        <f t="shared" ca="1" si="675"/>
        <v>37.675233644798233</v>
      </c>
      <c r="AA488" s="21">
        <f t="shared" ca="1" si="675"/>
        <v>37.675233644798233</v>
      </c>
      <c r="AB488" s="21">
        <f t="shared" ca="1" si="675"/>
        <v>37.675233644798233</v>
      </c>
      <c r="AC488" s="21">
        <f t="shared" ca="1" si="675"/>
        <v>37.675233644798233</v>
      </c>
      <c r="AD488" s="21">
        <f t="shared" ca="1" si="675"/>
        <v>37.675233644798233</v>
      </c>
      <c r="AE488" s="21"/>
      <c r="AF488" s="613">
        <f ca="1">SUMPRODUCT(Y$476:AE$476,Y488:AE488)/AF$476</f>
        <v>37.67523364479824</v>
      </c>
      <c r="AH488" s="21">
        <f t="shared" ref="AH488:AM488" ca="1" si="676">AH487</f>
        <v>28.136363618768645</v>
      </c>
      <c r="AI488" s="21">
        <f t="shared" ca="1" si="676"/>
        <v>52.941471658243046</v>
      </c>
      <c r="AJ488" s="21">
        <f t="shared" ca="1" si="676"/>
        <v>73.63540765996882</v>
      </c>
      <c r="AK488" s="21">
        <f t="shared" ca="1" si="676"/>
        <v>82.711137495115992</v>
      </c>
      <c r="AL488" s="21">
        <f t="shared" ca="1" si="676"/>
        <v>63.962625227003812</v>
      </c>
      <c r="AM488" s="21">
        <f t="shared" ca="1" si="676"/>
        <v>51.324905365861717</v>
      </c>
      <c r="AN488" s="21"/>
      <c r="AO488" s="613">
        <f ca="1">SUMPRODUCT(AH$476:AN$476,AH488:AN488)/AO$476</f>
        <v>57.112178462076159</v>
      </c>
      <c r="AX488" s="613"/>
      <c r="AZ488" s="21">
        <f t="shared" ref="AZ488:BE488" ca="1" si="677">60*$M$79/(1/($AZ$135/$AZ482+$BA$135/$BA482+$BB$135/$BB482+$BC$135/$BC482+$BD$135/$BD482+$BE$135/$BE482))</f>
        <v>28.38260312405604</v>
      </c>
      <c r="BA488" s="21">
        <f t="shared" ca="1" si="677"/>
        <v>28.38260312405604</v>
      </c>
      <c r="BB488" s="21">
        <f t="shared" ca="1" si="677"/>
        <v>28.38260312405604</v>
      </c>
      <c r="BC488" s="21">
        <f t="shared" ca="1" si="677"/>
        <v>28.38260312405604</v>
      </c>
      <c r="BD488" s="21">
        <f t="shared" ca="1" si="677"/>
        <v>28.38260312405604</v>
      </c>
      <c r="BE488" s="21">
        <f t="shared" ca="1" si="677"/>
        <v>28.38260312405604</v>
      </c>
      <c r="BF488" s="21"/>
      <c r="BG488" s="613">
        <f ca="1">SUMPRODUCT(AZ$476:BF$476,AZ488:BF488)/BG$476</f>
        <v>28.38260312405604</v>
      </c>
      <c r="BI488" s="21">
        <f t="shared" ref="BI488:BN488" ca="1" si="678">60*$N$79/(1/($BI$135/$BI482+$BJ$135/$BJ482+$BK$135/$BK482+$BL$135/$BL482+$BM$135/$BM482+$BN$135/$BN482))</f>
        <v>38.885594538760792</v>
      </c>
      <c r="BJ488" s="21">
        <f t="shared" ca="1" si="678"/>
        <v>38.885594538760792</v>
      </c>
      <c r="BK488" s="21">
        <f t="shared" ca="1" si="678"/>
        <v>38.885594538760792</v>
      </c>
      <c r="BL488" s="21">
        <f t="shared" ca="1" si="678"/>
        <v>38.885594538760792</v>
      </c>
      <c r="BM488" s="21">
        <f t="shared" ca="1" si="678"/>
        <v>38.885594538760792</v>
      </c>
      <c r="BN488" s="21">
        <f t="shared" ca="1" si="678"/>
        <v>38.885594538760792</v>
      </c>
      <c r="BO488" s="21"/>
      <c r="BP488" s="613">
        <f ca="1">SUMPRODUCT(BI$476:BO$476,BI488:BO488)/BP$476</f>
        <v>38.885594538760785</v>
      </c>
    </row>
    <row r="489" spans="2:68" ht="13.2" customHeight="1">
      <c r="B489" s="308" t="s">
        <v>2243</v>
      </c>
      <c r="C489" s="297"/>
      <c r="D489" s="297"/>
      <c r="E489" s="297"/>
      <c r="F489" s="297"/>
      <c r="G489" s="3741"/>
      <c r="H489" s="3742"/>
      <c r="I489" s="3742"/>
      <c r="J489" s="3742"/>
      <c r="K489" s="3742"/>
      <c r="L489" s="3777"/>
      <c r="O489" s="136">
        <f>ROW()</f>
        <v>489</v>
      </c>
      <c r="P489" s="21">
        <f t="shared" ref="P489:W489" ca="1" si="679">SUM(P485:P488)</f>
        <v>67.457843247618925</v>
      </c>
      <c r="Q489" s="21">
        <f t="shared" ca="1" si="679"/>
        <v>85.383141706275822</v>
      </c>
      <c r="R489" s="21">
        <f t="shared" ca="1" si="679"/>
        <v>101.04281800630002</v>
      </c>
      <c r="S489" s="21">
        <f t="shared" ca="1" si="679"/>
        <v>108.2526353117496</v>
      </c>
      <c r="T489" s="21">
        <f t="shared" ca="1" si="679"/>
        <v>93.887089215784712</v>
      </c>
      <c r="U489" s="21">
        <f t="shared" ca="1" si="679"/>
        <v>84.202783172623299</v>
      </c>
      <c r="V489" s="21"/>
      <c r="W489" s="614">
        <f t="shared" ca="1" si="679"/>
        <v>88.82410288936785</v>
      </c>
      <c r="Y489" s="21">
        <f t="shared" ref="Y489:AF489" ca="1" si="680">SUM(Y485:Y488)</f>
        <v>67.457843247618911</v>
      </c>
      <c r="Z489" s="21">
        <f t="shared" ca="1" si="680"/>
        <v>85.383141706275808</v>
      </c>
      <c r="AA489" s="21">
        <f t="shared" ca="1" si="680"/>
        <v>101.0428180063</v>
      </c>
      <c r="AB489" s="21">
        <f t="shared" ca="1" si="680"/>
        <v>108.2526353117496</v>
      </c>
      <c r="AC489" s="21">
        <f t="shared" ca="1" si="680"/>
        <v>93.887089215784698</v>
      </c>
      <c r="AD489" s="21">
        <f t="shared" ca="1" si="680"/>
        <v>84.202783172623271</v>
      </c>
      <c r="AE489" s="21"/>
      <c r="AF489" s="614">
        <f t="shared" ca="1" si="680"/>
        <v>91.213030788276455</v>
      </c>
      <c r="AH489" s="21">
        <f t="shared" ref="AH489:AO489" ca="1" si="681">SUM(AH485:AH488)</f>
        <v>64.656638141792996</v>
      </c>
      <c r="AI489" s="21">
        <f t="shared" ca="1" si="681"/>
        <v>116.85883244999987</v>
      </c>
      <c r="AJ489" s="21">
        <f t="shared" ca="1" si="681"/>
        <v>161.72564652246007</v>
      </c>
      <c r="AK489" s="21">
        <f t="shared" ca="1" si="681"/>
        <v>182.04119025696605</v>
      </c>
      <c r="AL489" s="21">
        <f t="shared" ca="1" si="681"/>
        <v>141.05996160859127</v>
      </c>
      <c r="AM489" s="21">
        <f t="shared" ca="1" si="681"/>
        <v>113.43409087738259</v>
      </c>
      <c r="AN489" s="21"/>
      <c r="AO489" s="614">
        <f t="shared" ca="1" si="681"/>
        <v>126.50932340577475</v>
      </c>
      <c r="AQ489" s="21">
        <f t="shared" ref="AQ489:AX489" ca="1" si="682">AQ485+AQ487</f>
        <v>13.030430999958739</v>
      </c>
      <c r="AR489" s="21">
        <f t="shared" ca="1" si="682"/>
        <v>20.909601039578092</v>
      </c>
      <c r="AS489" s="21">
        <f t="shared" ca="1" si="682"/>
        <v>28.472777256050605</v>
      </c>
      <c r="AT489" s="21">
        <f t="shared" ca="1" si="682"/>
        <v>32.269700324462995</v>
      </c>
      <c r="AU489" s="21">
        <f t="shared" ca="1" si="682"/>
        <v>25.167672453676555</v>
      </c>
      <c r="AV489" s="21">
        <f t="shared" ca="1" si="682"/>
        <v>20.379051392893839</v>
      </c>
      <c r="AW489" s="21"/>
      <c r="AX489" s="614">
        <f t="shared" ca="1" si="682"/>
        <v>22.005699900225586</v>
      </c>
      <c r="AZ489" s="21">
        <f t="shared" ref="AZ489:BG489" ca="1" si="683">SUM(AZ485:AZ488)</f>
        <v>64.563673527547664</v>
      </c>
      <c r="BA489" s="21">
        <f t="shared" ca="1" si="683"/>
        <v>79.79873016724207</v>
      </c>
      <c r="BB489" s="21">
        <f t="shared" ca="1" si="683"/>
        <v>93.919340054009581</v>
      </c>
      <c r="BC489" s="21">
        <f t="shared" ca="1" si="683"/>
        <v>100.7961301158135</v>
      </c>
      <c r="BD489" s="21">
        <f t="shared" ca="1" si="683"/>
        <v>87.646937796830102</v>
      </c>
      <c r="BE489" s="21">
        <f t="shared" ca="1" si="683"/>
        <v>78.781542322184066</v>
      </c>
      <c r="BF489" s="21"/>
      <c r="BG489" s="614">
        <f t="shared" ca="1" si="683"/>
        <v>84.04343185721828</v>
      </c>
      <c r="BI489" s="21">
        <f t="shared" ref="BI489:BP489" ca="1" si="684">SUM(BI485:BI488)</f>
        <v>72.945824461130826</v>
      </c>
      <c r="BJ489" s="21">
        <f t="shared" ca="1" si="684"/>
        <v>91.865238224144434</v>
      </c>
      <c r="BK489" s="21">
        <f t="shared" ca="1" si="684"/>
        <v>108.58936542549162</v>
      </c>
      <c r="BL489" s="21">
        <f t="shared" ca="1" si="684"/>
        <v>116.38000526279762</v>
      </c>
      <c r="BM489" s="21">
        <f t="shared" ca="1" si="684"/>
        <v>100.99073462170446</v>
      </c>
      <c r="BN489" s="21">
        <f t="shared" ca="1" si="684"/>
        <v>90.616041079367065</v>
      </c>
      <c r="BO489" s="21"/>
      <c r="BP489" s="614">
        <f t="shared" ca="1" si="684"/>
        <v>96.659155773209136</v>
      </c>
    </row>
    <row r="490" spans="2:68" ht="13.2" customHeight="1">
      <c r="B490" s="308"/>
      <c r="C490" s="297"/>
      <c r="D490" s="297"/>
      <c r="E490" s="297"/>
      <c r="F490" s="297"/>
      <c r="G490" s="280"/>
      <c r="O490" s="136">
        <f>ROW()</f>
        <v>490</v>
      </c>
      <c r="P490" s="21"/>
      <c r="Q490" s="21"/>
      <c r="R490" s="21"/>
      <c r="S490" s="21"/>
      <c r="T490" s="21"/>
      <c r="U490" s="21"/>
      <c r="V490" s="21"/>
      <c r="W490" s="634"/>
      <c r="Y490" s="21"/>
      <c r="Z490" s="21"/>
      <c r="AA490" s="21"/>
      <c r="AB490" s="21"/>
      <c r="AC490" s="21"/>
      <c r="AD490" s="21"/>
      <c r="AE490" s="21"/>
      <c r="AF490" s="634"/>
      <c r="AH490" s="21"/>
      <c r="AI490" s="21"/>
      <c r="AJ490" s="21"/>
      <c r="AK490" s="21"/>
      <c r="AL490" s="21"/>
      <c r="AM490" s="21"/>
      <c r="AN490" s="21"/>
      <c r="AO490" s="634"/>
      <c r="AQ490" s="21"/>
      <c r="AR490" s="21"/>
      <c r="AS490" s="21"/>
      <c r="AT490" s="21"/>
      <c r="AU490" s="21"/>
      <c r="AV490" s="21"/>
      <c r="AW490" s="21"/>
      <c r="AX490" s="634"/>
      <c r="AZ490" s="21"/>
      <c r="BA490" s="21"/>
      <c r="BB490" s="21"/>
      <c r="BC490" s="21"/>
      <c r="BD490" s="21"/>
      <c r="BE490" s="21"/>
      <c r="BF490" s="21"/>
      <c r="BG490" s="634"/>
      <c r="BI490" s="21"/>
      <c r="BJ490" s="21"/>
      <c r="BK490" s="21"/>
      <c r="BL490" s="21"/>
      <c r="BM490" s="21"/>
      <c r="BN490" s="21"/>
      <c r="BO490" s="21"/>
      <c r="BP490" s="634"/>
    </row>
    <row r="491" spans="2:68" ht="13.2" customHeight="1">
      <c r="B491" s="308" t="s">
        <v>715</v>
      </c>
      <c r="C491" s="297"/>
      <c r="D491" s="297"/>
      <c r="E491" s="297"/>
      <c r="F491" s="297"/>
      <c r="G491" s="280"/>
      <c r="O491" s="136">
        <f>ROW()</f>
        <v>491</v>
      </c>
      <c r="P491" s="21">
        <f t="shared" ref="P491:W491" ca="1" si="685">AVERAGE(P489,P435)</f>
        <v>64.090758027280998</v>
      </c>
      <c r="Q491" s="21">
        <f t="shared" ca="1" si="685"/>
        <v>79.487776132003376</v>
      </c>
      <c r="R491" s="21">
        <f t="shared" ca="1" si="685"/>
        <v>93.005824906115635</v>
      </c>
      <c r="S491" s="21">
        <f t="shared" ca="1" si="685"/>
        <v>99.38341072718805</v>
      </c>
      <c r="T491" s="21">
        <f t="shared" ca="1" si="685"/>
        <v>86.342615374296543</v>
      </c>
      <c r="U491" s="21">
        <f t="shared" ca="1" si="685"/>
        <v>77.87122180416219</v>
      </c>
      <c r="V491" s="21"/>
      <c r="W491" s="21">
        <f t="shared" ca="1" si="685"/>
        <v>82.285726911054809</v>
      </c>
      <c r="Y491" s="21">
        <f t="shared" ref="Y491:AF491" ca="1" si="686">AVERAGE(Y489,Y435)</f>
        <v>64.090758027280998</v>
      </c>
      <c r="Z491" s="21">
        <f t="shared" ca="1" si="686"/>
        <v>79.487776132003376</v>
      </c>
      <c r="AA491" s="21">
        <f t="shared" ca="1" si="686"/>
        <v>93.00582490611562</v>
      </c>
      <c r="AB491" s="21">
        <f t="shared" ca="1" si="686"/>
        <v>99.38341072718805</v>
      </c>
      <c r="AC491" s="21">
        <f t="shared" ca="1" si="686"/>
        <v>86.342615374296543</v>
      </c>
      <c r="AD491" s="21">
        <f t="shared" ca="1" si="686"/>
        <v>77.871221804162175</v>
      </c>
      <c r="AE491" s="21"/>
      <c r="AF491" s="21">
        <f t="shared" ca="1" si="686"/>
        <v>84.343158370396679</v>
      </c>
      <c r="AH491" s="21">
        <f t="shared" ref="AH491:AO491" ca="1" si="687">AVERAGE(AH489,AH435)</f>
        <v>64.127743349946144</v>
      </c>
      <c r="AI491" s="21">
        <f t="shared" ca="1" si="687"/>
        <v>108.9424910142392</v>
      </c>
      <c r="AJ491" s="21">
        <f t="shared" ca="1" si="687"/>
        <v>147.6577329793285</v>
      </c>
      <c r="AK491" s="21">
        <f t="shared" ca="1" si="687"/>
        <v>165.63198263221602</v>
      </c>
      <c r="AL491" s="21">
        <f t="shared" ca="1" si="687"/>
        <v>128.40681561668356</v>
      </c>
      <c r="AM491" s="21">
        <f t="shared" ca="1" si="687"/>
        <v>104.19897398299477</v>
      </c>
      <c r="AN491" s="21"/>
      <c r="AO491" s="21">
        <f t="shared" ca="1" si="687"/>
        <v>117.2032846410232</v>
      </c>
      <c r="AQ491" s="21">
        <f t="shared" ref="AQ491:AX491" ca="1" si="688">AVERAGE(AQ489,AQ435)</f>
        <v>12.93737860908195</v>
      </c>
      <c r="AR491" s="21">
        <f t="shared" ca="1" si="688"/>
        <v>19.727879810904902</v>
      </c>
      <c r="AS491" s="21">
        <f t="shared" ca="1" si="688"/>
        <v>26.27105451494424</v>
      </c>
      <c r="AT491" s="21">
        <f t="shared" ca="1" si="688"/>
        <v>29.626253521284099</v>
      </c>
      <c r="AU491" s="21">
        <f t="shared" ca="1" si="688"/>
        <v>23.200464682150709</v>
      </c>
      <c r="AV491" s="21">
        <f t="shared" ca="1" si="688"/>
        <v>19.050297083914806</v>
      </c>
      <c r="AW491" s="21"/>
      <c r="AX491" s="21">
        <f t="shared" ca="1" si="688"/>
        <v>20.656442671408037</v>
      </c>
      <c r="AZ491" s="21">
        <f t="shared" ref="AZ491:BE491" ca="1" si="689">AVERAGE(AZ489,AZ435)</f>
        <v>62.376218731387539</v>
      </c>
      <c r="BA491" s="21">
        <f t="shared" ca="1" si="689"/>
        <v>75.58921986800047</v>
      </c>
      <c r="BB491" s="21">
        <f t="shared" ca="1" si="689"/>
        <v>87.906533447377242</v>
      </c>
      <c r="BC491" s="21">
        <f t="shared" ca="1" si="689"/>
        <v>94.04973968852245</v>
      </c>
      <c r="BD491" s="21">
        <f t="shared" ca="1" si="689"/>
        <v>82.021639961610347</v>
      </c>
      <c r="BE491" s="21">
        <f t="shared" ca="1" si="689"/>
        <v>74.24268666739323</v>
      </c>
      <c r="BF491" s="21"/>
      <c r="BG491" s="21">
        <f ca="1">AVERAGE(BG489,BG435)</f>
        <v>79.215635387494672</v>
      </c>
      <c r="BI491" s="21">
        <f t="shared" ref="BI491:BP491" ca="1" si="690">AVERAGE(BI489,BI435)</f>
        <v>70.003644785487779</v>
      </c>
      <c r="BJ491" s="21">
        <f t="shared" ca="1" si="690"/>
        <v>86.359250570834448</v>
      </c>
      <c r="BK491" s="21">
        <f t="shared" ca="1" si="690"/>
        <v>100.90088195240492</v>
      </c>
      <c r="BL491" s="21">
        <f t="shared" ca="1" si="690"/>
        <v>107.84660174519856</v>
      </c>
      <c r="BM491" s="21">
        <f t="shared" ca="1" si="690"/>
        <v>93.777297215539619</v>
      </c>
      <c r="BN491" s="21">
        <f t="shared" ca="1" si="690"/>
        <v>84.649322062833107</v>
      </c>
      <c r="BO491" s="21"/>
      <c r="BP491" s="21">
        <f t="shared" ca="1" si="690"/>
        <v>90.395524125044744</v>
      </c>
    </row>
    <row r="492" spans="2:68" ht="13.2" customHeight="1">
      <c r="B492" s="309" t="s">
        <v>30</v>
      </c>
      <c r="C492" s="297"/>
      <c r="D492" s="297"/>
      <c r="E492" s="297"/>
      <c r="F492" s="297"/>
      <c r="G492" s="280"/>
      <c r="O492" s="136">
        <f>ROW()</f>
        <v>492</v>
      </c>
      <c r="P492" s="21"/>
      <c r="Q492" s="21"/>
      <c r="R492" s="21"/>
      <c r="S492" s="21"/>
      <c r="T492" s="21"/>
      <c r="U492" s="21"/>
      <c r="V492" s="21"/>
      <c r="W492" s="21"/>
      <c r="Y492" s="21"/>
      <c r="Z492" s="21"/>
      <c r="AA492" s="21"/>
      <c r="AB492" s="21"/>
      <c r="AC492" s="21"/>
      <c r="AD492" s="21"/>
      <c r="AE492" s="21"/>
      <c r="AF492" s="21"/>
      <c r="AH492" s="21"/>
      <c r="AI492" s="21"/>
      <c r="AJ492" s="21"/>
      <c r="AK492" s="21"/>
      <c r="AL492" s="21"/>
      <c r="AM492" s="21"/>
      <c r="AN492" s="21"/>
      <c r="AO492" s="21"/>
      <c r="AQ492" s="21"/>
      <c r="AR492" s="21"/>
      <c r="AS492" s="21"/>
      <c r="AT492" s="21"/>
      <c r="AU492" s="21"/>
      <c r="AV492" s="21"/>
      <c r="AW492" s="21"/>
      <c r="AX492" s="21"/>
      <c r="AZ492" s="21"/>
      <c r="BA492" s="21"/>
      <c r="BB492" s="21"/>
      <c r="BC492" s="21"/>
      <c r="BD492" s="21"/>
      <c r="BE492" s="21"/>
      <c r="BF492" s="21"/>
      <c r="BG492" s="21"/>
      <c r="BI492" s="21"/>
      <c r="BJ492" s="21"/>
      <c r="BK492" s="21"/>
      <c r="BL492" s="21"/>
      <c r="BM492" s="21"/>
      <c r="BN492" s="21"/>
      <c r="BO492" s="21"/>
      <c r="BP492" s="21"/>
    </row>
    <row r="493" spans="2:68" ht="13.2" customHeight="1">
      <c r="B493" s="308" t="s">
        <v>1345</v>
      </c>
      <c r="G493" s="280" t="s">
        <v>307</v>
      </c>
      <c r="O493" s="136">
        <f>ROW()</f>
        <v>493</v>
      </c>
      <c r="P493" s="117">
        <f t="shared" ref="P493:W493" ca="1" si="691">P491/P435</f>
        <v>1.0554493011488746</v>
      </c>
      <c r="Q493" s="117">
        <f t="shared" ca="1" si="691"/>
        <v>1.0801083363025281</v>
      </c>
      <c r="R493" s="117">
        <f t="shared" ca="1" si="691"/>
        <v>1.0945875438012478</v>
      </c>
      <c r="S493" s="117">
        <f t="shared" ca="1" si="691"/>
        <v>1.0979871218262516</v>
      </c>
      <c r="T493" s="117">
        <f t="shared" ca="1" si="691"/>
        <v>1.0957443119181554</v>
      </c>
      <c r="U493" s="117">
        <f t="shared" ca="1" si="691"/>
        <v>1.0885042133258631</v>
      </c>
      <c r="V493" s="117"/>
      <c r="W493" s="117">
        <f t="shared" ca="1" si="691"/>
        <v>1.086318213083368</v>
      </c>
      <c r="Y493" s="117">
        <f t="shared" ref="Y493:AF493" ca="1" si="692">Y491/Y435</f>
        <v>1.0554493011488748</v>
      </c>
      <c r="Z493" s="117">
        <f t="shared" ca="1" si="692"/>
        <v>1.0801083363025283</v>
      </c>
      <c r="AA493" s="117">
        <f t="shared" ca="1" si="692"/>
        <v>1.0945875438012478</v>
      </c>
      <c r="AB493" s="117">
        <f t="shared" ca="1" si="692"/>
        <v>1.0979871218262518</v>
      </c>
      <c r="AC493" s="117">
        <f t="shared" ca="1" si="692"/>
        <v>1.0957443119181556</v>
      </c>
      <c r="AD493" s="117">
        <f t="shared" ca="1" si="692"/>
        <v>1.0885042133258631</v>
      </c>
      <c r="AE493" s="117"/>
      <c r="AF493" s="117">
        <f t="shared" ca="1" si="692"/>
        <v>1.0886740807933497</v>
      </c>
      <c r="AH493" s="117">
        <f t="shared" ref="AH493:AO493" ca="1" si="693">AH491/AH435</f>
        <v>1.0083161064050346</v>
      </c>
      <c r="AI493" s="117">
        <f t="shared" ca="1" si="693"/>
        <v>1.0783593304188155</v>
      </c>
      <c r="AJ493" s="117">
        <f t="shared" ca="1" si="693"/>
        <v>1.1053067786340596</v>
      </c>
      <c r="AK493" s="117">
        <f t="shared" ca="1" si="693"/>
        <v>1.1099644985420556</v>
      </c>
      <c r="AL493" s="117">
        <f t="shared" ca="1" si="693"/>
        <v>1.1093109707270954</v>
      </c>
      <c r="AM493" s="117">
        <f t="shared" ca="1" si="693"/>
        <v>1.0972487552371732</v>
      </c>
      <c r="AN493" s="117"/>
      <c r="AO493" s="117">
        <f t="shared" ca="1" si="693"/>
        <v>1.0862490853142166</v>
      </c>
      <c r="AQ493" s="117">
        <f t="shared" ref="AQ493:AX493" ca="1" si="694">AQ491/AQ435</f>
        <v>1.0072446299864992</v>
      </c>
      <c r="AR493" s="117">
        <f t="shared" ca="1" si="694"/>
        <v>1.0637178434247483</v>
      </c>
      <c r="AS493" s="117">
        <f t="shared" ca="1" si="694"/>
        <v>1.0914741947052939</v>
      </c>
      <c r="AT493" s="117">
        <f t="shared" ca="1" si="694"/>
        <v>1.0979678219095412</v>
      </c>
      <c r="AU493" s="117">
        <f t="shared" ca="1" si="694"/>
        <v>1.0926474812510503</v>
      </c>
      <c r="AV493" s="117">
        <f t="shared" ca="1" si="694"/>
        <v>1.0749796067901229</v>
      </c>
      <c r="AW493" s="117"/>
      <c r="AX493" s="117">
        <f t="shared" ca="1" si="694"/>
        <v>1.0698836830893625</v>
      </c>
      <c r="AZ493" s="117">
        <f t="shared" ref="AZ493:BE493" ca="1" si="695">AZ491/AZ435</f>
        <v>1.0363432417139213</v>
      </c>
      <c r="BA493" s="117">
        <f t="shared" ca="1" si="695"/>
        <v>1.0589734859482252</v>
      </c>
      <c r="BB493" s="117">
        <f t="shared" ca="1" si="695"/>
        <v>1.073422065872337</v>
      </c>
      <c r="BC493" s="117">
        <f t="shared" ca="1" si="695"/>
        <v>1.0772752761993623</v>
      </c>
      <c r="BD493" s="117">
        <f t="shared" ca="1" si="695"/>
        <v>1.0736330782161432</v>
      </c>
      <c r="BE493" s="117">
        <f t="shared" ca="1" si="695"/>
        <v>1.0651163011968481</v>
      </c>
      <c r="BF493" s="117"/>
      <c r="BG493" s="117">
        <f ca="1">BG491/BG435</f>
        <v>1.0649003458086783</v>
      </c>
      <c r="BI493" s="117">
        <f t="shared" ref="BI493:BP493" ca="1" si="696">BI491/BI435</f>
        <v>1.0438728809581455</v>
      </c>
      <c r="BJ493" s="117">
        <f t="shared" ca="1" si="696"/>
        <v>1.0680985213784935</v>
      </c>
      <c r="BK493" s="117">
        <f t="shared" ca="1" si="696"/>
        <v>1.0824834850139877</v>
      </c>
      <c r="BL493" s="117">
        <f t="shared" ca="1" si="696"/>
        <v>1.085924163856276</v>
      </c>
      <c r="BM493" s="117">
        <f t="shared" ca="1" si="696"/>
        <v>1.0833308198369365</v>
      </c>
      <c r="BN493" s="117">
        <f t="shared" ca="1" si="696"/>
        <v>1.0758327608076586</v>
      </c>
      <c r="BO493" s="117"/>
      <c r="BP493" s="117">
        <f t="shared" ca="1" si="696"/>
        <v>1.0744501456434687</v>
      </c>
    </row>
    <row r="494" spans="2:68" ht="13.2" customHeight="1">
      <c r="B494" s="280"/>
      <c r="G494" s="280"/>
      <c r="O494" s="136">
        <f>ROW()</f>
        <v>494</v>
      </c>
      <c r="P494" s="117"/>
      <c r="Q494" s="117"/>
      <c r="R494" s="117"/>
      <c r="S494" s="117"/>
      <c r="T494" s="117"/>
      <c r="U494" s="117"/>
      <c r="V494" s="117"/>
      <c r="W494" s="117"/>
      <c r="Y494" s="117"/>
      <c r="Z494" s="117"/>
      <c r="AA494" s="117"/>
      <c r="AB494" s="117"/>
      <c r="AC494" s="117"/>
      <c r="AD494" s="117"/>
      <c r="AE494" s="117"/>
      <c r="AF494" s="117"/>
      <c r="AH494" s="117"/>
      <c r="AI494" s="117"/>
      <c r="AJ494" s="117"/>
      <c r="AK494" s="117"/>
      <c r="AL494" s="117"/>
      <c r="AM494" s="117"/>
      <c r="AN494" s="117"/>
      <c r="AO494" s="117"/>
      <c r="AQ494" s="117"/>
      <c r="AR494" s="117"/>
      <c r="AS494" s="117"/>
      <c r="AT494" s="117"/>
      <c r="AU494" s="117"/>
      <c r="AV494" s="117"/>
      <c r="AW494" s="117"/>
      <c r="AX494" s="117"/>
      <c r="AZ494" s="117"/>
      <c r="BA494" s="117"/>
      <c r="BB494" s="117"/>
      <c r="BC494" s="117"/>
      <c r="BD494" s="117"/>
      <c r="BE494" s="117"/>
      <c r="BF494" s="117"/>
      <c r="BG494" s="117"/>
      <c r="BI494" s="117"/>
      <c r="BJ494" s="117"/>
      <c r="BK494" s="117"/>
      <c r="BL494" s="117"/>
      <c r="BM494" s="117"/>
      <c r="BN494" s="117"/>
      <c r="BO494" s="117"/>
      <c r="BP494" s="117"/>
    </row>
    <row r="495" spans="2:68" ht="13.2" customHeight="1">
      <c r="B495" s="308" t="s">
        <v>2377</v>
      </c>
      <c r="G495" s="280"/>
      <c r="O495" s="136">
        <f>ROW()</f>
        <v>495</v>
      </c>
      <c r="P495" s="117"/>
      <c r="Q495" s="117"/>
      <c r="R495" s="117"/>
      <c r="S495" s="117"/>
      <c r="T495" s="117"/>
      <c r="U495" s="117"/>
      <c r="V495" s="117"/>
      <c r="W495" s="117"/>
      <c r="Y495" s="117"/>
      <c r="Z495" s="117"/>
      <c r="AA495" s="117"/>
      <c r="AB495" s="117"/>
      <c r="AC495" s="117"/>
      <c r="AD495" s="117"/>
      <c r="AE495" s="117"/>
      <c r="AF495" s="117"/>
      <c r="AH495" s="117"/>
      <c r="AI495" s="117"/>
      <c r="AJ495" s="117"/>
      <c r="AK495" s="117"/>
      <c r="AL495" s="117"/>
      <c r="AM495" s="117"/>
      <c r="AN495" s="117"/>
      <c r="AO495" s="117"/>
      <c r="AQ495" s="117"/>
      <c r="AR495" s="117"/>
      <c r="AS495" s="117"/>
      <c r="AT495" s="117"/>
      <c r="AU495" s="117"/>
      <c r="AV495" s="117"/>
      <c r="AW495" s="117"/>
      <c r="AX495" s="117"/>
      <c r="AZ495" s="117"/>
      <c r="BA495" s="117"/>
      <c r="BB495" s="117"/>
      <c r="BC495" s="117"/>
      <c r="BD495" s="117"/>
      <c r="BE495" s="117"/>
      <c r="BF495" s="117"/>
      <c r="BG495" s="117"/>
      <c r="BI495" s="117"/>
      <c r="BJ495" s="117"/>
      <c r="BK495" s="117"/>
      <c r="BL495" s="117"/>
      <c r="BM495" s="117"/>
      <c r="BN495" s="117"/>
      <c r="BO495" s="117"/>
      <c r="BP495" s="117"/>
    </row>
    <row r="496" spans="2:68" ht="13.2" customHeight="1">
      <c r="B496" s="280" t="s">
        <v>2533</v>
      </c>
      <c r="G496" s="21">
        <f t="shared" ref="G496:L496" ca="1" si="697">AVERAGE(G481,G403)</f>
        <v>20.152411610806574</v>
      </c>
      <c r="H496" s="21">
        <f t="shared" ca="1" si="697"/>
        <v>15.863236310260795</v>
      </c>
      <c r="I496" s="21">
        <f t="shared" ca="1" si="697"/>
        <v>12.368619545050976</v>
      </c>
      <c r="J496" s="1135">
        <f t="shared" ca="1" si="697"/>
        <v>10.862764442005972</v>
      </c>
      <c r="K496" s="21">
        <f t="shared" ca="1" si="697"/>
        <v>13.576813555483447</v>
      </c>
      <c r="L496" s="21">
        <f t="shared" ca="1" si="697"/>
        <v>16.128028480080157</v>
      </c>
      <c r="M496" s="21"/>
      <c r="O496" s="136">
        <f>ROW()</f>
        <v>496</v>
      </c>
      <c r="P496" s="21">
        <f t="shared" ref="P496:U497" ca="1" si="698">G496</f>
        <v>20.152411610806574</v>
      </c>
      <c r="Q496" s="21">
        <f t="shared" ca="1" si="698"/>
        <v>15.863236310260795</v>
      </c>
      <c r="R496" s="21">
        <f t="shared" ca="1" si="698"/>
        <v>12.368619545050976</v>
      </c>
      <c r="S496" s="21">
        <f t="shared" ca="1" si="698"/>
        <v>10.862764442005972</v>
      </c>
      <c r="T496" s="21">
        <f t="shared" ca="1" si="698"/>
        <v>13.576813555483447</v>
      </c>
      <c r="U496" s="21">
        <f t="shared" ca="1" si="698"/>
        <v>16.128028480080157</v>
      </c>
      <c r="V496" s="21"/>
      <c r="Y496" s="21">
        <f t="shared" ref="Y496:AD497" ca="1" si="699">G496</f>
        <v>20.152411610806574</v>
      </c>
      <c r="Z496" s="21">
        <f t="shared" ca="1" si="699"/>
        <v>15.863236310260795</v>
      </c>
      <c r="AA496" s="21">
        <f t="shared" ca="1" si="699"/>
        <v>12.368619545050976</v>
      </c>
      <c r="AB496" s="21">
        <f t="shared" ca="1" si="699"/>
        <v>10.862764442005972</v>
      </c>
      <c r="AC496" s="21">
        <f t="shared" ca="1" si="699"/>
        <v>13.576813555483447</v>
      </c>
      <c r="AD496" s="21">
        <f t="shared" ca="1" si="699"/>
        <v>16.128028480080157</v>
      </c>
      <c r="AE496" s="21"/>
      <c r="AH496" s="21">
        <f t="shared" ref="AH496:AM497" ca="1" si="700">P496</f>
        <v>20.152411610806574</v>
      </c>
      <c r="AI496" s="21">
        <f t="shared" ca="1" si="700"/>
        <v>15.863236310260795</v>
      </c>
      <c r="AJ496" s="21">
        <f t="shared" ca="1" si="700"/>
        <v>12.368619545050976</v>
      </c>
      <c r="AK496" s="21">
        <f t="shared" ca="1" si="700"/>
        <v>10.862764442005972</v>
      </c>
      <c r="AL496" s="21">
        <f t="shared" ca="1" si="700"/>
        <v>13.576813555483447</v>
      </c>
      <c r="AM496" s="21">
        <f t="shared" ca="1" si="700"/>
        <v>16.128028480080157</v>
      </c>
      <c r="AN496" s="21"/>
      <c r="AQ496" s="21">
        <f t="shared" ref="AQ496:AV496" ca="1" si="701">G496*$AU$181</f>
        <v>19.144791030266244</v>
      </c>
      <c r="AR496" s="21">
        <f t="shared" ca="1" si="701"/>
        <v>15.070074494747756</v>
      </c>
      <c r="AS496" s="21">
        <f t="shared" ca="1" si="701"/>
        <v>11.750188567798427</v>
      </c>
      <c r="AT496" s="21">
        <f t="shared" ca="1" si="701"/>
        <v>10.319626219905672</v>
      </c>
      <c r="AU496" s="21">
        <f t="shared" ca="1" si="701"/>
        <v>12.897972877709273</v>
      </c>
      <c r="AV496" s="21">
        <f t="shared" ca="1" si="701"/>
        <v>15.321627056076149</v>
      </c>
      <c r="AW496" s="21"/>
      <c r="AZ496" s="21">
        <f t="shared" ref="AZ496:BE497" ca="1" si="702">G496</f>
        <v>20.152411610806574</v>
      </c>
      <c r="BA496" s="21">
        <f t="shared" ca="1" si="702"/>
        <v>15.863236310260795</v>
      </c>
      <c r="BB496" s="21">
        <f t="shared" ca="1" si="702"/>
        <v>12.368619545050976</v>
      </c>
      <c r="BC496" s="21">
        <f t="shared" ca="1" si="702"/>
        <v>10.862764442005972</v>
      </c>
      <c r="BD496" s="21">
        <f t="shared" ca="1" si="702"/>
        <v>13.576813555483447</v>
      </c>
      <c r="BE496" s="21">
        <f t="shared" ca="1" si="702"/>
        <v>16.128028480080157</v>
      </c>
      <c r="BF496" s="21"/>
      <c r="BG496" s="21"/>
      <c r="BI496" s="21">
        <f t="shared" ref="BI496:BN497" ca="1" si="703">G496</f>
        <v>20.152411610806574</v>
      </c>
      <c r="BJ496" s="21">
        <f t="shared" ca="1" si="703"/>
        <v>15.863236310260795</v>
      </c>
      <c r="BK496" s="21">
        <f t="shared" ca="1" si="703"/>
        <v>12.368619545050976</v>
      </c>
      <c r="BL496" s="21">
        <f t="shared" ca="1" si="703"/>
        <v>10.862764442005972</v>
      </c>
      <c r="BM496" s="21">
        <f t="shared" ca="1" si="703"/>
        <v>13.576813555483447</v>
      </c>
      <c r="BN496" s="21">
        <f t="shared" ca="1" si="703"/>
        <v>16.128028480080157</v>
      </c>
      <c r="BO496" s="21"/>
      <c r="BP496" s="21"/>
    </row>
    <row r="497" spans="2:68" ht="13.2" customHeight="1">
      <c r="B497" s="280" t="s">
        <v>2534</v>
      </c>
      <c r="G497" s="21">
        <f t="shared" ref="G497:L497" ca="1" si="704">AVERAGE(G482,G427)</f>
        <v>54.529173107509479</v>
      </c>
      <c r="H497" s="21">
        <f t="shared" ca="1" si="704"/>
        <v>31.117080181347092</v>
      </c>
      <c r="I497" s="21">
        <f t="shared" ca="1" si="704"/>
        <v>22.921147441170653</v>
      </c>
      <c r="J497" s="21">
        <f t="shared" ca="1" si="704"/>
        <v>20.48139754245215</v>
      </c>
      <c r="K497" s="21">
        <f t="shared" ca="1" si="704"/>
        <v>26.506833564450076</v>
      </c>
      <c r="L497" s="21">
        <f t="shared" ca="1" si="704"/>
        <v>32.734659217648186</v>
      </c>
      <c r="M497" s="21"/>
      <c r="O497" s="136">
        <f>ROW()</f>
        <v>497</v>
      </c>
      <c r="P497" s="21">
        <f t="shared" ca="1" si="698"/>
        <v>54.529173107509479</v>
      </c>
      <c r="Q497" s="21">
        <f t="shared" ca="1" si="698"/>
        <v>31.117080181347092</v>
      </c>
      <c r="R497" s="21">
        <f t="shared" ca="1" si="698"/>
        <v>22.921147441170653</v>
      </c>
      <c r="S497" s="21">
        <f t="shared" ca="1" si="698"/>
        <v>20.48139754245215</v>
      </c>
      <c r="T497" s="21">
        <f t="shared" ca="1" si="698"/>
        <v>26.506833564450076</v>
      </c>
      <c r="U497" s="21">
        <f t="shared" ca="1" si="698"/>
        <v>32.734659217648186</v>
      </c>
      <c r="V497" s="21"/>
      <c r="Y497" s="21">
        <f t="shared" ca="1" si="699"/>
        <v>54.529173107509479</v>
      </c>
      <c r="Z497" s="21">
        <f t="shared" ca="1" si="699"/>
        <v>31.117080181347092</v>
      </c>
      <c r="AA497" s="21">
        <f t="shared" ca="1" si="699"/>
        <v>22.921147441170653</v>
      </c>
      <c r="AB497" s="21">
        <f t="shared" ca="1" si="699"/>
        <v>20.48139754245215</v>
      </c>
      <c r="AC497" s="21">
        <f t="shared" ca="1" si="699"/>
        <v>26.506833564450076</v>
      </c>
      <c r="AD497" s="21">
        <f t="shared" ca="1" si="699"/>
        <v>32.734659217648186</v>
      </c>
      <c r="AE497" s="21"/>
      <c r="AH497" s="21">
        <f t="shared" ca="1" si="700"/>
        <v>54.529173107509479</v>
      </c>
      <c r="AI497" s="21">
        <f t="shared" ca="1" si="700"/>
        <v>31.117080181347092</v>
      </c>
      <c r="AJ497" s="21">
        <f t="shared" ca="1" si="700"/>
        <v>22.921147441170653</v>
      </c>
      <c r="AK497" s="21">
        <f t="shared" ca="1" si="700"/>
        <v>20.48139754245215</v>
      </c>
      <c r="AL497" s="21">
        <f t="shared" ca="1" si="700"/>
        <v>26.506833564450076</v>
      </c>
      <c r="AM497" s="21">
        <f t="shared" ca="1" si="700"/>
        <v>32.734659217648186</v>
      </c>
      <c r="AN497" s="21"/>
      <c r="AQ497" s="21">
        <f t="shared" ref="AQ497:AV497" ca="1" si="705">G497*$AV$181</f>
        <v>53.983881376434383</v>
      </c>
      <c r="AR497" s="21">
        <f t="shared" ca="1" si="705"/>
        <v>30.80590937953362</v>
      </c>
      <c r="AS497" s="21">
        <f t="shared" ca="1" si="705"/>
        <v>22.691935966758948</v>
      </c>
      <c r="AT497" s="21">
        <f t="shared" ca="1" si="705"/>
        <v>20.276583567027629</v>
      </c>
      <c r="AU497" s="21">
        <f t="shared" ca="1" si="705"/>
        <v>26.241765228805576</v>
      </c>
      <c r="AV497" s="21">
        <f t="shared" ca="1" si="705"/>
        <v>32.407312625471704</v>
      </c>
      <c r="AW497" s="21"/>
      <c r="AZ497" s="21">
        <f t="shared" ca="1" si="702"/>
        <v>54.529173107509479</v>
      </c>
      <c r="BA497" s="21">
        <f t="shared" ca="1" si="702"/>
        <v>31.117080181347092</v>
      </c>
      <c r="BB497" s="21">
        <f t="shared" ca="1" si="702"/>
        <v>22.921147441170653</v>
      </c>
      <c r="BC497" s="21">
        <f t="shared" ca="1" si="702"/>
        <v>20.48139754245215</v>
      </c>
      <c r="BD497" s="21">
        <f t="shared" ca="1" si="702"/>
        <v>26.506833564450076</v>
      </c>
      <c r="BE497" s="21">
        <f t="shared" ca="1" si="702"/>
        <v>32.734659217648186</v>
      </c>
      <c r="BF497" s="21"/>
      <c r="BG497" s="21"/>
      <c r="BI497" s="21">
        <f t="shared" ca="1" si="703"/>
        <v>54.529173107509479</v>
      </c>
      <c r="BJ497" s="21">
        <f t="shared" ca="1" si="703"/>
        <v>31.117080181347092</v>
      </c>
      <c r="BK497" s="21">
        <f t="shared" ca="1" si="703"/>
        <v>22.921147441170653</v>
      </c>
      <c r="BL497" s="21">
        <f t="shared" ca="1" si="703"/>
        <v>20.48139754245215</v>
      </c>
      <c r="BM497" s="21">
        <f t="shared" ca="1" si="703"/>
        <v>26.506833564450076</v>
      </c>
      <c r="BN497" s="21">
        <f t="shared" ca="1" si="703"/>
        <v>32.734659217648186</v>
      </c>
      <c r="BO497" s="21"/>
      <c r="BP497" s="21"/>
    </row>
    <row r="498" spans="2:68" ht="13.2" customHeight="1">
      <c r="B498" s="280"/>
      <c r="G498" s="280"/>
      <c r="O498" s="136">
        <f>ROW()</f>
        <v>498</v>
      </c>
      <c r="P498" s="117"/>
      <c r="Q498" s="117"/>
      <c r="R498" s="117"/>
      <c r="S498" s="117"/>
      <c r="T498" s="117"/>
      <c r="U498" s="117"/>
      <c r="V498" s="117"/>
      <c r="W498" s="117"/>
      <c r="Y498" s="117"/>
      <c r="Z498" s="117"/>
      <c r="AA498" s="117"/>
      <c r="AB498" s="117"/>
      <c r="AC498" s="117"/>
      <c r="AD498" s="117"/>
      <c r="AE498" s="117"/>
      <c r="AF498" s="117"/>
      <c r="AH498" s="117"/>
      <c r="AI498" s="117"/>
      <c r="AJ498" s="117"/>
      <c r="AK498" s="117"/>
      <c r="AL498" s="117"/>
      <c r="AM498" s="117"/>
      <c r="AN498" s="117"/>
      <c r="AO498" s="117"/>
      <c r="AQ498" s="117"/>
      <c r="AR498" s="117"/>
      <c r="AS498" s="117"/>
      <c r="AT498" s="117"/>
      <c r="AU498" s="117"/>
      <c r="AV498" s="117"/>
      <c r="AW498" s="117"/>
      <c r="AX498" s="117"/>
      <c r="AZ498" s="117"/>
      <c r="BA498" s="117"/>
      <c r="BB498" s="117"/>
      <c r="BC498" s="117"/>
      <c r="BD498" s="117"/>
      <c r="BE498" s="117"/>
      <c r="BF498" s="117"/>
      <c r="BG498" s="117"/>
      <c r="BI498" s="117"/>
      <c r="BJ498" s="117"/>
      <c r="BK498" s="117"/>
      <c r="BL498" s="117"/>
      <c r="BM498" s="117"/>
      <c r="BN498" s="117"/>
      <c r="BO498" s="117"/>
      <c r="BP498" s="117"/>
    </row>
    <row r="499" spans="2:68" ht="13.2" customHeight="1">
      <c r="B499" s="6" t="s">
        <v>399</v>
      </c>
      <c r="O499" s="136">
        <f>ROW()</f>
        <v>499</v>
      </c>
      <c r="P499" s="117">
        <f ca="1">P493^Elasticities!$G$52</f>
        <v>0.94746379471897224</v>
      </c>
      <c r="Q499" s="117">
        <f ca="1">Q493^Elasticities!$G$52</f>
        <v>0.92583305432420016</v>
      </c>
      <c r="R499" s="117">
        <f ca="1">R493^Elasticities!$G$52</f>
        <v>0.91358613174715353</v>
      </c>
      <c r="S499" s="117">
        <f ca="1">S493^Elasticities!$G$52</f>
        <v>0.91075749443830245</v>
      </c>
      <c r="T499" s="117">
        <f ca="1">T493^Elasticities!$G$52</f>
        <v>0.91262166649941345</v>
      </c>
      <c r="U499" s="117">
        <f ca="1">U493^Elasticities!$G$52</f>
        <v>0.91869189641862437</v>
      </c>
      <c r="V499" s="117"/>
      <c r="Y499" s="117">
        <f ca="1">Y493^Elasticities!$H$52</f>
        <v>0.94746379471897202</v>
      </c>
      <c r="Z499" s="117">
        <f ca="1">Z493^Elasticities!$H$52</f>
        <v>0.92583305432420004</v>
      </c>
      <c r="AA499" s="117">
        <f ca="1">AA493^Elasticities!$H$52</f>
        <v>0.91358613174715353</v>
      </c>
      <c r="AB499" s="117">
        <f ca="1">AB493^Elasticities!$H$52</f>
        <v>0.91075749443830223</v>
      </c>
      <c r="AC499" s="117">
        <f ca="1">AC493^Elasticities!$H$52</f>
        <v>0.91262166649941323</v>
      </c>
      <c r="AD499" s="117">
        <f ca="1">AD493^Elasticities!$H$52</f>
        <v>0.91869189641862437</v>
      </c>
      <c r="AE499" s="117"/>
      <c r="AH499" s="638">
        <f ca="1">AH493^Elasticities!$J$52</f>
        <v>0.99175248084186207</v>
      </c>
      <c r="AI499" s="117">
        <f ca="1">AI493^Elasticities!$J$52</f>
        <v>0.92733467573523742</v>
      </c>
      <c r="AJ499" s="117">
        <f ca="1">AJ493^Elasticities!$J$52</f>
        <v>0.90472619849106695</v>
      </c>
      <c r="AK499" s="117">
        <f ca="1">AK493^Elasticities!$J$52</f>
        <v>0.90092971560217061</v>
      </c>
      <c r="AL499" s="117">
        <f ca="1">AL493^Elasticities!$J$52</f>
        <v>0.90146047987297218</v>
      </c>
      <c r="AM499" s="117">
        <f ca="1">AM493^Elasticities!$J$52</f>
        <v>0.91137036631574697</v>
      </c>
      <c r="AN499" s="117"/>
      <c r="AQ499" s="638">
        <f ca="1">P493^Elasticities!$G$54</f>
        <v>0.95774545270397748</v>
      </c>
      <c r="AR499" s="638">
        <f ca="1">Q493^Elasticities!$G$54</f>
        <v>0.94021277025441152</v>
      </c>
      <c r="AS499" s="638">
        <f ca="1">R493^Elasticities!$G$54</f>
        <v>0.93024982861988004</v>
      </c>
      <c r="AT499" s="638">
        <f ca="1">S493^Elasticities!$G$54</f>
        <v>0.92794492927518568</v>
      </c>
      <c r="AU499" s="638">
        <f ca="1">T493^Elasticities!$G$54</f>
        <v>0.92946410006622437</v>
      </c>
      <c r="AV499" s="638">
        <f ca="1">U493^Elasticities!$G$54</f>
        <v>0.93440662393793539</v>
      </c>
      <c r="AW499" s="638"/>
      <c r="AZ499" s="117">
        <f ca="1">AZ493^(Elasticities!$J$64*Elasticities!$G$52)</f>
        <v>0.9881710508912529</v>
      </c>
      <c r="BA499" s="117">
        <f ca="1">BA493^(Elasticities!$J$64*Elasticities!$G$52)</f>
        <v>0.98108123958798776</v>
      </c>
      <c r="BB499" s="117">
        <f ca="1">BB493^(Elasticities!$J$64*Elasticities!$G$52)</f>
        <v>0.97665945869102344</v>
      </c>
      <c r="BC499" s="117">
        <f ca="1">BC493^(Elasticities!$J$64*Elasticities!$G$52)</f>
        <v>0.97549362541600559</v>
      </c>
      <c r="BD499" s="117">
        <f ca="1">BD493^(Elasticities!$J$64*Elasticities!$G$52)</f>
        <v>0.9765954701308639</v>
      </c>
      <c r="BE499" s="117">
        <f ca="1">BE493^(Elasticities!$J$64*Elasticities!$G$52)</f>
        <v>0.97919154806231423</v>
      </c>
      <c r="BF499" s="117"/>
      <c r="BI499" s="117">
        <f ca="1">BI493^Elasticities!$G$50</f>
        <v>0.97875995532877802</v>
      </c>
      <c r="BJ499" s="117">
        <f ca="1">BJ493^Elasticities!$G$50</f>
        <v>0.96759662101482602</v>
      </c>
      <c r="BK499" s="117">
        <f ca="1">BK493^Elasticities!$G$50</f>
        <v>0.96114599447652582</v>
      </c>
      <c r="BL499" s="117">
        <f ca="1">BL493^Elasticities!$G$50</f>
        <v>0.95962212271170033</v>
      </c>
      <c r="BM499" s="117">
        <f ca="1">BM493^Elasticities!$G$50</f>
        <v>0.9607700373967204</v>
      </c>
      <c r="BN499" s="117">
        <f ca="1">BN493^Elasticities!$G$50</f>
        <v>0.96411228643500813</v>
      </c>
      <c r="BO499" s="117"/>
    </row>
    <row r="500" spans="2:68" ht="13.2" customHeight="1">
      <c r="B500" s="6"/>
      <c r="O500" s="136">
        <f>ROW()</f>
        <v>500</v>
      </c>
      <c r="P500" s="309" t="s">
        <v>31</v>
      </c>
      <c r="Y500" s="309" t="s">
        <v>32</v>
      </c>
      <c r="AH500" s="309" t="s">
        <v>1637</v>
      </c>
      <c r="AQ500" s="215" t="s">
        <v>3304</v>
      </c>
      <c r="AZ500" s="309" t="s">
        <v>29</v>
      </c>
      <c r="BI500" s="309" t="s">
        <v>938</v>
      </c>
    </row>
    <row r="501" spans="2:68" ht="13.2" customHeight="1">
      <c r="B501" s="6" t="s">
        <v>400</v>
      </c>
      <c r="O501" s="136">
        <f>ROW()</f>
        <v>501</v>
      </c>
      <c r="P501" s="117">
        <f ca="1">(P403/P496)^Elasticities!$G$52</f>
        <v>0.99437342161239972</v>
      </c>
      <c r="Q501" s="117">
        <f ca="1">(Q403/Q496)^Elasticities!$G$52</f>
        <v>0.96608083909471931</v>
      </c>
      <c r="R501" s="117">
        <f ca="1">(R403/R496)^Elasticities!$G$52</f>
        <v>0.943101973322789</v>
      </c>
      <c r="S501" s="117">
        <f ca="1">(S403/S496)^Elasticities!$G$52</f>
        <v>0.93510978862653571</v>
      </c>
      <c r="T501" s="117">
        <f ca="1">(T403/T496)^Elasticities!$G$52</f>
        <v>0.94525710013578657</v>
      </c>
      <c r="U501" s="117">
        <f ca="1">(U403/U496)^Elasticities!$G$52</f>
        <v>0.96703418455149048</v>
      </c>
      <c r="V501" s="117"/>
      <c r="Y501" s="117">
        <f ca="1">(Y403/Y496)^Elasticities!$H$52</f>
        <v>0.99437342161239972</v>
      </c>
      <c r="Z501" s="117">
        <f ca="1">(Z403/Z496)^Elasticities!$H$52</f>
        <v>0.96608083909471931</v>
      </c>
      <c r="AA501" s="117">
        <f ca="1">(AA403/AA496)^Elasticities!$H$52</f>
        <v>0.943101973322789</v>
      </c>
      <c r="AB501" s="117">
        <f ca="1">(AB403/AB496)^Elasticities!$H$52</f>
        <v>0.93510978862653571</v>
      </c>
      <c r="AC501" s="117">
        <f ca="1">(AC403/AC496)^Elasticities!$H$52</f>
        <v>0.94525710013578657</v>
      </c>
      <c r="AD501" s="117">
        <f ca="1">(AD403/AD496)^Elasticities!$H$52</f>
        <v>0.96703418455149048</v>
      </c>
      <c r="AE501" s="117"/>
      <c r="AH501" s="117">
        <f ca="1">(AH403/AH496)^Elasticities!$J$52</f>
        <v>0.99437342161239972</v>
      </c>
      <c r="AI501" s="117">
        <f ca="1">(AI403/AI496)^Elasticities!$J$52</f>
        <v>0.96608083909471931</v>
      </c>
      <c r="AJ501" s="117">
        <f ca="1">(AJ403/AJ496)^Elasticities!$J$52</f>
        <v>0.943101973322789</v>
      </c>
      <c r="AK501" s="117">
        <f ca="1">(AK403/AK496)^Elasticities!$J$52</f>
        <v>0.93510978862653571</v>
      </c>
      <c r="AL501" s="117">
        <f ca="1">(AL403/AL496)^Elasticities!$J$52</f>
        <v>0.94525710013578657</v>
      </c>
      <c r="AM501" s="117">
        <f ca="1">(AM403/AM496)^Elasticities!$J$52</f>
        <v>0.96703418455149048</v>
      </c>
      <c r="AN501" s="117"/>
      <c r="AQ501" s="117">
        <f ca="1">(P403/P496)^Elasticities!$G$54</f>
        <v>0.99549619890135999</v>
      </c>
      <c r="AR501" s="117">
        <f ca="1">(Q403/Q496)^Elasticities!$G$54</f>
        <v>0.97277135792486413</v>
      </c>
      <c r="AS501" s="117">
        <f ca="1">(R403/R496)^Elasticities!$G$54</f>
        <v>0.95421650193996332</v>
      </c>
      <c r="AT501" s="117">
        <f ca="1">(S403/S496)^Elasticities!$G$54</f>
        <v>0.94774190256194091</v>
      </c>
      <c r="AU501" s="117">
        <f ca="1">(T403/T496)^Elasticities!$G$54</f>
        <v>0.95596052379556506</v>
      </c>
      <c r="AV501" s="117">
        <f ca="1">(U403/U496)^Elasticities!$G$54</f>
        <v>0.97353924039345152</v>
      </c>
      <c r="AW501" s="117"/>
      <c r="AZ501" s="117">
        <f ca="1">(AZ403/AZ496)^(Elasticities!$J$64*Elasticities!$G$52)</f>
        <v>1.0153333095628132</v>
      </c>
      <c r="BA501" s="117">
        <f ca="1">(BA403/BA496)^(Elasticities!$J$64*Elasticities!$G$52)</f>
        <v>1.0056108590630644</v>
      </c>
      <c r="BB501" s="117">
        <f ca="1">(BB403/BB496)^(Elasticities!$J$64*Elasticities!$G$52)</f>
        <v>0.9975737578723336</v>
      </c>
      <c r="BC501" s="117">
        <f ca="1">(BC403/BC496)^(Elasticities!$J$64*Elasticities!$G$52)</f>
        <v>0.99474782740770595</v>
      </c>
      <c r="BD501" s="117">
        <f ca="1">(BD403/BD496)^(Elasticities!$J$64*Elasticities!$G$52)</f>
        <v>0.99833304742215534</v>
      </c>
      <c r="BE501" s="117">
        <f ca="1">(BE403/BE496)^(Elasticities!$J$64*Elasticities!$G$52)</f>
        <v>1.0059415351050613</v>
      </c>
      <c r="BF501" s="117"/>
      <c r="BI501" s="117">
        <f ca="1">(BI403/BI496)^Elasticities!$G$50</f>
        <v>1.0230879067094663</v>
      </c>
      <c r="BJ501" s="117">
        <f ca="1">(BJ403/BJ496)^Elasticities!$G$50</f>
        <v>1.0084280832300698</v>
      </c>
      <c r="BK501" s="117">
        <f ca="1">(BK403/BK496)^Elasticities!$G$50</f>
        <v>0.99636284519603935</v>
      </c>
      <c r="BL501" s="117">
        <f ca="1">(BL403/BL496)^Elasticities!$G$50</f>
        <v>0.99213209467847085</v>
      </c>
      <c r="BM501" s="117">
        <f ca="1">(BM403/BM496)^Elasticities!$G$50</f>
        <v>0.99750061344700125</v>
      </c>
      <c r="BN501" s="117">
        <f ca="1">(BN403/BN496)^Elasticities!$G$50</f>
        <v>1.0089255277672957</v>
      </c>
      <c r="BO501" s="117"/>
    </row>
    <row r="502" spans="2:68" ht="13.2" customHeight="1">
      <c r="O502" s="136">
        <f>ROW()</f>
        <v>502</v>
      </c>
      <c r="P502" s="309" t="s">
        <v>529</v>
      </c>
      <c r="Y502" s="309" t="s">
        <v>530</v>
      </c>
      <c r="AH502" s="309" t="s">
        <v>2922</v>
      </c>
      <c r="AQ502" s="215" t="s">
        <v>3299</v>
      </c>
      <c r="AZ502" s="309" t="s">
        <v>2398</v>
      </c>
      <c r="BI502" s="309" t="s">
        <v>2878</v>
      </c>
    </row>
    <row r="503" spans="2:68" ht="13.2" customHeight="1">
      <c r="B503" s="6" t="s">
        <v>1080</v>
      </c>
      <c r="G503" s="633">
        <f t="shared" ref="G503:L503" ca="1" si="706">($I$76*$I$79*P503+$J$76*$J$79*Y503+$K$76*$K$79*AH503+$L$76*$L$79*AQ503+$M$76*$M$79*AZ503+$N$76*$N$79*BI503)/SUMPRODUCT($I$76:$N$76,$I$79:$N$79)</f>
        <v>0.99173913850340378</v>
      </c>
      <c r="H503" s="633">
        <f t="shared" ca="1" si="706"/>
        <v>0.93046623707689868</v>
      </c>
      <c r="I503" s="633">
        <f t="shared" ca="1" si="706"/>
        <v>0.9121877379147233</v>
      </c>
      <c r="J503" s="633">
        <f t="shared" ca="1" si="706"/>
        <v>0.90951039795798505</v>
      </c>
      <c r="K503" s="633">
        <f t="shared" ca="1" si="706"/>
        <v>0.90891083669609085</v>
      </c>
      <c r="L503" s="633">
        <f t="shared" ca="1" si="706"/>
        <v>0.91554799232429307</v>
      </c>
      <c r="M503" s="633"/>
      <c r="O503" s="136">
        <f>ROW()</f>
        <v>503</v>
      </c>
      <c r="P503" s="117">
        <f ca="1">(P427/P497)^Elasticities!$G$52</f>
        <v>0.99143951104562689</v>
      </c>
      <c r="Q503" s="117">
        <f ca="1">(Q427/Q497)^Elasticities!$G$52</f>
        <v>0.92875105045377149</v>
      </c>
      <c r="R503" s="117">
        <f ca="1">(R427/R497)^Elasticities!$G$52</f>
        <v>0.91006050898149204</v>
      </c>
      <c r="S503" s="117">
        <f ca="1">(S427/S497)^Elasticities!$G$52</f>
        <v>0.90732322656547182</v>
      </c>
      <c r="T503" s="117">
        <f ca="1">(T427/T497)^Elasticities!$G$52</f>
        <v>0.90671025640307357</v>
      </c>
      <c r="U503" s="117">
        <f ca="1">(U427/U497)^Elasticities!$G$52</f>
        <v>0.91349614536973711</v>
      </c>
      <c r="V503" s="117"/>
      <c r="Y503" s="117">
        <f ca="1">(Y427/Y497)^Elasticities!$H$52</f>
        <v>0.99143951104562689</v>
      </c>
      <c r="Z503" s="117">
        <f ca="1">(Z427/Z497)^Elasticities!$H$52</f>
        <v>0.92875105045377149</v>
      </c>
      <c r="AA503" s="117">
        <f ca="1">(AA427/AA497)^Elasticities!$H$52</f>
        <v>0.91006050898149204</v>
      </c>
      <c r="AB503" s="117">
        <f ca="1">(AB427/AB497)^Elasticities!$H$52</f>
        <v>0.90732322656547182</v>
      </c>
      <c r="AC503" s="117">
        <f ca="1">(AC427/AC497)^Elasticities!$H$52</f>
        <v>0.90671025640307357</v>
      </c>
      <c r="AD503" s="117">
        <f ca="1">(AD427/AD497)^Elasticities!$H$52</f>
        <v>0.91349614536973711</v>
      </c>
      <c r="AE503" s="117"/>
      <c r="AH503" s="117">
        <f ca="1">(AH427/AH497)^Elasticities!$J$52</f>
        <v>0.99143951104562689</v>
      </c>
      <c r="AI503" s="117">
        <f ca="1">(AI427/AI497)^Elasticities!$J$52</f>
        <v>0.92875105045377149</v>
      </c>
      <c r="AJ503" s="117">
        <f ca="1">(AJ427/AJ497)^Elasticities!$J$52</f>
        <v>0.91006050898149204</v>
      </c>
      <c r="AK503" s="117">
        <f ca="1">(AK427/AK497)^Elasticities!$J$52</f>
        <v>0.90732322656547182</v>
      </c>
      <c r="AL503" s="117">
        <f ca="1">(AL427/AL497)^Elasticities!$J$52</f>
        <v>0.90671025640307357</v>
      </c>
      <c r="AM503" s="117">
        <f ca="1">(AM427/AM497)^Elasticities!$J$52</f>
        <v>0.91349614536973711</v>
      </c>
      <c r="AN503" s="117"/>
      <c r="AQ503" s="117">
        <f ca="1">(P427/P497)^Elasticities!$G$54</f>
        <v>0.99314572610922913</v>
      </c>
      <c r="AR503" s="117">
        <f ca="1">(Q427/Q497)^Elasticities!$G$54</f>
        <v>0.94258267796520068</v>
      </c>
      <c r="AS503" s="117">
        <f ca="1">(R427/R497)^Elasticities!$G$54</f>
        <v>0.92737677484534808</v>
      </c>
      <c r="AT503" s="117">
        <f ca="1">(S427/S497)^Elasticities!$G$54</f>
        <v>0.92514460978623048</v>
      </c>
      <c r="AU503" s="117">
        <f ca="1">(T427/T497)^Elasticities!$G$54</f>
        <v>0.92464456803996009</v>
      </c>
      <c r="AV503" s="117">
        <f ca="1">(U427/U497)^Elasticities!$G$54</f>
        <v>0.93017652572368414</v>
      </c>
      <c r="AW503" s="117"/>
      <c r="AZ503" s="117">
        <f ca="1">(AZ427/AZ497)^(Elasticities!$J$64*Elasticities!$G$52)</f>
        <v>1.0004844491248932</v>
      </c>
      <c r="BA503" s="117">
        <f ca="1">(BA427/BA497)^(Elasticities!$J$64*Elasticities!$G$52)</f>
        <v>0.97893691961190421</v>
      </c>
      <c r="BB503" s="117">
        <f ca="1">(BB427/BB497)^(Elasticities!$J$64*Elasticities!$G$52)</f>
        <v>0.97232553554475198</v>
      </c>
      <c r="BC503" s="117">
        <f ca="1">(BC427/BC497)^(Elasticities!$J$64*Elasticities!$G$52)</f>
        <v>0.97134970207555837</v>
      </c>
      <c r="BD503" s="117">
        <f ca="1">(BD427/BD497)^(Elasticities!$J$64*Elasticities!$G$52)</f>
        <v>0.97113091105757743</v>
      </c>
      <c r="BE503" s="117">
        <f ca="1">(BE427/BE497)^(Elasticities!$J$64*Elasticities!$G$52)</f>
        <v>0.97354756493186101</v>
      </c>
      <c r="BF503" s="117"/>
      <c r="BI503" s="117">
        <f ca="1">(BI427/BI497)^Elasticities!$G$50</f>
        <v>1.0007267616893432</v>
      </c>
      <c r="BJ503" s="117">
        <f ca="1">(BJ427/BJ497)^Elasticities!$G$50</f>
        <v>0.96857233813263977</v>
      </c>
      <c r="BK503" s="117">
        <f ca="1">(BK427/BK497)^Elasticities!$G$50</f>
        <v>0.95877684545218589</v>
      </c>
      <c r="BL503" s="117">
        <f ca="1">(BL427/BL497)^Elasticities!$G$50</f>
        <v>0.95733385380539571</v>
      </c>
      <c r="BM503" s="117">
        <f ca="1">(BM427/BM497)^Elasticities!$G$50</f>
        <v>0.95701042097862776</v>
      </c>
      <c r="BN503" s="117">
        <f ca="1">(BN427/BN497)^Elasticities!$G$50</f>
        <v>0.96058491512273436</v>
      </c>
      <c r="BO503" s="117"/>
    </row>
    <row r="504" spans="2:68" ht="13.2" customHeight="1">
      <c r="O504" s="136">
        <f>ROW()</f>
        <v>504</v>
      </c>
      <c r="P504" s="309" t="s">
        <v>2879</v>
      </c>
      <c r="Y504" s="309" t="s">
        <v>2842</v>
      </c>
      <c r="AH504" s="309" t="s">
        <v>2808</v>
      </c>
      <c r="AQ504" s="215" t="s">
        <v>3300</v>
      </c>
      <c r="AZ504" s="309" t="s">
        <v>2903</v>
      </c>
      <c r="BI504" s="309" t="s">
        <v>91</v>
      </c>
    </row>
    <row r="505" spans="2:68" ht="13.2" customHeight="1">
      <c r="B505" s="24" t="s">
        <v>225</v>
      </c>
      <c r="I505" s="309" t="s">
        <v>2523</v>
      </c>
      <c r="O505" s="136">
        <f>ROW()</f>
        <v>505</v>
      </c>
      <c r="P505" s="880" t="s">
        <v>1472</v>
      </c>
      <c r="Q505" s="880" t="s">
        <v>615</v>
      </c>
      <c r="R505" s="880" t="s">
        <v>2445</v>
      </c>
      <c r="S505" s="880" t="s">
        <v>616</v>
      </c>
      <c r="T505" s="880" t="s">
        <v>1152</v>
      </c>
      <c r="U505" s="880" t="s">
        <v>1151</v>
      </c>
      <c r="V505" s="880" t="s">
        <v>617</v>
      </c>
      <c r="W505" s="880" t="s">
        <v>2684</v>
      </c>
      <c r="Y505" s="880" t="s">
        <v>1472</v>
      </c>
      <c r="Z505" s="880" t="s">
        <v>985</v>
      </c>
      <c r="AA505" s="880" t="s">
        <v>987</v>
      </c>
      <c r="AB505" s="880" t="s">
        <v>1367</v>
      </c>
      <c r="AC505" s="880" t="s">
        <v>988</v>
      </c>
      <c r="AD505" s="880" t="s">
        <v>986</v>
      </c>
      <c r="AE505" s="880" t="s">
        <v>1638</v>
      </c>
      <c r="AF505" s="880" t="s">
        <v>2684</v>
      </c>
      <c r="AH505" s="880" t="s">
        <v>1472</v>
      </c>
      <c r="AI505" s="880" t="s">
        <v>985</v>
      </c>
      <c r="AJ505" s="880" t="s">
        <v>987</v>
      </c>
      <c r="AK505" s="880" t="s">
        <v>1367</v>
      </c>
      <c r="AL505" s="880" t="s">
        <v>988</v>
      </c>
      <c r="AM505" s="880" t="s">
        <v>986</v>
      </c>
      <c r="AN505" s="880" t="s">
        <v>1638</v>
      </c>
      <c r="AO505" s="880" t="s">
        <v>2684</v>
      </c>
      <c r="AQ505" s="880" t="s">
        <v>1472</v>
      </c>
      <c r="AR505" s="880" t="s">
        <v>985</v>
      </c>
      <c r="AS505" s="880" t="s">
        <v>987</v>
      </c>
      <c r="AT505" s="880" t="s">
        <v>1367</v>
      </c>
      <c r="AU505" s="880" t="s">
        <v>988</v>
      </c>
      <c r="AV505" s="880" t="s">
        <v>986</v>
      </c>
      <c r="AW505" s="880" t="s">
        <v>1638</v>
      </c>
      <c r="AX505" s="880" t="s">
        <v>2684</v>
      </c>
      <c r="AZ505" s="880" t="s">
        <v>1472</v>
      </c>
      <c r="BA505" s="880" t="s">
        <v>985</v>
      </c>
      <c r="BB505" s="880" t="s">
        <v>987</v>
      </c>
      <c r="BC505" s="880" t="s">
        <v>1367</v>
      </c>
      <c r="BD505" s="880" t="s">
        <v>988</v>
      </c>
      <c r="BE505" s="880" t="s">
        <v>986</v>
      </c>
      <c r="BF505" s="880" t="s">
        <v>1638</v>
      </c>
      <c r="BG505" s="880" t="s">
        <v>2684</v>
      </c>
      <c r="BI505" s="880" t="s">
        <v>1472</v>
      </c>
      <c r="BJ505" s="880" t="s">
        <v>985</v>
      </c>
      <c r="BK505" s="880" t="s">
        <v>987</v>
      </c>
      <c r="BL505" s="880" t="s">
        <v>1367</v>
      </c>
      <c r="BM505" s="880" t="s">
        <v>988</v>
      </c>
      <c r="BN505" s="880" t="s">
        <v>986</v>
      </c>
      <c r="BO505" s="880" t="s">
        <v>1638</v>
      </c>
      <c r="BP505" s="880" t="s">
        <v>2684</v>
      </c>
    </row>
    <row r="506" spans="2:68" ht="13.2" customHeight="1">
      <c r="O506" s="136">
        <f>ROW()</f>
        <v>506</v>
      </c>
      <c r="P506" s="298" t="s">
        <v>2678</v>
      </c>
      <c r="Q506" s="298" t="s">
        <v>665</v>
      </c>
      <c r="R506" s="298" t="s">
        <v>666</v>
      </c>
      <c r="S506" s="298" t="s">
        <v>667</v>
      </c>
      <c r="T506" s="298" t="s">
        <v>668</v>
      </c>
      <c r="U506" s="298" t="s">
        <v>434</v>
      </c>
      <c r="V506" s="298" t="s">
        <v>435</v>
      </c>
      <c r="W506" s="298"/>
      <c r="Y506" s="298" t="s">
        <v>989</v>
      </c>
      <c r="Z506" s="298" t="s">
        <v>990</v>
      </c>
      <c r="AA506" s="298" t="s">
        <v>991</v>
      </c>
      <c r="AB506" s="298" t="s">
        <v>992</v>
      </c>
      <c r="AC506" s="298" t="s">
        <v>993</v>
      </c>
      <c r="AD506" s="298" t="s">
        <v>994</v>
      </c>
      <c r="AE506" s="298"/>
      <c r="AF506" s="298"/>
      <c r="AH506" s="298" t="s">
        <v>989</v>
      </c>
      <c r="AI506" s="298" t="s">
        <v>990</v>
      </c>
      <c r="AJ506" s="298" t="s">
        <v>991</v>
      </c>
      <c r="AK506" s="298" t="s">
        <v>992</v>
      </c>
      <c r="AL506" s="298" t="s">
        <v>993</v>
      </c>
      <c r="AM506" s="298" t="s">
        <v>994</v>
      </c>
      <c r="AN506" s="298"/>
      <c r="AO506" s="298"/>
      <c r="AQ506" s="298" t="s">
        <v>989</v>
      </c>
      <c r="AR506" s="298" t="s">
        <v>990</v>
      </c>
      <c r="AS506" s="298" t="s">
        <v>991</v>
      </c>
      <c r="AT506" s="298" t="s">
        <v>992</v>
      </c>
      <c r="AU506" s="298" t="s">
        <v>993</v>
      </c>
      <c r="AV506" s="298" t="s">
        <v>994</v>
      </c>
      <c r="AW506" s="298"/>
      <c r="AX506" s="298"/>
      <c r="AZ506" s="298" t="s">
        <v>989</v>
      </c>
      <c r="BA506" s="298" t="s">
        <v>990</v>
      </c>
      <c r="BB506" s="298" t="s">
        <v>991</v>
      </c>
      <c r="BC506" s="298" t="s">
        <v>992</v>
      </c>
      <c r="BD506" s="298" t="s">
        <v>993</v>
      </c>
      <c r="BE506" s="298" t="s">
        <v>994</v>
      </c>
      <c r="BF506" s="298"/>
      <c r="BG506" s="298"/>
      <c r="BI506" s="298" t="s">
        <v>989</v>
      </c>
      <c r="BJ506" s="298" t="s">
        <v>990</v>
      </c>
      <c r="BK506" s="298" t="s">
        <v>991</v>
      </c>
      <c r="BL506" s="298" t="s">
        <v>992</v>
      </c>
      <c r="BM506" s="298" t="s">
        <v>993</v>
      </c>
      <c r="BN506" s="298" t="s">
        <v>994</v>
      </c>
      <c r="BO506" s="298"/>
      <c r="BP506" s="298"/>
    </row>
    <row r="507" spans="2:68" ht="13.2" customHeight="1">
      <c r="I507" s="196"/>
      <c r="J507" s="196"/>
      <c r="K507" s="196"/>
      <c r="L507" s="196"/>
      <c r="M507" s="196"/>
      <c r="N507" s="196"/>
      <c r="O507" s="136">
        <f>ROW()</f>
        <v>507</v>
      </c>
      <c r="AH507" s="606"/>
    </row>
    <row r="508" spans="2:68" ht="13.2" customHeight="1">
      <c r="B508" s="308" t="s">
        <v>112</v>
      </c>
      <c r="O508" s="136">
        <f>ROW()</f>
        <v>508</v>
      </c>
    </row>
    <row r="509" spans="2:68" ht="13.2" customHeight="1">
      <c r="B509" s="280" t="s">
        <v>2469</v>
      </c>
      <c r="G509" s="1122">
        <f t="shared" ref="G509:L509" ca="1" si="707">P509+Y509+AH509+AQ509+AZ509+BI509</f>
        <v>111577.63342564899</v>
      </c>
      <c r="H509" s="1122">
        <f t="shared" ca="1" si="707"/>
        <v>48821.436316922751</v>
      </c>
      <c r="I509" s="1122">
        <f t="shared" ca="1" si="707"/>
        <v>159796.39252459546</v>
      </c>
      <c r="J509" s="1122">
        <f t="shared" ca="1" si="707"/>
        <v>105421.37966583334</v>
      </c>
      <c r="K509" s="1122">
        <f t="shared" ca="1" si="707"/>
        <v>58096.404906494594</v>
      </c>
      <c r="L509" s="1122">
        <f t="shared" ca="1" si="707"/>
        <v>38592.933968532874</v>
      </c>
      <c r="N509" s="186">
        <f ca="1">SUM(G509:M509)</f>
        <v>522306.18080802797</v>
      </c>
      <c r="O509" s="136">
        <f>ROW()</f>
        <v>509</v>
      </c>
      <c r="P509" s="10">
        <f t="shared" ref="P509:U509" ca="1" si="708">P458</f>
        <v>25181.217914590776</v>
      </c>
      <c r="Q509" s="10">
        <f t="shared" ca="1" si="708"/>
        <v>9930.5525224295925</v>
      </c>
      <c r="R509" s="10">
        <f t="shared" ca="1" si="708"/>
        <v>26778.113411563696</v>
      </c>
      <c r="S509" s="10">
        <f t="shared" ca="1" si="708"/>
        <v>10538.098271247454</v>
      </c>
      <c r="T509" s="10">
        <f t="shared" ca="1" si="708"/>
        <v>9625.7126712971858</v>
      </c>
      <c r="U509" s="10">
        <f t="shared" ca="1" si="708"/>
        <v>5138.2235794809703</v>
      </c>
      <c r="V509" s="10"/>
      <c r="W509" s="10">
        <f ca="1">SUM(P509:V509)</f>
        <v>87191.918370609666</v>
      </c>
      <c r="Y509" s="10">
        <f t="shared" ref="Y509:AD509" ca="1" si="709">Y458</f>
        <v>37832.516354564294</v>
      </c>
      <c r="Z509" s="10">
        <f t="shared" ca="1" si="709"/>
        <v>18776.841855522372</v>
      </c>
      <c r="AA509" s="10">
        <f t="shared" ca="1" si="709"/>
        <v>77983.463417097213</v>
      </c>
      <c r="AB509" s="10">
        <f t="shared" ca="1" si="709"/>
        <v>61227.318581837942</v>
      </c>
      <c r="AC509" s="10">
        <f t="shared" ca="1" si="709"/>
        <v>28426.341820680958</v>
      </c>
      <c r="AD509" s="10">
        <f t="shared" ca="1" si="709"/>
        <v>18907.934170544122</v>
      </c>
      <c r="AE509" s="10"/>
      <c r="AF509" s="10">
        <f ca="1">SUM(Y509:AE509)</f>
        <v>243154.41620024687</v>
      </c>
      <c r="AH509" s="10">
        <f t="shared" ref="AH509:AM509" ca="1" si="710">AH458</f>
        <v>28265.824852535392</v>
      </c>
      <c r="AI509" s="10">
        <f t="shared" ca="1" si="710"/>
        <v>11855.810507970689</v>
      </c>
      <c r="AJ509" s="10">
        <f t="shared" ca="1" si="710"/>
        <v>28701.079791575889</v>
      </c>
      <c r="AK509" s="10">
        <f t="shared" ca="1" si="710"/>
        <v>16656.336880797291</v>
      </c>
      <c r="AL509" s="10">
        <f t="shared" ca="1" si="710"/>
        <v>9954.1807698152497</v>
      </c>
      <c r="AM509" s="10">
        <f t="shared" ca="1" si="710"/>
        <v>6755.0430942196917</v>
      </c>
      <c r="AN509" s="10"/>
      <c r="AO509" s="10">
        <f ca="1">SUM(AH509:AN509)</f>
        <v>102188.27589691422</v>
      </c>
      <c r="AQ509" s="10">
        <f t="shared" ref="AQ509:AV509" ca="1" si="711">AQ458</f>
        <v>16063.417052874969</v>
      </c>
      <c r="AR509" s="10">
        <f t="shared" ca="1" si="711"/>
        <v>6580.3039547416147</v>
      </c>
      <c r="AS509" s="10">
        <f t="shared" ca="1" si="711"/>
        <v>21013.495952133315</v>
      </c>
      <c r="AT509" s="10">
        <f t="shared" ca="1" si="711"/>
        <v>13564.375536569334</v>
      </c>
      <c r="AU509" s="10">
        <f t="shared" ca="1" si="711"/>
        <v>8063.8623615436009</v>
      </c>
      <c r="AV509" s="10">
        <f t="shared" ca="1" si="711"/>
        <v>6227.2646854543091</v>
      </c>
      <c r="AW509" s="10"/>
      <c r="AX509" s="10">
        <f ca="1">SUM(AQ509:AW509)</f>
        <v>71512.719543317144</v>
      </c>
      <c r="AZ509" s="10">
        <f t="shared" ref="AZ509:BE509" ca="1" si="712">AZ458</f>
        <v>2878.0069531034305</v>
      </c>
      <c r="BA509" s="10">
        <f t="shared" ca="1" si="712"/>
        <v>1140.574614647797</v>
      </c>
      <c r="BB509" s="10">
        <f t="shared" ca="1" si="712"/>
        <v>3619.4062715719506</v>
      </c>
      <c r="BC509" s="10">
        <f t="shared" ca="1" si="712"/>
        <v>2337.9449812126527</v>
      </c>
      <c r="BD509" s="10">
        <f t="shared" ca="1" si="712"/>
        <v>1377.4571252529022</v>
      </c>
      <c r="BE509" s="10">
        <f t="shared" ca="1" si="712"/>
        <v>1062.974285212629</v>
      </c>
      <c r="BF509" s="10"/>
      <c r="BG509" s="10">
        <f ca="1">SUM(AZ509:BF509)</f>
        <v>12416.364231001362</v>
      </c>
      <c r="BI509" s="10">
        <f t="shared" ref="BI509:BN509" ca="1" si="713">BI458</f>
        <v>1356.650297980151</v>
      </c>
      <c r="BJ509" s="10">
        <f t="shared" ca="1" si="713"/>
        <v>537.352861610682</v>
      </c>
      <c r="BK509" s="10">
        <f t="shared" ca="1" si="713"/>
        <v>1700.8336806533598</v>
      </c>
      <c r="BL509" s="10">
        <f t="shared" ca="1" si="713"/>
        <v>1097.305414168675</v>
      </c>
      <c r="BM509" s="10">
        <f t="shared" ca="1" si="713"/>
        <v>648.85015790469618</v>
      </c>
      <c r="BN509" s="10">
        <f t="shared" ca="1" si="713"/>
        <v>501.49415362114922</v>
      </c>
      <c r="BO509" s="10"/>
      <c r="BP509" s="10">
        <f ca="1">SUM(BI509:BO509)</f>
        <v>5842.4865659387133</v>
      </c>
    </row>
    <row r="510" spans="2:68" ht="13.2" customHeight="1">
      <c r="B510" s="309" t="str">
        <f>CONCATENATE("Above row repeats figures in Row ",O458,".")</f>
        <v>Above row repeats figures in Row 458.</v>
      </c>
      <c r="G510" s="1126" t="s">
        <v>1240</v>
      </c>
      <c r="H510" s="1122"/>
      <c r="I510" s="1122"/>
      <c r="J510" s="1122"/>
      <c r="K510" s="1122"/>
      <c r="L510" s="1122"/>
      <c r="O510" s="136">
        <f>ROW()</f>
        <v>510</v>
      </c>
      <c r="P510" s="309" t="str">
        <f>CONCATENATE("Figures in Row ",O511, " are product of figures in Row ",O509, " and rebound factors in Row ",O499, ".")</f>
        <v>Figures in Row 511 are product of figures in Row 509 and rebound factors in Row 499.</v>
      </c>
      <c r="AQ510" s="265" t="str">
        <f>CONCATENATE("Row ",O511, " figures are set equal to ",O509, " figures, since rebound effects are presumed accounted for by taxi time-elasticity.")</f>
        <v>Row 511 figures are set equal to 509 figures, since rebound effects are presumed accounted for by taxi time-elasticity.</v>
      </c>
    </row>
    <row r="511" spans="2:68" ht="13.2" customHeight="1">
      <c r="B511" s="280" t="s">
        <v>1300</v>
      </c>
      <c r="G511" s="1122">
        <f t="shared" ref="G511:L512" ca="1" si="714">P511+Y511+AH511+AQ511+AZ511+BI511</f>
        <v>107971.14890385348</v>
      </c>
      <c r="H511" s="1122">
        <f t="shared" ca="1" si="714"/>
        <v>45791.799936326068</v>
      </c>
      <c r="I511" s="1122">
        <f t="shared" ca="1" si="714"/>
        <v>147858.51534459021</v>
      </c>
      <c r="J511" s="1122">
        <f t="shared" ca="1" si="714"/>
        <v>97265.104602550229</v>
      </c>
      <c r="K511" s="1122">
        <f t="shared" ca="1" si="714"/>
        <v>53732.906498535573</v>
      </c>
      <c r="L511" s="1122">
        <f t="shared" ca="1" si="714"/>
        <v>35998.973160633192</v>
      </c>
      <c r="N511" s="617">
        <f ca="1">SUM(G511:M511)</f>
        <v>488618.44844648876</v>
      </c>
      <c r="O511" s="136">
        <f>ROW()</f>
        <v>511</v>
      </c>
      <c r="P511" s="10">
        <f t="shared" ref="P511:U511" ca="1" si="715">P509*P499</f>
        <v>23858.292281003542</v>
      </c>
      <c r="Q511" s="10">
        <f t="shared" ca="1" si="715"/>
        <v>9194.0337729678795</v>
      </c>
      <c r="R511" s="10">
        <f t="shared" ca="1" si="715"/>
        <v>24464.11304715705</v>
      </c>
      <c r="S511" s="10">
        <f t="shared" ca="1" si="715"/>
        <v>9597.6519776659388</v>
      </c>
      <c r="T511" s="10">
        <f t="shared" ca="1" si="715"/>
        <v>8784.6339393237577</v>
      </c>
      <c r="U511" s="10">
        <f t="shared" ca="1" si="715"/>
        <v>4720.4443644562652</v>
      </c>
      <c r="V511" s="10"/>
      <c r="W511" s="10">
        <f ca="1">SUM(P511:V511)</f>
        <v>80619.169382574444</v>
      </c>
      <c r="Y511" s="10">
        <f t="shared" ref="Y511:AD511" ca="1" si="716">Y509*Y499</f>
        <v>35844.939509063057</v>
      </c>
      <c r="Z511" s="10">
        <f t="shared" ca="1" si="716"/>
        <v>17384.220845660759</v>
      </c>
      <c r="AA511" s="10">
        <f t="shared" ca="1" si="716"/>
        <v>71244.610683471503</v>
      </c>
      <c r="AB511" s="10">
        <f t="shared" ca="1" si="716"/>
        <v>55763.239262770432</v>
      </c>
      <c r="AC511" s="10">
        <f t="shared" ca="1" si="716"/>
        <v>25942.49544487182</v>
      </c>
      <c r="AD511" s="10">
        <f t="shared" ca="1" si="716"/>
        <v>17370.565900495687</v>
      </c>
      <c r="AE511" s="10"/>
      <c r="AF511" s="10">
        <f ca="1">SUM(Y511:AE511)</f>
        <v>223550.07164633326</v>
      </c>
      <c r="AH511" s="10">
        <f t="shared" ref="AH511:AM511" ca="1" si="717">AH509*AH499</f>
        <v>28032.701920543535</v>
      </c>
      <c r="AI511" s="10">
        <f t="shared" ca="1" si="717"/>
        <v>10994.30419298742</v>
      </c>
      <c r="AJ511" s="10">
        <f t="shared" ca="1" si="717"/>
        <v>25966.618812421239</v>
      </c>
      <c r="AK511" s="10">
        <f t="shared" ca="1" si="717"/>
        <v>15006.188848990649</v>
      </c>
      <c r="AL511" s="10">
        <f t="shared" ca="1" si="717"/>
        <v>8973.300573499966</v>
      </c>
      <c r="AM511" s="10">
        <f t="shared" ca="1" si="717"/>
        <v>6156.3460992576574</v>
      </c>
      <c r="AN511" s="10"/>
      <c r="AO511" s="4">
        <f ca="1">SUM(AH511:AN511)</f>
        <v>95129.460447700447</v>
      </c>
      <c r="AQ511" s="10">
        <f t="shared" ref="AQ511:AV511" ca="1" si="718">AQ509</f>
        <v>16063.417052874969</v>
      </c>
      <c r="AR511" s="10">
        <f t="shared" ca="1" si="718"/>
        <v>6580.3039547416147</v>
      </c>
      <c r="AS511" s="10">
        <f t="shared" ca="1" si="718"/>
        <v>21013.495952133315</v>
      </c>
      <c r="AT511" s="10">
        <f t="shared" ca="1" si="718"/>
        <v>13564.375536569334</v>
      </c>
      <c r="AU511" s="10">
        <f t="shared" ca="1" si="718"/>
        <v>8063.8623615436009</v>
      </c>
      <c r="AV511" s="10">
        <f t="shared" ca="1" si="718"/>
        <v>6227.2646854543091</v>
      </c>
      <c r="AW511" s="10"/>
      <c r="AX511" s="10">
        <f ca="1">SUM(AQ511:AW511)</f>
        <v>71512.719543317144</v>
      </c>
      <c r="AZ511" s="10">
        <f t="shared" ref="AZ511:BE511" ca="1" si="719">AZ509*AZ499</f>
        <v>2843.96315532055</v>
      </c>
      <c r="BA511" s="10">
        <f t="shared" ca="1" si="719"/>
        <v>1118.9963567812522</v>
      </c>
      <c r="BB511" s="10">
        <f t="shared" ca="1" si="719"/>
        <v>3534.9273699763567</v>
      </c>
      <c r="BC511" s="10">
        <f t="shared" ca="1" si="719"/>
        <v>2280.6504257462857</v>
      </c>
      <c r="BD511" s="10">
        <f t="shared" ca="1" si="719"/>
        <v>1345.2183888214663</v>
      </c>
      <c r="BE511" s="10">
        <f t="shared" ca="1" si="719"/>
        <v>1040.8554358877861</v>
      </c>
      <c r="BF511" s="10"/>
      <c r="BG511" s="10">
        <f ca="1">SUM(AZ511:BF511)</f>
        <v>12164.611132533697</v>
      </c>
      <c r="BI511" s="10">
        <f t="shared" ref="BI511:BN511" ca="1" si="720">BI509*BI499</f>
        <v>1327.834985047826</v>
      </c>
      <c r="BJ511" s="10">
        <f t="shared" ca="1" si="720"/>
        <v>519.94081318714336</v>
      </c>
      <c r="BK511" s="10">
        <f t="shared" ca="1" si="720"/>
        <v>1634.7494794307433</v>
      </c>
      <c r="BL511" s="10">
        <f t="shared" ca="1" si="720"/>
        <v>1052.9985508075854</v>
      </c>
      <c r="BM511" s="10">
        <f t="shared" ca="1" si="720"/>
        <v>623.39579047496284</v>
      </c>
      <c r="BN511" s="10">
        <f t="shared" ca="1" si="720"/>
        <v>483.49667508147536</v>
      </c>
      <c r="BO511" s="10"/>
      <c r="BP511" s="10">
        <f ca="1">SUM(BI511:BO511)</f>
        <v>5642.4162940297365</v>
      </c>
    </row>
    <row r="512" spans="2:68" ht="13.2" customHeight="1">
      <c r="B512" s="280" t="s">
        <v>112</v>
      </c>
      <c r="G512" s="1122">
        <f t="shared" ca="1" si="714"/>
        <v>172115.02391566811</v>
      </c>
      <c r="H512" s="1122">
        <f t="shared" ca="1" si="714"/>
        <v>72816.886404326622</v>
      </c>
      <c r="I512" s="1122">
        <f t="shared" ca="1" si="714"/>
        <v>235817.62490638977</v>
      </c>
      <c r="J512" s="1122">
        <f t="shared" ca="1" si="714"/>
        <v>155126.70070123419</v>
      </c>
      <c r="K512" s="1122">
        <f t="shared" ca="1" si="714"/>
        <v>86063.486349694838</v>
      </c>
      <c r="L512" s="1122">
        <f t="shared" ca="1" si="714"/>
        <v>58299.488965123579</v>
      </c>
      <c r="N512" s="186">
        <f ca="1">SUM(G512:M512)</f>
        <v>780239.21124243701</v>
      </c>
      <c r="O512" s="136">
        <f>ROW()</f>
        <v>512</v>
      </c>
      <c r="P512" s="10">
        <f t="shared" ref="P512:U512" ca="1" si="721">P511*$I$85</f>
        <v>35787.438421505314</v>
      </c>
      <c r="Q512" s="10">
        <f t="shared" ca="1" si="721"/>
        <v>13791.050659451819</v>
      </c>
      <c r="R512" s="10">
        <f t="shared" ca="1" si="721"/>
        <v>36696.169570735576</v>
      </c>
      <c r="S512" s="10">
        <f t="shared" ca="1" si="721"/>
        <v>14396.477966498907</v>
      </c>
      <c r="T512" s="10">
        <f t="shared" ca="1" si="721"/>
        <v>13176.950908985636</v>
      </c>
      <c r="U512" s="10">
        <f t="shared" ca="1" si="721"/>
        <v>7080.6665466843979</v>
      </c>
      <c r="V512" s="10"/>
      <c r="W512" s="10">
        <f ca="1">SUM(P512:V512)</f>
        <v>120928.75407386164</v>
      </c>
      <c r="Y512" s="10">
        <f t="shared" ref="Y512:AD512" ca="1" si="722">Y511*$J$85</f>
        <v>53767.409263594585</v>
      </c>
      <c r="Z512" s="10">
        <f t="shared" ca="1" si="722"/>
        <v>26076.331268491136</v>
      </c>
      <c r="AA512" s="10">
        <f t="shared" ca="1" si="722"/>
        <v>106866.91602520726</v>
      </c>
      <c r="AB512" s="10">
        <f t="shared" ca="1" si="722"/>
        <v>83644.858894155652</v>
      </c>
      <c r="AC512" s="10">
        <f t="shared" ca="1" si="722"/>
        <v>38913.74316730773</v>
      </c>
      <c r="AD512" s="10">
        <f t="shared" ca="1" si="722"/>
        <v>26055.848850743532</v>
      </c>
      <c r="AE512" s="10"/>
      <c r="AF512" s="10">
        <f ca="1">SUM(Y512:AE512)</f>
        <v>335325.10746949993</v>
      </c>
      <c r="AH512" s="10">
        <f t="shared" ref="AH512:AM512" ca="1" si="723">AH511*$K$85</f>
        <v>39245.782688760955</v>
      </c>
      <c r="AI512" s="10">
        <f t="shared" ca="1" si="723"/>
        <v>15392.02587018239</v>
      </c>
      <c r="AJ512" s="10">
        <f t="shared" ca="1" si="723"/>
        <v>36353.266337389738</v>
      </c>
      <c r="AK512" s="10">
        <f t="shared" ca="1" si="723"/>
        <v>21008.664388586909</v>
      </c>
      <c r="AL512" s="10">
        <f t="shared" ca="1" si="723"/>
        <v>12562.620802899954</v>
      </c>
      <c r="AM512" s="10">
        <f t="shared" ca="1" si="723"/>
        <v>8618.8845389607213</v>
      </c>
      <c r="AN512" s="10"/>
      <c r="AO512" s="10">
        <f ca="1">SUM(AH512:AN512)</f>
        <v>133181.24462678068</v>
      </c>
      <c r="AQ512" s="10">
        <f ca="1">AQ511*$L$85</f>
        <v>32126.834105749938</v>
      </c>
      <c r="AR512" s="10">
        <f t="shared" ref="AR512:AV512" ca="1" si="724">AR511*$L$85</f>
        <v>13160.607909483229</v>
      </c>
      <c r="AS512" s="10">
        <f t="shared" ca="1" si="724"/>
        <v>42026.99190426663</v>
      </c>
      <c r="AT512" s="10">
        <f t="shared" ca="1" si="724"/>
        <v>27128.751073138668</v>
      </c>
      <c r="AU512" s="10">
        <f t="shared" ca="1" si="724"/>
        <v>16127.724723087202</v>
      </c>
      <c r="AV512" s="10">
        <f t="shared" ca="1" si="724"/>
        <v>12454.529370908618</v>
      </c>
      <c r="AW512" s="10"/>
      <c r="AX512" s="10">
        <f ca="1">SUM(AQ512:AW512)</f>
        <v>143025.43908663429</v>
      </c>
      <c r="AZ512" s="10">
        <f t="shared" ref="AZ512:BE512" ca="1" si="725">AZ511*$M$85</f>
        <v>8531.889465961649</v>
      </c>
      <c r="BA512" s="10">
        <f t="shared" ca="1" si="725"/>
        <v>3356.9890703437568</v>
      </c>
      <c r="BB512" s="10">
        <f t="shared" ca="1" si="725"/>
        <v>10604.78210992907</v>
      </c>
      <c r="BC512" s="10">
        <f t="shared" ca="1" si="725"/>
        <v>6841.9512772388571</v>
      </c>
      <c r="BD512" s="10">
        <f t="shared" ca="1" si="725"/>
        <v>4035.6551664643989</v>
      </c>
      <c r="BE512" s="10">
        <f t="shared" ca="1" si="725"/>
        <v>3122.5663076633582</v>
      </c>
      <c r="BF512" s="10"/>
      <c r="BG512" s="10">
        <f ca="1">SUM(AZ512:BF512)</f>
        <v>36493.833397601091</v>
      </c>
      <c r="BI512" s="10">
        <f t="shared" ref="BI512:BN512" ca="1" si="726">BI511*$N$85</f>
        <v>2655.6699700956519</v>
      </c>
      <c r="BJ512" s="10">
        <f t="shared" ca="1" si="726"/>
        <v>1039.8816263742867</v>
      </c>
      <c r="BK512" s="10">
        <f t="shared" ca="1" si="726"/>
        <v>3269.4989588614867</v>
      </c>
      <c r="BL512" s="10">
        <f t="shared" ca="1" si="726"/>
        <v>2105.9971016151708</v>
      </c>
      <c r="BM512" s="10">
        <f t="shared" ca="1" si="726"/>
        <v>1246.7915809499257</v>
      </c>
      <c r="BN512" s="10">
        <f t="shared" ca="1" si="726"/>
        <v>966.99335016295072</v>
      </c>
      <c r="BO512" s="10"/>
      <c r="BP512" s="10">
        <f ca="1">SUM(BI512:BO512)</f>
        <v>11284.832588059473</v>
      </c>
    </row>
    <row r="513" spans="2:68" ht="13.2" customHeight="1">
      <c r="G513" s="1122"/>
      <c r="H513" s="1122"/>
      <c r="I513" s="1122"/>
      <c r="J513" s="1122"/>
      <c r="K513" s="1122"/>
      <c r="L513" s="1122"/>
      <c r="M513" s="10"/>
      <c r="N513" s="186"/>
      <c r="O513" s="136">
        <f>ROW()</f>
        <v>513</v>
      </c>
      <c r="P513" s="309" t="str">
        <f>CONCATENATE("Figures in Row ",O512, " are product of trips in Row ",O511, " and CBD miles for that trip type in Row ",O82, ".")</f>
        <v>Figures in Row 512 are product of trips in Row 511 and CBD miles for that trip type in Row 82.</v>
      </c>
    </row>
    <row r="514" spans="2:68" ht="13.2" customHeight="1">
      <c r="B514" s="308" t="s">
        <v>1010</v>
      </c>
      <c r="G514" s="1122"/>
      <c r="H514" s="1122"/>
      <c r="I514" s="1122"/>
      <c r="J514" s="1122"/>
      <c r="K514" s="1122"/>
      <c r="L514" s="1122"/>
      <c r="M514" s="10"/>
      <c r="N514" s="186"/>
      <c r="O514" s="136">
        <f>ROW()</f>
        <v>514</v>
      </c>
      <c r="P514" s="10"/>
      <c r="Q514" s="10"/>
      <c r="R514" s="10"/>
      <c r="S514" s="10"/>
      <c r="T514" s="10"/>
      <c r="U514" s="10"/>
      <c r="V514" s="10"/>
      <c r="W514" s="10"/>
      <c r="Y514" s="10"/>
      <c r="Z514" s="10"/>
      <c r="AA514" s="10"/>
      <c r="AB514" s="10"/>
      <c r="AC514" s="10"/>
      <c r="AD514" s="10"/>
      <c r="AE514" s="10"/>
      <c r="AF514" s="10"/>
      <c r="AH514" s="10"/>
      <c r="AI514" s="10"/>
      <c r="AJ514" s="10"/>
      <c r="AK514" s="10"/>
      <c r="AL514" s="10"/>
      <c r="AM514" s="10"/>
      <c r="AN514" s="10"/>
      <c r="AO514" s="10"/>
      <c r="AQ514" s="10"/>
      <c r="AR514" s="10"/>
      <c r="AS514" s="10"/>
      <c r="AT514" s="10"/>
      <c r="AU514" s="10"/>
      <c r="AV514" s="10"/>
      <c r="AW514" s="10"/>
      <c r="AX514" s="10"/>
      <c r="AZ514" s="10"/>
      <c r="BA514" s="10"/>
      <c r="BB514" s="10"/>
      <c r="BC514" s="10"/>
      <c r="BD514" s="10"/>
      <c r="BE514" s="10"/>
      <c r="BF514" s="10"/>
      <c r="BG514" s="10"/>
      <c r="BI514" s="10"/>
      <c r="BJ514" s="10"/>
      <c r="BK514" s="10"/>
      <c r="BL514" s="10"/>
      <c r="BM514" s="10"/>
      <c r="BN514" s="10"/>
      <c r="BO514" s="10"/>
      <c r="BP514" s="10"/>
    </row>
    <row r="515" spans="2:68" ht="13.2" customHeight="1">
      <c r="B515" s="280" t="s">
        <v>1301</v>
      </c>
      <c r="G515" s="1122">
        <f t="shared" ref="G515:L515" ca="1" si="727">P515+Y515+AH515+AQ515+AZ515+BI515</f>
        <v>152991.20005790534</v>
      </c>
      <c r="H515" s="1122">
        <f t="shared" ca="1" si="727"/>
        <v>46165.479938623605</v>
      </c>
      <c r="I515" s="1122">
        <f t="shared" ca="1" si="727"/>
        <v>137609.86675666933</v>
      </c>
      <c r="J515" s="1122">
        <f t="shared" ca="1" si="727"/>
        <v>87540.3509565227</v>
      </c>
      <c r="K515" s="1122">
        <f t="shared" ca="1" si="727"/>
        <v>49741.043958168317</v>
      </c>
      <c r="L515" s="1122">
        <f t="shared" ca="1" si="727"/>
        <v>48258.23914013867</v>
      </c>
      <c r="N515" s="186">
        <f ca="1">SUM(G515:M515)</f>
        <v>522306.18080802792</v>
      </c>
      <c r="O515" s="136">
        <f>ROW()</f>
        <v>515</v>
      </c>
      <c r="P515" s="10">
        <f t="shared" ref="P515:W515" ca="1" si="728">P$135*$W509</f>
        <v>26484.403844164139</v>
      </c>
      <c r="Q515" s="10">
        <f t="shared" ca="1" si="728"/>
        <v>7656.5161867911283</v>
      </c>
      <c r="R515" s="10">
        <f t="shared" ca="1" si="728"/>
        <v>22551.927033228869</v>
      </c>
      <c r="S515" s="10">
        <f t="shared" ca="1" si="728"/>
        <v>14308.342432711612</v>
      </c>
      <c r="T515" s="10">
        <f t="shared" ca="1" si="728"/>
        <v>8061.1493465210324</v>
      </c>
      <c r="U515" s="10">
        <f t="shared" ca="1" si="728"/>
        <v>8129.5795271929001</v>
      </c>
      <c r="V515" s="10"/>
      <c r="W515" s="10">
        <f t="shared" ca="1" si="728"/>
        <v>87191.918370609666</v>
      </c>
      <c r="Y515" s="10">
        <f t="shared" ref="Y515:AD515" ca="1" si="729">Y$135*$AF509</f>
        <v>73857.75970390861</v>
      </c>
      <c r="Z515" s="10">
        <f t="shared" ca="1" si="729"/>
        <v>21351.929838424989</v>
      </c>
      <c r="AA515" s="10">
        <f t="shared" ca="1" si="729"/>
        <v>62891.157281885447</v>
      </c>
      <c r="AB515" s="10">
        <f t="shared" ca="1" si="729"/>
        <v>39902.05418157133</v>
      </c>
      <c r="AC515" s="10">
        <f t="shared" ca="1" si="729"/>
        <v>22480.341066988469</v>
      </c>
      <c r="AD515" s="10">
        <f t="shared" ca="1" si="729"/>
        <v>22671.174127468006</v>
      </c>
      <c r="AE515" s="10"/>
      <c r="AF515" s="10">
        <f ca="1">SUM(Y515:AE515)</f>
        <v>243154.41620024684</v>
      </c>
      <c r="AH515" s="10">
        <f t="shared" ref="AH515:AM515" ca="1" si="730">AH$135*$AO509</f>
        <v>31039.523129760641</v>
      </c>
      <c r="AI515" s="10">
        <f t="shared" ca="1" si="730"/>
        <v>8973.379679288395</v>
      </c>
      <c r="AJ515" s="10">
        <f t="shared" ca="1" si="730"/>
        <v>26430.689733000258</v>
      </c>
      <c r="AK515" s="10">
        <f t="shared" ca="1" si="730"/>
        <v>16769.270265698309</v>
      </c>
      <c r="AL515" s="10">
        <f t="shared" ca="1" si="730"/>
        <v>9447.6067147318245</v>
      </c>
      <c r="AM515" s="10">
        <f t="shared" ca="1" si="730"/>
        <v>9527.8063744348001</v>
      </c>
      <c r="AN515" s="10"/>
      <c r="AO515" s="10">
        <f ca="1">SUM(AH515:AN515)</f>
        <v>102188.27589691422</v>
      </c>
      <c r="AQ515" s="10">
        <f t="shared" ref="AQ515:AV515" ca="1" si="731">AQ509</f>
        <v>16063.417052874969</v>
      </c>
      <c r="AR515" s="10">
        <f t="shared" ca="1" si="731"/>
        <v>6580.3039547416147</v>
      </c>
      <c r="AS515" s="10">
        <f t="shared" ca="1" si="731"/>
        <v>21013.495952133315</v>
      </c>
      <c r="AT515" s="10">
        <f t="shared" ca="1" si="731"/>
        <v>13564.375536569334</v>
      </c>
      <c r="AU515" s="10">
        <f t="shared" ca="1" si="731"/>
        <v>8063.8623615436009</v>
      </c>
      <c r="AV515" s="10">
        <f t="shared" ca="1" si="731"/>
        <v>6227.2646854543091</v>
      </c>
      <c r="AW515" s="10"/>
      <c r="AX515" s="10">
        <f ca="1">SUM(AQ515:AW515)</f>
        <v>71512.719543317144</v>
      </c>
      <c r="AZ515" s="10">
        <f t="shared" ref="AZ515:BE515" ca="1" si="732">AZ$135*$BG509</f>
        <v>3771.4505049922</v>
      </c>
      <c r="BA515" s="10">
        <f t="shared" ca="1" si="732"/>
        <v>1090.3085457034838</v>
      </c>
      <c r="BB515" s="10">
        <f t="shared" ca="1" si="732"/>
        <v>3211.4552058063359</v>
      </c>
      <c r="BC515" s="10">
        <f t="shared" ca="1" si="732"/>
        <v>2037.5465353486661</v>
      </c>
      <c r="BD515" s="10">
        <f t="shared" ca="1" si="732"/>
        <v>1147.9293984732622</v>
      </c>
      <c r="BE515" s="10">
        <f t="shared" ca="1" si="732"/>
        <v>1157.6740406774134</v>
      </c>
      <c r="BF515" s="10"/>
      <c r="BG515" s="10">
        <f ca="1">SUM(AZ515:BF515)</f>
        <v>12416.364231001362</v>
      </c>
      <c r="BI515" s="10">
        <f t="shared" ref="BI515:BN515" ca="1" si="733">BI$135*$BP509</f>
        <v>1774.645822204802</v>
      </c>
      <c r="BJ515" s="10">
        <f t="shared" ca="1" si="733"/>
        <v>513.04173367399983</v>
      </c>
      <c r="BK515" s="10">
        <f t="shared" ca="1" si="733"/>
        <v>1511.1415506151166</v>
      </c>
      <c r="BL515" s="10">
        <f t="shared" ca="1" si="733"/>
        <v>958.76200462343263</v>
      </c>
      <c r="BM515" s="10">
        <f t="shared" ca="1" si="733"/>
        <v>540.15506991012717</v>
      </c>
      <c r="BN515" s="10">
        <f t="shared" ca="1" si="733"/>
        <v>544.74038491123508</v>
      </c>
      <c r="BO515" s="10"/>
      <c r="BP515" s="10">
        <f ca="1">SUM(BI515:BO515)</f>
        <v>5842.4865659387133</v>
      </c>
    </row>
    <row r="516" spans="2:68" ht="13.2" customHeight="1">
      <c r="B516" s="309" t="str">
        <f>CONCATENATE("Each fig. in column blocks to right is product of period's % of total exits in Row ",$O$135," times 24-h entries for trip type in Row ",O509,"; except taxicabs, where each fig. is corresp. # of entries for period.")</f>
        <v>Each fig. in column blocks to right is product of period's % of total exits in Row 135 times 24-h entries for trip type in Row 509; except taxicabs, where each fig. is corresp. # of entries for period.</v>
      </c>
      <c r="G516" s="1122"/>
      <c r="H516" s="1122"/>
      <c r="I516" s="1122"/>
      <c r="J516" s="1122"/>
      <c r="K516" s="1122"/>
      <c r="L516" s="1122"/>
      <c r="O516" s="136">
        <f>ROW()</f>
        <v>516</v>
      </c>
    </row>
    <row r="517" spans="2:68" ht="13.2" customHeight="1">
      <c r="B517" s="280" t="s">
        <v>1047</v>
      </c>
      <c r="G517" s="1122"/>
      <c r="H517" s="1122"/>
      <c r="I517" s="1122"/>
      <c r="J517" s="1122"/>
      <c r="K517" s="1122"/>
      <c r="L517" s="1122"/>
      <c r="M517" s="10"/>
      <c r="N517" s="186"/>
      <c r="O517" s="136">
        <f>ROW()</f>
        <v>517</v>
      </c>
      <c r="P517" s="10">
        <f t="shared" ref="P517:U517" ca="1" si="734">P515*$W511/$W509</f>
        <v>24487.941995193938</v>
      </c>
      <c r="Q517" s="10">
        <f t="shared" ca="1" si="734"/>
        <v>7079.3484864005623</v>
      </c>
      <c r="R517" s="10">
        <f t="shared" ca="1" si="734"/>
        <v>20851.905306950812</v>
      </c>
      <c r="S517" s="10">
        <f t="shared" ca="1" si="734"/>
        <v>13229.743119810533</v>
      </c>
      <c r="T517" s="10">
        <f t="shared" ca="1" si="734"/>
        <v>7453.4793674693219</v>
      </c>
      <c r="U517" s="10">
        <f t="shared" ca="1" si="734"/>
        <v>7516.7511067492887</v>
      </c>
      <c r="V517" s="10"/>
      <c r="W517" s="10">
        <f ca="1">SUM(P517:V517)</f>
        <v>80619.169382574459</v>
      </c>
      <c r="Y517" s="10">
        <f t="shared" ref="Y517:AD517" ca="1" si="735">Y515*$AF511/$AF509</f>
        <v>67902.97182942825</v>
      </c>
      <c r="Z517" s="10">
        <f t="shared" ca="1" si="735"/>
        <v>19630.428761106501</v>
      </c>
      <c r="AA517" s="10">
        <f t="shared" ca="1" si="735"/>
        <v>57820.552618332549</v>
      </c>
      <c r="AB517" s="10">
        <f t="shared" ca="1" si="735"/>
        <v>36684.947822539638</v>
      </c>
      <c r="AC517" s="10">
        <f t="shared" ca="1" si="735"/>
        <v>20667.861742723213</v>
      </c>
      <c r="AD517" s="10">
        <f t="shared" ca="1" si="735"/>
        <v>20843.308872203099</v>
      </c>
      <c r="AE517" s="10"/>
      <c r="AF517" s="10">
        <f ca="1">SUM(Y517:AE517)</f>
        <v>223550.07164633326</v>
      </c>
      <c r="AH517" s="10">
        <f t="shared" ref="AH517:AM517" ca="1" si="736">AH515*$AO511/$AO509</f>
        <v>28895.419381248346</v>
      </c>
      <c r="AI517" s="10">
        <f t="shared" ca="1" si="736"/>
        <v>8353.5294023767892</v>
      </c>
      <c r="AJ517" s="10">
        <f t="shared" ca="1" si="736"/>
        <v>24604.948380744878</v>
      </c>
      <c r="AK517" s="10">
        <f t="shared" ca="1" si="736"/>
        <v>15610.906617964756</v>
      </c>
      <c r="AL517" s="10">
        <f t="shared" ca="1" si="736"/>
        <v>8794.9984614785899</v>
      </c>
      <c r="AM517" s="10">
        <f t="shared" ca="1" si="736"/>
        <v>8869.6582038871002</v>
      </c>
      <c r="AN517" s="10"/>
      <c r="AO517" s="10">
        <f ca="1">SUM(AH517:AN517)</f>
        <v>95129.460447700461</v>
      </c>
      <c r="AQ517" s="10">
        <f t="shared" ref="AQ517:AV517" ca="1" si="737">AQ515*$AX511/$AX509</f>
        <v>16063.417052874971</v>
      </c>
      <c r="AR517" s="10">
        <f t="shared" ca="1" si="737"/>
        <v>6580.3039547416147</v>
      </c>
      <c r="AS517" s="10">
        <f t="shared" ca="1" si="737"/>
        <v>21013.495952133315</v>
      </c>
      <c r="AT517" s="10">
        <f t="shared" ca="1" si="737"/>
        <v>13564.375536569334</v>
      </c>
      <c r="AU517" s="10">
        <f t="shared" ca="1" si="737"/>
        <v>8063.8623615436018</v>
      </c>
      <c r="AV517" s="10">
        <f t="shared" ca="1" si="737"/>
        <v>6227.2646854543091</v>
      </c>
      <c r="AW517" s="10"/>
      <c r="AX517" s="10">
        <f ca="1">SUM(AQ517:AW517)</f>
        <v>71512.719543317144</v>
      </c>
      <c r="AZ517" s="10">
        <f t="shared" ref="AZ517:BE517" ca="1" si="738">AZ515*$BG511/$BG509</f>
        <v>3694.9809094902762</v>
      </c>
      <c r="BA517" s="10">
        <f t="shared" ca="1" si="738"/>
        <v>1068.2015464595925</v>
      </c>
      <c r="BB517" s="10">
        <f t="shared" ca="1" si="738"/>
        <v>3146.3400252582974</v>
      </c>
      <c r="BC517" s="10">
        <f t="shared" ca="1" si="738"/>
        <v>1996.2334227496237</v>
      </c>
      <c r="BD517" s="10">
        <f t="shared" ca="1" si="738"/>
        <v>1124.654083935839</v>
      </c>
      <c r="BE517" s="10">
        <f t="shared" ca="1" si="738"/>
        <v>1134.201144640067</v>
      </c>
      <c r="BF517" s="10"/>
      <c r="BG517" s="10">
        <f ca="1">SUM(AZ517:BF517)</f>
        <v>12164.611132533695</v>
      </c>
      <c r="BI517" s="10">
        <f t="shared" ref="BI517:BN517" ca="1" si="739">BI515*$BP511/$BP509</f>
        <v>1713.8748014786981</v>
      </c>
      <c r="BJ517" s="10">
        <f t="shared" ca="1" si="739"/>
        <v>495.47311832531943</v>
      </c>
      <c r="BK517" s="10">
        <f t="shared" ca="1" si="739"/>
        <v>1459.3939774692735</v>
      </c>
      <c r="BL517" s="10">
        <f t="shared" ca="1" si="739"/>
        <v>925.93013196166203</v>
      </c>
      <c r="BM517" s="10">
        <f t="shared" ca="1" si="739"/>
        <v>521.65798472383574</v>
      </c>
      <c r="BN517" s="10">
        <f t="shared" ca="1" si="739"/>
        <v>526.08628007094762</v>
      </c>
      <c r="BO517" s="10"/>
      <c r="BP517" s="10">
        <f ca="1">SUM(BI517:BO517)</f>
        <v>5642.4162940297356</v>
      </c>
    </row>
    <row r="518" spans="2:68" ht="13.2" customHeight="1">
      <c r="B518" s="309" t="str">
        <f>CONCATENATE("Each fig. in column blocks to right prorates pre-toll # of exits, in Row ",O515,", by ratio of (i) sum of post-tolls entries for trip type, in Row ",O511,", to (ii) sum of pre-tolls entries for trip type, in Row ",O509,".")</f>
        <v>Each fig. in column blocks to right prorates pre-toll # of exits, in Row 515, by ratio of (i) sum of post-tolls entries for trip type, in Row 511, to (ii) sum of pre-tolls entries for trip type, in Row 509.</v>
      </c>
      <c r="G518" s="1122"/>
      <c r="H518" s="1122"/>
      <c r="I518" s="1122"/>
      <c r="J518" s="1122"/>
      <c r="K518" s="1122"/>
      <c r="L518" s="1122"/>
      <c r="O518" s="136">
        <f>ROW()</f>
        <v>518</v>
      </c>
    </row>
    <row r="519" spans="2:68" ht="13.2" customHeight="1">
      <c r="B519" s="280" t="s">
        <v>1010</v>
      </c>
      <c r="G519" s="1122">
        <f t="shared" ref="G519:L519" ca="1" si="740">P519+Y519+AH519+AQ519+AZ519+BI519</f>
        <v>217647.77578142163</v>
      </c>
      <c r="H519" s="1122">
        <f t="shared" ca="1" si="740"/>
        <v>65825.613842729945</v>
      </c>
      <c r="I519" s="1122">
        <f t="shared" ca="1" si="740"/>
        <v>196333.6665798813</v>
      </c>
      <c r="J519" s="1122">
        <f t="shared" ca="1" si="740"/>
        <v>124914.42951570213</v>
      </c>
      <c r="K519" s="1122">
        <f t="shared" ca="1" si="740"/>
        <v>71008.081274929427</v>
      </c>
      <c r="L519" s="1122">
        <f t="shared" ca="1" si="740"/>
        <v>68753.284476114088</v>
      </c>
      <c r="N519" s="186">
        <f ca="1">SUM(G519:M519)</f>
        <v>744482.85147077858</v>
      </c>
      <c r="O519" s="136">
        <f>ROW()</f>
        <v>519</v>
      </c>
      <c r="P519" s="10">
        <f t="shared" ref="P519:U519" ca="1" si="741">P517*$I$85</f>
        <v>36731.912992790909</v>
      </c>
      <c r="Q519" s="10">
        <f t="shared" ca="1" si="741"/>
        <v>10619.022729600843</v>
      </c>
      <c r="R519" s="10">
        <f t="shared" ca="1" si="741"/>
        <v>31277.85796042622</v>
      </c>
      <c r="S519" s="10">
        <f t="shared" ca="1" si="741"/>
        <v>19844.6146797158</v>
      </c>
      <c r="T519" s="10">
        <f t="shared" ca="1" si="741"/>
        <v>11180.219051203983</v>
      </c>
      <c r="U519" s="10">
        <f t="shared" ca="1" si="741"/>
        <v>11275.126660123933</v>
      </c>
      <c r="V519" s="10"/>
      <c r="W519" s="10">
        <f ca="1">SUM(P519:V519)</f>
        <v>120928.7540738617</v>
      </c>
      <c r="Y519" s="10">
        <f t="shared" ref="Y519:AD519" ca="1" si="742">Y517*$J$85</f>
        <v>101854.45774414238</v>
      </c>
      <c r="Z519" s="10">
        <f t="shared" ca="1" si="742"/>
        <v>29445.643141659752</v>
      </c>
      <c r="AA519" s="10">
        <f t="shared" ca="1" si="742"/>
        <v>86730.82892749882</v>
      </c>
      <c r="AB519" s="10">
        <f t="shared" ca="1" si="742"/>
        <v>55027.42173380946</v>
      </c>
      <c r="AC519" s="10">
        <f t="shared" ca="1" si="742"/>
        <v>31001.792614084821</v>
      </c>
      <c r="AD519" s="10">
        <f t="shared" ca="1" si="742"/>
        <v>31264.96330830465</v>
      </c>
      <c r="AE519" s="10"/>
      <c r="AF519" s="10">
        <f ca="1">SUM(Y519:AE519)</f>
        <v>335325.10746949993</v>
      </c>
      <c r="AH519" s="10">
        <f t="shared" ref="AH519:AM519" ca="1" si="743">AH517*$K$85</f>
        <v>40453.587133747686</v>
      </c>
      <c r="AI519" s="10">
        <f t="shared" ca="1" si="743"/>
        <v>11694.941163327507</v>
      </c>
      <c r="AJ519" s="10">
        <f t="shared" ca="1" si="743"/>
        <v>34446.92773304283</v>
      </c>
      <c r="AK519" s="10">
        <f t="shared" ca="1" si="743"/>
        <v>21855.269265150662</v>
      </c>
      <c r="AL519" s="10">
        <f t="shared" ca="1" si="743"/>
        <v>12312.997846070028</v>
      </c>
      <c r="AM519" s="10">
        <f t="shared" ca="1" si="743"/>
        <v>12417.521485441941</v>
      </c>
      <c r="AN519" s="10"/>
      <c r="AO519" s="10">
        <f ca="1">SUM(AH519:AN519)</f>
        <v>133181.24462678065</v>
      </c>
      <c r="AQ519" s="10">
        <f ca="1">AQ517*$L$85*Taxis!$L$130</f>
        <v>24095.125579312458</v>
      </c>
      <c r="AR519" s="10">
        <f ca="1">AR517*$L$85*Taxis!$L$130</f>
        <v>9870.4559321124216</v>
      </c>
      <c r="AS519" s="10">
        <f ca="1">AS517*$L$85*Taxis!$L$130</f>
        <v>31520.243928199972</v>
      </c>
      <c r="AT519" s="10">
        <f ca="1">AT517*$L$85*Taxis!$L$130</f>
        <v>20346.563304854</v>
      </c>
      <c r="AU519" s="10">
        <f ca="1">AU517*$L$85*Taxis!$L$130</f>
        <v>12095.793542315403</v>
      </c>
      <c r="AV519" s="10">
        <f ca="1">AV517*$L$85*Taxis!$L$130</f>
        <v>9340.8970281814636</v>
      </c>
      <c r="AW519" s="10"/>
      <c r="AX519" s="10">
        <f ca="1">SUM(AQ519:AW519)</f>
        <v>107269.07931497572</v>
      </c>
      <c r="AZ519" s="10">
        <f t="shared" ref="AZ519:BE519" ca="1" si="744">AZ517*$M$85</f>
        <v>11084.942728470829</v>
      </c>
      <c r="BA519" s="10">
        <f t="shared" ca="1" si="744"/>
        <v>3204.6046393787774</v>
      </c>
      <c r="BB519" s="10">
        <f t="shared" ca="1" si="744"/>
        <v>9439.0200757748917</v>
      </c>
      <c r="BC519" s="10">
        <f t="shared" ca="1" si="744"/>
        <v>5988.700268248871</v>
      </c>
      <c r="BD519" s="10">
        <f t="shared" ca="1" si="744"/>
        <v>3373.9622518075171</v>
      </c>
      <c r="BE519" s="10">
        <f t="shared" ca="1" si="744"/>
        <v>3402.603433920201</v>
      </c>
      <c r="BF519" s="10"/>
      <c r="BG519" s="10">
        <f ca="1">SUM(AZ519:BF519)</f>
        <v>36493.833397601084</v>
      </c>
      <c r="BI519" s="10">
        <f t="shared" ref="BI519:BN519" ca="1" si="745">BI517*$N$85</f>
        <v>3427.7496029573963</v>
      </c>
      <c r="BJ519" s="10">
        <f t="shared" ca="1" si="745"/>
        <v>990.94623665063887</v>
      </c>
      <c r="BK519" s="10">
        <f t="shared" ca="1" si="745"/>
        <v>2918.787954938547</v>
      </c>
      <c r="BL519" s="10">
        <f t="shared" ca="1" si="745"/>
        <v>1851.8602639233241</v>
      </c>
      <c r="BM519" s="10">
        <f t="shared" ca="1" si="745"/>
        <v>1043.3159694476715</v>
      </c>
      <c r="BN519" s="10">
        <f t="shared" ca="1" si="745"/>
        <v>1052.1725601418952</v>
      </c>
      <c r="BO519" s="10"/>
      <c r="BP519" s="10">
        <f ca="1">SUM(BI519:BO519)</f>
        <v>11284.832588059471</v>
      </c>
    </row>
    <row r="520" spans="2:68" ht="13.2" customHeight="1">
      <c r="B520" s="309" t="str">
        <f>CONCATENATE("Figures in Row ",O519, " are product of trips in Row ",O517, " and CBD miles for that trip type in Row ",O82, " (see column blocks to right).")</f>
        <v>Figures in Row 519 are product of trips in Row 517 and CBD miles for that trip type in Row 82 (see column blocks to right).</v>
      </c>
      <c r="G520" s="1122"/>
      <c r="H520" s="1122"/>
      <c r="I520" s="1122"/>
      <c r="J520" s="1122"/>
      <c r="K520" s="1122"/>
      <c r="L520" s="1122"/>
      <c r="O520" s="136">
        <f>ROW()</f>
        <v>520</v>
      </c>
      <c r="AQ520"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520" s="10"/>
      <c r="AS520" s="10"/>
      <c r="AT520" s="10"/>
      <c r="AU520" s="10"/>
      <c r="AV520" s="10"/>
    </row>
    <row r="521" spans="2:68" ht="13.2" customHeight="1">
      <c r="G521" s="1122"/>
      <c r="H521" s="1122"/>
      <c r="I521" s="1122"/>
      <c r="J521" s="1122"/>
      <c r="K521" s="1122"/>
      <c r="L521" s="1122"/>
      <c r="M521" s="10"/>
      <c r="N521" s="186"/>
      <c r="O521" s="136">
        <f>ROW()</f>
        <v>521</v>
      </c>
    </row>
    <row r="522" spans="2:68" ht="13.2" customHeight="1">
      <c r="B522" s="308" t="s">
        <v>2760</v>
      </c>
      <c r="G522" s="1122"/>
      <c r="H522" s="1122"/>
      <c r="I522" s="1122"/>
      <c r="J522" s="1122"/>
      <c r="K522" s="1122"/>
      <c r="L522" s="1122"/>
      <c r="O522" s="136">
        <f>ROW()</f>
        <v>522</v>
      </c>
      <c r="P522" s="309" t="str">
        <f>CONCATENATE("Figs. in Row ",O523, " repeat figs. for same column in Row ",O472, "; figs. in Row ",O524, " multiply those figs. by intra-cordon rebound factor in Row ",O501,".")</f>
        <v>Figs. in Row 523 repeat figs. for same column in Row 472; figs. in Row 524 multiply those figs. by intra-cordon rebound factor in Row 501.</v>
      </c>
      <c r="AQ522" s="265" t="str">
        <f>CONCATENATE("Row ",O524, " figures are set equal to ",O523, " figures, since rebound effects are presumed accounted for by taxi time-elasticity.")</f>
        <v>Row 524 figures are set equal to 523 figures, since rebound effects are presumed accounted for by taxi time-elasticity.</v>
      </c>
    </row>
    <row r="523" spans="2:68" s="1122" customFormat="1" ht="13.2" customHeight="1">
      <c r="B523" s="1123" t="s">
        <v>1112</v>
      </c>
      <c r="G523" s="1122">
        <f t="shared" ref="G523:L525" ca="1" si="746">P523+Y523+AH523+AQ523+AZ523+BI523</f>
        <v>490185.36258718179</v>
      </c>
      <c r="H523" s="1122">
        <f t="shared" ca="1" si="746"/>
        <v>116192.01050584725</v>
      </c>
      <c r="I523" s="1122">
        <f t="shared" ca="1" si="746"/>
        <v>327109.92594723776</v>
      </c>
      <c r="J523" s="1122">
        <f t="shared" ca="1" si="746"/>
        <v>207516.79415091811</v>
      </c>
      <c r="K523" s="1122">
        <f t="shared" ca="1" si="746"/>
        <v>131331.01509930097</v>
      </c>
      <c r="L523" s="1122">
        <f t="shared" ca="1" si="746"/>
        <v>124476.12282759167</v>
      </c>
      <c r="N523" s="1127">
        <f ca="1">SUM(G523:M523)</f>
        <v>1396811.2311180774</v>
      </c>
      <c r="O523" s="136">
        <f>ROW()</f>
        <v>523</v>
      </c>
      <c r="P523" s="1122">
        <f t="shared" ref="P523:U523" ca="1" si="747">P472</f>
        <v>11092.197856973558</v>
      </c>
      <c r="Q523" s="1122">
        <f t="shared" ca="1" si="747"/>
        <v>4039.6195736980167</v>
      </c>
      <c r="R523" s="1122">
        <f t="shared" ca="1" si="747"/>
        <v>12991.333476684047</v>
      </c>
      <c r="S523" s="1122">
        <f t="shared" ca="1" si="747"/>
        <v>8391.0999709091375</v>
      </c>
      <c r="T523" s="1122">
        <f t="shared" ca="1" si="747"/>
        <v>4841.0528040646332</v>
      </c>
      <c r="U523" s="1122">
        <f t="shared" ca="1" si="747"/>
        <v>4180.3819897862504</v>
      </c>
      <c r="W523" s="1122">
        <f ca="1">SUM(P523:V523)</f>
        <v>45535.685672115644</v>
      </c>
      <c r="Y523" s="1122">
        <f t="shared" ref="Y523:AD523" ca="1" si="748">Y472</f>
        <v>33276.593570920675</v>
      </c>
      <c r="Z523" s="1122">
        <f t="shared" ca="1" si="748"/>
        <v>12118.858721094048</v>
      </c>
      <c r="AA523" s="1122">
        <f t="shared" ca="1" si="748"/>
        <v>38974.00043005214</v>
      </c>
      <c r="AB523" s="1122">
        <f t="shared" ca="1" si="748"/>
        <v>25173.299912727412</v>
      </c>
      <c r="AC523" s="1122">
        <f t="shared" ca="1" si="748"/>
        <v>14523.158412193898</v>
      </c>
      <c r="AD523" s="1122">
        <f t="shared" ca="1" si="748"/>
        <v>12541.145969358749</v>
      </c>
      <c r="AF523" s="1122">
        <f ca="1">SUM(Y523:AE523)</f>
        <v>136607.05701634692</v>
      </c>
      <c r="AH523" s="1122">
        <f t="shared" ref="AH523:AM523" ca="1" si="749">AH472</f>
        <v>0</v>
      </c>
      <c r="AI523" s="1122">
        <f t="shared" ca="1" si="749"/>
        <v>0</v>
      </c>
      <c r="AJ523" s="1122">
        <f t="shared" ca="1" si="749"/>
        <v>0</v>
      </c>
      <c r="AK523" s="1122">
        <f t="shared" ca="1" si="749"/>
        <v>0</v>
      </c>
      <c r="AL523" s="1122">
        <f t="shared" ca="1" si="749"/>
        <v>0</v>
      </c>
      <c r="AM523" s="1122">
        <f t="shared" ca="1" si="749"/>
        <v>0</v>
      </c>
      <c r="AO523" s="1122">
        <f ca="1">SUM(AH523:AN523)</f>
        <v>0</v>
      </c>
      <c r="AQ523" s="1122">
        <f t="shared" ref="AQ523:AV523" si="750">AQ472</f>
        <v>438656.72193199908</v>
      </c>
      <c r="AR523" s="1122">
        <f t="shared" si="750"/>
        <v>97563.564894963914</v>
      </c>
      <c r="AS523" s="1122">
        <f t="shared" si="750"/>
        <v>267453.00942252984</v>
      </c>
      <c r="AT523" s="1122">
        <f t="shared" si="750"/>
        <v>169012.18827727382</v>
      </c>
      <c r="AU523" s="1122">
        <f t="shared" si="750"/>
        <v>109114.24796886933</v>
      </c>
      <c r="AV523" s="1122">
        <f t="shared" si="750"/>
        <v>105261.8059659023</v>
      </c>
      <c r="AX523" s="1122">
        <f>SUM(AQ523:AW523)</f>
        <v>1187061.5384615383</v>
      </c>
      <c r="AZ523" s="1122">
        <f t="shared" ref="AZ523:BE523" ca="1" si="751">AZ472</f>
        <v>4097.0356276467546</v>
      </c>
      <c r="BA523" s="1122">
        <f t="shared" ca="1" si="751"/>
        <v>1404.1870118395673</v>
      </c>
      <c r="BB523" s="1122">
        <f t="shared" ca="1" si="751"/>
        <v>4355.6512036092527</v>
      </c>
      <c r="BC523" s="1122">
        <f t="shared" ca="1" si="751"/>
        <v>2795.6710225013544</v>
      </c>
      <c r="BD523" s="1122">
        <f t="shared" ca="1" si="751"/>
        <v>1614.4328682157804</v>
      </c>
      <c r="BE523" s="1122">
        <f t="shared" ca="1" si="751"/>
        <v>1412.864687426191</v>
      </c>
      <c r="BG523" s="1122">
        <f ca="1">SUM(AZ523:BF523)</f>
        <v>15679.8424212389</v>
      </c>
      <c r="BI523" s="1122">
        <f t="shared" ref="BI523:BN523" ca="1" si="752">BI472</f>
        <v>3062.8135996416772</v>
      </c>
      <c r="BJ523" s="1122">
        <f t="shared" ca="1" si="752"/>
        <v>1065.7803042516971</v>
      </c>
      <c r="BK523" s="1122">
        <f t="shared" ca="1" si="752"/>
        <v>3335.9314143624829</v>
      </c>
      <c r="BL523" s="1122">
        <f t="shared" ca="1" si="752"/>
        <v>2144.5349675063926</v>
      </c>
      <c r="BM523" s="1122">
        <f t="shared" ca="1" si="752"/>
        <v>1238.1230459573367</v>
      </c>
      <c r="BN523" s="1122">
        <f t="shared" ca="1" si="752"/>
        <v>1079.9242151181618</v>
      </c>
      <c r="BP523" s="1122">
        <f ca="1">SUM(BI523:BO523)</f>
        <v>11927.107546837749</v>
      </c>
    </row>
    <row r="524" spans="2:68" s="1122" customFormat="1" ht="13.2" customHeight="1">
      <c r="B524" s="1123" t="s">
        <v>114</v>
      </c>
      <c r="G524" s="1122">
        <f t="shared" ca="1" si="746"/>
        <v>490069.25317447522</v>
      </c>
      <c r="H524" s="1122">
        <f t="shared" ca="1" si="746"/>
        <v>115660.78966111252</v>
      </c>
      <c r="I524" s="1122">
        <f t="shared" ca="1" si="746"/>
        <v>324130.49982890906</v>
      </c>
      <c r="J524" s="1122">
        <f t="shared" ca="1" si="746"/>
        <v>205307.23680304096</v>
      </c>
      <c r="K524" s="1122">
        <f t="shared" ca="1" si="746"/>
        <v>130265.17629261639</v>
      </c>
      <c r="L524" s="1122">
        <f t="shared" ca="1" si="746"/>
        <v>123942.91750158105</v>
      </c>
      <c r="N524" s="1127">
        <f ca="1">SUM(G524:M524)</f>
        <v>1389375.8732617353</v>
      </c>
      <c r="O524" s="136">
        <f>ROW()</f>
        <v>524</v>
      </c>
      <c r="P524" s="1122">
        <f t="shared" ref="P524:U524" ca="1" si="753">P523*P501</f>
        <v>11029.786736240525</v>
      </c>
      <c r="Q524" s="1122">
        <f t="shared" ca="1" si="753"/>
        <v>3902.5990673816323</v>
      </c>
      <c r="R524" s="1122">
        <f t="shared" ca="1" si="753"/>
        <v>12252.152237955133</v>
      </c>
      <c r="S524" s="1122">
        <f t="shared" ca="1" si="753"/>
        <v>7846.5997201409737</v>
      </c>
      <c r="T524" s="1122">
        <f t="shared" ca="1" si="753"/>
        <v>4576.0395351743537</v>
      </c>
      <c r="U524" s="1122">
        <f t="shared" ca="1" si="753"/>
        <v>4042.5722886066837</v>
      </c>
      <c r="W524" s="1122">
        <f ca="1">SUM(P524:V524)</f>
        <v>43649.749585499296</v>
      </c>
      <c r="Y524" s="1122">
        <f t="shared" ref="Y524:AD524" ca="1" si="754">Y523*Y501</f>
        <v>33089.360208721577</v>
      </c>
      <c r="Z524" s="1122">
        <f t="shared" ca="1" si="754"/>
        <v>11707.797202144895</v>
      </c>
      <c r="AA524" s="1122">
        <f t="shared" ca="1" si="754"/>
        <v>36756.456713865402</v>
      </c>
      <c r="AB524" s="1122">
        <f t="shared" ca="1" si="754"/>
        <v>23539.799160422921</v>
      </c>
      <c r="AC524" s="1122">
        <f t="shared" ca="1" si="754"/>
        <v>13728.118605523057</v>
      </c>
      <c r="AD524" s="1122">
        <f t="shared" ca="1" si="754"/>
        <v>12127.71686582005</v>
      </c>
      <c r="AF524" s="1122">
        <f ca="1">SUM(Y524:AE524)</f>
        <v>130949.24875649789</v>
      </c>
      <c r="AH524" s="1122">
        <f t="shared" ref="AH524:AM524" ca="1" si="755">AH523*AH501</f>
        <v>0</v>
      </c>
      <c r="AI524" s="1122">
        <f t="shared" ca="1" si="755"/>
        <v>0</v>
      </c>
      <c r="AJ524" s="1122">
        <f t="shared" ca="1" si="755"/>
        <v>0</v>
      </c>
      <c r="AK524" s="1122">
        <f t="shared" ca="1" si="755"/>
        <v>0</v>
      </c>
      <c r="AL524" s="1122">
        <f t="shared" ca="1" si="755"/>
        <v>0</v>
      </c>
      <c r="AM524" s="1122">
        <f t="shared" ca="1" si="755"/>
        <v>0</v>
      </c>
      <c r="AO524" s="1122">
        <f ca="1">SUM(AH524:AN524)</f>
        <v>0</v>
      </c>
      <c r="AQ524" s="1122">
        <f t="shared" ref="AQ524:AV524" si="756">AQ523</f>
        <v>438656.72193199908</v>
      </c>
      <c r="AR524" s="1122">
        <f t="shared" si="756"/>
        <v>97563.564894963914</v>
      </c>
      <c r="AS524" s="1122">
        <f t="shared" si="756"/>
        <v>267453.00942252984</v>
      </c>
      <c r="AT524" s="1122">
        <f t="shared" si="756"/>
        <v>169012.18827727382</v>
      </c>
      <c r="AU524" s="1122">
        <f t="shared" si="756"/>
        <v>109114.24796886933</v>
      </c>
      <c r="AV524" s="1122">
        <f t="shared" si="756"/>
        <v>105261.8059659023</v>
      </c>
      <c r="AX524" s="1122">
        <f>SUM(AQ524:AW524)</f>
        <v>1187061.5384615383</v>
      </c>
      <c r="AZ524" s="1122">
        <f t="shared" ref="AZ524:BE524" ca="1" si="757">AZ523*AZ501</f>
        <v>4159.8567432153368</v>
      </c>
      <c r="BA524" s="1122">
        <f t="shared" ca="1" si="757"/>
        <v>1412.0657072611846</v>
      </c>
      <c r="BB524" s="1122">
        <f t="shared" ca="1" si="757"/>
        <v>4345.0833391656352</v>
      </c>
      <c r="BC524" s="1122">
        <f t="shared" ca="1" si="757"/>
        <v>2780.987675779902</v>
      </c>
      <c r="BD524" s="1122">
        <f t="shared" ca="1" si="757"/>
        <v>1611.7416851843509</v>
      </c>
      <c r="BE524" s="1122">
        <f t="shared" ca="1" si="757"/>
        <v>1421.2592725652353</v>
      </c>
      <c r="BG524" s="1122">
        <f ca="1">SUM(AZ524:BF524)</f>
        <v>15730.994423171647</v>
      </c>
      <c r="BI524" s="1122">
        <f t="shared" ref="BI524:BN524" ca="1" si="758">BI523*BI501</f>
        <v>3133.5275542986888</v>
      </c>
      <c r="BJ524" s="1122">
        <f t="shared" ca="1" si="758"/>
        <v>1074.7627893608994</v>
      </c>
      <c r="BK524" s="1122">
        <f t="shared" ca="1" si="758"/>
        <v>3323.7981153930509</v>
      </c>
      <c r="BL524" s="1122">
        <f t="shared" ca="1" si="758"/>
        <v>2127.6619694233436</v>
      </c>
      <c r="BM524" s="1122">
        <f t="shared" ca="1" si="758"/>
        <v>1235.0284978653131</v>
      </c>
      <c r="BN524" s="1122">
        <f t="shared" ca="1" si="758"/>
        <v>1089.5631086867741</v>
      </c>
      <c r="BP524" s="1122">
        <f ca="1">SUM(BI524:BO524)</f>
        <v>11984.342035028068</v>
      </c>
    </row>
    <row r="525" spans="2:68" ht="13.2" customHeight="1">
      <c r="B525" s="323" t="s">
        <v>450</v>
      </c>
      <c r="G525" s="1122">
        <f t="shared" ca="1" si="746"/>
        <v>-116.10941270653802</v>
      </c>
      <c r="H525" s="1122">
        <f t="shared" ca="1" si="746"/>
        <v>-531.2208447347175</v>
      </c>
      <c r="I525" s="1122">
        <f t="shared" ca="1" si="746"/>
        <v>-2979.4261183287008</v>
      </c>
      <c r="J525" s="1122">
        <f t="shared" ca="1" si="746"/>
        <v>-2209.5573478771566</v>
      </c>
      <c r="K525" s="1122">
        <f t="shared" ca="1" si="746"/>
        <v>-1065.838806684573</v>
      </c>
      <c r="L525" s="1122">
        <f t="shared" ca="1" si="746"/>
        <v>-533.20532601060972</v>
      </c>
      <c r="N525" s="186">
        <f ca="1">W525+AF525+AO525+AX525+BG525+BP525</f>
        <v>-7435.3578563423107</v>
      </c>
      <c r="O525" s="136">
        <f>ROW()</f>
        <v>525</v>
      </c>
      <c r="P525" s="10">
        <f t="shared" ref="P525:W525" ca="1" si="759">P524-P523</f>
        <v>-62.411120733033385</v>
      </c>
      <c r="Q525" s="10">
        <f t="shared" ca="1" si="759"/>
        <v>-137.0205063163844</v>
      </c>
      <c r="R525" s="10">
        <f t="shared" ca="1" si="759"/>
        <v>-739.18123872891374</v>
      </c>
      <c r="S525" s="10">
        <f t="shared" ca="1" si="759"/>
        <v>-544.50025076816382</v>
      </c>
      <c r="T525" s="10">
        <f t="shared" ca="1" si="759"/>
        <v>-265.01326889027951</v>
      </c>
      <c r="U525" s="10">
        <f t="shared" ca="1" si="759"/>
        <v>-137.80970117956667</v>
      </c>
      <c r="V525" s="10"/>
      <c r="W525" s="138">
        <f t="shared" ca="1" si="759"/>
        <v>-1885.9360866163479</v>
      </c>
      <c r="Y525" s="10">
        <f t="shared" ref="Y525:AF525" ca="1" si="760">Y524-Y523</f>
        <v>-187.23336219909834</v>
      </c>
      <c r="Z525" s="10">
        <f t="shared" ca="1" si="760"/>
        <v>-411.06151894915274</v>
      </c>
      <c r="AA525" s="10">
        <f t="shared" ca="1" si="760"/>
        <v>-2217.5437161867376</v>
      </c>
      <c r="AB525" s="10">
        <f t="shared" ca="1" si="760"/>
        <v>-1633.5007523044915</v>
      </c>
      <c r="AC525" s="10">
        <f t="shared" ca="1" si="760"/>
        <v>-795.03980667084033</v>
      </c>
      <c r="AD525" s="10">
        <f t="shared" ca="1" si="760"/>
        <v>-413.42910353869956</v>
      </c>
      <c r="AE525" s="10"/>
      <c r="AF525" s="138">
        <f t="shared" ca="1" si="760"/>
        <v>-5657.8082598490291</v>
      </c>
      <c r="AH525" s="10">
        <f t="shared" ref="AH525:AO525" ca="1" si="761">AH524-AH523</f>
        <v>0</v>
      </c>
      <c r="AI525" s="10">
        <f t="shared" ca="1" si="761"/>
        <v>0</v>
      </c>
      <c r="AJ525" s="10">
        <f t="shared" ca="1" si="761"/>
        <v>0</v>
      </c>
      <c r="AK525" s="10">
        <f t="shared" ca="1" si="761"/>
        <v>0</v>
      </c>
      <c r="AL525" s="10">
        <f t="shared" ca="1" si="761"/>
        <v>0</v>
      </c>
      <c r="AM525" s="10">
        <f t="shared" ca="1" si="761"/>
        <v>0</v>
      </c>
      <c r="AN525" s="10"/>
      <c r="AO525" s="138">
        <f t="shared" ca="1" si="761"/>
        <v>0</v>
      </c>
      <c r="AQ525" s="1122">
        <f t="shared" ref="AQ525:AX525" si="762">AQ524-AQ523</f>
        <v>0</v>
      </c>
      <c r="AR525" s="1122">
        <f t="shared" si="762"/>
        <v>0</v>
      </c>
      <c r="AS525" s="1122">
        <f t="shared" si="762"/>
        <v>0</v>
      </c>
      <c r="AT525" s="1122">
        <f t="shared" si="762"/>
        <v>0</v>
      </c>
      <c r="AU525" s="1122">
        <f t="shared" si="762"/>
        <v>0</v>
      </c>
      <c r="AV525" s="1122">
        <f t="shared" si="762"/>
        <v>0</v>
      </c>
      <c r="AW525" s="1122"/>
      <c r="AX525" s="1127">
        <f t="shared" si="762"/>
        <v>0</v>
      </c>
      <c r="AZ525" s="10">
        <f t="shared" ref="AZ525:BG525" ca="1" si="763">AZ524-AZ523</f>
        <v>62.821115568582172</v>
      </c>
      <c r="BA525" s="10">
        <f t="shared" ca="1" si="763"/>
        <v>7.8786954216172944</v>
      </c>
      <c r="BB525" s="10">
        <f t="shared" ca="1" si="763"/>
        <v>-10.567864443617509</v>
      </c>
      <c r="BC525" s="10">
        <f t="shared" ca="1" si="763"/>
        <v>-14.683346721452381</v>
      </c>
      <c r="BD525" s="10">
        <f t="shared" ca="1" si="763"/>
        <v>-2.6911830314295457</v>
      </c>
      <c r="BE525" s="10">
        <f t="shared" ca="1" si="763"/>
        <v>8.3945851390442385</v>
      </c>
      <c r="BF525" s="10"/>
      <c r="BG525" s="138">
        <f t="shared" ca="1" si="763"/>
        <v>51.152001932747226</v>
      </c>
      <c r="BI525" s="10">
        <f t="shared" ref="BI525:BP525" ca="1" si="764">BI524-BI523</f>
        <v>70.713954657011527</v>
      </c>
      <c r="BJ525" s="10">
        <f t="shared" ca="1" si="764"/>
        <v>8.9824851092023437</v>
      </c>
      <c r="BK525" s="10">
        <f t="shared" ca="1" si="764"/>
        <v>-12.133298969431962</v>
      </c>
      <c r="BL525" s="10">
        <f t="shared" ca="1" si="764"/>
        <v>-16.872998083048969</v>
      </c>
      <c r="BM525" s="10">
        <f t="shared" ca="1" si="764"/>
        <v>-3.094548092023615</v>
      </c>
      <c r="BN525" s="10">
        <f t="shared" ca="1" si="764"/>
        <v>9.638893568612275</v>
      </c>
      <c r="BO525" s="10"/>
      <c r="BP525" s="138">
        <f t="shared" ca="1" si="764"/>
        <v>57.234488190319098</v>
      </c>
    </row>
    <row r="526" spans="2:68" ht="13.2" customHeight="1">
      <c r="G526" s="1122"/>
      <c r="H526" s="1122"/>
      <c r="I526" s="1122"/>
      <c r="J526" s="1122"/>
      <c r="K526" s="1122"/>
      <c r="L526" s="1122"/>
      <c r="N526" s="186"/>
      <c r="O526" s="136">
        <f>ROW()</f>
        <v>526</v>
      </c>
      <c r="P526" s="309" t="str">
        <f>CONCATENATE("Figs. in Row ",O527, " repeat figs. for same column in Row ",O476, ".")</f>
        <v>Figs. in Row 527 repeat figs. for same column in Row 476.</v>
      </c>
      <c r="AQ526" s="265" t="str">
        <f>CONCATENATE("Row ",O528, " figures are set equal to ",O527, " figures, since rebound effects are presumed accounted for by taxi time-elasticity.")</f>
        <v>Row 528 figures are set equal to 527 figures, since rebound effects are presumed accounted for by taxi time-elasticity.</v>
      </c>
    </row>
    <row r="527" spans="2:68" ht="13.2" customHeight="1">
      <c r="B527" s="308" t="s">
        <v>2470</v>
      </c>
      <c r="G527" s="1122">
        <f t="shared" ref="G527:N528" ca="1" si="765">P527+Y527+AH527+AQ527+AZ527+BI527</f>
        <v>908799.06798192521</v>
      </c>
      <c r="H527" s="1122">
        <f t="shared" ca="1" si="765"/>
        <v>264246.59200217179</v>
      </c>
      <c r="I527" s="1122">
        <f t="shared" ca="1" si="765"/>
        <v>789677.76079372247</v>
      </c>
      <c r="J527" s="1122">
        <f t="shared" ca="1" si="765"/>
        <v>507609.09347659216</v>
      </c>
      <c r="K527" s="1122">
        <f t="shared" ca="1" si="765"/>
        <v>299327.24632766313</v>
      </c>
      <c r="L527" s="1122">
        <f t="shared" ca="1" si="765"/>
        <v>260371.83588163709</v>
      </c>
      <c r="N527" s="186">
        <f t="shared" ca="1" si="765"/>
        <v>3030031.5964637119</v>
      </c>
      <c r="O527" s="136">
        <f>ROW()</f>
        <v>527</v>
      </c>
      <c r="P527" s="10">
        <f t="shared" ref="P527:U527" ca="1" si="766">P476</f>
        <v>88590.630495105928</v>
      </c>
      <c r="Q527" s="10">
        <f t="shared" ca="1" si="766"/>
        <v>30420.222637529096</v>
      </c>
      <c r="R527" s="10">
        <f t="shared" ca="1" si="766"/>
        <v>86986.39414387288</v>
      </c>
      <c r="S527" s="10">
        <f t="shared" ca="1" si="766"/>
        <v>45660.761026847744</v>
      </c>
      <c r="T527" s="10">
        <f t="shared" ca="1" si="766"/>
        <v>31371.345830791957</v>
      </c>
      <c r="U527" s="10">
        <f t="shared" ca="1" si="766"/>
        <v>24082.086649797056</v>
      </c>
      <c r="V527" s="10"/>
      <c r="W527" s="10">
        <f ca="1">SUM(P527:V527)</f>
        <v>307111.44078394468</v>
      </c>
      <c r="Y527" s="10">
        <f t="shared" ref="Y527:AD527" ca="1" si="767">Y476</f>
        <v>200812.00765863003</v>
      </c>
      <c r="Z527" s="10">
        <f t="shared" ca="1" si="767"/>
        <v>72312.016262015095</v>
      </c>
      <c r="AA527" s="10">
        <f t="shared" ca="1" si="767"/>
        <v>250285.93147852612</v>
      </c>
      <c r="AB527" s="10">
        <f t="shared" ca="1" si="767"/>
        <v>176867.35905784133</v>
      </c>
      <c r="AC527" s="10">
        <f t="shared" ca="1" si="767"/>
        <v>90883.182743698038</v>
      </c>
      <c r="AD527" s="10">
        <f t="shared" ca="1" si="767"/>
        <v>74909.808416376953</v>
      </c>
      <c r="AE527" s="10"/>
      <c r="AF527" s="10">
        <f ca="1">SUM(Y527:AE527)</f>
        <v>866070.30561708752</v>
      </c>
      <c r="AH527" s="10">
        <f t="shared" ref="AH527:AM527" ca="1" si="768">AH476</f>
        <v>83027.487175214454</v>
      </c>
      <c r="AI527" s="10">
        <f t="shared" ca="1" si="768"/>
        <v>29160.866262162723</v>
      </c>
      <c r="AJ527" s="10">
        <f t="shared" ca="1" si="768"/>
        <v>77184.477334406605</v>
      </c>
      <c r="AK527" s="10">
        <f t="shared" ca="1" si="768"/>
        <v>46795.850005093846</v>
      </c>
      <c r="AL527" s="10">
        <f t="shared" ca="1" si="768"/>
        <v>27162.502478365906</v>
      </c>
      <c r="AM527" s="10">
        <f t="shared" ca="1" si="768"/>
        <v>22795.989256116292</v>
      </c>
      <c r="AN527" s="10"/>
      <c r="AO527" s="10">
        <f ca="1">SUM(AH527:AN527)</f>
        <v>286127.17251135979</v>
      </c>
      <c r="AQ527" s="1122">
        <f t="shared" ref="AQ527:AV527" ca="1" si="769">AQ476</f>
        <v>502998.12881102966</v>
      </c>
      <c r="AR527" s="1122">
        <f t="shared" ca="1" si="769"/>
        <v>121090.0808527504</v>
      </c>
      <c r="AS527" s="1122">
        <f t="shared" ca="1" si="769"/>
        <v>340612.84032427327</v>
      </c>
      <c r="AT527" s="1122">
        <f t="shared" ca="1" si="769"/>
        <v>216106.30800953342</v>
      </c>
      <c r="AU527" s="1122">
        <f t="shared" ca="1" si="769"/>
        <v>137103.48933382597</v>
      </c>
      <c r="AV527" s="1122">
        <f t="shared" ca="1" si="769"/>
        <v>127336.74860206751</v>
      </c>
      <c r="AW527" s="10"/>
      <c r="AX527" s="10">
        <f ca="1">SUM(AQ527:AW527)</f>
        <v>1445247.5959334802</v>
      </c>
      <c r="AZ527" s="10">
        <f t="shared" ref="AZ527:BE527" ca="1" si="770">AZ476</f>
        <v>24045.408001933643</v>
      </c>
      <c r="BA527" s="10">
        <f t="shared" ca="1" si="770"/>
        <v>8096.8364928934097</v>
      </c>
      <c r="BB527" s="10">
        <f t="shared" ca="1" si="770"/>
        <v>24848.235635744117</v>
      </c>
      <c r="BC527" s="10">
        <f t="shared" ca="1" si="770"/>
        <v>15922.145572185309</v>
      </c>
      <c r="BD527" s="10">
        <f t="shared" ca="1" si="770"/>
        <v>9190.5924393942732</v>
      </c>
      <c r="BE527" s="10">
        <f t="shared" ca="1" si="770"/>
        <v>8074.809665096318</v>
      </c>
      <c r="BF527" s="10"/>
      <c r="BG527" s="10">
        <f ca="1">SUM(AZ527:BF527)</f>
        <v>90178.027807247068</v>
      </c>
      <c r="BI527" s="10">
        <f t="shared" ref="BI527:BN527" ca="1" si="771">BI476</f>
        <v>9325.4058400115828</v>
      </c>
      <c r="BJ527" s="10">
        <f t="shared" ca="1" si="771"/>
        <v>3166.5694948210607</v>
      </c>
      <c r="BK527" s="10">
        <f t="shared" ca="1" si="771"/>
        <v>9759.8818768994352</v>
      </c>
      <c r="BL527" s="10">
        <f t="shared" ca="1" si="771"/>
        <v>6256.669805090608</v>
      </c>
      <c r="BM527" s="10">
        <f t="shared" ca="1" si="771"/>
        <v>3616.1335015869831</v>
      </c>
      <c r="BN527" s="10">
        <f t="shared" ca="1" si="771"/>
        <v>3172.393292182931</v>
      </c>
      <c r="BO527" s="10"/>
      <c r="BP527" s="10">
        <f ca="1">SUM(BI527:BO527)</f>
        <v>35297.053810592603</v>
      </c>
    </row>
    <row r="528" spans="2:68" ht="13.2" customHeight="1">
      <c r="B528" s="308" t="s">
        <v>2385</v>
      </c>
      <c r="G528" s="1122">
        <f t="shared" ca="1" si="765"/>
        <v>887951.50006553321</v>
      </c>
      <c r="H528" s="1122">
        <f t="shared" ca="1" si="765"/>
        <v>254798.7420243599</v>
      </c>
      <c r="I528" s="1122">
        <f t="shared" ca="1" si="765"/>
        <v>755894.38638445688</v>
      </c>
      <c r="J528" s="1122">
        <f t="shared" ca="1" si="765"/>
        <v>484967.17237424414</v>
      </c>
      <c r="K528" s="1122">
        <f t="shared" ca="1" si="765"/>
        <v>287102.46701679472</v>
      </c>
      <c r="L528" s="1122">
        <f t="shared" ca="1" si="765"/>
        <v>251275.20717989383</v>
      </c>
      <c r="N528" s="186">
        <f t="shared" ca="1" si="765"/>
        <v>2921989.4750452824</v>
      </c>
      <c r="O528" s="136">
        <f>ROW()</f>
        <v>528</v>
      </c>
      <c r="P528" s="10">
        <f t="shared" ref="P528:U528" ca="1" si="772">P512+P519+P524</f>
        <v>83549.138150536746</v>
      </c>
      <c r="Q528" s="10">
        <f t="shared" ca="1" si="772"/>
        <v>28312.672456434295</v>
      </c>
      <c r="R528" s="10">
        <f t="shared" ca="1" si="772"/>
        <v>80226.179769116919</v>
      </c>
      <c r="S528" s="10">
        <f t="shared" ca="1" si="772"/>
        <v>42087.692366355681</v>
      </c>
      <c r="T528" s="10">
        <f t="shared" ca="1" si="772"/>
        <v>28933.209495363972</v>
      </c>
      <c r="U528" s="10">
        <f t="shared" ca="1" si="772"/>
        <v>22398.365495415015</v>
      </c>
      <c r="V528" s="10"/>
      <c r="W528" s="10">
        <f ca="1">SUM(P528:V528)</f>
        <v>285507.25773322262</v>
      </c>
      <c r="Y528" s="10">
        <f t="shared" ref="Y528:AD528" ca="1" si="773">Y512+Y519+Y524</f>
        <v>188711.22721645853</v>
      </c>
      <c r="Z528" s="10">
        <f t="shared" ca="1" si="773"/>
        <v>67229.771612295779</v>
      </c>
      <c r="AA528" s="10">
        <f t="shared" ca="1" si="773"/>
        <v>230354.20166657149</v>
      </c>
      <c r="AB528" s="10">
        <f t="shared" ca="1" si="773"/>
        <v>162212.07978838804</v>
      </c>
      <c r="AC528" s="10">
        <f t="shared" ca="1" si="773"/>
        <v>83643.654386915616</v>
      </c>
      <c r="AD528" s="10">
        <f t="shared" ca="1" si="773"/>
        <v>69448.529024868229</v>
      </c>
      <c r="AE528" s="10"/>
      <c r="AF528" s="10">
        <f ca="1">SUM(Y528:AE528)</f>
        <v>801599.46369549772</v>
      </c>
      <c r="AH528" s="10">
        <f t="shared" ref="AH528:AM528" ca="1" si="774">AH512+AH519+AH524</f>
        <v>79699.369822508641</v>
      </c>
      <c r="AI528" s="10">
        <f t="shared" ca="1" si="774"/>
        <v>27086.967033509896</v>
      </c>
      <c r="AJ528" s="10">
        <f t="shared" ca="1" si="774"/>
        <v>70800.194070432568</v>
      </c>
      <c r="AK528" s="10">
        <f t="shared" ca="1" si="774"/>
        <v>42863.933653737571</v>
      </c>
      <c r="AL528" s="10">
        <f t="shared" ca="1" si="774"/>
        <v>24875.618648969983</v>
      </c>
      <c r="AM528" s="10">
        <f t="shared" ca="1" si="774"/>
        <v>21036.406024402662</v>
      </c>
      <c r="AN528" s="10"/>
      <c r="AO528" s="10">
        <f ca="1">SUM(AH528:AN528)</f>
        <v>266362.4892535613</v>
      </c>
      <c r="AQ528" s="1122">
        <f t="shared" ref="AQ528:AV528" ca="1" si="775">AQ527</f>
        <v>502998.12881102966</v>
      </c>
      <c r="AR528" s="1122">
        <f t="shared" ca="1" si="775"/>
        <v>121090.0808527504</v>
      </c>
      <c r="AS528" s="1122">
        <f t="shared" ca="1" si="775"/>
        <v>340612.84032427327</v>
      </c>
      <c r="AT528" s="1122">
        <f t="shared" ca="1" si="775"/>
        <v>216106.30800953342</v>
      </c>
      <c r="AU528" s="1122">
        <f t="shared" ca="1" si="775"/>
        <v>137103.48933382597</v>
      </c>
      <c r="AV528" s="1122">
        <f t="shared" ca="1" si="775"/>
        <v>127336.74860206751</v>
      </c>
      <c r="AW528" s="10"/>
      <c r="AX528" s="10">
        <f ca="1">SUM(AQ528:AW528)</f>
        <v>1445247.5959334802</v>
      </c>
      <c r="AZ528" s="10">
        <f t="shared" ref="AZ528:BE528" ca="1" si="776">AZ512+AZ519+AZ524</f>
        <v>23776.688937647814</v>
      </c>
      <c r="BA528" s="10">
        <f t="shared" ca="1" si="776"/>
        <v>7973.659416983719</v>
      </c>
      <c r="BB528" s="10">
        <f t="shared" ca="1" si="776"/>
        <v>24388.885524869598</v>
      </c>
      <c r="BC528" s="10">
        <f t="shared" ca="1" si="776"/>
        <v>15611.639221267629</v>
      </c>
      <c r="BD528" s="10">
        <f t="shared" ca="1" si="776"/>
        <v>9021.3591034562669</v>
      </c>
      <c r="BE528" s="10">
        <f t="shared" ca="1" si="776"/>
        <v>7946.4290141487945</v>
      </c>
      <c r="BF528" s="10"/>
      <c r="BG528" s="10">
        <f ca="1">SUM(AZ528:BF528)</f>
        <v>88718.661218373833</v>
      </c>
      <c r="BI528" s="10">
        <f t="shared" ref="BI528:BN528" ca="1" si="777">BI512+BI519+BI524</f>
        <v>9216.9471273517374</v>
      </c>
      <c r="BJ528" s="10">
        <f t="shared" ca="1" si="777"/>
        <v>3105.5906523858248</v>
      </c>
      <c r="BK528" s="10">
        <f t="shared" ca="1" si="777"/>
        <v>9512.0850291930838</v>
      </c>
      <c r="BL528" s="10">
        <f t="shared" ca="1" si="777"/>
        <v>6085.5193349618385</v>
      </c>
      <c r="BM528" s="10">
        <f t="shared" ca="1" si="777"/>
        <v>3525.1360482629102</v>
      </c>
      <c r="BN528" s="10">
        <f t="shared" ca="1" si="777"/>
        <v>3108.7290189916203</v>
      </c>
      <c r="BO528" s="10"/>
      <c r="BP528" s="10">
        <f ca="1">SUM(BI528:BO528)</f>
        <v>34554.007211147014</v>
      </c>
    </row>
    <row r="529" spans="2:254" ht="13.2" customHeight="1">
      <c r="B529" s="308" t="s">
        <v>555</v>
      </c>
      <c r="G529" s="10">
        <f t="shared" ref="G529:L529" ca="1" si="778">G528/G$118</f>
        <v>88795.150006553318</v>
      </c>
      <c r="H529" s="10">
        <f t="shared" ca="1" si="778"/>
        <v>127399.37101217995</v>
      </c>
      <c r="I529" s="10">
        <f t="shared" ca="1" si="778"/>
        <v>151178.87727689138</v>
      </c>
      <c r="J529" s="10">
        <f t="shared" ca="1" si="778"/>
        <v>161655.72412474806</v>
      </c>
      <c r="K529" s="10">
        <f t="shared" ca="1" si="778"/>
        <v>143551.23350839736</v>
      </c>
      <c r="L529" s="10">
        <f t="shared" ca="1" si="778"/>
        <v>125637.60358994691</v>
      </c>
      <c r="M529" s="10"/>
      <c r="N529" s="6"/>
      <c r="O529" s="136">
        <f>ROW()</f>
        <v>529</v>
      </c>
      <c r="P529" s="10"/>
      <c r="Q529" s="10"/>
      <c r="R529" s="10"/>
      <c r="S529" s="10"/>
      <c r="T529" s="10"/>
      <c r="U529" s="10"/>
      <c r="V529" s="10"/>
      <c r="W529" s="10"/>
      <c r="Y529" s="10"/>
      <c r="Z529" s="10"/>
      <c r="AA529" s="10"/>
      <c r="AB529" s="10"/>
      <c r="AC529" s="10"/>
      <c r="AD529" s="10"/>
      <c r="AE529" s="10"/>
      <c r="AF529" s="10"/>
      <c r="AH529" s="10"/>
      <c r="AI529" s="10"/>
      <c r="AJ529" s="10"/>
      <c r="AK529" s="10"/>
      <c r="AL529" s="10"/>
      <c r="AM529" s="10"/>
      <c r="AN529" s="10"/>
      <c r="AO529" s="10"/>
      <c r="AQ529" s="10"/>
      <c r="AR529" s="10"/>
      <c r="AS529" s="10"/>
      <c r="AT529" s="10"/>
      <c r="AU529" s="10"/>
      <c r="AV529" s="10"/>
      <c r="AW529" s="10"/>
      <c r="AX529" s="10"/>
      <c r="AZ529" s="10"/>
      <c r="BA529" s="10"/>
      <c r="BB529" s="10"/>
      <c r="BC529" s="10"/>
      <c r="BD529" s="10"/>
      <c r="BE529" s="10"/>
      <c r="BF529" s="10"/>
      <c r="BG529" s="10"/>
      <c r="BI529" s="10"/>
      <c r="BJ529" s="10"/>
      <c r="BK529" s="10"/>
      <c r="BL529" s="10"/>
      <c r="BM529" s="10"/>
      <c r="BN529" s="10"/>
      <c r="BO529" s="10"/>
      <c r="BP529" s="10"/>
    </row>
    <row r="530" spans="2:254" ht="13.2" customHeight="1">
      <c r="B530" s="280" t="s">
        <v>456</v>
      </c>
      <c r="G530" s="612">
        <f t="shared" ref="G530:L530" ca="1" si="779">G528/G527</f>
        <v>0.97706031107328706</v>
      </c>
      <c r="H530" s="612">
        <f t="shared" ca="1" si="779"/>
        <v>0.96424608580104509</v>
      </c>
      <c r="I530" s="612">
        <f t="shared" ca="1" si="779"/>
        <v>0.95721878456434029</v>
      </c>
      <c r="J530" s="612">
        <f t="shared" ca="1" si="779"/>
        <v>0.95539496554863801</v>
      </c>
      <c r="K530" s="612">
        <f t="shared" ca="1" si="779"/>
        <v>0.95915914952330672</v>
      </c>
      <c r="L530" s="612">
        <f t="shared" ca="1" si="779"/>
        <v>0.96506293136144528</v>
      </c>
      <c r="M530" s="612"/>
      <c r="N530" s="186"/>
      <c r="O530" s="136">
        <f>ROW()</f>
        <v>530</v>
      </c>
      <c r="P530" s="309" t="str">
        <f>CONCATENATE("Figures in Row ",O528," are sums of figures in Rows ",O512,", ",O519," and ",O524, " -- inbound, oubound and intra-cordon VMT.")</f>
        <v>Figures in Row 528 are sums of figures in Rows 512, 519 and 524 -- inbound, oubound and intra-cordon VMT.</v>
      </c>
      <c r="Q530" s="10"/>
      <c r="R530" s="10"/>
      <c r="S530" s="10"/>
      <c r="T530" s="10"/>
      <c r="U530" s="10"/>
      <c r="V530" s="10"/>
      <c r="W530" s="10"/>
      <c r="Y530" s="10"/>
      <c r="Z530" s="10"/>
      <c r="AA530" s="10"/>
      <c r="AB530" s="10"/>
      <c r="AC530" s="10"/>
      <c r="AD530" s="10"/>
      <c r="AE530" s="10"/>
      <c r="AF530" s="10"/>
      <c r="AH530" s="10"/>
      <c r="AI530" s="10"/>
      <c r="AJ530" s="10"/>
      <c r="AK530" s="10"/>
      <c r="AL530" s="10"/>
      <c r="AM530" s="10"/>
      <c r="AN530" s="10"/>
      <c r="AO530" s="10"/>
      <c r="AQ530" s="10"/>
      <c r="AR530" s="10"/>
      <c r="AS530" s="10"/>
      <c r="AT530" s="10"/>
      <c r="AU530" s="10"/>
      <c r="AV530" s="10"/>
      <c r="AW530" s="10"/>
      <c r="AX530" s="10"/>
      <c r="AZ530" s="10"/>
      <c r="BA530" s="10"/>
      <c r="BB530" s="10"/>
      <c r="BC530" s="10"/>
      <c r="BD530" s="10"/>
      <c r="BE530" s="10"/>
      <c r="BF530" s="10"/>
      <c r="BG530" s="10"/>
      <c r="BI530" s="10"/>
      <c r="BJ530" s="10"/>
      <c r="BK530" s="10"/>
      <c r="BL530" s="10"/>
      <c r="BM530" s="10"/>
      <c r="BN530" s="10"/>
      <c r="BO530" s="10"/>
      <c r="BP530" s="10"/>
    </row>
    <row r="531" spans="2:254" ht="13.2" customHeight="1">
      <c r="O531" s="136">
        <f>ROW()</f>
        <v>531</v>
      </c>
    </row>
    <row r="532" spans="2:254" ht="13.2" customHeight="1">
      <c r="B532" s="308" t="s">
        <v>587</v>
      </c>
      <c r="C532" s="280"/>
      <c r="D532" s="280"/>
      <c r="E532" s="280"/>
      <c r="F532" s="280"/>
      <c r="G532" s="280"/>
      <c r="H532" s="280"/>
      <c r="I532" s="280"/>
      <c r="J532" s="280"/>
      <c r="K532" s="280"/>
      <c r="L532" s="280"/>
      <c r="M532" s="280"/>
      <c r="N532" s="280"/>
      <c r="O532" s="136">
        <f>ROW()</f>
        <v>532</v>
      </c>
    </row>
    <row r="533" spans="2:254" ht="13.2" customHeight="1">
      <c r="B533" s="280" t="s">
        <v>2034</v>
      </c>
      <c r="E533" s="280"/>
      <c r="F533" s="280"/>
      <c r="G533" s="21">
        <f t="shared" ref="G533:L533" ca="1" si="780">KSC/(1+0.1*($G$401*G529/$I$181)^KSE)</f>
        <v>20.198033796699249</v>
      </c>
      <c r="H533" s="21">
        <f t="shared" ca="1" si="780"/>
        <v>15.964583016051554</v>
      </c>
      <c r="I533" s="21">
        <f t="shared" ca="1" si="780"/>
        <v>12.57411103181207</v>
      </c>
      <c r="J533" s="21">
        <f t="shared" ca="1" si="780"/>
        <v>11.11087255031673</v>
      </c>
      <c r="K533" s="21">
        <f t="shared" ca="1" si="780"/>
        <v>13.66962107817446</v>
      </c>
      <c r="L533" s="21">
        <f t="shared" ca="1" si="780"/>
        <v>16.205444863370314</v>
      </c>
      <c r="M533" s="21"/>
      <c r="O533" s="136">
        <f>ROW()</f>
        <v>533</v>
      </c>
      <c r="P533" s="21">
        <f t="shared" ref="P533:U534" ca="1" si="781">G533</f>
        <v>20.198033796699249</v>
      </c>
      <c r="Q533" s="21">
        <f t="shared" ca="1" si="781"/>
        <v>15.964583016051554</v>
      </c>
      <c r="R533" s="21">
        <f t="shared" ca="1" si="781"/>
        <v>12.57411103181207</v>
      </c>
      <c r="S533" s="21">
        <f t="shared" ca="1" si="781"/>
        <v>11.11087255031673</v>
      </c>
      <c r="T533" s="21">
        <f t="shared" ca="1" si="781"/>
        <v>13.66962107817446</v>
      </c>
      <c r="U533" s="21">
        <f t="shared" ca="1" si="781"/>
        <v>16.205444863370314</v>
      </c>
      <c r="V533" s="21"/>
      <c r="Y533" s="21">
        <f t="shared" ref="Y533:AD534" ca="1" si="782">G533</f>
        <v>20.198033796699249</v>
      </c>
      <c r="Z533" s="21">
        <f t="shared" ca="1" si="782"/>
        <v>15.964583016051554</v>
      </c>
      <c r="AA533" s="21">
        <f t="shared" ca="1" si="782"/>
        <v>12.57411103181207</v>
      </c>
      <c r="AB533" s="21">
        <f t="shared" ca="1" si="782"/>
        <v>11.11087255031673</v>
      </c>
      <c r="AC533" s="21">
        <f t="shared" ca="1" si="782"/>
        <v>13.66962107817446</v>
      </c>
      <c r="AD533" s="21">
        <f t="shared" ca="1" si="782"/>
        <v>16.205444863370314</v>
      </c>
      <c r="AE533" s="21"/>
      <c r="AH533" s="21">
        <f t="shared" ref="AH533:AM534" ca="1" si="783">P533</f>
        <v>20.198033796699249</v>
      </c>
      <c r="AI533" s="21">
        <f t="shared" ca="1" si="783"/>
        <v>15.964583016051554</v>
      </c>
      <c r="AJ533" s="21">
        <f t="shared" ca="1" si="783"/>
        <v>12.57411103181207</v>
      </c>
      <c r="AK533" s="21">
        <f t="shared" ca="1" si="783"/>
        <v>11.11087255031673</v>
      </c>
      <c r="AL533" s="21">
        <f t="shared" ca="1" si="783"/>
        <v>13.66962107817446</v>
      </c>
      <c r="AM533" s="21">
        <f t="shared" ca="1" si="783"/>
        <v>16.205444863370314</v>
      </c>
      <c r="AN533" s="21"/>
      <c r="AQ533" s="21">
        <f t="shared" ref="AQ533:AV533" ca="1" si="784">G533*$AU$181</f>
        <v>19.188132106864288</v>
      </c>
      <c r="AR533" s="21">
        <f t="shared" ca="1" si="784"/>
        <v>15.166353865248976</v>
      </c>
      <c r="AS533" s="21">
        <f t="shared" ca="1" si="784"/>
        <v>11.945405480221465</v>
      </c>
      <c r="AT533" s="21">
        <f t="shared" ca="1" si="784"/>
        <v>10.555328922800893</v>
      </c>
      <c r="AU533" s="21">
        <f t="shared" ca="1" si="784"/>
        <v>12.986140024265737</v>
      </c>
      <c r="AV533" s="21">
        <f t="shared" ca="1" si="784"/>
        <v>15.395172620201798</v>
      </c>
      <c r="AW533" s="21"/>
      <c r="AZ533" s="21">
        <f t="shared" ref="AZ533:BE534" ca="1" si="785">G533</f>
        <v>20.198033796699249</v>
      </c>
      <c r="BA533" s="21">
        <f t="shared" ca="1" si="785"/>
        <v>15.964583016051554</v>
      </c>
      <c r="BB533" s="21">
        <f t="shared" ca="1" si="785"/>
        <v>12.57411103181207</v>
      </c>
      <c r="BC533" s="21">
        <f t="shared" ca="1" si="785"/>
        <v>11.11087255031673</v>
      </c>
      <c r="BD533" s="21">
        <f t="shared" ca="1" si="785"/>
        <v>13.66962107817446</v>
      </c>
      <c r="BE533" s="21">
        <f t="shared" ca="1" si="785"/>
        <v>16.205444863370314</v>
      </c>
      <c r="BF533" s="21"/>
      <c r="BG533" s="21"/>
      <c r="BI533" s="21">
        <f t="shared" ref="BI533:BN534" ca="1" si="786">G533</f>
        <v>20.198033796699249</v>
      </c>
      <c r="BJ533" s="21">
        <f t="shared" ca="1" si="786"/>
        <v>15.964583016051554</v>
      </c>
      <c r="BK533" s="21">
        <f t="shared" ca="1" si="786"/>
        <v>12.57411103181207</v>
      </c>
      <c r="BL533" s="21">
        <f t="shared" ca="1" si="786"/>
        <v>11.11087255031673</v>
      </c>
      <c r="BM533" s="21">
        <f t="shared" ca="1" si="786"/>
        <v>13.66962107817446</v>
      </c>
      <c r="BN533" s="21">
        <f t="shared" ca="1" si="786"/>
        <v>16.205444863370314</v>
      </c>
      <c r="BO533" s="21"/>
      <c r="BP533" s="21"/>
    </row>
    <row r="534" spans="2:254" ht="13.2" customHeight="1">
      <c r="B534" s="280" t="s">
        <v>1428</v>
      </c>
      <c r="E534" s="280"/>
      <c r="F534" s="280"/>
      <c r="G534" s="21">
        <f ca="1">MIN('Speed-Vol., non-Cordon'!$X$57*(G482 / 'Speed-Vol., non-Cordon'!$X$57)^G503,'Speed-Vol., non-Cordon'!$X$32)</f>
        <v>54.453795206895542</v>
      </c>
      <c r="H534" s="21">
        <f ca="1">MIN('Speed-Vol., non-Cordon'!$X$57*(H482 / 'Speed-Vol., non-Cordon'!$X$57)^H503,'Speed-Vol., non-Cordon'!$X$32)</f>
        <v>31.920349708192507</v>
      </c>
      <c r="I534" s="21">
        <f ca="1">MIN('Speed-Vol., non-Cordon'!$X$57*(I482 / 'Speed-Vol., non-Cordon'!$X$57)^I503,'Speed-Vol., non-Cordon'!$X$32)</f>
        <v>24.287429504646461</v>
      </c>
      <c r="J534" s="21">
        <f ca="1">MIN('Speed-Vol., non-Cordon'!$X$57*(J482 / 'Speed-Vol., non-Cordon'!$X$57)^J503,'Speed-Vol., non-Cordon'!$X$32)</f>
        <v>21.959197864736048</v>
      </c>
      <c r="K534" s="21">
        <f ca="1">MIN('Speed-Vol., non-Cordon'!$X$57*(K482 / 'Speed-Vol., non-Cordon'!$X$57)^K503,'Speed-Vol., non-Cordon'!$X$32)</f>
        <v>27.771268127475999</v>
      </c>
      <c r="L534" s="21">
        <f ca="1">MIN('Speed-Vol., non-Cordon'!$X$57*(L482 / 'Speed-Vol., non-Cordon'!$X$57)^L503,'Speed-Vol., non-Cordon'!$X$32)</f>
        <v>33.589996447896119</v>
      </c>
      <c r="M534" s="21"/>
      <c r="O534" s="136">
        <f>ROW()</f>
        <v>534</v>
      </c>
      <c r="P534" s="21">
        <f t="shared" ca="1" si="781"/>
        <v>54.453795206895542</v>
      </c>
      <c r="Q534" s="21">
        <f t="shared" ca="1" si="781"/>
        <v>31.920349708192507</v>
      </c>
      <c r="R534" s="21">
        <f t="shared" ca="1" si="781"/>
        <v>24.287429504646461</v>
      </c>
      <c r="S534" s="21">
        <f t="shared" ca="1" si="781"/>
        <v>21.959197864736048</v>
      </c>
      <c r="T534" s="21">
        <f t="shared" ca="1" si="781"/>
        <v>27.771268127475999</v>
      </c>
      <c r="U534" s="21">
        <f t="shared" ca="1" si="781"/>
        <v>33.589996447896119</v>
      </c>
      <c r="V534" s="21"/>
      <c r="W534" s="4272" t="s">
        <v>1878</v>
      </c>
      <c r="Y534" s="21">
        <f t="shared" ca="1" si="782"/>
        <v>54.453795206895542</v>
      </c>
      <c r="Z534" s="21">
        <f t="shared" ca="1" si="782"/>
        <v>31.920349708192507</v>
      </c>
      <c r="AA534" s="21">
        <f t="shared" ca="1" si="782"/>
        <v>24.287429504646461</v>
      </c>
      <c r="AB534" s="21">
        <f t="shared" ca="1" si="782"/>
        <v>21.959197864736048</v>
      </c>
      <c r="AC534" s="21">
        <f t="shared" ca="1" si="782"/>
        <v>27.771268127475999</v>
      </c>
      <c r="AD534" s="21">
        <f t="shared" ca="1" si="782"/>
        <v>33.589996447896119</v>
      </c>
      <c r="AE534" s="21"/>
      <c r="AF534" s="4272" t="s">
        <v>1878</v>
      </c>
      <c r="AH534" s="21">
        <f t="shared" ca="1" si="783"/>
        <v>54.453795206895542</v>
      </c>
      <c r="AI534" s="21">
        <f t="shared" ca="1" si="783"/>
        <v>31.920349708192507</v>
      </c>
      <c r="AJ534" s="21">
        <f t="shared" ca="1" si="783"/>
        <v>24.287429504646461</v>
      </c>
      <c r="AK534" s="21">
        <f t="shared" ca="1" si="783"/>
        <v>21.959197864736048</v>
      </c>
      <c r="AL534" s="21">
        <f t="shared" ca="1" si="783"/>
        <v>27.771268127475999</v>
      </c>
      <c r="AM534" s="21">
        <f t="shared" ca="1" si="783"/>
        <v>33.589996447896119</v>
      </c>
      <c r="AN534" s="21"/>
      <c r="AO534" s="4272" t="s">
        <v>1878</v>
      </c>
      <c r="AQ534" s="21">
        <f t="shared" ref="AQ534:AV534" ca="1" si="787">G534*$AV$181</f>
        <v>53.909257254826585</v>
      </c>
      <c r="AR534" s="21">
        <f t="shared" ca="1" si="787"/>
        <v>31.601146211110581</v>
      </c>
      <c r="AS534" s="21">
        <f t="shared" ca="1" si="787"/>
        <v>24.044555209599995</v>
      </c>
      <c r="AT534" s="21">
        <f t="shared" ca="1" si="787"/>
        <v>21.739605886088686</v>
      </c>
      <c r="AU534" s="21">
        <f t="shared" ca="1" si="787"/>
        <v>27.493555446201238</v>
      </c>
      <c r="AV534" s="21">
        <f t="shared" ca="1" si="787"/>
        <v>33.254096483417158</v>
      </c>
      <c r="AW534" s="21"/>
      <c r="AX534" s="4272" t="s">
        <v>1878</v>
      </c>
      <c r="AZ534" s="21">
        <f t="shared" ca="1" si="785"/>
        <v>54.453795206895542</v>
      </c>
      <c r="BA534" s="21">
        <f t="shared" ca="1" si="785"/>
        <v>31.920349708192507</v>
      </c>
      <c r="BB534" s="21">
        <f t="shared" ca="1" si="785"/>
        <v>24.287429504646461</v>
      </c>
      <c r="BC534" s="21">
        <f t="shared" ca="1" si="785"/>
        <v>21.959197864736048</v>
      </c>
      <c r="BD534" s="21">
        <f t="shared" ca="1" si="785"/>
        <v>27.771268127475999</v>
      </c>
      <c r="BE534" s="21">
        <f t="shared" ca="1" si="785"/>
        <v>33.589996447896119</v>
      </c>
      <c r="BF534" s="21"/>
      <c r="BG534" s="4272" t="s">
        <v>1878</v>
      </c>
      <c r="BI534" s="21">
        <f t="shared" ca="1" si="786"/>
        <v>54.453795206895542</v>
      </c>
      <c r="BJ534" s="21">
        <f t="shared" ca="1" si="786"/>
        <v>31.920349708192507</v>
      </c>
      <c r="BK534" s="21">
        <f t="shared" ca="1" si="786"/>
        <v>24.287429504646461</v>
      </c>
      <c r="BL534" s="21">
        <f t="shared" ca="1" si="786"/>
        <v>21.959197864736048</v>
      </c>
      <c r="BM534" s="21">
        <f t="shared" ca="1" si="786"/>
        <v>27.771268127475999</v>
      </c>
      <c r="BN534" s="21">
        <f t="shared" ca="1" si="786"/>
        <v>33.589996447896119</v>
      </c>
      <c r="BO534" s="21"/>
      <c r="BP534" s="4272" t="s">
        <v>1878</v>
      </c>
    </row>
    <row r="535" spans="2:254" ht="13.2" customHeight="1">
      <c r="B535" s="280"/>
      <c r="O535" s="136">
        <f>ROW()</f>
        <v>535</v>
      </c>
      <c r="W535" s="4273"/>
      <c r="AF535" s="4273"/>
      <c r="AO535" s="4273"/>
      <c r="AX535" s="4273"/>
      <c r="BG535" s="4273"/>
      <c r="BP535" s="4273"/>
    </row>
    <row r="536" spans="2:254" ht="13.2" customHeight="1">
      <c r="B536" s="308" t="s">
        <v>2606</v>
      </c>
      <c r="F536" s="606"/>
      <c r="O536" s="136">
        <f>ROW()</f>
        <v>536</v>
      </c>
      <c r="W536" s="4273"/>
      <c r="AF536" s="4273"/>
      <c r="AO536" s="4273"/>
      <c r="AX536" s="4340"/>
      <c r="BG536" s="4273"/>
      <c r="BP536" s="4273"/>
    </row>
    <row r="537" spans="2:254" ht="13.2" customHeight="1">
      <c r="B537" s="280" t="s">
        <v>2158</v>
      </c>
      <c r="C537" s="297"/>
      <c r="D537" s="297"/>
      <c r="E537" s="297"/>
      <c r="F537" s="297"/>
      <c r="G537" s="4286" t="s">
        <v>2351</v>
      </c>
      <c r="H537" s="3775"/>
      <c r="I537" s="3775"/>
      <c r="J537" s="3775"/>
      <c r="K537" s="3775"/>
      <c r="L537" s="3776"/>
      <c r="O537" s="136">
        <f>ROW()</f>
        <v>537</v>
      </c>
      <c r="P537" s="21">
        <f t="shared" ref="P537:U537" ca="1" si="788">($I$85)*60/P533</f>
        <v>4.4558792655702826</v>
      </c>
      <c r="Q537" s="21">
        <f t="shared" ca="1" si="788"/>
        <v>5.6374789062457626</v>
      </c>
      <c r="R537" s="21">
        <f t="shared" ca="1" si="788"/>
        <v>7.1575636458357241</v>
      </c>
      <c r="S537" s="21">
        <f t="shared" ca="1" si="788"/>
        <v>8.1001739145531317</v>
      </c>
      <c r="T537" s="21">
        <f t="shared" ca="1" si="788"/>
        <v>6.5839425603170598</v>
      </c>
      <c r="U537" s="21">
        <f t="shared" ca="1" si="788"/>
        <v>5.5536889458326373</v>
      </c>
      <c r="V537" s="21"/>
      <c r="W537" s="613">
        <f ca="1">SUMPRODUCT(P$476:V$476,P537:V537)/W$476</f>
        <v>6.183438908514816</v>
      </c>
      <c r="Y537" s="21">
        <f t="shared" ref="Y537:AD537" ca="1" si="789">($J$85)*60/Y533</f>
        <v>4.4558792655702826</v>
      </c>
      <c r="Z537" s="21">
        <f t="shared" ca="1" si="789"/>
        <v>5.6374789062457626</v>
      </c>
      <c r="AA537" s="21">
        <f t="shared" ca="1" si="789"/>
        <v>7.1575636458357241</v>
      </c>
      <c r="AB537" s="21">
        <f t="shared" ca="1" si="789"/>
        <v>8.1001739145531317</v>
      </c>
      <c r="AC537" s="21">
        <f t="shared" ca="1" si="789"/>
        <v>6.5839425603170598</v>
      </c>
      <c r="AD537" s="21">
        <f t="shared" ca="1" si="789"/>
        <v>5.5536889458326373</v>
      </c>
      <c r="AE537" s="21"/>
      <c r="AF537" s="613">
        <f ca="1">SUMPRODUCT(Y$476:AE$476,Y537:AE537)/AF$476</f>
        <v>6.3977956221598875</v>
      </c>
      <c r="AH537" s="21">
        <f t="shared" ref="AH537:AM537" ca="1" si="790">($K$85)*60/AH533</f>
        <v>4.158820647865598</v>
      </c>
      <c r="AI537" s="21">
        <f t="shared" ca="1" si="790"/>
        <v>5.2616469791627134</v>
      </c>
      <c r="AJ537" s="21">
        <f t="shared" ca="1" si="790"/>
        <v>6.6803927361133439</v>
      </c>
      <c r="AK537" s="21">
        <f t="shared" ca="1" si="790"/>
        <v>7.5601623202495905</v>
      </c>
      <c r="AL537" s="21">
        <f t="shared" ca="1" si="790"/>
        <v>6.1450130562959231</v>
      </c>
      <c r="AM537" s="21">
        <f t="shared" ca="1" si="790"/>
        <v>5.1834430161104619</v>
      </c>
      <c r="AN537" s="21"/>
      <c r="AO537" s="634">
        <f ca="1">SUMPRODUCT(AH$476:AN$476,AH537:AN537)/AO$476</f>
        <v>5.777896187651768</v>
      </c>
      <c r="AQ537" s="21">
        <f t="shared" ref="AQ537:AV537" ca="1" si="791">($L$85)*60/AQ533</f>
        <v>6.2538656358881157</v>
      </c>
      <c r="AR537" s="21">
        <f t="shared" ca="1" si="791"/>
        <v>7.9122510964852815</v>
      </c>
      <c r="AS537" s="21">
        <f t="shared" ca="1" si="791"/>
        <v>10.045703362576456</v>
      </c>
      <c r="AT537" s="21">
        <f t="shared" ca="1" si="791"/>
        <v>11.368665143232466</v>
      </c>
      <c r="AU537" s="21">
        <f t="shared" ca="1" si="791"/>
        <v>9.2406211372871017</v>
      </c>
      <c r="AV537" s="21">
        <f t="shared" ca="1" si="791"/>
        <v>7.7946511520458062</v>
      </c>
      <c r="AW537" s="21"/>
      <c r="AX537" s="613">
        <f ca="1">SUMPRODUCT(AQ$476:AW$476,AQ537:AW537)/AX$476</f>
        <v>8.4703691010029445</v>
      </c>
      <c r="AZ537" s="21">
        <f t="shared" ref="AZ537:BE537" ca="1" si="792">($M$85)*60/AZ533</f>
        <v>8.9117585311405652</v>
      </c>
      <c r="BA537" s="21">
        <f t="shared" ca="1" si="792"/>
        <v>11.274957812491525</v>
      </c>
      <c r="BB537" s="21">
        <f t="shared" ca="1" si="792"/>
        <v>14.315127291671448</v>
      </c>
      <c r="BC537" s="21">
        <f t="shared" ca="1" si="792"/>
        <v>16.200347829106263</v>
      </c>
      <c r="BD537" s="21">
        <f t="shared" ca="1" si="792"/>
        <v>13.16788512063412</v>
      </c>
      <c r="BE537" s="21">
        <f t="shared" ca="1" si="792"/>
        <v>11.107377891665275</v>
      </c>
      <c r="BF537" s="21"/>
      <c r="BG537" s="613">
        <f ca="1">SUMPRODUCT(AZ$476:BF$476,AZ537:BF537)/BG$476</f>
        <v>12.530091504367478</v>
      </c>
      <c r="BI537" s="21">
        <f t="shared" ref="BI537:BN537" ca="1" si="793">($N$85)*60/BI533</f>
        <v>5.9411723540937107</v>
      </c>
      <c r="BJ537" s="21">
        <f t="shared" ca="1" si="793"/>
        <v>7.5166385416610177</v>
      </c>
      <c r="BK537" s="21">
        <f t="shared" ca="1" si="793"/>
        <v>9.5434181944476322</v>
      </c>
      <c r="BL537" s="21">
        <f t="shared" ca="1" si="793"/>
        <v>10.800231886070842</v>
      </c>
      <c r="BM537" s="21">
        <f t="shared" ca="1" si="793"/>
        <v>8.778590080422747</v>
      </c>
      <c r="BN537" s="21">
        <f t="shared" ca="1" si="793"/>
        <v>7.4049185944435161</v>
      </c>
      <c r="BO537" s="21"/>
      <c r="BP537" s="613">
        <f ca="1">SUMPRODUCT(BI$476:BO$476,BI537:BO537)/BP$476</f>
        <v>8.3621083514435295</v>
      </c>
    </row>
    <row r="538" spans="2:254" ht="13.2" customHeight="1">
      <c r="B538" s="280" t="s">
        <v>2159</v>
      </c>
      <c r="C538" s="297"/>
      <c r="D538" s="297"/>
      <c r="E538" s="297"/>
      <c r="F538" s="297"/>
      <c r="G538" s="3738"/>
      <c r="H538" s="3739"/>
      <c r="I538" s="3739"/>
      <c r="J538" s="3739"/>
      <c r="K538" s="3739"/>
      <c r="L538" s="3922"/>
      <c r="O538" s="136">
        <f>ROW()</f>
        <v>538</v>
      </c>
      <c r="P538" s="21">
        <f t="shared" ref="P538:U538" ca="1" si="794">60*$I$85/(1/($P$135/$P533+$Q$135/$Q533+$R$135/$R533+$S$135/$S533+$T$135/$T533+$U$135/$U533))</f>
        <v>6.1555586791868615</v>
      </c>
      <c r="Q538" s="21">
        <f t="shared" ca="1" si="794"/>
        <v>6.1555586791868615</v>
      </c>
      <c r="R538" s="21">
        <f t="shared" ca="1" si="794"/>
        <v>6.1555586791868615</v>
      </c>
      <c r="S538" s="21">
        <f t="shared" ca="1" si="794"/>
        <v>6.1555586791868615</v>
      </c>
      <c r="T538" s="21">
        <f t="shared" ca="1" si="794"/>
        <v>6.1555586791868615</v>
      </c>
      <c r="U538" s="21">
        <f t="shared" ca="1" si="794"/>
        <v>6.1555586791868615</v>
      </c>
      <c r="V538" s="21"/>
      <c r="W538" s="613">
        <f ca="1">SUMPRODUCT(P$383:V$383,P538:V538)/W$383</f>
        <v>6.1555586791868624</v>
      </c>
      <c r="Y538" s="21">
        <f t="shared" ref="Y538:AD538" ca="1" si="795">60*$J$85/(1/($Y$135/$Y533+$Z$135/$Z533+$AA$135/$AA533+$AB$135/$AB533+$AC$135/$AC533+$AD$135/$AD533))</f>
        <v>6.1555586791868597</v>
      </c>
      <c r="Z538" s="21">
        <f t="shared" ca="1" si="795"/>
        <v>6.1555586791868597</v>
      </c>
      <c r="AA538" s="21">
        <f t="shared" ca="1" si="795"/>
        <v>6.1555586791868597</v>
      </c>
      <c r="AB538" s="21">
        <f t="shared" ca="1" si="795"/>
        <v>6.1555586791868597</v>
      </c>
      <c r="AC538" s="21">
        <f t="shared" ca="1" si="795"/>
        <v>6.1555586791868597</v>
      </c>
      <c r="AD538" s="21">
        <f t="shared" ca="1" si="795"/>
        <v>6.1555586791868597</v>
      </c>
      <c r="AE538" s="21"/>
      <c r="AF538" s="613">
        <f ca="1">SUMPRODUCT(Y$383:AE$383,Y538:AE538)/AF$383</f>
        <v>6.1555586791868606</v>
      </c>
      <c r="AH538" s="21">
        <f t="shared" ref="AH538:AM538" ca="1" si="796">AH537</f>
        <v>4.158820647865598</v>
      </c>
      <c r="AI538" s="21">
        <f t="shared" ca="1" si="796"/>
        <v>5.2616469791627134</v>
      </c>
      <c r="AJ538" s="21">
        <f t="shared" ca="1" si="796"/>
        <v>6.6803927361133439</v>
      </c>
      <c r="AK538" s="21">
        <f t="shared" ca="1" si="796"/>
        <v>7.5601623202495905</v>
      </c>
      <c r="AL538" s="21">
        <f t="shared" ca="1" si="796"/>
        <v>6.1450130562959231</v>
      </c>
      <c r="AM538" s="21">
        <f t="shared" ca="1" si="796"/>
        <v>5.1834430161104619</v>
      </c>
      <c r="AN538" s="21"/>
      <c r="AO538" s="634">
        <f ca="1">SUMPRODUCT(AH$383:AN$383,AH538:AN538)/AO$383</f>
        <v>5.7859185638569928</v>
      </c>
      <c r="AQ538" s="21"/>
      <c r="AR538" s="21"/>
      <c r="AS538" s="21"/>
      <c r="AT538" s="21"/>
      <c r="AU538" s="21"/>
      <c r="AV538" s="21"/>
      <c r="AW538" s="21"/>
      <c r="AX538" s="613"/>
      <c r="AZ538" s="21">
        <f t="shared" ref="AZ538:BE538" ca="1" si="797">60*$M$85/(1/($AZ$135/$AZ533+$BA$135/$BA533+$BB$135/$BB533+$BC$135/$BC533+$BD$135/$BD533+$BE$135/$BE533))</f>
        <v>12.311117358373719</v>
      </c>
      <c r="BA538" s="21">
        <f t="shared" ca="1" si="797"/>
        <v>12.311117358373719</v>
      </c>
      <c r="BB538" s="21">
        <f t="shared" ca="1" si="797"/>
        <v>12.311117358373719</v>
      </c>
      <c r="BC538" s="21">
        <f t="shared" ca="1" si="797"/>
        <v>12.311117358373719</v>
      </c>
      <c r="BD538" s="21">
        <f t="shared" ca="1" si="797"/>
        <v>12.311117358373719</v>
      </c>
      <c r="BE538" s="21">
        <f t="shared" ca="1" si="797"/>
        <v>12.311117358373719</v>
      </c>
      <c r="BF538" s="21"/>
      <c r="BG538" s="613">
        <f ca="1">SUMPRODUCT(AZ$383:BF$383,AZ538:BF538)/BG$383</f>
        <v>12.311117358373721</v>
      </c>
      <c r="BI538" s="21">
        <f t="shared" ref="BI538:BN538" ca="1" si="798">60*$N$85/(1/($BI$135/$BI533+$BJ$135/$BJ533+$BK$135/$BK533+$BL$135/$BL533+$BM$135/$BM533+$BN$135/$BN533))</f>
        <v>8.2074115722491463</v>
      </c>
      <c r="BJ538" s="21">
        <f t="shared" ca="1" si="798"/>
        <v>8.2074115722491463</v>
      </c>
      <c r="BK538" s="21">
        <f t="shared" ca="1" si="798"/>
        <v>8.2074115722491463</v>
      </c>
      <c r="BL538" s="21">
        <f t="shared" ca="1" si="798"/>
        <v>8.2074115722491463</v>
      </c>
      <c r="BM538" s="21">
        <f t="shared" ca="1" si="798"/>
        <v>8.2074115722491463</v>
      </c>
      <c r="BN538" s="21">
        <f t="shared" ca="1" si="798"/>
        <v>8.2074115722491463</v>
      </c>
      <c r="BO538" s="21"/>
      <c r="BP538" s="613">
        <f ca="1">SUMPRODUCT(BI$383:BO$383,BI538:BO538)/BP$383</f>
        <v>8.2074115722491481</v>
      </c>
    </row>
    <row r="539" spans="2:254" ht="13.2" customHeight="1">
      <c r="B539" s="280" t="s">
        <v>2160</v>
      </c>
      <c r="C539" s="297"/>
      <c r="D539" s="297"/>
      <c r="E539" s="297"/>
      <c r="F539" s="297"/>
      <c r="G539" s="3738"/>
      <c r="H539" s="3739"/>
      <c r="I539" s="3739"/>
      <c r="J539" s="3739"/>
      <c r="K539" s="3739"/>
      <c r="L539" s="3922"/>
      <c r="O539" s="136">
        <f>ROW()</f>
        <v>539</v>
      </c>
      <c r="P539" s="21">
        <f t="shared" ref="P539:U539" ca="1" si="799">($I$79)*60/P534</f>
        <v>18.621356325499391</v>
      </c>
      <c r="Q539" s="21">
        <f t="shared" ca="1" si="799"/>
        <v>31.766679660252091</v>
      </c>
      <c r="R539" s="21">
        <f t="shared" ca="1" si="799"/>
        <v>41.750137602226793</v>
      </c>
      <c r="S539" s="21">
        <f t="shared" ca="1" si="799"/>
        <v>46.176710555158571</v>
      </c>
      <c r="T539" s="21">
        <f t="shared" ca="1" si="799"/>
        <v>36.5126835104858</v>
      </c>
      <c r="U539" s="21">
        <f t="shared" ca="1" si="799"/>
        <v>30.187663919413243</v>
      </c>
      <c r="V539" s="21"/>
      <c r="W539" s="613">
        <f ca="1">SUMPRODUCT(P$476:V$476,P539:V539)/W$476</f>
        <v>33.305886520323668</v>
      </c>
      <c r="Y539" s="21">
        <f t="shared" ref="Y539:AD539" ca="1" si="800">($J$79)*60/Y534</f>
        <v>18.621356325499391</v>
      </c>
      <c r="Z539" s="21">
        <f t="shared" ca="1" si="800"/>
        <v>31.766679660252091</v>
      </c>
      <c r="AA539" s="21">
        <f t="shared" ca="1" si="800"/>
        <v>41.750137602226793</v>
      </c>
      <c r="AB539" s="21">
        <f t="shared" ca="1" si="800"/>
        <v>46.176710555158571</v>
      </c>
      <c r="AC539" s="21">
        <f t="shared" ca="1" si="800"/>
        <v>36.5126835104858</v>
      </c>
      <c r="AD539" s="21">
        <f t="shared" ca="1" si="800"/>
        <v>30.187663919413243</v>
      </c>
      <c r="AE539" s="21"/>
      <c r="AF539" s="613">
        <f ca="1">SUMPRODUCT(Y$476:AE$476,Y539:AE539)/AF$476</f>
        <v>34.908101966823594</v>
      </c>
      <c r="AH539" s="21">
        <f t="shared" ref="AH539:AM539" ca="1" si="801">($K$79)*60/AH534</f>
        <v>27.932034488249087</v>
      </c>
      <c r="AI539" s="21">
        <f t="shared" ca="1" si="801"/>
        <v>47.650019490378135</v>
      </c>
      <c r="AJ539" s="21">
        <f t="shared" ca="1" si="801"/>
        <v>62.625206403340194</v>
      </c>
      <c r="AK539" s="21">
        <f t="shared" ca="1" si="801"/>
        <v>69.265065832737861</v>
      </c>
      <c r="AL539" s="21">
        <f t="shared" ca="1" si="801"/>
        <v>54.769025265728693</v>
      </c>
      <c r="AM539" s="21">
        <f t="shared" ca="1" si="801"/>
        <v>45.281495879119866</v>
      </c>
      <c r="AN539" s="21"/>
      <c r="AO539" s="634">
        <f ca="1">SUMPRODUCT(AH$476:AN$476,AH539:AN539)/AO$476</f>
        <v>49.990198725405797</v>
      </c>
      <c r="AQ539" s="21">
        <f t="shared" ref="AQ539:AV539" ca="1" si="802">($L$79)*60/AQ534</f>
        <v>6.677888331836896</v>
      </c>
      <c r="AR539" s="21">
        <f t="shared" ca="1" si="802"/>
        <v>11.391991847226995</v>
      </c>
      <c r="AS539" s="21">
        <f t="shared" ca="1" si="802"/>
        <v>14.972204595253519</v>
      </c>
      <c r="AT539" s="21">
        <f t="shared" ca="1" si="802"/>
        <v>16.559637828134058</v>
      </c>
      <c r="AU539" s="21">
        <f t="shared" ca="1" si="802"/>
        <v>13.09397763066475</v>
      </c>
      <c r="AV539" s="21">
        <f t="shared" ca="1" si="802"/>
        <v>10.825733911595567</v>
      </c>
      <c r="AW539" s="21"/>
      <c r="AX539" s="613">
        <f ca="1">SUMPRODUCT(AQ$476:AW$476,AQ539:AW539)/AX$476</f>
        <v>11.479371217730488</v>
      </c>
      <c r="AZ539" s="21">
        <f t="shared" ref="AZ539:BE539" ca="1" si="803">($M$79)*60/AZ534</f>
        <v>14.02838191266936</v>
      </c>
      <c r="BA539" s="21">
        <f t="shared" ca="1" si="803"/>
        <v>23.93139933427975</v>
      </c>
      <c r="BB539" s="21">
        <f t="shared" ca="1" si="803"/>
        <v>31.452428327603482</v>
      </c>
      <c r="BC539" s="21">
        <f t="shared" ca="1" si="803"/>
        <v>34.787183050221905</v>
      </c>
      <c r="BD539" s="21">
        <f t="shared" ca="1" si="803"/>
        <v>27.506797033904196</v>
      </c>
      <c r="BE539" s="21">
        <f t="shared" ca="1" si="803"/>
        <v>22.741849256862931</v>
      </c>
      <c r="BF539" s="21"/>
      <c r="BG539" s="613">
        <f ca="1">SUMPRODUCT(AZ$476:BF$476,AZ539:BF539)/BG$476</f>
        <v>25.537823992792799</v>
      </c>
      <c r="BI539" s="21">
        <f t="shared" ref="BI539:BN539" ca="1" si="804">($N$79)*60/BI534</f>
        <v>19.219589151376997</v>
      </c>
      <c r="BJ539" s="21">
        <f t="shared" ca="1" si="804"/>
        <v>32.787221354944769</v>
      </c>
      <c r="BK539" s="21">
        <f t="shared" ca="1" si="804"/>
        <v>43.091409546223566</v>
      </c>
      <c r="BL539" s="21">
        <f t="shared" ca="1" si="804"/>
        <v>47.660191326498364</v>
      </c>
      <c r="BM539" s="21">
        <f t="shared" ca="1" si="804"/>
        <v>37.68569612326425</v>
      </c>
      <c r="BN539" s="21">
        <f t="shared" ca="1" si="804"/>
        <v>31.157477888786914</v>
      </c>
      <c r="BO539" s="21"/>
      <c r="BP539" s="613">
        <f ca="1">SUMPRODUCT(BI$476:BO$476,BI539:BO539)/BP$476</f>
        <v>35.043573883252996</v>
      </c>
    </row>
    <row r="540" spans="2:254" ht="13.2" customHeight="1">
      <c r="B540" s="280" t="s">
        <v>1138</v>
      </c>
      <c r="C540" s="297"/>
      <c r="D540" s="297"/>
      <c r="E540" s="297"/>
      <c r="F540" s="297"/>
      <c r="G540" s="3738"/>
      <c r="H540" s="3739"/>
      <c r="I540" s="3739"/>
      <c r="J540" s="3739"/>
      <c r="K540" s="3739"/>
      <c r="L540" s="3922"/>
      <c r="O540" s="136">
        <f>ROW()</f>
        <v>540</v>
      </c>
      <c r="P540" s="21">
        <f t="shared" ref="P540:U540" ca="1" si="805">60*$I$79/(1/($P$135/$P534+$Q$135/$Q534+$R$135/$R534+$S$135/$S534+$T$135/$T534+$U$135/$U534))</f>
        <v>33.012269085544069</v>
      </c>
      <c r="Q540" s="21">
        <f t="shared" ca="1" si="805"/>
        <v>33.012269085544069</v>
      </c>
      <c r="R540" s="21">
        <f t="shared" ca="1" si="805"/>
        <v>33.012269085544069</v>
      </c>
      <c r="S540" s="21">
        <f t="shared" ca="1" si="805"/>
        <v>33.012269085544069</v>
      </c>
      <c r="T540" s="21">
        <f t="shared" ca="1" si="805"/>
        <v>33.012269085544069</v>
      </c>
      <c r="U540" s="21">
        <f t="shared" ca="1" si="805"/>
        <v>33.012269085544069</v>
      </c>
      <c r="V540" s="21"/>
      <c r="W540" s="613">
        <f ca="1">SUMPRODUCT(P$476:V$476,P540:V540)/W$476</f>
        <v>33.012269085544062</v>
      </c>
      <c r="Y540" s="21">
        <f t="shared" ref="Y540:AD540" ca="1" si="806">60*$J$79/(1/($Y$135/$Y534+$Z$135/$Z534+$AA$135/$AA534+$AB$135/$AB534+$AC$135/$AC534+$AD$135/$AD534))</f>
        <v>33.012269085544062</v>
      </c>
      <c r="Z540" s="21">
        <f t="shared" ca="1" si="806"/>
        <v>33.012269085544062</v>
      </c>
      <c r="AA540" s="21">
        <f t="shared" ca="1" si="806"/>
        <v>33.012269085544062</v>
      </c>
      <c r="AB540" s="21">
        <f t="shared" ca="1" si="806"/>
        <v>33.012269085544062</v>
      </c>
      <c r="AC540" s="21">
        <f t="shared" ca="1" si="806"/>
        <v>33.012269085544062</v>
      </c>
      <c r="AD540" s="21">
        <f t="shared" ca="1" si="806"/>
        <v>33.012269085544062</v>
      </c>
      <c r="AE540" s="21"/>
      <c r="AF540" s="613">
        <f ca="1">SUMPRODUCT(Y$476:AE$476,Y540:AE540)/AF$476</f>
        <v>33.012269085544069</v>
      </c>
      <c r="AH540" s="21">
        <f t="shared" ref="AH540:AM540" ca="1" si="807">AH539</f>
        <v>27.932034488249087</v>
      </c>
      <c r="AI540" s="21">
        <f t="shared" ca="1" si="807"/>
        <v>47.650019490378135</v>
      </c>
      <c r="AJ540" s="21">
        <f t="shared" ca="1" si="807"/>
        <v>62.625206403340194</v>
      </c>
      <c r="AK540" s="21">
        <f t="shared" ca="1" si="807"/>
        <v>69.265065832737861</v>
      </c>
      <c r="AL540" s="21">
        <f t="shared" ca="1" si="807"/>
        <v>54.769025265728693</v>
      </c>
      <c r="AM540" s="21">
        <f t="shared" ca="1" si="807"/>
        <v>45.281495879119866</v>
      </c>
      <c r="AN540" s="21"/>
      <c r="AO540" s="634">
        <f ca="1">SUMPRODUCT(AH$476:AN$476,AH540:AN540)/AO$476</f>
        <v>49.990198725405797</v>
      </c>
      <c r="AX540" s="613"/>
      <c r="AZ540" s="21">
        <f t="shared" ref="AZ540:BE540" ca="1" si="808">60*$M$79/(1/($AZ$135/$AZ534+$BA$135/$BA534+$BB$135/$BB534+$BC$135/$BC534+$BD$135/$BD534+$BE$135/$BE534))</f>
        <v>24.869762999038709</v>
      </c>
      <c r="BA540" s="21">
        <f t="shared" ca="1" si="808"/>
        <v>24.869762999038709</v>
      </c>
      <c r="BB540" s="21">
        <f t="shared" ca="1" si="808"/>
        <v>24.869762999038709</v>
      </c>
      <c r="BC540" s="21">
        <f t="shared" ca="1" si="808"/>
        <v>24.869762999038709</v>
      </c>
      <c r="BD540" s="21">
        <f t="shared" ca="1" si="808"/>
        <v>24.869762999038709</v>
      </c>
      <c r="BE540" s="21">
        <f t="shared" ca="1" si="808"/>
        <v>24.869762999038709</v>
      </c>
      <c r="BF540" s="21"/>
      <c r="BG540" s="613">
        <f ca="1">SUMPRODUCT(AZ$476:BF$476,AZ540:BF540)/BG$476</f>
        <v>24.869762999038706</v>
      </c>
      <c r="BI540" s="21">
        <f t="shared" ref="BI540:BN540" ca="1" si="809">60*$N$79/(1/($BI$135/$BI534+$BJ$135/$BJ534+$BK$135/$BK534+$BL$135/$BL534+$BM$135/$BM534+$BN$135/$BN534))</f>
        <v>34.072826795652077</v>
      </c>
      <c r="BJ540" s="21">
        <f t="shared" ca="1" si="809"/>
        <v>34.072826795652077</v>
      </c>
      <c r="BK540" s="21">
        <f t="shared" ca="1" si="809"/>
        <v>34.072826795652077</v>
      </c>
      <c r="BL540" s="21">
        <f t="shared" ca="1" si="809"/>
        <v>34.072826795652077</v>
      </c>
      <c r="BM540" s="21">
        <f t="shared" ca="1" si="809"/>
        <v>34.072826795652077</v>
      </c>
      <c r="BN540" s="21">
        <f t="shared" ca="1" si="809"/>
        <v>34.072826795652077</v>
      </c>
      <c r="BO540" s="21"/>
      <c r="BP540" s="613">
        <f ca="1">SUMPRODUCT(BI$476:BO$476,BI540:BO540)/BP$476</f>
        <v>34.072826795652077</v>
      </c>
    </row>
    <row r="541" spans="2:254" ht="13.2" customHeight="1">
      <c r="B541" s="308" t="s">
        <v>2243</v>
      </c>
      <c r="C541" s="297"/>
      <c r="D541" s="297"/>
      <c r="E541" s="297"/>
      <c r="F541" s="297"/>
      <c r="G541" s="3741"/>
      <c r="H541" s="3742"/>
      <c r="I541" s="3742"/>
      <c r="J541" s="3742"/>
      <c r="K541" s="3742"/>
      <c r="L541" s="3777"/>
      <c r="O541" s="136">
        <f>ROW()</f>
        <v>541</v>
      </c>
      <c r="P541" s="21">
        <f t="shared" ref="P541:W541" ca="1" si="810">SUM(P537:P540)</f>
        <v>62.245063355800603</v>
      </c>
      <c r="Q541" s="21">
        <f t="shared" ca="1" si="810"/>
        <v>76.571986331228786</v>
      </c>
      <c r="R541" s="21">
        <f t="shared" ca="1" si="810"/>
        <v>88.075529012793453</v>
      </c>
      <c r="S541" s="21">
        <f t="shared" ca="1" si="810"/>
        <v>93.444712234442633</v>
      </c>
      <c r="T541" s="21">
        <f t="shared" ca="1" si="810"/>
        <v>82.2644538355338</v>
      </c>
      <c r="U541" s="21">
        <f t="shared" ca="1" si="810"/>
        <v>74.909180629976817</v>
      </c>
      <c r="V541" s="21"/>
      <c r="W541" s="614">
        <f t="shared" ca="1" si="810"/>
        <v>78.6571531935694</v>
      </c>
      <c r="Y541" s="21">
        <f t="shared" ref="Y541:AF541" ca="1" si="811">SUM(Y537:Y540)</f>
        <v>62.245063355800596</v>
      </c>
      <c r="Z541" s="21">
        <f t="shared" ca="1" si="811"/>
        <v>76.571986331228771</v>
      </c>
      <c r="AA541" s="21">
        <f t="shared" ca="1" si="811"/>
        <v>88.075529012793439</v>
      </c>
      <c r="AB541" s="21">
        <f t="shared" ca="1" si="811"/>
        <v>93.444712234442619</v>
      </c>
      <c r="AC541" s="21">
        <f t="shared" ca="1" si="811"/>
        <v>82.264453835533786</v>
      </c>
      <c r="AD541" s="21">
        <f t="shared" ca="1" si="811"/>
        <v>74.909180629976802</v>
      </c>
      <c r="AE541" s="21"/>
      <c r="AF541" s="614">
        <f t="shared" ca="1" si="811"/>
        <v>80.4737253537144</v>
      </c>
      <c r="AH541" s="21">
        <f t="shared" ref="AH541:AO541" ca="1" si="812">SUM(AH537:AH540)</f>
        <v>64.181710272229367</v>
      </c>
      <c r="AI541" s="21">
        <f t="shared" ca="1" si="812"/>
        <v>105.82333293908169</v>
      </c>
      <c r="AJ541" s="21">
        <f t="shared" ca="1" si="812"/>
        <v>138.61119827890707</v>
      </c>
      <c r="AK541" s="21">
        <f t="shared" ca="1" si="812"/>
        <v>153.6504563059749</v>
      </c>
      <c r="AL541" s="21">
        <f t="shared" ca="1" si="812"/>
        <v>121.82807664404922</v>
      </c>
      <c r="AM541" s="21">
        <f t="shared" ca="1" si="812"/>
        <v>100.92987779046067</v>
      </c>
      <c r="AN541" s="21"/>
      <c r="AO541" s="634">
        <f t="shared" ca="1" si="812"/>
        <v>111.54421220232035</v>
      </c>
      <c r="AQ541" s="21">
        <f t="shared" ref="AQ541:AX541" ca="1" si="813">AQ537+AQ539</f>
        <v>12.931753967725012</v>
      </c>
      <c r="AR541" s="21">
        <f t="shared" ca="1" si="813"/>
        <v>19.304242943712275</v>
      </c>
      <c r="AS541" s="21">
        <f t="shared" ca="1" si="813"/>
        <v>25.017907957829976</v>
      </c>
      <c r="AT541" s="21">
        <f t="shared" ca="1" si="813"/>
        <v>27.928302971366524</v>
      </c>
      <c r="AU541" s="21">
        <f t="shared" ca="1" si="813"/>
        <v>22.334598767951853</v>
      </c>
      <c r="AV541" s="21">
        <f t="shared" ca="1" si="813"/>
        <v>18.620385063641372</v>
      </c>
      <c r="AW541" s="21"/>
      <c r="AX541" s="614">
        <f t="shared" ca="1" si="813"/>
        <v>19.949740318733433</v>
      </c>
      <c r="AZ541" s="21">
        <f t="shared" ref="AZ541:BG541" ca="1" si="814">SUM(AZ537:AZ540)</f>
        <v>60.121020801222357</v>
      </c>
      <c r="BA541" s="21">
        <f t="shared" ca="1" si="814"/>
        <v>72.387237504183702</v>
      </c>
      <c r="BB541" s="21">
        <f t="shared" ca="1" si="814"/>
        <v>82.948435976687364</v>
      </c>
      <c r="BC541" s="21">
        <f t="shared" ca="1" si="814"/>
        <v>88.168411236740596</v>
      </c>
      <c r="BD541" s="21">
        <f t="shared" ca="1" si="814"/>
        <v>77.855562511950751</v>
      </c>
      <c r="BE541" s="21">
        <f t="shared" ca="1" si="814"/>
        <v>71.030107505940634</v>
      </c>
      <c r="BF541" s="21"/>
      <c r="BG541" s="614">
        <f t="shared" ca="1" si="814"/>
        <v>75.248795854572705</v>
      </c>
      <c r="BI541" s="21">
        <f t="shared" ref="BI541:BP541" ca="1" si="815">SUM(BI537:BI540)</f>
        <v>67.440999873371936</v>
      </c>
      <c r="BJ541" s="21">
        <f t="shared" ca="1" si="815"/>
        <v>82.584098264507006</v>
      </c>
      <c r="BK541" s="21">
        <f t="shared" ca="1" si="815"/>
        <v>94.915066108572418</v>
      </c>
      <c r="BL541" s="21">
        <f t="shared" ca="1" si="815"/>
        <v>100.74066158047043</v>
      </c>
      <c r="BM541" s="21">
        <f t="shared" ca="1" si="815"/>
        <v>88.744524571588215</v>
      </c>
      <c r="BN541" s="21">
        <f t="shared" ca="1" si="815"/>
        <v>80.842634851131649</v>
      </c>
      <c r="BO541" s="21"/>
      <c r="BP541" s="614">
        <f t="shared" ca="1" si="815"/>
        <v>85.685920602597747</v>
      </c>
    </row>
    <row r="542" spans="2:254" ht="13.2" customHeight="1">
      <c r="B542" s="308"/>
      <c r="C542" s="297"/>
      <c r="D542" s="297"/>
      <c r="E542" s="297"/>
      <c r="F542" s="297"/>
      <c r="G542" s="280"/>
      <c r="O542" s="136">
        <f>ROW()</f>
        <v>542</v>
      </c>
      <c r="P542" s="21"/>
      <c r="Q542" s="21"/>
      <c r="R542" s="21"/>
      <c r="S542" s="21"/>
      <c r="T542" s="21"/>
      <c r="U542" s="21"/>
      <c r="V542" s="21"/>
      <c r="W542" s="634"/>
      <c r="Y542" s="21"/>
      <c r="Z542" s="21"/>
      <c r="AA542" s="21"/>
      <c r="AB542" s="21"/>
      <c r="AC542" s="21"/>
      <c r="AD542" s="21"/>
      <c r="AE542" s="21"/>
      <c r="AF542" s="634"/>
      <c r="AH542" s="21"/>
      <c r="AI542" s="21"/>
      <c r="AJ542" s="21"/>
      <c r="AK542" s="21"/>
      <c r="AL542" s="21"/>
      <c r="AM542" s="21"/>
      <c r="AN542" s="21"/>
      <c r="AO542" s="634"/>
      <c r="AQ542" s="21"/>
      <c r="AR542" s="21"/>
      <c r="AS542" s="21"/>
      <c r="AT542" s="21"/>
      <c r="AU542" s="21"/>
      <c r="AV542" s="21"/>
      <c r="AW542" s="21"/>
      <c r="AX542" s="634"/>
      <c r="AZ542" s="21"/>
      <c r="BA542" s="21"/>
      <c r="BB542" s="21"/>
      <c r="BC542" s="21"/>
      <c r="BD542" s="21"/>
      <c r="BE542" s="21"/>
      <c r="BF542" s="21"/>
      <c r="BG542" s="634"/>
      <c r="BI542" s="21"/>
      <c r="BJ542" s="21"/>
      <c r="BK542" s="21"/>
      <c r="BL542" s="21"/>
      <c r="BM542" s="21"/>
      <c r="BN542" s="21"/>
      <c r="BO542" s="21"/>
      <c r="BP542" s="634"/>
    </row>
    <row r="543" spans="2:254" ht="13.2" customHeight="1">
      <c r="B543" s="308" t="s">
        <v>1345</v>
      </c>
      <c r="G543" s="4285" t="s">
        <v>2351</v>
      </c>
      <c r="H543" s="3970"/>
      <c r="I543" s="3970"/>
      <c r="J543" s="3970"/>
      <c r="K543" s="3970"/>
      <c r="L543" s="3971"/>
      <c r="O543" s="136">
        <f>ROW()</f>
        <v>543</v>
      </c>
      <c r="P543" s="117">
        <f t="shared" ref="P543:W543" ca="1" si="816">P541/P491</f>
        <v>0.97120185923382663</v>
      </c>
      <c r="Q543" s="117">
        <f t="shared" ca="1" si="816"/>
        <v>0.96331775849493628</v>
      </c>
      <c r="R543" s="117">
        <f t="shared" ca="1" si="816"/>
        <v>0.94698938589815151</v>
      </c>
      <c r="S543" s="117">
        <f t="shared" ca="1" si="816"/>
        <v>0.94024456949814883</v>
      </c>
      <c r="T543" s="117">
        <f t="shared" ca="1" si="816"/>
        <v>0.95276768579358118</v>
      </c>
      <c r="U543" s="117">
        <f t="shared" ca="1" si="816"/>
        <v>0.96196231283445643</v>
      </c>
      <c r="V543" s="117"/>
      <c r="W543" s="117">
        <f t="shared" ca="1" si="816"/>
        <v>0.95590275672708525</v>
      </c>
      <c r="Y543" s="117">
        <f t="shared" ref="Y543:AF543" ca="1" si="817">Y541/Y491</f>
        <v>0.97120185923382651</v>
      </c>
      <c r="Z543" s="117">
        <f t="shared" ca="1" si="817"/>
        <v>0.96331775849493606</v>
      </c>
      <c r="AA543" s="117">
        <f t="shared" ca="1" si="817"/>
        <v>0.94698938589815151</v>
      </c>
      <c r="AB543" s="117">
        <f t="shared" ca="1" si="817"/>
        <v>0.94024456949814872</v>
      </c>
      <c r="AC543" s="117">
        <f t="shared" ca="1" si="817"/>
        <v>0.95276768579358107</v>
      </c>
      <c r="AD543" s="117">
        <f t="shared" ca="1" si="817"/>
        <v>0.96196231283445643</v>
      </c>
      <c r="AE543" s="117"/>
      <c r="AF543" s="117">
        <f t="shared" ca="1" si="817"/>
        <v>0.95412273987073737</v>
      </c>
      <c r="AH543" s="117">
        <f t="shared" ref="AH543:AO543" ca="1" si="818">AH541/AH491</f>
        <v>1.0008415534285797</v>
      </c>
      <c r="AI543" s="117">
        <f t="shared" ca="1" si="818"/>
        <v>0.97136876487660073</v>
      </c>
      <c r="AJ543" s="117">
        <f t="shared" ca="1" si="818"/>
        <v>0.93873307873629674</v>
      </c>
      <c r="AK543" s="117">
        <f t="shared" ca="1" si="818"/>
        <v>0.92766175870244838</v>
      </c>
      <c r="AL543" s="117">
        <f t="shared" ca="1" si="818"/>
        <v>0.94876643470177624</v>
      </c>
      <c r="AM543" s="117">
        <f t="shared" ca="1" si="818"/>
        <v>0.96862640707894476</v>
      </c>
      <c r="AN543" s="117"/>
      <c r="AO543" s="117">
        <f t="shared" ca="1" si="818"/>
        <v>0.95171575219896121</v>
      </c>
      <c r="AQ543" s="117">
        <f t="shared" ref="AQ543:AX543" ca="1" si="819">AQ541/AQ491</f>
        <v>0.99956524103321909</v>
      </c>
      <c r="AR543" s="117">
        <f t="shared" ca="1" si="819"/>
        <v>0.97852598093392407</v>
      </c>
      <c r="AS543" s="117">
        <f t="shared" ca="1" si="819"/>
        <v>0.95229934312680853</v>
      </c>
      <c r="AT543" s="117">
        <f t="shared" ca="1" si="819"/>
        <v>0.94268763856024751</v>
      </c>
      <c r="AU543" s="117">
        <f t="shared" ca="1" si="819"/>
        <v>0.96267894087203298</v>
      </c>
      <c r="AV543" s="117">
        <f t="shared" ca="1" si="819"/>
        <v>0.97743279181528187</v>
      </c>
      <c r="AW543" s="117"/>
      <c r="AX543" s="117">
        <f t="shared" ca="1" si="819"/>
        <v>0.965787799771894</v>
      </c>
      <c r="AZ543" s="117">
        <f t="shared" ref="AZ543:BG543" ca="1" si="820">AZ541/AZ491</f>
        <v>0.96384522858179644</v>
      </c>
      <c r="BA543" s="117">
        <f t="shared" ca="1" si="820"/>
        <v>0.9576396955887585</v>
      </c>
      <c r="BB543" s="117">
        <f t="shared" ca="1" si="820"/>
        <v>0.94359807768261161</v>
      </c>
      <c r="BC543" s="117">
        <f t="shared" ca="1" si="820"/>
        <v>0.93746576576118268</v>
      </c>
      <c r="BD543" s="117">
        <f t="shared" ca="1" si="820"/>
        <v>0.94920758166247954</v>
      </c>
      <c r="BE543" s="117">
        <f t="shared" ca="1" si="820"/>
        <v>0.95672867853173293</v>
      </c>
      <c r="BF543" s="117"/>
      <c r="BG543" s="117">
        <f t="shared" ca="1" si="820"/>
        <v>0.94992352818332393</v>
      </c>
      <c r="BI543" s="117">
        <f t="shared" ref="BI543:BP543" ca="1" si="821">BI541/BI491</f>
        <v>0.96339269305236097</v>
      </c>
      <c r="BJ543" s="117">
        <f t="shared" ca="1" si="821"/>
        <v>0.95628549018925368</v>
      </c>
      <c r="BK543" s="117">
        <f t="shared" ca="1" si="821"/>
        <v>0.94067627826428701</v>
      </c>
      <c r="BL543" s="117">
        <f t="shared" ca="1" si="821"/>
        <v>0.93411067154886507</v>
      </c>
      <c r="BM543" s="117">
        <f t="shared" ca="1" si="821"/>
        <v>0.9463327181163691</v>
      </c>
      <c r="BN543" s="117">
        <f t="shared" ca="1" si="821"/>
        <v>0.95502991496050205</v>
      </c>
      <c r="BO543" s="117"/>
      <c r="BP543" s="117">
        <f t="shared" ca="1" si="821"/>
        <v>0.94790003633440778</v>
      </c>
      <c r="IT543" s="117"/>
    </row>
    <row r="544" spans="2:254" ht="13.2" customHeight="1">
      <c r="B544" s="280"/>
      <c r="G544" s="280"/>
      <c r="O544" s="136">
        <f>ROW()</f>
        <v>544</v>
      </c>
      <c r="P544" s="117"/>
      <c r="Q544" s="117"/>
      <c r="R544" s="117"/>
      <c r="S544" s="117"/>
      <c r="T544" s="117"/>
      <c r="U544" s="117"/>
      <c r="V544" s="117"/>
      <c r="W544" s="117"/>
      <c r="Y544" s="117"/>
      <c r="Z544" s="117"/>
      <c r="AA544" s="117"/>
      <c r="AB544" s="117"/>
      <c r="AC544" s="117"/>
      <c r="AD544" s="117"/>
      <c r="AE544" s="117"/>
      <c r="AF544" s="117"/>
      <c r="AH544" s="117"/>
      <c r="AI544" s="117"/>
      <c r="AJ544" s="117"/>
      <c r="AK544" s="117"/>
      <c r="AL544" s="117"/>
      <c r="AM544" s="117"/>
      <c r="AN544" s="117"/>
      <c r="AO544" s="117"/>
      <c r="AQ544" s="117"/>
      <c r="AR544" s="117"/>
      <c r="AS544" s="117"/>
      <c r="AT544" s="117"/>
      <c r="AU544" s="117"/>
      <c r="AV544" s="117"/>
      <c r="AW544" s="117"/>
      <c r="AX544" s="117"/>
      <c r="AZ544" s="117"/>
      <c r="BA544" s="117"/>
      <c r="BB544" s="117"/>
      <c r="BC544" s="117"/>
      <c r="BD544" s="117"/>
      <c r="BE544" s="117"/>
      <c r="BF544" s="117"/>
      <c r="BG544" s="117"/>
      <c r="BI544" s="117"/>
      <c r="BJ544" s="117"/>
      <c r="BK544" s="117"/>
      <c r="BL544" s="117"/>
      <c r="BM544" s="117"/>
      <c r="BN544" s="117"/>
      <c r="BO544" s="117"/>
      <c r="BP544" s="117"/>
    </row>
    <row r="545" spans="2:68" ht="13.2" customHeight="1">
      <c r="B545" s="308" t="s">
        <v>1571</v>
      </c>
      <c r="G545" s="280"/>
      <c r="O545" s="136">
        <f>ROW()</f>
        <v>545</v>
      </c>
      <c r="P545" s="117"/>
      <c r="Q545" s="117"/>
      <c r="R545" s="117"/>
      <c r="S545" s="117"/>
      <c r="T545" s="117"/>
      <c r="U545" s="117"/>
      <c r="V545" s="117"/>
      <c r="W545" s="117"/>
      <c r="Y545" s="117"/>
      <c r="Z545" s="117"/>
      <c r="AA545" s="117"/>
      <c r="AB545" s="117"/>
      <c r="AC545" s="117"/>
      <c r="AD545" s="117"/>
      <c r="AE545" s="117"/>
      <c r="AF545" s="117"/>
      <c r="AH545" s="117"/>
      <c r="AI545" s="117"/>
      <c r="AJ545" s="117"/>
      <c r="AK545" s="117"/>
      <c r="AL545" s="117"/>
      <c r="AM545" s="117"/>
      <c r="AN545" s="117"/>
      <c r="AO545" s="117"/>
      <c r="AQ545" s="117"/>
      <c r="AR545" s="117"/>
      <c r="AS545" s="117"/>
      <c r="AT545" s="117"/>
      <c r="AU545" s="117"/>
      <c r="AV545" s="117"/>
      <c r="AW545" s="117"/>
      <c r="AX545" s="117"/>
      <c r="AZ545" s="117"/>
      <c r="BA545" s="117"/>
      <c r="BB545" s="117"/>
      <c r="BC545" s="117"/>
      <c r="BD545" s="117"/>
      <c r="BE545" s="117"/>
      <c r="BF545" s="117"/>
      <c r="BG545" s="117"/>
      <c r="BI545" s="117"/>
      <c r="BJ545" s="117"/>
      <c r="BK545" s="117"/>
      <c r="BL545" s="117"/>
      <c r="BM545" s="117"/>
      <c r="BN545" s="117"/>
      <c r="BO545" s="117"/>
      <c r="BP545" s="117"/>
    </row>
    <row r="546" spans="2:68" ht="13.2" customHeight="1">
      <c r="B546" s="280" t="s">
        <v>2533</v>
      </c>
      <c r="G546" s="21">
        <f t="shared" ref="G546:L546" ca="1" si="822">AVERAGE(G$533,G$481,G$403)</f>
        <v>20.167619006104132</v>
      </c>
      <c r="H546" s="21">
        <f t="shared" ca="1" si="822"/>
        <v>15.89701854552438</v>
      </c>
      <c r="I546" s="21">
        <f t="shared" ca="1" si="822"/>
        <v>12.437116707304673</v>
      </c>
      <c r="J546" s="21">
        <f t="shared" ca="1" si="822"/>
        <v>10.945467144776226</v>
      </c>
      <c r="K546" s="21">
        <f t="shared" ca="1" si="822"/>
        <v>13.60774939638045</v>
      </c>
      <c r="L546" s="21">
        <f t="shared" ca="1" si="822"/>
        <v>16.153833941176874</v>
      </c>
      <c r="M546" s="21"/>
      <c r="O546" s="136">
        <f>ROW()</f>
        <v>546</v>
      </c>
      <c r="P546" s="21">
        <f t="shared" ref="P546:U547" ca="1" si="823">G546</f>
        <v>20.167619006104132</v>
      </c>
      <c r="Q546" s="21">
        <f t="shared" ca="1" si="823"/>
        <v>15.89701854552438</v>
      </c>
      <c r="R546" s="21">
        <f t="shared" ca="1" si="823"/>
        <v>12.437116707304673</v>
      </c>
      <c r="S546" s="21">
        <f t="shared" ca="1" si="823"/>
        <v>10.945467144776226</v>
      </c>
      <c r="T546" s="21">
        <f t="shared" ca="1" si="823"/>
        <v>13.60774939638045</v>
      </c>
      <c r="U546" s="21">
        <f t="shared" ca="1" si="823"/>
        <v>16.153833941176874</v>
      </c>
      <c r="V546" s="21"/>
      <c r="Y546" s="21">
        <f t="shared" ref="Y546:AD547" ca="1" si="824">G546</f>
        <v>20.167619006104132</v>
      </c>
      <c r="Z546" s="21">
        <f t="shared" ca="1" si="824"/>
        <v>15.89701854552438</v>
      </c>
      <c r="AA546" s="21">
        <f t="shared" ca="1" si="824"/>
        <v>12.437116707304673</v>
      </c>
      <c r="AB546" s="21">
        <f t="shared" ca="1" si="824"/>
        <v>10.945467144776226</v>
      </c>
      <c r="AC546" s="21">
        <f t="shared" ca="1" si="824"/>
        <v>13.60774939638045</v>
      </c>
      <c r="AD546" s="21">
        <f t="shared" ca="1" si="824"/>
        <v>16.153833941176874</v>
      </c>
      <c r="AE546" s="21"/>
      <c r="AH546" s="21">
        <f t="shared" ref="AH546:AM547" ca="1" si="825">P546</f>
        <v>20.167619006104132</v>
      </c>
      <c r="AI546" s="21">
        <f t="shared" ca="1" si="825"/>
        <v>15.89701854552438</v>
      </c>
      <c r="AJ546" s="21">
        <f t="shared" ca="1" si="825"/>
        <v>12.437116707304673</v>
      </c>
      <c r="AK546" s="21">
        <f t="shared" ca="1" si="825"/>
        <v>10.945467144776226</v>
      </c>
      <c r="AL546" s="21">
        <f t="shared" ca="1" si="825"/>
        <v>13.60774939638045</v>
      </c>
      <c r="AM546" s="21">
        <f t="shared" ca="1" si="825"/>
        <v>16.153833941176874</v>
      </c>
      <c r="AN546" s="21"/>
      <c r="AQ546" s="21">
        <f t="shared" ref="AQ546:AV546" ca="1" si="826">G546*$AU$181</f>
        <v>19.159238055798927</v>
      </c>
      <c r="AR546" s="21">
        <f t="shared" ca="1" si="826"/>
        <v>15.10216761824816</v>
      </c>
      <c r="AS546" s="21">
        <f t="shared" ca="1" si="826"/>
        <v>11.815260871939438</v>
      </c>
      <c r="AT546" s="21">
        <f t="shared" ca="1" si="826"/>
        <v>10.398193787537414</v>
      </c>
      <c r="AU546" s="21">
        <f t="shared" ca="1" si="826"/>
        <v>12.927361926561428</v>
      </c>
      <c r="AV546" s="21">
        <f t="shared" ca="1" si="826"/>
        <v>15.346142244118029</v>
      </c>
      <c r="AW546" s="21"/>
      <c r="AZ546" s="21">
        <f t="shared" ref="AZ546:BE547" ca="1" si="827">G546</f>
        <v>20.167619006104132</v>
      </c>
      <c r="BA546" s="21">
        <f t="shared" ca="1" si="827"/>
        <v>15.89701854552438</v>
      </c>
      <c r="BB546" s="21">
        <f t="shared" ca="1" si="827"/>
        <v>12.437116707304673</v>
      </c>
      <c r="BC546" s="21">
        <f t="shared" ca="1" si="827"/>
        <v>10.945467144776226</v>
      </c>
      <c r="BD546" s="21">
        <f t="shared" ca="1" si="827"/>
        <v>13.60774939638045</v>
      </c>
      <c r="BE546" s="21">
        <f t="shared" ca="1" si="827"/>
        <v>16.153833941176874</v>
      </c>
      <c r="BF546" s="21"/>
      <c r="BG546" s="21"/>
      <c r="BI546" s="21">
        <f t="shared" ref="BI546:BN547" ca="1" si="828">G546</f>
        <v>20.167619006104132</v>
      </c>
      <c r="BJ546" s="21">
        <f t="shared" ca="1" si="828"/>
        <v>15.89701854552438</v>
      </c>
      <c r="BK546" s="21">
        <f t="shared" ca="1" si="828"/>
        <v>12.437116707304673</v>
      </c>
      <c r="BL546" s="21">
        <f t="shared" ca="1" si="828"/>
        <v>10.945467144776226</v>
      </c>
      <c r="BM546" s="21">
        <f t="shared" ca="1" si="828"/>
        <v>13.60774939638045</v>
      </c>
      <c r="BN546" s="21">
        <f t="shared" ca="1" si="828"/>
        <v>16.153833941176874</v>
      </c>
      <c r="BO546" s="21"/>
      <c r="BP546" s="21"/>
    </row>
    <row r="547" spans="2:68" ht="13.2" customHeight="1">
      <c r="B547" s="280" t="s">
        <v>2534</v>
      </c>
      <c r="G547" s="21">
        <f t="shared" ref="G547:L547" ca="1" si="829">AVERAGE(G$534,G$482,G$427)</f>
        <v>54.504047140638164</v>
      </c>
      <c r="H547" s="21">
        <f t="shared" ca="1" si="829"/>
        <v>31.384836690295561</v>
      </c>
      <c r="I547" s="21">
        <f t="shared" ca="1" si="829"/>
        <v>23.376574795662588</v>
      </c>
      <c r="J547" s="21">
        <f t="shared" ca="1" si="829"/>
        <v>20.973997649880115</v>
      </c>
      <c r="K547" s="21">
        <f t="shared" ca="1" si="829"/>
        <v>26.928311752125381</v>
      </c>
      <c r="L547" s="21">
        <f t="shared" ca="1" si="829"/>
        <v>33.019771627730826</v>
      </c>
      <c r="M547" s="21"/>
      <c r="O547" s="136">
        <f>ROW()</f>
        <v>547</v>
      </c>
      <c r="P547" s="21">
        <f t="shared" ca="1" si="823"/>
        <v>54.504047140638164</v>
      </c>
      <c r="Q547" s="21">
        <f t="shared" ca="1" si="823"/>
        <v>31.384836690295561</v>
      </c>
      <c r="R547" s="21">
        <f t="shared" ca="1" si="823"/>
        <v>23.376574795662588</v>
      </c>
      <c r="S547" s="21">
        <f t="shared" ca="1" si="823"/>
        <v>20.973997649880115</v>
      </c>
      <c r="T547" s="21">
        <f t="shared" ca="1" si="823"/>
        <v>26.928311752125381</v>
      </c>
      <c r="U547" s="21">
        <f t="shared" ca="1" si="823"/>
        <v>33.019771627730826</v>
      </c>
      <c r="V547" s="21"/>
      <c r="Y547" s="21">
        <f t="shared" ca="1" si="824"/>
        <v>54.504047140638164</v>
      </c>
      <c r="Z547" s="21">
        <f t="shared" ca="1" si="824"/>
        <v>31.384836690295561</v>
      </c>
      <c r="AA547" s="21">
        <f t="shared" ca="1" si="824"/>
        <v>23.376574795662588</v>
      </c>
      <c r="AB547" s="21">
        <f t="shared" ca="1" si="824"/>
        <v>20.973997649880115</v>
      </c>
      <c r="AC547" s="21">
        <f t="shared" ca="1" si="824"/>
        <v>26.928311752125381</v>
      </c>
      <c r="AD547" s="21">
        <f t="shared" ca="1" si="824"/>
        <v>33.019771627730826</v>
      </c>
      <c r="AE547" s="21"/>
      <c r="AH547" s="21">
        <f t="shared" ca="1" si="825"/>
        <v>54.504047140638164</v>
      </c>
      <c r="AI547" s="21">
        <f t="shared" ca="1" si="825"/>
        <v>31.384836690295561</v>
      </c>
      <c r="AJ547" s="21">
        <f t="shared" ca="1" si="825"/>
        <v>23.376574795662588</v>
      </c>
      <c r="AK547" s="21">
        <f t="shared" ca="1" si="825"/>
        <v>20.973997649880115</v>
      </c>
      <c r="AL547" s="21">
        <f t="shared" ca="1" si="825"/>
        <v>26.928311752125381</v>
      </c>
      <c r="AM547" s="21">
        <f t="shared" ca="1" si="825"/>
        <v>33.019771627730826</v>
      </c>
      <c r="AN547" s="21"/>
      <c r="AQ547" s="21">
        <f t="shared" ref="AQ547:AV547" ca="1" si="830">G547*$AV$181</f>
        <v>53.959006669231783</v>
      </c>
      <c r="AR547" s="21">
        <f t="shared" ca="1" si="830"/>
        <v>31.070988323392605</v>
      </c>
      <c r="AS547" s="21">
        <f t="shared" ca="1" si="830"/>
        <v>23.142809047705963</v>
      </c>
      <c r="AT547" s="21">
        <f t="shared" ca="1" si="830"/>
        <v>20.764257673381312</v>
      </c>
      <c r="AU547" s="21">
        <f t="shared" ca="1" si="830"/>
        <v>26.659028634604127</v>
      </c>
      <c r="AV547" s="21">
        <f t="shared" ca="1" si="830"/>
        <v>32.689573911453515</v>
      </c>
      <c r="AW547" s="21"/>
      <c r="AZ547" s="21">
        <f t="shared" ca="1" si="827"/>
        <v>54.504047140638164</v>
      </c>
      <c r="BA547" s="21">
        <f t="shared" ca="1" si="827"/>
        <v>31.384836690295561</v>
      </c>
      <c r="BB547" s="21">
        <f t="shared" ca="1" si="827"/>
        <v>23.376574795662588</v>
      </c>
      <c r="BC547" s="21">
        <f t="shared" ca="1" si="827"/>
        <v>20.973997649880115</v>
      </c>
      <c r="BD547" s="21">
        <f t="shared" ca="1" si="827"/>
        <v>26.928311752125381</v>
      </c>
      <c r="BE547" s="21">
        <f t="shared" ca="1" si="827"/>
        <v>33.019771627730826</v>
      </c>
      <c r="BF547" s="21"/>
      <c r="BG547" s="21"/>
      <c r="BI547" s="21">
        <f t="shared" ca="1" si="828"/>
        <v>54.504047140638164</v>
      </c>
      <c r="BJ547" s="21">
        <f t="shared" ca="1" si="828"/>
        <v>31.384836690295561</v>
      </c>
      <c r="BK547" s="21">
        <f t="shared" ca="1" si="828"/>
        <v>23.376574795662588</v>
      </c>
      <c r="BL547" s="21">
        <f t="shared" ca="1" si="828"/>
        <v>20.973997649880115</v>
      </c>
      <c r="BM547" s="21">
        <f t="shared" ca="1" si="828"/>
        <v>26.928311752125381</v>
      </c>
      <c r="BN547" s="21">
        <f t="shared" ca="1" si="828"/>
        <v>33.019771627730826</v>
      </c>
      <c r="BO547" s="21"/>
      <c r="BP547" s="21"/>
    </row>
    <row r="548" spans="2:68" ht="13.2" customHeight="1">
      <c r="B548" s="280"/>
      <c r="G548" s="280"/>
      <c r="O548" s="136">
        <f>ROW()</f>
        <v>548</v>
      </c>
      <c r="P548" s="117"/>
      <c r="Q548" s="117"/>
      <c r="R548" s="117"/>
      <c r="S548" s="117"/>
      <c r="T548" s="117"/>
      <c r="U548" s="117"/>
      <c r="V548" s="117"/>
      <c r="W548" s="117"/>
      <c r="Y548" s="117"/>
      <c r="Z548" s="117"/>
      <c r="AA548" s="117"/>
      <c r="AB548" s="117"/>
      <c r="AC548" s="117"/>
      <c r="AD548" s="117"/>
      <c r="AE548" s="117"/>
      <c r="AF548" s="117"/>
      <c r="AH548" s="117"/>
      <c r="AI548" s="117"/>
      <c r="AJ548" s="117"/>
      <c r="AK548" s="117"/>
      <c r="AL548" s="117"/>
      <c r="AM548" s="117"/>
      <c r="AN548" s="117"/>
      <c r="AO548" s="117"/>
      <c r="AQ548" s="117"/>
      <c r="AR548" s="117"/>
      <c r="AS548" s="117"/>
      <c r="AT548" s="117"/>
      <c r="AU548" s="117"/>
      <c r="AV548" s="117"/>
      <c r="AW548" s="117"/>
      <c r="AX548" s="117"/>
      <c r="AZ548" s="117"/>
      <c r="BA548" s="117"/>
      <c r="BB548" s="117"/>
      <c r="BC548" s="117"/>
      <c r="BD548" s="117"/>
      <c r="BE548" s="117"/>
      <c r="BF548" s="117"/>
      <c r="BG548" s="117"/>
      <c r="BI548" s="117"/>
      <c r="BJ548" s="117"/>
      <c r="BK548" s="117"/>
      <c r="BL548" s="117"/>
      <c r="BM548" s="117"/>
      <c r="BN548" s="117"/>
      <c r="BO548" s="117"/>
      <c r="BP548" s="117"/>
    </row>
    <row r="549" spans="2:68" ht="13.2" customHeight="1">
      <c r="B549" s="6" t="s">
        <v>1081</v>
      </c>
      <c r="G549" s="948" t="s">
        <v>1472</v>
      </c>
      <c r="H549" s="948" t="s">
        <v>985</v>
      </c>
      <c r="I549" s="948" t="s">
        <v>987</v>
      </c>
      <c r="J549" s="948" t="s">
        <v>1367</v>
      </c>
      <c r="K549" s="948" t="s">
        <v>988</v>
      </c>
      <c r="L549" s="948" t="s">
        <v>986</v>
      </c>
      <c r="M549" s="948" t="s">
        <v>1638</v>
      </c>
      <c r="N549" s="948" t="s">
        <v>2684</v>
      </c>
      <c r="O549" s="136">
        <f>ROW()</f>
        <v>549</v>
      </c>
      <c r="P549" s="117">
        <f ca="1">P543^Elasticities!$G$52</f>
        <v>1.0296520651112551</v>
      </c>
      <c r="Q549" s="117">
        <f ca="1">Q543^Elasticities!$G$52</f>
        <v>1.0380790670384559</v>
      </c>
      <c r="R549" s="117">
        <f ca="1">R543^Elasticities!$G$52</f>
        <v>1.0559780446235643</v>
      </c>
      <c r="S549" s="117">
        <f ca="1">S543^Elasticities!$G$52</f>
        <v>1.0635530716585211</v>
      </c>
      <c r="T549" s="117">
        <f ca="1">T543^Elasticities!$G$52</f>
        <v>1.0495737994798575</v>
      </c>
      <c r="U549" s="117">
        <f ca="1">U543^Elasticities!$G$52</f>
        <v>1.0395417644309413</v>
      </c>
      <c r="V549" s="117"/>
      <c r="Y549" s="117">
        <f ca="1">Y543^Elasticities!$H$52</f>
        <v>1.0296520651112551</v>
      </c>
      <c r="Z549" s="117">
        <f ca="1">Z543^Elasticities!$H$52</f>
        <v>1.0380790670384561</v>
      </c>
      <c r="AA549" s="117">
        <f ca="1">AA543^Elasticities!$H$52</f>
        <v>1.0559780446235643</v>
      </c>
      <c r="AB549" s="117">
        <f ca="1">AB543^Elasticities!$H$52</f>
        <v>1.0635530716585213</v>
      </c>
      <c r="AC549" s="117">
        <f ca="1">AC543^Elasticities!$H$52</f>
        <v>1.0495737994798575</v>
      </c>
      <c r="AD549" s="117">
        <f ca="1">AD543^Elasticities!$H$52</f>
        <v>1.0395417644309413</v>
      </c>
      <c r="AE549" s="117"/>
      <c r="AH549" s="638">
        <f ca="1">AH543^Elasticities!$J$52</f>
        <v>0.9991591541880962</v>
      </c>
      <c r="AI549" s="117">
        <f ca="1">AI543^Elasticities!$J$52</f>
        <v>1.029475144928133</v>
      </c>
      <c r="AJ549" s="117">
        <f ca="1">AJ543^Elasticities!$J$52</f>
        <v>1.0652655399617743</v>
      </c>
      <c r="AK549" s="117">
        <f ca="1">AK543^Elasticities!$J$52</f>
        <v>1.0779791132047241</v>
      </c>
      <c r="AL549" s="117">
        <f ca="1">AL543^Elasticities!$J$52</f>
        <v>1.054000187426875</v>
      </c>
      <c r="AM549" s="117">
        <f ca="1">AM543^Elasticities!$J$52</f>
        <v>1.0323897765864836</v>
      </c>
      <c r="AN549" s="117"/>
      <c r="AQ549" s="638">
        <f ca="1">AQ543^Elasticities!$G$54</f>
        <v>1.0003479433197284</v>
      </c>
      <c r="AR549" s="638">
        <f ca="1">AR543^Elasticities!$G$54</f>
        <v>1.0175180243847293</v>
      </c>
      <c r="AS549" s="638">
        <f ca="1">AS543^Elasticities!$G$54</f>
        <v>1.0398751792998078</v>
      </c>
      <c r="AT549" s="638">
        <f ca="1">AT543^Elasticities!$G$54</f>
        <v>1.0483486740125376</v>
      </c>
      <c r="AU549" s="638">
        <f ca="1">AU543^Elasticities!$G$54</f>
        <v>1.0308959247409604</v>
      </c>
      <c r="AV549" s="638">
        <f ca="1">AV543^Elasticities!$G$54</f>
        <v>1.0184283398887164</v>
      </c>
      <c r="AW549" s="638"/>
      <c r="AZ549" s="117">
        <f ca="1">AZ543^(Elasticities!$J$64*Elasticities!$G$52)</f>
        <v>1.0123504946676902</v>
      </c>
      <c r="BA549" s="117">
        <f ca="1">BA543^(Elasticities!$J$64*Elasticities!$G$52)</f>
        <v>1.0145324751861231</v>
      </c>
      <c r="BB549" s="117">
        <f ca="1">BB543^(Elasticities!$J$64*Elasticities!$G$52)</f>
        <v>1.0195401132103195</v>
      </c>
      <c r="BC549" s="117">
        <f ca="1">BC543^(Elasticities!$J$64*Elasticities!$G$52)</f>
        <v>1.021758347029643</v>
      </c>
      <c r="BD549" s="117">
        <f ca="1">BD543^(Elasticities!$J$64*Elasticities!$G$52)</f>
        <v>1.0175277618572016</v>
      </c>
      <c r="BE549" s="117">
        <f ca="1">BE543^(Elasticities!$J$64*Elasticities!$G$52)</f>
        <v>1.0148543927092439</v>
      </c>
      <c r="BF549" s="117"/>
      <c r="BI549" s="117">
        <f ca="1">BI543^Elasticities!$G$50</f>
        <v>1.0188220272597175</v>
      </c>
      <c r="BJ549" s="117">
        <f ca="1">BJ543^Elasticities!$G$50</f>
        <v>1.0226010089381372</v>
      </c>
      <c r="BK549" s="117">
        <f ca="1">BK543^Elasticities!$G$50</f>
        <v>1.0310504209284492</v>
      </c>
      <c r="BL549" s="117">
        <f ca="1">BL543^Elasticities!$G$50</f>
        <v>1.0346675608491913</v>
      </c>
      <c r="BM549" s="117">
        <f ca="1">BM543^Elasticities!$G$50</f>
        <v>1.0279643944064365</v>
      </c>
      <c r="BN549" s="117">
        <f ca="1">BN543^Elasticities!$G$50</f>
        <v>1.0232729935276119</v>
      </c>
      <c r="BO549" s="117"/>
    </row>
    <row r="550" spans="2:68" ht="13.2" customHeight="1">
      <c r="B550" s="6"/>
      <c r="G550" s="298" t="s">
        <v>1918</v>
      </c>
      <c r="H550" s="298" t="s">
        <v>1838</v>
      </c>
      <c r="I550" s="298" t="s">
        <v>1839</v>
      </c>
      <c r="J550" s="298" t="s">
        <v>1840</v>
      </c>
      <c r="K550" s="298" t="s">
        <v>1841</v>
      </c>
      <c r="L550" s="298" t="s">
        <v>1917</v>
      </c>
      <c r="M550" s="298"/>
      <c r="N550" s="298"/>
      <c r="O550" s="136">
        <f>ROW()</f>
        <v>550</v>
      </c>
      <c r="P550" s="309"/>
      <c r="Y550" s="309"/>
      <c r="AH550" s="309"/>
      <c r="AQ550" s="215" t="s">
        <v>3304</v>
      </c>
      <c r="AZ550" s="309"/>
      <c r="BI550" s="309"/>
    </row>
    <row r="551" spans="2:68" ht="13.2" customHeight="1">
      <c r="B551" s="6" t="s">
        <v>400</v>
      </c>
      <c r="O551" s="136">
        <f>ROW()</f>
        <v>551</v>
      </c>
      <c r="P551" s="117">
        <f ca="1">(P496/P546)^Elasticities!$G$52</f>
        <v>1.0007546191290277</v>
      </c>
      <c r="Q551" s="117">
        <f ca="1">(Q496/Q546)^Elasticities!$G$52</f>
        <v>1.0021295928903067</v>
      </c>
      <c r="R551" s="117">
        <f ca="1">(R496/R546)^Elasticities!$G$52</f>
        <v>1.0055379795622468</v>
      </c>
      <c r="S551" s="117">
        <f ca="1">(S496/S546)^Elasticities!$G$52</f>
        <v>1.0076134121486098</v>
      </c>
      <c r="T551" s="117">
        <f ca="1">(T496/T546)^Elasticities!$G$52</f>
        <v>1.0022785789000179</v>
      </c>
      <c r="U551" s="117">
        <f ca="1">(U496/U546)^Elasticities!$G$52</f>
        <v>1.0016000381651478</v>
      </c>
      <c r="V551" s="117"/>
      <c r="Y551" s="117">
        <f ca="1">(Y496/Y546)^Elasticities!$H$52</f>
        <v>1.0007546191290277</v>
      </c>
      <c r="Z551" s="117">
        <f ca="1">(Z496/Z546)^Elasticities!$H$52</f>
        <v>1.0021295928903067</v>
      </c>
      <c r="AA551" s="117">
        <f ca="1">(AA496/AA546)^Elasticities!$H$52</f>
        <v>1.0055379795622468</v>
      </c>
      <c r="AB551" s="117">
        <f ca="1">(AB496/AB546)^Elasticities!$H$52</f>
        <v>1.0076134121486098</v>
      </c>
      <c r="AC551" s="117">
        <f ca="1">(AC496/AC546)^Elasticities!$H$52</f>
        <v>1.0022785789000179</v>
      </c>
      <c r="AD551" s="117">
        <f ca="1">(AD496/AD546)^Elasticities!$H$52</f>
        <v>1.0016000381651478</v>
      </c>
      <c r="AE551" s="117"/>
      <c r="AH551" s="117">
        <f ca="1">(AH496/AH546)^Elasticities!$J$52</f>
        <v>1.0007546191290277</v>
      </c>
      <c r="AI551" s="117">
        <f ca="1">(AI496/AI546)^Elasticities!$J$52</f>
        <v>1.0021295928903067</v>
      </c>
      <c r="AJ551" s="117">
        <f ca="1">(AJ496/AJ546)^Elasticities!$J$52</f>
        <v>1.0055379795622468</v>
      </c>
      <c r="AK551" s="117">
        <f ca="1">(AK496/AK546)^Elasticities!$J$52</f>
        <v>1.0076134121486098</v>
      </c>
      <c r="AL551" s="117">
        <f ca="1">(AL496/AL546)^Elasticities!$J$52</f>
        <v>1.0022785789000179</v>
      </c>
      <c r="AM551" s="117">
        <f ca="1">(AM496/AM546)^Elasticities!$J$52</f>
        <v>1.0016000381651478</v>
      </c>
      <c r="AN551" s="117"/>
      <c r="AQ551" s="117">
        <f ca="1">(AQ496/AQ546)^Elasticities!$G$54</f>
        <v>1.0006036497609652</v>
      </c>
      <c r="AR551" s="117">
        <f ca="1">(AR496/AR546)^Elasticities!$G$54</f>
        <v>1.0017033118076712</v>
      </c>
      <c r="AS551" s="117">
        <f ca="1">(AS496/AS546)^Elasticities!$G$54</f>
        <v>1.0044279355309467</v>
      </c>
      <c r="AT551" s="117">
        <f ca="1">(AT496/AT546)^Elasticities!$G$54</f>
        <v>1.0060861066582112</v>
      </c>
      <c r="AU551" s="117">
        <f ca="1">(AU496/AU546)^Elasticities!$G$54</f>
        <v>1.0018224481443629</v>
      </c>
      <c r="AV551" s="117">
        <f ca="1">(AV496/AV546)^Elasticities!$G$54</f>
        <v>1.0012798258533138</v>
      </c>
      <c r="AW551" s="117"/>
      <c r="AZ551" s="117">
        <f ca="1">(AZ496/AZ546)^(Elasticities!$J$64*Elasticities!$G$52)</f>
        <v>1.000251476463963</v>
      </c>
      <c r="BA551" s="117">
        <f ca="1">(BA496/BA546)^(Elasticities!$J$64*Elasticities!$G$52)</f>
        <v>1.0007093609847804</v>
      </c>
      <c r="BB551" s="117">
        <f ca="1">(BB496/BB546)^(Elasticities!$J$64*Elasticities!$G$52)</f>
        <v>1.0018425959423063</v>
      </c>
      <c r="BC551" s="117">
        <f ca="1">(BC496/BC546)^(Elasticities!$J$64*Elasticities!$G$52)</f>
        <v>1.0025313907036431</v>
      </c>
      <c r="BD551" s="117">
        <f ca="1">(BD496/BD546)^(Elasticities!$J$64*Elasticities!$G$52)</f>
        <v>1.0007589501489575</v>
      </c>
      <c r="BE551" s="117">
        <f ca="1">(BE496/BE546)^(Elasticities!$J$64*Elasticities!$G$52)</f>
        <v>1.0005330618496231</v>
      </c>
      <c r="BF551" s="117"/>
      <c r="BI551" s="117">
        <f ca="1">(BI496/BI546)^Elasticities!$G$50</f>
        <v>1.0003772384101048</v>
      </c>
      <c r="BJ551" s="117">
        <f ca="1">(BJ496/BJ546)^Elasticities!$G$50</f>
        <v>1.0010642301522448</v>
      </c>
      <c r="BK551" s="117">
        <f ca="1">(BK496/BK546)^Elasticities!$G$50</f>
        <v>1.0027651667076627</v>
      </c>
      <c r="BL551" s="117">
        <f ca="1">(BL496/BL546)^Elasticities!$G$50</f>
        <v>1.003799488019699</v>
      </c>
      <c r="BM551" s="117">
        <f ca="1">(BM496/BM546)^Elasticities!$G$50</f>
        <v>1.00113864119812</v>
      </c>
      <c r="BN551" s="117">
        <f ca="1">(BN496/BN546)^Elasticities!$G$50</f>
        <v>1.0007996993230701</v>
      </c>
      <c r="BO551" s="117"/>
    </row>
    <row r="552" spans="2:68" ht="13.2" customHeight="1">
      <c r="O552" s="136">
        <f>ROW()</f>
        <v>552</v>
      </c>
      <c r="P552" s="309" t="s">
        <v>529</v>
      </c>
      <c r="Y552" s="309" t="s">
        <v>530</v>
      </c>
      <c r="AH552" s="309" t="s">
        <v>2922</v>
      </c>
      <c r="AQ552" s="215" t="s">
        <v>3299</v>
      </c>
      <c r="AZ552" s="309" t="s">
        <v>2398</v>
      </c>
      <c r="BI552" s="309" t="s">
        <v>2878</v>
      </c>
    </row>
    <row r="553" spans="2:68" ht="13.2" customHeight="1">
      <c r="B553" s="6" t="s">
        <v>1080</v>
      </c>
      <c r="G553" s="633">
        <f t="shared" ref="G553:L553" ca="1" si="831">($I$76*$I$79*P553+$J$76*$J$79*Y553+$K$76*$K$79*AH553+$L$76*$L$79*AQ553+$M$76*$M$79*AZ553+$N$76*$N$79*BI553)/SUMPRODUCT($I$76:$N$76,$I$79:$N$79)</f>
        <v>0.99954987349159652</v>
      </c>
      <c r="H553" s="633">
        <f t="shared" ca="1" si="831"/>
        <v>1.0084053853914094</v>
      </c>
      <c r="I553" s="633">
        <f t="shared" ca="1" si="831"/>
        <v>1.0194074865330409</v>
      </c>
      <c r="J553" s="633">
        <f t="shared" ca="1" si="831"/>
        <v>1.0234914827662798</v>
      </c>
      <c r="K553" s="633">
        <f t="shared" ca="1" si="831"/>
        <v>1.0155315316713633</v>
      </c>
      <c r="L553" s="633">
        <f t="shared" ca="1" si="831"/>
        <v>1.0085079406152218</v>
      </c>
      <c r="M553" s="633"/>
      <c r="O553" s="136">
        <f>ROW()</f>
        <v>553</v>
      </c>
      <c r="P553" s="117">
        <f ca="1">(P497/P547)^Elasticities!$G$52</f>
        <v>0.99953921973432869</v>
      </c>
      <c r="Q553" s="117">
        <f ca="1">(Q497/Q547)^Elasticities!$G$52</f>
        <v>1.0086048082721133</v>
      </c>
      <c r="R553" s="117">
        <f ca="1">(R497/R547)^Elasticities!$G$52</f>
        <v>1.0198693087098205</v>
      </c>
      <c r="S553" s="117">
        <f ca="1">(S497/S547)^Elasticities!$G$52</f>
        <v>1.0240510983885227</v>
      </c>
      <c r="T553" s="117">
        <f ca="1">(T497/T547)^Elasticities!$G$52</f>
        <v>1.0159007369420607</v>
      </c>
      <c r="U553" s="117">
        <f ca="1">(U497/U547)^Elasticities!$G$52</f>
        <v>1.008709802298138</v>
      </c>
      <c r="V553" s="117"/>
      <c r="Y553" s="117">
        <f ca="1">(Y497/Y547)^Elasticities!$H$52</f>
        <v>0.99953921973432869</v>
      </c>
      <c r="Z553" s="117">
        <f ca="1">(Z497/Z547)^Elasticities!$H$52</f>
        <v>1.0086048082721133</v>
      </c>
      <c r="AA553" s="117">
        <f ca="1">(AA497/AA547)^Elasticities!$H$52</f>
        <v>1.0198693087098205</v>
      </c>
      <c r="AB553" s="117">
        <f ca="1">(AB497/AB547)^Elasticities!$H$52</f>
        <v>1.0240510983885227</v>
      </c>
      <c r="AC553" s="117">
        <f ca="1">(AC497/AC547)^Elasticities!$H$52</f>
        <v>1.0159007369420607</v>
      </c>
      <c r="AD553" s="117">
        <f ca="1">(AD497/AD547)^Elasticities!$H$52</f>
        <v>1.008709802298138</v>
      </c>
      <c r="AE553" s="117"/>
      <c r="AH553" s="117">
        <f ca="1">(AH497/AH547)^Elasticities!$J$52</f>
        <v>0.99953921973432869</v>
      </c>
      <c r="AI553" s="117">
        <f ca="1">(AI497/AI547)^Elasticities!$J$52</f>
        <v>1.0086048082721133</v>
      </c>
      <c r="AJ553" s="117">
        <f ca="1">(AJ497/AJ547)^Elasticities!$J$52</f>
        <v>1.0198693087098205</v>
      </c>
      <c r="AK553" s="117">
        <f ca="1">(AK497/AK547)^Elasticities!$J$52</f>
        <v>1.0240510983885227</v>
      </c>
      <c r="AL553" s="117">
        <f ca="1">(AL497/AL547)^Elasticities!$J$52</f>
        <v>1.0159007369420607</v>
      </c>
      <c r="AM553" s="117">
        <f ca="1">(AM497/AM547)^Elasticities!$J$52</f>
        <v>1.008709802298138</v>
      </c>
      <c r="AN553" s="117"/>
      <c r="AQ553" s="117">
        <f ca="1">(AQ497/AQ547)^Elasticities!$G$54</f>
        <v>0.99963135879885534</v>
      </c>
      <c r="AR553" s="117">
        <f ca="1">(AR497/AR547)^Elasticities!$G$54</f>
        <v>1.0068779434916486</v>
      </c>
      <c r="AS553" s="117">
        <f ca="1">(AS497/AS547)^Elasticities!$G$54</f>
        <v>1.0158641121190364</v>
      </c>
      <c r="AT553" s="117">
        <f ca="1">(AT497/AT547)^Elasticities!$G$54</f>
        <v>1.0191950416836835</v>
      </c>
      <c r="AU553" s="117">
        <f ca="1">(AU497/AU547)^Elasticities!$G$54</f>
        <v>1.0127004904126866</v>
      </c>
      <c r="AV553" s="117">
        <f ca="1">(AV497/AV547)^Elasticities!$G$54</f>
        <v>1.0069617940287028</v>
      </c>
      <c r="AW553" s="117"/>
      <c r="AZ553" s="117">
        <f ca="1">(AZ497/AZ547)^(Elasticities!$J$64*Elasticities!$G$52)</f>
        <v>0.99984638298112938</v>
      </c>
      <c r="BA553" s="117">
        <f ca="1">(BA497/BA547)^(Elasticities!$J$64*Elasticities!$G$52)</f>
        <v>1.0028600815589614</v>
      </c>
      <c r="BB553" s="117">
        <f ca="1">(BB497/BB547)^(Elasticities!$J$64*Elasticities!$G$52)</f>
        <v>1.0065797152987497</v>
      </c>
      <c r="BC553" s="117">
        <f ca="1">(BC497/BC547)^(Elasticities!$J$64*Elasticities!$G$52)</f>
        <v>1.0079536052451892</v>
      </c>
      <c r="BD553" s="117">
        <f ca="1">(BD497/BD547)^(Elasticities!$J$64*Elasticities!$G$52)</f>
        <v>1.0052723986059198</v>
      </c>
      <c r="BE553" s="117">
        <f ca="1">(BE497/BE547)^(Elasticities!$J$64*Elasticities!$G$52)</f>
        <v>1.0028948790214884</v>
      </c>
      <c r="BF553" s="117"/>
      <c r="BI553" s="117">
        <f ca="1">(BI497/BI547)^Elasticities!$G$50</f>
        <v>0.99976958332124133</v>
      </c>
      <c r="BJ553" s="117">
        <f ca="1">(BJ497/BJ547)^Elasticities!$G$50</f>
        <v>1.004293188402726</v>
      </c>
      <c r="BK553" s="117">
        <f ca="1">(BK497/BK547)^Elasticities!$G$50</f>
        <v>1.0098857899336044</v>
      </c>
      <c r="BL553" s="117">
        <f ca="1">(BL497/BL547)^Elasticities!$G$50</f>
        <v>1.011954098953368</v>
      </c>
      <c r="BM553" s="117">
        <f ca="1">(BM497/BM547)^Elasticities!$G$50</f>
        <v>1.0079190130868951</v>
      </c>
      <c r="BN553" s="117">
        <f ca="1">(BN497/BN547)^Elasticities!$G$50</f>
        <v>1.0043454596393306</v>
      </c>
      <c r="BO553" s="117"/>
    </row>
    <row r="554" spans="2:68" ht="13.2" customHeight="1">
      <c r="B554" s="43"/>
      <c r="O554" s="136">
        <f>ROW()</f>
        <v>554</v>
      </c>
      <c r="P554" s="309" t="s">
        <v>2879</v>
      </c>
      <c r="Y554" s="309" t="s">
        <v>2842</v>
      </c>
      <c r="AH554" s="309" t="s">
        <v>2808</v>
      </c>
      <c r="AQ554" s="215" t="s">
        <v>3300</v>
      </c>
      <c r="AZ554" s="309" t="s">
        <v>2903</v>
      </c>
      <c r="BI554" s="309" t="s">
        <v>91</v>
      </c>
    </row>
    <row r="555" spans="2:68" ht="13.2" customHeight="1">
      <c r="B555" s="24" t="s">
        <v>226</v>
      </c>
      <c r="I555" s="4348" t="s">
        <v>1424</v>
      </c>
      <c r="J555" s="4348"/>
      <c r="K555" s="4348"/>
      <c r="L555" s="4348"/>
      <c r="M555" s="4348"/>
      <c r="O555" s="136">
        <f>ROW()</f>
        <v>555</v>
      </c>
      <c r="P555" s="880" t="s">
        <v>1472</v>
      </c>
      <c r="Q555" s="880" t="s">
        <v>985</v>
      </c>
      <c r="R555" s="880" t="s">
        <v>987</v>
      </c>
      <c r="S555" s="880" t="s">
        <v>1367</v>
      </c>
      <c r="T555" s="880" t="s">
        <v>988</v>
      </c>
      <c r="U555" s="880" t="s">
        <v>986</v>
      </c>
      <c r="V555" s="880" t="s">
        <v>1638</v>
      </c>
      <c r="W555" s="880" t="s">
        <v>2684</v>
      </c>
      <c r="Y555" s="880" t="s">
        <v>1472</v>
      </c>
      <c r="Z555" s="880" t="s">
        <v>985</v>
      </c>
      <c r="AA555" s="880" t="s">
        <v>987</v>
      </c>
      <c r="AB555" s="880" t="s">
        <v>1367</v>
      </c>
      <c r="AC555" s="880" t="s">
        <v>988</v>
      </c>
      <c r="AD555" s="880" t="s">
        <v>986</v>
      </c>
      <c r="AE555" s="880"/>
      <c r="AF555" s="880" t="s">
        <v>2684</v>
      </c>
      <c r="AH555" s="880" t="s">
        <v>1472</v>
      </c>
      <c r="AI555" s="880" t="s">
        <v>985</v>
      </c>
      <c r="AJ555" s="880" t="s">
        <v>987</v>
      </c>
      <c r="AK555" s="880" t="s">
        <v>1367</v>
      </c>
      <c r="AL555" s="880" t="s">
        <v>988</v>
      </c>
      <c r="AM555" s="880" t="s">
        <v>986</v>
      </c>
      <c r="AN555" s="880"/>
      <c r="AO555" s="880" t="s">
        <v>2684</v>
      </c>
      <c r="AQ555" s="880" t="s">
        <v>1472</v>
      </c>
      <c r="AR555" s="880" t="s">
        <v>985</v>
      </c>
      <c r="AS555" s="880" t="s">
        <v>987</v>
      </c>
      <c r="AT555" s="880" t="s">
        <v>1367</v>
      </c>
      <c r="AU555" s="880" t="s">
        <v>988</v>
      </c>
      <c r="AV555" s="880" t="s">
        <v>986</v>
      </c>
      <c r="AW555" s="880"/>
      <c r="AX555" s="880" t="s">
        <v>2684</v>
      </c>
      <c r="AZ555" s="880" t="s">
        <v>1472</v>
      </c>
      <c r="BA555" s="880" t="s">
        <v>985</v>
      </c>
      <c r="BB555" s="880" t="s">
        <v>987</v>
      </c>
      <c r="BC555" s="880" t="s">
        <v>1367</v>
      </c>
      <c r="BD555" s="880" t="s">
        <v>988</v>
      </c>
      <c r="BE555" s="880" t="s">
        <v>986</v>
      </c>
      <c r="BF555" s="880"/>
      <c r="BG555" s="880" t="s">
        <v>2684</v>
      </c>
      <c r="BI555" s="880" t="s">
        <v>1472</v>
      </c>
      <c r="BJ555" s="880" t="s">
        <v>985</v>
      </c>
      <c r="BK555" s="880" t="s">
        <v>987</v>
      </c>
      <c r="BL555" s="880" t="s">
        <v>1367</v>
      </c>
      <c r="BM555" s="880" t="s">
        <v>988</v>
      </c>
      <c r="BN555" s="880" t="s">
        <v>986</v>
      </c>
      <c r="BO555" s="880"/>
      <c r="BP555" s="880" t="s">
        <v>2684</v>
      </c>
    </row>
    <row r="556" spans="2:68" ht="13.2" customHeight="1">
      <c r="I556" s="4348"/>
      <c r="J556" s="4348"/>
      <c r="K556" s="4348"/>
      <c r="L556" s="4348"/>
      <c r="M556" s="4348"/>
      <c r="O556" s="136">
        <f>ROW()</f>
        <v>556</v>
      </c>
      <c r="P556" s="298" t="s">
        <v>989</v>
      </c>
      <c r="Q556" s="298" t="s">
        <v>990</v>
      </c>
      <c r="R556" s="298" t="s">
        <v>991</v>
      </c>
      <c r="S556" s="298" t="s">
        <v>992</v>
      </c>
      <c r="T556" s="298" t="s">
        <v>993</v>
      </c>
      <c r="U556" s="298" t="s">
        <v>994</v>
      </c>
      <c r="V556" s="298"/>
      <c r="W556" s="298"/>
      <c r="Y556" s="298" t="s">
        <v>989</v>
      </c>
      <c r="Z556" s="298" t="s">
        <v>990</v>
      </c>
      <c r="AA556" s="298" t="s">
        <v>991</v>
      </c>
      <c r="AB556" s="298" t="s">
        <v>992</v>
      </c>
      <c r="AC556" s="298" t="s">
        <v>993</v>
      </c>
      <c r="AD556" s="298" t="s">
        <v>994</v>
      </c>
      <c r="AE556" s="298"/>
      <c r="AF556" s="298"/>
      <c r="AH556" s="298" t="s">
        <v>989</v>
      </c>
      <c r="AI556" s="298" t="s">
        <v>990</v>
      </c>
      <c r="AJ556" s="298" t="s">
        <v>991</v>
      </c>
      <c r="AK556" s="298" t="s">
        <v>992</v>
      </c>
      <c r="AL556" s="298" t="s">
        <v>993</v>
      </c>
      <c r="AM556" s="298" t="s">
        <v>994</v>
      </c>
      <c r="AN556" s="298"/>
      <c r="AO556" s="298"/>
      <c r="AQ556" s="298" t="s">
        <v>989</v>
      </c>
      <c r="AR556" s="298" t="s">
        <v>990</v>
      </c>
      <c r="AS556" s="298" t="s">
        <v>991</v>
      </c>
      <c r="AT556" s="298" t="s">
        <v>992</v>
      </c>
      <c r="AU556" s="298" t="s">
        <v>993</v>
      </c>
      <c r="AV556" s="298" t="s">
        <v>994</v>
      </c>
      <c r="AW556" s="298"/>
      <c r="AX556" s="298"/>
      <c r="AZ556" s="298" t="s">
        <v>989</v>
      </c>
      <c r="BA556" s="298" t="s">
        <v>990</v>
      </c>
      <c r="BB556" s="298" t="s">
        <v>991</v>
      </c>
      <c r="BC556" s="298" t="s">
        <v>992</v>
      </c>
      <c r="BD556" s="298" t="s">
        <v>993</v>
      </c>
      <c r="BE556" s="298" t="s">
        <v>994</v>
      </c>
      <c r="BF556" s="298"/>
      <c r="BG556" s="298"/>
      <c r="BI556" s="298" t="s">
        <v>989</v>
      </c>
      <c r="BJ556" s="298" t="s">
        <v>990</v>
      </c>
      <c r="BK556" s="298" t="s">
        <v>991</v>
      </c>
      <c r="BL556" s="298" t="s">
        <v>992</v>
      </c>
      <c r="BM556" s="298" t="s">
        <v>993</v>
      </c>
      <c r="BN556" s="298" t="s">
        <v>994</v>
      </c>
      <c r="BO556" s="298"/>
      <c r="BP556" s="298"/>
    </row>
    <row r="557" spans="2:68" ht="13.2" customHeight="1">
      <c r="B557" s="308" t="s">
        <v>112</v>
      </c>
      <c r="O557" s="136">
        <f>ROW()</f>
        <v>557</v>
      </c>
    </row>
    <row r="558" spans="2:68" s="1122" customFormat="1" ht="13.2" customHeight="1">
      <c r="B558" s="1123" t="s">
        <v>2662</v>
      </c>
      <c r="G558" s="1122">
        <f t="shared" ref="G558:L558" ca="1" si="832">P558+Y558+AH558+AQ558+AZ558+BI558</f>
        <v>107971.14890385348</v>
      </c>
      <c r="H558" s="1122">
        <f t="shared" ca="1" si="832"/>
        <v>45791.799936326068</v>
      </c>
      <c r="I558" s="1122">
        <f t="shared" ca="1" si="832"/>
        <v>147858.51534459021</v>
      </c>
      <c r="J558" s="1122">
        <f t="shared" ca="1" si="832"/>
        <v>97265.104602550229</v>
      </c>
      <c r="K558" s="1122">
        <f t="shared" ca="1" si="832"/>
        <v>53732.906498535573</v>
      </c>
      <c r="L558" s="1122">
        <f t="shared" ca="1" si="832"/>
        <v>35998.973160633192</v>
      </c>
      <c r="N558" s="1127">
        <f ca="1">SUM(G558:M558)</f>
        <v>488618.44844648876</v>
      </c>
      <c r="O558" s="136">
        <f>ROW()</f>
        <v>558</v>
      </c>
      <c r="P558" s="1122">
        <f t="shared" ref="P558:U558" ca="1" si="833">P511</f>
        <v>23858.292281003542</v>
      </c>
      <c r="Q558" s="1122">
        <f t="shared" ca="1" si="833"/>
        <v>9194.0337729678795</v>
      </c>
      <c r="R558" s="1122">
        <f t="shared" ca="1" si="833"/>
        <v>24464.11304715705</v>
      </c>
      <c r="S558" s="1122">
        <f t="shared" ca="1" si="833"/>
        <v>9597.6519776659388</v>
      </c>
      <c r="T558" s="1122">
        <f t="shared" ca="1" si="833"/>
        <v>8784.6339393237577</v>
      </c>
      <c r="U558" s="1122">
        <f t="shared" ca="1" si="833"/>
        <v>4720.4443644562652</v>
      </c>
      <c r="W558" s="1122">
        <f ca="1">SUM(P558:V558)</f>
        <v>80619.169382574444</v>
      </c>
      <c r="Y558" s="1122">
        <f t="shared" ref="Y558:AD558" ca="1" si="834">Y511</f>
        <v>35844.939509063057</v>
      </c>
      <c r="Z558" s="1122">
        <f t="shared" ca="1" si="834"/>
        <v>17384.220845660759</v>
      </c>
      <c r="AA558" s="1122">
        <f t="shared" ca="1" si="834"/>
        <v>71244.610683471503</v>
      </c>
      <c r="AB558" s="1122">
        <f t="shared" ca="1" si="834"/>
        <v>55763.239262770432</v>
      </c>
      <c r="AC558" s="1122">
        <f t="shared" ca="1" si="834"/>
        <v>25942.49544487182</v>
      </c>
      <c r="AD558" s="1122">
        <f t="shared" ca="1" si="834"/>
        <v>17370.565900495687</v>
      </c>
      <c r="AF558" s="1122">
        <f ca="1">SUM(Y558:AE558)</f>
        <v>223550.07164633326</v>
      </c>
      <c r="AH558" s="1122">
        <f t="shared" ref="AH558:AM558" ca="1" si="835">AH511</f>
        <v>28032.701920543535</v>
      </c>
      <c r="AI558" s="1122">
        <f t="shared" ca="1" si="835"/>
        <v>10994.30419298742</v>
      </c>
      <c r="AJ558" s="1122">
        <f t="shared" ca="1" si="835"/>
        <v>25966.618812421239</v>
      </c>
      <c r="AK558" s="1122">
        <f t="shared" ca="1" si="835"/>
        <v>15006.188848990649</v>
      </c>
      <c r="AL558" s="1122">
        <f t="shared" ca="1" si="835"/>
        <v>8973.300573499966</v>
      </c>
      <c r="AM558" s="1122">
        <f t="shared" ca="1" si="835"/>
        <v>6156.3460992576574</v>
      </c>
      <c r="AO558" s="1122">
        <f ca="1">SUM(AH558:AN558)</f>
        <v>95129.460447700447</v>
      </c>
      <c r="AQ558" s="10">
        <f t="shared" ref="AQ558:AV558" ca="1" si="836">AQ511</f>
        <v>16063.417052874969</v>
      </c>
      <c r="AR558" s="10">
        <f t="shared" ca="1" si="836"/>
        <v>6580.3039547416147</v>
      </c>
      <c r="AS558" s="10">
        <f t="shared" ca="1" si="836"/>
        <v>21013.495952133315</v>
      </c>
      <c r="AT558" s="10">
        <f t="shared" ca="1" si="836"/>
        <v>13564.375536569334</v>
      </c>
      <c r="AU558" s="10">
        <f t="shared" ca="1" si="836"/>
        <v>8063.8623615436009</v>
      </c>
      <c r="AV558" s="10">
        <f t="shared" ca="1" si="836"/>
        <v>6227.2646854543091</v>
      </c>
      <c r="AW558" s="10"/>
      <c r="AX558" s="10">
        <f ca="1">SUM(AQ558:AW558)</f>
        <v>71512.719543317144</v>
      </c>
      <c r="AZ558" s="1122">
        <f t="shared" ref="AZ558:BE558" ca="1" si="837">AZ511</f>
        <v>2843.96315532055</v>
      </c>
      <c r="BA558" s="1122">
        <f t="shared" ca="1" si="837"/>
        <v>1118.9963567812522</v>
      </c>
      <c r="BB558" s="1122">
        <f t="shared" ca="1" si="837"/>
        <v>3534.9273699763567</v>
      </c>
      <c r="BC558" s="1122">
        <f t="shared" ca="1" si="837"/>
        <v>2280.6504257462857</v>
      </c>
      <c r="BD558" s="1122">
        <f t="shared" ca="1" si="837"/>
        <v>1345.2183888214663</v>
      </c>
      <c r="BE558" s="1122">
        <f t="shared" ca="1" si="837"/>
        <v>1040.8554358877861</v>
      </c>
      <c r="BG558" s="1122">
        <f ca="1">SUM(AZ558:BF558)</f>
        <v>12164.611132533697</v>
      </c>
      <c r="BI558" s="1122">
        <f t="shared" ref="BI558:BN558" ca="1" si="838">BI511</f>
        <v>1327.834985047826</v>
      </c>
      <c r="BJ558" s="1122">
        <f t="shared" ca="1" si="838"/>
        <v>519.94081318714336</v>
      </c>
      <c r="BK558" s="1122">
        <f t="shared" ca="1" si="838"/>
        <v>1634.7494794307433</v>
      </c>
      <c r="BL558" s="1122">
        <f t="shared" ca="1" si="838"/>
        <v>1052.9985508075854</v>
      </c>
      <c r="BM558" s="1122">
        <f t="shared" ca="1" si="838"/>
        <v>623.39579047496284</v>
      </c>
      <c r="BN558" s="1122">
        <f t="shared" ca="1" si="838"/>
        <v>483.49667508147536</v>
      </c>
      <c r="BP558" s="1122">
        <f ca="1">SUM(BI558:BO558)</f>
        <v>5642.4162940297365</v>
      </c>
    </row>
    <row r="559" spans="2:68" ht="13.2" customHeight="1">
      <c r="B559" s="309" t="str">
        <f>CONCATENATE("Above row repeats figures in Row ",O511,".")</f>
        <v>Above row repeats figures in Row 511.</v>
      </c>
      <c r="G559" s="309"/>
      <c r="O559" s="136">
        <f>ROW()</f>
        <v>559</v>
      </c>
      <c r="AQ559" s="265" t="str">
        <f>CONCATENATE("Row ",O560, " figures are set equal to ",O558, " figures, since rebound effects are presumed accounted for by taxi time-elasticity.")</f>
        <v>Row 560 figures are set equal to 558 figures, since rebound effects are presumed accounted for by taxi time-elasticity.</v>
      </c>
    </row>
    <row r="560" spans="2:68" s="1122" customFormat="1" ht="13.2" customHeight="1">
      <c r="B560" s="1123" t="s">
        <v>1300</v>
      </c>
      <c r="G560" s="1122">
        <f t="shared" ref="G560:L561" ca="1" si="839">P560+Y560+AH560+AQ560+AZ560+BI560</f>
        <v>109778.01873830853</v>
      </c>
      <c r="H560" s="1122">
        <f t="shared" ca="1" si="839"/>
        <v>47155.946758940692</v>
      </c>
      <c r="I560" s="1122">
        <f t="shared" ca="1" si="839"/>
        <v>155030.66049067045</v>
      </c>
      <c r="J560" s="1122">
        <f t="shared" ca="1" si="839"/>
        <v>102675.28738099633</v>
      </c>
      <c r="K560" s="1122">
        <f t="shared" ca="1" si="839"/>
        <v>55980.033713266785</v>
      </c>
      <c r="L560" s="1122">
        <f t="shared" ca="1" si="839"/>
        <v>37098.607049703467</v>
      </c>
      <c r="N560" s="1124">
        <f ca="1">SUM(G560:M560)</f>
        <v>507718.55413188622</v>
      </c>
      <c r="O560" s="136">
        <f>ROW()</f>
        <v>560</v>
      </c>
      <c r="P560" s="1122">
        <f t="shared" ref="P560:U560" ca="1" si="840">P558*P549</f>
        <v>24565.739917163213</v>
      </c>
      <c r="Q560" s="1122">
        <f t="shared" ca="1" si="840"/>
        <v>9544.1340013625504</v>
      </c>
      <c r="R560" s="1122">
        <f t="shared" ca="1" si="840"/>
        <v>25833.566258986728</v>
      </c>
      <c r="S560" s="1122">
        <f t="shared" ca="1" si="840"/>
        <v>10207.612241556089</v>
      </c>
      <c r="T560" s="1122">
        <f t="shared" ca="1" si="840"/>
        <v>9220.1216207357447</v>
      </c>
      <c r="U560" s="1122">
        <f t="shared" ca="1" si="840"/>
        <v>4907.0990635249591</v>
      </c>
      <c r="W560" s="1122">
        <f ca="1">SUM(P560:V560)</f>
        <v>84278.273103329295</v>
      </c>
      <c r="Y560" s="1122">
        <f t="shared" ref="Y560:AD560" ca="1" si="841">Y558*Y549</f>
        <v>36907.815989294795</v>
      </c>
      <c r="Z560" s="1122">
        <f t="shared" ca="1" si="841"/>
        <v>18046.195756654</v>
      </c>
      <c r="AA560" s="1122">
        <f t="shared" ca="1" si="841"/>
        <v>75232.74467949933</v>
      </c>
      <c r="AB560" s="1122">
        <f t="shared" ca="1" si="841"/>
        <v>59307.164403548551</v>
      </c>
      <c r="AC560" s="1122">
        <f t="shared" ca="1" si="841"/>
        <v>27228.563512063014</v>
      </c>
      <c r="AD560" s="1122">
        <f t="shared" ca="1" si="841"/>
        <v>18057.428725365229</v>
      </c>
      <c r="AF560" s="1122">
        <f ca="1">SUM(Y560:AE560)</f>
        <v>234779.91306642492</v>
      </c>
      <c r="AH560" s="1122">
        <f t="shared" ref="AH560:AM560" ca="1" si="842">AH558*AH549</f>
        <v>28009.130740537297</v>
      </c>
      <c r="AI560" s="1122">
        <f t="shared" ca="1" si="842"/>
        <v>11318.362902459705</v>
      </c>
      <c r="AJ560" s="1122">
        <f t="shared" ca="1" si="842"/>
        <v>27661.344210195479</v>
      </c>
      <c r="AK560" s="1122">
        <f t="shared" ca="1" si="842"/>
        <v>16176.358148017558</v>
      </c>
      <c r="AL560" s="1122">
        <f t="shared" ca="1" si="842"/>
        <v>9457.8604863066485</v>
      </c>
      <c r="AM560" s="1122">
        <f t="shared" ca="1" si="842"/>
        <v>6355.7487740016822</v>
      </c>
      <c r="AO560" s="1132">
        <f ca="1">SUM(AH560:AN560)</f>
        <v>98978.80526151837</v>
      </c>
      <c r="AQ560" s="10">
        <f t="shared" ref="AQ560:AV560" ca="1" si="843">AQ558</f>
        <v>16063.417052874969</v>
      </c>
      <c r="AR560" s="10">
        <f t="shared" ca="1" si="843"/>
        <v>6580.3039547416147</v>
      </c>
      <c r="AS560" s="10">
        <f t="shared" ca="1" si="843"/>
        <v>21013.495952133315</v>
      </c>
      <c r="AT560" s="10">
        <f t="shared" ca="1" si="843"/>
        <v>13564.375536569334</v>
      </c>
      <c r="AU560" s="10">
        <f t="shared" ca="1" si="843"/>
        <v>8063.8623615436009</v>
      </c>
      <c r="AV560" s="10">
        <f t="shared" ca="1" si="843"/>
        <v>6227.2646854543091</v>
      </c>
      <c r="AW560" s="10"/>
      <c r="AX560" s="10">
        <f ca="1">SUM(AQ560:AW560)</f>
        <v>71512.719543317144</v>
      </c>
      <c r="AZ560" s="1122">
        <f t="shared" ref="AZ560:BE560" ca="1" si="844">AZ558*AZ549</f>
        <v>2879.0875071054438</v>
      </c>
      <c r="BA560" s="1122">
        <f t="shared" ca="1" si="844"/>
        <v>1135.2581435695379</v>
      </c>
      <c r="BB560" s="1122">
        <f t="shared" ca="1" si="844"/>
        <v>3604.0002509759515</v>
      </c>
      <c r="BC560" s="1122">
        <f t="shared" ca="1" si="844"/>
        <v>2330.2736091629763</v>
      </c>
      <c r="BD560" s="1122">
        <f t="shared" ca="1" si="844"/>
        <v>1368.7970563866575</v>
      </c>
      <c r="BE560" s="1122">
        <f t="shared" ca="1" si="844"/>
        <v>1056.3167112860147</v>
      </c>
      <c r="BG560" s="1122">
        <f ca="1">SUM(AZ560:BF560)</f>
        <v>12373.733278486579</v>
      </c>
      <c r="BI560" s="1122">
        <f t="shared" ref="BI560:BN560" ca="1" si="845">BI558*BI549</f>
        <v>1352.8275313328027</v>
      </c>
      <c r="BJ560" s="1122">
        <f t="shared" ca="1" si="845"/>
        <v>531.69200015328829</v>
      </c>
      <c r="BK560" s="1122">
        <f t="shared" ca="1" si="845"/>
        <v>1685.5091388796311</v>
      </c>
      <c r="BL560" s="1122">
        <f t="shared" ca="1" si="845"/>
        <v>1089.5034421418177</v>
      </c>
      <c r="BM560" s="1122">
        <f t="shared" ca="1" si="845"/>
        <v>640.8286762311169</v>
      </c>
      <c r="BN560" s="1122">
        <f t="shared" ca="1" si="845"/>
        <v>494.74909007126843</v>
      </c>
      <c r="BP560" s="1122">
        <f ca="1">SUM(BI560:BO560)</f>
        <v>5795.1098788099252</v>
      </c>
    </row>
    <row r="561" spans="2:68" s="1122" customFormat="1" ht="13.2" customHeight="1">
      <c r="B561" s="1123" t="s">
        <v>112</v>
      </c>
      <c r="G561" s="1122">
        <f t="shared" ca="1" si="839"/>
        <v>174892.8685861711</v>
      </c>
      <c r="H561" s="1122">
        <f t="shared" ca="1" si="839"/>
        <v>74860.969040966811</v>
      </c>
      <c r="I561" s="1122">
        <f t="shared" ca="1" si="839"/>
        <v>246535.35923695652</v>
      </c>
      <c r="J561" s="1122">
        <f t="shared" ca="1" si="839"/>
        <v>163217.6451597928</v>
      </c>
      <c r="K561" s="1122">
        <f t="shared" ca="1" si="839"/>
        <v>89429.805624736866</v>
      </c>
      <c r="L561" s="1122">
        <f t="shared" ca="1" si="839"/>
        <v>59957.817651846839</v>
      </c>
      <c r="N561" s="1127">
        <f ca="1">SUM(G561:M561)</f>
        <v>808894.46530047082</v>
      </c>
      <c r="O561" s="136">
        <f>ROW()</f>
        <v>561</v>
      </c>
      <c r="P561" s="1122">
        <f t="shared" ref="P561:U561" ca="1" si="846">P560*$I$85</f>
        <v>36848.60987574482</v>
      </c>
      <c r="Q561" s="1122">
        <f t="shared" ca="1" si="846"/>
        <v>14316.201002043825</v>
      </c>
      <c r="R561" s="1122">
        <f t="shared" ca="1" si="846"/>
        <v>38750.349388480092</v>
      </c>
      <c r="S561" s="1122">
        <f t="shared" ca="1" si="846"/>
        <v>15311.418362334134</v>
      </c>
      <c r="T561" s="1122">
        <f t="shared" ca="1" si="846"/>
        <v>13830.182431103618</v>
      </c>
      <c r="U561" s="1122">
        <f t="shared" ca="1" si="846"/>
        <v>7360.6485952874391</v>
      </c>
      <c r="W561" s="1122">
        <f ca="1">SUM(P561:V561)</f>
        <v>126417.40965499393</v>
      </c>
      <c r="Y561" s="1122">
        <f t="shared" ref="Y561:AD561" ca="1" si="847">Y560*$J$85</f>
        <v>55361.723983942196</v>
      </c>
      <c r="Z561" s="1122">
        <f t="shared" ca="1" si="847"/>
        <v>27069.293634981001</v>
      </c>
      <c r="AA561" s="1122">
        <f t="shared" ca="1" si="847"/>
        <v>112849.117019249</v>
      </c>
      <c r="AB561" s="1122">
        <f t="shared" ca="1" si="847"/>
        <v>88960.746605322827</v>
      </c>
      <c r="AC561" s="1122">
        <f t="shared" ca="1" si="847"/>
        <v>40842.845268094519</v>
      </c>
      <c r="AD561" s="1122">
        <f t="shared" ca="1" si="847"/>
        <v>27086.143088047844</v>
      </c>
      <c r="AF561" s="1122">
        <f ca="1">SUM(Y561:AE561)</f>
        <v>352169.8695996374</v>
      </c>
      <c r="AH561" s="1122">
        <f t="shared" ref="AH561:AM561" ca="1" si="848">AH560*$K$85</f>
        <v>39212.783036752218</v>
      </c>
      <c r="AI561" s="1122">
        <f t="shared" ca="1" si="848"/>
        <v>15845.708063443588</v>
      </c>
      <c r="AJ561" s="1122">
        <f t="shared" ca="1" si="848"/>
        <v>38725.881894273676</v>
      </c>
      <c r="AK561" s="1122">
        <f t="shared" ca="1" si="848"/>
        <v>22646.901407224585</v>
      </c>
      <c r="AL561" s="1122">
        <f t="shared" ca="1" si="848"/>
        <v>13241.004680829308</v>
      </c>
      <c r="AM561" s="1122">
        <f t="shared" ca="1" si="848"/>
        <v>8898.0482836023566</v>
      </c>
      <c r="AO561" s="1122">
        <f ca="1">SUM(AH561:AN561)</f>
        <v>138570.32736612574</v>
      </c>
      <c r="AQ561" s="10">
        <f ca="1">AQ560*$L$85</f>
        <v>32126.834105749938</v>
      </c>
      <c r="AR561" s="10">
        <f t="shared" ref="AR561" ca="1" si="849">AR560*$L$85</f>
        <v>13160.607909483229</v>
      </c>
      <c r="AS561" s="10">
        <f t="shared" ref="AS561" ca="1" si="850">AS560*$L$85</f>
        <v>42026.99190426663</v>
      </c>
      <c r="AT561" s="10">
        <f t="shared" ref="AT561" ca="1" si="851">AT560*$L$85</f>
        <v>27128.751073138668</v>
      </c>
      <c r="AU561" s="10">
        <f t="shared" ref="AU561" ca="1" si="852">AU560*$L$85</f>
        <v>16127.724723087202</v>
      </c>
      <c r="AV561" s="10">
        <f t="shared" ref="AV561" ca="1" si="853">AV560*$L$85</f>
        <v>12454.529370908618</v>
      </c>
      <c r="AW561" s="10"/>
      <c r="AX561" s="10">
        <f ca="1">SUM(AQ561:AW561)</f>
        <v>143025.43908663429</v>
      </c>
      <c r="AZ561" s="1122">
        <f t="shared" ref="AZ561:BE561" ca="1" si="854">AZ560*$M$85</f>
        <v>8637.2625213163319</v>
      </c>
      <c r="BA561" s="1122">
        <f t="shared" ca="1" si="854"/>
        <v>3405.7744307086136</v>
      </c>
      <c r="BB561" s="1122">
        <f t="shared" ca="1" si="854"/>
        <v>10812.000752927856</v>
      </c>
      <c r="BC561" s="1122">
        <f t="shared" ca="1" si="854"/>
        <v>6990.8208274889294</v>
      </c>
      <c r="BD561" s="1122">
        <f t="shared" ca="1" si="854"/>
        <v>4106.3911691599724</v>
      </c>
      <c r="BE561" s="1122">
        <f t="shared" ca="1" si="854"/>
        <v>3168.950133858044</v>
      </c>
      <c r="BG561" s="1122">
        <f ca="1">SUM(AZ561:BF561)</f>
        <v>37121.199835459753</v>
      </c>
      <c r="BI561" s="1122">
        <f t="shared" ref="BI561:BN561" ca="1" si="855">BI560*$N$85</f>
        <v>2705.6550626656053</v>
      </c>
      <c r="BJ561" s="1122">
        <f t="shared" ca="1" si="855"/>
        <v>1063.3840003065766</v>
      </c>
      <c r="BK561" s="1122">
        <f t="shared" ca="1" si="855"/>
        <v>3371.0182777592622</v>
      </c>
      <c r="BL561" s="1122">
        <f t="shared" ca="1" si="855"/>
        <v>2179.0068842836354</v>
      </c>
      <c r="BM561" s="1122">
        <f t="shared" ca="1" si="855"/>
        <v>1281.6573524622338</v>
      </c>
      <c r="BN561" s="1122">
        <f t="shared" ca="1" si="855"/>
        <v>989.49818014253685</v>
      </c>
      <c r="BP561" s="1122">
        <f ca="1">SUM(BI561:BO561)</f>
        <v>11590.21975761985</v>
      </c>
    </row>
    <row r="562" spans="2:68" ht="13.2" customHeight="1">
      <c r="G562" s="10"/>
      <c r="H562" s="10"/>
      <c r="I562" s="10"/>
      <c r="J562" s="10"/>
      <c r="K562" s="10"/>
      <c r="L562" s="10"/>
      <c r="M562" s="10"/>
      <c r="N562" s="186"/>
      <c r="O562" s="136">
        <f>ROW()</f>
        <v>562</v>
      </c>
    </row>
    <row r="563" spans="2:68" ht="13.2" customHeight="1">
      <c r="B563" s="308" t="s">
        <v>1010</v>
      </c>
      <c r="G563" s="10"/>
      <c r="H563" s="10"/>
      <c r="I563" s="10"/>
      <c r="J563" s="10"/>
      <c r="K563" s="10"/>
      <c r="L563" s="10"/>
      <c r="M563" s="10"/>
      <c r="N563" s="186"/>
      <c r="O563" s="136">
        <f>ROW()</f>
        <v>563</v>
      </c>
      <c r="P563" s="10"/>
      <c r="Q563" s="10"/>
      <c r="R563" s="10"/>
      <c r="S563" s="10"/>
      <c r="T563" s="10"/>
      <c r="U563" s="10"/>
      <c r="V563" s="10"/>
      <c r="W563" s="10"/>
      <c r="Y563" s="10"/>
      <c r="Z563" s="10"/>
      <c r="AA563" s="10"/>
      <c r="AB563" s="10"/>
      <c r="AC563" s="10"/>
      <c r="AD563" s="10"/>
      <c r="AE563" s="10"/>
      <c r="AF563" s="10"/>
      <c r="AH563" s="10"/>
      <c r="AI563" s="10"/>
      <c r="AJ563" s="10"/>
      <c r="AK563" s="10"/>
      <c r="AL563" s="10"/>
      <c r="AM563" s="10"/>
      <c r="AN563" s="10"/>
      <c r="AO563" s="10"/>
      <c r="AQ563" s="10"/>
      <c r="AR563" s="10"/>
      <c r="AS563" s="10"/>
      <c r="AT563" s="10"/>
      <c r="AU563" s="10"/>
      <c r="AV563" s="10"/>
      <c r="AW563" s="10"/>
      <c r="AX563" s="10"/>
      <c r="AZ563" s="10"/>
      <c r="BA563" s="10"/>
      <c r="BB563" s="10"/>
      <c r="BC563" s="10"/>
      <c r="BD563" s="10"/>
      <c r="BE563" s="10"/>
      <c r="BF563" s="10"/>
      <c r="BG563" s="10"/>
      <c r="BI563" s="10"/>
      <c r="BJ563" s="10"/>
      <c r="BK563" s="10"/>
      <c r="BL563" s="10"/>
      <c r="BM563" s="10"/>
      <c r="BN563" s="10"/>
      <c r="BO563" s="10"/>
      <c r="BP563" s="10"/>
    </row>
    <row r="564" spans="2:68" s="1122" customFormat="1" ht="13.2" customHeight="1">
      <c r="B564" s="1123" t="s">
        <v>1301</v>
      </c>
      <c r="G564" s="1122">
        <f t="shared" ref="G564:L564" ca="1" si="856">P564+Y564+AH564+AQ564+AZ564+BI564</f>
        <v>142758.6059697145</v>
      </c>
      <c r="H564" s="1122">
        <f t="shared" ca="1" si="856"/>
        <v>43207.285269410379</v>
      </c>
      <c r="I564" s="1122">
        <f t="shared" ca="1" si="856"/>
        <v>128896.63626088911</v>
      </c>
      <c r="J564" s="1122">
        <f t="shared" ca="1" si="856"/>
        <v>82012.136651595531</v>
      </c>
      <c r="K564" s="1122">
        <f t="shared" ca="1" si="856"/>
        <v>46626.514001874406</v>
      </c>
      <c r="L564" s="1122">
        <f t="shared" ca="1" si="856"/>
        <v>45117.270293004811</v>
      </c>
      <c r="N564" s="1127">
        <f ca="1">SUM(G564:M564)</f>
        <v>488618.44844648876</v>
      </c>
      <c r="O564" s="136">
        <f>ROW()</f>
        <v>564</v>
      </c>
      <c r="P564" s="1122">
        <f t="shared" ref="P564:W564" ca="1" si="857">P$135*$W558</f>
        <v>24487.941995193938</v>
      </c>
      <c r="Q564" s="1122">
        <f t="shared" ca="1" si="857"/>
        <v>7079.3484864005623</v>
      </c>
      <c r="R564" s="1122">
        <f t="shared" ca="1" si="857"/>
        <v>20851.905306950812</v>
      </c>
      <c r="S564" s="1122">
        <f t="shared" ca="1" si="857"/>
        <v>13229.743119810531</v>
      </c>
      <c r="T564" s="1122">
        <f t="shared" ca="1" si="857"/>
        <v>7453.479367469321</v>
      </c>
      <c r="U564" s="1122">
        <f t="shared" ca="1" si="857"/>
        <v>7516.7511067492887</v>
      </c>
      <c r="W564" s="1122">
        <f t="shared" ca="1" si="857"/>
        <v>80619.169382574444</v>
      </c>
      <c r="Y564" s="1122">
        <f t="shared" ref="Y564:AD564" ca="1" si="858">Y$135*$AF558</f>
        <v>67902.97182942825</v>
      </c>
      <c r="Z564" s="1122">
        <f t="shared" ca="1" si="858"/>
        <v>19630.428761106505</v>
      </c>
      <c r="AA564" s="1122">
        <f t="shared" ca="1" si="858"/>
        <v>57820.552618332542</v>
      </c>
      <c r="AB564" s="1122">
        <f t="shared" ca="1" si="858"/>
        <v>36684.947822539631</v>
      </c>
      <c r="AC564" s="1122">
        <f t="shared" ca="1" si="858"/>
        <v>20667.861742723217</v>
      </c>
      <c r="AD564" s="1122">
        <f t="shared" ca="1" si="858"/>
        <v>20843.308872203099</v>
      </c>
      <c r="AF564" s="1122">
        <f ca="1">SUM(Y564:AE564)</f>
        <v>223550.07164633324</v>
      </c>
      <c r="AH564" s="10">
        <f t="shared" ref="AH564:AM564" ca="1" si="859">AH$135*$AO558</f>
        <v>28895.419381248343</v>
      </c>
      <c r="AI564" s="10">
        <f t="shared" ca="1" si="859"/>
        <v>8353.529402376791</v>
      </c>
      <c r="AJ564" s="10">
        <f t="shared" ca="1" si="859"/>
        <v>24604.948380744878</v>
      </c>
      <c r="AK564" s="10">
        <f t="shared" ca="1" si="859"/>
        <v>15610.906617964756</v>
      </c>
      <c r="AL564" s="10">
        <f t="shared" ca="1" si="859"/>
        <v>8794.9984614785899</v>
      </c>
      <c r="AM564" s="10">
        <f t="shared" ca="1" si="859"/>
        <v>8869.6582038870984</v>
      </c>
      <c r="AO564" s="1122">
        <f ca="1">SUM(AH564:AN564)</f>
        <v>95129.460447700461</v>
      </c>
      <c r="AQ564" s="10">
        <f t="shared" ref="AQ564:AV564" ca="1" si="860">AQ558</f>
        <v>16063.417052874969</v>
      </c>
      <c r="AR564" s="10">
        <f t="shared" ca="1" si="860"/>
        <v>6580.3039547416147</v>
      </c>
      <c r="AS564" s="10">
        <f t="shared" ca="1" si="860"/>
        <v>21013.495952133315</v>
      </c>
      <c r="AT564" s="10">
        <f t="shared" ca="1" si="860"/>
        <v>13564.375536569334</v>
      </c>
      <c r="AU564" s="10">
        <f t="shared" ca="1" si="860"/>
        <v>8063.8623615436009</v>
      </c>
      <c r="AV564" s="10">
        <f t="shared" ca="1" si="860"/>
        <v>6227.2646854543091</v>
      </c>
      <c r="AW564" s="10"/>
      <c r="AX564" s="10">
        <f ca="1">SUM(AQ564:AW564)</f>
        <v>71512.719543317144</v>
      </c>
      <c r="AZ564" s="1122">
        <f t="shared" ref="AZ564:BE564" ca="1" si="861">AZ$135*$BG558</f>
        <v>3694.9809094902766</v>
      </c>
      <c r="BA564" s="1122">
        <f t="shared" ca="1" si="861"/>
        <v>1068.2015464595925</v>
      </c>
      <c r="BB564" s="1122">
        <f t="shared" ca="1" si="861"/>
        <v>3146.3400252582978</v>
      </c>
      <c r="BC564" s="1122">
        <f t="shared" ca="1" si="861"/>
        <v>1996.2334227496235</v>
      </c>
      <c r="BD564" s="1122">
        <f t="shared" ca="1" si="861"/>
        <v>1124.654083935839</v>
      </c>
      <c r="BE564" s="1122">
        <f t="shared" ca="1" si="861"/>
        <v>1134.201144640067</v>
      </c>
      <c r="BG564" s="1122">
        <f ca="1">SUM(AZ564:BF564)</f>
        <v>12164.611132533695</v>
      </c>
      <c r="BI564" s="1122">
        <f t="shared" ref="BI564:BO564" ca="1" si="862">BI$135*$BP558</f>
        <v>1713.8748014786981</v>
      </c>
      <c r="BJ564" s="1122">
        <f t="shared" ca="1" si="862"/>
        <v>495.47311832531943</v>
      </c>
      <c r="BK564" s="1122">
        <f t="shared" ca="1" si="862"/>
        <v>1459.3939774692735</v>
      </c>
      <c r="BL564" s="1122">
        <f t="shared" ca="1" si="862"/>
        <v>925.93013196166191</v>
      </c>
      <c r="BM564" s="1122">
        <f t="shared" ca="1" si="862"/>
        <v>521.65798472383574</v>
      </c>
      <c r="BN564" s="1122">
        <f t="shared" ca="1" si="862"/>
        <v>526.08628007094774</v>
      </c>
      <c r="BO564" s="1122">
        <f t="shared" ca="1" si="862"/>
        <v>0</v>
      </c>
      <c r="BP564" s="1122">
        <f ca="1">SUM(BI564:BO564)</f>
        <v>5642.4162940297356</v>
      </c>
    </row>
    <row r="565" spans="2:68" ht="13.2" customHeight="1">
      <c r="B565" s="309"/>
      <c r="O565" s="136">
        <f>ROW()</f>
        <v>565</v>
      </c>
    </row>
    <row r="566" spans="2:68" ht="13.2" customHeight="1">
      <c r="B566" s="280" t="s">
        <v>1047</v>
      </c>
      <c r="G566" s="10"/>
      <c r="H566" s="10"/>
      <c r="I566" s="10"/>
      <c r="J566" s="10"/>
      <c r="K566" s="10"/>
      <c r="L566" s="10"/>
      <c r="M566" s="10"/>
      <c r="N566" s="186"/>
      <c r="O566" s="136">
        <f>ROW()</f>
        <v>566</v>
      </c>
      <c r="P566" s="10">
        <f t="shared" ref="P566:U566" ca="1" si="863">P564*$W560/$W558</f>
        <v>25599.388818008894</v>
      </c>
      <c r="Q566" s="10">
        <f t="shared" ca="1" si="863"/>
        <v>7400.6625186027795</v>
      </c>
      <c r="R566" s="10">
        <f t="shared" ca="1" si="863"/>
        <v>21798.321461791315</v>
      </c>
      <c r="S566" s="10">
        <f t="shared" ca="1" si="863"/>
        <v>13830.2082777261</v>
      </c>
      <c r="T566" s="10">
        <f t="shared" ca="1" si="863"/>
        <v>7791.7742704675584</v>
      </c>
      <c r="U566" s="10">
        <f t="shared" ca="1" si="863"/>
        <v>7857.9177567326542</v>
      </c>
      <c r="V566" s="10"/>
      <c r="W566" s="10">
        <f ca="1">SUM(P566:V566)</f>
        <v>84278.273103329295</v>
      </c>
      <c r="Y566" s="10">
        <f t="shared" ref="Y566:AD566" ca="1" si="864">Y564*$AF560/$AF558</f>
        <v>71314.017954270486</v>
      </c>
      <c r="Z566" s="10">
        <f t="shared" ca="1" si="864"/>
        <v>20616.54610104809</v>
      </c>
      <c r="AA566" s="10">
        <f t="shared" ca="1" si="864"/>
        <v>60725.117273329335</v>
      </c>
      <c r="AB566" s="10">
        <f t="shared" ca="1" si="864"/>
        <v>38527.783942061018</v>
      </c>
      <c r="AC566" s="10">
        <f t="shared" ca="1" si="864"/>
        <v>21706.09361692431</v>
      </c>
      <c r="AD566" s="10">
        <f t="shared" ca="1" si="864"/>
        <v>21890.354178791662</v>
      </c>
      <c r="AE566" s="10"/>
      <c r="AF566" s="10">
        <f ca="1">SUM(Y566:AE566)</f>
        <v>234779.9130664249</v>
      </c>
      <c r="AH566" s="10">
        <f t="shared" ref="AH566:AM566" ca="1" si="865">AH564*$AO560/$AO558</f>
        <v>30064.651627650626</v>
      </c>
      <c r="AI566" s="10">
        <f t="shared" ca="1" si="865"/>
        <v>8691.5489278821715</v>
      </c>
      <c r="AJ566" s="10">
        <f t="shared" ca="1" si="865"/>
        <v>25600.569821231744</v>
      </c>
      <c r="AK566" s="10">
        <f t="shared" ca="1" si="865"/>
        <v>16242.59066353858</v>
      </c>
      <c r="AL566" s="10">
        <f t="shared" ca="1" si="865"/>
        <v>9150.8817131642409</v>
      </c>
      <c r="AM566" s="10">
        <f t="shared" ca="1" si="865"/>
        <v>9228.5625080510108</v>
      </c>
      <c r="AN566" s="10"/>
      <c r="AO566" s="10">
        <f ca="1">SUM(AH566:AN566)</f>
        <v>98978.80526151837</v>
      </c>
      <c r="AQ566" s="10">
        <f t="shared" ref="AQ566:AV566" ca="1" si="866">AQ564*$AX560/$AX558</f>
        <v>16063.417052874971</v>
      </c>
      <c r="AR566" s="10">
        <f t="shared" ca="1" si="866"/>
        <v>6580.3039547416147</v>
      </c>
      <c r="AS566" s="10">
        <f t="shared" ca="1" si="866"/>
        <v>21013.495952133315</v>
      </c>
      <c r="AT566" s="10">
        <f t="shared" ca="1" si="866"/>
        <v>13564.375536569334</v>
      </c>
      <c r="AU566" s="10">
        <f t="shared" ca="1" si="866"/>
        <v>8063.8623615436018</v>
      </c>
      <c r="AV566" s="10">
        <f t="shared" ca="1" si="866"/>
        <v>6227.2646854543091</v>
      </c>
      <c r="AW566" s="10"/>
      <c r="AX566" s="10">
        <f ca="1">SUM(AQ566:AW566)</f>
        <v>71512.719543317144</v>
      </c>
      <c r="AZ566" s="10">
        <f t="shared" ref="AZ566:BE566" ca="1" si="867">AZ564*$BG560/$BG558</f>
        <v>3758.5014222817608</v>
      </c>
      <c r="BA566" s="10">
        <f t="shared" ca="1" si="867"/>
        <v>1086.5650269911143</v>
      </c>
      <c r="BB566" s="10">
        <f t="shared" ca="1" si="867"/>
        <v>3200.4288383581061</v>
      </c>
      <c r="BC566" s="10">
        <f t="shared" ca="1" si="867"/>
        <v>2030.5507233719015</v>
      </c>
      <c r="BD566" s="10">
        <f t="shared" ca="1" si="867"/>
        <v>1143.9880415054593</v>
      </c>
      <c r="BE566" s="10">
        <f t="shared" ca="1" si="867"/>
        <v>1153.6992259782367</v>
      </c>
      <c r="BF566" s="10"/>
      <c r="BG566" s="10">
        <f ca="1">SUM(AZ566:BF566)</f>
        <v>12373.733278486579</v>
      </c>
      <c r="BI566" s="10">
        <f t="shared" ref="BI566:BO566" ca="1" si="868">BI564*$BP560/$BP558</f>
        <v>1760.2552302994359</v>
      </c>
      <c r="BJ566" s="10">
        <f t="shared" ca="1" si="868"/>
        <v>508.88148145502385</v>
      </c>
      <c r="BK566" s="10">
        <f t="shared" ca="1" si="868"/>
        <v>1498.8877132048287</v>
      </c>
      <c r="BL566" s="10">
        <f t="shared" ca="1" si="868"/>
        <v>950.98740950688989</v>
      </c>
      <c r="BM566" s="10">
        <f t="shared" ca="1" si="868"/>
        <v>535.77495581669427</v>
      </c>
      <c r="BN566" s="10">
        <f t="shared" ca="1" si="868"/>
        <v>540.32308852705273</v>
      </c>
      <c r="BO566" s="10">
        <f t="shared" ca="1" si="868"/>
        <v>0</v>
      </c>
      <c r="BP566" s="10">
        <f ca="1">SUM(BI566:BO566)</f>
        <v>5795.1098788099262</v>
      </c>
    </row>
    <row r="567" spans="2:68" ht="13.2" customHeight="1">
      <c r="B567" s="309"/>
      <c r="C567" s="309"/>
      <c r="D567" s="309"/>
      <c r="E567" s="309"/>
      <c r="F567" s="309"/>
      <c r="G567" s="10"/>
      <c r="H567" s="10"/>
      <c r="I567" s="10"/>
      <c r="J567" s="10"/>
      <c r="K567" s="10"/>
      <c r="L567" s="10"/>
      <c r="M567" s="10"/>
      <c r="N567" s="186"/>
      <c r="O567" s="136">
        <f>ROW()</f>
        <v>567</v>
      </c>
      <c r="P567" s="10"/>
      <c r="Q567" s="10"/>
      <c r="R567" s="10"/>
      <c r="S567" s="10"/>
      <c r="T567" s="10"/>
      <c r="U567" s="10"/>
      <c r="V567" s="10"/>
      <c r="W567" s="10"/>
      <c r="Y567" s="10"/>
      <c r="Z567" s="10"/>
      <c r="AA567" s="10"/>
      <c r="AB567" s="10"/>
      <c r="AC567" s="10"/>
      <c r="AD567" s="10"/>
      <c r="AE567" s="10"/>
      <c r="AF567" s="10"/>
      <c r="AH567" s="10"/>
      <c r="AI567" s="10"/>
      <c r="AJ567" s="10"/>
      <c r="AK567" s="10"/>
      <c r="AL567" s="10"/>
      <c r="AM567" s="10"/>
      <c r="AN567" s="10"/>
      <c r="AO567" s="10"/>
      <c r="AQ567" s="10"/>
      <c r="AR567" s="10"/>
      <c r="AS567" s="10"/>
      <c r="AT567" s="10"/>
      <c r="AU567" s="10"/>
      <c r="AV567" s="10"/>
      <c r="AW567" s="10"/>
      <c r="AX567" s="10"/>
      <c r="AZ567" s="10"/>
      <c r="BA567" s="10"/>
      <c r="BB567" s="10"/>
      <c r="BC567" s="10"/>
      <c r="BD567" s="10"/>
      <c r="BE567" s="10"/>
      <c r="BF567" s="10"/>
      <c r="BG567" s="10"/>
      <c r="BI567" s="10"/>
      <c r="BJ567" s="10"/>
      <c r="BK567" s="10"/>
      <c r="BL567" s="10"/>
      <c r="BM567" s="10"/>
      <c r="BN567" s="10"/>
      <c r="BO567" s="10"/>
      <c r="BP567" s="10"/>
    </row>
    <row r="568" spans="2:68" s="1122" customFormat="1" ht="13.2" customHeight="1">
      <c r="B568" s="1123" t="s">
        <v>1010</v>
      </c>
      <c r="G568" s="1122">
        <f t="shared" ref="G568:L568" ca="1" si="869">P568+Y568+AH568+AQ568+AZ568+BI568</f>
        <v>226351.76274388656</v>
      </c>
      <c r="H568" s="1122">
        <f t="shared" ca="1" si="869"/>
        <v>68341.895404507144</v>
      </c>
      <c r="I568" s="1122">
        <f t="shared" ca="1" si="869"/>
        <v>203745.26172208934</v>
      </c>
      <c r="J568" s="1122">
        <f t="shared" ca="1" si="869"/>
        <v>129616.80555261819</v>
      </c>
      <c r="K568" s="1122">
        <f t="shared" ca="1" si="869"/>
        <v>73657.343807982921</v>
      </c>
      <c r="L568" s="1122">
        <f t="shared" ca="1" si="869"/>
        <v>71425.036297728177</v>
      </c>
      <c r="N568" s="1127">
        <f ca="1">SUM(G568:M568)</f>
        <v>773138.10552881251</v>
      </c>
      <c r="O568" s="136">
        <f>ROW()</f>
        <v>568</v>
      </c>
      <c r="P568" s="1122">
        <f t="shared" ref="P568:U568" ca="1" si="870">P566*$I$85</f>
        <v>38399.08322701334</v>
      </c>
      <c r="Q568" s="1122">
        <f t="shared" ca="1" si="870"/>
        <v>11100.993777904168</v>
      </c>
      <c r="R568" s="1122">
        <f t="shared" ca="1" si="870"/>
        <v>32697.48219268697</v>
      </c>
      <c r="S568" s="1122">
        <f t="shared" ca="1" si="870"/>
        <v>20745.31241658915</v>
      </c>
      <c r="T568" s="1122">
        <f t="shared" ca="1" si="870"/>
        <v>11687.661405701338</v>
      </c>
      <c r="U568" s="1122">
        <f t="shared" ca="1" si="870"/>
        <v>11786.876635098981</v>
      </c>
      <c r="W568" s="1122">
        <f ca="1">SUM(P568:V568)</f>
        <v>126417.40965499394</v>
      </c>
      <c r="Y568" s="1122">
        <f t="shared" ref="Y568:AD568" ca="1" si="871">Y566*$J$85</f>
        <v>106971.02693140574</v>
      </c>
      <c r="Z568" s="1122">
        <f t="shared" ca="1" si="871"/>
        <v>30924.819151572134</v>
      </c>
      <c r="AA568" s="1122">
        <f t="shared" ca="1" si="871"/>
        <v>91087.675909993995</v>
      </c>
      <c r="AB568" s="1122">
        <f t="shared" ca="1" si="871"/>
        <v>57791.675913091531</v>
      </c>
      <c r="AC568" s="1122">
        <f t="shared" ca="1" si="871"/>
        <v>32559.140425386468</v>
      </c>
      <c r="AD568" s="1122">
        <f t="shared" ca="1" si="871"/>
        <v>32835.531268187493</v>
      </c>
      <c r="AF568" s="1122">
        <f ca="1">SUM(Y568:AE568)</f>
        <v>352169.8695996374</v>
      </c>
      <c r="AH568" s="1122">
        <f t="shared" ref="AH568:AM568" ca="1" si="872">AH566*$K$85</f>
        <v>42090.512278710878</v>
      </c>
      <c r="AI568" s="1122">
        <f t="shared" ca="1" si="872"/>
        <v>12168.16849903504</v>
      </c>
      <c r="AJ568" s="1122">
        <f t="shared" ca="1" si="872"/>
        <v>35840.797749724443</v>
      </c>
      <c r="AK568" s="1122">
        <f t="shared" ca="1" si="872"/>
        <v>22739.626928954014</v>
      </c>
      <c r="AL568" s="1122">
        <f t="shared" ca="1" si="872"/>
        <v>12811.234398429939</v>
      </c>
      <c r="AM568" s="1122">
        <f t="shared" ca="1" si="872"/>
        <v>12919.987511271416</v>
      </c>
      <c r="AO568" s="1122">
        <f ca="1">SUM(AH568:AN568)</f>
        <v>138570.32736612574</v>
      </c>
      <c r="AQ568" s="10">
        <f ca="1">AQ566*$L$85*Taxis!$L$130</f>
        <v>24095.125579312458</v>
      </c>
      <c r="AR568" s="10">
        <f ca="1">AR566*$L$85*Taxis!$L$130</f>
        <v>9870.4559321124216</v>
      </c>
      <c r="AS568" s="10">
        <f ca="1">AS566*$L$85*Taxis!$L$130</f>
        <v>31520.243928199972</v>
      </c>
      <c r="AT568" s="10">
        <f ca="1">AT566*$L$85*Taxis!$L$130</f>
        <v>20346.563304854</v>
      </c>
      <c r="AU568" s="10">
        <f ca="1">AU566*$L$85*Taxis!$L$130</f>
        <v>12095.793542315403</v>
      </c>
      <c r="AV568" s="10">
        <f ca="1">AV566*$L$85*Taxis!$L$130</f>
        <v>9340.8970281814636</v>
      </c>
      <c r="AW568" s="10"/>
      <c r="AX568" s="10">
        <f ca="1">SUM(AQ568:AW568)</f>
        <v>107269.07931497572</v>
      </c>
      <c r="AZ568" s="1122">
        <f t="shared" ref="AZ568:BE568" ca="1" si="873">AZ566*$M$85</f>
        <v>11275.504266845282</v>
      </c>
      <c r="BA568" s="1122">
        <f t="shared" ca="1" si="873"/>
        <v>3259.695080973343</v>
      </c>
      <c r="BB568" s="1122">
        <f t="shared" ca="1" si="873"/>
        <v>9601.2865150743182</v>
      </c>
      <c r="BC568" s="1122">
        <f t="shared" ca="1" si="873"/>
        <v>6091.6521701157044</v>
      </c>
      <c r="BD568" s="1122">
        <f t="shared" ca="1" si="873"/>
        <v>3431.9641245163775</v>
      </c>
      <c r="BE568" s="1122">
        <f t="shared" ca="1" si="873"/>
        <v>3461.0976779347102</v>
      </c>
      <c r="BG568" s="1122">
        <f ca="1">SUM(AZ568:BF568)</f>
        <v>37121.199835459738</v>
      </c>
      <c r="BI568" s="1122">
        <f t="shared" ref="BI568:BO568" ca="1" si="874">BI566*$N$85</f>
        <v>3520.5104605988718</v>
      </c>
      <c r="BJ568" s="1122">
        <f t="shared" ca="1" si="874"/>
        <v>1017.7629629100477</v>
      </c>
      <c r="BK568" s="1122">
        <f t="shared" ca="1" si="874"/>
        <v>2997.7754264096575</v>
      </c>
      <c r="BL568" s="1122">
        <f t="shared" ca="1" si="874"/>
        <v>1901.9748190137798</v>
      </c>
      <c r="BM568" s="1122">
        <f t="shared" ca="1" si="874"/>
        <v>1071.5499116333885</v>
      </c>
      <c r="BN568" s="1122">
        <f t="shared" ca="1" si="874"/>
        <v>1080.6461770541055</v>
      </c>
      <c r="BO568" s="1122">
        <f t="shared" ca="1" si="874"/>
        <v>0</v>
      </c>
      <c r="BP568" s="1122">
        <f ca="1">SUM(BI568:BO568)</f>
        <v>11590.219757619852</v>
      </c>
    </row>
    <row r="569" spans="2:68" ht="13.2" customHeight="1">
      <c r="B569" s="280"/>
      <c r="N569" s="186"/>
      <c r="O569" s="136">
        <f>ROW()</f>
        <v>569</v>
      </c>
      <c r="P569" s="10"/>
      <c r="Q569" s="10"/>
      <c r="R569" s="10"/>
      <c r="S569" s="10"/>
      <c r="T569" s="10"/>
      <c r="U569" s="10"/>
      <c r="V569" s="10"/>
      <c r="W569" s="10"/>
      <c r="Y569" s="10"/>
      <c r="Z569" s="10"/>
      <c r="AA569" s="10"/>
      <c r="AB569" s="10"/>
      <c r="AC569" s="10"/>
      <c r="AD569" s="10"/>
      <c r="AE569" s="10"/>
      <c r="AF569" s="10"/>
      <c r="AH569" s="10"/>
      <c r="AI569" s="10"/>
      <c r="AJ569" s="10"/>
      <c r="AK569" s="10"/>
      <c r="AL569" s="10"/>
      <c r="AM569" s="10"/>
      <c r="AN569" s="10"/>
      <c r="AO569" s="10"/>
      <c r="AQ569"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569" s="10"/>
      <c r="AS569" s="10"/>
      <c r="AT569" s="10"/>
      <c r="AU569" s="10"/>
      <c r="AV569" s="10"/>
      <c r="AW569" s="10"/>
      <c r="AX569" s="10"/>
      <c r="AZ569" s="10"/>
      <c r="BA569" s="10"/>
      <c r="BB569" s="10"/>
      <c r="BC569" s="10"/>
      <c r="BD569" s="10"/>
      <c r="BE569" s="10"/>
      <c r="BF569" s="10"/>
      <c r="BG569" s="10"/>
      <c r="BI569" s="10"/>
      <c r="BJ569" s="10"/>
      <c r="BK569" s="10"/>
      <c r="BL569" s="10"/>
      <c r="BM569" s="10"/>
      <c r="BN569" s="10"/>
      <c r="BO569" s="10"/>
      <c r="BP569" s="10"/>
    </row>
    <row r="570" spans="2:68" s="1122" customFormat="1" ht="13.2" customHeight="1">
      <c r="B570" s="1195" t="s">
        <v>2760</v>
      </c>
      <c r="O570" s="136">
        <f>ROW()</f>
        <v>570</v>
      </c>
      <c r="AQ570" s="265" t="str">
        <f>CONCATENATE("Row ",O572, " figures are set equal to ",O571, " figures, since rebound effects are presumed accounted for by taxi time-elasticity.")</f>
        <v>Row 572 figures are set equal to 571 figures, since rebound effects are presumed accounted for by taxi time-elasticity.</v>
      </c>
      <c r="AR570"/>
      <c r="AS570"/>
      <c r="AT570"/>
      <c r="AU570"/>
      <c r="AV570"/>
      <c r="AW570"/>
      <c r="AX570"/>
    </row>
    <row r="571" spans="2:68" s="1122" customFormat="1" ht="13.2" customHeight="1">
      <c r="B571" s="1123" t="s">
        <v>1112</v>
      </c>
      <c r="G571" s="1122">
        <f t="shared" ref="G571:L573" ca="1" si="875">P571+Y571+AH571+AQ571+AZ571+BI571</f>
        <v>490069.25317447522</v>
      </c>
      <c r="H571" s="1122">
        <f t="shared" ca="1" si="875"/>
        <v>115660.78966111252</v>
      </c>
      <c r="I571" s="1122">
        <f t="shared" ca="1" si="875"/>
        <v>324130.49982890906</v>
      </c>
      <c r="J571" s="1122">
        <f t="shared" ca="1" si="875"/>
        <v>205307.23680304096</v>
      </c>
      <c r="K571" s="1122">
        <f t="shared" ca="1" si="875"/>
        <v>130265.17629261639</v>
      </c>
      <c r="L571" s="1122">
        <f t="shared" ca="1" si="875"/>
        <v>123942.91750158105</v>
      </c>
      <c r="N571" s="1127">
        <f ca="1">SUM(G571:M571)</f>
        <v>1389375.8732617353</v>
      </c>
      <c r="O571" s="136">
        <f>ROW()</f>
        <v>571</v>
      </c>
      <c r="P571" s="1122">
        <f t="shared" ref="P571:U571" ca="1" si="876">P524</f>
        <v>11029.786736240525</v>
      </c>
      <c r="Q571" s="1122">
        <f t="shared" ca="1" si="876"/>
        <v>3902.5990673816323</v>
      </c>
      <c r="R571" s="1122">
        <f t="shared" ca="1" si="876"/>
        <v>12252.152237955133</v>
      </c>
      <c r="S571" s="1122">
        <f t="shared" ca="1" si="876"/>
        <v>7846.5997201409737</v>
      </c>
      <c r="T571" s="1122">
        <f t="shared" ca="1" si="876"/>
        <v>4576.0395351743537</v>
      </c>
      <c r="U571" s="1122">
        <f t="shared" ca="1" si="876"/>
        <v>4042.5722886066837</v>
      </c>
      <c r="W571" s="1122">
        <f ca="1">SUM(P571:V571)</f>
        <v>43649.749585499296</v>
      </c>
      <c r="Y571" s="1122">
        <f t="shared" ref="Y571:AD571" ca="1" si="877">Y524</f>
        <v>33089.360208721577</v>
      </c>
      <c r="Z571" s="1122">
        <f t="shared" ca="1" si="877"/>
        <v>11707.797202144895</v>
      </c>
      <c r="AA571" s="1122">
        <f t="shared" ca="1" si="877"/>
        <v>36756.456713865402</v>
      </c>
      <c r="AB571" s="1122">
        <f t="shared" ca="1" si="877"/>
        <v>23539.799160422921</v>
      </c>
      <c r="AC571" s="1122">
        <f t="shared" ca="1" si="877"/>
        <v>13728.118605523057</v>
      </c>
      <c r="AD571" s="1122">
        <f t="shared" ca="1" si="877"/>
        <v>12127.71686582005</v>
      </c>
      <c r="AF571" s="1122">
        <f ca="1">SUM(Y571:AE571)</f>
        <v>130949.24875649789</v>
      </c>
      <c r="AH571" s="1122">
        <f t="shared" ref="AH571:AM571" ca="1" si="878">AH524</f>
        <v>0</v>
      </c>
      <c r="AI571" s="1122">
        <f t="shared" ca="1" si="878"/>
        <v>0</v>
      </c>
      <c r="AJ571" s="1122">
        <f t="shared" ca="1" si="878"/>
        <v>0</v>
      </c>
      <c r="AK571" s="1122">
        <f t="shared" ca="1" si="878"/>
        <v>0</v>
      </c>
      <c r="AL571" s="1122">
        <f t="shared" ca="1" si="878"/>
        <v>0</v>
      </c>
      <c r="AM571" s="1122">
        <f t="shared" ca="1" si="878"/>
        <v>0</v>
      </c>
      <c r="AO571" s="1122">
        <f ca="1">SUM(AH571:AN571)</f>
        <v>0</v>
      </c>
      <c r="AQ571" s="1122">
        <f t="shared" ref="AQ571:AV571" si="879">AQ524</f>
        <v>438656.72193199908</v>
      </c>
      <c r="AR571" s="1122">
        <f t="shared" si="879"/>
        <v>97563.564894963914</v>
      </c>
      <c r="AS571" s="1122">
        <f t="shared" si="879"/>
        <v>267453.00942252984</v>
      </c>
      <c r="AT571" s="1122">
        <f t="shared" si="879"/>
        <v>169012.18827727382</v>
      </c>
      <c r="AU571" s="1122">
        <f t="shared" si="879"/>
        <v>109114.24796886933</v>
      </c>
      <c r="AV571" s="1122">
        <f t="shared" si="879"/>
        <v>105261.8059659023</v>
      </c>
      <c r="AX571" s="1122">
        <f>SUM(AQ571:AW571)</f>
        <v>1187061.5384615383</v>
      </c>
      <c r="AZ571" s="1122">
        <f t="shared" ref="AZ571:BE571" ca="1" si="880">AZ524</f>
        <v>4159.8567432153368</v>
      </c>
      <c r="BA571" s="1122">
        <f t="shared" ca="1" si="880"/>
        <v>1412.0657072611846</v>
      </c>
      <c r="BB571" s="1122">
        <f t="shared" ca="1" si="880"/>
        <v>4345.0833391656352</v>
      </c>
      <c r="BC571" s="1122">
        <f t="shared" ca="1" si="880"/>
        <v>2780.987675779902</v>
      </c>
      <c r="BD571" s="1122">
        <f t="shared" ca="1" si="880"/>
        <v>1611.7416851843509</v>
      </c>
      <c r="BE571" s="1122">
        <f t="shared" ca="1" si="880"/>
        <v>1421.2592725652353</v>
      </c>
      <c r="BG571" s="1122">
        <f ca="1">SUM(AZ571:BF571)</f>
        <v>15730.994423171647</v>
      </c>
      <c r="BI571" s="1122">
        <f t="shared" ref="BI571:BN571" ca="1" si="881">BI524</f>
        <v>3133.5275542986888</v>
      </c>
      <c r="BJ571" s="1122">
        <f t="shared" ca="1" si="881"/>
        <v>1074.7627893608994</v>
      </c>
      <c r="BK571" s="1122">
        <f t="shared" ca="1" si="881"/>
        <v>3323.7981153930509</v>
      </c>
      <c r="BL571" s="1122">
        <f t="shared" ca="1" si="881"/>
        <v>2127.6619694233436</v>
      </c>
      <c r="BM571" s="1122">
        <f t="shared" ca="1" si="881"/>
        <v>1235.0284978653131</v>
      </c>
      <c r="BN571" s="1122">
        <f t="shared" ca="1" si="881"/>
        <v>1089.5631086867741</v>
      </c>
      <c r="BP571" s="1122">
        <f ca="1">SUM(BI571:BO571)</f>
        <v>11984.342035028068</v>
      </c>
    </row>
    <row r="572" spans="2:68" s="1122" customFormat="1" ht="13.2" customHeight="1">
      <c r="B572" s="1123" t="s">
        <v>114</v>
      </c>
      <c r="G572" s="1122">
        <f t="shared" ca="1" si="875"/>
        <v>490104.77451973321</v>
      </c>
      <c r="H572" s="1122">
        <f t="shared" ca="1" si="875"/>
        <v>115696.17890931061</v>
      </c>
      <c r="I572" s="1122">
        <f t="shared" ca="1" si="875"/>
        <v>324419.10559247975</v>
      </c>
      <c r="J572" s="1122">
        <f t="shared" ca="1" si="875"/>
        <v>205561.31818609158</v>
      </c>
      <c r="K572" s="1122">
        <f t="shared" ca="1" si="875"/>
        <v>130309.51324705896</v>
      </c>
      <c r="L572" s="1122">
        <f t="shared" ca="1" si="875"/>
        <v>123970.41952334667</v>
      </c>
      <c r="N572" s="1127">
        <f ca="1">SUM(G572:M572)</f>
        <v>1390061.3099780206</v>
      </c>
      <c r="O572" s="136">
        <f>ROW()</f>
        <v>572</v>
      </c>
      <c r="P572" s="1122">
        <f t="shared" ref="P572:U572" ca="1" si="882">P571*P551</f>
        <v>11038.110024300788</v>
      </c>
      <c r="Q572" s="1122">
        <f t="shared" ca="1" si="882"/>
        <v>3910.9100146092455</v>
      </c>
      <c r="R572" s="1122">
        <f t="shared" ca="1" si="882"/>
        <v>12320.004406642465</v>
      </c>
      <c r="S572" s="1122">
        <f t="shared" ca="1" si="882"/>
        <v>7906.339117775573</v>
      </c>
      <c r="T572" s="1122">
        <f t="shared" ca="1" si="882"/>
        <v>4586.4664023048499</v>
      </c>
      <c r="U572" s="1122">
        <f t="shared" ca="1" si="882"/>
        <v>4049.0405585538233</v>
      </c>
      <c r="W572" s="1122">
        <f ca="1">SUM(P572:V572)</f>
        <v>43810.870524186743</v>
      </c>
      <c r="Y572" s="1122">
        <f t="shared" ref="Y572:AD572" ca="1" si="883">Y571*Y551</f>
        <v>33114.330072902369</v>
      </c>
      <c r="Z572" s="1122">
        <f t="shared" ca="1" si="883"/>
        <v>11732.730043827734</v>
      </c>
      <c r="AA572" s="1122">
        <f t="shared" ca="1" si="883"/>
        <v>36960.013219927394</v>
      </c>
      <c r="AB572" s="1122">
        <f t="shared" ca="1" si="883"/>
        <v>23719.017353326719</v>
      </c>
      <c r="AC572" s="1122">
        <f t="shared" ca="1" si="883"/>
        <v>13759.399206914546</v>
      </c>
      <c r="AD572" s="1122">
        <f t="shared" ca="1" si="883"/>
        <v>12147.121675661469</v>
      </c>
      <c r="AF572" s="1122">
        <f ca="1">SUM(Y572:AE572)</f>
        <v>131432.61157256024</v>
      </c>
      <c r="AH572" s="1122">
        <f t="shared" ref="AH572:AM572" ca="1" si="884">AH571*AH551</f>
        <v>0</v>
      </c>
      <c r="AI572" s="1122">
        <f t="shared" ca="1" si="884"/>
        <v>0</v>
      </c>
      <c r="AJ572" s="1122">
        <f t="shared" ca="1" si="884"/>
        <v>0</v>
      </c>
      <c r="AK572" s="1122">
        <f t="shared" ca="1" si="884"/>
        <v>0</v>
      </c>
      <c r="AL572" s="1122">
        <f t="shared" ca="1" si="884"/>
        <v>0</v>
      </c>
      <c r="AM572" s="1122">
        <f t="shared" ca="1" si="884"/>
        <v>0</v>
      </c>
      <c r="AO572" s="1122">
        <f ca="1">SUM(AH572:AN572)</f>
        <v>0</v>
      </c>
      <c r="AQ572" s="1122">
        <f t="shared" ref="AQ572:AV572" si="885">AQ571</f>
        <v>438656.72193199908</v>
      </c>
      <c r="AR572" s="1122">
        <f t="shared" si="885"/>
        <v>97563.564894963914</v>
      </c>
      <c r="AS572" s="1122">
        <f t="shared" si="885"/>
        <v>267453.00942252984</v>
      </c>
      <c r="AT572" s="1122">
        <f t="shared" si="885"/>
        <v>169012.18827727382</v>
      </c>
      <c r="AU572" s="1122">
        <f t="shared" si="885"/>
        <v>109114.24796886933</v>
      </c>
      <c r="AV572" s="1122">
        <f t="shared" si="885"/>
        <v>105261.8059659023</v>
      </c>
      <c r="AX572" s="1122">
        <f>SUM(AQ572:AW572)</f>
        <v>1187061.5384615383</v>
      </c>
      <c r="AZ572" s="1122">
        <f t="shared" ref="AZ572:BE572" ca="1" si="886">AZ571*AZ551</f>
        <v>4160.9028492797133</v>
      </c>
      <c r="BA572" s="1122">
        <f t="shared" ca="1" si="886"/>
        <v>1413.0673715818618</v>
      </c>
      <c r="BB572" s="1122">
        <f t="shared" ca="1" si="886"/>
        <v>4353.089572095364</v>
      </c>
      <c r="BC572" s="1122">
        <f t="shared" ca="1" si="886"/>
        <v>2788.027442129317</v>
      </c>
      <c r="BD572" s="1122">
        <f t="shared" ca="1" si="886"/>
        <v>1612.9649167764026</v>
      </c>
      <c r="BE572" s="1122">
        <f t="shared" ca="1" si="886"/>
        <v>1422.0168916618629</v>
      </c>
      <c r="BG572" s="1122">
        <f ca="1">SUM(AZ572:BF572)</f>
        <v>15750.06904352452</v>
      </c>
      <c r="BI572" s="1122">
        <f t="shared" ref="BI572:BN572" ca="1" si="887">BI571*BI551</f>
        <v>3134.7096412512919</v>
      </c>
      <c r="BJ572" s="1122">
        <f t="shared" ca="1" si="887"/>
        <v>1075.9065843278479</v>
      </c>
      <c r="BK572" s="1122">
        <f t="shared" ca="1" si="887"/>
        <v>3332.988971284728</v>
      </c>
      <c r="BL572" s="1122">
        <f t="shared" ca="1" si="887"/>
        <v>2135.7459955861368</v>
      </c>
      <c r="BM572" s="1122">
        <f t="shared" ca="1" si="887"/>
        <v>1236.4347521938348</v>
      </c>
      <c r="BN572" s="1122">
        <f t="shared" ca="1" si="887"/>
        <v>1090.4344315672331</v>
      </c>
      <c r="BP572" s="1122">
        <f ca="1">SUM(BI572:BO572)</f>
        <v>12006.220376211073</v>
      </c>
    </row>
    <row r="573" spans="2:68" s="1122" customFormat="1" ht="13.2" customHeight="1">
      <c r="B573" s="1194" t="s">
        <v>450</v>
      </c>
      <c r="G573" s="1122">
        <f t="shared" ca="1" si="875"/>
        <v>35.521345258034216</v>
      </c>
      <c r="H573" s="1122">
        <f t="shared" ca="1" si="875"/>
        <v>35.389248198078349</v>
      </c>
      <c r="I573" s="1122">
        <f t="shared" ca="1" si="875"/>
        <v>288.60576357072978</v>
      </c>
      <c r="J573" s="1122">
        <f t="shared" ca="1" si="875"/>
        <v>254.08138305060538</v>
      </c>
      <c r="K573" s="1122">
        <f t="shared" ca="1" si="875"/>
        <v>44.336954442558408</v>
      </c>
      <c r="L573" s="1122">
        <f t="shared" ca="1" si="875"/>
        <v>27.50202176564494</v>
      </c>
      <c r="N573" s="1127">
        <f ca="1">W573+AF573+AO573+AX573+BG573+BP573</f>
        <v>685.43671628567245</v>
      </c>
      <c r="O573" s="136">
        <f>ROW()</f>
        <v>573</v>
      </c>
      <c r="P573" s="1122">
        <f t="shared" ref="P573:W573" ca="1" si="888">P572-P571</f>
        <v>8.323288060262712</v>
      </c>
      <c r="Q573" s="1122">
        <f t="shared" ca="1" si="888"/>
        <v>8.3109472276132692</v>
      </c>
      <c r="R573" s="1122">
        <f t="shared" ca="1" si="888"/>
        <v>67.852168687331869</v>
      </c>
      <c r="S573" s="1122">
        <f t="shared" ca="1" si="888"/>
        <v>59.7393976345993</v>
      </c>
      <c r="T573" s="1122">
        <f t="shared" ca="1" si="888"/>
        <v>10.426867130496248</v>
      </c>
      <c r="U573" s="1122">
        <f t="shared" ca="1" si="888"/>
        <v>6.4682699471395608</v>
      </c>
      <c r="W573" s="1131">
        <f t="shared" ca="1" si="888"/>
        <v>161.12093868744705</v>
      </c>
      <c r="Y573" s="1122">
        <f t="shared" ref="Y573:AF573" ca="1" si="889">Y572-Y571</f>
        <v>24.969864180791774</v>
      </c>
      <c r="Z573" s="1122">
        <f t="shared" ca="1" si="889"/>
        <v>24.932841682839353</v>
      </c>
      <c r="AA573" s="1122">
        <f t="shared" ca="1" si="889"/>
        <v>203.55650606199197</v>
      </c>
      <c r="AB573" s="1122">
        <f t="shared" ca="1" si="889"/>
        <v>179.2181929037979</v>
      </c>
      <c r="AC573" s="1122">
        <f t="shared" ca="1" si="889"/>
        <v>31.280601391488744</v>
      </c>
      <c r="AD573" s="1122">
        <f t="shared" ca="1" si="889"/>
        <v>19.404809841418682</v>
      </c>
      <c r="AF573" s="1131">
        <f t="shared" ca="1" si="889"/>
        <v>483.36281606234843</v>
      </c>
      <c r="AH573" s="1122">
        <f t="shared" ref="AH573:AO573" ca="1" si="890">AH572-AH571</f>
        <v>0</v>
      </c>
      <c r="AI573" s="1122">
        <f t="shared" ca="1" si="890"/>
        <v>0</v>
      </c>
      <c r="AJ573" s="1122">
        <f t="shared" ca="1" si="890"/>
        <v>0</v>
      </c>
      <c r="AK573" s="1122">
        <f t="shared" ca="1" si="890"/>
        <v>0</v>
      </c>
      <c r="AL573" s="1122">
        <f t="shared" ca="1" si="890"/>
        <v>0</v>
      </c>
      <c r="AM573" s="1122">
        <f t="shared" ca="1" si="890"/>
        <v>0</v>
      </c>
      <c r="AO573" s="1131">
        <f t="shared" ca="1" si="890"/>
        <v>0</v>
      </c>
      <c r="AQ573" s="10">
        <f t="shared" ref="AQ573:AX573" si="891">AQ572-AQ571</f>
        <v>0</v>
      </c>
      <c r="AR573" s="10">
        <f t="shared" si="891"/>
        <v>0</v>
      </c>
      <c r="AS573" s="10">
        <f t="shared" si="891"/>
        <v>0</v>
      </c>
      <c r="AT573" s="10">
        <f t="shared" si="891"/>
        <v>0</v>
      </c>
      <c r="AU573" s="10">
        <f t="shared" si="891"/>
        <v>0</v>
      </c>
      <c r="AV573" s="10">
        <f t="shared" si="891"/>
        <v>0</v>
      </c>
      <c r="AW573" s="10"/>
      <c r="AX573" s="138">
        <f t="shared" si="891"/>
        <v>0</v>
      </c>
      <c r="AZ573" s="1122">
        <f t="shared" ref="AZ573:BG573" ca="1" si="892">AZ572-AZ571</f>
        <v>1.046106064376545</v>
      </c>
      <c r="BA573" s="1122">
        <f t="shared" ca="1" si="892"/>
        <v>1.0016643206772642</v>
      </c>
      <c r="BB573" s="1122">
        <f t="shared" ca="1" si="892"/>
        <v>8.006232929728867</v>
      </c>
      <c r="BC573" s="1122">
        <f t="shared" ca="1" si="892"/>
        <v>7.0397663494150038</v>
      </c>
      <c r="BD573" s="1122">
        <f t="shared" ca="1" si="892"/>
        <v>1.2232315920516612</v>
      </c>
      <c r="BE573" s="1122">
        <f t="shared" ca="1" si="892"/>
        <v>0.75761909662764992</v>
      </c>
      <c r="BG573" s="1131">
        <f t="shared" ca="1" si="892"/>
        <v>19.074620352872444</v>
      </c>
      <c r="BI573" s="1122">
        <f t="shared" ref="BI573:BP573" ca="1" si="893">BI572-BI571</f>
        <v>1.1820869526031856</v>
      </c>
      <c r="BJ573" s="1122">
        <f t="shared" ca="1" si="893"/>
        <v>1.1437949669484624</v>
      </c>
      <c r="BK573" s="1122">
        <f t="shared" ca="1" si="893"/>
        <v>9.1908558916770744</v>
      </c>
      <c r="BL573" s="1122">
        <f t="shared" ca="1" si="893"/>
        <v>8.0840261627931795</v>
      </c>
      <c r="BM573" s="1122">
        <f t="shared" ca="1" si="893"/>
        <v>1.4062543285217544</v>
      </c>
      <c r="BN573" s="1122">
        <f t="shared" ca="1" si="893"/>
        <v>0.87132288045904716</v>
      </c>
      <c r="BP573" s="1131">
        <f t="shared" ca="1" si="893"/>
        <v>21.878341183004522</v>
      </c>
    </row>
    <row r="574" spans="2:68" ht="13.2" customHeight="1">
      <c r="O574" s="136">
        <f>ROW()</f>
        <v>574</v>
      </c>
    </row>
    <row r="575" spans="2:68" s="1122" customFormat="1" ht="13.2" customHeight="1">
      <c r="B575" s="1195" t="s">
        <v>1113</v>
      </c>
      <c r="G575" s="1122">
        <f t="shared" ref="G575:N576" ca="1" si="894">P575+Y575+AH575+AQ575+AZ575+BI575</f>
        <v>887951.50006553321</v>
      </c>
      <c r="H575" s="1122">
        <f t="shared" ca="1" si="894"/>
        <v>254798.7420243599</v>
      </c>
      <c r="I575" s="1122">
        <f t="shared" ca="1" si="894"/>
        <v>755894.38638445688</v>
      </c>
      <c r="J575" s="1122">
        <f t="shared" ca="1" si="894"/>
        <v>484967.17237424414</v>
      </c>
      <c r="K575" s="1122">
        <f t="shared" ca="1" si="894"/>
        <v>287102.46701679472</v>
      </c>
      <c r="L575" s="1122">
        <f t="shared" ca="1" si="894"/>
        <v>251275.20717989383</v>
      </c>
      <c r="N575" s="1127">
        <f t="shared" ca="1" si="894"/>
        <v>2921989.4750452824</v>
      </c>
      <c r="O575" s="136">
        <f>ROW()</f>
        <v>575</v>
      </c>
      <c r="P575" s="1122">
        <f t="shared" ref="P575:U575" ca="1" si="895">P528</f>
        <v>83549.138150536746</v>
      </c>
      <c r="Q575" s="1122">
        <f t="shared" ca="1" si="895"/>
        <v>28312.672456434295</v>
      </c>
      <c r="R575" s="1122">
        <f t="shared" ca="1" si="895"/>
        <v>80226.179769116919</v>
      </c>
      <c r="S575" s="1122">
        <f t="shared" ca="1" si="895"/>
        <v>42087.692366355681</v>
      </c>
      <c r="T575" s="1122">
        <f t="shared" ca="1" si="895"/>
        <v>28933.209495363972</v>
      </c>
      <c r="U575" s="1122">
        <f t="shared" ca="1" si="895"/>
        <v>22398.365495415015</v>
      </c>
      <c r="W575" s="1122">
        <f ca="1">SUM(P575:V575)</f>
        <v>285507.25773322262</v>
      </c>
      <c r="Y575" s="1122">
        <f t="shared" ref="Y575:AD575" ca="1" si="896">Y528</f>
        <v>188711.22721645853</v>
      </c>
      <c r="Z575" s="1122">
        <f t="shared" ca="1" si="896"/>
        <v>67229.771612295779</v>
      </c>
      <c r="AA575" s="1122">
        <f t="shared" ca="1" si="896"/>
        <v>230354.20166657149</v>
      </c>
      <c r="AB575" s="1122">
        <f t="shared" ca="1" si="896"/>
        <v>162212.07978838804</v>
      </c>
      <c r="AC575" s="1122">
        <f t="shared" ca="1" si="896"/>
        <v>83643.654386915616</v>
      </c>
      <c r="AD575" s="1122">
        <f t="shared" ca="1" si="896"/>
        <v>69448.529024868229</v>
      </c>
      <c r="AF575" s="1122">
        <f ca="1">SUM(Y575:AE575)</f>
        <v>801599.46369549772</v>
      </c>
      <c r="AH575" s="1122">
        <f t="shared" ref="AH575:AM575" ca="1" si="897">AH528</f>
        <v>79699.369822508641</v>
      </c>
      <c r="AI575" s="1122">
        <f t="shared" ca="1" si="897"/>
        <v>27086.967033509896</v>
      </c>
      <c r="AJ575" s="1122">
        <f t="shared" ca="1" si="897"/>
        <v>70800.194070432568</v>
      </c>
      <c r="AK575" s="1122">
        <f t="shared" ca="1" si="897"/>
        <v>42863.933653737571</v>
      </c>
      <c r="AL575" s="1122">
        <f t="shared" ca="1" si="897"/>
        <v>24875.618648969983</v>
      </c>
      <c r="AM575" s="1122">
        <f t="shared" ca="1" si="897"/>
        <v>21036.406024402662</v>
      </c>
      <c r="AO575" s="1122">
        <f ca="1">SUM(AH575:AN575)</f>
        <v>266362.4892535613</v>
      </c>
      <c r="AQ575" s="10">
        <f t="shared" ref="AQ575:AV575" ca="1" si="898">AQ528</f>
        <v>502998.12881102966</v>
      </c>
      <c r="AR575" s="10">
        <f t="shared" ca="1" si="898"/>
        <v>121090.0808527504</v>
      </c>
      <c r="AS575" s="10">
        <f t="shared" ca="1" si="898"/>
        <v>340612.84032427327</v>
      </c>
      <c r="AT575" s="10">
        <f t="shared" ca="1" si="898"/>
        <v>216106.30800953342</v>
      </c>
      <c r="AU575" s="10">
        <f t="shared" ca="1" si="898"/>
        <v>137103.48933382597</v>
      </c>
      <c r="AV575" s="10">
        <f t="shared" ca="1" si="898"/>
        <v>127336.74860206751</v>
      </c>
      <c r="AW575" s="10"/>
      <c r="AX575" s="10">
        <f ca="1">SUM(AQ575:AW575)</f>
        <v>1445247.5959334802</v>
      </c>
      <c r="AZ575" s="1122">
        <f t="shared" ref="AZ575:BE575" ca="1" si="899">AZ528</f>
        <v>23776.688937647814</v>
      </c>
      <c r="BA575" s="1122">
        <f t="shared" ca="1" si="899"/>
        <v>7973.659416983719</v>
      </c>
      <c r="BB575" s="1122">
        <f t="shared" ca="1" si="899"/>
        <v>24388.885524869598</v>
      </c>
      <c r="BC575" s="1122">
        <f t="shared" ca="1" si="899"/>
        <v>15611.639221267629</v>
      </c>
      <c r="BD575" s="1122">
        <f t="shared" ca="1" si="899"/>
        <v>9021.3591034562669</v>
      </c>
      <c r="BE575" s="1122">
        <f t="shared" ca="1" si="899"/>
        <v>7946.4290141487945</v>
      </c>
      <c r="BG575" s="1122">
        <f ca="1">SUM(AZ575:BF575)</f>
        <v>88718.661218373833</v>
      </c>
      <c r="BI575" s="1122">
        <f t="shared" ref="BI575:BN575" ca="1" si="900">BI528</f>
        <v>9216.9471273517374</v>
      </c>
      <c r="BJ575" s="1122">
        <f t="shared" ca="1" si="900"/>
        <v>3105.5906523858248</v>
      </c>
      <c r="BK575" s="1122">
        <f t="shared" ca="1" si="900"/>
        <v>9512.0850291930838</v>
      </c>
      <c r="BL575" s="1122">
        <f t="shared" ca="1" si="900"/>
        <v>6085.5193349618385</v>
      </c>
      <c r="BM575" s="1122">
        <f t="shared" ca="1" si="900"/>
        <v>3525.1360482629102</v>
      </c>
      <c r="BN575" s="1122">
        <f t="shared" ca="1" si="900"/>
        <v>3108.7290189916203</v>
      </c>
      <c r="BP575" s="1122">
        <f ca="1">SUM(BI575:BO575)</f>
        <v>34554.007211147014</v>
      </c>
    </row>
    <row r="576" spans="2:68" s="1122" customFormat="1" ht="13.2" customHeight="1">
      <c r="B576" s="1195" t="s">
        <v>1327</v>
      </c>
      <c r="G576" s="1122">
        <f t="shared" ca="1" si="894"/>
        <v>899468.85304375913</v>
      </c>
      <c r="H576" s="1122">
        <f t="shared" ca="1" si="894"/>
        <v>259394.49547097541</v>
      </c>
      <c r="I576" s="1122">
        <f t="shared" ca="1" si="894"/>
        <v>774312.32162080263</v>
      </c>
      <c r="J576" s="1122">
        <f t="shared" ca="1" si="894"/>
        <v>498014.57425276947</v>
      </c>
      <c r="K576" s="1122">
        <f t="shared" ca="1" si="894"/>
        <v>293162.38577933278</v>
      </c>
      <c r="L576" s="1122">
        <f t="shared" ca="1" si="894"/>
        <v>255632.78970999681</v>
      </c>
      <c r="N576" s="1127">
        <f t="shared" ca="1" si="894"/>
        <v>2979985.4198776362</v>
      </c>
      <c r="O576" s="136">
        <f>ROW()</f>
        <v>576</v>
      </c>
      <c r="P576" s="1122">
        <f t="shared" ref="P576:U576" ca="1" si="901">P561+P568+P572</f>
        <v>86285.803127058942</v>
      </c>
      <c r="Q576" s="1122">
        <f t="shared" ca="1" si="901"/>
        <v>29328.104794557239</v>
      </c>
      <c r="R576" s="1122">
        <f t="shared" ca="1" si="901"/>
        <v>83767.835987809522</v>
      </c>
      <c r="S576" s="1122">
        <f t="shared" ca="1" si="901"/>
        <v>43963.069896698857</v>
      </c>
      <c r="T576" s="1122">
        <f t="shared" ca="1" si="901"/>
        <v>30104.310239109804</v>
      </c>
      <c r="U576" s="1122">
        <f t="shared" ca="1" si="901"/>
        <v>23196.565788940243</v>
      </c>
      <c r="W576" s="1122">
        <f ca="1">SUM(P576:V576)</f>
        <v>296645.68983417458</v>
      </c>
      <c r="Y576" s="1122">
        <f t="shared" ref="Y576:AD576" ca="1" si="902">Y561+Y568+Y572</f>
        <v>195447.08098825032</v>
      </c>
      <c r="Z576" s="1122">
        <f t="shared" ca="1" si="902"/>
        <v>69726.842830380861</v>
      </c>
      <c r="AA576" s="1122">
        <f t="shared" ca="1" si="902"/>
        <v>240896.80614917038</v>
      </c>
      <c r="AB576" s="1122">
        <f t="shared" ca="1" si="902"/>
        <v>170471.43987174108</v>
      </c>
      <c r="AC576" s="1122">
        <f t="shared" ca="1" si="902"/>
        <v>87161.38490039554</v>
      </c>
      <c r="AD576" s="1122">
        <f t="shared" ca="1" si="902"/>
        <v>72068.796031896811</v>
      </c>
      <c r="AF576" s="1122">
        <f ca="1">SUM(Y576:AE576)</f>
        <v>835772.35077183507</v>
      </c>
      <c r="AH576" s="1122">
        <f t="shared" ref="AH576:AM576" ca="1" si="903">AH561+AH568+AH572</f>
        <v>81303.295315463096</v>
      </c>
      <c r="AI576" s="1122">
        <f t="shared" ca="1" si="903"/>
        <v>28013.876562478628</v>
      </c>
      <c r="AJ576" s="1122">
        <f t="shared" ca="1" si="903"/>
        <v>74566.679643998126</v>
      </c>
      <c r="AK576" s="1122">
        <f t="shared" ca="1" si="903"/>
        <v>45386.528336178599</v>
      </c>
      <c r="AL576" s="1122">
        <f t="shared" ca="1" si="903"/>
        <v>26052.239079259249</v>
      </c>
      <c r="AM576" s="1122">
        <f t="shared" ca="1" si="903"/>
        <v>21818.035794873773</v>
      </c>
      <c r="AO576" s="1122">
        <f ca="1">SUM(AH576:AN576)</f>
        <v>277140.65473225148</v>
      </c>
      <c r="AQ576" s="10">
        <f t="shared" ref="AQ576:AV576" ca="1" si="904">AQ575</f>
        <v>502998.12881102966</v>
      </c>
      <c r="AR576" s="10">
        <f t="shared" ca="1" si="904"/>
        <v>121090.0808527504</v>
      </c>
      <c r="AS576" s="10">
        <f t="shared" ca="1" si="904"/>
        <v>340612.84032427327</v>
      </c>
      <c r="AT576" s="10">
        <f t="shared" ca="1" si="904"/>
        <v>216106.30800953342</v>
      </c>
      <c r="AU576" s="10">
        <f t="shared" ca="1" si="904"/>
        <v>137103.48933382597</v>
      </c>
      <c r="AV576" s="10">
        <f t="shared" ca="1" si="904"/>
        <v>127336.74860206751</v>
      </c>
      <c r="AW576" s="10"/>
      <c r="AX576" s="10">
        <f ca="1">SUM(AQ576:AW576)</f>
        <v>1445247.5959334802</v>
      </c>
      <c r="AZ576" s="1122">
        <f t="shared" ref="AZ576:BE576" ca="1" si="905">AZ561+AZ568+AZ572</f>
        <v>24073.66963744133</v>
      </c>
      <c r="BA576" s="1122">
        <f t="shared" ca="1" si="905"/>
        <v>8078.5368832638187</v>
      </c>
      <c r="BB576" s="1122">
        <f t="shared" ca="1" si="905"/>
        <v>24766.376840097539</v>
      </c>
      <c r="BC576" s="1122">
        <f t="shared" ca="1" si="905"/>
        <v>15870.500439733951</v>
      </c>
      <c r="BD576" s="1122">
        <f t="shared" ca="1" si="905"/>
        <v>9151.3202104527518</v>
      </c>
      <c r="BE576" s="1122">
        <f t="shared" ca="1" si="905"/>
        <v>8052.0647034546173</v>
      </c>
      <c r="BG576" s="1122">
        <f ca="1">SUM(AZ576:BF576)</f>
        <v>89992.468714443996</v>
      </c>
      <c r="BI576" s="1122">
        <f t="shared" ref="BI576:BN576" ca="1" si="906">BI561+BI568+BI572</f>
        <v>9360.8751645157681</v>
      </c>
      <c r="BJ576" s="1122">
        <f t="shared" ca="1" si="906"/>
        <v>3157.0535475444722</v>
      </c>
      <c r="BK576" s="1122">
        <f t="shared" ca="1" si="906"/>
        <v>9701.7826754536472</v>
      </c>
      <c r="BL576" s="1122">
        <f t="shared" ca="1" si="906"/>
        <v>6216.727698883552</v>
      </c>
      <c r="BM576" s="1122">
        <f t="shared" ca="1" si="906"/>
        <v>3589.6420162894569</v>
      </c>
      <c r="BN576" s="1122">
        <f t="shared" ca="1" si="906"/>
        <v>3160.5787887638753</v>
      </c>
      <c r="BP576" s="1122">
        <f ca="1">SUM(BI576:BO576)</f>
        <v>35186.65989145077</v>
      </c>
    </row>
    <row r="577" spans="2:68" ht="13.2" customHeight="1">
      <c r="B577" s="308" t="s">
        <v>1306</v>
      </c>
      <c r="G577" s="10">
        <f t="shared" ref="G577:L577" ca="1" si="907">G576/G$118</f>
        <v>89946.885304375915</v>
      </c>
      <c r="H577" s="10">
        <f t="shared" ca="1" si="907"/>
        <v>129697.2477354877</v>
      </c>
      <c r="I577" s="10">
        <f t="shared" ca="1" si="907"/>
        <v>154862.46432416054</v>
      </c>
      <c r="J577" s="10">
        <f t="shared" ca="1" si="907"/>
        <v>166004.8580842565</v>
      </c>
      <c r="K577" s="10">
        <f t="shared" ca="1" si="907"/>
        <v>146581.19288966639</v>
      </c>
      <c r="L577" s="10">
        <f t="shared" ca="1" si="907"/>
        <v>127816.39485499841</v>
      </c>
      <c r="M577" s="10"/>
      <c r="N577" s="6"/>
      <c r="O577" s="136">
        <f>ROW()</f>
        <v>577</v>
      </c>
      <c r="P577" s="10"/>
      <c r="Q577" s="10"/>
      <c r="R577" s="10"/>
      <c r="S577" s="10"/>
      <c r="T577" s="10"/>
      <c r="U577" s="10"/>
      <c r="V577" s="10"/>
      <c r="W577" s="10"/>
      <c r="Y577" s="10"/>
      <c r="Z577" s="10"/>
      <c r="AA577" s="10"/>
      <c r="AB577" s="10"/>
      <c r="AC577" s="10"/>
      <c r="AD577" s="10"/>
      <c r="AE577" s="10"/>
      <c r="AF577" s="10"/>
      <c r="AH577" s="10"/>
      <c r="AI577" s="10"/>
      <c r="AJ577" s="10"/>
      <c r="AK577" s="10"/>
      <c r="AL577" s="10"/>
      <c r="AM577" s="10"/>
      <c r="AN577" s="10"/>
      <c r="AO577" s="10"/>
      <c r="AQ577" s="10"/>
      <c r="AR577" s="10"/>
      <c r="AS577" s="10"/>
      <c r="AT577" s="10"/>
      <c r="AU577" s="10"/>
      <c r="AV577" s="10"/>
      <c r="AW577" s="10"/>
      <c r="AX577" s="10"/>
      <c r="AZ577" s="10"/>
      <c r="BA577" s="10"/>
      <c r="BB577" s="10"/>
      <c r="BC577" s="10"/>
      <c r="BD577" s="10"/>
      <c r="BE577" s="10"/>
      <c r="BF577" s="10"/>
      <c r="BG577" s="10"/>
      <c r="BI577" s="10"/>
      <c r="BJ577" s="10"/>
      <c r="BK577" s="10"/>
      <c r="BL577" s="10"/>
      <c r="BM577" s="10"/>
      <c r="BN577" s="10"/>
      <c r="BO577" s="10"/>
      <c r="BP577" s="10"/>
    </row>
    <row r="578" spans="2:68" ht="13.2" customHeight="1">
      <c r="B578" s="280" t="s">
        <v>456</v>
      </c>
      <c r="G578" s="612">
        <f t="shared" ref="G578:L578" ca="1" si="908">G576/G575</f>
        <v>1.0129707005139086</v>
      </c>
      <c r="H578" s="612">
        <f t="shared" ca="1" si="908"/>
        <v>1.018036798023815</v>
      </c>
      <c r="I578" s="612">
        <f t="shared" ca="1" si="908"/>
        <v>1.0243657521051865</v>
      </c>
      <c r="J578" s="612">
        <f t="shared" ca="1" si="908"/>
        <v>1.0269036805411991</v>
      </c>
      <c r="K578" s="612">
        <f t="shared" ca="1" si="908"/>
        <v>1.0211071636740188</v>
      </c>
      <c r="L578" s="612">
        <f t="shared" ca="1" si="908"/>
        <v>1.0173418722006398</v>
      </c>
      <c r="M578" s="612"/>
      <c r="N578" s="186"/>
      <c r="O578" s="136">
        <f>ROW()</f>
        <v>578</v>
      </c>
      <c r="P578" s="4147" t="s">
        <v>2680</v>
      </c>
      <c r="Q578" s="4147"/>
      <c r="R578" s="4147"/>
      <c r="S578" s="4147"/>
      <c r="T578" s="4147"/>
      <c r="U578" s="4147"/>
      <c r="V578" s="4147"/>
      <c r="W578" s="4147"/>
      <c r="Y578" s="4147" t="s">
        <v>2681</v>
      </c>
      <c r="Z578" s="4147"/>
      <c r="AA578" s="4147"/>
      <c r="AB578" s="4147"/>
      <c r="AC578" s="4147"/>
      <c r="AD578" s="4147"/>
      <c r="AE578" s="4147"/>
      <c r="AF578" s="4147"/>
      <c r="AH578" s="4263" t="s">
        <v>5482</v>
      </c>
      <c r="AI578" s="4264"/>
      <c r="AJ578" s="4264"/>
      <c r="AK578" s="4264"/>
      <c r="AL578" s="4264"/>
      <c r="AM578" s="4264"/>
      <c r="AN578" s="4264"/>
      <c r="AO578" s="4264"/>
      <c r="AQ578" s="4147" t="s">
        <v>713</v>
      </c>
      <c r="AR578" s="4147"/>
      <c r="AS578" s="4147"/>
      <c r="AT578" s="4147"/>
      <c r="AU578" s="4147"/>
      <c r="AV578" s="4147"/>
      <c r="AW578" s="4147"/>
      <c r="AX578" s="4147"/>
      <c r="AZ578" s="4147" t="s">
        <v>460</v>
      </c>
      <c r="BA578" s="4147"/>
      <c r="BB578" s="4147"/>
      <c r="BC578" s="4147"/>
      <c r="BD578" s="4147"/>
      <c r="BE578" s="4147"/>
      <c r="BF578" s="4147"/>
      <c r="BG578" s="4147"/>
      <c r="BI578" s="4147" t="s">
        <v>849</v>
      </c>
      <c r="BJ578" s="4147"/>
      <c r="BK578" s="4147"/>
      <c r="BL578" s="4147"/>
      <c r="BM578" s="4147"/>
      <c r="BN578" s="4147"/>
      <c r="BO578" s="4147"/>
      <c r="BP578" s="4147"/>
    </row>
    <row r="579" spans="2:68" ht="13.2" customHeight="1">
      <c r="O579" s="136">
        <f>ROW()</f>
        <v>579</v>
      </c>
    </row>
    <row r="580" spans="2:68" ht="13.2" customHeight="1">
      <c r="B580" s="308" t="s">
        <v>587</v>
      </c>
      <c r="C580" s="280"/>
      <c r="D580" s="280"/>
      <c r="E580" s="280"/>
      <c r="F580" s="280"/>
      <c r="G580" s="280"/>
      <c r="H580" s="280"/>
      <c r="I580" s="280"/>
      <c r="J580" s="280"/>
      <c r="K580" s="280"/>
      <c r="L580" s="280"/>
      <c r="M580" s="280"/>
      <c r="N580" s="280"/>
      <c r="O580" s="136">
        <f>ROW()</f>
        <v>580</v>
      </c>
    </row>
    <row r="581" spans="2:68" ht="13.2" customHeight="1">
      <c r="B581" s="280" t="s">
        <v>2034</v>
      </c>
      <c r="E581" s="280"/>
      <c r="F581" s="280"/>
      <c r="G581" s="21">
        <f t="shared" ref="G581:L581" ca="1" si="909">KSC/(1+0.1*($G$401*G577/$I$181)^KSE)</f>
        <v>20.110893475884374</v>
      </c>
      <c r="H581" s="21">
        <f t="shared" ca="1" si="909"/>
        <v>15.646419087752982</v>
      </c>
      <c r="I581" s="21">
        <f t="shared" ca="1" si="909"/>
        <v>12.052143355200037</v>
      </c>
      <c r="J581" s="21">
        <f t="shared" ca="1" si="909"/>
        <v>10.527108887450435</v>
      </c>
      <c r="K581" s="21">
        <f t="shared" ca="1" si="909"/>
        <v>13.232989332997422</v>
      </c>
      <c r="L581" s="21">
        <f t="shared" ca="1" si="909"/>
        <v>15.907163074582684</v>
      </c>
      <c r="M581" s="21"/>
      <c r="O581" s="136">
        <f>ROW()</f>
        <v>581</v>
      </c>
      <c r="P581" s="21">
        <f t="shared" ref="P581:U582" ca="1" si="910">G581</f>
        <v>20.110893475884374</v>
      </c>
      <c r="Q581" s="21">
        <f t="shared" ca="1" si="910"/>
        <v>15.646419087752982</v>
      </c>
      <c r="R581" s="21">
        <f t="shared" ca="1" si="910"/>
        <v>12.052143355200037</v>
      </c>
      <c r="S581" s="21">
        <f t="shared" ca="1" si="910"/>
        <v>10.527108887450435</v>
      </c>
      <c r="T581" s="21">
        <f t="shared" ca="1" si="910"/>
        <v>13.232989332997422</v>
      </c>
      <c r="U581" s="21">
        <f t="shared" ca="1" si="910"/>
        <v>15.907163074582684</v>
      </c>
      <c r="V581" s="21"/>
      <c r="Y581" s="21">
        <f t="shared" ref="Y581:AD582" ca="1" si="911">G581</f>
        <v>20.110893475884374</v>
      </c>
      <c r="Z581" s="21">
        <f t="shared" ca="1" si="911"/>
        <v>15.646419087752982</v>
      </c>
      <c r="AA581" s="21">
        <f t="shared" ca="1" si="911"/>
        <v>12.052143355200037</v>
      </c>
      <c r="AB581" s="21">
        <f t="shared" ca="1" si="911"/>
        <v>10.527108887450435</v>
      </c>
      <c r="AC581" s="21">
        <f t="shared" ca="1" si="911"/>
        <v>13.232989332997422</v>
      </c>
      <c r="AD581" s="21">
        <f t="shared" ca="1" si="911"/>
        <v>15.907163074582684</v>
      </c>
      <c r="AE581" s="21"/>
      <c r="AH581" s="21">
        <f t="shared" ref="AH581:AM582" ca="1" si="912">P581</f>
        <v>20.110893475884374</v>
      </c>
      <c r="AI581" s="21">
        <f t="shared" ca="1" si="912"/>
        <v>15.646419087752982</v>
      </c>
      <c r="AJ581" s="21">
        <f t="shared" ca="1" si="912"/>
        <v>12.052143355200037</v>
      </c>
      <c r="AK581" s="21">
        <f t="shared" ca="1" si="912"/>
        <v>10.527108887450435</v>
      </c>
      <c r="AL581" s="21">
        <f t="shared" ca="1" si="912"/>
        <v>13.232989332997422</v>
      </c>
      <c r="AM581" s="21">
        <f t="shared" ca="1" si="912"/>
        <v>15.907163074582684</v>
      </c>
      <c r="AN581" s="21"/>
      <c r="AQ581" s="21">
        <f t="shared" ref="AQ581:AV581" ca="1" si="913">G581*$AU$181</f>
        <v>19.105348802090155</v>
      </c>
      <c r="AR581" s="21">
        <f t="shared" ca="1" si="913"/>
        <v>14.864098133365331</v>
      </c>
      <c r="AS581" s="21">
        <f t="shared" ca="1" si="913"/>
        <v>11.449536187440035</v>
      </c>
      <c r="AT581" s="21">
        <f t="shared" ca="1" si="913"/>
        <v>10.000753443077913</v>
      </c>
      <c r="AU581" s="21">
        <f t="shared" ca="1" si="913"/>
        <v>12.57133986634755</v>
      </c>
      <c r="AV581" s="21">
        <f t="shared" ca="1" si="913"/>
        <v>15.111804920853549</v>
      </c>
      <c r="AW581" s="21"/>
      <c r="AZ581" s="21">
        <f t="shared" ref="AZ581:BE582" ca="1" si="914">G581</f>
        <v>20.110893475884374</v>
      </c>
      <c r="BA581" s="21">
        <f t="shared" ca="1" si="914"/>
        <v>15.646419087752982</v>
      </c>
      <c r="BB581" s="21">
        <f t="shared" ca="1" si="914"/>
        <v>12.052143355200037</v>
      </c>
      <c r="BC581" s="21">
        <f t="shared" ca="1" si="914"/>
        <v>10.527108887450435</v>
      </c>
      <c r="BD581" s="21">
        <f t="shared" ca="1" si="914"/>
        <v>13.232989332997422</v>
      </c>
      <c r="BE581" s="21">
        <f t="shared" ca="1" si="914"/>
        <v>15.907163074582684</v>
      </c>
      <c r="BF581" s="21"/>
      <c r="BG581" s="21"/>
      <c r="BI581" s="21">
        <f t="shared" ref="BI581:BN582" ca="1" si="915">G581</f>
        <v>20.110893475884374</v>
      </c>
      <c r="BJ581" s="21">
        <f t="shared" ca="1" si="915"/>
        <v>15.646419087752982</v>
      </c>
      <c r="BK581" s="21">
        <f t="shared" ca="1" si="915"/>
        <v>12.052143355200037</v>
      </c>
      <c r="BL581" s="21">
        <f t="shared" ca="1" si="915"/>
        <v>10.527108887450435</v>
      </c>
      <c r="BM581" s="21">
        <f t="shared" ca="1" si="915"/>
        <v>13.232989332997422</v>
      </c>
      <c r="BN581" s="21">
        <f t="shared" ca="1" si="915"/>
        <v>15.907163074582684</v>
      </c>
      <c r="BO581" s="21"/>
      <c r="BP581" s="21"/>
    </row>
    <row r="582" spans="2:68" ht="13.2" customHeight="1">
      <c r="B582" s="280" t="s">
        <v>1428</v>
      </c>
      <c r="E582" s="280"/>
      <c r="F582" s="280"/>
      <c r="G582" s="21">
        <f ca="1">MIN('Speed-Vol., non-Cordon'!$X$57*(G534 / 'Speed-Vol., non-Cordon'!$X$57)^G553,'Speed-Vol., non-Cordon'!$X$32)</f>
        <v>54.475247041632045</v>
      </c>
      <c r="H582" s="21">
        <f ca="1">MIN('Speed-Vol., non-Cordon'!$X$57*(H534 / 'Speed-Vol., non-Cordon'!$X$57)^H553,'Speed-Vol., non-Cordon'!$X$32)</f>
        <v>31.544507597135375</v>
      </c>
      <c r="I582" s="21">
        <f ca="1">MIN('Speed-Vol., non-Cordon'!$X$57*(I534 / 'Speed-Vol., non-Cordon'!$X$57)^I553,'Speed-Vol., non-Cordon'!$X$32)</f>
        <v>23.507218941815353</v>
      </c>
      <c r="J582" s="21">
        <f ca="1">MIN('Speed-Vol., non-Cordon'!$X$57*(J534 / 'Speed-Vol., non-Cordon'!$X$57)^J553,'Speed-Vol., non-Cordon'!$X$32)</f>
        <v>21.058335776021146</v>
      </c>
      <c r="K582" s="21">
        <f ca="1">MIN('Speed-Vol., non-Cordon'!$X$57*(K534 / 'Speed-Vol., non-Cordon'!$X$57)^K553,'Speed-Vol., non-Cordon'!$X$32)</f>
        <v>27.11137700796105</v>
      </c>
      <c r="L582" s="21">
        <f ca="1">MIN('Speed-Vol., non-Cordon'!$X$57*(L534 / 'Speed-Vol., non-Cordon'!$X$57)^L553,'Speed-Vol., non-Cordon'!$X$32)</f>
        <v>33.204098539551609</v>
      </c>
      <c r="M582" s="21"/>
      <c r="O582" s="136">
        <f>ROW()</f>
        <v>582</v>
      </c>
      <c r="P582" s="21">
        <f t="shared" ca="1" si="910"/>
        <v>54.475247041632045</v>
      </c>
      <c r="Q582" s="21">
        <f t="shared" ca="1" si="910"/>
        <v>31.544507597135375</v>
      </c>
      <c r="R582" s="21">
        <f t="shared" ca="1" si="910"/>
        <v>23.507218941815353</v>
      </c>
      <c r="S582" s="21">
        <f t="shared" ca="1" si="910"/>
        <v>21.058335776021146</v>
      </c>
      <c r="T582" s="21">
        <f t="shared" ca="1" si="910"/>
        <v>27.11137700796105</v>
      </c>
      <c r="U582" s="21">
        <f t="shared" ca="1" si="910"/>
        <v>33.204098539551609</v>
      </c>
      <c r="V582" s="21"/>
      <c r="W582" s="4272" t="s">
        <v>1878</v>
      </c>
      <c r="Y582" s="21">
        <f t="shared" ca="1" si="911"/>
        <v>54.475247041632045</v>
      </c>
      <c r="Z582" s="21">
        <f t="shared" ca="1" si="911"/>
        <v>31.544507597135375</v>
      </c>
      <c r="AA582" s="21">
        <f t="shared" ca="1" si="911"/>
        <v>23.507218941815353</v>
      </c>
      <c r="AB582" s="21">
        <f t="shared" ca="1" si="911"/>
        <v>21.058335776021146</v>
      </c>
      <c r="AC582" s="21">
        <f t="shared" ca="1" si="911"/>
        <v>27.11137700796105</v>
      </c>
      <c r="AD582" s="21">
        <f t="shared" ca="1" si="911"/>
        <v>33.204098539551609</v>
      </c>
      <c r="AE582" s="21"/>
      <c r="AF582" s="4272" t="s">
        <v>1878</v>
      </c>
      <c r="AH582" s="21">
        <f t="shared" ca="1" si="912"/>
        <v>54.475247041632045</v>
      </c>
      <c r="AI582" s="21">
        <f t="shared" ca="1" si="912"/>
        <v>31.544507597135375</v>
      </c>
      <c r="AJ582" s="21">
        <f t="shared" ca="1" si="912"/>
        <v>23.507218941815353</v>
      </c>
      <c r="AK582" s="21">
        <f t="shared" ca="1" si="912"/>
        <v>21.058335776021146</v>
      </c>
      <c r="AL582" s="21">
        <f t="shared" ca="1" si="912"/>
        <v>27.11137700796105</v>
      </c>
      <c r="AM582" s="21">
        <f t="shared" ca="1" si="912"/>
        <v>33.204098539551609</v>
      </c>
      <c r="AN582" s="21"/>
      <c r="AO582" s="4272" t="s">
        <v>1878</v>
      </c>
      <c r="AQ582" s="21">
        <f t="shared" ref="AQ582:AV582" ca="1" si="916">G582*$AV$181</f>
        <v>53.930494571215725</v>
      </c>
      <c r="AR582" s="21">
        <f t="shared" ca="1" si="916"/>
        <v>31.229062521164021</v>
      </c>
      <c r="AS582" s="21">
        <f t="shared" ca="1" si="916"/>
        <v>23.272146752397198</v>
      </c>
      <c r="AT582" s="21">
        <f t="shared" ca="1" si="916"/>
        <v>20.847752418260935</v>
      </c>
      <c r="AU582" s="21">
        <f t="shared" ca="1" si="916"/>
        <v>26.840263237881437</v>
      </c>
      <c r="AV582" s="21">
        <f t="shared" ca="1" si="916"/>
        <v>32.872057554156093</v>
      </c>
      <c r="AW582" s="21"/>
      <c r="AX582" s="4272" t="s">
        <v>1878</v>
      </c>
      <c r="AZ582" s="21">
        <f t="shared" ca="1" si="914"/>
        <v>54.475247041632045</v>
      </c>
      <c r="BA582" s="21">
        <f t="shared" ca="1" si="914"/>
        <v>31.544507597135375</v>
      </c>
      <c r="BB582" s="21">
        <f t="shared" ca="1" si="914"/>
        <v>23.507218941815353</v>
      </c>
      <c r="BC582" s="21">
        <f t="shared" ca="1" si="914"/>
        <v>21.058335776021146</v>
      </c>
      <c r="BD582" s="21">
        <f t="shared" ca="1" si="914"/>
        <v>27.11137700796105</v>
      </c>
      <c r="BE582" s="21">
        <f t="shared" ca="1" si="914"/>
        <v>33.204098539551609</v>
      </c>
      <c r="BF582" s="21"/>
      <c r="BG582" s="4272" t="s">
        <v>1878</v>
      </c>
      <c r="BI582" s="21">
        <f t="shared" ca="1" si="915"/>
        <v>54.475247041632045</v>
      </c>
      <c r="BJ582" s="21">
        <f t="shared" ca="1" si="915"/>
        <v>31.544507597135375</v>
      </c>
      <c r="BK582" s="21">
        <f t="shared" ca="1" si="915"/>
        <v>23.507218941815353</v>
      </c>
      <c r="BL582" s="21">
        <f t="shared" ca="1" si="915"/>
        <v>21.058335776021146</v>
      </c>
      <c r="BM582" s="21">
        <f t="shared" ca="1" si="915"/>
        <v>27.11137700796105</v>
      </c>
      <c r="BN582" s="21">
        <f t="shared" ca="1" si="915"/>
        <v>33.204098539551609</v>
      </c>
      <c r="BO582" s="21"/>
      <c r="BP582" s="4272" t="s">
        <v>1878</v>
      </c>
    </row>
    <row r="583" spans="2:68" ht="13.2" customHeight="1">
      <c r="B583" s="280"/>
      <c r="O583" s="136">
        <f>ROW()</f>
        <v>583</v>
      </c>
      <c r="W583" s="4273"/>
      <c r="AF583" s="4341"/>
      <c r="AO583" s="4273"/>
      <c r="AX583" s="4273"/>
      <c r="BG583" s="4273"/>
      <c r="BP583" s="4273"/>
    </row>
    <row r="584" spans="2:68" ht="13.2" customHeight="1">
      <c r="B584" s="308" t="s">
        <v>2606</v>
      </c>
      <c r="F584" s="606"/>
      <c r="O584" s="136">
        <f>ROW()</f>
        <v>584</v>
      </c>
      <c r="W584" s="4273"/>
      <c r="AF584" s="4341"/>
      <c r="AO584" s="4273"/>
      <c r="AX584" s="4340"/>
      <c r="BG584" s="4273"/>
      <c r="BP584" s="4273"/>
    </row>
    <row r="585" spans="2:68" ht="13.2" customHeight="1">
      <c r="B585" s="280" t="s">
        <v>2158</v>
      </c>
      <c r="C585" s="297"/>
      <c r="D585" s="297"/>
      <c r="E585" s="297"/>
      <c r="F585" s="297"/>
      <c r="G585" s="4286" t="s">
        <v>2351</v>
      </c>
      <c r="H585" s="3775"/>
      <c r="I585" s="3775"/>
      <c r="J585" s="3775"/>
      <c r="K585" s="3775"/>
      <c r="L585" s="3776"/>
      <c r="O585" s="136">
        <f>ROW()</f>
        <v>585</v>
      </c>
      <c r="P585" s="21">
        <f t="shared" ref="P585:U585" ca="1" si="917">($I$85)*60/P581</f>
        <v>4.4751865504097035</v>
      </c>
      <c r="Q585" s="21">
        <f t="shared" ca="1" si="917"/>
        <v>5.7521148765883598</v>
      </c>
      <c r="R585" s="21">
        <f t="shared" ca="1" si="917"/>
        <v>7.4675514012342425</v>
      </c>
      <c r="S585" s="21">
        <f t="shared" ca="1" si="917"/>
        <v>8.5493558547010657</v>
      </c>
      <c r="T585" s="21">
        <f t="shared" ca="1" si="917"/>
        <v>6.8011843533779972</v>
      </c>
      <c r="U585" s="21">
        <f t="shared" ca="1" si="917"/>
        <v>5.6578284624369521</v>
      </c>
      <c r="V585" s="21"/>
      <c r="W585" s="613">
        <f ca="1">SUMPRODUCT(P$476:V$476,P585:V585)/W$476</f>
        <v>6.3853052626239348</v>
      </c>
      <c r="Y585" s="21">
        <f t="shared" ref="Y585:AD585" ca="1" si="918">($J$85)*60/Y581</f>
        <v>4.4751865504097035</v>
      </c>
      <c r="Z585" s="21">
        <f t="shared" ca="1" si="918"/>
        <v>5.7521148765883598</v>
      </c>
      <c r="AA585" s="21">
        <f t="shared" ca="1" si="918"/>
        <v>7.4675514012342425</v>
      </c>
      <c r="AB585" s="21">
        <f t="shared" ca="1" si="918"/>
        <v>8.5493558547010657</v>
      </c>
      <c r="AC585" s="21">
        <f t="shared" ca="1" si="918"/>
        <v>6.8011843533779972</v>
      </c>
      <c r="AD585" s="21">
        <f t="shared" ca="1" si="918"/>
        <v>5.6578284624369521</v>
      </c>
      <c r="AE585" s="21"/>
      <c r="AF585" s="613">
        <f ca="1">SUMPRODUCT(Y$476:AE$476,Y585:AE585)/AF$476</f>
        <v>6.6249626153239278</v>
      </c>
      <c r="AH585" s="21">
        <f t="shared" ref="AH585:AM585" ca="1" si="919">($K$85)*60/AH581</f>
        <v>4.1768407803823902</v>
      </c>
      <c r="AI585" s="21">
        <f t="shared" ca="1" si="919"/>
        <v>5.3686405514824704</v>
      </c>
      <c r="AJ585" s="21">
        <f t="shared" ca="1" si="919"/>
        <v>6.9697146411519606</v>
      </c>
      <c r="AK585" s="21">
        <f t="shared" ca="1" si="919"/>
        <v>7.9793987977209957</v>
      </c>
      <c r="AL585" s="21">
        <f t="shared" ca="1" si="919"/>
        <v>6.3477720631527985</v>
      </c>
      <c r="AM585" s="21">
        <f t="shared" ca="1" si="919"/>
        <v>5.2806398982744893</v>
      </c>
      <c r="AN585" s="21"/>
      <c r="AO585" s="613">
        <f ca="1">SUMPRODUCT(AH$476:AN$476,AH585:AN585)/AO$476</f>
        <v>5.967633567517785</v>
      </c>
      <c r="AQ585" s="21">
        <f t="shared" ref="AQ585:AV585" ca="1" si="920">($L$85)*60/AQ581</f>
        <v>6.2809635795223908</v>
      </c>
      <c r="AR585" s="21">
        <f t="shared" ca="1" si="920"/>
        <v>8.0731436864398045</v>
      </c>
      <c r="AS585" s="21">
        <f t="shared" ca="1" si="920"/>
        <v>10.480773896469112</v>
      </c>
      <c r="AT585" s="21">
        <f t="shared" ca="1" si="920"/>
        <v>11.999095936422549</v>
      </c>
      <c r="AU585" s="21">
        <f t="shared" ca="1" si="920"/>
        <v>9.5455218994778903</v>
      </c>
      <c r="AV585" s="21">
        <f t="shared" ca="1" si="920"/>
        <v>7.940811877104494</v>
      </c>
      <c r="AW585" s="21"/>
      <c r="AX585" s="613">
        <f ca="1">SUMPRODUCT(AQ$476:AW$476,AQ585:AW585)/AX$476</f>
        <v>8.7318869088124416</v>
      </c>
      <c r="AZ585" s="21">
        <f t="shared" ref="AZ585:BE585" ca="1" si="921">($M$85)*60/AZ581</f>
        <v>8.950373100819407</v>
      </c>
      <c r="BA585" s="21">
        <f t="shared" ca="1" si="921"/>
        <v>11.50422975317672</v>
      </c>
      <c r="BB585" s="21">
        <f t="shared" ca="1" si="921"/>
        <v>14.935102802468485</v>
      </c>
      <c r="BC585" s="21">
        <f t="shared" ca="1" si="921"/>
        <v>17.098711709402131</v>
      </c>
      <c r="BD585" s="21">
        <f t="shared" ca="1" si="921"/>
        <v>13.602368706755994</v>
      </c>
      <c r="BE585" s="21">
        <f t="shared" ca="1" si="921"/>
        <v>11.315656924873904</v>
      </c>
      <c r="BF585" s="21"/>
      <c r="BG585" s="613">
        <f ca="1">SUMPRODUCT(AZ$476:BF$476,AZ585:BF585)/BG$476</f>
        <v>12.953354627309695</v>
      </c>
      <c r="BI585" s="21">
        <f t="shared" ref="BI585:BN585" ca="1" si="922">($N$85)*60/BI581</f>
        <v>5.966915400546271</v>
      </c>
      <c r="BJ585" s="21">
        <f t="shared" ca="1" si="922"/>
        <v>7.6694865021178131</v>
      </c>
      <c r="BK585" s="21">
        <f t="shared" ca="1" si="922"/>
        <v>9.9567352016456567</v>
      </c>
      <c r="BL585" s="21">
        <f t="shared" ca="1" si="922"/>
        <v>11.39914113960142</v>
      </c>
      <c r="BM585" s="21">
        <f t="shared" ca="1" si="922"/>
        <v>9.0682458045039969</v>
      </c>
      <c r="BN585" s="21">
        <f t="shared" ca="1" si="922"/>
        <v>7.5437712832492689</v>
      </c>
      <c r="BO585" s="21"/>
      <c r="BP585" s="613">
        <f ca="1">SUMPRODUCT(BI$476:BO$476,BI585:BO585)/BP$476</f>
        <v>8.6452226253754674</v>
      </c>
    </row>
    <row r="586" spans="2:68" ht="13.2" customHeight="1">
      <c r="B586" s="280" t="s">
        <v>2159</v>
      </c>
      <c r="C586" s="297"/>
      <c r="D586" s="297"/>
      <c r="E586" s="297"/>
      <c r="F586" s="297"/>
      <c r="G586" s="3738"/>
      <c r="H586" s="3739"/>
      <c r="I586" s="3739"/>
      <c r="J586" s="3739"/>
      <c r="K586" s="3739"/>
      <c r="L586" s="3922"/>
      <c r="O586" s="136">
        <f>ROW()</f>
        <v>586</v>
      </c>
      <c r="P586" s="21">
        <f t="shared" ref="P586:U586" ca="1" si="923">60*$I$85/(1/($P$135/$P581+$Q$135/$Q581+$R$135/$R581+$S$135/$S581+$T$135/$T581+$U$135/$U581))</f>
        <v>6.3551729747785215</v>
      </c>
      <c r="Q586" s="21">
        <f t="shared" ca="1" si="923"/>
        <v>6.3551729747785215</v>
      </c>
      <c r="R586" s="21">
        <f t="shared" ca="1" si="923"/>
        <v>6.3551729747785215</v>
      </c>
      <c r="S586" s="21">
        <f t="shared" ca="1" si="923"/>
        <v>6.3551729747785215</v>
      </c>
      <c r="T586" s="21">
        <f t="shared" ca="1" si="923"/>
        <v>6.3551729747785215</v>
      </c>
      <c r="U586" s="21">
        <f t="shared" ca="1" si="923"/>
        <v>6.3551729747785215</v>
      </c>
      <c r="V586" s="21"/>
      <c r="W586" s="613">
        <f ca="1">SUMPRODUCT(P$383:V$383,P586:V586)/W$383</f>
        <v>6.3551729747785233</v>
      </c>
      <c r="Y586" s="21">
        <f t="shared" ref="Y586:AD586" ca="1" si="924">60*$J$85/(1/($Y$135/$Y581+$Z$135/$Z581+$AA$135/$AA581+$AB$135/$AB581+$AC$135/$AC581+$AD$135/$AD581))</f>
        <v>6.3551729747785188</v>
      </c>
      <c r="Z586" s="21">
        <f t="shared" ca="1" si="924"/>
        <v>6.3551729747785188</v>
      </c>
      <c r="AA586" s="21">
        <f t="shared" ca="1" si="924"/>
        <v>6.3551729747785188</v>
      </c>
      <c r="AB586" s="21">
        <f t="shared" ca="1" si="924"/>
        <v>6.3551729747785188</v>
      </c>
      <c r="AC586" s="21">
        <f t="shared" ca="1" si="924"/>
        <v>6.3551729747785188</v>
      </c>
      <c r="AD586" s="21">
        <f t="shared" ca="1" si="924"/>
        <v>6.3551729747785188</v>
      </c>
      <c r="AE586" s="21"/>
      <c r="AF586" s="613">
        <f ca="1">SUMPRODUCT(Y$383:AE$383,Y586:AE586)/AF$383</f>
        <v>6.3551729747785197</v>
      </c>
      <c r="AH586" s="21">
        <f t="shared" ref="AH586:AM586" ca="1" si="925">AH585</f>
        <v>4.1768407803823902</v>
      </c>
      <c r="AI586" s="21">
        <f t="shared" ca="1" si="925"/>
        <v>5.3686405514824704</v>
      </c>
      <c r="AJ586" s="21">
        <f t="shared" ca="1" si="925"/>
        <v>6.9697146411519606</v>
      </c>
      <c r="AK586" s="21">
        <f t="shared" ca="1" si="925"/>
        <v>7.9793987977209957</v>
      </c>
      <c r="AL586" s="21">
        <f t="shared" ca="1" si="925"/>
        <v>6.3477720631527985</v>
      </c>
      <c r="AM586" s="21">
        <f t="shared" ca="1" si="925"/>
        <v>5.2806398982744893</v>
      </c>
      <c r="AN586" s="21"/>
      <c r="AO586" s="613">
        <f ca="1">SUMPRODUCT(AH$383:AN$383,AH586:AN586)/AO$383</f>
        <v>5.9771582285555969</v>
      </c>
      <c r="AQ586" s="21"/>
      <c r="AR586" s="21"/>
      <c r="AS586" s="21"/>
      <c r="AT586" s="21"/>
      <c r="AU586" s="21"/>
      <c r="AV586" s="21"/>
      <c r="AW586" s="21"/>
      <c r="AX586" s="613"/>
      <c r="AZ586" s="21">
        <f t="shared" ref="AZ586:BE586" ca="1" si="926">60*$M$85/(1/($AZ$135/$AZ581+$BA$135/$BA581+$BB$135/$BB581+$BC$135/$BC581+$BD$135/$BD581+$BE$135/$BE581))</f>
        <v>12.710345949557038</v>
      </c>
      <c r="BA586" s="21">
        <f t="shared" ca="1" si="926"/>
        <v>12.710345949557038</v>
      </c>
      <c r="BB586" s="21">
        <f t="shared" ca="1" si="926"/>
        <v>12.710345949557038</v>
      </c>
      <c r="BC586" s="21">
        <f t="shared" ca="1" si="926"/>
        <v>12.710345949557038</v>
      </c>
      <c r="BD586" s="21">
        <f t="shared" ca="1" si="926"/>
        <v>12.710345949557038</v>
      </c>
      <c r="BE586" s="21">
        <f t="shared" ca="1" si="926"/>
        <v>12.710345949557038</v>
      </c>
      <c r="BF586" s="21"/>
      <c r="BG586" s="613">
        <f ca="1">SUMPRODUCT(AZ$383:BF$383,AZ586:BF586)/BG$383</f>
        <v>12.710345949557038</v>
      </c>
      <c r="BI586" s="21">
        <f t="shared" ref="BI586:BN586" ca="1" si="927">60*$N$85/(1/($BI$135/$BI581+$BJ$135/$BJ581+$BK$135/$BK581+$BL$135/$BL581+$BM$135/$BM581+$BN$135/$BN581))</f>
        <v>8.4735639663713584</v>
      </c>
      <c r="BJ586" s="21">
        <f t="shared" ca="1" si="927"/>
        <v>8.4735639663713584</v>
      </c>
      <c r="BK586" s="21">
        <f t="shared" ca="1" si="927"/>
        <v>8.4735639663713584</v>
      </c>
      <c r="BL586" s="21">
        <f t="shared" ca="1" si="927"/>
        <v>8.4735639663713584</v>
      </c>
      <c r="BM586" s="21">
        <f t="shared" ca="1" si="927"/>
        <v>8.4735639663713584</v>
      </c>
      <c r="BN586" s="21">
        <f t="shared" ca="1" si="927"/>
        <v>8.4735639663713584</v>
      </c>
      <c r="BO586" s="21"/>
      <c r="BP586" s="613">
        <f ca="1">SUMPRODUCT(BI$383:BO$383,BI586:BO586)/BP$383</f>
        <v>8.4735639663713584</v>
      </c>
    </row>
    <row r="587" spans="2:68" ht="13.2" customHeight="1">
      <c r="B587" s="280" t="s">
        <v>2160</v>
      </c>
      <c r="C587" s="297"/>
      <c r="D587" s="297"/>
      <c r="E587" s="297"/>
      <c r="F587" s="297"/>
      <c r="G587" s="3738"/>
      <c r="H587" s="3739"/>
      <c r="I587" s="3739"/>
      <c r="J587" s="3739"/>
      <c r="K587" s="3739"/>
      <c r="L587" s="3922"/>
      <c r="O587" s="136">
        <f>ROW()</f>
        <v>587</v>
      </c>
      <c r="P587" s="21">
        <f t="shared" ref="P587:U587" ca="1" si="928">($I$79)*60/P582</f>
        <v>18.614023412292795</v>
      </c>
      <c r="Q587" s="21">
        <f t="shared" ca="1" si="928"/>
        <v>32.14516887610116</v>
      </c>
      <c r="R587" s="21">
        <f t="shared" ca="1" si="928"/>
        <v>43.135835265465303</v>
      </c>
      <c r="S587" s="21">
        <f t="shared" ca="1" si="928"/>
        <v>48.152120595303899</v>
      </c>
      <c r="T587" s="21">
        <f t="shared" ca="1" si="928"/>
        <v>37.401402500714674</v>
      </c>
      <c r="U587" s="21">
        <f t="shared" ca="1" si="928"/>
        <v>30.538504835947457</v>
      </c>
      <c r="V587" s="21"/>
      <c r="W587" s="613">
        <f ca="1">SUMPRODUCT(P$476:V$476,P587:V587)/W$476</f>
        <v>34.145741131933868</v>
      </c>
      <c r="Y587" s="21">
        <f t="shared" ref="Y587:AD587" ca="1" si="929">($J$79)*60/Y582</f>
        <v>18.614023412292795</v>
      </c>
      <c r="Z587" s="21">
        <f t="shared" ca="1" si="929"/>
        <v>32.14516887610116</v>
      </c>
      <c r="AA587" s="21">
        <f t="shared" ca="1" si="929"/>
        <v>43.135835265465303</v>
      </c>
      <c r="AB587" s="21">
        <f t="shared" ca="1" si="929"/>
        <v>48.152120595303899</v>
      </c>
      <c r="AC587" s="21">
        <f t="shared" ca="1" si="929"/>
        <v>37.401402500714674</v>
      </c>
      <c r="AD587" s="21">
        <f t="shared" ca="1" si="929"/>
        <v>30.538504835947457</v>
      </c>
      <c r="AE587" s="21"/>
      <c r="AF587" s="613">
        <f ca="1">SUMPRODUCT(Y$476:AE$476,Y587:AE587)/AF$476</f>
        <v>35.865476904421499</v>
      </c>
      <c r="AH587" s="21">
        <f t="shared" ref="AH587:AM587" ca="1" si="930">($K$79)*60/AH582</f>
        <v>27.921035118439193</v>
      </c>
      <c r="AI587" s="21">
        <f t="shared" ca="1" si="930"/>
        <v>48.217753314151743</v>
      </c>
      <c r="AJ587" s="21">
        <f t="shared" ca="1" si="930"/>
        <v>64.703752898197962</v>
      </c>
      <c r="AK587" s="21">
        <f t="shared" ca="1" si="930"/>
        <v>72.228180892955848</v>
      </c>
      <c r="AL587" s="21">
        <f t="shared" ca="1" si="930"/>
        <v>56.102103751072008</v>
      </c>
      <c r="AM587" s="21">
        <f t="shared" ca="1" si="930"/>
        <v>45.807757253921181</v>
      </c>
      <c r="AN587" s="21"/>
      <c r="AO587" s="613">
        <f ca="1">SUMPRODUCT(AH$476:AN$476,AH587:AN587)/AO$476</f>
        <v>51.258661856399968</v>
      </c>
      <c r="AQ587" s="21">
        <f t="shared" ref="AQ587:AV587" ca="1" si="931">($L$79)*60/AQ582</f>
        <v>6.6752586428558818</v>
      </c>
      <c r="AR587" s="21">
        <f t="shared" ca="1" si="931"/>
        <v>11.527723566982743</v>
      </c>
      <c r="AS587" s="21">
        <f t="shared" ca="1" si="931"/>
        <v>15.469135865728305</v>
      </c>
      <c r="AT587" s="21">
        <f t="shared" ca="1" si="931"/>
        <v>17.268048506018772</v>
      </c>
      <c r="AU587" s="21">
        <f t="shared" ca="1" si="931"/>
        <v>13.412685144306193</v>
      </c>
      <c r="AV587" s="21">
        <f t="shared" ca="1" si="931"/>
        <v>10.951550550400041</v>
      </c>
      <c r="AW587" s="21"/>
      <c r="AX587" s="613">
        <f ca="1">SUMPRODUCT(AQ$476:AW$476,AQ587:AW587)/AX$476</f>
        <v>11.754191406975142</v>
      </c>
      <c r="AZ587" s="21">
        <f t="shared" ref="AZ587:BE587" ca="1" si="932">($M$79)*60/AZ582</f>
        <v>14.022857669150444</v>
      </c>
      <c r="BA587" s="21">
        <f t="shared" ca="1" si="932"/>
        <v>24.216533842043113</v>
      </c>
      <c r="BB587" s="21">
        <f t="shared" ca="1" si="932"/>
        <v>32.496342406449827</v>
      </c>
      <c r="BC587" s="21">
        <f t="shared" ca="1" si="932"/>
        <v>36.275356413798683</v>
      </c>
      <c r="BD587" s="21">
        <f t="shared" ca="1" si="932"/>
        <v>28.176312679813417</v>
      </c>
      <c r="BE587" s="21">
        <f t="shared" ca="1" si="932"/>
        <v>23.006154943393042</v>
      </c>
      <c r="BF587" s="21"/>
      <c r="BG587" s="613">
        <f ca="1">SUMPRODUCT(AZ$476:BF$476,AZ587:BF587)/BG$476</f>
        <v>26.204257443950436</v>
      </c>
      <c r="BI587" s="21">
        <f t="shared" ref="BI587:BN587" ca="1" si="933">($N$79)*60/BI582</f>
        <v>19.212020659767152</v>
      </c>
      <c r="BJ587" s="21">
        <f t="shared" ca="1" si="933"/>
        <v>33.177869979013288</v>
      </c>
      <c r="BK587" s="21">
        <f t="shared" ca="1" si="933"/>
        <v>44.521624365699289</v>
      </c>
      <c r="BL587" s="21">
        <f t="shared" ca="1" si="933"/>
        <v>49.699063721905361</v>
      </c>
      <c r="BM587" s="21">
        <f t="shared" ca="1" si="933"/>
        <v>38.602966249277351</v>
      </c>
      <c r="BN587" s="21">
        <f t="shared" ca="1" si="933"/>
        <v>31.519589979625675</v>
      </c>
      <c r="BO587" s="21"/>
      <c r="BP587" s="613">
        <f ca="1">SUMPRODUCT(BI$476:BO$476,BI587:BO587)/BP$476</f>
        <v>35.960008699144879</v>
      </c>
    </row>
    <row r="588" spans="2:68" ht="13.2" customHeight="1">
      <c r="B588" s="280" t="s">
        <v>1138</v>
      </c>
      <c r="C588" s="297"/>
      <c r="D588" s="297"/>
      <c r="E588" s="297"/>
      <c r="F588" s="297"/>
      <c r="G588" s="3738"/>
      <c r="H588" s="3739"/>
      <c r="I588" s="3739"/>
      <c r="J588" s="3739"/>
      <c r="K588" s="3739"/>
      <c r="L588" s="3922"/>
      <c r="O588" s="136">
        <f>ROW()</f>
        <v>588</v>
      </c>
      <c r="P588" s="21">
        <f t="shared" ref="P588:U588" ca="1" si="934">60*$I$79/(1/($P$135/$P582+$Q$135/$Q582+$R$135/$R582+$S$135/$S582+$T$135/$T582+$U$135/$U582))</f>
        <v>33.840728693422982</v>
      </c>
      <c r="Q588" s="21">
        <f t="shared" ca="1" si="934"/>
        <v>33.840728693422982</v>
      </c>
      <c r="R588" s="21">
        <f t="shared" ca="1" si="934"/>
        <v>33.840728693422982</v>
      </c>
      <c r="S588" s="21">
        <f t="shared" ca="1" si="934"/>
        <v>33.840728693422982</v>
      </c>
      <c r="T588" s="21">
        <f t="shared" ca="1" si="934"/>
        <v>33.840728693422982</v>
      </c>
      <c r="U588" s="21">
        <f t="shared" ca="1" si="934"/>
        <v>33.840728693422982</v>
      </c>
      <c r="V588" s="21"/>
      <c r="W588" s="613">
        <f ca="1">SUMPRODUCT(P$476:V$476,P588:V588)/W$476</f>
        <v>33.840728693422975</v>
      </c>
      <c r="Y588" s="21">
        <f t="shared" ref="Y588:AD588" ca="1" si="935">60*$J$79/(1/($Y$135/$Y582+$Z$135/$Z582+$AA$135/$AA582+$AB$135/$AB582+$AC$135/$AC582+$AD$135/$AD582))</f>
        <v>33.840728693422975</v>
      </c>
      <c r="Z588" s="21">
        <f t="shared" ca="1" si="935"/>
        <v>33.840728693422975</v>
      </c>
      <c r="AA588" s="21">
        <f t="shared" ca="1" si="935"/>
        <v>33.840728693422975</v>
      </c>
      <c r="AB588" s="21">
        <f t="shared" ca="1" si="935"/>
        <v>33.840728693422975</v>
      </c>
      <c r="AC588" s="21">
        <f t="shared" ca="1" si="935"/>
        <v>33.840728693422975</v>
      </c>
      <c r="AD588" s="21">
        <f t="shared" ca="1" si="935"/>
        <v>33.840728693422975</v>
      </c>
      <c r="AE588" s="21"/>
      <c r="AF588" s="613">
        <f ca="1">SUMPRODUCT(Y$476:AE$476,Y588:AE588)/AF$476</f>
        <v>33.840728693422975</v>
      </c>
      <c r="AH588" s="21">
        <f t="shared" ref="AH588:AM588" ca="1" si="936">AH587</f>
        <v>27.921035118439193</v>
      </c>
      <c r="AI588" s="21">
        <f t="shared" ca="1" si="936"/>
        <v>48.217753314151743</v>
      </c>
      <c r="AJ588" s="21">
        <f t="shared" ca="1" si="936"/>
        <v>64.703752898197962</v>
      </c>
      <c r="AK588" s="21">
        <f t="shared" ca="1" si="936"/>
        <v>72.228180892955848</v>
      </c>
      <c r="AL588" s="21">
        <f t="shared" ca="1" si="936"/>
        <v>56.102103751072008</v>
      </c>
      <c r="AM588" s="21">
        <f t="shared" ca="1" si="936"/>
        <v>45.807757253921181</v>
      </c>
      <c r="AN588" s="21"/>
      <c r="AO588" s="613">
        <f ca="1">SUMPRODUCT(AH$476:AN$476,AH588:AN588)/AO$476</f>
        <v>51.258661856399968</v>
      </c>
      <c r="AX588" s="613"/>
      <c r="AZ588" s="21">
        <f t="shared" ref="AZ588:BE588" ca="1" si="937">60*$M$79/(1/($AZ$135/$AZ582+$BA$135/$BA582+$BB$135/$BB582+$BC$135/$BC582+$BD$135/$BD582+$BE$135/$BE582))</f>
        <v>25.49388229386317</v>
      </c>
      <c r="BA588" s="21">
        <f t="shared" ca="1" si="937"/>
        <v>25.49388229386317</v>
      </c>
      <c r="BB588" s="21">
        <f t="shared" ca="1" si="937"/>
        <v>25.49388229386317</v>
      </c>
      <c r="BC588" s="21">
        <f t="shared" ca="1" si="937"/>
        <v>25.49388229386317</v>
      </c>
      <c r="BD588" s="21">
        <f t="shared" ca="1" si="937"/>
        <v>25.49388229386317</v>
      </c>
      <c r="BE588" s="21">
        <f t="shared" ca="1" si="937"/>
        <v>25.49388229386317</v>
      </c>
      <c r="BF588" s="21"/>
      <c r="BG588" s="613">
        <f ca="1">SUMPRODUCT(AZ$476:BF$476,AZ588:BF588)/BG$476</f>
        <v>25.49388229386317</v>
      </c>
      <c r="BI588" s="21">
        <f t="shared" ref="BI588:BN588" ca="1" si="938">60*$N$79/(1/($BI$135/$BI582+$BJ$135/$BJ582+$BK$135/$BK582+$BL$135/$BL582+$BM$135/$BM582+$BN$135/$BN582))</f>
        <v>34.927901636260742</v>
      </c>
      <c r="BJ588" s="21">
        <f t="shared" ca="1" si="938"/>
        <v>34.927901636260742</v>
      </c>
      <c r="BK588" s="21">
        <f t="shared" ca="1" si="938"/>
        <v>34.927901636260742</v>
      </c>
      <c r="BL588" s="21">
        <f t="shared" ca="1" si="938"/>
        <v>34.927901636260742</v>
      </c>
      <c r="BM588" s="21">
        <f t="shared" ca="1" si="938"/>
        <v>34.927901636260742</v>
      </c>
      <c r="BN588" s="21">
        <f t="shared" ca="1" si="938"/>
        <v>34.927901636260742</v>
      </c>
      <c r="BO588" s="21"/>
      <c r="BP588" s="613">
        <f ca="1">SUMPRODUCT(BI$476:BO$476,BI588:BO588)/BP$476</f>
        <v>34.927901636260742</v>
      </c>
    </row>
    <row r="589" spans="2:68" ht="13.2" customHeight="1">
      <c r="B589" s="308" t="s">
        <v>2243</v>
      </c>
      <c r="C589" s="297"/>
      <c r="D589" s="297"/>
      <c r="E589" s="297"/>
      <c r="F589" s="297"/>
      <c r="G589" s="3741"/>
      <c r="H589" s="3742"/>
      <c r="I589" s="3742"/>
      <c r="J589" s="3742"/>
      <c r="K589" s="3742"/>
      <c r="L589" s="3777"/>
      <c r="O589" s="136">
        <f>ROW()</f>
        <v>589</v>
      </c>
      <c r="P589" s="21">
        <f t="shared" ref="P589:W589" ca="1" si="939">SUM(P585:P588)</f>
        <v>63.285111630903998</v>
      </c>
      <c r="Q589" s="21">
        <f t="shared" ca="1" si="939"/>
        <v>78.093185420891018</v>
      </c>
      <c r="R589" s="21">
        <f t="shared" ca="1" si="939"/>
        <v>90.79928833490105</v>
      </c>
      <c r="S589" s="21">
        <f t="shared" ca="1" si="939"/>
        <v>96.897378118206461</v>
      </c>
      <c r="T589" s="21">
        <f t="shared" ca="1" si="939"/>
        <v>84.398488522294173</v>
      </c>
      <c r="U589" s="21">
        <f t="shared" ca="1" si="939"/>
        <v>76.392234966585903</v>
      </c>
      <c r="V589" s="21"/>
      <c r="W589" s="614">
        <f t="shared" ca="1" si="939"/>
        <v>80.726948062759305</v>
      </c>
      <c r="Y589" s="21">
        <f t="shared" ref="Y589:AD589" ca="1" si="940">SUM(Y585:Y588)</f>
        <v>63.285111630903991</v>
      </c>
      <c r="Z589" s="21">
        <f t="shared" ca="1" si="940"/>
        <v>78.093185420891018</v>
      </c>
      <c r="AA589" s="21">
        <f t="shared" ca="1" si="940"/>
        <v>90.799288334901036</v>
      </c>
      <c r="AB589" s="21">
        <f t="shared" ca="1" si="940"/>
        <v>96.897378118206461</v>
      </c>
      <c r="AC589" s="21">
        <f t="shared" ca="1" si="940"/>
        <v>84.398488522294173</v>
      </c>
      <c r="AD589" s="21">
        <f t="shared" ca="1" si="940"/>
        <v>76.392234966585903</v>
      </c>
      <c r="AE589" s="21"/>
      <c r="AF589" s="614">
        <f ca="1">SUM(AF585:AF588)</f>
        <v>82.686341187946923</v>
      </c>
      <c r="AH589" s="21">
        <f t="shared" ref="AH589:AO589" ca="1" si="941">SUM(AH585:AH588)</f>
        <v>64.195751797643169</v>
      </c>
      <c r="AI589" s="21">
        <f t="shared" ca="1" si="941"/>
        <v>107.17278773126843</v>
      </c>
      <c r="AJ589" s="21">
        <f t="shared" ca="1" si="941"/>
        <v>143.34693507869986</v>
      </c>
      <c r="AK589" s="21">
        <f t="shared" ca="1" si="941"/>
        <v>160.4151593813537</v>
      </c>
      <c r="AL589" s="21">
        <f t="shared" ca="1" si="941"/>
        <v>124.89975162844961</v>
      </c>
      <c r="AM589" s="21">
        <f t="shared" ca="1" si="941"/>
        <v>102.17679430439134</v>
      </c>
      <c r="AN589" s="21"/>
      <c r="AO589" s="614">
        <f t="shared" ca="1" si="941"/>
        <v>114.46211550887332</v>
      </c>
      <c r="AQ589" s="21">
        <f t="shared" ref="AQ589:AX589" ca="1" si="942">AQ585+AQ587</f>
        <v>12.956222222378273</v>
      </c>
      <c r="AR589" s="21">
        <f t="shared" ca="1" si="942"/>
        <v>19.60086725342255</v>
      </c>
      <c r="AS589" s="21">
        <f t="shared" ca="1" si="942"/>
        <v>25.949909762197414</v>
      </c>
      <c r="AT589" s="21">
        <f t="shared" ca="1" si="942"/>
        <v>29.267144442441321</v>
      </c>
      <c r="AU589" s="21">
        <f t="shared" ca="1" si="942"/>
        <v>22.958207043784085</v>
      </c>
      <c r="AV589" s="21">
        <f t="shared" ca="1" si="942"/>
        <v>18.892362427504537</v>
      </c>
      <c r="AW589" s="21"/>
      <c r="AX589" s="614">
        <f t="shared" ca="1" si="942"/>
        <v>20.486078315787584</v>
      </c>
      <c r="AZ589" s="21">
        <f t="shared" ref="AZ589:BE589" ca="1" si="943">SUM(AZ585:AZ588)</f>
        <v>61.177459013390049</v>
      </c>
      <c r="BA589" s="21">
        <f t="shared" ca="1" si="943"/>
        <v>73.92499183864004</v>
      </c>
      <c r="BB589" s="21">
        <f t="shared" ca="1" si="943"/>
        <v>85.635673452338523</v>
      </c>
      <c r="BC589" s="21">
        <f t="shared" ca="1" si="943"/>
        <v>91.578296366621018</v>
      </c>
      <c r="BD589" s="21">
        <f t="shared" ca="1" si="943"/>
        <v>79.982909629989621</v>
      </c>
      <c r="BE589" s="21">
        <f t="shared" ca="1" si="943"/>
        <v>72.526040111687152</v>
      </c>
      <c r="BF589" s="21"/>
      <c r="BG589" s="614">
        <f ca="1">SUM(BG585:BG588)</f>
        <v>77.361840314680336</v>
      </c>
      <c r="BI589" s="21">
        <f t="shared" ref="BI589:BP589" ca="1" si="944">SUM(BI585:BI588)</f>
        <v>68.580401662945519</v>
      </c>
      <c r="BJ589" s="21">
        <f t="shared" ca="1" si="944"/>
        <v>84.248822083763201</v>
      </c>
      <c r="BK589" s="21">
        <f t="shared" ca="1" si="944"/>
        <v>97.879825169977039</v>
      </c>
      <c r="BL589" s="21">
        <f t="shared" ca="1" si="944"/>
        <v>104.49967046413889</v>
      </c>
      <c r="BM589" s="21">
        <f t="shared" ca="1" si="944"/>
        <v>91.072677656413447</v>
      </c>
      <c r="BN589" s="21">
        <f t="shared" ca="1" si="944"/>
        <v>82.46482686550705</v>
      </c>
      <c r="BO589" s="21"/>
      <c r="BP589" s="614">
        <f t="shared" ca="1" si="944"/>
        <v>88.006696927152447</v>
      </c>
    </row>
    <row r="590" spans="2:68" ht="13.2" customHeight="1">
      <c r="B590" s="280"/>
      <c r="G590" s="280"/>
      <c r="O590" s="136">
        <f>ROW()</f>
        <v>590</v>
      </c>
      <c r="P590" s="117"/>
      <c r="Q590" s="117"/>
      <c r="R590" s="117"/>
      <c r="S590" s="117"/>
      <c r="T590" s="117"/>
      <c r="U590" s="117"/>
      <c r="V590" s="117"/>
      <c r="W590" s="117"/>
      <c r="Y590" s="117"/>
      <c r="Z590" s="117"/>
      <c r="AA590" s="117"/>
      <c r="AB590" s="117"/>
      <c r="AC590" s="117"/>
      <c r="AD590" s="117"/>
      <c r="AE590" s="117"/>
      <c r="AF590" s="117"/>
      <c r="AH590" s="117"/>
      <c r="AI590" s="117"/>
      <c r="AJ590" s="117"/>
      <c r="AK590" s="117"/>
      <c r="AL590" s="117"/>
      <c r="AM590" s="117"/>
      <c r="AN590" s="117"/>
      <c r="AO590" s="117"/>
      <c r="AQ590" s="117"/>
      <c r="AR590" s="117"/>
      <c r="AS590" s="117"/>
      <c r="AT590" s="117"/>
      <c r="AU590" s="117"/>
      <c r="AV590" s="117"/>
      <c r="AW590" s="117"/>
      <c r="AX590" s="117"/>
      <c r="AZ590" s="117"/>
      <c r="BA590" s="117"/>
      <c r="BB590" s="117"/>
      <c r="BC590" s="117"/>
      <c r="BD590" s="117"/>
      <c r="BE590" s="117"/>
      <c r="BF590" s="117"/>
      <c r="BG590" s="117"/>
      <c r="BI590" s="117"/>
      <c r="BJ590" s="117"/>
      <c r="BK590" s="117"/>
      <c r="BL590" s="117"/>
      <c r="BM590" s="117"/>
      <c r="BN590" s="117"/>
      <c r="BO590" s="117"/>
      <c r="BP590" s="117"/>
    </row>
    <row r="591" spans="2:68" ht="13.2" customHeight="1">
      <c r="B591" s="308" t="s">
        <v>1345</v>
      </c>
      <c r="G591" s="4285" t="s">
        <v>2351</v>
      </c>
      <c r="H591" s="3970"/>
      <c r="I591" s="3970"/>
      <c r="J591" s="3970"/>
      <c r="K591" s="3970"/>
      <c r="L591" s="3971"/>
      <c r="O591" s="136">
        <f>ROW()</f>
        <v>591</v>
      </c>
      <c r="P591" s="117">
        <f t="shared" ref="P591:W591" ca="1" si="945">P589/P541</f>
        <v>1.0167089278897243</v>
      </c>
      <c r="Q591" s="117">
        <f t="shared" ca="1" si="945"/>
        <v>1.0198662613123546</v>
      </c>
      <c r="R591" s="117">
        <f t="shared" ca="1" si="945"/>
        <v>1.0309252678086323</v>
      </c>
      <c r="S591" s="117">
        <f t="shared" ca="1" si="945"/>
        <v>1.0369487561275963</v>
      </c>
      <c r="T591" s="117">
        <f t="shared" ca="1" si="945"/>
        <v>1.0259411518251469</v>
      </c>
      <c r="U591" s="117">
        <f t="shared" ca="1" si="945"/>
        <v>1.0197980317517397</v>
      </c>
      <c r="V591" s="117"/>
      <c r="W591" s="117">
        <f t="shared" ca="1" si="945"/>
        <v>1.0263141339999464</v>
      </c>
      <c r="Y591" s="117">
        <f t="shared" ref="Y591:AF591" ca="1" si="946">Y589/Y541</f>
        <v>1.0167089278897243</v>
      </c>
      <c r="Z591" s="117">
        <f t="shared" ca="1" si="946"/>
        <v>1.0198662613123548</v>
      </c>
      <c r="AA591" s="117">
        <f t="shared" ca="1" si="946"/>
        <v>1.0309252678086323</v>
      </c>
      <c r="AB591" s="117">
        <f t="shared" ca="1" si="946"/>
        <v>1.0369487561275963</v>
      </c>
      <c r="AC591" s="117">
        <f t="shared" ca="1" si="946"/>
        <v>1.0259411518251471</v>
      </c>
      <c r="AD591" s="117">
        <f t="shared" ca="1" si="946"/>
        <v>1.0197980317517399</v>
      </c>
      <c r="AE591" s="117"/>
      <c r="AF591" s="117">
        <f t="shared" ca="1" si="946"/>
        <v>1.027494885125638</v>
      </c>
      <c r="AH591" s="117">
        <f t="shared" ref="AH591:AO591" ca="1" si="947">AH589/AH541</f>
        <v>1.0002187776759803</v>
      </c>
      <c r="AI591" s="117">
        <f t="shared" ca="1" si="947"/>
        <v>1.012751958898928</v>
      </c>
      <c r="AJ591" s="117">
        <f t="shared" ca="1" si="947"/>
        <v>1.0341656147453813</v>
      </c>
      <c r="AK591" s="117">
        <f t="shared" ca="1" si="947"/>
        <v>1.0440265732885803</v>
      </c>
      <c r="AL591" s="117">
        <f t="shared" ca="1" si="947"/>
        <v>1.0252131944377243</v>
      </c>
      <c r="AM591" s="117">
        <f t="shared" ca="1" si="947"/>
        <v>1.0123542853833567</v>
      </c>
      <c r="AN591" s="117"/>
      <c r="AO591" s="117">
        <f t="shared" ca="1" si="947"/>
        <v>1.0261591636978926</v>
      </c>
      <c r="AQ591" s="117">
        <f t="shared" ref="AQ591:AX591" ca="1" si="948">AQ589/AQ541</f>
        <v>1.0018921064160615</v>
      </c>
      <c r="AR591" s="117">
        <f t="shared" ca="1" si="948"/>
        <v>1.0153657571848416</v>
      </c>
      <c r="AS591" s="117">
        <f t="shared" ca="1" si="948"/>
        <v>1.0372533868914384</v>
      </c>
      <c r="AT591" s="117">
        <f t="shared" ca="1" si="948"/>
        <v>1.0479385185862329</v>
      </c>
      <c r="AU591" s="117">
        <f t="shared" ca="1" si="948"/>
        <v>1.0279211765705438</v>
      </c>
      <c r="AV591" s="117">
        <f t="shared" ca="1" si="948"/>
        <v>1.0146064306905358</v>
      </c>
      <c r="AW591" s="117"/>
      <c r="AX591" s="117">
        <f t="shared" ca="1" si="948"/>
        <v>1.0268844600724207</v>
      </c>
      <c r="AZ591" s="117">
        <f t="shared" ref="AZ591:BG591" ca="1" si="949">AZ589/AZ541</f>
        <v>1.0175718608581279</v>
      </c>
      <c r="BA591" s="117">
        <f t="shared" ca="1" si="949"/>
        <v>1.0212434454950359</v>
      </c>
      <c r="BB591" s="117">
        <f t="shared" ca="1" si="949"/>
        <v>1.0323964815491689</v>
      </c>
      <c r="BC591" s="117">
        <f t="shared" ca="1" si="949"/>
        <v>1.0386746804445024</v>
      </c>
      <c r="BD591" s="117">
        <f t="shared" ca="1" si="949"/>
        <v>1.0273242790804102</v>
      </c>
      <c r="BE591" s="117">
        <f t="shared" ca="1" si="949"/>
        <v>1.0210605426103487</v>
      </c>
      <c r="BF591" s="117"/>
      <c r="BG591" s="117">
        <f t="shared" ca="1" si="949"/>
        <v>1.0280807743979232</v>
      </c>
      <c r="BI591" s="117">
        <f t="shared" ref="BI591:BP591" ca="1" si="950">BI589/BI541</f>
        <v>1.0168947938451822</v>
      </c>
      <c r="BJ591" s="117">
        <f t="shared" ca="1" si="950"/>
        <v>1.0201579220968702</v>
      </c>
      <c r="BK591" s="117">
        <f t="shared" ca="1" si="950"/>
        <v>1.0312359163087266</v>
      </c>
      <c r="BL591" s="117">
        <f t="shared" ca="1" si="950"/>
        <v>1.0373137204451035</v>
      </c>
      <c r="BM591" s="117">
        <f t="shared" ca="1" si="950"/>
        <v>1.0262343293410419</v>
      </c>
      <c r="BN591" s="117">
        <f t="shared" ca="1" si="950"/>
        <v>1.020066045810637</v>
      </c>
      <c r="BO591" s="117"/>
      <c r="BP591" s="117">
        <f t="shared" ca="1" si="950"/>
        <v>1.02708468682175</v>
      </c>
    </row>
    <row r="592" spans="2:68" ht="13.2" customHeight="1">
      <c r="B592" s="280"/>
      <c r="G592" s="280"/>
      <c r="O592" s="136">
        <f>ROW()</f>
        <v>592</v>
      </c>
      <c r="P592" s="117"/>
      <c r="Q592" s="117"/>
      <c r="R592" s="117"/>
      <c r="S592" s="117"/>
      <c r="T592" s="117"/>
      <c r="U592" s="117"/>
      <c r="V592" s="117"/>
      <c r="W592" s="117"/>
      <c r="Y592" s="117"/>
      <c r="Z592" s="117"/>
      <c r="AA592" s="117"/>
      <c r="AB592" s="117"/>
      <c r="AC592" s="117"/>
      <c r="AD592" s="117"/>
      <c r="AE592" s="117"/>
      <c r="AF592" s="117"/>
      <c r="AH592" s="117"/>
      <c r="AI592" s="117"/>
      <c r="AJ592" s="117"/>
      <c r="AK592" s="117"/>
      <c r="AL592" s="117"/>
      <c r="AM592" s="117"/>
      <c r="AN592" s="117"/>
      <c r="AO592" s="117"/>
      <c r="AQ592" s="117"/>
      <c r="AR592" s="117"/>
      <c r="AS592" s="117"/>
      <c r="AT592" s="117"/>
      <c r="AU592" s="117"/>
      <c r="AV592" s="117"/>
      <c r="AW592" s="117"/>
      <c r="AX592" s="117"/>
      <c r="AZ592" s="117"/>
      <c r="BA592" s="117"/>
      <c r="BB592" s="117"/>
      <c r="BC592" s="117"/>
      <c r="BD592" s="117"/>
      <c r="BE592" s="117"/>
      <c r="BF592" s="117"/>
      <c r="BG592" s="117"/>
      <c r="BI592" s="117"/>
      <c r="BJ592" s="117"/>
      <c r="BK592" s="117"/>
      <c r="BL592" s="117"/>
      <c r="BM592" s="117"/>
      <c r="BN592" s="117"/>
      <c r="BO592" s="117"/>
      <c r="BP592" s="117"/>
    </row>
    <row r="593" spans="2:68" ht="13.2" customHeight="1">
      <c r="B593" s="308" t="s">
        <v>1571</v>
      </c>
      <c r="G593" s="280"/>
      <c r="O593" s="136">
        <f>ROW()</f>
        <v>593</v>
      </c>
      <c r="P593" s="117"/>
      <c r="Q593" s="117"/>
      <c r="R593" s="117"/>
      <c r="S593" s="117"/>
      <c r="T593" s="117"/>
      <c r="U593" s="117"/>
      <c r="V593" s="117"/>
      <c r="W593" s="117"/>
      <c r="Y593" s="117"/>
      <c r="Z593" s="117"/>
      <c r="AA593" s="117"/>
      <c r="AB593" s="117"/>
      <c r="AC593" s="117"/>
      <c r="AD593" s="117"/>
      <c r="AE593" s="117"/>
      <c r="AF593" s="117"/>
      <c r="AH593" s="117"/>
      <c r="AI593" s="117"/>
      <c r="AJ593" s="117"/>
      <c r="AK593" s="117"/>
      <c r="AL593" s="117"/>
      <c r="AM593" s="117"/>
      <c r="AN593" s="117"/>
      <c r="AO593" s="117"/>
      <c r="AQ593" s="117"/>
      <c r="AR593" s="117"/>
      <c r="AS593" s="117"/>
      <c r="AT593" s="117"/>
      <c r="AU593" s="117"/>
      <c r="AV593" s="117"/>
      <c r="AW593" s="117"/>
      <c r="AX593" s="117"/>
      <c r="AZ593" s="117"/>
      <c r="BA593" s="117"/>
      <c r="BB593" s="117"/>
      <c r="BC593" s="117"/>
      <c r="BD593" s="117"/>
      <c r="BE593" s="117"/>
      <c r="BF593" s="117"/>
      <c r="BG593" s="117"/>
      <c r="BI593" s="117"/>
      <c r="BJ593" s="117"/>
      <c r="BK593" s="117"/>
      <c r="BL593" s="117"/>
      <c r="BM593" s="117"/>
      <c r="BN593" s="117"/>
      <c r="BO593" s="117"/>
      <c r="BP593" s="117"/>
    </row>
    <row r="594" spans="2:68" ht="13.2" customHeight="1">
      <c r="B594" s="280" t="s">
        <v>2533</v>
      </c>
      <c r="G594" s="21">
        <f t="shared" ref="G594:L594" ca="1" si="951">AVERAGE(G$581,G$533,G$481,G$403)</f>
        <v>20.153437623549191</v>
      </c>
      <c r="H594" s="21">
        <f t="shared" ca="1" si="951"/>
        <v>15.834368681081532</v>
      </c>
      <c r="I594" s="21">
        <f t="shared" ca="1" si="951"/>
        <v>12.340873369278514</v>
      </c>
      <c r="J594" s="21">
        <f t="shared" ca="1" si="951"/>
        <v>10.840877580444777</v>
      </c>
      <c r="K594" s="21">
        <f t="shared" ca="1" si="951"/>
        <v>13.514059380534693</v>
      </c>
      <c r="L594" s="21">
        <f t="shared" ca="1" si="951"/>
        <v>16.092166224528327</v>
      </c>
      <c r="M594" s="21"/>
      <c r="O594" s="136">
        <f>ROW()</f>
        <v>594</v>
      </c>
      <c r="P594" s="21">
        <f t="shared" ref="P594:U595" ca="1" si="952">G594</f>
        <v>20.153437623549191</v>
      </c>
      <c r="Q594" s="21">
        <f t="shared" ca="1" si="952"/>
        <v>15.834368681081532</v>
      </c>
      <c r="R594" s="21">
        <f t="shared" ca="1" si="952"/>
        <v>12.340873369278514</v>
      </c>
      <c r="S594" s="21">
        <f t="shared" ca="1" si="952"/>
        <v>10.840877580444777</v>
      </c>
      <c r="T594" s="21">
        <f t="shared" ca="1" si="952"/>
        <v>13.514059380534693</v>
      </c>
      <c r="U594" s="21">
        <f t="shared" ca="1" si="952"/>
        <v>16.092166224528327</v>
      </c>
      <c r="V594" s="21"/>
      <c r="Y594" s="21">
        <f t="shared" ref="Y594:AD595" ca="1" si="953">G594</f>
        <v>20.153437623549191</v>
      </c>
      <c r="Z594" s="21">
        <f t="shared" ca="1" si="953"/>
        <v>15.834368681081532</v>
      </c>
      <c r="AA594" s="21">
        <f t="shared" ca="1" si="953"/>
        <v>12.340873369278514</v>
      </c>
      <c r="AB594" s="21">
        <f t="shared" ca="1" si="953"/>
        <v>10.840877580444777</v>
      </c>
      <c r="AC594" s="21">
        <f t="shared" ca="1" si="953"/>
        <v>13.514059380534693</v>
      </c>
      <c r="AD594" s="21">
        <f t="shared" ca="1" si="953"/>
        <v>16.092166224528327</v>
      </c>
      <c r="AE594" s="21"/>
      <c r="AH594" s="21">
        <f t="shared" ref="AH594:AM595" ca="1" si="954">P594</f>
        <v>20.153437623549191</v>
      </c>
      <c r="AI594" s="21">
        <f t="shared" ca="1" si="954"/>
        <v>15.834368681081532</v>
      </c>
      <c r="AJ594" s="21">
        <f t="shared" ca="1" si="954"/>
        <v>12.340873369278514</v>
      </c>
      <c r="AK594" s="21">
        <f t="shared" ca="1" si="954"/>
        <v>10.840877580444777</v>
      </c>
      <c r="AL594" s="21">
        <f t="shared" ca="1" si="954"/>
        <v>13.514059380534693</v>
      </c>
      <c r="AM594" s="21">
        <f t="shared" ca="1" si="954"/>
        <v>16.092166224528327</v>
      </c>
      <c r="AN594" s="21"/>
      <c r="AQ594" s="21">
        <f t="shared" ref="AQ594:AV594" ca="1" si="955">G594*$AU$181</f>
        <v>19.145765742371729</v>
      </c>
      <c r="AR594" s="21">
        <f t="shared" ca="1" si="955"/>
        <v>15.042650247027455</v>
      </c>
      <c r="AS594" s="21">
        <f t="shared" ca="1" si="955"/>
        <v>11.723829700814587</v>
      </c>
      <c r="AT594" s="21">
        <f t="shared" ca="1" si="955"/>
        <v>10.298833701422538</v>
      </c>
      <c r="AU594" s="21">
        <f t="shared" ca="1" si="955"/>
        <v>12.838356411507958</v>
      </c>
      <c r="AV594" s="21">
        <f t="shared" ca="1" si="955"/>
        <v>15.28755791330191</v>
      </c>
      <c r="AW594" s="21"/>
      <c r="AZ594" s="21">
        <f t="shared" ref="AZ594:BE595" ca="1" si="956">G594</f>
        <v>20.153437623549191</v>
      </c>
      <c r="BA594" s="21">
        <f t="shared" ca="1" si="956"/>
        <v>15.834368681081532</v>
      </c>
      <c r="BB594" s="21">
        <f t="shared" ca="1" si="956"/>
        <v>12.340873369278514</v>
      </c>
      <c r="BC594" s="21">
        <f t="shared" ca="1" si="956"/>
        <v>10.840877580444777</v>
      </c>
      <c r="BD594" s="21">
        <f t="shared" ca="1" si="956"/>
        <v>13.514059380534693</v>
      </c>
      <c r="BE594" s="21">
        <f t="shared" ca="1" si="956"/>
        <v>16.092166224528327</v>
      </c>
      <c r="BF594" s="21"/>
      <c r="BG594" s="21"/>
      <c r="BI594" s="21">
        <f t="shared" ref="BI594:BN595" ca="1" si="957">G594</f>
        <v>20.153437623549191</v>
      </c>
      <c r="BJ594" s="21">
        <f t="shared" ca="1" si="957"/>
        <v>15.834368681081532</v>
      </c>
      <c r="BK594" s="21">
        <f t="shared" ca="1" si="957"/>
        <v>12.340873369278514</v>
      </c>
      <c r="BL594" s="21">
        <f t="shared" ca="1" si="957"/>
        <v>10.840877580444777</v>
      </c>
      <c r="BM594" s="21">
        <f t="shared" ca="1" si="957"/>
        <v>13.514059380534693</v>
      </c>
      <c r="BN594" s="21">
        <f t="shared" ca="1" si="957"/>
        <v>16.092166224528327</v>
      </c>
      <c r="BO594" s="21"/>
      <c r="BP594" s="21"/>
    </row>
    <row r="595" spans="2:68" ht="13.2" customHeight="1">
      <c r="B595" s="280" t="s">
        <v>2534</v>
      </c>
      <c r="G595" s="21">
        <f t="shared" ref="G595:L595" ca="1" si="958">AVERAGE(G$582,G$534,G$482,G$427)</f>
        <v>54.496847115886638</v>
      </c>
      <c r="H595" s="21">
        <f t="shared" ca="1" si="958"/>
        <v>31.424754417005516</v>
      </c>
      <c r="I595" s="21">
        <f t="shared" ca="1" si="958"/>
        <v>23.409235832200778</v>
      </c>
      <c r="J595" s="21">
        <f t="shared" ca="1" si="958"/>
        <v>20.99508218141537</v>
      </c>
      <c r="K595" s="21">
        <f t="shared" ca="1" si="958"/>
        <v>26.974078066084299</v>
      </c>
      <c r="L595" s="21">
        <f t="shared" ca="1" si="958"/>
        <v>33.065853355686023</v>
      </c>
      <c r="M595" s="21"/>
      <c r="O595" s="136">
        <f>ROW()</f>
        <v>595</v>
      </c>
      <c r="P595" s="21">
        <f t="shared" ca="1" si="952"/>
        <v>54.496847115886638</v>
      </c>
      <c r="Q595" s="21">
        <f t="shared" ca="1" si="952"/>
        <v>31.424754417005516</v>
      </c>
      <c r="R595" s="21">
        <f t="shared" ca="1" si="952"/>
        <v>23.409235832200778</v>
      </c>
      <c r="S595" s="21">
        <f t="shared" ca="1" si="952"/>
        <v>20.99508218141537</v>
      </c>
      <c r="T595" s="21">
        <f t="shared" ca="1" si="952"/>
        <v>26.974078066084299</v>
      </c>
      <c r="U595" s="21">
        <f t="shared" ca="1" si="952"/>
        <v>33.065853355686023</v>
      </c>
      <c r="V595" s="21"/>
      <c r="Y595" s="21">
        <f t="shared" ca="1" si="953"/>
        <v>54.496847115886638</v>
      </c>
      <c r="Z595" s="21">
        <f t="shared" ca="1" si="953"/>
        <v>31.424754417005516</v>
      </c>
      <c r="AA595" s="21">
        <f t="shared" ca="1" si="953"/>
        <v>23.409235832200778</v>
      </c>
      <c r="AB595" s="21">
        <f t="shared" ca="1" si="953"/>
        <v>20.99508218141537</v>
      </c>
      <c r="AC595" s="21">
        <f t="shared" ca="1" si="953"/>
        <v>26.974078066084299</v>
      </c>
      <c r="AD595" s="21">
        <f t="shared" ca="1" si="953"/>
        <v>33.065853355686023</v>
      </c>
      <c r="AE595" s="21"/>
      <c r="AH595" s="21">
        <f t="shared" ca="1" si="954"/>
        <v>54.496847115886638</v>
      </c>
      <c r="AI595" s="21">
        <f t="shared" ca="1" si="954"/>
        <v>31.424754417005516</v>
      </c>
      <c r="AJ595" s="21">
        <f t="shared" ca="1" si="954"/>
        <v>23.409235832200778</v>
      </c>
      <c r="AK595" s="21">
        <f t="shared" ca="1" si="954"/>
        <v>20.99508218141537</v>
      </c>
      <c r="AL595" s="21">
        <f t="shared" ca="1" si="954"/>
        <v>26.974078066084299</v>
      </c>
      <c r="AM595" s="21">
        <f t="shared" ca="1" si="954"/>
        <v>33.065853355686023</v>
      </c>
      <c r="AN595" s="21"/>
      <c r="AQ595" s="21">
        <f t="shared" ref="AQ595:AV595" ca="1" si="959">G595*$AV$181</f>
        <v>53.951878644727771</v>
      </c>
      <c r="AR595" s="21">
        <f t="shared" ca="1" si="959"/>
        <v>31.110506872835462</v>
      </c>
      <c r="AS595" s="21">
        <f t="shared" ca="1" si="959"/>
        <v>23.175143473878769</v>
      </c>
      <c r="AT595" s="21">
        <f t="shared" ca="1" si="959"/>
        <v>20.785131359601216</v>
      </c>
      <c r="AU595" s="21">
        <f t="shared" ca="1" si="959"/>
        <v>26.704337285423456</v>
      </c>
      <c r="AV595" s="21">
        <f t="shared" ca="1" si="959"/>
        <v>32.735194822129166</v>
      </c>
      <c r="AW595" s="21"/>
      <c r="AZ595" s="21">
        <f t="shared" ca="1" si="956"/>
        <v>54.496847115886638</v>
      </c>
      <c r="BA595" s="21">
        <f t="shared" ca="1" si="956"/>
        <v>31.424754417005516</v>
      </c>
      <c r="BB595" s="21">
        <f t="shared" ca="1" si="956"/>
        <v>23.409235832200778</v>
      </c>
      <c r="BC595" s="21">
        <f t="shared" ca="1" si="956"/>
        <v>20.99508218141537</v>
      </c>
      <c r="BD595" s="21">
        <f t="shared" ca="1" si="956"/>
        <v>26.974078066084299</v>
      </c>
      <c r="BE595" s="21">
        <f t="shared" ca="1" si="956"/>
        <v>33.065853355686023</v>
      </c>
      <c r="BF595" s="21"/>
      <c r="BG595" s="21"/>
      <c r="BI595" s="21">
        <f t="shared" ca="1" si="957"/>
        <v>54.496847115886638</v>
      </c>
      <c r="BJ595" s="21">
        <f t="shared" ca="1" si="957"/>
        <v>31.424754417005516</v>
      </c>
      <c r="BK595" s="21">
        <f t="shared" ca="1" si="957"/>
        <v>23.409235832200778</v>
      </c>
      <c r="BL595" s="21">
        <f t="shared" ca="1" si="957"/>
        <v>20.99508218141537</v>
      </c>
      <c r="BM595" s="21">
        <f t="shared" ca="1" si="957"/>
        <v>26.974078066084299</v>
      </c>
      <c r="BN595" s="21">
        <f t="shared" ca="1" si="957"/>
        <v>33.065853355686023</v>
      </c>
      <c r="BO595" s="21"/>
      <c r="BP595" s="21"/>
    </row>
    <row r="596" spans="2:68" ht="13.2" customHeight="1">
      <c r="B596" s="280"/>
      <c r="G596" s="280"/>
      <c r="O596" s="136">
        <f>ROW()</f>
        <v>596</v>
      </c>
      <c r="P596" s="117"/>
      <c r="Q596" s="117"/>
      <c r="R596" s="117"/>
      <c r="S596" s="117"/>
      <c r="T596" s="117"/>
      <c r="U596" s="117"/>
      <c r="V596" s="117"/>
      <c r="W596" s="117"/>
      <c r="Y596" s="117"/>
      <c r="Z596" s="117"/>
      <c r="AA596" s="117"/>
      <c r="AB596" s="117"/>
      <c r="AC596" s="117"/>
      <c r="AD596" s="117"/>
      <c r="AE596" s="117"/>
      <c r="AF596" s="117"/>
      <c r="AH596" s="117"/>
      <c r="AI596" s="117"/>
      <c r="AJ596" s="117"/>
      <c r="AK596" s="117"/>
      <c r="AL596" s="117"/>
      <c r="AM596" s="117"/>
      <c r="AN596" s="117"/>
      <c r="AO596" s="117"/>
      <c r="AQ596" s="117"/>
      <c r="AR596" s="117"/>
      <c r="AS596" s="117"/>
      <c r="AT596" s="117"/>
      <c r="AU596" s="117"/>
      <c r="AV596" s="117"/>
      <c r="AW596" s="117"/>
      <c r="AX596" s="117"/>
      <c r="AZ596" s="117"/>
      <c r="BA596" s="117"/>
      <c r="BB596" s="117"/>
      <c r="BC596" s="117"/>
      <c r="BD596" s="117"/>
      <c r="BE596" s="117"/>
      <c r="BF596" s="117"/>
      <c r="BG596" s="117"/>
      <c r="BI596" s="117"/>
      <c r="BJ596" s="117"/>
      <c r="BK596" s="117"/>
      <c r="BL596" s="117"/>
      <c r="BM596" s="117"/>
      <c r="BN596" s="117"/>
      <c r="BO596" s="117"/>
      <c r="BP596" s="117"/>
    </row>
    <row r="597" spans="2:68" ht="13.2" customHeight="1">
      <c r="B597" s="6" t="s">
        <v>1643</v>
      </c>
      <c r="G597" s="948" t="s">
        <v>1472</v>
      </c>
      <c r="H597" s="948" t="s">
        <v>985</v>
      </c>
      <c r="I597" s="948" t="s">
        <v>987</v>
      </c>
      <c r="J597" s="948" t="s">
        <v>1367</v>
      </c>
      <c r="K597" s="948" t="s">
        <v>988</v>
      </c>
      <c r="L597" s="948" t="s">
        <v>986</v>
      </c>
      <c r="M597" s="948" t="s">
        <v>1638</v>
      </c>
      <c r="N597" s="948" t="s">
        <v>2684</v>
      </c>
      <c r="O597" s="136">
        <f>ROW()</f>
        <v>597</v>
      </c>
      <c r="P597" s="117">
        <f ca="1">P591^Elasticities!$G$52</f>
        <v>0.98356567210990731</v>
      </c>
      <c r="Q597" s="117">
        <f ca="1">Q591^Elasticities!$G$52</f>
        <v>0.98052071917077555</v>
      </c>
      <c r="R597" s="117">
        <f ca="1">R591^Elasticities!$G$52</f>
        <v>0.9700024155248731</v>
      </c>
      <c r="S597" s="117">
        <f ca="1">S591^Elasticities!$G$52</f>
        <v>0.96436780900767116</v>
      </c>
      <c r="T597" s="117">
        <f ca="1">T591^Elasticities!$G$52</f>
        <v>0.97471477600932799</v>
      </c>
      <c r="U597" s="117">
        <f ca="1">U591^Elasticities!$G$52</f>
        <v>0.98058632088382058</v>
      </c>
      <c r="V597" s="117"/>
      <c r="Y597" s="117">
        <f ca="1">Y591^Elasticities!$H$52</f>
        <v>0.98356567210990731</v>
      </c>
      <c r="Z597" s="117">
        <f ca="1">Z591^Elasticities!$H$52</f>
        <v>0.98052071917077532</v>
      </c>
      <c r="AA597" s="117">
        <f ca="1">AA591^Elasticities!$H$52</f>
        <v>0.9700024155248731</v>
      </c>
      <c r="AB597" s="117">
        <f ca="1">AB591^Elasticities!$H$52</f>
        <v>0.96436780900767116</v>
      </c>
      <c r="AC597" s="117">
        <f ca="1">AC591^Elasticities!$H$52</f>
        <v>0.97471477600932777</v>
      </c>
      <c r="AD597" s="117">
        <f ca="1">AD591^Elasticities!$H$52</f>
        <v>0.98058632088382036</v>
      </c>
      <c r="AE597" s="117"/>
      <c r="AH597" s="638">
        <f ca="1">AH591^Elasticities!$J$52</f>
        <v>0.99978127017722196</v>
      </c>
      <c r="AI597" s="117">
        <f ca="1">AI591^Elasticities!$J$52</f>
        <v>0.98740860603933855</v>
      </c>
      <c r="AJ597" s="117">
        <f ca="1">AJ591^Elasticities!$J$52</f>
        <v>0.96696311088065612</v>
      </c>
      <c r="AK597" s="117">
        <f ca="1">AK591^Elasticities!$J$52</f>
        <v>0.95783002615546375</v>
      </c>
      <c r="AL597" s="117">
        <f ca="1">AL591^Elasticities!$J$52</f>
        <v>0.97540687676034799</v>
      </c>
      <c r="AM597" s="117">
        <f ca="1">AM591^Elasticities!$J$52</f>
        <v>0.98779648038070156</v>
      </c>
      <c r="AN597" s="117"/>
      <c r="AQ597" s="117">
        <f ca="1">AQ591^Elasticities!$G$54</f>
        <v>0.99848888797129598</v>
      </c>
      <c r="AR597" s="117">
        <f ca="1">AR591^Elasticities!$G$54</f>
        <v>0.98787498801304841</v>
      </c>
      <c r="AS597" s="117">
        <f ca="1">AS591^Elasticities!$G$54</f>
        <v>0.97116296136049896</v>
      </c>
      <c r="AT597" s="117">
        <f ca="1">AT591^Elasticities!$G$54</f>
        <v>0.96323300891151953</v>
      </c>
      <c r="AU597" s="117">
        <f ca="1">AU591^Elasticities!$G$54</f>
        <v>0.9782101154155961</v>
      </c>
      <c r="AV597" s="117">
        <f ca="1">AV591^Elasticities!$G$54</f>
        <v>0.98846640041256206</v>
      </c>
      <c r="AW597" s="117"/>
      <c r="AZ597" s="117">
        <f ca="1">AZ591^(Elasticities!$J$64*Elasticities!$G$52)</f>
        <v>0.9942104044243546</v>
      </c>
      <c r="BA597" s="117">
        <f ca="1">BA591^(Elasticities!$J$64*Elasticities!$G$52)</f>
        <v>0.99301750865069327</v>
      </c>
      <c r="BB597" s="117">
        <f ca="1">BB591^(Elasticities!$J$64*Elasticities!$G$52)</f>
        <v>0.98942867973781834</v>
      </c>
      <c r="BC597" s="117">
        <f ca="1">BC591^(Elasticities!$J$64*Elasticities!$G$52)</f>
        <v>0.98743113805592686</v>
      </c>
      <c r="BD597" s="117">
        <f ca="1">BD591^(Elasticities!$J$64*Elasticities!$G$52)</f>
        <v>0.99105437406762553</v>
      </c>
      <c r="BE597" s="117">
        <f ca="1">BE591^(Elasticities!$J$64*Elasticities!$G$52)</f>
        <v>0.99307679828648021</v>
      </c>
      <c r="BF597" s="117"/>
      <c r="BI597" s="117">
        <f ca="1">BI591^Elasticities!$G$50</f>
        <v>0.99165815580940631</v>
      </c>
      <c r="BJ597" s="117">
        <f ca="1">BJ591^Elasticities!$G$50</f>
        <v>0.99007090178970059</v>
      </c>
      <c r="BK597" s="117">
        <f ca="1">BK591^Elasticities!$G$50</f>
        <v>0.98473865210254663</v>
      </c>
      <c r="BL597" s="117">
        <f ca="1">BL591^Elasticities!$G$50</f>
        <v>0.98184953515718387</v>
      </c>
      <c r="BM597" s="117">
        <f ca="1">BM591^Elasticities!$G$50</f>
        <v>0.98713540952832246</v>
      </c>
      <c r="BN597" s="117">
        <f ca="1">BN591^Elasticities!$G$50</f>
        <v>0.9901154881131895</v>
      </c>
      <c r="BO597" s="117"/>
    </row>
    <row r="598" spans="2:68" ht="13.2" customHeight="1">
      <c r="B598" s="6"/>
      <c r="G598" s="298" t="s">
        <v>1918</v>
      </c>
      <c r="H598" s="298" t="s">
        <v>1838</v>
      </c>
      <c r="I598" s="298" t="s">
        <v>1839</v>
      </c>
      <c r="J598" s="298" t="s">
        <v>1840</v>
      </c>
      <c r="K598" s="298" t="s">
        <v>1841</v>
      </c>
      <c r="L598" s="298" t="s">
        <v>1917</v>
      </c>
      <c r="M598" s="298"/>
      <c r="N598" s="298"/>
      <c r="O598" s="136">
        <f>ROW()</f>
        <v>598</v>
      </c>
      <c r="P598" s="309" t="s">
        <v>3311</v>
      </c>
      <c r="Y598" s="309" t="s">
        <v>3312</v>
      </c>
      <c r="AH598" s="309" t="s">
        <v>3313</v>
      </c>
      <c r="AQ598" s="215" t="s">
        <v>3304</v>
      </c>
      <c r="AZ598" s="309" t="s">
        <v>3309</v>
      </c>
      <c r="BI598" s="309" t="s">
        <v>3310</v>
      </c>
    </row>
    <row r="599" spans="2:68" ht="13.2" customHeight="1">
      <c r="B599" s="6" t="s">
        <v>1921</v>
      </c>
      <c r="O599" s="136">
        <f>ROW()</f>
        <v>599</v>
      </c>
      <c r="P599" s="117">
        <f ca="1">(P546/P594)^Elasticities!$G$52</f>
        <v>0.9992968241540735</v>
      </c>
      <c r="Q599" s="117">
        <f ca="1">(Q546/Q594)^Elasticities!$G$52</f>
        <v>0.99605901796846763</v>
      </c>
      <c r="R599" s="117">
        <f ca="1">(R546/R594)^Elasticities!$G$52</f>
        <v>0.99226160369069838</v>
      </c>
      <c r="S599" s="117">
        <f ca="1">(S546/S594)^Elasticities!$G$52</f>
        <v>0.99044448601891211</v>
      </c>
      <c r="T599" s="117">
        <f ca="1">(T546/T594)^Elasticities!$G$52</f>
        <v>0.99311495140624217</v>
      </c>
      <c r="U599" s="117">
        <f ca="1">(U546/U594)^Elasticities!$G$52</f>
        <v>0.9961824717975245</v>
      </c>
      <c r="V599" s="117"/>
      <c r="Y599" s="117">
        <f ca="1">(Y546/Y594)^Elasticities!$H$52</f>
        <v>0.9992968241540735</v>
      </c>
      <c r="Z599" s="117">
        <f ca="1">(Z546/Z594)^Elasticities!$H$52</f>
        <v>0.99605901796846763</v>
      </c>
      <c r="AA599" s="117">
        <f ca="1">(AA546/AA594)^Elasticities!$H$52</f>
        <v>0.99226160369069838</v>
      </c>
      <c r="AB599" s="117">
        <f ca="1">(AB546/AB594)^Elasticities!$H$52</f>
        <v>0.99044448601891211</v>
      </c>
      <c r="AC599" s="117">
        <f ca="1">(AC546/AC594)^Elasticities!$H$52</f>
        <v>0.99311495140624217</v>
      </c>
      <c r="AD599" s="117">
        <f ca="1">(AD546/AD594)^Elasticities!$H$52</f>
        <v>0.9961824717975245</v>
      </c>
      <c r="AE599" s="117"/>
      <c r="AH599" s="117">
        <f ca="1">(AH546/AH594)^Elasticities!$J$52</f>
        <v>0.9992968241540735</v>
      </c>
      <c r="AI599" s="117">
        <f ca="1">(AI546/AI594)^Elasticities!$J$52</f>
        <v>0.99605901796846763</v>
      </c>
      <c r="AJ599" s="117">
        <f ca="1">(AJ546/AJ594)^Elasticities!$J$52</f>
        <v>0.99226160369069838</v>
      </c>
      <c r="AK599" s="117">
        <f ca="1">(AK546/AK594)^Elasticities!$J$52</f>
        <v>0.99044448601891211</v>
      </c>
      <c r="AL599" s="117">
        <f ca="1">(AL546/AL594)^Elasticities!$J$52</f>
        <v>0.99311495140624217</v>
      </c>
      <c r="AM599" s="117">
        <f ca="1">(AM546/AM594)^Elasticities!$J$52</f>
        <v>0.9961824717975245</v>
      </c>
      <c r="AN599" s="117"/>
      <c r="AQ599" s="117">
        <f ca="1">(AQ546/AQ594)^Elasticities!$G$54</f>
        <v>0.99943741975562661</v>
      </c>
      <c r="AR599" s="117">
        <f ca="1">(AR546/AR594)^Elasticities!$G$54</f>
        <v>0.99684596990468866</v>
      </c>
      <c r="AS599" s="117">
        <f ca="1">(AS546/AS594)^Elasticities!$G$54</f>
        <v>0.99380447743824341</v>
      </c>
      <c r="AT599" s="117">
        <f ca="1">(AT546/AT594)^Elasticities!$G$54</f>
        <v>0.99234825611990818</v>
      </c>
      <c r="AU599" s="117">
        <f ca="1">(AU546/AU594)^Elasticities!$G$54</f>
        <v>0.99448815832963844</v>
      </c>
      <c r="AV599" s="117">
        <f ca="1">(AV546/AV594)^Elasticities!$G$54</f>
        <v>0.99694480977223177</v>
      </c>
      <c r="AW599" s="117"/>
      <c r="AZ599" s="117">
        <f ca="1">(AZ546/AZ594)^(Elasticities!$J$64*Elasticities!$G$52)</f>
        <v>0.99976555309029991</v>
      </c>
      <c r="BA599" s="117">
        <f ca="1">(BA546/BA594)^(Elasticities!$J$64*Elasticities!$G$52)</f>
        <v>0.9986846098301756</v>
      </c>
      <c r="BB599" s="117">
        <f ca="1">(BB546/BB594)^(Elasticities!$J$64*Elasticities!$G$52)</f>
        <v>0.99741385216848355</v>
      </c>
      <c r="BC599" s="117">
        <f ca="1">(BC546/BC594)^(Elasticities!$J$64*Elasticities!$G$52)</f>
        <v>0.99680462915345636</v>
      </c>
      <c r="BD599" s="117">
        <f ca="1">(BD546/BD594)^(Elasticities!$J$64*Elasticities!$G$52)</f>
        <v>0.99769969646299106</v>
      </c>
      <c r="BE599" s="117">
        <f ca="1">(BE546/BE594)^(Elasticities!$J$64*Elasticities!$G$52)</f>
        <v>0.99872586787598605</v>
      </c>
      <c r="BF599" s="117"/>
      <c r="BI599" s="117">
        <f ca="1">(BI546/BI594)^Elasticities!$G$50</f>
        <v>0.99964835024826282</v>
      </c>
      <c r="BJ599" s="117">
        <f ca="1">(BJ546/BJ594)^Elasticities!$G$50</f>
        <v>0.99802756373181778</v>
      </c>
      <c r="BK599" s="117">
        <f ca="1">(BK546/BK594)^Elasticities!$G$50</f>
        <v>0.9961232873950383</v>
      </c>
      <c r="BL599" s="117">
        <f ca="1">(BL546/BL594)^Elasticities!$G$50</f>
        <v>0.99521077466982444</v>
      </c>
      <c r="BM599" s="117">
        <f ca="1">(BM546/BM594)^Elasticities!$G$50</f>
        <v>0.99655152972951788</v>
      </c>
      <c r="BN599" s="117">
        <f ca="1">(BN546/BN594)^Elasticities!$G$50</f>
        <v>0.99808941072306967</v>
      </c>
      <c r="BO599" s="117"/>
    </row>
    <row r="600" spans="2:68" ht="13.2" customHeight="1">
      <c r="O600" s="136">
        <f>ROW()</f>
        <v>600</v>
      </c>
      <c r="P600" s="309" t="s">
        <v>529</v>
      </c>
      <c r="Y600" s="309" t="s">
        <v>530</v>
      </c>
      <c r="AH600" s="309" t="s">
        <v>2922</v>
      </c>
      <c r="AQ600" s="215" t="s">
        <v>3299</v>
      </c>
      <c r="AZ600" s="309" t="s">
        <v>2398</v>
      </c>
      <c r="BI600" s="309" t="s">
        <v>2878</v>
      </c>
    </row>
    <row r="601" spans="2:68" ht="13.2" customHeight="1">
      <c r="B601" s="6" t="s">
        <v>2164</v>
      </c>
      <c r="G601" s="633">
        <f t="shared" ref="G601:L601" ca="1" si="960">($I$76*$I$79*P601+$J$76*$J$79*Y601+$K$76*$K$79*AH601+$L$76*$L$79*AQ601+$M$76*$M$79*AZ601+$N$76*$N$79*BI601)/SUMPRODUCT($I$76:$N$76,$I$79:$N$79)</f>
        <v>0.99987095384390989</v>
      </c>
      <c r="H601" s="633">
        <f t="shared" ca="1" si="960"/>
        <v>1.0012424587784432</v>
      </c>
      <c r="I601" s="633">
        <f t="shared" ca="1" si="960"/>
        <v>1.0013648496450409</v>
      </c>
      <c r="J601" s="633">
        <f t="shared" ca="1" si="960"/>
        <v>1.0009820181594116</v>
      </c>
      <c r="K601" s="633">
        <f t="shared" ca="1" si="960"/>
        <v>1.0016602432456332</v>
      </c>
      <c r="L601" s="633">
        <f t="shared" ca="1" si="960"/>
        <v>1.0013632968140089</v>
      </c>
      <c r="M601" s="633"/>
      <c r="O601" s="136">
        <f>ROW()</f>
        <v>601</v>
      </c>
      <c r="P601" s="117">
        <f ca="1">(P547/P595)^Elasticities!$G$52</f>
        <v>0.99986789926382991</v>
      </c>
      <c r="Q601" s="117">
        <f ca="1">(Q547/Q595)^Elasticities!$G$52</f>
        <v>1.0012718793825139</v>
      </c>
      <c r="R601" s="117">
        <f ca="1">(R547/R595)^Elasticities!$G$52</f>
        <v>1.0013971694666</v>
      </c>
      <c r="S601" s="117">
        <f ca="1">(S547/S595)^Elasticities!$G$52</f>
        <v>1.0010052700437571</v>
      </c>
      <c r="T601" s="117">
        <f ca="1">(T547/T595)^Elasticities!$G$52</f>
        <v>1.0016995612045863</v>
      </c>
      <c r="U601" s="117">
        <f ca="1">(U547/U595)^Elasticities!$G$52</f>
        <v>1.0013955798506038</v>
      </c>
      <c r="V601" s="117"/>
      <c r="Y601" s="117">
        <f ca="1">(Y547/Y595)^Elasticities!$H$52</f>
        <v>0.99986789926382991</v>
      </c>
      <c r="Z601" s="117">
        <f ca="1">(Z547/Z595)^Elasticities!$H$52</f>
        <v>1.0012718793825139</v>
      </c>
      <c r="AA601" s="117">
        <f ca="1">(AA547/AA595)^Elasticities!$H$52</f>
        <v>1.0013971694666</v>
      </c>
      <c r="AB601" s="117">
        <f ca="1">(AB547/AB595)^Elasticities!$H$52</f>
        <v>1.0010052700437571</v>
      </c>
      <c r="AC601" s="117">
        <f ca="1">(AC547/AC595)^Elasticities!$H$52</f>
        <v>1.0016995612045863</v>
      </c>
      <c r="AD601" s="117">
        <f ca="1">(AD547/AD595)^Elasticities!$H$52</f>
        <v>1.0013955798506038</v>
      </c>
      <c r="AE601" s="117"/>
      <c r="AH601" s="117">
        <f ca="1">(AH547/AH595)^Elasticities!$J$52</f>
        <v>0.99986789926382991</v>
      </c>
      <c r="AI601" s="117">
        <f ca="1">(AI547/AI595)^Elasticities!$J$52</f>
        <v>1.0012718793825139</v>
      </c>
      <c r="AJ601" s="117">
        <f ca="1">(AJ547/AJ595)^Elasticities!$J$52</f>
        <v>1.0013971694666</v>
      </c>
      <c r="AK601" s="117">
        <f ca="1">(AK547/AK595)^Elasticities!$J$52</f>
        <v>1.0010052700437571</v>
      </c>
      <c r="AL601" s="117">
        <f ca="1">(AL547/AL595)^Elasticities!$J$52</f>
        <v>1.0016995612045863</v>
      </c>
      <c r="AM601" s="117">
        <f ca="1">(AM547/AM595)^Elasticities!$J$52</f>
        <v>1.0013955798506038</v>
      </c>
      <c r="AN601" s="117"/>
      <c r="AQ601" s="117">
        <f ca="1">(AQ547/AQ595)^Elasticities!$G$54</f>
        <v>0.99989431801494177</v>
      </c>
      <c r="AR601" s="117">
        <f ca="1">(AR547/AR595)^Elasticities!$G$54</f>
        <v>1.0010173741576318</v>
      </c>
      <c r="AS601" s="117">
        <f ca="1">(AS547/AS595)^Elasticities!$G$54</f>
        <v>1.0011175794938878</v>
      </c>
      <c r="AT601" s="117">
        <f ca="1">(AT547/AT595)^Elasticities!$G$54</f>
        <v>1.0008041352220676</v>
      </c>
      <c r="AU601" s="117">
        <f ca="1">(AU547/AU595)^Elasticities!$G$54</f>
        <v>1.0013594180399537</v>
      </c>
      <c r="AV601" s="117">
        <f ca="1">(AV547/AV595)^Elasticities!$G$54</f>
        <v>1.0011163081559458</v>
      </c>
      <c r="AW601" s="117"/>
      <c r="AZ601" s="117">
        <f ca="1">(AZ547/AZ595)^(Elasticities!$J$64*Elasticities!$G$52)</f>
        <v>0.99995596448217838</v>
      </c>
      <c r="BA601" s="117">
        <f ca="1">(BA547/BA595)^(Elasticities!$J$64*Elasticities!$G$52)</f>
        <v>1.0004237801791622</v>
      </c>
      <c r="BB601" s="117">
        <f ca="1">(BB547/BB595)^(Elasticities!$J$64*Elasticities!$G$52)</f>
        <v>1.0004655064256764</v>
      </c>
      <c r="BC601" s="117">
        <f ca="1">(BC547/BC595)^(Elasticities!$J$64*Elasticities!$G$52)</f>
        <v>1.0003349777919353</v>
      </c>
      <c r="BD601" s="117">
        <f ca="1">(BD547/BD595)^(Elasticities!$J$64*Elasticities!$G$52)</f>
        <v>1.0005661997588573</v>
      </c>
      <c r="BE601" s="117">
        <f ca="1">(BE547/BE595)^(Elasticities!$J$64*Elasticities!$G$52)</f>
        <v>1.0004649770463709</v>
      </c>
      <c r="BF601" s="117"/>
      <c r="BI601" s="117">
        <f ca="1">(BI547/BI595)^Elasticities!$G$50</f>
        <v>0.99993394745044539</v>
      </c>
      <c r="BJ601" s="117">
        <f ca="1">(BJ547/BJ595)^Elasticities!$G$50</f>
        <v>1.0006357376101025</v>
      </c>
      <c r="BK601" s="117">
        <f ca="1">(BK547/BK595)^Elasticities!$G$50</f>
        <v>1.0006983408932983</v>
      </c>
      <c r="BL601" s="117">
        <f ca="1">(BL547/BL595)^Elasticities!$G$50</f>
        <v>1.0005025087643493</v>
      </c>
      <c r="BM601" s="117">
        <f ca="1">(BM547/BM595)^Elasticities!$G$50</f>
        <v>1.0008494198452564</v>
      </c>
      <c r="BN601" s="117">
        <f ca="1">(BN547/BN595)^Elasticities!$G$50</f>
        <v>1.0006975466396446</v>
      </c>
      <c r="BO601" s="117"/>
    </row>
    <row r="602" spans="2:68" ht="13.2" customHeight="1" collapsed="1">
      <c r="O602" s="136">
        <f>ROW()</f>
        <v>602</v>
      </c>
      <c r="P602" s="309" t="s">
        <v>2879</v>
      </c>
      <c r="Y602" s="309" t="s">
        <v>2842</v>
      </c>
      <c r="AH602" s="309" t="s">
        <v>2808</v>
      </c>
      <c r="AQ602" s="215" t="s">
        <v>3300</v>
      </c>
      <c r="AZ602" s="309" t="s">
        <v>2903</v>
      </c>
      <c r="BI602" s="309" t="s">
        <v>91</v>
      </c>
    </row>
    <row r="603" spans="2:68" ht="13.2" customHeight="1">
      <c r="B603" s="24" t="s">
        <v>2500</v>
      </c>
      <c r="I603" s="54"/>
      <c r="O603" s="136">
        <f>ROW()</f>
        <v>603</v>
      </c>
      <c r="P603" s="880" t="s">
        <v>1472</v>
      </c>
      <c r="Q603" s="880" t="s">
        <v>985</v>
      </c>
      <c r="R603" s="880" t="s">
        <v>987</v>
      </c>
      <c r="S603" s="880" t="s">
        <v>1367</v>
      </c>
      <c r="T603" s="880" t="s">
        <v>988</v>
      </c>
      <c r="U603" s="880" t="s">
        <v>986</v>
      </c>
      <c r="V603" s="880"/>
      <c r="W603" s="880" t="s">
        <v>2684</v>
      </c>
      <c r="Y603" s="880" t="s">
        <v>1472</v>
      </c>
      <c r="Z603" s="880" t="s">
        <v>985</v>
      </c>
      <c r="AA603" s="880" t="s">
        <v>987</v>
      </c>
      <c r="AB603" s="880" t="s">
        <v>1367</v>
      </c>
      <c r="AC603" s="880" t="s">
        <v>988</v>
      </c>
      <c r="AD603" s="880" t="s">
        <v>986</v>
      </c>
      <c r="AE603" s="880"/>
      <c r="AF603" s="880" t="s">
        <v>2684</v>
      </c>
      <c r="AH603" s="880" t="s">
        <v>1472</v>
      </c>
      <c r="AI603" s="880" t="s">
        <v>985</v>
      </c>
      <c r="AJ603" s="880" t="s">
        <v>987</v>
      </c>
      <c r="AK603" s="880" t="s">
        <v>1367</v>
      </c>
      <c r="AL603" s="880" t="s">
        <v>988</v>
      </c>
      <c r="AM603" s="880" t="s">
        <v>986</v>
      </c>
      <c r="AN603" s="880"/>
      <c r="AO603" s="880" t="s">
        <v>2684</v>
      </c>
      <c r="AQ603" s="880" t="s">
        <v>1472</v>
      </c>
      <c r="AR603" s="880" t="s">
        <v>985</v>
      </c>
      <c r="AS603" s="880" t="s">
        <v>987</v>
      </c>
      <c r="AT603" s="880" t="s">
        <v>1367</v>
      </c>
      <c r="AU603" s="880" t="s">
        <v>988</v>
      </c>
      <c r="AV603" s="880" t="s">
        <v>986</v>
      </c>
      <c r="AW603" s="880" t="s">
        <v>1638</v>
      </c>
      <c r="AX603" s="880" t="s">
        <v>2684</v>
      </c>
      <c r="AZ603" s="880" t="s">
        <v>1472</v>
      </c>
      <c r="BA603" s="880" t="s">
        <v>985</v>
      </c>
      <c r="BB603" s="880" t="s">
        <v>987</v>
      </c>
      <c r="BC603" s="880" t="s">
        <v>1367</v>
      </c>
      <c r="BD603" s="880" t="s">
        <v>988</v>
      </c>
      <c r="BE603" s="880" t="s">
        <v>986</v>
      </c>
      <c r="BF603" s="880"/>
      <c r="BG603" s="880" t="s">
        <v>2684</v>
      </c>
      <c r="BI603" s="880" t="s">
        <v>1472</v>
      </c>
      <c r="BJ603" s="880" t="s">
        <v>985</v>
      </c>
      <c r="BK603" s="880" t="s">
        <v>987</v>
      </c>
      <c r="BL603" s="880" t="s">
        <v>1367</v>
      </c>
      <c r="BM603" s="880" t="s">
        <v>988</v>
      </c>
      <c r="BN603" s="880" t="s">
        <v>986</v>
      </c>
      <c r="BO603" s="880" t="s">
        <v>1638</v>
      </c>
      <c r="BP603" s="880" t="s">
        <v>2684</v>
      </c>
    </row>
    <row r="604" spans="2:68" ht="13.2" customHeight="1">
      <c r="O604" s="136">
        <f>ROW()</f>
        <v>604</v>
      </c>
      <c r="P604" s="298" t="s">
        <v>989</v>
      </c>
      <c r="Q604" s="298" t="s">
        <v>990</v>
      </c>
      <c r="R604" s="298" t="s">
        <v>991</v>
      </c>
      <c r="S604" s="298" t="s">
        <v>992</v>
      </c>
      <c r="T604" s="298" t="s">
        <v>993</v>
      </c>
      <c r="U604" s="298" t="s">
        <v>994</v>
      </c>
      <c r="V604" s="298"/>
      <c r="W604" s="298"/>
      <c r="Y604" s="298" t="s">
        <v>989</v>
      </c>
      <c r="Z604" s="298" t="s">
        <v>990</v>
      </c>
      <c r="AA604" s="298" t="s">
        <v>991</v>
      </c>
      <c r="AB604" s="298" t="s">
        <v>992</v>
      </c>
      <c r="AC604" s="298" t="s">
        <v>993</v>
      </c>
      <c r="AD604" s="298" t="s">
        <v>994</v>
      </c>
      <c r="AE604" s="298"/>
      <c r="AF604" s="298"/>
      <c r="AH604" s="298" t="s">
        <v>989</v>
      </c>
      <c r="AI604" s="298" t="s">
        <v>990</v>
      </c>
      <c r="AJ604" s="298" t="s">
        <v>991</v>
      </c>
      <c r="AK604" s="298" t="s">
        <v>992</v>
      </c>
      <c r="AL604" s="298" t="s">
        <v>993</v>
      </c>
      <c r="AM604" s="298" t="s">
        <v>994</v>
      </c>
      <c r="AN604" s="298"/>
      <c r="AO604" s="298"/>
      <c r="AQ604" s="298" t="s">
        <v>989</v>
      </c>
      <c r="AR604" s="298" t="s">
        <v>990</v>
      </c>
      <c r="AS604" s="298" t="s">
        <v>991</v>
      </c>
      <c r="AT604" s="298" t="s">
        <v>992</v>
      </c>
      <c r="AU604" s="298" t="s">
        <v>993</v>
      </c>
      <c r="AV604" s="298" t="s">
        <v>994</v>
      </c>
      <c r="AW604" s="298"/>
      <c r="AX604" s="298"/>
      <c r="AZ604" s="298" t="s">
        <v>989</v>
      </c>
      <c r="BA604" s="298" t="s">
        <v>990</v>
      </c>
      <c r="BB604" s="298" t="s">
        <v>991</v>
      </c>
      <c r="BC604" s="298" t="s">
        <v>992</v>
      </c>
      <c r="BD604" s="298" t="s">
        <v>993</v>
      </c>
      <c r="BE604" s="298" t="s">
        <v>994</v>
      </c>
      <c r="BF604" s="298"/>
      <c r="BG604" s="298"/>
      <c r="BI604" s="298" t="s">
        <v>989</v>
      </c>
      <c r="BJ604" s="298" t="s">
        <v>990</v>
      </c>
      <c r="BK604" s="298" t="s">
        <v>991</v>
      </c>
      <c r="BL604" s="298" t="s">
        <v>992</v>
      </c>
      <c r="BM604" s="298" t="s">
        <v>993</v>
      </c>
      <c r="BN604" s="298" t="s">
        <v>994</v>
      </c>
      <c r="BO604" s="298"/>
      <c r="BP604" s="298"/>
    </row>
    <row r="605" spans="2:68" ht="13.2" customHeight="1">
      <c r="B605" s="308" t="s">
        <v>112</v>
      </c>
      <c r="O605" s="136">
        <f>ROW()</f>
        <v>605</v>
      </c>
    </row>
    <row r="606" spans="2:68" s="1122" customFormat="1" ht="13.2" customHeight="1">
      <c r="B606" s="1123" t="s">
        <v>2743</v>
      </c>
      <c r="G606" s="1122">
        <f t="shared" ref="G606:L606" ca="1" si="961">P606+Y606+AH606+AQ606+AZ606+BI606</f>
        <v>109778.01873830853</v>
      </c>
      <c r="H606" s="1122">
        <f t="shared" ca="1" si="961"/>
        <v>47155.946758940692</v>
      </c>
      <c r="I606" s="1122">
        <f t="shared" ca="1" si="961"/>
        <v>155030.66049067045</v>
      </c>
      <c r="J606" s="1122">
        <f t="shared" ca="1" si="961"/>
        <v>102675.28738099633</v>
      </c>
      <c r="K606" s="1122">
        <f t="shared" ca="1" si="961"/>
        <v>55980.033713266785</v>
      </c>
      <c r="L606" s="1122">
        <f t="shared" ca="1" si="961"/>
        <v>37098.607049703467</v>
      </c>
      <c r="N606" s="1127">
        <f ca="1">SUM(G606:M606)</f>
        <v>507718.55413188622</v>
      </c>
      <c r="O606" s="136">
        <f>ROW()</f>
        <v>606</v>
      </c>
      <c r="P606" s="1122">
        <f t="shared" ref="P606:U606" ca="1" si="962">P560</f>
        <v>24565.739917163213</v>
      </c>
      <c r="Q606" s="1122">
        <f t="shared" ca="1" si="962"/>
        <v>9544.1340013625504</v>
      </c>
      <c r="R606" s="1122">
        <f t="shared" ca="1" si="962"/>
        <v>25833.566258986728</v>
      </c>
      <c r="S606" s="1122">
        <f t="shared" ca="1" si="962"/>
        <v>10207.612241556089</v>
      </c>
      <c r="T606" s="1122">
        <f t="shared" ca="1" si="962"/>
        <v>9220.1216207357447</v>
      </c>
      <c r="U606" s="1122">
        <f t="shared" ca="1" si="962"/>
        <v>4907.0990635249591</v>
      </c>
      <c r="W606" s="1122">
        <f ca="1">SUM(P606:V606)</f>
        <v>84278.273103329295</v>
      </c>
      <c r="Y606" s="1122">
        <f t="shared" ref="Y606:AD606" ca="1" si="963">Y560</f>
        <v>36907.815989294795</v>
      </c>
      <c r="Z606" s="1122">
        <f t="shared" ca="1" si="963"/>
        <v>18046.195756654</v>
      </c>
      <c r="AA606" s="1122">
        <f t="shared" ca="1" si="963"/>
        <v>75232.74467949933</v>
      </c>
      <c r="AB606" s="1122">
        <f t="shared" ca="1" si="963"/>
        <v>59307.164403548551</v>
      </c>
      <c r="AC606" s="1122">
        <f t="shared" ca="1" si="963"/>
        <v>27228.563512063014</v>
      </c>
      <c r="AD606" s="1122">
        <f t="shared" ca="1" si="963"/>
        <v>18057.428725365229</v>
      </c>
      <c r="AF606" s="1122">
        <f ca="1">SUM(Y606:AE606)</f>
        <v>234779.91306642492</v>
      </c>
      <c r="AH606" s="1122">
        <f t="shared" ref="AH606:AM606" ca="1" si="964">AH560</f>
        <v>28009.130740537297</v>
      </c>
      <c r="AI606" s="1122">
        <f t="shared" ca="1" si="964"/>
        <v>11318.362902459705</v>
      </c>
      <c r="AJ606" s="1122">
        <f t="shared" ca="1" si="964"/>
        <v>27661.344210195479</v>
      </c>
      <c r="AK606" s="1122">
        <f t="shared" ca="1" si="964"/>
        <v>16176.358148017558</v>
      </c>
      <c r="AL606" s="1122">
        <f t="shared" ca="1" si="964"/>
        <v>9457.8604863066485</v>
      </c>
      <c r="AM606" s="1122">
        <f t="shared" ca="1" si="964"/>
        <v>6355.7487740016822</v>
      </c>
      <c r="AO606" s="1122">
        <f ca="1">SUM(AH606:AN606)</f>
        <v>98978.80526151837</v>
      </c>
      <c r="AQ606" s="10">
        <f t="shared" ref="AQ606:AV606" ca="1" si="965">AQ560</f>
        <v>16063.417052874969</v>
      </c>
      <c r="AR606" s="10">
        <f t="shared" ca="1" si="965"/>
        <v>6580.3039547416147</v>
      </c>
      <c r="AS606" s="10">
        <f t="shared" ca="1" si="965"/>
        <v>21013.495952133315</v>
      </c>
      <c r="AT606" s="10">
        <f t="shared" ca="1" si="965"/>
        <v>13564.375536569334</v>
      </c>
      <c r="AU606" s="10">
        <f t="shared" ca="1" si="965"/>
        <v>8063.8623615436009</v>
      </c>
      <c r="AV606" s="10">
        <f t="shared" ca="1" si="965"/>
        <v>6227.2646854543091</v>
      </c>
      <c r="AW606" s="10"/>
      <c r="AX606" s="10">
        <f ca="1">SUM(AQ606:AW606)</f>
        <v>71512.719543317144</v>
      </c>
      <c r="AZ606" s="1122">
        <f t="shared" ref="AZ606:BE606" ca="1" si="966">AZ560</f>
        <v>2879.0875071054438</v>
      </c>
      <c r="BA606" s="1122">
        <f t="shared" ca="1" si="966"/>
        <v>1135.2581435695379</v>
      </c>
      <c r="BB606" s="1122">
        <f t="shared" ca="1" si="966"/>
        <v>3604.0002509759515</v>
      </c>
      <c r="BC606" s="1122">
        <f t="shared" ca="1" si="966"/>
        <v>2330.2736091629763</v>
      </c>
      <c r="BD606" s="1122">
        <f t="shared" ca="1" si="966"/>
        <v>1368.7970563866575</v>
      </c>
      <c r="BE606" s="1122">
        <f t="shared" ca="1" si="966"/>
        <v>1056.3167112860147</v>
      </c>
      <c r="BG606" s="1122">
        <f ca="1">SUM(AZ606:BF606)</f>
        <v>12373.733278486579</v>
      </c>
      <c r="BI606" s="1122">
        <f t="shared" ref="BI606:BN606" ca="1" si="967">BI560</f>
        <v>1352.8275313328027</v>
      </c>
      <c r="BJ606" s="1122">
        <f t="shared" ca="1" si="967"/>
        <v>531.69200015328829</v>
      </c>
      <c r="BK606" s="1122">
        <f t="shared" ca="1" si="967"/>
        <v>1685.5091388796311</v>
      </c>
      <c r="BL606" s="1122">
        <f t="shared" ca="1" si="967"/>
        <v>1089.5034421418177</v>
      </c>
      <c r="BM606" s="1122">
        <f t="shared" ca="1" si="967"/>
        <v>640.8286762311169</v>
      </c>
      <c r="BN606" s="1122">
        <f t="shared" ca="1" si="967"/>
        <v>494.74909007126843</v>
      </c>
      <c r="BP606" s="1122">
        <f ca="1">SUM(BI606:BO606)</f>
        <v>5795.1098788099252</v>
      </c>
    </row>
    <row r="607" spans="2:68" ht="13.2" customHeight="1">
      <c r="B607" s="309" t="str">
        <f>CONCATENATE("Above row repeats figures in Row ",O560,".")</f>
        <v>Above row repeats figures in Row 560.</v>
      </c>
      <c r="G607" s="1126" t="s">
        <v>1009</v>
      </c>
      <c r="O607" s="136">
        <f>ROW()</f>
        <v>607</v>
      </c>
      <c r="AQ607" s="265" t="str">
        <f>CONCATENATE("Row ",O608, " figures are set equal to ",O606, " figures, since rebound effects are presumed accounted for by taxi time-elasticity.")</f>
        <v>Row 608 figures are set equal to 606 figures, since rebound effects are presumed accounted for by taxi time-elasticity.</v>
      </c>
    </row>
    <row r="608" spans="2:68" s="1122" customFormat="1" ht="13.2" customHeight="1">
      <c r="B608" s="1123" t="s">
        <v>1300</v>
      </c>
      <c r="G608" s="1122">
        <f t="shared" ref="G608:L609" ca="1" si="968">P608+Y608+AH608+AQ608+AZ608+BI608</f>
        <v>108733.66190299265</v>
      </c>
      <c r="H608" s="1122">
        <f t="shared" ca="1" si="968"/>
        <v>46462.786858864914</v>
      </c>
      <c r="I608" s="1122">
        <f t="shared" ca="1" si="968"/>
        <v>151021.24834690869</v>
      </c>
      <c r="J608" s="1122">
        <f t="shared" ca="1" si="968"/>
        <v>99467.103101578934</v>
      </c>
      <c r="K608" s="1122">
        <f t="shared" ca="1" si="968"/>
        <v>54805.333472069324</v>
      </c>
      <c r="L608" s="1122">
        <f t="shared" ca="1" si="968"/>
        <v>36563.015124369107</v>
      </c>
      <c r="N608" s="1124">
        <f ca="1">SUM(G608:M608)</f>
        <v>497053.14880678366</v>
      </c>
      <c r="O608" s="136">
        <f>ROW()</f>
        <v>608</v>
      </c>
      <c r="P608" s="1122">
        <f t="shared" ref="P608:U608" ca="1" si="969">P606*P597</f>
        <v>24162.018492501815</v>
      </c>
      <c r="Q608" s="1122">
        <f t="shared" ca="1" si="969"/>
        <v>9358.2211348782603</v>
      </c>
      <c r="R608" s="1122">
        <f t="shared" ca="1" si="969"/>
        <v>25058.621672838985</v>
      </c>
      <c r="S608" s="1122">
        <f t="shared" ca="1" si="969"/>
        <v>9843.8926525893294</v>
      </c>
      <c r="T608" s="1122">
        <f t="shared" ca="1" si="969"/>
        <v>8986.9887803342044</v>
      </c>
      <c r="U608" s="1122">
        <f t="shared" ca="1" si="969"/>
        <v>4811.8342169143807</v>
      </c>
      <c r="W608" s="1122">
        <f ca="1">SUM(P608:V608)</f>
        <v>82221.576950056973</v>
      </c>
      <c r="Y608" s="1122">
        <f t="shared" ref="Y608:AD608" ca="1" si="970">Y606*Y597</f>
        <v>36301.260839619521</v>
      </c>
      <c r="Z608" s="1122">
        <f t="shared" ca="1" si="970"/>
        <v>17694.668841610976</v>
      </c>
      <c r="AA608" s="1122">
        <f t="shared" ca="1" si="970"/>
        <v>72975.944065680393</v>
      </c>
      <c r="AB608" s="1122">
        <f t="shared" ca="1" si="970"/>
        <v>57193.920194307866</v>
      </c>
      <c r="AC608" s="1122">
        <f t="shared" ca="1" si="970"/>
        <v>26540.083184716255</v>
      </c>
      <c r="AD608" s="1122">
        <f t="shared" ca="1" si="970"/>
        <v>17706.867598427703</v>
      </c>
      <c r="AF608" s="1122">
        <f ca="1">SUM(Y608:AE608)</f>
        <v>228412.74472436271</v>
      </c>
      <c r="AH608" s="1122">
        <f t="shared" ref="AH608:AM608" ca="1" si="971">AH606*AH597</f>
        <v>28003.004308334253</v>
      </c>
      <c r="AI608" s="1122">
        <f t="shared" ca="1" si="971"/>
        <v>11175.848936165099</v>
      </c>
      <c r="AJ608" s="1122">
        <f t="shared" ca="1" si="971"/>
        <v>26747.499448631246</v>
      </c>
      <c r="AK608" s="1122">
        <f t="shared" ca="1" si="971"/>
        <v>15494.201548015806</v>
      </c>
      <c r="AL608" s="1122">
        <f t="shared" ca="1" si="971"/>
        <v>9225.2621577834743</v>
      </c>
      <c r="AM608" s="1122">
        <f t="shared" ca="1" si="971"/>
        <v>6278.1862691428205</v>
      </c>
      <c r="AO608" s="1122">
        <f ca="1">SUM(AH608:AN608)</f>
        <v>96924.002668072702</v>
      </c>
      <c r="AQ608" s="10">
        <f ca="1">AQ606</f>
        <v>16063.417052874969</v>
      </c>
      <c r="AR608" s="10">
        <f t="shared" ref="AR608:AV608" ca="1" si="972">AR606</f>
        <v>6580.3039547416147</v>
      </c>
      <c r="AS608" s="10">
        <f t="shared" ca="1" si="972"/>
        <v>21013.495952133315</v>
      </c>
      <c r="AT608" s="10">
        <f t="shared" ca="1" si="972"/>
        <v>13564.375536569334</v>
      </c>
      <c r="AU608" s="10">
        <f t="shared" ca="1" si="972"/>
        <v>8063.8623615436009</v>
      </c>
      <c r="AV608" s="10">
        <f t="shared" ca="1" si="972"/>
        <v>6227.2646854543091</v>
      </c>
      <c r="AW608" s="10"/>
      <c r="AX608" s="10">
        <f ca="1">SUM(AQ608:AW608)</f>
        <v>71512.719543317144</v>
      </c>
      <c r="AZ608" s="1122">
        <f t="shared" ref="AZ608:BE608" ca="1" si="973">AZ606*AZ597</f>
        <v>2862.41875481241</v>
      </c>
      <c r="BA608" s="1122">
        <f t="shared" ca="1" si="973"/>
        <v>1127.3312134028336</v>
      </c>
      <c r="BB608" s="1122">
        <f t="shared" ca="1" si="973"/>
        <v>3565.9012100979016</v>
      </c>
      <c r="BC608" s="1122">
        <f t="shared" ca="1" si="973"/>
        <v>2300.9847218774898</v>
      </c>
      <c r="BD608" s="1122">
        <f t="shared" ca="1" si="973"/>
        <v>1356.5523099428872</v>
      </c>
      <c r="BE608" s="1122">
        <f t="shared" ca="1" si="973"/>
        <v>1049.0036176204196</v>
      </c>
      <c r="BG608" s="1122">
        <f ca="1">SUM(AZ608:BF608)</f>
        <v>12262.191827753941</v>
      </c>
      <c r="BI608" s="1122">
        <f t="shared" ref="BI608:BN608" ca="1" si="974">BI606*BI597</f>
        <v>1341.542454849679</v>
      </c>
      <c r="BJ608" s="1122">
        <f t="shared" ca="1" si="974"/>
        <v>526.41277806613573</v>
      </c>
      <c r="BK608" s="1122">
        <f t="shared" ca="1" si="974"/>
        <v>1659.785997526852</v>
      </c>
      <c r="BL608" s="1122">
        <f t="shared" ca="1" si="974"/>
        <v>1069.7284482190955</v>
      </c>
      <c r="BM608" s="1122">
        <f t="shared" ca="1" si="974"/>
        <v>632.5846777488963</v>
      </c>
      <c r="BN608" s="1122">
        <f t="shared" ca="1" si="974"/>
        <v>489.85873680947032</v>
      </c>
      <c r="BP608" s="1122">
        <f ca="1">SUM(BI608:BO608)</f>
        <v>5719.9130932201288</v>
      </c>
    </row>
    <row r="609" spans="2:68" s="1122" customFormat="1" ht="13.2" customHeight="1">
      <c r="B609" s="1123" t="s">
        <v>112</v>
      </c>
      <c r="G609" s="1122">
        <f t="shared" ca="1" si="968"/>
        <v>173296.30030973649</v>
      </c>
      <c r="H609" s="1122">
        <f t="shared" ca="1" si="968"/>
        <v>73820.950581188998</v>
      </c>
      <c r="I609" s="1122">
        <f t="shared" ca="1" si="968"/>
        <v>240542.6153654769</v>
      </c>
      <c r="J609" s="1122">
        <f t="shared" ca="1" si="968"/>
        <v>158419.76357277727</v>
      </c>
      <c r="K609" s="1122">
        <f t="shared" ca="1" si="968"/>
        <v>87668.525976886216</v>
      </c>
      <c r="L609" s="1122">
        <f t="shared" ca="1" si="968"/>
        <v>59148.771197201895</v>
      </c>
      <c r="N609" s="1127">
        <f ca="1">SUM(G609:M609)</f>
        <v>792896.92700326769</v>
      </c>
      <c r="O609" s="136">
        <f>ROW()</f>
        <v>609</v>
      </c>
      <c r="P609" s="1122">
        <f t="shared" ref="P609:U609" ca="1" si="975">P608*$I$85</f>
        <v>36243.027738752724</v>
      </c>
      <c r="Q609" s="1122">
        <f t="shared" ca="1" si="975"/>
        <v>14037.331702317391</v>
      </c>
      <c r="R609" s="1122">
        <f t="shared" ca="1" si="975"/>
        <v>37587.932509258477</v>
      </c>
      <c r="S609" s="1122">
        <f t="shared" ca="1" si="975"/>
        <v>14765.838978883994</v>
      </c>
      <c r="T609" s="1122">
        <f t="shared" ca="1" si="975"/>
        <v>13480.483170501306</v>
      </c>
      <c r="U609" s="1122">
        <f t="shared" ca="1" si="975"/>
        <v>7217.7513253715715</v>
      </c>
      <c r="W609" s="1122">
        <f ca="1">SUM(P609:V609)</f>
        <v>123332.36542508547</v>
      </c>
      <c r="Y609" s="1122">
        <f t="shared" ref="Y609:AD609" ca="1" si="976">Y608*$J$85</f>
        <v>54451.891259429278</v>
      </c>
      <c r="Z609" s="1122">
        <f t="shared" ca="1" si="976"/>
        <v>26542.003262416463</v>
      </c>
      <c r="AA609" s="1122">
        <f t="shared" ca="1" si="976"/>
        <v>109463.9160985206</v>
      </c>
      <c r="AB609" s="1122">
        <f t="shared" ca="1" si="976"/>
        <v>85790.880291461799</v>
      </c>
      <c r="AC609" s="1122">
        <f t="shared" ca="1" si="976"/>
        <v>39810.124777074379</v>
      </c>
      <c r="AD609" s="1122">
        <f t="shared" ca="1" si="976"/>
        <v>26560.301397641553</v>
      </c>
      <c r="AF609" s="1122">
        <f ca="1">SUM(Y609:AE609)</f>
        <v>342619.11708654405</v>
      </c>
      <c r="AH609" s="1122">
        <f t="shared" ref="AH609:AM609" ca="1" si="977">AH608*$K$85</f>
        <v>39204.206031667956</v>
      </c>
      <c r="AI609" s="1122">
        <f t="shared" ca="1" si="977"/>
        <v>15646.18851063114</v>
      </c>
      <c r="AJ609" s="1122">
        <f t="shared" ca="1" si="977"/>
        <v>37446.499228083747</v>
      </c>
      <c r="AK609" s="1122">
        <f t="shared" ca="1" si="977"/>
        <v>21691.882167222131</v>
      </c>
      <c r="AL609" s="1122">
        <f t="shared" ca="1" si="977"/>
        <v>12915.367020896865</v>
      </c>
      <c r="AM609" s="1122">
        <f t="shared" ca="1" si="977"/>
        <v>8789.4607767999496</v>
      </c>
      <c r="AO609" s="1122">
        <f ca="1">SUM(AH609:AN609)</f>
        <v>135693.60373530179</v>
      </c>
      <c r="AQ609" s="10">
        <f ca="1">AQ608*$L$85</f>
        <v>32126.834105749938</v>
      </c>
      <c r="AR609" s="10">
        <f t="shared" ref="AR609" ca="1" si="978">AR608*$L$85</f>
        <v>13160.607909483229</v>
      </c>
      <c r="AS609" s="10">
        <f t="shared" ref="AS609" ca="1" si="979">AS608*$L$85</f>
        <v>42026.99190426663</v>
      </c>
      <c r="AT609" s="10">
        <f t="shared" ref="AT609" ca="1" si="980">AT608*$L$85</f>
        <v>27128.751073138668</v>
      </c>
      <c r="AU609" s="10">
        <f t="shared" ref="AU609" ca="1" si="981">AU608*$L$85</f>
        <v>16127.724723087202</v>
      </c>
      <c r="AV609" s="10">
        <f t="shared" ref="AV609" ca="1" si="982">AV608*$L$85</f>
        <v>12454.529370908618</v>
      </c>
      <c r="AW609" s="10"/>
      <c r="AX609" s="10">
        <f ca="1">SUM(AQ609:AW609)</f>
        <v>143025.43908663429</v>
      </c>
      <c r="AZ609" s="1122">
        <f t="shared" ref="AZ609:BE609" ca="1" si="983">AZ608*$M$85</f>
        <v>8587.2562644372301</v>
      </c>
      <c r="BA609" s="1122">
        <f t="shared" ca="1" si="983"/>
        <v>3381.9936402085004</v>
      </c>
      <c r="BB609" s="1122">
        <f t="shared" ca="1" si="983"/>
        <v>10697.703630293705</v>
      </c>
      <c r="BC609" s="1122">
        <f t="shared" ca="1" si="983"/>
        <v>6902.9541656324691</v>
      </c>
      <c r="BD609" s="1122">
        <f t="shared" ca="1" si="983"/>
        <v>4069.6569298286613</v>
      </c>
      <c r="BE609" s="1122">
        <f t="shared" ca="1" si="983"/>
        <v>3147.0108528612591</v>
      </c>
      <c r="BG609" s="1122">
        <f ca="1">SUM(AZ609:BF609)</f>
        <v>36786.575483261826</v>
      </c>
      <c r="BI609" s="1122">
        <f t="shared" ref="BI609:BN609" ca="1" si="984">BI608*$N$85</f>
        <v>2683.0849096993579</v>
      </c>
      <c r="BJ609" s="1122">
        <f t="shared" ca="1" si="984"/>
        <v>1052.8255561322715</v>
      </c>
      <c r="BK609" s="1122">
        <f t="shared" ca="1" si="984"/>
        <v>3319.5719950537041</v>
      </c>
      <c r="BL609" s="1122">
        <f t="shared" ca="1" si="984"/>
        <v>2139.4568964381911</v>
      </c>
      <c r="BM609" s="1122">
        <f t="shared" ca="1" si="984"/>
        <v>1265.1693554977926</v>
      </c>
      <c r="BN609" s="1122">
        <f t="shared" ca="1" si="984"/>
        <v>979.71747361894063</v>
      </c>
      <c r="BP609" s="1122">
        <f ca="1">SUM(BI609:BO609)</f>
        <v>11439.826186440258</v>
      </c>
    </row>
    <row r="610" spans="2:68" ht="13.2" customHeight="1">
      <c r="G610" s="1122"/>
      <c r="H610" s="10"/>
      <c r="I610" s="10"/>
      <c r="J610" s="10"/>
      <c r="K610" s="10"/>
      <c r="L610" s="10"/>
      <c r="M610" s="10"/>
      <c r="N610" s="186"/>
      <c r="O610" s="136">
        <f>ROW()</f>
        <v>610</v>
      </c>
    </row>
    <row r="611" spans="2:68" ht="13.2" customHeight="1">
      <c r="B611" s="308" t="s">
        <v>1010</v>
      </c>
      <c r="G611" s="1122"/>
      <c r="H611" s="10"/>
      <c r="I611" s="10"/>
      <c r="J611" s="10"/>
      <c r="K611" s="10"/>
      <c r="L611" s="10"/>
      <c r="M611" s="10"/>
      <c r="N611" s="186"/>
      <c r="O611" s="136">
        <f>ROW()</f>
        <v>611</v>
      </c>
      <c r="P611" s="10"/>
      <c r="Q611" s="10"/>
      <c r="R611" s="10"/>
      <c r="S611" s="10"/>
      <c r="T611" s="10"/>
      <c r="U611" s="10"/>
      <c r="V611" s="10"/>
      <c r="W611" s="10"/>
      <c r="Y611" s="10"/>
      <c r="Z611" s="10"/>
      <c r="AA611" s="10"/>
      <c r="AB611" s="10"/>
      <c r="AC611" s="10"/>
      <c r="AD611" s="10"/>
      <c r="AE611" s="10"/>
      <c r="AF611" s="10"/>
      <c r="AH611" s="10"/>
      <c r="AI611" s="10"/>
      <c r="AJ611" s="10"/>
      <c r="AK611" s="10"/>
      <c r="AL611" s="10"/>
      <c r="AM611" s="10"/>
      <c r="AN611" s="10"/>
      <c r="AO611" s="10"/>
      <c r="AQ611" s="10"/>
      <c r="AR611" s="10"/>
      <c r="AS611" s="10"/>
      <c r="AT611" s="10"/>
      <c r="AU611" s="10"/>
      <c r="AV611" s="10"/>
      <c r="AW611" s="10"/>
      <c r="AX611" s="10"/>
      <c r="AZ611" s="10"/>
      <c r="BA611" s="10"/>
      <c r="BB611" s="10"/>
      <c r="BC611" s="10"/>
      <c r="BD611" s="10"/>
      <c r="BE611" s="10"/>
      <c r="BF611" s="10"/>
      <c r="BG611" s="10"/>
      <c r="BI611" s="10"/>
      <c r="BJ611" s="10"/>
      <c r="BK611" s="10"/>
      <c r="BL611" s="10"/>
      <c r="BM611" s="10"/>
      <c r="BN611" s="10"/>
      <c r="BO611" s="10"/>
      <c r="BP611" s="10"/>
    </row>
    <row r="612" spans="2:68" s="1122" customFormat="1" ht="13.2" customHeight="1">
      <c r="B612" s="1123" t="s">
        <v>1301</v>
      </c>
      <c r="G612" s="1122">
        <f t="shared" ref="G612:L612" ca="1" si="985">P612+Y612+AH612+AQ612+AZ612+BI612</f>
        <v>148560.23210538618</v>
      </c>
      <c r="H612" s="1122">
        <f t="shared" ca="1" si="985"/>
        <v>44884.508010720783</v>
      </c>
      <c r="I612" s="1122">
        <f t="shared" ca="1" si="985"/>
        <v>133836.82106004868</v>
      </c>
      <c r="J612" s="1122">
        <f t="shared" ca="1" si="985"/>
        <v>85146.496552773824</v>
      </c>
      <c r="K612" s="1122">
        <f t="shared" ca="1" si="985"/>
        <v>48392.374959421861</v>
      </c>
      <c r="L612" s="1122">
        <f t="shared" ca="1" si="985"/>
        <v>46898.121443534925</v>
      </c>
      <c r="N612" s="1127">
        <f ca="1">SUM(G612:M612)</f>
        <v>507718.55413188622</v>
      </c>
      <c r="O612" s="136">
        <f>ROW()</f>
        <v>612</v>
      </c>
      <c r="P612" s="1122">
        <f t="shared" ref="P612:W612" ca="1" si="986">P$135*$W606</f>
        <v>25599.388818008894</v>
      </c>
      <c r="Q612" s="1122">
        <f t="shared" ca="1" si="986"/>
        <v>7400.6625186027795</v>
      </c>
      <c r="R612" s="1122">
        <f t="shared" ca="1" si="986"/>
        <v>21798.321461791318</v>
      </c>
      <c r="S612" s="1122">
        <f t="shared" ca="1" si="986"/>
        <v>13830.2082777261</v>
      </c>
      <c r="T612" s="1122">
        <f t="shared" ca="1" si="986"/>
        <v>7791.7742704675584</v>
      </c>
      <c r="U612" s="1122">
        <f t="shared" ca="1" si="986"/>
        <v>7857.9177567326551</v>
      </c>
      <c r="W612" s="1122">
        <f t="shared" ca="1" si="986"/>
        <v>84278.273103329295</v>
      </c>
      <c r="Y612" s="1122">
        <f t="shared" ref="Y612:AD612" ca="1" si="987">Y$135*$AF606</f>
        <v>71314.017954270501</v>
      </c>
      <c r="Z612" s="1122">
        <f t="shared" ca="1" si="987"/>
        <v>20616.546101048087</v>
      </c>
      <c r="AA612" s="1122">
        <f t="shared" ca="1" si="987"/>
        <v>60725.117273329335</v>
      </c>
      <c r="AB612" s="1122">
        <f t="shared" ca="1" si="987"/>
        <v>38527.783942061018</v>
      </c>
      <c r="AC612" s="1122">
        <f t="shared" ca="1" si="987"/>
        <v>21706.093616924307</v>
      </c>
      <c r="AD612" s="1122">
        <f t="shared" ca="1" si="987"/>
        <v>21890.354178791662</v>
      </c>
      <c r="AF612" s="1122">
        <f ca="1">SUM(Y612:AE612)</f>
        <v>234779.91306642492</v>
      </c>
      <c r="AH612" s="10">
        <f t="shared" ref="AH612:AM612" ca="1" si="988">AH$135*$AO606</f>
        <v>30064.65162765063</v>
      </c>
      <c r="AI612" s="10">
        <f t="shared" ca="1" si="988"/>
        <v>8691.5489278821715</v>
      </c>
      <c r="AJ612" s="10">
        <f t="shared" ca="1" si="988"/>
        <v>25600.569821231747</v>
      </c>
      <c r="AK612" s="10">
        <f t="shared" ca="1" si="988"/>
        <v>16242.59066353858</v>
      </c>
      <c r="AL612" s="10">
        <f t="shared" ca="1" si="988"/>
        <v>9150.8817131642427</v>
      </c>
      <c r="AM612" s="10">
        <f t="shared" ca="1" si="988"/>
        <v>9228.5625080510126</v>
      </c>
      <c r="AO612" s="1122">
        <f ca="1">SUM(AH612:AN612)</f>
        <v>98978.80526151837</v>
      </c>
      <c r="AQ612" s="10">
        <f t="shared" ref="AQ612:AV612" ca="1" si="989">AQ606</f>
        <v>16063.417052874969</v>
      </c>
      <c r="AR612" s="10">
        <f t="shared" ca="1" si="989"/>
        <v>6580.3039547416147</v>
      </c>
      <c r="AS612" s="10">
        <f t="shared" ca="1" si="989"/>
        <v>21013.495952133315</v>
      </c>
      <c r="AT612" s="10">
        <f t="shared" ca="1" si="989"/>
        <v>13564.375536569334</v>
      </c>
      <c r="AU612" s="10">
        <f t="shared" ca="1" si="989"/>
        <v>8063.8623615436009</v>
      </c>
      <c r="AV612" s="10">
        <f t="shared" ca="1" si="989"/>
        <v>6227.2646854543091</v>
      </c>
      <c r="AW612" s="10"/>
      <c r="AX612" s="10">
        <f ca="1">SUM(AQ612:AW612)</f>
        <v>71512.719543317144</v>
      </c>
      <c r="AZ612" s="1122">
        <f t="shared" ref="AZ612:BE612" ca="1" si="990">AZ$135*$BG606</f>
        <v>3758.5014222817608</v>
      </c>
      <c r="BA612" s="1122">
        <f t="shared" ca="1" si="990"/>
        <v>1086.5650269911143</v>
      </c>
      <c r="BB612" s="1122">
        <f t="shared" ca="1" si="990"/>
        <v>3200.4288383581061</v>
      </c>
      <c r="BC612" s="1122">
        <f t="shared" ca="1" si="990"/>
        <v>2030.5507233719015</v>
      </c>
      <c r="BD612" s="1122">
        <f t="shared" ca="1" si="990"/>
        <v>1143.9880415054593</v>
      </c>
      <c r="BE612" s="1122">
        <f t="shared" ca="1" si="990"/>
        <v>1153.6992259782367</v>
      </c>
      <c r="BG612" s="1122">
        <f ca="1">SUM(AZ612:BF612)</f>
        <v>12373.733278486579</v>
      </c>
      <c r="BI612" s="1122">
        <f t="shared" ref="BI612:BN612" ca="1" si="991">BI$135*$BP606</f>
        <v>1760.2552302994359</v>
      </c>
      <c r="BJ612" s="1122">
        <f t="shared" ca="1" si="991"/>
        <v>508.88148145502385</v>
      </c>
      <c r="BK612" s="1122">
        <f t="shared" ca="1" si="991"/>
        <v>1498.8877132048287</v>
      </c>
      <c r="BL612" s="1122">
        <f t="shared" ca="1" si="991"/>
        <v>950.98740950688978</v>
      </c>
      <c r="BM612" s="1122">
        <f t="shared" ca="1" si="991"/>
        <v>535.77495581669416</v>
      </c>
      <c r="BN612" s="1122">
        <f t="shared" ca="1" si="991"/>
        <v>540.32308852705273</v>
      </c>
      <c r="BP612" s="1122">
        <f ca="1">SUM(BI612:BO612)</f>
        <v>5795.1098788099243</v>
      </c>
    </row>
    <row r="613" spans="2:68" ht="13.2" customHeight="1">
      <c r="B613" s="309"/>
      <c r="G613" s="1122"/>
      <c r="O613" s="136">
        <f>ROW()</f>
        <v>613</v>
      </c>
    </row>
    <row r="614" spans="2:68" s="1122" customFormat="1" ht="13.2" customHeight="1">
      <c r="B614" s="1123" t="s">
        <v>1047</v>
      </c>
      <c r="N614" s="1127"/>
      <c r="O614" s="136">
        <f>ROW()</f>
        <v>614</v>
      </c>
      <c r="P614" s="1122">
        <f t="shared" ref="P614:U614" ca="1" si="992">P612*$W608/$W606</f>
        <v>24974.670695894911</v>
      </c>
      <c r="Q614" s="1122">
        <f t="shared" ca="1" si="992"/>
        <v>7220.0594571824849</v>
      </c>
      <c r="R614" s="1122">
        <f t="shared" ca="1" si="992"/>
        <v>21266.363197253875</v>
      </c>
      <c r="S614" s="1122">
        <f t="shared" ca="1" si="992"/>
        <v>13492.700933112146</v>
      </c>
      <c r="T614" s="1122">
        <f t="shared" ca="1" si="992"/>
        <v>7601.6266608981368</v>
      </c>
      <c r="U614" s="1122">
        <f t="shared" ca="1" si="992"/>
        <v>7666.1560057154293</v>
      </c>
      <c r="W614" s="1122">
        <f ca="1">SUM(P614:V614)</f>
        <v>82221.576950056988</v>
      </c>
      <c r="Y614" s="1122">
        <f t="shared" ref="Y614:AD614" ca="1" si="993">Y612*$AF608/$AF606</f>
        <v>69380.000893214601</v>
      </c>
      <c r="Z614" s="1122">
        <f t="shared" ca="1" si="993"/>
        <v>20057.430894202771</v>
      </c>
      <c r="AA614" s="1122">
        <f t="shared" ca="1" si="993"/>
        <v>59078.268361849565</v>
      </c>
      <c r="AB614" s="1122">
        <f t="shared" ca="1" si="993"/>
        <v>37482.920763598646</v>
      </c>
      <c r="AC614" s="1122">
        <f t="shared" ca="1" si="993"/>
        <v>21117.430173351015</v>
      </c>
      <c r="AD614" s="1122">
        <f t="shared" ca="1" si="993"/>
        <v>21296.693638146102</v>
      </c>
      <c r="AF614" s="1122">
        <f ca="1">SUM(Y614:AE614)</f>
        <v>228412.74472436268</v>
      </c>
      <c r="AH614" s="10">
        <f t="shared" ref="AH614:AM614" ca="1" si="994">AH612*$AO608/$AO606</f>
        <v>29440.508671264033</v>
      </c>
      <c r="AI614" s="10">
        <f t="shared" ca="1" si="994"/>
        <v>8511.1121441597916</v>
      </c>
      <c r="AJ614" s="10">
        <f t="shared" ca="1" si="994"/>
        <v>25069.101320239388</v>
      </c>
      <c r="AK614" s="10">
        <f t="shared" ca="1" si="994"/>
        <v>15905.394055319957</v>
      </c>
      <c r="AL614" s="10">
        <f t="shared" ca="1" si="994"/>
        <v>8960.9091687710952</v>
      </c>
      <c r="AM614" s="10">
        <f t="shared" ca="1" si="994"/>
        <v>9036.9773083184464</v>
      </c>
      <c r="AO614" s="1122">
        <f ca="1">SUM(AH614:AN614)</f>
        <v>96924.002668072702</v>
      </c>
      <c r="AQ614" s="10">
        <f t="shared" ref="AQ614:AV614" ca="1" si="995">AQ612*$AX608/$AX606</f>
        <v>16063.417052874971</v>
      </c>
      <c r="AR614" s="10">
        <f t="shared" ca="1" si="995"/>
        <v>6580.3039547416147</v>
      </c>
      <c r="AS614" s="10">
        <f t="shared" ca="1" si="995"/>
        <v>21013.495952133315</v>
      </c>
      <c r="AT614" s="10">
        <f t="shared" ca="1" si="995"/>
        <v>13564.375536569334</v>
      </c>
      <c r="AU614" s="10">
        <f t="shared" ca="1" si="995"/>
        <v>8063.8623615436018</v>
      </c>
      <c r="AV614" s="10">
        <f t="shared" ca="1" si="995"/>
        <v>6227.2646854543091</v>
      </c>
      <c r="AW614" s="10"/>
      <c r="AX614" s="10">
        <f ca="1">SUM(AQ614:AW614)</f>
        <v>71512.719543317144</v>
      </c>
      <c r="AZ614" s="1122">
        <f t="shared" ref="AZ614:BE614" ca="1" si="996">AZ612*$BG608/$BG606</f>
        <v>3724.6208874595923</v>
      </c>
      <c r="BA614" s="1122">
        <f t="shared" ca="1" si="996"/>
        <v>1076.770324236639</v>
      </c>
      <c r="BB614" s="1122">
        <f t="shared" ca="1" si="996"/>
        <v>3171.5789781289632</v>
      </c>
      <c r="BC614" s="1122">
        <f t="shared" ca="1" si="996"/>
        <v>2012.2465811721586</v>
      </c>
      <c r="BD614" s="1122">
        <f t="shared" ca="1" si="996"/>
        <v>1133.675706262856</v>
      </c>
      <c r="BE614" s="1122">
        <f t="shared" ca="1" si="996"/>
        <v>1143.2993504937317</v>
      </c>
      <c r="BG614" s="1122">
        <f ca="1">SUM(AZ614:BF614)</f>
        <v>12262.191827753941</v>
      </c>
      <c r="BI614" s="1122">
        <f t="shared" ref="BI614:BN614" ca="1" si="997">BI612*$BP608/$BP606</f>
        <v>1737.4143285901955</v>
      </c>
      <c r="BJ614" s="1122">
        <f t="shared" ca="1" si="997"/>
        <v>502.27828454386366</v>
      </c>
      <c r="BK614" s="1122">
        <f t="shared" ca="1" si="997"/>
        <v>1479.4382911317152</v>
      </c>
      <c r="BL614" s="1122">
        <f t="shared" ca="1" si="997"/>
        <v>938.64748881051617</v>
      </c>
      <c r="BM614" s="1122">
        <f t="shared" ca="1" si="997"/>
        <v>528.82279178193653</v>
      </c>
      <c r="BN614" s="1122">
        <f t="shared" ca="1" si="997"/>
        <v>533.31190836190126</v>
      </c>
      <c r="BP614" s="1122">
        <f ca="1">SUM(BI614:BO614)</f>
        <v>5719.9130932201288</v>
      </c>
    </row>
    <row r="615" spans="2:68" ht="13.2" customHeight="1">
      <c r="B615" s="309"/>
      <c r="C615" s="309"/>
      <c r="D615" s="309"/>
      <c r="E615" s="309"/>
      <c r="F615" s="309"/>
      <c r="G615" s="1122"/>
      <c r="H615" s="10"/>
      <c r="I615" s="10"/>
      <c r="J615" s="10"/>
      <c r="K615" s="10"/>
      <c r="L615" s="10"/>
      <c r="M615" s="10"/>
      <c r="N615" s="186"/>
      <c r="O615" s="136">
        <f>ROW()</f>
        <v>615</v>
      </c>
      <c r="AQ615" s="10"/>
      <c r="AR615" s="10"/>
      <c r="AS615" s="10"/>
      <c r="AT615" s="10"/>
      <c r="AU615" s="10"/>
      <c r="AV615" s="10"/>
    </row>
    <row r="616" spans="2:68" s="1122" customFormat="1" ht="13.2" customHeight="1">
      <c r="B616" s="1123" t="s">
        <v>1010</v>
      </c>
      <c r="G616" s="1122">
        <f t="shared" ref="G616:L616" ca="1" si="998">P616+Y616+AH616+AQ616+AZ616+BI616</f>
        <v>221492.53642230557</v>
      </c>
      <c r="H616" s="1122">
        <f t="shared" ca="1" si="998"/>
        <v>66937.116002811672</v>
      </c>
      <c r="I616" s="1122">
        <f t="shared" ca="1" si="998"/>
        <v>199607.54663184058</v>
      </c>
      <c r="J616" s="1122">
        <f t="shared" ca="1" si="998"/>
        <v>126991.58224850566</v>
      </c>
      <c r="K616" s="1122">
        <f t="shared" ca="1" si="998"/>
        <v>72178.324332321106</v>
      </c>
      <c r="L616" s="1122">
        <f t="shared" ca="1" si="998"/>
        <v>69933.461593824584</v>
      </c>
      <c r="N616" s="1127">
        <f ca="1">SUM(G616:M616)</f>
        <v>757140.56723160902</v>
      </c>
      <c r="O616" s="136">
        <f>ROW()</f>
        <v>616</v>
      </c>
      <c r="P616" s="1122">
        <f t="shared" ref="P616:U616" ca="1" si="999">P614*$I$85</f>
        <v>37462.006043842368</v>
      </c>
      <c r="Q616" s="1122">
        <f t="shared" ca="1" si="999"/>
        <v>10830.089185773728</v>
      </c>
      <c r="R616" s="1122">
        <f t="shared" ca="1" si="999"/>
        <v>31899.544795880814</v>
      </c>
      <c r="S616" s="1122">
        <f t="shared" ca="1" si="999"/>
        <v>20239.05139966822</v>
      </c>
      <c r="T616" s="1122">
        <f t="shared" ca="1" si="999"/>
        <v>11402.439991347204</v>
      </c>
      <c r="U616" s="1122">
        <f t="shared" ca="1" si="999"/>
        <v>11499.234008573145</v>
      </c>
      <c r="W616" s="1122">
        <f ca="1">SUM(P616:V616)</f>
        <v>123332.36542508547</v>
      </c>
      <c r="Y616" s="1122">
        <f t="shared" ref="Y616:AD616" ca="1" si="1000">Y614*$J$85</f>
        <v>104070.0013398219</v>
      </c>
      <c r="Z616" s="1122">
        <f t="shared" ca="1" si="1000"/>
        <v>30086.146341304157</v>
      </c>
      <c r="AA616" s="1122">
        <f t="shared" ca="1" si="1000"/>
        <v>88617.402542774347</v>
      </c>
      <c r="AB616" s="1122">
        <f t="shared" ca="1" si="1000"/>
        <v>56224.381145397972</v>
      </c>
      <c r="AC616" s="1122">
        <f t="shared" ca="1" si="1000"/>
        <v>31676.145260026522</v>
      </c>
      <c r="AD616" s="1122">
        <f t="shared" ca="1" si="1000"/>
        <v>31945.040457219155</v>
      </c>
      <c r="AF616" s="1122">
        <f ca="1">SUM(Y616:AE616)</f>
        <v>342619.11708654405</v>
      </c>
      <c r="AH616" s="1122">
        <f t="shared" ref="AH616:AM616" ca="1" si="1001">AH614*$K$85</f>
        <v>41216.712139769654</v>
      </c>
      <c r="AI616" s="1122">
        <f t="shared" ca="1" si="1001"/>
        <v>11915.557001823709</v>
      </c>
      <c r="AJ616" s="1122">
        <f t="shared" ca="1" si="1001"/>
        <v>35096.741848335143</v>
      </c>
      <c r="AK616" s="1122">
        <f t="shared" ca="1" si="1001"/>
        <v>22267.551677447944</v>
      </c>
      <c r="AL616" s="1122">
        <f t="shared" ca="1" si="1001"/>
        <v>12545.272836279535</v>
      </c>
      <c r="AM616" s="1122">
        <f t="shared" ca="1" si="1001"/>
        <v>12651.768231645827</v>
      </c>
      <c r="AO616" s="1122">
        <f ca="1">SUM(AH616:AN616)</f>
        <v>135693.60373530182</v>
      </c>
      <c r="AQ616" s="10">
        <f ca="1">AQ614*$L$85*Taxis!$L$130</f>
        <v>24095.125579312458</v>
      </c>
      <c r="AR616" s="10">
        <f ca="1">AR614*$L$85*Taxis!$L$130</f>
        <v>9870.4559321124216</v>
      </c>
      <c r="AS616" s="10">
        <f ca="1">AS614*$L$85*Taxis!$L$130</f>
        <v>31520.243928199972</v>
      </c>
      <c r="AT616" s="10">
        <f ca="1">AT614*$L$85*Taxis!$L$130</f>
        <v>20346.563304854</v>
      </c>
      <c r="AU616" s="10">
        <f ca="1">AU614*$L$85*Taxis!$L$130</f>
        <v>12095.793542315403</v>
      </c>
      <c r="AV616" s="10">
        <f ca="1">AV614*$L$85*Taxis!$L$130</f>
        <v>9340.8970281814636</v>
      </c>
      <c r="AW616" s="10"/>
      <c r="AX616" s="10">
        <f ca="1">SUM(AQ616:AW616)</f>
        <v>107269.07931497572</v>
      </c>
      <c r="AZ616" s="1122">
        <f t="shared" ref="AZ616:BE616" ca="1" si="1002">AZ614*$M$85</f>
        <v>11173.862662378777</v>
      </c>
      <c r="BA616" s="1122">
        <f t="shared" ca="1" si="1002"/>
        <v>3230.3109727099172</v>
      </c>
      <c r="BB616" s="1122">
        <f t="shared" ca="1" si="1002"/>
        <v>9514.7369343868886</v>
      </c>
      <c r="BC616" s="1122">
        <f t="shared" ca="1" si="1002"/>
        <v>6036.7397435164758</v>
      </c>
      <c r="BD616" s="1122">
        <f t="shared" ca="1" si="1002"/>
        <v>3401.0271187885683</v>
      </c>
      <c r="BE616" s="1122">
        <f t="shared" ca="1" si="1002"/>
        <v>3429.8980514811951</v>
      </c>
      <c r="BG616" s="1122">
        <f ca="1">SUM(AZ616:BF616)</f>
        <v>36786.575483261819</v>
      </c>
      <c r="BI616" s="1122">
        <f t="shared" ref="BI616:BN616" ca="1" si="1003">BI614*$N$85</f>
        <v>3474.828657180391</v>
      </c>
      <c r="BJ616" s="1122">
        <f t="shared" ca="1" si="1003"/>
        <v>1004.5565690877273</v>
      </c>
      <c r="BK616" s="1122">
        <f t="shared" ca="1" si="1003"/>
        <v>2958.8765822634305</v>
      </c>
      <c r="BL616" s="1122">
        <f t="shared" ca="1" si="1003"/>
        <v>1877.2949776210323</v>
      </c>
      <c r="BM616" s="1122">
        <f t="shared" ca="1" si="1003"/>
        <v>1057.6455835638731</v>
      </c>
      <c r="BN616" s="1122">
        <f t="shared" ca="1" si="1003"/>
        <v>1066.6238167238025</v>
      </c>
      <c r="BP616" s="1122">
        <f ca="1">SUM(BI616:BO616)</f>
        <v>11439.826186440258</v>
      </c>
    </row>
    <row r="617" spans="2:68" ht="13.2" customHeight="1">
      <c r="G617" s="1122"/>
      <c r="O617" s="136">
        <f>ROW()</f>
        <v>617</v>
      </c>
      <c r="AQ617"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617" s="10"/>
      <c r="AS617" s="10"/>
      <c r="AT617" s="10"/>
      <c r="AU617" s="10"/>
      <c r="AV617" s="10"/>
    </row>
    <row r="618" spans="2:68" ht="13.2" customHeight="1">
      <c r="B618" s="308" t="s">
        <v>1431</v>
      </c>
      <c r="G618" s="1122"/>
      <c r="O618" s="136">
        <f>ROW()</f>
        <v>618</v>
      </c>
      <c r="AQ618" s="265" t="str">
        <f>CONCATENATE("Row ",O620, " figures are set equal to ",O619, " figures, since rebound effects are presumed accounted for by taxi time-elasticity.")</f>
        <v>Row 620 figures are set equal to 619 figures, since rebound effects are presumed accounted for by taxi time-elasticity.</v>
      </c>
    </row>
    <row r="619" spans="2:68" s="1122" customFormat="1" ht="13.2" customHeight="1">
      <c r="B619" s="1123" t="s">
        <v>1112</v>
      </c>
      <c r="G619" s="1122">
        <f t="shared" ref="G619:L621" ca="1" si="1004">P619+Y619+AH619+AQ619+AZ619+BI619</f>
        <v>490104.77451973321</v>
      </c>
      <c r="H619" s="1122">
        <f t="shared" ca="1" si="1004"/>
        <v>115696.17890931061</v>
      </c>
      <c r="I619" s="1122">
        <f t="shared" ca="1" si="1004"/>
        <v>324419.10559247975</v>
      </c>
      <c r="J619" s="1122">
        <f t="shared" ca="1" si="1004"/>
        <v>205561.31818609158</v>
      </c>
      <c r="K619" s="1122">
        <f t="shared" ca="1" si="1004"/>
        <v>130309.51324705896</v>
      </c>
      <c r="L619" s="1122">
        <f t="shared" ca="1" si="1004"/>
        <v>123970.41952334667</v>
      </c>
      <c r="N619" s="1127">
        <f ca="1">SUM(G619:M619)</f>
        <v>1390061.3099780206</v>
      </c>
      <c r="O619" s="136">
        <f>ROW()</f>
        <v>619</v>
      </c>
      <c r="P619" s="1122">
        <f t="shared" ref="P619:U619" ca="1" si="1005">P572</f>
        <v>11038.110024300788</v>
      </c>
      <c r="Q619" s="1122">
        <f t="shared" ca="1" si="1005"/>
        <v>3910.9100146092455</v>
      </c>
      <c r="R619" s="1122">
        <f t="shared" ca="1" si="1005"/>
        <v>12320.004406642465</v>
      </c>
      <c r="S619" s="1122">
        <f t="shared" ca="1" si="1005"/>
        <v>7906.339117775573</v>
      </c>
      <c r="T619" s="1122">
        <f t="shared" ca="1" si="1005"/>
        <v>4586.4664023048499</v>
      </c>
      <c r="U619" s="1122">
        <f t="shared" ca="1" si="1005"/>
        <v>4049.0405585538233</v>
      </c>
      <c r="W619" s="1122">
        <f ca="1">SUM(P619:V619)</f>
        <v>43810.870524186743</v>
      </c>
      <c r="Y619" s="1122">
        <f t="shared" ref="Y619:AD619" ca="1" si="1006">Y572</f>
        <v>33114.330072902369</v>
      </c>
      <c r="Z619" s="1122">
        <f t="shared" ca="1" si="1006"/>
        <v>11732.730043827734</v>
      </c>
      <c r="AA619" s="1122">
        <f t="shared" ca="1" si="1006"/>
        <v>36960.013219927394</v>
      </c>
      <c r="AB619" s="1122">
        <f t="shared" ca="1" si="1006"/>
        <v>23719.017353326719</v>
      </c>
      <c r="AC619" s="1122">
        <f t="shared" ca="1" si="1006"/>
        <v>13759.399206914546</v>
      </c>
      <c r="AD619" s="1122">
        <f t="shared" ca="1" si="1006"/>
        <v>12147.121675661469</v>
      </c>
      <c r="AF619" s="1122">
        <f ca="1">SUM(Y619:AE619)</f>
        <v>131432.61157256024</v>
      </c>
      <c r="AH619" s="1122">
        <f t="shared" ref="AH619:AM619" ca="1" si="1007">AH572</f>
        <v>0</v>
      </c>
      <c r="AI619" s="1122">
        <f t="shared" ca="1" si="1007"/>
        <v>0</v>
      </c>
      <c r="AJ619" s="1122">
        <f t="shared" ca="1" si="1007"/>
        <v>0</v>
      </c>
      <c r="AK619" s="1122">
        <f t="shared" ca="1" si="1007"/>
        <v>0</v>
      </c>
      <c r="AL619" s="1122">
        <f t="shared" ca="1" si="1007"/>
        <v>0</v>
      </c>
      <c r="AM619" s="1122">
        <f t="shared" ca="1" si="1007"/>
        <v>0</v>
      </c>
      <c r="AO619" s="1122">
        <f ca="1">SUM(AH619:AN619)</f>
        <v>0</v>
      </c>
      <c r="AQ619" s="1122">
        <f t="shared" ref="AQ619:AV619" si="1008">AQ572</f>
        <v>438656.72193199908</v>
      </c>
      <c r="AR619" s="1122">
        <f t="shared" si="1008"/>
        <v>97563.564894963914</v>
      </c>
      <c r="AS619" s="1122">
        <f t="shared" si="1008"/>
        <v>267453.00942252984</v>
      </c>
      <c r="AT619" s="1122">
        <f t="shared" si="1008"/>
        <v>169012.18827727382</v>
      </c>
      <c r="AU619" s="1122">
        <f t="shared" si="1008"/>
        <v>109114.24796886933</v>
      </c>
      <c r="AV619" s="1122">
        <f t="shared" si="1008"/>
        <v>105261.8059659023</v>
      </c>
      <c r="AX619" s="1122">
        <f>SUM(AQ619:AW619)</f>
        <v>1187061.5384615383</v>
      </c>
      <c r="AZ619" s="1122">
        <f t="shared" ref="AZ619:BE619" ca="1" si="1009">AZ572</f>
        <v>4160.9028492797133</v>
      </c>
      <c r="BA619" s="1122">
        <f t="shared" ca="1" si="1009"/>
        <v>1413.0673715818618</v>
      </c>
      <c r="BB619" s="1122">
        <f t="shared" ca="1" si="1009"/>
        <v>4353.089572095364</v>
      </c>
      <c r="BC619" s="1122">
        <f t="shared" ca="1" si="1009"/>
        <v>2788.027442129317</v>
      </c>
      <c r="BD619" s="1122">
        <f t="shared" ca="1" si="1009"/>
        <v>1612.9649167764026</v>
      </c>
      <c r="BE619" s="1122">
        <f t="shared" ca="1" si="1009"/>
        <v>1422.0168916618629</v>
      </c>
      <c r="BG619" s="1122">
        <f ca="1">SUM(AZ619:BF619)</f>
        <v>15750.06904352452</v>
      </c>
      <c r="BI619" s="1122">
        <f t="shared" ref="BI619:BN619" ca="1" si="1010">BI572</f>
        <v>3134.7096412512919</v>
      </c>
      <c r="BJ619" s="1122">
        <f t="shared" ca="1" si="1010"/>
        <v>1075.9065843278479</v>
      </c>
      <c r="BK619" s="1122">
        <f t="shared" ca="1" si="1010"/>
        <v>3332.988971284728</v>
      </c>
      <c r="BL619" s="1122">
        <f t="shared" ca="1" si="1010"/>
        <v>2135.7459955861368</v>
      </c>
      <c r="BM619" s="1122">
        <f t="shared" ca="1" si="1010"/>
        <v>1236.4347521938348</v>
      </c>
      <c r="BN619" s="1122">
        <f t="shared" ca="1" si="1010"/>
        <v>1090.4344315672331</v>
      </c>
      <c r="BP619" s="1122">
        <f ca="1">SUM(BI619:BO619)</f>
        <v>12006.220376211073</v>
      </c>
    </row>
    <row r="620" spans="2:68" s="1122" customFormat="1" ht="13.2" customHeight="1">
      <c r="B620" s="1123" t="s">
        <v>114</v>
      </c>
      <c r="G620" s="1122">
        <f t="shared" ca="1" si="1004"/>
        <v>490071.64975963649</v>
      </c>
      <c r="H620" s="1122">
        <f t="shared" ca="1" si="1004"/>
        <v>115630.54671283455</v>
      </c>
      <c r="I620" s="1122">
        <f t="shared" ca="1" si="1004"/>
        <v>324013.5785124416</v>
      </c>
      <c r="J620" s="1122">
        <f t="shared" ca="1" si="1004"/>
        <v>205239.98429974623</v>
      </c>
      <c r="K620" s="1122">
        <f t="shared" ca="1" si="1004"/>
        <v>130175.22695345746</v>
      </c>
      <c r="L620" s="1122">
        <f t="shared" ca="1" si="1004"/>
        <v>123904.69500751099</v>
      </c>
      <c r="N620" s="1127">
        <f ca="1">SUM(G620:M620)</f>
        <v>1389035.6812456273</v>
      </c>
      <c r="O620" s="136">
        <f>ROW()</f>
        <v>620</v>
      </c>
      <c r="P620" s="1122">
        <f t="shared" ref="P620:U620" ca="1" si="1011">P619*P599</f>
        <v>11030.348291947021</v>
      </c>
      <c r="Q620" s="1122">
        <f t="shared" ca="1" si="1011"/>
        <v>3895.4971885147306</v>
      </c>
      <c r="R620" s="1122">
        <f t="shared" ca="1" si="1011"/>
        <v>12224.667330011524</v>
      </c>
      <c r="S620" s="1122">
        <f t="shared" ca="1" si="1011"/>
        <v>7830.789983796446</v>
      </c>
      <c r="T620" s="1122">
        <f t="shared" ca="1" si="1011"/>
        <v>4554.8883582513436</v>
      </c>
      <c r="U620" s="1122">
        <f t="shared" ca="1" si="1011"/>
        <v>4033.5832320285767</v>
      </c>
      <c r="W620" s="1122">
        <f ca="1">SUM(P620:V620)</f>
        <v>43569.774384549637</v>
      </c>
      <c r="Y620" s="1122">
        <f t="shared" ref="Y620:AD620" ca="1" si="1012">Y619*Y599</f>
        <v>33091.044875841064</v>
      </c>
      <c r="Z620" s="1122">
        <f t="shared" ca="1" si="1012"/>
        <v>11686.491565544189</v>
      </c>
      <c r="AA620" s="1122">
        <f t="shared" ca="1" si="1012"/>
        <v>36674.001990034565</v>
      </c>
      <c r="AB620" s="1122">
        <f t="shared" ca="1" si="1012"/>
        <v>23492.369951389341</v>
      </c>
      <c r="AC620" s="1122">
        <f t="shared" ca="1" si="1012"/>
        <v>13664.665074754026</v>
      </c>
      <c r="AD620" s="1122">
        <f t="shared" ca="1" si="1012"/>
        <v>12100.74969608573</v>
      </c>
      <c r="AF620" s="1122">
        <f ca="1">SUM(Y620:AE620)</f>
        <v>130709.3231536489</v>
      </c>
      <c r="AH620" s="1122">
        <f t="shared" ref="AH620:AM620" ca="1" si="1013">AH619*AH599</f>
        <v>0</v>
      </c>
      <c r="AI620" s="1122">
        <f t="shared" ca="1" si="1013"/>
        <v>0</v>
      </c>
      <c r="AJ620" s="1122">
        <f t="shared" ca="1" si="1013"/>
        <v>0</v>
      </c>
      <c r="AK620" s="1122">
        <f t="shared" ca="1" si="1013"/>
        <v>0</v>
      </c>
      <c r="AL620" s="1122">
        <f t="shared" ca="1" si="1013"/>
        <v>0</v>
      </c>
      <c r="AM620" s="1122">
        <f t="shared" ca="1" si="1013"/>
        <v>0</v>
      </c>
      <c r="AO620" s="1122">
        <f ca="1">SUM(AH620:AN620)</f>
        <v>0</v>
      </c>
      <c r="AQ620" s="1122">
        <f t="shared" ref="AQ620:AV620" si="1014">AQ619</f>
        <v>438656.72193199908</v>
      </c>
      <c r="AR620" s="1122">
        <f t="shared" si="1014"/>
        <v>97563.564894963914</v>
      </c>
      <c r="AS620" s="1122">
        <f t="shared" si="1014"/>
        <v>267453.00942252984</v>
      </c>
      <c r="AT620" s="1122">
        <f t="shared" si="1014"/>
        <v>169012.18827727382</v>
      </c>
      <c r="AU620" s="1122">
        <f t="shared" si="1014"/>
        <v>109114.24796886933</v>
      </c>
      <c r="AV620" s="1122">
        <f t="shared" si="1014"/>
        <v>105261.8059659023</v>
      </c>
      <c r="AX620" s="1122">
        <f>SUM(AQ620:AW620)</f>
        <v>1187061.5384615383</v>
      </c>
      <c r="AZ620" s="1122">
        <f t="shared" ref="AZ620:BE620" ca="1" si="1015">AZ619*AZ599</f>
        <v>4159.9273384651378</v>
      </c>
      <c r="BA620" s="1122">
        <f t="shared" ca="1" si="1015"/>
        <v>1411.2086366519834</v>
      </c>
      <c r="BB620" s="1122">
        <f t="shared" ca="1" si="1015"/>
        <v>4341.8318389380929</v>
      </c>
      <c r="BC620" s="1122">
        <f t="shared" ca="1" si="1015"/>
        <v>2779.1186605213734</v>
      </c>
      <c r="BD620" s="1122">
        <f t="shared" ca="1" si="1015"/>
        <v>1609.2546078732705</v>
      </c>
      <c r="BE620" s="1122">
        <f t="shared" ca="1" si="1015"/>
        <v>1420.2050542593061</v>
      </c>
      <c r="BG620" s="1122">
        <f ca="1">SUM(AZ620:BF620)</f>
        <v>15721.546136709163</v>
      </c>
      <c r="BI620" s="1122">
        <f t="shared" ref="BI620:BN620" ca="1" si="1016">BI619*BI599</f>
        <v>3133.6073213841778</v>
      </c>
      <c r="BJ620" s="1122">
        <f t="shared" ca="1" si="1016"/>
        <v>1073.7844271597437</v>
      </c>
      <c r="BK620" s="1122">
        <f t="shared" ca="1" si="1016"/>
        <v>3320.0679309275502</v>
      </c>
      <c r="BL620" s="1122">
        <f t="shared" ca="1" si="1016"/>
        <v>2125.5174267652546</v>
      </c>
      <c r="BM620" s="1122">
        <f t="shared" ca="1" si="1016"/>
        <v>1232.1709437095035</v>
      </c>
      <c r="BN620" s="1122">
        <f t="shared" ca="1" si="1016"/>
        <v>1088.3510592350851</v>
      </c>
      <c r="BP620" s="1122">
        <f ca="1">SUM(BI620:BO620)</f>
        <v>11973.499109181314</v>
      </c>
    </row>
    <row r="621" spans="2:68" s="1122" customFormat="1" ht="13.2" customHeight="1">
      <c r="B621" s="1123" t="s">
        <v>1880</v>
      </c>
      <c r="G621" s="1122">
        <f t="shared" ca="1" si="1004"/>
        <v>-33.124760096761293</v>
      </c>
      <c r="H621" s="1122">
        <f t="shared" ca="1" si="1004"/>
        <v>-65.632196476042736</v>
      </c>
      <c r="I621" s="1122">
        <f t="shared" ca="1" si="1004"/>
        <v>-405.52708003821954</v>
      </c>
      <c r="J621" s="1122">
        <f t="shared" ca="1" si="1004"/>
        <v>-321.33388634533094</v>
      </c>
      <c r="K621" s="1122">
        <f t="shared" ca="1" si="1004"/>
        <v>-134.28629360148966</v>
      </c>
      <c r="L621" s="1122">
        <f t="shared" ca="1" si="1004"/>
        <v>-65.724515835690227</v>
      </c>
      <c r="N621" s="1127">
        <f ca="1">W621+AF621+AO621+AX621+BG621+BP621</f>
        <v>-1025.6287323935612</v>
      </c>
      <c r="O621" s="136">
        <f>ROW()</f>
        <v>621</v>
      </c>
      <c r="P621" s="1122">
        <f t="shared" ref="P621:W621" ca="1" si="1017">P620-P619</f>
        <v>-7.7617323537670018</v>
      </c>
      <c r="Q621" s="1122">
        <f t="shared" ca="1" si="1017"/>
        <v>-15.412826094514912</v>
      </c>
      <c r="R621" s="1122">
        <f t="shared" ca="1" si="1017"/>
        <v>-95.337076630941738</v>
      </c>
      <c r="S621" s="1122">
        <f t="shared" ca="1" si="1017"/>
        <v>-75.549133979126964</v>
      </c>
      <c r="T621" s="1122">
        <f t="shared" ca="1" si="1017"/>
        <v>-31.578044053506346</v>
      </c>
      <c r="U621" s="1122">
        <f t="shared" ca="1" si="1017"/>
        <v>-15.457326525246572</v>
      </c>
      <c r="W621" s="1131">
        <f t="shared" ca="1" si="1017"/>
        <v>-241.09613963710581</v>
      </c>
      <c r="Y621" s="1122">
        <f t="shared" ref="Y621:AF621" ca="1" si="1018">Y620-Y619</f>
        <v>-23.285197061304643</v>
      </c>
      <c r="Z621" s="1122">
        <f t="shared" ca="1" si="1018"/>
        <v>-46.238478283545192</v>
      </c>
      <c r="AA621" s="1122">
        <f t="shared" ca="1" si="1018"/>
        <v>-286.01122989282885</v>
      </c>
      <c r="AB621" s="1122">
        <f t="shared" ca="1" si="1018"/>
        <v>-226.64740193737816</v>
      </c>
      <c r="AC621" s="1122">
        <f t="shared" ca="1" si="1018"/>
        <v>-94.734132160519948</v>
      </c>
      <c r="AD621" s="1122">
        <f t="shared" ca="1" si="1018"/>
        <v>-46.371979575738806</v>
      </c>
      <c r="AF621" s="1131">
        <f t="shared" ca="1" si="1018"/>
        <v>-723.28841891133925</v>
      </c>
      <c r="AH621" s="1122">
        <f t="shared" ref="AH621:AO621" ca="1" si="1019">AH620-AH619</f>
        <v>0</v>
      </c>
      <c r="AI621" s="1122">
        <f t="shared" ca="1" si="1019"/>
        <v>0</v>
      </c>
      <c r="AJ621" s="1122">
        <f t="shared" ca="1" si="1019"/>
        <v>0</v>
      </c>
      <c r="AK621" s="1122">
        <f t="shared" ca="1" si="1019"/>
        <v>0</v>
      </c>
      <c r="AL621" s="1122">
        <f t="shared" ca="1" si="1019"/>
        <v>0</v>
      </c>
      <c r="AM621" s="1122">
        <f t="shared" ca="1" si="1019"/>
        <v>0</v>
      </c>
      <c r="AO621" s="1131">
        <f t="shared" ca="1" si="1019"/>
        <v>0</v>
      </c>
      <c r="AQ621" s="1122">
        <f t="shared" ref="AQ621:AX621" si="1020">AQ620-AQ619</f>
        <v>0</v>
      </c>
      <c r="AR621" s="1122">
        <f t="shared" si="1020"/>
        <v>0</v>
      </c>
      <c r="AS621" s="1122">
        <f t="shared" si="1020"/>
        <v>0</v>
      </c>
      <c r="AT621" s="1122">
        <f t="shared" si="1020"/>
        <v>0</v>
      </c>
      <c r="AU621" s="1122">
        <f t="shared" si="1020"/>
        <v>0</v>
      </c>
      <c r="AV621" s="1122">
        <f t="shared" si="1020"/>
        <v>0</v>
      </c>
      <c r="AX621" s="1127">
        <f t="shared" si="1020"/>
        <v>0</v>
      </c>
      <c r="AZ621" s="1122">
        <f t="shared" ref="AZ621:BG621" ca="1" si="1021">AZ620-AZ619</f>
        <v>-0.97551081457550026</v>
      </c>
      <c r="BA621" s="1122">
        <f t="shared" ca="1" si="1021"/>
        <v>-1.8587349298784375</v>
      </c>
      <c r="BB621" s="1122">
        <f t="shared" ca="1" si="1021"/>
        <v>-11.257733157271105</v>
      </c>
      <c r="BC621" s="1122">
        <f t="shared" ca="1" si="1021"/>
        <v>-8.9087816079436379</v>
      </c>
      <c r="BD621" s="1122">
        <f t="shared" ca="1" si="1021"/>
        <v>-3.7103089031320451</v>
      </c>
      <c r="BE621" s="1122">
        <f t="shared" ca="1" si="1021"/>
        <v>-1.8118374025568755</v>
      </c>
      <c r="BG621" s="1131">
        <f t="shared" ca="1" si="1021"/>
        <v>-28.522906815356691</v>
      </c>
      <c r="BI621" s="1122">
        <f t="shared" ref="BI621:BP621" ca="1" si="1022">BI620-BI619</f>
        <v>-1.1023198671141472</v>
      </c>
      <c r="BJ621" s="1122">
        <f t="shared" ca="1" si="1022"/>
        <v>-2.1221571681041951</v>
      </c>
      <c r="BK621" s="1122">
        <f t="shared" ca="1" si="1022"/>
        <v>-12.921040357177844</v>
      </c>
      <c r="BL621" s="1122">
        <f t="shared" ca="1" si="1022"/>
        <v>-10.228568820882174</v>
      </c>
      <c r="BM621" s="1122">
        <f t="shared" ca="1" si="1022"/>
        <v>-4.2638084843313209</v>
      </c>
      <c r="BN621" s="1122">
        <f t="shared" ca="1" si="1022"/>
        <v>-2.0833723321479738</v>
      </c>
      <c r="BP621" s="1131">
        <f t="shared" ca="1" si="1022"/>
        <v>-32.721267029759474</v>
      </c>
    </row>
    <row r="622" spans="2:68" ht="13.2" customHeight="1">
      <c r="N622" s="1122"/>
      <c r="O622" s="136">
        <f>ROW()</f>
        <v>622</v>
      </c>
    </row>
    <row r="623" spans="2:68" s="1122" customFormat="1" ht="13.2" customHeight="1">
      <c r="B623" s="1195" t="s">
        <v>1616</v>
      </c>
      <c r="G623" s="1122">
        <f t="shared" ref="G623:N624" ca="1" si="1023">P623+Y623+AH623+AQ623+AZ623+BI623</f>
        <v>899468.85304375913</v>
      </c>
      <c r="H623" s="1122">
        <f t="shared" ca="1" si="1023"/>
        <v>259394.49547097541</v>
      </c>
      <c r="I623" s="1122">
        <f t="shared" ca="1" si="1023"/>
        <v>774312.32162080263</v>
      </c>
      <c r="J623" s="1122">
        <f t="shared" ca="1" si="1023"/>
        <v>498014.57425276947</v>
      </c>
      <c r="K623" s="1122">
        <f t="shared" ca="1" si="1023"/>
        <v>293162.38577933278</v>
      </c>
      <c r="L623" s="1122">
        <f t="shared" ca="1" si="1023"/>
        <v>255632.78970999681</v>
      </c>
      <c r="N623" s="1127">
        <f t="shared" ca="1" si="1023"/>
        <v>2979985.4198776362</v>
      </c>
      <c r="O623" s="136">
        <f>ROW()</f>
        <v>623</v>
      </c>
      <c r="P623" s="1122">
        <f t="shared" ref="P623:U623" ca="1" si="1024">P576</f>
        <v>86285.803127058942</v>
      </c>
      <c r="Q623" s="1122">
        <f t="shared" ca="1" si="1024"/>
        <v>29328.104794557239</v>
      </c>
      <c r="R623" s="1122">
        <f t="shared" ca="1" si="1024"/>
        <v>83767.835987809522</v>
      </c>
      <c r="S623" s="1122">
        <f t="shared" ca="1" si="1024"/>
        <v>43963.069896698857</v>
      </c>
      <c r="T623" s="1122">
        <f t="shared" ca="1" si="1024"/>
        <v>30104.310239109804</v>
      </c>
      <c r="U623" s="1122">
        <f t="shared" ca="1" si="1024"/>
        <v>23196.565788940243</v>
      </c>
      <c r="W623" s="1122">
        <f ca="1">SUM(P623:V623)</f>
        <v>296645.68983417458</v>
      </c>
      <c r="Y623" s="1122">
        <f t="shared" ref="Y623:AD623" ca="1" si="1025">Y576</f>
        <v>195447.08098825032</v>
      </c>
      <c r="Z623" s="1122">
        <f t="shared" ca="1" si="1025"/>
        <v>69726.842830380861</v>
      </c>
      <c r="AA623" s="1122">
        <f t="shared" ca="1" si="1025"/>
        <v>240896.80614917038</v>
      </c>
      <c r="AB623" s="1122">
        <f t="shared" ca="1" si="1025"/>
        <v>170471.43987174108</v>
      </c>
      <c r="AC623" s="1122">
        <f t="shared" ca="1" si="1025"/>
        <v>87161.38490039554</v>
      </c>
      <c r="AD623" s="1122">
        <f t="shared" ca="1" si="1025"/>
        <v>72068.796031896811</v>
      </c>
      <c r="AF623" s="1122">
        <f ca="1">SUM(Y623:AE623)</f>
        <v>835772.35077183507</v>
      </c>
      <c r="AH623" s="1122">
        <f t="shared" ref="AH623:AM623" ca="1" si="1026">AH576</f>
        <v>81303.295315463096</v>
      </c>
      <c r="AI623" s="1122">
        <f t="shared" ca="1" si="1026"/>
        <v>28013.876562478628</v>
      </c>
      <c r="AJ623" s="1122">
        <f t="shared" ca="1" si="1026"/>
        <v>74566.679643998126</v>
      </c>
      <c r="AK623" s="1122">
        <f t="shared" ca="1" si="1026"/>
        <v>45386.528336178599</v>
      </c>
      <c r="AL623" s="1122">
        <f t="shared" ca="1" si="1026"/>
        <v>26052.239079259249</v>
      </c>
      <c r="AM623" s="1122">
        <f t="shared" ca="1" si="1026"/>
        <v>21818.035794873773</v>
      </c>
      <c r="AO623" s="1122">
        <f ca="1">SUM(AH623:AN623)</f>
        <v>277140.65473225148</v>
      </c>
      <c r="AQ623" s="10">
        <f t="shared" ref="AQ623:AV623" ca="1" si="1027">AQ576</f>
        <v>502998.12881102966</v>
      </c>
      <c r="AR623" s="10">
        <f t="shared" ca="1" si="1027"/>
        <v>121090.0808527504</v>
      </c>
      <c r="AS623" s="10">
        <f t="shared" ca="1" si="1027"/>
        <v>340612.84032427327</v>
      </c>
      <c r="AT623" s="10">
        <f t="shared" ca="1" si="1027"/>
        <v>216106.30800953342</v>
      </c>
      <c r="AU623" s="10">
        <f t="shared" ca="1" si="1027"/>
        <v>137103.48933382597</v>
      </c>
      <c r="AV623" s="10">
        <f t="shared" ca="1" si="1027"/>
        <v>127336.74860206751</v>
      </c>
      <c r="AW623" s="10"/>
      <c r="AX623" s="10">
        <f ca="1">SUM(AQ623:AW623)</f>
        <v>1445247.5959334802</v>
      </c>
      <c r="AZ623" s="1122">
        <f t="shared" ref="AZ623:BE623" ca="1" si="1028">AZ576</f>
        <v>24073.66963744133</v>
      </c>
      <c r="BA623" s="1122">
        <f t="shared" ca="1" si="1028"/>
        <v>8078.5368832638187</v>
      </c>
      <c r="BB623" s="1122">
        <f t="shared" ca="1" si="1028"/>
        <v>24766.376840097539</v>
      </c>
      <c r="BC623" s="1122">
        <f t="shared" ca="1" si="1028"/>
        <v>15870.500439733951</v>
      </c>
      <c r="BD623" s="1122">
        <f t="shared" ca="1" si="1028"/>
        <v>9151.3202104527518</v>
      </c>
      <c r="BE623" s="1122">
        <f t="shared" ca="1" si="1028"/>
        <v>8052.0647034546173</v>
      </c>
      <c r="BG623" s="1122">
        <f ca="1">SUM(AZ623:BF623)</f>
        <v>89992.468714443996</v>
      </c>
      <c r="BI623" s="1122">
        <f t="shared" ref="BI623:BN623" ca="1" si="1029">BI576</f>
        <v>9360.8751645157681</v>
      </c>
      <c r="BJ623" s="1122">
        <f t="shared" ca="1" si="1029"/>
        <v>3157.0535475444722</v>
      </c>
      <c r="BK623" s="1122">
        <f t="shared" ca="1" si="1029"/>
        <v>9701.7826754536472</v>
      </c>
      <c r="BL623" s="1122">
        <f t="shared" ca="1" si="1029"/>
        <v>6216.727698883552</v>
      </c>
      <c r="BM623" s="1122">
        <f t="shared" ca="1" si="1029"/>
        <v>3589.6420162894569</v>
      </c>
      <c r="BN623" s="1122">
        <f t="shared" ca="1" si="1029"/>
        <v>3160.5787887638753</v>
      </c>
      <c r="BP623" s="1122">
        <f ca="1">SUM(BI623:BO623)</f>
        <v>35186.65989145077</v>
      </c>
    </row>
    <row r="624" spans="2:68" s="1122" customFormat="1" ht="13.2" customHeight="1">
      <c r="B624" s="1195" t="s">
        <v>1617</v>
      </c>
      <c r="G624" s="1122">
        <f t="shared" ca="1" si="1023"/>
        <v>892979.93368564663</v>
      </c>
      <c r="H624" s="1122">
        <f t="shared" ca="1" si="1023"/>
        <v>256884.06541302605</v>
      </c>
      <c r="I624" s="1122">
        <f t="shared" ca="1" si="1023"/>
        <v>763776.33557903592</v>
      </c>
      <c r="J624" s="1122">
        <f t="shared" ca="1" si="1023"/>
        <v>490270.13547529612</v>
      </c>
      <c r="K624" s="1122">
        <f t="shared" ca="1" si="1023"/>
        <v>289787.80036221881</v>
      </c>
      <c r="L624" s="1122">
        <f t="shared" ca="1" si="1023"/>
        <v>253266.44403561257</v>
      </c>
      <c r="N624" s="1127">
        <f t="shared" ca="1" si="1023"/>
        <v>2946964.714550836</v>
      </c>
      <c r="O624" s="136">
        <f>ROW()</f>
        <v>624</v>
      </c>
      <c r="P624" s="1122">
        <f t="shared" ref="P624:U624" ca="1" si="1030">P609+P616+P620</f>
        <v>84735.382074542125</v>
      </c>
      <c r="Q624" s="1122">
        <f t="shared" ca="1" si="1030"/>
        <v>28762.918076605849</v>
      </c>
      <c r="R624" s="1122">
        <f t="shared" ca="1" si="1030"/>
        <v>81712.14463515082</v>
      </c>
      <c r="S624" s="1122">
        <f t="shared" ca="1" si="1030"/>
        <v>42835.680362348656</v>
      </c>
      <c r="T624" s="1122">
        <f t="shared" ca="1" si="1030"/>
        <v>29437.811520099855</v>
      </c>
      <c r="U624" s="1122">
        <f t="shared" ca="1" si="1030"/>
        <v>22750.568565973292</v>
      </c>
      <c r="W624" s="1122">
        <f ca="1">SUM(P624:V624)</f>
        <v>290234.50523472059</v>
      </c>
      <c r="Y624" s="1122">
        <f t="shared" ref="Y624:AD624" ca="1" si="1031">Y609+Y616+Y620</f>
        <v>191612.93747509224</v>
      </c>
      <c r="Z624" s="1122">
        <f t="shared" ca="1" si="1031"/>
        <v>68314.641169264811</v>
      </c>
      <c r="AA624" s="1122">
        <f t="shared" ca="1" si="1031"/>
        <v>234755.32063132952</v>
      </c>
      <c r="AB624" s="1122">
        <f t="shared" ca="1" si="1031"/>
        <v>165507.63138824914</v>
      </c>
      <c r="AC624" s="1122">
        <f t="shared" ca="1" si="1031"/>
        <v>85150.935111854924</v>
      </c>
      <c r="AD624" s="1122">
        <f t="shared" ca="1" si="1031"/>
        <v>70606.091550946439</v>
      </c>
      <c r="AF624" s="1122">
        <f ca="1">SUM(Y624:AE624)</f>
        <v>815947.55732673709</v>
      </c>
      <c r="AH624" s="1122">
        <f t="shared" ref="AH624:AM624" ca="1" si="1032">AH609+AH616+AH620</f>
        <v>80420.918171437603</v>
      </c>
      <c r="AI624" s="1122">
        <f t="shared" ca="1" si="1032"/>
        <v>27561.745512454851</v>
      </c>
      <c r="AJ624" s="1122">
        <f t="shared" ca="1" si="1032"/>
        <v>72543.241076418897</v>
      </c>
      <c r="AK624" s="1122">
        <f t="shared" ca="1" si="1032"/>
        <v>43959.433844670071</v>
      </c>
      <c r="AL624" s="1122">
        <f t="shared" ca="1" si="1032"/>
        <v>25460.6398571764</v>
      </c>
      <c r="AM624" s="1122">
        <f t="shared" ca="1" si="1032"/>
        <v>21441.229008445778</v>
      </c>
      <c r="AO624" s="1122">
        <f ca="1">SUM(AH624:AN624)</f>
        <v>271387.20747060364</v>
      </c>
      <c r="AQ624" s="10">
        <f t="shared" ref="AQ624:AV624" ca="1" si="1033">AQ623</f>
        <v>502998.12881102966</v>
      </c>
      <c r="AR624" s="10">
        <f t="shared" ca="1" si="1033"/>
        <v>121090.0808527504</v>
      </c>
      <c r="AS624" s="10">
        <f t="shared" ca="1" si="1033"/>
        <v>340612.84032427327</v>
      </c>
      <c r="AT624" s="10">
        <f t="shared" ca="1" si="1033"/>
        <v>216106.30800953342</v>
      </c>
      <c r="AU624" s="10">
        <f t="shared" ca="1" si="1033"/>
        <v>137103.48933382597</v>
      </c>
      <c r="AV624" s="10">
        <f t="shared" ca="1" si="1033"/>
        <v>127336.74860206751</v>
      </c>
      <c r="AW624" s="10"/>
      <c r="AX624" s="10">
        <f ca="1">SUM(AQ624:AW624)</f>
        <v>1445247.5959334802</v>
      </c>
      <c r="AZ624" s="1122">
        <f t="shared" ref="AZ624:BE624" ca="1" si="1034">AZ609+AZ616+AZ620</f>
        <v>23921.046265281147</v>
      </c>
      <c r="BA624" s="1122">
        <f t="shared" ca="1" si="1034"/>
        <v>8023.5132495704011</v>
      </c>
      <c r="BB624" s="1122">
        <f t="shared" ca="1" si="1034"/>
        <v>24554.272403618685</v>
      </c>
      <c r="BC624" s="1122">
        <f t="shared" ca="1" si="1034"/>
        <v>15718.812569670317</v>
      </c>
      <c r="BD624" s="1122">
        <f t="shared" ca="1" si="1034"/>
        <v>9079.9386564904999</v>
      </c>
      <c r="BE624" s="1122">
        <f t="shared" ca="1" si="1034"/>
        <v>7997.1139586017598</v>
      </c>
      <c r="BG624" s="1122">
        <f ca="1">SUM(AZ624:BF624)</f>
        <v>89294.697103232815</v>
      </c>
      <c r="BI624" s="1122">
        <f t="shared" ref="BI624:BN624" ca="1" si="1035">BI609+BI616+BI620</f>
        <v>9291.5208882639272</v>
      </c>
      <c r="BJ624" s="1122">
        <f t="shared" ca="1" si="1035"/>
        <v>3131.1665523797424</v>
      </c>
      <c r="BK624" s="1122">
        <f t="shared" ca="1" si="1035"/>
        <v>9598.5165082446838</v>
      </c>
      <c r="BL624" s="1122">
        <f t="shared" ca="1" si="1035"/>
        <v>6142.2693008244778</v>
      </c>
      <c r="BM624" s="1122">
        <f t="shared" ca="1" si="1035"/>
        <v>3554.9858827711687</v>
      </c>
      <c r="BN624" s="1122">
        <f t="shared" ca="1" si="1035"/>
        <v>3134.6923495778283</v>
      </c>
      <c r="BP624" s="1122">
        <f ca="1">SUM(BI624:BO624)</f>
        <v>34853.151482061832</v>
      </c>
    </row>
    <row r="625" spans="2:68" ht="13.2" customHeight="1">
      <c r="B625" s="308" t="s">
        <v>1307</v>
      </c>
      <c r="G625" s="10">
        <f t="shared" ref="G625:L625" ca="1" si="1036">G624/G$118</f>
        <v>89297.993368564668</v>
      </c>
      <c r="H625" s="10">
        <f t="shared" ca="1" si="1036"/>
        <v>128442.03270651303</v>
      </c>
      <c r="I625" s="10">
        <f t="shared" ca="1" si="1036"/>
        <v>152755.26711580719</v>
      </c>
      <c r="J625" s="10">
        <f t="shared" ca="1" si="1036"/>
        <v>163423.37849176538</v>
      </c>
      <c r="K625" s="10">
        <f t="shared" ca="1" si="1036"/>
        <v>144893.90018110941</v>
      </c>
      <c r="L625" s="10">
        <f t="shared" ca="1" si="1036"/>
        <v>126633.22201780629</v>
      </c>
      <c r="M625" s="10"/>
      <c r="N625" s="6"/>
      <c r="O625" s="136">
        <f>ROW()</f>
        <v>625</v>
      </c>
      <c r="P625" s="10"/>
      <c r="Q625" s="10"/>
      <c r="R625" s="10"/>
      <c r="S625" s="10"/>
      <c r="T625" s="10"/>
      <c r="U625" s="10"/>
      <c r="V625" s="10"/>
      <c r="W625" s="10"/>
      <c r="Y625" s="10"/>
      <c r="Z625" s="10"/>
      <c r="AA625" s="10"/>
      <c r="AB625" s="10"/>
      <c r="AC625" s="10"/>
      <c r="AD625" s="10"/>
      <c r="AE625" s="10"/>
      <c r="AF625" s="10"/>
      <c r="AH625" s="10"/>
      <c r="AI625" s="10"/>
      <c r="AJ625" s="10"/>
      <c r="AK625" s="10"/>
      <c r="AL625" s="10"/>
      <c r="AM625" s="10"/>
      <c r="AN625" s="10"/>
      <c r="AO625" s="10"/>
      <c r="AQ625" s="10"/>
      <c r="AR625" s="10"/>
      <c r="AS625" s="10"/>
      <c r="AT625" s="10"/>
      <c r="AU625" s="10"/>
      <c r="AV625" s="10"/>
      <c r="AW625" s="10"/>
      <c r="AX625" s="10"/>
      <c r="AZ625" s="10"/>
      <c r="BA625" s="10"/>
      <c r="BB625" s="10"/>
      <c r="BC625" s="10"/>
      <c r="BD625" s="10"/>
      <c r="BE625" s="10"/>
      <c r="BF625" s="10"/>
      <c r="BG625" s="10"/>
      <c r="BI625" s="10"/>
      <c r="BJ625" s="10"/>
      <c r="BK625" s="10"/>
      <c r="BL625" s="10"/>
      <c r="BM625" s="10"/>
      <c r="BN625" s="10"/>
      <c r="BO625" s="10"/>
      <c r="BP625" s="10"/>
    </row>
    <row r="626" spans="2:68" ht="13.2" customHeight="1">
      <c r="B626" s="280" t="s">
        <v>2709</v>
      </c>
      <c r="G626" s="612">
        <f t="shared" ref="G626:L626" ca="1" si="1037">G624/G623</f>
        <v>0.99278583206505222</v>
      </c>
      <c r="H626" s="612">
        <f t="shared" ca="1" si="1037"/>
        <v>0.99032196094450176</v>
      </c>
      <c r="I626" s="612">
        <f t="shared" ca="1" si="1037"/>
        <v>0.98639310553690707</v>
      </c>
      <c r="J626" s="612">
        <f t="shared" ca="1" si="1037"/>
        <v>0.98444937321544601</v>
      </c>
      <c r="K626" s="612">
        <f t="shared" ca="1" si="1037"/>
        <v>0.98848902321441035</v>
      </c>
      <c r="L626" s="612">
        <f t="shared" ca="1" si="1037"/>
        <v>0.99074318409203788</v>
      </c>
      <c r="M626" s="612"/>
      <c r="N626" s="186"/>
      <c r="O626" s="136">
        <f>ROW()</f>
        <v>626</v>
      </c>
      <c r="P626" s="4147" t="s">
        <v>2680</v>
      </c>
      <c r="Q626" s="4147"/>
      <c r="R626" s="4147"/>
      <c r="S626" s="4147"/>
      <c r="T626" s="4147"/>
      <c r="U626" s="4147"/>
      <c r="V626" s="4147"/>
      <c r="W626" s="4147"/>
      <c r="Y626" s="4147" t="s">
        <v>2681</v>
      </c>
      <c r="Z626" s="4147"/>
      <c r="AA626" s="4147"/>
      <c r="AB626" s="4147"/>
      <c r="AC626" s="4147"/>
      <c r="AD626" s="4147"/>
      <c r="AE626" s="4147"/>
      <c r="AF626" s="4147"/>
      <c r="AH626" s="4263" t="s">
        <v>5482</v>
      </c>
      <c r="AI626" s="4264"/>
      <c r="AJ626" s="4264"/>
      <c r="AK626" s="4264"/>
      <c r="AL626" s="4264"/>
      <c r="AM626" s="4264"/>
      <c r="AN626" s="4264"/>
      <c r="AO626" s="4264"/>
      <c r="AQ626" s="4147" t="s">
        <v>713</v>
      </c>
      <c r="AR626" s="4147"/>
      <c r="AS626" s="4147"/>
      <c r="AT626" s="4147"/>
      <c r="AU626" s="4147"/>
      <c r="AV626" s="4147"/>
      <c r="AW626" s="4147"/>
      <c r="AX626" s="4147"/>
      <c r="AZ626" s="4147" t="s">
        <v>460</v>
      </c>
      <c r="BA626" s="4147"/>
      <c r="BB626" s="4147"/>
      <c r="BC626" s="4147"/>
      <c r="BD626" s="4147"/>
      <c r="BE626" s="4147"/>
      <c r="BF626" s="4147"/>
      <c r="BG626" s="4147"/>
      <c r="BI626" s="4147" t="s">
        <v>849</v>
      </c>
      <c r="BJ626" s="4147"/>
      <c r="BK626" s="4147"/>
      <c r="BL626" s="4147"/>
      <c r="BM626" s="4147"/>
      <c r="BN626" s="4147"/>
      <c r="BO626" s="4147"/>
      <c r="BP626" s="4147"/>
    </row>
    <row r="627" spans="2:68" ht="13.2" customHeight="1">
      <c r="O627" s="136">
        <f>ROW()</f>
        <v>627</v>
      </c>
    </row>
    <row r="628" spans="2:68" ht="13.2" customHeight="1">
      <c r="B628" s="308" t="s">
        <v>587</v>
      </c>
      <c r="C628" s="280"/>
      <c r="D628" s="280"/>
      <c r="E628" s="280"/>
      <c r="F628" s="280"/>
      <c r="G628" s="280"/>
      <c r="H628" s="280"/>
      <c r="I628" s="280"/>
      <c r="J628" s="280"/>
      <c r="K628" s="280"/>
      <c r="L628" s="280"/>
      <c r="M628" s="280"/>
      <c r="N628" s="280"/>
      <c r="O628" s="136">
        <f>ROW()</f>
        <v>628</v>
      </c>
    </row>
    <row r="629" spans="2:68" ht="13.2" customHeight="1">
      <c r="B629" s="280" t="s">
        <v>2034</v>
      </c>
      <c r="E629" s="280"/>
      <c r="F629" s="280"/>
      <c r="G629" s="21">
        <f t="shared" ref="G629:L629" ca="1" si="1038">KSC/(1+0.1*($G$401*G625/$I$181)^KSE)</f>
        <v>20.160310296885594</v>
      </c>
      <c r="H629" s="21">
        <f t="shared" ca="1" si="1038"/>
        <v>15.820744397834115</v>
      </c>
      <c r="I629" s="21">
        <f t="shared" ca="1" si="1038"/>
        <v>12.349937808381183</v>
      </c>
      <c r="J629" s="21">
        <f t="shared" ca="1" si="1038"/>
        <v>10.871624802053146</v>
      </c>
      <c r="K629" s="21">
        <f t="shared" ca="1" si="1038"/>
        <v>13.4760175789055</v>
      </c>
      <c r="L629" s="21">
        <f t="shared" ca="1" si="1038"/>
        <v>16.06967706592204</v>
      </c>
      <c r="M629" s="21"/>
      <c r="O629" s="136">
        <f>ROW()</f>
        <v>629</v>
      </c>
      <c r="P629" s="21">
        <f t="shared" ref="P629:U630" ca="1" si="1039">G629</f>
        <v>20.160310296885594</v>
      </c>
      <c r="Q629" s="21">
        <f t="shared" ca="1" si="1039"/>
        <v>15.820744397834115</v>
      </c>
      <c r="R629" s="21">
        <f t="shared" ca="1" si="1039"/>
        <v>12.349937808381183</v>
      </c>
      <c r="S629" s="21">
        <f t="shared" ca="1" si="1039"/>
        <v>10.871624802053146</v>
      </c>
      <c r="T629" s="21">
        <f t="shared" ca="1" si="1039"/>
        <v>13.4760175789055</v>
      </c>
      <c r="U629" s="21">
        <f t="shared" ca="1" si="1039"/>
        <v>16.06967706592204</v>
      </c>
      <c r="V629" s="21"/>
      <c r="Y629" s="21">
        <f t="shared" ref="Y629:AD630" ca="1" si="1040">G629</f>
        <v>20.160310296885594</v>
      </c>
      <c r="Z629" s="21">
        <f t="shared" ca="1" si="1040"/>
        <v>15.820744397834115</v>
      </c>
      <c r="AA629" s="21">
        <f t="shared" ca="1" si="1040"/>
        <v>12.349937808381183</v>
      </c>
      <c r="AB629" s="21">
        <f t="shared" ca="1" si="1040"/>
        <v>10.871624802053146</v>
      </c>
      <c r="AC629" s="21">
        <f t="shared" ca="1" si="1040"/>
        <v>13.4760175789055</v>
      </c>
      <c r="AD629" s="21">
        <f t="shared" ca="1" si="1040"/>
        <v>16.06967706592204</v>
      </c>
      <c r="AE629" s="21"/>
      <c r="AH629" s="21">
        <f t="shared" ref="AH629:AM630" ca="1" si="1041">P629</f>
        <v>20.160310296885594</v>
      </c>
      <c r="AI629" s="21">
        <f t="shared" ca="1" si="1041"/>
        <v>15.820744397834115</v>
      </c>
      <c r="AJ629" s="21">
        <f t="shared" ca="1" si="1041"/>
        <v>12.349937808381183</v>
      </c>
      <c r="AK629" s="21">
        <f t="shared" ca="1" si="1041"/>
        <v>10.871624802053146</v>
      </c>
      <c r="AL629" s="21">
        <f t="shared" ca="1" si="1041"/>
        <v>13.4760175789055</v>
      </c>
      <c r="AM629" s="21">
        <f t="shared" ca="1" si="1041"/>
        <v>16.06967706592204</v>
      </c>
      <c r="AN629" s="21"/>
      <c r="AQ629" s="21">
        <f t="shared" ref="AQ629:AV629" ca="1" si="1042">G629*$AU$181</f>
        <v>19.152294782041313</v>
      </c>
      <c r="AR629" s="21">
        <f t="shared" ca="1" si="1042"/>
        <v>15.029707177942409</v>
      </c>
      <c r="AS629" s="21">
        <f t="shared" ca="1" si="1042"/>
        <v>11.732440917962123</v>
      </c>
      <c r="AT629" s="21">
        <f t="shared" ca="1" si="1042"/>
        <v>10.328043561950489</v>
      </c>
      <c r="AU629" s="21">
        <f t="shared" ca="1" si="1042"/>
        <v>12.802216699960224</v>
      </c>
      <c r="AV629" s="21">
        <f t="shared" ca="1" si="1042"/>
        <v>15.266193212625938</v>
      </c>
      <c r="AW629" s="21"/>
      <c r="AZ629" s="21">
        <f t="shared" ref="AZ629:BE630" ca="1" si="1043">G629</f>
        <v>20.160310296885594</v>
      </c>
      <c r="BA629" s="21">
        <f t="shared" ca="1" si="1043"/>
        <v>15.820744397834115</v>
      </c>
      <c r="BB629" s="21">
        <f t="shared" ca="1" si="1043"/>
        <v>12.349937808381183</v>
      </c>
      <c r="BC629" s="21">
        <f t="shared" ca="1" si="1043"/>
        <v>10.871624802053146</v>
      </c>
      <c r="BD629" s="21">
        <f t="shared" ca="1" si="1043"/>
        <v>13.4760175789055</v>
      </c>
      <c r="BE629" s="21">
        <f t="shared" ca="1" si="1043"/>
        <v>16.06967706592204</v>
      </c>
      <c r="BF629" s="21"/>
      <c r="BG629" s="21"/>
      <c r="BI629" s="21">
        <f t="shared" ref="BI629:BN630" ca="1" si="1044">G629</f>
        <v>20.160310296885594</v>
      </c>
      <c r="BJ629" s="21">
        <f t="shared" ca="1" si="1044"/>
        <v>15.820744397834115</v>
      </c>
      <c r="BK629" s="21">
        <f t="shared" ca="1" si="1044"/>
        <v>12.349937808381183</v>
      </c>
      <c r="BL629" s="21">
        <f t="shared" ca="1" si="1044"/>
        <v>10.871624802053146</v>
      </c>
      <c r="BM629" s="21">
        <f t="shared" ca="1" si="1044"/>
        <v>13.4760175789055</v>
      </c>
      <c r="BN629" s="21">
        <f t="shared" ca="1" si="1044"/>
        <v>16.06967706592204</v>
      </c>
      <c r="BO629" s="21"/>
      <c r="BP629" s="21"/>
    </row>
    <row r="630" spans="2:68" ht="13.2" customHeight="1">
      <c r="B630" s="280" t="s">
        <v>1428</v>
      </c>
      <c r="E630" s="280"/>
      <c r="F630" s="280"/>
      <c r="G630" s="21">
        <f ca="1">MIN('Speed-Vol., non-Cordon'!$X$57*(G582 / 'Speed-Vol., non-Cordon'!$X$57)^G601,'Speed-Vol., non-Cordon'!$X$32)</f>
        <v>54.481395828328807</v>
      </c>
      <c r="H630" s="21">
        <f ca="1">MIN('Speed-Vol., non-Cordon'!$X$57*(H582 / 'Speed-Vol., non-Cordon'!$X$57)^H601,'Speed-Vol., non-Cordon'!$X$32)</f>
        <v>31.488865030520561</v>
      </c>
      <c r="I630" s="21">
        <f ca="1">MIN('Speed-Vol., non-Cordon'!$X$57*(I582 / 'Speed-Vol., non-Cordon'!$X$57)^I601,'Speed-Vol., non-Cordon'!$X$32)</f>
        <v>23.45225757548852</v>
      </c>
      <c r="J630" s="21">
        <f ca="1">MIN('Speed-Vol., non-Cordon'!$X$57*(J582 / 'Speed-Vol., non-Cordon'!$X$57)^J601,'Speed-Vol., non-Cordon'!$X$32)</f>
        <v>21.020627685405383</v>
      </c>
      <c r="K630" s="21">
        <f ca="1">MIN('Speed-Vol., non-Cordon'!$X$57*(K582 / 'Speed-Vol., non-Cordon'!$X$57)^K601,'Speed-Vol., non-Cordon'!$X$32)</f>
        <v>27.040692565047962</v>
      </c>
      <c r="L630" s="21">
        <f ca="1">MIN('Speed-Vol., non-Cordon'!$X$57*(L582 / 'Speed-Vol., non-Cordon'!$X$57)^L601,'Speed-Vol., non-Cordon'!$X$32)</f>
        <v>33.142154324756241</v>
      </c>
      <c r="M630" s="21"/>
      <c r="O630" s="136">
        <f>ROW()</f>
        <v>630</v>
      </c>
      <c r="P630" s="21">
        <f t="shared" ca="1" si="1039"/>
        <v>54.481395828328807</v>
      </c>
      <c r="Q630" s="21">
        <f t="shared" ca="1" si="1039"/>
        <v>31.488865030520561</v>
      </c>
      <c r="R630" s="21">
        <f t="shared" ca="1" si="1039"/>
        <v>23.45225757548852</v>
      </c>
      <c r="S630" s="21">
        <f t="shared" ca="1" si="1039"/>
        <v>21.020627685405383</v>
      </c>
      <c r="T630" s="21">
        <f t="shared" ca="1" si="1039"/>
        <v>27.040692565047962</v>
      </c>
      <c r="U630" s="21">
        <f t="shared" ca="1" si="1039"/>
        <v>33.142154324756241</v>
      </c>
      <c r="V630" s="21"/>
      <c r="W630" s="4272" t="s">
        <v>1878</v>
      </c>
      <c r="Y630" s="21">
        <f t="shared" ca="1" si="1040"/>
        <v>54.481395828328807</v>
      </c>
      <c r="Z630" s="21">
        <f t="shared" ca="1" si="1040"/>
        <v>31.488865030520561</v>
      </c>
      <c r="AA630" s="21">
        <f t="shared" ca="1" si="1040"/>
        <v>23.45225757548852</v>
      </c>
      <c r="AB630" s="21">
        <f t="shared" ca="1" si="1040"/>
        <v>21.020627685405383</v>
      </c>
      <c r="AC630" s="21">
        <f t="shared" ca="1" si="1040"/>
        <v>27.040692565047962</v>
      </c>
      <c r="AD630" s="21">
        <f t="shared" ca="1" si="1040"/>
        <v>33.142154324756241</v>
      </c>
      <c r="AE630" s="21"/>
      <c r="AF630" s="4272" t="s">
        <v>1878</v>
      </c>
      <c r="AH630" s="21">
        <f t="shared" ca="1" si="1041"/>
        <v>54.481395828328807</v>
      </c>
      <c r="AI630" s="21">
        <f t="shared" ca="1" si="1041"/>
        <v>31.488865030520561</v>
      </c>
      <c r="AJ630" s="21">
        <f t="shared" ca="1" si="1041"/>
        <v>23.45225757548852</v>
      </c>
      <c r="AK630" s="21">
        <f t="shared" ca="1" si="1041"/>
        <v>21.020627685405383</v>
      </c>
      <c r="AL630" s="21">
        <f t="shared" ca="1" si="1041"/>
        <v>27.040692565047962</v>
      </c>
      <c r="AM630" s="21">
        <f t="shared" ca="1" si="1041"/>
        <v>33.142154324756241</v>
      </c>
      <c r="AN630" s="21"/>
      <c r="AO630" s="4272" t="s">
        <v>1878</v>
      </c>
      <c r="AQ630" s="21">
        <f t="shared" ref="AQ630:AV630" ca="1" si="1045">G630*$AV$181</f>
        <v>53.936581870045522</v>
      </c>
      <c r="AR630" s="21">
        <f t="shared" ca="1" si="1045"/>
        <v>31.173976380215354</v>
      </c>
      <c r="AS630" s="21">
        <f t="shared" ca="1" si="1045"/>
        <v>23.217734999733636</v>
      </c>
      <c r="AT630" s="21">
        <f t="shared" ca="1" si="1045"/>
        <v>20.810421408551328</v>
      </c>
      <c r="AU630" s="21">
        <f t="shared" ca="1" si="1045"/>
        <v>26.770285639397482</v>
      </c>
      <c r="AV630" s="21">
        <f t="shared" ca="1" si="1045"/>
        <v>32.810732781508676</v>
      </c>
      <c r="AW630" s="21"/>
      <c r="AX630" s="4272" t="s">
        <v>1878</v>
      </c>
      <c r="AZ630" s="21">
        <f t="shared" ca="1" si="1043"/>
        <v>54.481395828328807</v>
      </c>
      <c r="BA630" s="21">
        <f t="shared" ca="1" si="1043"/>
        <v>31.488865030520561</v>
      </c>
      <c r="BB630" s="21">
        <f t="shared" ca="1" si="1043"/>
        <v>23.45225757548852</v>
      </c>
      <c r="BC630" s="21">
        <f t="shared" ca="1" si="1043"/>
        <v>21.020627685405383</v>
      </c>
      <c r="BD630" s="21">
        <f t="shared" ca="1" si="1043"/>
        <v>27.040692565047962</v>
      </c>
      <c r="BE630" s="21">
        <f t="shared" ca="1" si="1043"/>
        <v>33.142154324756241</v>
      </c>
      <c r="BF630" s="21"/>
      <c r="BG630" s="4272" t="s">
        <v>1878</v>
      </c>
      <c r="BI630" s="21">
        <f t="shared" ca="1" si="1044"/>
        <v>54.481395828328807</v>
      </c>
      <c r="BJ630" s="21">
        <f t="shared" ca="1" si="1044"/>
        <v>31.488865030520561</v>
      </c>
      <c r="BK630" s="21">
        <f t="shared" ca="1" si="1044"/>
        <v>23.45225757548852</v>
      </c>
      <c r="BL630" s="21">
        <f t="shared" ca="1" si="1044"/>
        <v>21.020627685405383</v>
      </c>
      <c r="BM630" s="21">
        <f t="shared" ca="1" si="1044"/>
        <v>27.040692565047962</v>
      </c>
      <c r="BN630" s="21">
        <f t="shared" ca="1" si="1044"/>
        <v>33.142154324756241</v>
      </c>
      <c r="BO630" s="21"/>
      <c r="BP630" s="4272" t="s">
        <v>1878</v>
      </c>
    </row>
    <row r="631" spans="2:68" ht="13.2" customHeight="1">
      <c r="B631" s="280"/>
      <c r="O631" s="136">
        <f>ROW()</f>
        <v>631</v>
      </c>
      <c r="W631" s="4341"/>
      <c r="AF631" s="4273"/>
      <c r="AO631" s="4273"/>
      <c r="AX631" s="4273"/>
      <c r="BG631" s="4273"/>
      <c r="BP631" s="4273"/>
    </row>
    <row r="632" spans="2:68" ht="13.2" customHeight="1">
      <c r="B632" s="308" t="s">
        <v>2606</v>
      </c>
      <c r="F632" s="606"/>
      <c r="O632" s="136">
        <f>ROW()</f>
        <v>632</v>
      </c>
      <c r="W632" s="4341"/>
      <c r="AF632" s="4273"/>
      <c r="AO632" s="4273"/>
      <c r="AX632" s="4340"/>
      <c r="BG632" s="4273"/>
      <c r="BP632" s="4273"/>
    </row>
    <row r="633" spans="2:68" ht="13.2" customHeight="1">
      <c r="B633" s="280" t="s">
        <v>2158</v>
      </c>
      <c r="C633" s="297"/>
      <c r="D633" s="297"/>
      <c r="E633" s="297"/>
      <c r="F633" s="297"/>
      <c r="G633" s="4286" t="s">
        <v>2351</v>
      </c>
      <c r="H633" s="3775"/>
      <c r="I633" s="3775"/>
      <c r="J633" s="3775"/>
      <c r="K633" s="3775"/>
      <c r="L633" s="3776"/>
      <c r="O633" s="136">
        <f>ROW()</f>
        <v>633</v>
      </c>
      <c r="P633" s="21">
        <f t="shared" ref="P633:U633" ca="1" si="1046">($I$85)*60/P629</f>
        <v>4.4642170023495806</v>
      </c>
      <c r="Q633" s="21">
        <f t="shared" ca="1" si="1046"/>
        <v>5.6887335852743526</v>
      </c>
      <c r="R633" s="21">
        <f t="shared" ca="1" si="1046"/>
        <v>7.2874860907333678</v>
      </c>
      <c r="S633" s="21">
        <f t="shared" ca="1" si="1046"/>
        <v>8.2784313880114002</v>
      </c>
      <c r="T633" s="21">
        <f t="shared" ca="1" si="1046"/>
        <v>6.6785309141240861</v>
      </c>
      <c r="U633" s="21">
        <f t="shared" ca="1" si="1046"/>
        <v>5.6006103688827311</v>
      </c>
      <c r="V633" s="21"/>
      <c r="W633" s="613">
        <f ca="1">SUMPRODUCT(P$476:V$476,P633:V633)/W$476</f>
        <v>6.2675647576554221</v>
      </c>
      <c r="Y633" s="21">
        <f t="shared" ref="Y633:AD633" ca="1" si="1047">($J$85)*60/Y629</f>
        <v>4.4642170023495806</v>
      </c>
      <c r="Z633" s="21">
        <f t="shared" ca="1" si="1047"/>
        <v>5.6887335852743526</v>
      </c>
      <c r="AA633" s="21">
        <f t="shared" ca="1" si="1047"/>
        <v>7.2874860907333678</v>
      </c>
      <c r="AB633" s="21">
        <f t="shared" ca="1" si="1047"/>
        <v>8.2784313880114002</v>
      </c>
      <c r="AC633" s="21">
        <f t="shared" ca="1" si="1047"/>
        <v>6.6785309141240861</v>
      </c>
      <c r="AD633" s="21">
        <f t="shared" ca="1" si="1047"/>
        <v>5.6006103688827311</v>
      </c>
      <c r="AE633" s="21"/>
      <c r="AF633" s="613">
        <f ca="1">SUMPRODUCT(Y$476:AE$476,Y633:AE633)/AF$476</f>
        <v>6.4919423680723236</v>
      </c>
      <c r="AH633" s="21">
        <f t="shared" ref="AH633:AM633" ca="1" si="1048">($K$85)*60/AH629</f>
        <v>4.1666025355262759</v>
      </c>
      <c r="AI633" s="21">
        <f t="shared" ca="1" si="1048"/>
        <v>5.3094846795893966</v>
      </c>
      <c r="AJ633" s="21">
        <f t="shared" ca="1" si="1048"/>
        <v>6.8016536846844771</v>
      </c>
      <c r="AK633" s="21">
        <f t="shared" ca="1" si="1048"/>
        <v>7.7265359621439753</v>
      </c>
      <c r="AL633" s="21">
        <f t="shared" ca="1" si="1048"/>
        <v>6.2332955198491478</v>
      </c>
      <c r="AM633" s="21">
        <f t="shared" ca="1" si="1048"/>
        <v>5.2272363442905503</v>
      </c>
      <c r="AN633" s="21"/>
      <c r="AO633" s="613">
        <f ca="1">SUMPRODUCT(AH$476:AN$476,AH633:AN633)/AO$476</f>
        <v>5.8568206846344957</v>
      </c>
      <c r="AQ633" s="21">
        <f t="shared" ref="AQ633:AV633" ca="1" si="1049">($L$85)*60/AQ629</f>
        <v>6.2655677225959039</v>
      </c>
      <c r="AR633" s="21">
        <f t="shared" ca="1" si="1049"/>
        <v>7.9841874881043546</v>
      </c>
      <c r="AS633" s="21">
        <f t="shared" ca="1" si="1049"/>
        <v>10.228050653660867</v>
      </c>
      <c r="AT633" s="21">
        <f t="shared" ca="1" si="1049"/>
        <v>11.618851070893195</v>
      </c>
      <c r="AU633" s="21">
        <f t="shared" ca="1" si="1049"/>
        <v>9.3733767215776655</v>
      </c>
      <c r="AV633" s="21">
        <f t="shared" ca="1" si="1049"/>
        <v>7.8605057808880439</v>
      </c>
      <c r="AW633" s="21"/>
      <c r="AX633" s="613">
        <f ca="1">SUMPRODUCT(AQ$476:AW$476,AQ633:AW633)/AX$476</f>
        <v>8.5792504204901601</v>
      </c>
      <c r="AZ633" s="21">
        <f t="shared" ref="AZ633:BE633" ca="1" si="1050">($M$85)*60/AZ629</f>
        <v>8.9284340046991613</v>
      </c>
      <c r="BA633" s="21">
        <f t="shared" ca="1" si="1050"/>
        <v>11.377467170548705</v>
      </c>
      <c r="BB633" s="21">
        <f t="shared" ca="1" si="1050"/>
        <v>14.574972181466736</v>
      </c>
      <c r="BC633" s="21">
        <f t="shared" ca="1" si="1050"/>
        <v>16.5568627760228</v>
      </c>
      <c r="BD633" s="21">
        <f t="shared" ca="1" si="1050"/>
        <v>13.357061828248172</v>
      </c>
      <c r="BE633" s="21">
        <f t="shared" ca="1" si="1050"/>
        <v>11.201220737765462</v>
      </c>
      <c r="BF633" s="21"/>
      <c r="BG633" s="613">
        <f ca="1">SUMPRODUCT(AZ$476:BF$476,AZ633:BF633)/BG$476</f>
        <v>12.705971921531438</v>
      </c>
      <c r="BI633" s="21">
        <f t="shared" ref="BI633:BN633" ca="1" si="1051">($N$85)*60/BI629</f>
        <v>5.9522893364661078</v>
      </c>
      <c r="BJ633" s="21">
        <f t="shared" ca="1" si="1051"/>
        <v>7.5849781136991368</v>
      </c>
      <c r="BK633" s="21">
        <f t="shared" ca="1" si="1051"/>
        <v>9.7166481209778226</v>
      </c>
      <c r="BL633" s="21">
        <f t="shared" ca="1" si="1051"/>
        <v>11.037908517348535</v>
      </c>
      <c r="BM633" s="21">
        <f t="shared" ca="1" si="1051"/>
        <v>8.904707885498782</v>
      </c>
      <c r="BN633" s="21">
        <f t="shared" ca="1" si="1051"/>
        <v>7.4674804918436415</v>
      </c>
      <c r="BO633" s="21"/>
      <c r="BP633" s="613">
        <f ca="1">SUMPRODUCT(BI$476:BO$476,BI633:BO633)/BP$476</f>
        <v>8.4797490470448054</v>
      </c>
    </row>
    <row r="634" spans="2:68" ht="13.2" customHeight="1">
      <c r="B634" s="280" t="s">
        <v>2159</v>
      </c>
      <c r="C634" s="297"/>
      <c r="D634" s="297"/>
      <c r="E634" s="297"/>
      <c r="F634" s="297"/>
      <c r="G634" s="3738"/>
      <c r="H634" s="3739"/>
      <c r="I634" s="3739"/>
      <c r="J634" s="3739"/>
      <c r="K634" s="3739"/>
      <c r="L634" s="3922"/>
      <c r="O634" s="136">
        <f>ROW()</f>
        <v>634</v>
      </c>
      <c r="P634" s="21">
        <f t="shared" ref="P634:U634" ca="1" si="1052">60*$I$85/(1/($P$135/$P629+$Q$135/$Q629+$R$135/$R629+$S$135/$S629+$T$135/$T629+$U$135/$U629))</f>
        <v>6.2385682649183316</v>
      </c>
      <c r="Q634" s="21">
        <f t="shared" ca="1" si="1052"/>
        <v>6.2385682649183316</v>
      </c>
      <c r="R634" s="21">
        <f t="shared" ca="1" si="1052"/>
        <v>6.2385682649183316</v>
      </c>
      <c r="S634" s="21">
        <f t="shared" ca="1" si="1052"/>
        <v>6.2385682649183316</v>
      </c>
      <c r="T634" s="21">
        <f t="shared" ca="1" si="1052"/>
        <v>6.2385682649183316</v>
      </c>
      <c r="U634" s="21">
        <f t="shared" ca="1" si="1052"/>
        <v>6.2385682649183316</v>
      </c>
      <c r="V634" s="21"/>
      <c r="W634" s="613">
        <f ca="1">SUMPRODUCT(P$383:V$383,P634:V634)/W$383</f>
        <v>6.2385682649183334</v>
      </c>
      <c r="Y634" s="21">
        <f t="shared" ref="Y634:AD634" ca="1" si="1053">60*$J$85/(1/($Y$135/$Y629+$Z$135/$Z629+$AA$135/$AA629+$AB$135/$AB629+$AC$135/$AC629+$AD$135/$AD629))</f>
        <v>6.2385682649183307</v>
      </c>
      <c r="Z634" s="21">
        <f t="shared" ca="1" si="1053"/>
        <v>6.2385682649183307</v>
      </c>
      <c r="AA634" s="21">
        <f t="shared" ca="1" si="1053"/>
        <v>6.2385682649183307</v>
      </c>
      <c r="AB634" s="21">
        <f t="shared" ca="1" si="1053"/>
        <v>6.2385682649183307</v>
      </c>
      <c r="AC634" s="21">
        <f t="shared" ca="1" si="1053"/>
        <v>6.2385682649183307</v>
      </c>
      <c r="AD634" s="21">
        <f t="shared" ca="1" si="1053"/>
        <v>6.2385682649183307</v>
      </c>
      <c r="AE634" s="21"/>
      <c r="AF634" s="613">
        <f ca="1">SUMPRODUCT(Y$383:AE$383,Y634:AE634)/AF$383</f>
        <v>6.2385682649183325</v>
      </c>
      <c r="AH634" s="21">
        <f t="shared" ref="AH634:AM634" ca="1" si="1054">AH633</f>
        <v>4.1666025355262759</v>
      </c>
      <c r="AI634" s="21">
        <f t="shared" ca="1" si="1054"/>
        <v>5.3094846795893966</v>
      </c>
      <c r="AJ634" s="21">
        <f t="shared" ca="1" si="1054"/>
        <v>6.8016536846844771</v>
      </c>
      <c r="AK634" s="21">
        <f t="shared" ca="1" si="1054"/>
        <v>7.7265359621439753</v>
      </c>
      <c r="AL634" s="21">
        <f t="shared" ca="1" si="1054"/>
        <v>6.2332955198491478</v>
      </c>
      <c r="AM634" s="21">
        <f t="shared" ca="1" si="1054"/>
        <v>5.2272363442905503</v>
      </c>
      <c r="AN634" s="21"/>
      <c r="AO634" s="613">
        <f ca="1">SUMPRODUCT(AH$383:AN$383,AH634:AN634)/AO$383</f>
        <v>5.8653718689158358</v>
      </c>
      <c r="AQ634" s="21"/>
      <c r="AR634" s="21"/>
      <c r="AS634" s="21"/>
      <c r="AT634" s="21"/>
      <c r="AU634" s="21"/>
      <c r="AV634" s="21"/>
      <c r="AW634" s="21"/>
      <c r="AX634" s="613"/>
      <c r="AZ634" s="21">
        <f t="shared" ref="AZ634:BE634" ca="1" si="1055">60*$M$85/(1/($AZ$135/$AZ629+$BA$135/$BA629+$BB$135/$BB629+$BC$135/$BC629+$BD$135/$BD629+$BE$135/$BE629))</f>
        <v>12.477136529836661</v>
      </c>
      <c r="BA634" s="21">
        <f t="shared" ca="1" si="1055"/>
        <v>12.477136529836661</v>
      </c>
      <c r="BB634" s="21">
        <f t="shared" ca="1" si="1055"/>
        <v>12.477136529836661</v>
      </c>
      <c r="BC634" s="21">
        <f t="shared" ca="1" si="1055"/>
        <v>12.477136529836661</v>
      </c>
      <c r="BD634" s="21">
        <f t="shared" ca="1" si="1055"/>
        <v>12.477136529836661</v>
      </c>
      <c r="BE634" s="21">
        <f t="shared" ca="1" si="1055"/>
        <v>12.477136529836661</v>
      </c>
      <c r="BF634" s="21"/>
      <c r="BG634" s="613">
        <f ca="1">SUMPRODUCT(AZ$383:BF$383,AZ634:BF634)/BG$383</f>
        <v>12.477136529836661</v>
      </c>
      <c r="BI634" s="21">
        <f t="shared" ref="BI634:BN634" ca="1" si="1056">60*$N$85/(1/($BI$135/$BI629+$BJ$135/$BJ629+$BK$135/$BK629+$BL$135/$BL629+$BM$135/$BM629+$BN$135/$BN629))</f>
        <v>8.3180910198911082</v>
      </c>
      <c r="BJ634" s="21">
        <f t="shared" ca="1" si="1056"/>
        <v>8.3180910198911082</v>
      </c>
      <c r="BK634" s="21">
        <f t="shared" ca="1" si="1056"/>
        <v>8.3180910198911082</v>
      </c>
      <c r="BL634" s="21">
        <f t="shared" ca="1" si="1056"/>
        <v>8.3180910198911082</v>
      </c>
      <c r="BM634" s="21">
        <f t="shared" ca="1" si="1056"/>
        <v>8.3180910198911082</v>
      </c>
      <c r="BN634" s="21">
        <f t="shared" ca="1" si="1056"/>
        <v>8.3180910198911082</v>
      </c>
      <c r="BO634" s="21"/>
      <c r="BP634" s="613">
        <f ca="1">SUMPRODUCT(BI$383:BO$383,BI634:BO634)/BP$383</f>
        <v>8.3180910198911082</v>
      </c>
    </row>
    <row r="635" spans="2:68" ht="13.2" customHeight="1">
      <c r="B635" s="280" t="s">
        <v>2160</v>
      </c>
      <c r="C635" s="297"/>
      <c r="D635" s="297"/>
      <c r="E635" s="297"/>
      <c r="F635" s="297"/>
      <c r="G635" s="3738"/>
      <c r="H635" s="3739"/>
      <c r="I635" s="3739"/>
      <c r="J635" s="3739"/>
      <c r="K635" s="3739"/>
      <c r="L635" s="3922"/>
      <c r="O635" s="136">
        <f>ROW()</f>
        <v>635</v>
      </c>
      <c r="P635" s="21">
        <f t="shared" ref="P635:U635" ca="1" si="1057">($I$79)*60/P630</f>
        <v>18.61192262801973</v>
      </c>
      <c r="Q635" s="21">
        <f t="shared" ca="1" si="1057"/>
        <v>32.201971167920803</v>
      </c>
      <c r="R635" s="21">
        <f t="shared" ca="1" si="1057"/>
        <v>43.236925935999174</v>
      </c>
      <c r="S635" s="21">
        <f t="shared" ca="1" si="1057"/>
        <v>48.238498821202903</v>
      </c>
      <c r="T635" s="21">
        <f t="shared" ca="1" si="1057"/>
        <v>37.499169867196564</v>
      </c>
      <c r="U635" s="21">
        <f t="shared" ca="1" si="1057"/>
        <v>30.595582709780004</v>
      </c>
      <c r="V635" s="21"/>
      <c r="W635" s="613">
        <f ca="1">SUMPRODUCT(P$476:V$476,P635:V635)/W$476</f>
        <v>34.206699737457384</v>
      </c>
      <c r="Y635" s="21">
        <f t="shared" ref="Y635:AD635" ca="1" si="1058">($J$79)*60/Y630</f>
        <v>18.61192262801973</v>
      </c>
      <c r="Z635" s="21">
        <f t="shared" ca="1" si="1058"/>
        <v>32.201971167920803</v>
      </c>
      <c r="AA635" s="21">
        <f t="shared" ca="1" si="1058"/>
        <v>43.236925935999174</v>
      </c>
      <c r="AB635" s="21">
        <f t="shared" ca="1" si="1058"/>
        <v>48.238498821202903</v>
      </c>
      <c r="AC635" s="21">
        <f t="shared" ca="1" si="1058"/>
        <v>37.499169867196564</v>
      </c>
      <c r="AD635" s="21">
        <f t="shared" ca="1" si="1058"/>
        <v>30.595582709780004</v>
      </c>
      <c r="AE635" s="21"/>
      <c r="AF635" s="613">
        <f ca="1">SUMPRODUCT(Y$476:AE$476,Y635:AE635)/AF$476</f>
        <v>35.931783055932492</v>
      </c>
      <c r="AH635" s="21">
        <f t="shared" ref="AH635:AM635" ca="1" si="1059">($K$79)*60/AH630</f>
        <v>27.917883942029597</v>
      </c>
      <c r="AI635" s="21">
        <f t="shared" ca="1" si="1059"/>
        <v>48.302956751881204</v>
      </c>
      <c r="AJ635" s="21">
        <f t="shared" ca="1" si="1059"/>
        <v>64.855388903998758</v>
      </c>
      <c r="AK635" s="21">
        <f t="shared" ca="1" si="1059"/>
        <v>72.357748231804351</v>
      </c>
      <c r="AL635" s="21">
        <f t="shared" ca="1" si="1059"/>
        <v>56.248754800794842</v>
      </c>
      <c r="AM635" s="21">
        <f t="shared" ca="1" si="1059"/>
        <v>45.893374064670006</v>
      </c>
      <c r="AN635" s="21"/>
      <c r="AO635" s="613">
        <f ca="1">SUMPRODUCT(AH$476:AN$476,AH635:AN635)/AO$476</f>
        <v>51.349269331995082</v>
      </c>
      <c r="AQ635" s="21">
        <f t="shared" ref="AQ635:AV635" ca="1" si="1060">($L$79)*60/AQ630</f>
        <v>6.6745052711605242</v>
      </c>
      <c r="AR635" s="21">
        <f t="shared" ca="1" si="1060"/>
        <v>11.548093692291207</v>
      </c>
      <c r="AS635" s="21">
        <f t="shared" ca="1" si="1060"/>
        <v>15.505388445691626</v>
      </c>
      <c r="AT635" s="21">
        <f t="shared" ca="1" si="1060"/>
        <v>17.299024990049954</v>
      </c>
      <c r="AU635" s="21">
        <f t="shared" ca="1" si="1060"/>
        <v>13.447745939258589</v>
      </c>
      <c r="AV635" s="21">
        <f t="shared" ca="1" si="1060"/>
        <v>10.972019503413444</v>
      </c>
      <c r="AW635" s="21"/>
      <c r="AX635" s="613">
        <f ca="1">SUMPRODUCT(AQ$476:AW$476,AQ635:AW635)/AX$476</f>
        <v>11.773941234429012</v>
      </c>
      <c r="AZ635" s="21">
        <f t="shared" ref="AZ635:BE635" ca="1" si="1061">($M$79)*60/AZ630</f>
        <v>14.021275045222115</v>
      </c>
      <c r="BA635" s="21">
        <f t="shared" ca="1" si="1061"/>
        <v>24.259325797109764</v>
      </c>
      <c r="BB635" s="21">
        <f t="shared" ca="1" si="1061"/>
        <v>32.572498971485587</v>
      </c>
      <c r="BC635" s="21">
        <f t="shared" ca="1" si="1061"/>
        <v>36.340429372001559</v>
      </c>
      <c r="BD635" s="21">
        <f t="shared" ca="1" si="1061"/>
        <v>28.249965636753284</v>
      </c>
      <c r="BE635" s="21">
        <f t="shared" ca="1" si="1061"/>
        <v>23.049154507919376</v>
      </c>
      <c r="BF635" s="21"/>
      <c r="BG635" s="613">
        <f ca="1">SUMPRODUCT(AZ$476:BF$476,AZ635:BF635)/BG$476</f>
        <v>26.251508528542598</v>
      </c>
      <c r="BI635" s="21">
        <f t="shared" ref="BI635:BN635" ca="1" si="1062">($N$79)*60/BI630</f>
        <v>19.20985238534513</v>
      </c>
      <c r="BJ635" s="21">
        <f t="shared" ca="1" si="1062"/>
        <v>33.236497110815449</v>
      </c>
      <c r="BK635" s="21">
        <f t="shared" ca="1" si="1062"/>
        <v>44.625962692120638</v>
      </c>
      <c r="BL635" s="21">
        <f t="shared" ca="1" si="1062"/>
        <v>49.788216949220519</v>
      </c>
      <c r="BM635" s="21">
        <f t="shared" ca="1" si="1062"/>
        <v>38.703874506621688</v>
      </c>
      <c r="BN635" s="21">
        <f t="shared" ca="1" si="1062"/>
        <v>31.57850154683485</v>
      </c>
      <c r="BO635" s="21"/>
      <c r="BP635" s="613">
        <f ca="1">SUMPRODUCT(BI$476:BO$476,BI635:BO635)/BP$476</f>
        <v>36.024981467058403</v>
      </c>
    </row>
    <row r="636" spans="2:68" ht="13.2" customHeight="1">
      <c r="B636" s="280" t="s">
        <v>1138</v>
      </c>
      <c r="C636" s="297"/>
      <c r="D636" s="297"/>
      <c r="E636" s="297"/>
      <c r="F636" s="297"/>
      <c r="G636" s="3738"/>
      <c r="H636" s="3739"/>
      <c r="I636" s="3739"/>
      <c r="J636" s="3739"/>
      <c r="K636" s="3739"/>
      <c r="L636" s="3922"/>
      <c r="O636" s="136">
        <f>ROW()</f>
        <v>636</v>
      </c>
      <c r="P636" s="21">
        <f t="shared" ref="P636:U636" ca="1" si="1063">60*$I$79/(1/($P$135/$P630+$Q$135/$Q630+$R$135/$R630+$S$135/$S630+$T$135/$T630+$U$135/$U630))</f>
        <v>33.899760824627087</v>
      </c>
      <c r="Q636" s="21">
        <f t="shared" ca="1" si="1063"/>
        <v>33.899760824627087</v>
      </c>
      <c r="R636" s="21">
        <f t="shared" ca="1" si="1063"/>
        <v>33.899760824627087</v>
      </c>
      <c r="S636" s="21">
        <f t="shared" ca="1" si="1063"/>
        <v>33.899760824627087</v>
      </c>
      <c r="T636" s="21">
        <f t="shared" ca="1" si="1063"/>
        <v>33.899760824627087</v>
      </c>
      <c r="U636" s="21">
        <f t="shared" ca="1" si="1063"/>
        <v>33.899760824627087</v>
      </c>
      <c r="V636" s="21"/>
      <c r="W636" s="613">
        <f ca="1">SUMPRODUCT(P$476:V$476,P636:V636)/W$476</f>
        <v>33.89976082462708</v>
      </c>
      <c r="Y636" s="21">
        <f t="shared" ref="Y636:AD636" ca="1" si="1064">60*$J$79/(1/($Y$135/$Y630+$Z$135/$Z630+$AA$135/$AA630+$AB$135/$AB630+$AC$135/$AC630+$AD$135/$AD630))</f>
        <v>33.899760824627073</v>
      </c>
      <c r="Z636" s="21">
        <f t="shared" ca="1" si="1064"/>
        <v>33.899760824627073</v>
      </c>
      <c r="AA636" s="21">
        <f t="shared" ca="1" si="1064"/>
        <v>33.899760824627073</v>
      </c>
      <c r="AB636" s="21">
        <f t="shared" ca="1" si="1064"/>
        <v>33.899760824627073</v>
      </c>
      <c r="AC636" s="21">
        <f t="shared" ca="1" si="1064"/>
        <v>33.899760824627073</v>
      </c>
      <c r="AD636" s="21">
        <f t="shared" ca="1" si="1064"/>
        <v>33.899760824627073</v>
      </c>
      <c r="AE636" s="21"/>
      <c r="AF636" s="613">
        <f ca="1">SUMPRODUCT(Y$476:AE$476,Y636:AE636)/AF$476</f>
        <v>33.899760824627073</v>
      </c>
      <c r="AH636" s="21">
        <f t="shared" ref="AH636:AM636" ca="1" si="1065">AH635</f>
        <v>27.917883942029597</v>
      </c>
      <c r="AI636" s="21">
        <f t="shared" ca="1" si="1065"/>
        <v>48.302956751881204</v>
      </c>
      <c r="AJ636" s="21">
        <f t="shared" ca="1" si="1065"/>
        <v>64.855388903998758</v>
      </c>
      <c r="AK636" s="21">
        <f t="shared" ca="1" si="1065"/>
        <v>72.357748231804351</v>
      </c>
      <c r="AL636" s="21">
        <f t="shared" ca="1" si="1065"/>
        <v>56.248754800794842</v>
      </c>
      <c r="AM636" s="21">
        <f t="shared" ca="1" si="1065"/>
        <v>45.893374064670006</v>
      </c>
      <c r="AN636" s="21"/>
      <c r="AO636" s="613">
        <f ca="1">SUMPRODUCT(AH$476:AN$476,AH636:AN636)/AO$476</f>
        <v>51.349269331995082</v>
      </c>
      <c r="AX636" s="613"/>
      <c r="AZ636" s="21">
        <f t="shared" ref="AZ636:BE636" ca="1" si="1066">60*$M$79/(1/($AZ$135/$AZ630+$BA$135/$BA630+$BB$135/$BB630+$BC$135/$BC630+$BD$135/$BD630+$BE$135/$BE630))</f>
        <v>25.538354096409364</v>
      </c>
      <c r="BA636" s="21">
        <f t="shared" ca="1" si="1066"/>
        <v>25.538354096409364</v>
      </c>
      <c r="BB636" s="21">
        <f t="shared" ca="1" si="1066"/>
        <v>25.538354096409364</v>
      </c>
      <c r="BC636" s="21">
        <f t="shared" ca="1" si="1066"/>
        <v>25.538354096409364</v>
      </c>
      <c r="BD636" s="21">
        <f t="shared" ca="1" si="1066"/>
        <v>25.538354096409364</v>
      </c>
      <c r="BE636" s="21">
        <f t="shared" ca="1" si="1066"/>
        <v>25.538354096409364</v>
      </c>
      <c r="BF636" s="21"/>
      <c r="BG636" s="613">
        <f ca="1">SUMPRODUCT(AZ$476:BF$476,AZ636:BF636)/BG$476</f>
        <v>25.53835409640936</v>
      </c>
      <c r="BI636" s="21">
        <f t="shared" ref="BI636:BN636" ca="1" si="1067">60*$N$79/(1/($BI$135/$BI630+$BJ$135/$BJ630+$BK$135/$BK630+$BL$135/$BL630+$BM$135/$BM630+$BN$135/$BN630))</f>
        <v>34.988830243642546</v>
      </c>
      <c r="BJ636" s="21">
        <f t="shared" ca="1" si="1067"/>
        <v>34.988830243642546</v>
      </c>
      <c r="BK636" s="21">
        <f t="shared" ca="1" si="1067"/>
        <v>34.988830243642546</v>
      </c>
      <c r="BL636" s="21">
        <f t="shared" ca="1" si="1067"/>
        <v>34.988830243642546</v>
      </c>
      <c r="BM636" s="21">
        <f t="shared" ca="1" si="1067"/>
        <v>34.988830243642546</v>
      </c>
      <c r="BN636" s="21">
        <f t="shared" ca="1" si="1067"/>
        <v>34.988830243642546</v>
      </c>
      <c r="BO636" s="21"/>
      <c r="BP636" s="613">
        <f ca="1">SUMPRODUCT(BI$476:BO$476,BI636:BO636)/BP$476</f>
        <v>34.988830243642546</v>
      </c>
    </row>
    <row r="637" spans="2:68" ht="13.2" customHeight="1">
      <c r="B637" s="308" t="s">
        <v>2243</v>
      </c>
      <c r="C637" s="297"/>
      <c r="D637" s="297"/>
      <c r="E637" s="297"/>
      <c r="F637" s="297"/>
      <c r="G637" s="3741"/>
      <c r="H637" s="3742"/>
      <c r="I637" s="3742"/>
      <c r="J637" s="3742"/>
      <c r="K637" s="3742"/>
      <c r="L637" s="3777"/>
      <c r="O637" s="136">
        <f>ROW()</f>
        <v>637</v>
      </c>
      <c r="P637" s="21">
        <f t="shared" ref="P637:U637" ca="1" si="1068">SUM(P633:P636)</f>
        <v>63.214468719914734</v>
      </c>
      <c r="Q637" s="21">
        <f t="shared" ca="1" si="1068"/>
        <v>78.029033842740574</v>
      </c>
      <c r="R637" s="21">
        <f t="shared" ca="1" si="1068"/>
        <v>90.662741116277971</v>
      </c>
      <c r="S637" s="21">
        <f t="shared" ca="1" si="1068"/>
        <v>96.655259298759717</v>
      </c>
      <c r="T637" s="21">
        <f t="shared" ca="1" si="1068"/>
        <v>84.31602987086606</v>
      </c>
      <c r="U637" s="21">
        <f t="shared" ca="1" si="1068"/>
        <v>76.334522168208153</v>
      </c>
      <c r="V637" s="21"/>
      <c r="W637" s="614">
        <f ca="1">SUM(W633:W636)</f>
        <v>80.612593584658214</v>
      </c>
      <c r="Y637" s="21">
        <f t="shared" ref="Y637:AD637" ca="1" si="1069">SUM(Y633:Y636)</f>
        <v>63.214468719914713</v>
      </c>
      <c r="Z637" s="21">
        <f t="shared" ca="1" si="1069"/>
        <v>78.02903384274056</v>
      </c>
      <c r="AA637" s="21">
        <f t="shared" ca="1" si="1069"/>
        <v>90.662741116277942</v>
      </c>
      <c r="AB637" s="21">
        <f t="shared" ca="1" si="1069"/>
        <v>96.655259298759717</v>
      </c>
      <c r="AC637" s="21">
        <f t="shared" ca="1" si="1069"/>
        <v>84.31602987086606</v>
      </c>
      <c r="AD637" s="21">
        <f t="shared" ca="1" si="1069"/>
        <v>76.334522168208139</v>
      </c>
      <c r="AE637" s="21"/>
      <c r="AF637" s="614">
        <f ca="1">SUM(AF633:AF636)</f>
        <v>82.562054513550223</v>
      </c>
      <c r="AH637" s="21">
        <f t="shared" ref="AH637:AO637" ca="1" si="1070">SUM(AH633:AH636)</f>
        <v>64.168972955111741</v>
      </c>
      <c r="AI637" s="21">
        <f t="shared" ca="1" si="1070"/>
        <v>107.2248828629412</v>
      </c>
      <c r="AJ637" s="21">
        <f t="shared" ca="1" si="1070"/>
        <v>143.31408517736645</v>
      </c>
      <c r="AK637" s="21">
        <f t="shared" ca="1" si="1070"/>
        <v>160.16856838789664</v>
      </c>
      <c r="AL637" s="21">
        <f t="shared" ca="1" si="1070"/>
        <v>124.96410064128798</v>
      </c>
      <c r="AM637" s="21">
        <f t="shared" ca="1" si="1070"/>
        <v>102.24122081792112</v>
      </c>
      <c r="AN637" s="21"/>
      <c r="AO637" s="614">
        <f t="shared" ca="1" si="1070"/>
        <v>114.42073121754049</v>
      </c>
      <c r="AQ637" s="21">
        <f t="shared" ref="AQ637:AX637" ca="1" si="1071">AQ633+AQ635</f>
        <v>12.940072993756427</v>
      </c>
      <c r="AR637" s="21">
        <f t="shared" ca="1" si="1071"/>
        <v>19.532281180395561</v>
      </c>
      <c r="AS637" s="21">
        <f t="shared" ca="1" si="1071"/>
        <v>25.733439099352495</v>
      </c>
      <c r="AT637" s="21">
        <f t="shared" ca="1" si="1071"/>
        <v>28.917876060943151</v>
      </c>
      <c r="AU637" s="21">
        <f t="shared" ca="1" si="1071"/>
        <v>22.821122660836252</v>
      </c>
      <c r="AV637" s="21">
        <f t="shared" ca="1" si="1071"/>
        <v>18.832525284301489</v>
      </c>
      <c r="AW637" s="21"/>
      <c r="AX637" s="614">
        <f t="shared" ca="1" si="1071"/>
        <v>20.353191654919172</v>
      </c>
      <c r="AZ637" s="21">
        <f t="shared" ref="AZ637:BE637" ca="1" si="1072">SUM(AZ633:AZ636)</f>
        <v>60.965199676167302</v>
      </c>
      <c r="BA637" s="21">
        <f t="shared" ca="1" si="1072"/>
        <v>73.6522835939045</v>
      </c>
      <c r="BB637" s="21">
        <f t="shared" ca="1" si="1072"/>
        <v>85.162961779198355</v>
      </c>
      <c r="BC637" s="21">
        <f t="shared" ca="1" si="1072"/>
        <v>90.912782774270383</v>
      </c>
      <c r="BD637" s="21">
        <f t="shared" ca="1" si="1072"/>
        <v>79.622518091247485</v>
      </c>
      <c r="BE637" s="21">
        <f t="shared" ca="1" si="1072"/>
        <v>72.265865871930856</v>
      </c>
      <c r="BF637" s="21"/>
      <c r="BG637" s="614">
        <f ca="1">SUM(BG633:BG636)</f>
        <v>76.972971076320064</v>
      </c>
      <c r="BI637" s="21">
        <f t="shared" ref="BI637:BN637" ca="1" si="1073">SUM(BI633:BI636)</f>
        <v>68.469062985344891</v>
      </c>
      <c r="BJ637" s="21">
        <f t="shared" ca="1" si="1073"/>
        <v>84.128396488048239</v>
      </c>
      <c r="BK637" s="21">
        <f t="shared" ca="1" si="1073"/>
        <v>97.649532076632113</v>
      </c>
      <c r="BL637" s="21">
        <f t="shared" ca="1" si="1073"/>
        <v>104.13304673010271</v>
      </c>
      <c r="BM637" s="21">
        <f t="shared" ca="1" si="1073"/>
        <v>90.915503655654135</v>
      </c>
      <c r="BN637" s="21">
        <f t="shared" ca="1" si="1073"/>
        <v>82.352903302212155</v>
      </c>
      <c r="BO637" s="21"/>
      <c r="BP637" s="614">
        <f ca="1">SUM(BP633:BP636)</f>
        <v>87.811651777636854</v>
      </c>
    </row>
    <row r="638" spans="2:68" ht="13.2" customHeight="1">
      <c r="B638" s="308"/>
      <c r="C638" s="297"/>
      <c r="D638" s="297"/>
      <c r="E638" s="297"/>
      <c r="F638" s="297"/>
      <c r="G638" s="280"/>
      <c r="O638" s="136">
        <f>ROW()</f>
        <v>638</v>
      </c>
      <c r="P638" s="21"/>
      <c r="Q638" s="21"/>
      <c r="R638" s="21"/>
      <c r="S638" s="21"/>
      <c r="T638" s="21"/>
      <c r="U638" s="21"/>
      <c r="V638" s="21"/>
      <c r="W638" s="634"/>
      <c r="Y638" s="21"/>
      <c r="Z638" s="21"/>
      <c r="AA638" s="21"/>
      <c r="AB638" s="21"/>
      <c r="AC638" s="21"/>
      <c r="AD638" s="21"/>
      <c r="AE638" s="21"/>
      <c r="AF638" s="634"/>
      <c r="AH638" s="21"/>
      <c r="AI638" s="21"/>
      <c r="AJ638" s="21"/>
      <c r="AK638" s="21"/>
      <c r="AL638" s="21"/>
      <c r="AM638" s="21"/>
      <c r="AN638" s="21"/>
      <c r="AO638" s="634"/>
      <c r="AQ638" s="21"/>
      <c r="AR638" s="21"/>
      <c r="AS638" s="21"/>
      <c r="AT638" s="21"/>
      <c r="AU638" s="21"/>
      <c r="AV638" s="21"/>
      <c r="AW638" s="21"/>
      <c r="AX638" s="634"/>
      <c r="AZ638" s="21"/>
      <c r="BA638" s="21"/>
      <c r="BB638" s="21"/>
      <c r="BC638" s="21"/>
      <c r="BD638" s="21"/>
      <c r="BE638" s="21"/>
      <c r="BF638" s="21"/>
      <c r="BG638" s="634"/>
      <c r="BI638" s="21"/>
      <c r="BJ638" s="21"/>
      <c r="BK638" s="21"/>
      <c r="BL638" s="21"/>
      <c r="BM638" s="21"/>
      <c r="BN638" s="21"/>
      <c r="BO638" s="21"/>
      <c r="BP638" s="634"/>
    </row>
    <row r="639" spans="2:68" ht="13.2" customHeight="1">
      <c r="B639" s="308" t="s">
        <v>1345</v>
      </c>
      <c r="G639" s="4285" t="s">
        <v>2351</v>
      </c>
      <c r="H639" s="3970"/>
      <c r="I639" s="3970"/>
      <c r="J639" s="3970"/>
      <c r="K639" s="3970"/>
      <c r="L639" s="3971"/>
      <c r="O639" s="136">
        <f>ROW()</f>
        <v>639</v>
      </c>
      <c r="P639" s="117">
        <f t="shared" ref="P639:W639" ca="1" si="1074">P637/P589</f>
        <v>0.99888373569756383</v>
      </c>
      <c r="Q639" s="117">
        <f t="shared" ca="1" si="1074"/>
        <v>0.99917852527330409</v>
      </c>
      <c r="R639" s="117">
        <f t="shared" ca="1" si="1074"/>
        <v>0.99849616421970799</v>
      </c>
      <c r="S639" s="117">
        <f t="shared" ca="1" si="1074"/>
        <v>0.99750128616327083</v>
      </c>
      <c r="T639" s="117">
        <f t="shared" ca="1" si="1074"/>
        <v>0.99902298426344061</v>
      </c>
      <c r="U639" s="117">
        <f t="shared" ca="1" si="1074"/>
        <v>0.99924452009549147</v>
      </c>
      <c r="V639" s="117"/>
      <c r="W639" s="117">
        <f t="shared" ca="1" si="1074"/>
        <v>0.99858344108324038</v>
      </c>
      <c r="Y639" s="117">
        <f t="shared" ref="Y639:AF639" ca="1" si="1075">Y637/Y589</f>
        <v>0.99888373569756361</v>
      </c>
      <c r="Z639" s="117">
        <f t="shared" ca="1" si="1075"/>
        <v>0.99917852527330386</v>
      </c>
      <c r="AA639" s="117">
        <f t="shared" ca="1" si="1075"/>
        <v>0.99849616421970777</v>
      </c>
      <c r="AB639" s="117">
        <f t="shared" ca="1" si="1075"/>
        <v>0.99750128616327083</v>
      </c>
      <c r="AC639" s="117">
        <f t="shared" ca="1" si="1075"/>
        <v>0.99902298426344061</v>
      </c>
      <c r="AD639" s="117">
        <f t="shared" ca="1" si="1075"/>
        <v>0.99924452009549125</v>
      </c>
      <c r="AE639" s="117"/>
      <c r="AF639" s="117">
        <f t="shared" ca="1" si="1075"/>
        <v>0.99849688990211583</v>
      </c>
      <c r="AH639" s="117">
        <f t="shared" ref="AH639:AO639" ca="1" si="1076">AH637/AH589</f>
        <v>0.99958285646975764</v>
      </c>
      <c r="AI639" s="117">
        <f t="shared" ca="1" si="1076"/>
        <v>1.0004860854399291</v>
      </c>
      <c r="AJ639" s="117">
        <f t="shared" ca="1" si="1076"/>
        <v>0.99977083638854658</v>
      </c>
      <c r="AK639" s="117">
        <f t="shared" ca="1" si="1076"/>
        <v>0.99846279494775902</v>
      </c>
      <c r="AL639" s="117">
        <f t="shared" ca="1" si="1076"/>
        <v>1.0005152052906383</v>
      </c>
      <c r="AM639" s="117">
        <f t="shared" ca="1" si="1076"/>
        <v>1.0006305395855135</v>
      </c>
      <c r="AN639" s="117"/>
      <c r="AO639" s="117">
        <f t="shared" ca="1" si="1076"/>
        <v>0.99963844551405634</v>
      </c>
      <c r="AQ639" s="117">
        <f t="shared" ref="AQ639:AX639" ca="1" si="1077">AQ637/AQ589</f>
        <v>0.99875355421166268</v>
      </c>
      <c r="AR639" s="117">
        <f t="shared" ca="1" si="1077"/>
        <v>0.99650086538823879</v>
      </c>
      <c r="AS639" s="117">
        <f t="shared" ca="1" si="1077"/>
        <v>0.99165813427373595</v>
      </c>
      <c r="AT639" s="117">
        <f t="shared" ca="1" si="1077"/>
        <v>0.9880661954504969</v>
      </c>
      <c r="AU639" s="117">
        <f t="shared" ca="1" si="1077"/>
        <v>0.99402895954869663</v>
      </c>
      <c r="AV639" s="117">
        <f t="shared" ca="1" si="1077"/>
        <v>0.99683273368099623</v>
      </c>
      <c r="AW639" s="117"/>
      <c r="AX639" s="117">
        <f t="shared" ca="1" si="1077"/>
        <v>0.99351331871234705</v>
      </c>
      <c r="AZ639" s="117">
        <f t="shared" ref="AZ639:BG639" ca="1" si="1078">AZ637/AZ589</f>
        <v>0.99653043227610538</v>
      </c>
      <c r="BA639" s="117">
        <f t="shared" ca="1" si="1078"/>
        <v>0.99631101420571277</v>
      </c>
      <c r="BB639" s="117">
        <f t="shared" ca="1" si="1078"/>
        <v>0.99447996782084913</v>
      </c>
      <c r="BC639" s="117">
        <f t="shared" ca="1" si="1078"/>
        <v>0.99273284589520705</v>
      </c>
      <c r="BD639" s="117">
        <f t="shared" ca="1" si="1078"/>
        <v>0.9954941431812202</v>
      </c>
      <c r="BE639" s="117">
        <f t="shared" ca="1" si="1078"/>
        <v>0.99641267826899638</v>
      </c>
      <c r="BF639" s="117"/>
      <c r="BG639" s="117">
        <f t="shared" ca="1" si="1078"/>
        <v>0.99497337140923103</v>
      </c>
      <c r="BI639" s="117">
        <f t="shared" ref="BI639:BP639" ca="1" si="1079">BI637/BI589</f>
        <v>0.99837652339588456</v>
      </c>
      <c r="BJ639" s="117">
        <f t="shared" ca="1" si="1079"/>
        <v>0.99857059608981558</v>
      </c>
      <c r="BK639" s="117">
        <f t="shared" ca="1" si="1079"/>
        <v>0.9976471852810832</v>
      </c>
      <c r="BL639" s="117">
        <f t="shared" ca="1" si="1079"/>
        <v>0.99649162784525724</v>
      </c>
      <c r="BM639" s="117">
        <f t="shared" ca="1" si="1079"/>
        <v>0.99827419150502772</v>
      </c>
      <c r="BN639" s="117">
        <f t="shared" ca="1" si="1079"/>
        <v>0.99864277210601038</v>
      </c>
      <c r="BO639" s="117"/>
      <c r="BP639" s="117">
        <f t="shared" ca="1" si="1079"/>
        <v>0.99778374650650692</v>
      </c>
    </row>
    <row r="640" spans="2:68" ht="13.2" customHeight="1">
      <c r="B640" s="280"/>
      <c r="G640" s="280"/>
      <c r="O640" s="136">
        <f>ROW()</f>
        <v>640</v>
      </c>
      <c r="P640" s="117"/>
      <c r="Q640" s="117"/>
      <c r="R640" s="117"/>
      <c r="S640" s="117"/>
      <c r="T640" s="117"/>
      <c r="U640" s="117"/>
      <c r="V640" s="117"/>
      <c r="W640" s="117"/>
      <c r="Y640" s="117"/>
      <c r="Z640" s="117"/>
      <c r="AA640" s="117"/>
      <c r="AB640" s="117"/>
      <c r="AC640" s="117"/>
      <c r="AD640" s="117"/>
      <c r="AE640" s="117"/>
      <c r="AF640" s="117"/>
      <c r="AH640" s="117"/>
      <c r="AI640" s="117"/>
      <c r="AJ640" s="117"/>
      <c r="AK640" s="117"/>
      <c r="AL640" s="117"/>
      <c r="AM640" s="117"/>
      <c r="AN640" s="117"/>
      <c r="AO640" s="117"/>
      <c r="AQ640" s="117"/>
      <c r="AR640" s="117"/>
      <c r="AS640" s="117"/>
      <c r="AT640" s="117"/>
      <c r="AU640" s="117"/>
      <c r="AV640" s="117"/>
      <c r="AW640" s="117"/>
      <c r="AX640" s="117"/>
      <c r="AZ640" s="117"/>
      <c r="BA640" s="117"/>
      <c r="BB640" s="117"/>
      <c r="BC640" s="117"/>
      <c r="BD640" s="117"/>
      <c r="BE640" s="117"/>
      <c r="BF640" s="117"/>
      <c r="BG640" s="117"/>
      <c r="BI640" s="117"/>
      <c r="BJ640" s="117"/>
      <c r="BK640" s="117"/>
      <c r="BL640" s="117"/>
      <c r="BM640" s="117"/>
      <c r="BN640" s="117"/>
      <c r="BO640" s="117"/>
      <c r="BP640" s="117"/>
    </row>
    <row r="641" spans="2:68" ht="13.2" customHeight="1">
      <c r="B641" s="308" t="s">
        <v>1571</v>
      </c>
      <c r="G641" s="280"/>
      <c r="O641" s="136">
        <f>ROW()</f>
        <v>641</v>
      </c>
      <c r="P641" s="117"/>
      <c r="Q641" s="117"/>
      <c r="R641" s="117"/>
      <c r="S641" s="117"/>
      <c r="T641" s="117"/>
      <c r="U641" s="117"/>
      <c r="V641" s="117"/>
      <c r="W641" s="117"/>
      <c r="Y641" s="117"/>
      <c r="Z641" s="117"/>
      <c r="AA641" s="117"/>
      <c r="AB641" s="117"/>
      <c r="AC641" s="117"/>
      <c r="AD641" s="117"/>
      <c r="AE641" s="117"/>
      <c r="AF641" s="117"/>
      <c r="AH641" s="117"/>
      <c r="AI641" s="117"/>
      <c r="AJ641" s="117"/>
      <c r="AK641" s="117"/>
      <c r="AL641" s="117"/>
      <c r="AM641" s="117"/>
      <c r="AN641" s="117"/>
      <c r="AO641" s="117"/>
      <c r="AQ641" s="117"/>
      <c r="AR641" s="117"/>
      <c r="AS641" s="117"/>
      <c r="AT641" s="117"/>
      <c r="AU641" s="117"/>
      <c r="AV641" s="117"/>
      <c r="AW641" s="117"/>
      <c r="AX641" s="117"/>
      <c r="AZ641" s="117"/>
      <c r="BA641" s="117"/>
      <c r="BB641" s="117"/>
      <c r="BC641" s="117"/>
      <c r="BD641" s="117"/>
      <c r="BE641" s="117"/>
      <c r="BF641" s="117"/>
      <c r="BG641" s="117"/>
      <c r="BI641" s="117"/>
      <c r="BJ641" s="117"/>
      <c r="BK641" s="117"/>
      <c r="BL641" s="117"/>
      <c r="BM641" s="117"/>
      <c r="BN641" s="117"/>
      <c r="BO641" s="117"/>
      <c r="BP641" s="117"/>
    </row>
    <row r="642" spans="2:68" ht="13.2" customHeight="1">
      <c r="B642" s="280" t="s">
        <v>2533</v>
      </c>
      <c r="G642" s="21">
        <f t="shared" ref="G642:L642" ca="1" si="1080">AVERAGE(G$629,G$581,G$533,G$481,G$403)</f>
        <v>20.154812158216469</v>
      </c>
      <c r="H642" s="21">
        <f t="shared" ca="1" si="1080"/>
        <v>15.831643824432046</v>
      </c>
      <c r="I642" s="21">
        <f t="shared" ca="1" si="1080"/>
        <v>12.34268625709905</v>
      </c>
      <c r="J642" s="21">
        <f t="shared" ca="1" si="1080"/>
        <v>10.847027024766451</v>
      </c>
      <c r="K642" s="21">
        <f t="shared" ca="1" si="1080"/>
        <v>13.506451020208853</v>
      </c>
      <c r="L642" s="21">
        <f t="shared" ca="1" si="1080"/>
        <v>16.087668392807068</v>
      </c>
      <c r="M642" s="21"/>
      <c r="O642" s="136">
        <f>ROW()</f>
        <v>642</v>
      </c>
      <c r="P642" s="21">
        <f t="shared" ref="P642:U643" ca="1" si="1081">G642</f>
        <v>20.154812158216469</v>
      </c>
      <c r="Q642" s="21">
        <f t="shared" ca="1" si="1081"/>
        <v>15.831643824432046</v>
      </c>
      <c r="R642" s="21">
        <f t="shared" ca="1" si="1081"/>
        <v>12.34268625709905</v>
      </c>
      <c r="S642" s="21">
        <f t="shared" ca="1" si="1081"/>
        <v>10.847027024766451</v>
      </c>
      <c r="T642" s="21">
        <f t="shared" ca="1" si="1081"/>
        <v>13.506451020208853</v>
      </c>
      <c r="U642" s="21">
        <f t="shared" ca="1" si="1081"/>
        <v>16.087668392807068</v>
      </c>
      <c r="V642" s="21"/>
      <c r="Y642" s="21">
        <f t="shared" ref="Y642:AD643" ca="1" si="1082">G642</f>
        <v>20.154812158216469</v>
      </c>
      <c r="Z642" s="21">
        <f t="shared" ca="1" si="1082"/>
        <v>15.831643824432046</v>
      </c>
      <c r="AA642" s="21">
        <f t="shared" ca="1" si="1082"/>
        <v>12.34268625709905</v>
      </c>
      <c r="AB642" s="21">
        <f t="shared" ca="1" si="1082"/>
        <v>10.847027024766451</v>
      </c>
      <c r="AC642" s="21">
        <f t="shared" ca="1" si="1082"/>
        <v>13.506451020208853</v>
      </c>
      <c r="AD642" s="21">
        <f t="shared" ca="1" si="1082"/>
        <v>16.087668392807068</v>
      </c>
      <c r="AE642" s="21"/>
      <c r="AH642" s="21">
        <f t="shared" ref="AH642:AM643" ca="1" si="1083">P642</f>
        <v>20.154812158216469</v>
      </c>
      <c r="AI642" s="21">
        <f t="shared" ca="1" si="1083"/>
        <v>15.831643824432046</v>
      </c>
      <c r="AJ642" s="21">
        <f t="shared" ca="1" si="1083"/>
        <v>12.34268625709905</v>
      </c>
      <c r="AK642" s="21">
        <f t="shared" ca="1" si="1083"/>
        <v>10.847027024766451</v>
      </c>
      <c r="AL642" s="21">
        <f t="shared" ca="1" si="1083"/>
        <v>13.506451020208853</v>
      </c>
      <c r="AM642" s="21">
        <f t="shared" ca="1" si="1083"/>
        <v>16.087668392807068</v>
      </c>
      <c r="AN642" s="21"/>
      <c r="AQ642" s="21">
        <f t="shared" ref="AQ642:AV642" ca="1" si="1084">G642*$AU$181</f>
        <v>19.147071550305643</v>
      </c>
      <c r="AR642" s="21">
        <f t="shared" ca="1" si="1084"/>
        <v>15.040061633210444</v>
      </c>
      <c r="AS642" s="21">
        <f t="shared" ca="1" si="1084"/>
        <v>11.725551944244097</v>
      </c>
      <c r="AT642" s="21">
        <f t="shared" ca="1" si="1084"/>
        <v>10.304675673528127</v>
      </c>
      <c r="AU642" s="21">
        <f t="shared" ca="1" si="1084"/>
        <v>12.83112846919841</v>
      </c>
      <c r="AV642" s="21">
        <f t="shared" ca="1" si="1084"/>
        <v>15.283284973166714</v>
      </c>
      <c r="AW642" s="21"/>
      <c r="AZ642" s="21">
        <f t="shared" ref="AZ642:BE643" ca="1" si="1085">G642</f>
        <v>20.154812158216469</v>
      </c>
      <c r="BA642" s="21">
        <f t="shared" ca="1" si="1085"/>
        <v>15.831643824432046</v>
      </c>
      <c r="BB642" s="21">
        <f t="shared" ca="1" si="1085"/>
        <v>12.34268625709905</v>
      </c>
      <c r="BC642" s="21">
        <f t="shared" ca="1" si="1085"/>
        <v>10.847027024766451</v>
      </c>
      <c r="BD642" s="21">
        <f t="shared" ca="1" si="1085"/>
        <v>13.506451020208853</v>
      </c>
      <c r="BE642" s="21">
        <f t="shared" ca="1" si="1085"/>
        <v>16.087668392807068</v>
      </c>
      <c r="BF642" s="21"/>
      <c r="BG642" s="21"/>
      <c r="BI642" s="21">
        <f t="shared" ref="BI642:BN643" ca="1" si="1086">G642</f>
        <v>20.154812158216469</v>
      </c>
      <c r="BJ642" s="21">
        <f t="shared" ca="1" si="1086"/>
        <v>15.831643824432046</v>
      </c>
      <c r="BK642" s="21">
        <f t="shared" ca="1" si="1086"/>
        <v>12.34268625709905</v>
      </c>
      <c r="BL642" s="21">
        <f t="shared" ca="1" si="1086"/>
        <v>10.847027024766451</v>
      </c>
      <c r="BM642" s="21">
        <f t="shared" ca="1" si="1086"/>
        <v>13.506451020208853</v>
      </c>
      <c r="BN642" s="21">
        <f t="shared" ca="1" si="1086"/>
        <v>16.087668392807068</v>
      </c>
      <c r="BO642" s="21"/>
      <c r="BP642" s="21"/>
    </row>
    <row r="643" spans="2:68" ht="13.2" customHeight="1">
      <c r="B643" s="280" t="s">
        <v>2534</v>
      </c>
      <c r="G643" s="21">
        <f t="shared" ref="G643:L643" ca="1" si="1087">AVERAGE(G$630,G$582,G$534,G$482,G$427)</f>
        <v>54.493756858375072</v>
      </c>
      <c r="H643" s="21">
        <f t="shared" ca="1" si="1087"/>
        <v>31.437576539708527</v>
      </c>
      <c r="I643" s="21">
        <f t="shared" ca="1" si="1087"/>
        <v>23.417840180858331</v>
      </c>
      <c r="J643" s="21">
        <f t="shared" ca="1" si="1087"/>
        <v>21.000191282213372</v>
      </c>
      <c r="K643" s="21">
        <f t="shared" ca="1" si="1087"/>
        <v>26.987400965877033</v>
      </c>
      <c r="L643" s="21">
        <f t="shared" ca="1" si="1087"/>
        <v>33.081113549500067</v>
      </c>
      <c r="M643" s="21"/>
      <c r="O643" s="136">
        <f>ROW()</f>
        <v>643</v>
      </c>
      <c r="P643" s="21">
        <f t="shared" ca="1" si="1081"/>
        <v>54.493756858375072</v>
      </c>
      <c r="Q643" s="21">
        <f t="shared" ca="1" si="1081"/>
        <v>31.437576539708527</v>
      </c>
      <c r="R643" s="21">
        <f t="shared" ca="1" si="1081"/>
        <v>23.417840180858331</v>
      </c>
      <c r="S643" s="21">
        <f t="shared" ca="1" si="1081"/>
        <v>21.000191282213372</v>
      </c>
      <c r="T643" s="21">
        <f t="shared" ca="1" si="1081"/>
        <v>26.987400965877033</v>
      </c>
      <c r="U643" s="21">
        <f t="shared" ca="1" si="1081"/>
        <v>33.081113549500067</v>
      </c>
      <c r="V643" s="21"/>
      <c r="Y643" s="21">
        <f t="shared" ca="1" si="1082"/>
        <v>54.493756858375072</v>
      </c>
      <c r="Z643" s="21">
        <f t="shared" ca="1" si="1082"/>
        <v>31.437576539708527</v>
      </c>
      <c r="AA643" s="21">
        <f t="shared" ca="1" si="1082"/>
        <v>23.417840180858331</v>
      </c>
      <c r="AB643" s="21">
        <f t="shared" ca="1" si="1082"/>
        <v>21.000191282213372</v>
      </c>
      <c r="AC643" s="21">
        <f t="shared" ca="1" si="1082"/>
        <v>26.987400965877033</v>
      </c>
      <c r="AD643" s="21">
        <f t="shared" ca="1" si="1082"/>
        <v>33.081113549500067</v>
      </c>
      <c r="AE643" s="21"/>
      <c r="AH643" s="21">
        <f t="shared" ca="1" si="1083"/>
        <v>54.493756858375072</v>
      </c>
      <c r="AI643" s="21">
        <f t="shared" ca="1" si="1083"/>
        <v>31.437576539708527</v>
      </c>
      <c r="AJ643" s="21">
        <f t="shared" ca="1" si="1083"/>
        <v>23.417840180858331</v>
      </c>
      <c r="AK643" s="21">
        <f t="shared" ca="1" si="1083"/>
        <v>21.000191282213372</v>
      </c>
      <c r="AL643" s="21">
        <f t="shared" ca="1" si="1083"/>
        <v>26.987400965877033</v>
      </c>
      <c r="AM643" s="21">
        <f t="shared" ca="1" si="1083"/>
        <v>33.081113549500067</v>
      </c>
      <c r="AN643" s="21"/>
      <c r="AQ643" s="21">
        <f t="shared" ref="AQ643:AV643" ca="1" si="1088">G643*$AV$181</f>
        <v>53.948819289791324</v>
      </c>
      <c r="AR643" s="21">
        <f t="shared" ca="1" si="1088"/>
        <v>31.123200774311442</v>
      </c>
      <c r="AS643" s="21">
        <f t="shared" ca="1" si="1088"/>
        <v>23.183661779049746</v>
      </c>
      <c r="AT643" s="21">
        <f t="shared" ca="1" si="1088"/>
        <v>20.790189369391239</v>
      </c>
      <c r="AU643" s="21">
        <f t="shared" ca="1" si="1088"/>
        <v>26.717526956218261</v>
      </c>
      <c r="AV643" s="21">
        <f t="shared" ca="1" si="1088"/>
        <v>32.750302414005063</v>
      </c>
      <c r="AW643" s="21"/>
      <c r="AZ643" s="21">
        <f t="shared" ca="1" si="1085"/>
        <v>54.493756858375072</v>
      </c>
      <c r="BA643" s="21">
        <f t="shared" ca="1" si="1085"/>
        <v>31.437576539708527</v>
      </c>
      <c r="BB643" s="21">
        <f t="shared" ca="1" si="1085"/>
        <v>23.417840180858331</v>
      </c>
      <c r="BC643" s="21">
        <f t="shared" ca="1" si="1085"/>
        <v>21.000191282213372</v>
      </c>
      <c r="BD643" s="21">
        <f t="shared" ca="1" si="1085"/>
        <v>26.987400965877033</v>
      </c>
      <c r="BE643" s="21">
        <f t="shared" ca="1" si="1085"/>
        <v>33.081113549500067</v>
      </c>
      <c r="BF643" s="21"/>
      <c r="BG643" s="21"/>
      <c r="BI643" s="21">
        <f t="shared" ca="1" si="1086"/>
        <v>54.493756858375072</v>
      </c>
      <c r="BJ643" s="21">
        <f t="shared" ca="1" si="1086"/>
        <v>31.437576539708527</v>
      </c>
      <c r="BK643" s="21">
        <f t="shared" ca="1" si="1086"/>
        <v>23.417840180858331</v>
      </c>
      <c r="BL643" s="21">
        <f t="shared" ca="1" si="1086"/>
        <v>21.000191282213372</v>
      </c>
      <c r="BM643" s="21">
        <f t="shared" ca="1" si="1086"/>
        <v>26.987400965877033</v>
      </c>
      <c r="BN643" s="21">
        <f t="shared" ca="1" si="1086"/>
        <v>33.081113549500067</v>
      </c>
      <c r="BO643" s="21"/>
      <c r="BP643" s="21"/>
    </row>
    <row r="644" spans="2:68" ht="13.2" customHeight="1">
      <c r="B644" s="280"/>
      <c r="G644" s="280"/>
      <c r="O644" s="136">
        <f>ROW()</f>
        <v>644</v>
      </c>
      <c r="P644" s="117"/>
      <c r="Q644" s="117"/>
      <c r="R644" s="117"/>
      <c r="S644" s="117"/>
      <c r="T644" s="117"/>
      <c r="U644" s="117"/>
      <c r="V644" s="117"/>
      <c r="W644" s="117"/>
      <c r="Y644" s="117"/>
      <c r="Z644" s="117"/>
      <c r="AA644" s="117"/>
      <c r="AB644" s="117"/>
      <c r="AC644" s="117"/>
      <c r="AD644" s="117"/>
      <c r="AE644" s="117"/>
      <c r="AF644" s="117"/>
      <c r="AH644" s="117"/>
      <c r="AI644" s="117"/>
      <c r="AJ644" s="117"/>
      <c r="AK644" s="117"/>
      <c r="AL644" s="117"/>
      <c r="AM644" s="117"/>
      <c r="AN644" s="117"/>
      <c r="AO644" s="117"/>
      <c r="AQ644" s="117"/>
      <c r="AR644" s="117"/>
      <c r="AS644" s="117"/>
      <c r="AT644" s="117"/>
      <c r="AU644" s="117"/>
      <c r="AV644" s="117"/>
      <c r="AW644" s="117"/>
      <c r="AX644" s="117"/>
      <c r="AZ644" s="117"/>
      <c r="BA644" s="117"/>
      <c r="BB644" s="117"/>
      <c r="BC644" s="117"/>
      <c r="BD644" s="117"/>
      <c r="BE644" s="117"/>
      <c r="BF644" s="117"/>
      <c r="BG644" s="117"/>
      <c r="BI644" s="117"/>
      <c r="BJ644" s="117"/>
      <c r="BK644" s="117"/>
      <c r="BL644" s="117"/>
      <c r="BM644" s="117"/>
      <c r="BN644" s="117"/>
      <c r="BO644" s="117"/>
      <c r="BP644" s="117"/>
    </row>
    <row r="645" spans="2:68" ht="13.2" customHeight="1">
      <c r="B645" s="6" t="s">
        <v>1643</v>
      </c>
      <c r="G645" s="948" t="s">
        <v>1472</v>
      </c>
      <c r="H645" s="948" t="s">
        <v>985</v>
      </c>
      <c r="I645" s="948" t="s">
        <v>987</v>
      </c>
      <c r="J645" s="948" t="s">
        <v>1367</v>
      </c>
      <c r="K645" s="948" t="s">
        <v>988</v>
      </c>
      <c r="L645" s="948" t="s">
        <v>986</v>
      </c>
      <c r="M645" s="948" t="s">
        <v>1638</v>
      </c>
      <c r="N645" s="948" t="s">
        <v>2684</v>
      </c>
      <c r="O645" s="136">
        <f>ROW()</f>
        <v>645</v>
      </c>
      <c r="P645" s="117">
        <f ca="1">P639^Elasticities!$G$52</f>
        <v>1.0011175117409001</v>
      </c>
      <c r="Q645" s="117">
        <f ca="1">Q639^Elasticities!$G$52</f>
        <v>1.0008221501022265</v>
      </c>
      <c r="R645" s="117">
        <f ca="1">R639^Elasticities!$G$52</f>
        <v>1.0015061007084261</v>
      </c>
      <c r="S645" s="117">
        <f ca="1">S639^Elasticities!$G$52</f>
        <v>1.0025049730475437</v>
      </c>
      <c r="T645" s="117">
        <f ca="1">T639^Elasticities!$G$52</f>
        <v>1.0009779712298408</v>
      </c>
      <c r="U645" s="117">
        <f ca="1">U639^Elasticities!$G$52</f>
        <v>1.0007560510859108</v>
      </c>
      <c r="V645" s="117"/>
      <c r="Y645" s="117">
        <f ca="1">Y639^Elasticities!$H$52</f>
        <v>1.0011175117409004</v>
      </c>
      <c r="Z645" s="117">
        <f ca="1">Z639^Elasticities!$H$52</f>
        <v>1.0008221501022267</v>
      </c>
      <c r="AA645" s="117">
        <f ca="1">AA639^Elasticities!$H$52</f>
        <v>1.0015061007084263</v>
      </c>
      <c r="AB645" s="117">
        <f ca="1">AB639^Elasticities!$H$52</f>
        <v>1.0025049730475437</v>
      </c>
      <c r="AC645" s="117">
        <f ca="1">AC639^Elasticities!$H$52</f>
        <v>1.0009779712298408</v>
      </c>
      <c r="AD645" s="117">
        <f ca="1">AD639^Elasticities!$H$52</f>
        <v>1.000756051085911</v>
      </c>
      <c r="AE645" s="117"/>
      <c r="AH645" s="638">
        <f ca="1">AH639^Elasticities!$J$52</f>
        <v>1.000417317611584</v>
      </c>
      <c r="AI645" s="117">
        <f ca="1">AI639^Elasticities!$J$52</f>
        <v>0.99951415072432981</v>
      </c>
      <c r="AJ645" s="117">
        <f ca="1">AJ639^Elasticities!$J$52</f>
        <v>1.0002292161394517</v>
      </c>
      <c r="AK645" s="117">
        <f ca="1">AK639^Elasticities!$J$52</f>
        <v>1.0015395716896205</v>
      </c>
      <c r="AL645" s="117">
        <f ca="1">AL639^Elasticities!$J$52</f>
        <v>0.99948506000916937</v>
      </c>
      <c r="AM645" s="117">
        <f ca="1">AM639^Elasticities!$J$52</f>
        <v>0.99936985774412335</v>
      </c>
      <c r="AN645" s="117"/>
      <c r="AQ645" s="117">
        <f ca="1">AQ639^Elasticities!$G$54</f>
        <v>1.0009982765450631</v>
      </c>
      <c r="AR645" s="117">
        <f ca="1">AR639^Elasticities!$G$54</f>
        <v>1.0028081522150529</v>
      </c>
      <c r="AS645" s="117">
        <f ca="1">AS639^Elasticities!$G$54</f>
        <v>1.0067239882230803</v>
      </c>
      <c r="AT645" s="117">
        <f ca="1">AT639^Elasticities!$G$54</f>
        <v>1.0096507381403939</v>
      </c>
      <c r="AU645" s="117">
        <f ca="1">AU639^Elasticities!$G$54</f>
        <v>1.0048026466309208</v>
      </c>
      <c r="AV645" s="117">
        <f ca="1">AV639^Elasticities!$G$54</f>
        <v>1.0025410572055524</v>
      </c>
      <c r="AW645" s="117"/>
      <c r="AZ645" s="117">
        <f ca="1">AZ639^(Elasticities!$J$64*Elasticities!$G$52)</f>
        <v>1.0011592049033662</v>
      </c>
      <c r="BA645" s="117">
        <f ca="1">BA639^(Elasticities!$J$64*Elasticities!$G$52)</f>
        <v>1.0012326947720074</v>
      </c>
      <c r="BB645" s="117">
        <f ca="1">BB639^(Elasticities!$J$64*Elasticities!$G$52)</f>
        <v>1.00184681121123</v>
      </c>
      <c r="BC645" s="117">
        <f ca="1">BC639^(Elasticities!$J$64*Elasticities!$G$52)</f>
        <v>1.0024341873351361</v>
      </c>
      <c r="BD645" s="117">
        <f ca="1">BD639^(Elasticities!$J$64*Elasticities!$G$52)</f>
        <v>1.001506479865367</v>
      </c>
      <c r="BE645" s="117">
        <f ca="1">BE639^(Elasticities!$J$64*Elasticities!$G$52)</f>
        <v>1.001198641663853</v>
      </c>
      <c r="BF645" s="117"/>
      <c r="BI645" s="117">
        <f ca="1">BI639^Elasticities!$G$50</f>
        <v>1.0008127280197412</v>
      </c>
      <c r="BJ645" s="117">
        <f ca="1">BJ639^Elasticities!$G$50</f>
        <v>1.0007154690672346</v>
      </c>
      <c r="BK645" s="117">
        <f ca="1">BK639^Elasticities!$G$50</f>
        <v>1.0011784873394447</v>
      </c>
      <c r="BL645" s="117">
        <f ca="1">BL639^Elasticities!$G$50</f>
        <v>1.001758815366937</v>
      </c>
      <c r="BM645" s="117">
        <f ca="1">BM639^Elasticities!$G$50</f>
        <v>1.0008640227618304</v>
      </c>
      <c r="BN645" s="117">
        <f ca="1">BN639^Elasticities!$G$50</f>
        <v>1.0006793055045404</v>
      </c>
      <c r="BO645" s="117"/>
    </row>
    <row r="646" spans="2:68" ht="13.2" customHeight="1">
      <c r="B646" s="6"/>
      <c r="G646" s="298" t="s">
        <v>1918</v>
      </c>
      <c r="H646" s="298" t="s">
        <v>1838</v>
      </c>
      <c r="I646" s="298" t="s">
        <v>1839</v>
      </c>
      <c r="J646" s="298" t="s">
        <v>1840</v>
      </c>
      <c r="K646" s="298" t="s">
        <v>1841</v>
      </c>
      <c r="L646" s="298" t="s">
        <v>1917</v>
      </c>
      <c r="M646" s="298"/>
      <c r="N646" s="298"/>
      <c r="O646" s="136">
        <f>ROW()</f>
        <v>646</v>
      </c>
      <c r="P646" s="309" t="s">
        <v>3311</v>
      </c>
      <c r="Y646" s="309" t="s">
        <v>3312</v>
      </c>
      <c r="AH646" s="309" t="s">
        <v>3313</v>
      </c>
      <c r="AQ646" s="215" t="s">
        <v>3304</v>
      </c>
      <c r="AZ646" s="309" t="s">
        <v>3309</v>
      </c>
      <c r="BI646" s="309" t="s">
        <v>3310</v>
      </c>
    </row>
    <row r="647" spans="2:68" ht="13.2" customHeight="1">
      <c r="B647" s="6" t="s">
        <v>1921</v>
      </c>
      <c r="O647" s="136">
        <f>ROW()</f>
        <v>647</v>
      </c>
      <c r="P647" s="117">
        <f ca="1">(P594/P642)^Elasticities!$G$52</f>
        <v>1.0000682034843362</v>
      </c>
      <c r="Q647" s="117">
        <f ca="1">(Q594/Q642)^Elasticities!$G$52</f>
        <v>0.99982791504326018</v>
      </c>
      <c r="R647" s="117">
        <f ca="1">(R594/R642)^Elasticities!$G$52</f>
        <v>1.0001469010957562</v>
      </c>
      <c r="S647" s="117">
        <f ca="1">(S594/S642)^Elasticities!$G$52</f>
        <v>1.0005672459887165</v>
      </c>
      <c r="T647" s="117">
        <f ca="1">(T594/T642)^Elasticities!$G$52</f>
        <v>0.99943700407763503</v>
      </c>
      <c r="U647" s="117">
        <f ca="1">(U594/U642)^Elasticities!$G$52</f>
        <v>0.99972049557166498</v>
      </c>
      <c r="V647" s="117"/>
      <c r="Y647" s="117">
        <f ca="1">(Y594/Y642)^Elasticities!$H$52</f>
        <v>1.0000682034843362</v>
      </c>
      <c r="Z647" s="117">
        <f ca="1">(Z594/Z642)^Elasticities!$H$52</f>
        <v>0.99982791504326018</v>
      </c>
      <c r="AA647" s="117">
        <f ca="1">(AA594/AA642)^Elasticities!$H$52</f>
        <v>1.0001469010957562</v>
      </c>
      <c r="AB647" s="117">
        <f ca="1">(AB594/AB642)^Elasticities!$H$52</f>
        <v>1.0005672459887165</v>
      </c>
      <c r="AC647" s="117">
        <f ca="1">(AC594/AC642)^Elasticities!$H$52</f>
        <v>0.99943700407763503</v>
      </c>
      <c r="AD647" s="117">
        <f ca="1">(AD594/AD642)^Elasticities!$H$52</f>
        <v>0.99972049557166498</v>
      </c>
      <c r="AE647" s="117"/>
      <c r="AH647" s="117">
        <f ca="1">(AH594/AH642)^Elasticities!$J$52</f>
        <v>1.0000682034843362</v>
      </c>
      <c r="AI647" s="117">
        <f ca="1">(AI594/AI642)^Elasticities!$J$52</f>
        <v>0.99982791504326018</v>
      </c>
      <c r="AJ647" s="117">
        <f ca="1">(AJ594/AJ642)^Elasticities!$J$52</f>
        <v>1.0001469010957562</v>
      </c>
      <c r="AK647" s="117">
        <f ca="1">(AK594/AK642)^Elasticities!$J$52</f>
        <v>1.0005672459887165</v>
      </c>
      <c r="AL647" s="117">
        <f ca="1">(AL594/AL642)^Elasticities!$J$52</f>
        <v>0.99943700407763503</v>
      </c>
      <c r="AM647" s="117">
        <f ca="1">(AM594/AM642)^Elasticities!$J$52</f>
        <v>0.99972049557166498</v>
      </c>
      <c r="AN647" s="117"/>
      <c r="AQ647" s="117">
        <f ca="1">(AQ594/AQ642)^Elasticities!$G$54</f>
        <v>1.0000545624153419</v>
      </c>
      <c r="AR647" s="117">
        <f ca="1">(AR594/AR642)^Elasticities!$G$54</f>
        <v>0.99986232966538646</v>
      </c>
      <c r="AS647" s="117">
        <f ca="1">(AS594/AS642)^Elasticities!$G$54</f>
        <v>1.000117519150312</v>
      </c>
      <c r="AT647" s="117">
        <f ca="1">(AT594/AT642)^Elasticities!$G$54</f>
        <v>1.0004537710553711</v>
      </c>
      <c r="AU647" s="117">
        <f ca="1">(AU594/AU642)^Elasticities!$G$54</f>
        <v>0.99954957789924326</v>
      </c>
      <c r="AV647" s="117">
        <f ca="1">(AV594/AV642)^Elasticities!$G$54</f>
        <v>0.99977639020681497</v>
      </c>
      <c r="AW647" s="117"/>
      <c r="AZ647" s="117">
        <f ca="1">(AZ594/AZ642)^(Elasticities!$J$64*Elasticities!$G$52)</f>
        <v>1.0000227339779411</v>
      </c>
      <c r="BA647" s="117">
        <f ca="1">(BA594/BA642)^(Elasticities!$J$64*Elasticities!$G$52)</f>
        <v>0.99994263505707959</v>
      </c>
      <c r="BB647" s="117">
        <f ca="1">(BB594/BB642)^(Elasticities!$J$64*Elasticities!$G$52)</f>
        <v>1.0000489646343442</v>
      </c>
      <c r="BC647" s="117">
        <f ca="1">(BC594/BC642)^(Elasticities!$J$64*Elasticities!$G$52)</f>
        <v>1.0001890462555001</v>
      </c>
      <c r="BD647" s="117">
        <f ca="1">(BD594/BD642)^(Elasticities!$J$64*Elasticities!$G$52)</f>
        <v>0.99981229946325778</v>
      </c>
      <c r="BE647" s="117">
        <f ca="1">(BE594/BE642)^(Elasticities!$J$64*Elasticities!$G$52)</f>
        <v>0.99990682317557078</v>
      </c>
      <c r="BF647" s="117"/>
      <c r="BI647" s="117">
        <f ca="1">(BI594/BI642)^Elasticities!$G$50</f>
        <v>1.0000341011607237</v>
      </c>
      <c r="BJ647" s="117">
        <f ca="1">(BJ594/BJ642)^Elasticities!$G$50</f>
        <v>0.99991395381965753</v>
      </c>
      <c r="BK647" s="117">
        <f ca="1">(BK594/BK642)^Elasticities!$G$50</f>
        <v>1.0000734478505848</v>
      </c>
      <c r="BL647" s="117">
        <f ca="1">(BL594/BL642)^Elasticities!$G$50</f>
        <v>1.0002835827847603</v>
      </c>
      <c r="BM647" s="117">
        <f ca="1">(BM594/BM642)^Elasticities!$G$50</f>
        <v>0.99971846240710927</v>
      </c>
      <c r="BN647" s="117">
        <f ca="1">(BN594/BN642)^Elasticities!$G$50</f>
        <v>0.99986023801912671</v>
      </c>
      <c r="BO647" s="117"/>
    </row>
    <row r="648" spans="2:68" ht="13.2" customHeight="1">
      <c r="O648" s="136">
        <f>ROW()</f>
        <v>648</v>
      </c>
      <c r="P648" s="309" t="s">
        <v>529</v>
      </c>
      <c r="Y648" s="309" t="s">
        <v>530</v>
      </c>
      <c r="AH648" s="309" t="s">
        <v>2922</v>
      </c>
      <c r="AQ648" s="215" t="s">
        <v>3299</v>
      </c>
      <c r="AZ648" s="309" t="s">
        <v>2398</v>
      </c>
      <c r="BI648" s="309" t="s">
        <v>2878</v>
      </c>
    </row>
    <row r="649" spans="2:68" ht="13.2" customHeight="1">
      <c r="B649" s="6" t="s">
        <v>2164</v>
      </c>
      <c r="G649" s="633">
        <f t="shared" ref="G649:L649" ca="1" si="1089">($I$76*$I$79*P649+$J$76*$J$79*Y649+$K$76*$K$79*AH649+$L$76*$L$79*AQ649+$M$76*$M$79*AZ649+$N$76*$N$79*BI649)/SUMPRODUCT($I$76:$N$76,$I$79:$N$79)</f>
        <v>0.99994460597461521</v>
      </c>
      <c r="H649" s="633">
        <f t="shared" ca="1" si="1089"/>
        <v>1.0003985900184689</v>
      </c>
      <c r="I649" s="633">
        <f t="shared" ca="1" si="1089"/>
        <v>1.0003590618421423</v>
      </c>
      <c r="J649" s="633">
        <f t="shared" ca="1" si="1089"/>
        <v>1.0002377199976991</v>
      </c>
      <c r="K649" s="633">
        <f t="shared" ca="1" si="1089"/>
        <v>1.0004824922068734</v>
      </c>
      <c r="L649" s="633">
        <f t="shared" ca="1" si="1089"/>
        <v>1.0004508359637625</v>
      </c>
      <c r="M649" s="633"/>
      <c r="O649" s="136">
        <f>ROW()</f>
        <v>649</v>
      </c>
      <c r="P649" s="117">
        <f ca="1">(P595/P643)^Elasticities!$G$52</f>
        <v>0.9999432947468504</v>
      </c>
      <c r="Q649" s="117">
        <f ca="1">(Q595/Q643)^Elasticities!$G$52</f>
        <v>1.0004080261863899</v>
      </c>
      <c r="R649" s="117">
        <f ca="1">(R595/R643)^Elasticities!$G$52</f>
        <v>1.0003675621331354</v>
      </c>
      <c r="S649" s="117">
        <f ca="1">(S595/S643)^Elasticities!$G$52</f>
        <v>1.0002433475017556</v>
      </c>
      <c r="T649" s="117">
        <f ca="1">(T595/T643)^Elasticities!$G$52</f>
        <v>1.0004939149267713</v>
      </c>
      <c r="U649" s="117">
        <f ca="1">(U595/U643)^Elasticities!$G$52</f>
        <v>1.0004615091481199</v>
      </c>
      <c r="V649" s="117"/>
      <c r="Y649" s="117">
        <f ca="1">(Y595/Y643)^Elasticities!$H$52</f>
        <v>0.9999432947468504</v>
      </c>
      <c r="Z649" s="117">
        <f ca="1">(Z595/Z643)^Elasticities!$H$52</f>
        <v>1.0004080261863899</v>
      </c>
      <c r="AA649" s="117">
        <f ca="1">(AA595/AA643)^Elasticities!$H$52</f>
        <v>1.0003675621331354</v>
      </c>
      <c r="AB649" s="117">
        <f ca="1">(AB595/AB643)^Elasticities!$H$52</f>
        <v>1.0002433475017556</v>
      </c>
      <c r="AC649" s="117">
        <f ca="1">(AC595/AC643)^Elasticities!$H$52</f>
        <v>1.0004939149267713</v>
      </c>
      <c r="AD649" s="117">
        <f ca="1">(AD595/AD643)^Elasticities!$H$52</f>
        <v>1.0004615091481199</v>
      </c>
      <c r="AE649" s="117"/>
      <c r="AH649" s="117">
        <f ca="1">(AH595/AH643)^Elasticities!$J$52</f>
        <v>0.9999432947468504</v>
      </c>
      <c r="AI649" s="117">
        <f ca="1">(AI595/AI643)^Elasticities!$J$52</f>
        <v>1.0004080261863899</v>
      </c>
      <c r="AJ649" s="117">
        <f ca="1">(AJ595/AJ643)^Elasticities!$J$52</f>
        <v>1.0003675621331354</v>
      </c>
      <c r="AK649" s="117">
        <f ca="1">(AK595/AK643)^Elasticities!$J$52</f>
        <v>1.0002433475017556</v>
      </c>
      <c r="AL649" s="117">
        <f ca="1">(AL595/AL643)^Elasticities!$J$52</f>
        <v>1.0004939149267713</v>
      </c>
      <c r="AM649" s="117">
        <f ca="1">(AM595/AM643)^Elasticities!$J$52</f>
        <v>1.0004615091481199</v>
      </c>
      <c r="AN649" s="117"/>
      <c r="AQ649" s="117">
        <f ca="1">(AQ595/AQ643)^Elasticities!$G$54</f>
        <v>0.99995463554023556</v>
      </c>
      <c r="AR649" s="117">
        <f ca="1">(AR595/AR643)^Elasticities!$G$54</f>
        <v>1.0003264076324558</v>
      </c>
      <c r="AS649" s="117">
        <f ca="1">(AS595/AS643)^Elasticities!$G$54</f>
        <v>1.0002940388999433</v>
      </c>
      <c r="AT649" s="117">
        <f ca="1">(AT595/AT643)^Elasticities!$G$54</f>
        <v>1.0001946732644251</v>
      </c>
      <c r="AU649" s="117">
        <f ca="1">(AU595/AU643)^Elasticities!$G$54</f>
        <v>1.0003951124291153</v>
      </c>
      <c r="AV649" s="117">
        <f ca="1">(AV595/AV643)^Elasticities!$G$54</f>
        <v>1.000369190282385</v>
      </c>
      <c r="AW649" s="117"/>
      <c r="AZ649" s="117">
        <f ca="1">(AZ595/AZ643)^(Elasticities!$J$64*Elasticities!$G$52)</f>
        <v>0.99998109789166256</v>
      </c>
      <c r="BA649" s="117">
        <f ca="1">(BA595/BA643)^(Elasticities!$J$64*Elasticities!$G$52)</f>
        <v>1.0001359902346145</v>
      </c>
      <c r="BB649" s="117">
        <f ca="1">(BB595/BB643)^(Elasticities!$J$64*Elasticities!$G$52)</f>
        <v>1.0001225057027849</v>
      </c>
      <c r="BC649" s="117">
        <f ca="1">(BC595/BC643)^(Elasticities!$J$64*Elasticities!$G$52)</f>
        <v>1.0000811092550295</v>
      </c>
      <c r="BD649" s="117">
        <f ca="1">(BD595/BD643)^(Elasticities!$J$64*Elasticities!$G$52)</f>
        <v>1.0001646112105862</v>
      </c>
      <c r="BE649" s="117">
        <f ca="1">(BE595/BE643)^(Elasticities!$J$64*Elasticities!$G$52)</f>
        <v>1.0001538127231397</v>
      </c>
      <c r="BF649" s="117"/>
      <c r="BI649" s="117">
        <f ca="1">(BI595/BI643)^Elasticities!$G$50</f>
        <v>0.99997164697147822</v>
      </c>
      <c r="BJ649" s="117">
        <f ca="1">(BJ595/BJ643)^Elasticities!$G$50</f>
        <v>1.0002039922867685</v>
      </c>
      <c r="BK649" s="117">
        <f ca="1">(BK595/BK643)^Elasticities!$G$50</f>
        <v>1.0001837641819304</v>
      </c>
      <c r="BL649" s="117">
        <f ca="1">(BL595/BL643)^Elasticities!$G$50</f>
        <v>1.0001216663495276</v>
      </c>
      <c r="BM649" s="117">
        <f ca="1">(BM595/BM643)^Elasticities!$G$50</f>
        <v>1.0002469269769196</v>
      </c>
      <c r="BN649" s="117">
        <f ca="1">(BN595/BN643)^Elasticities!$G$50</f>
        <v>1.0002307279563651</v>
      </c>
      <c r="BO649" s="117"/>
    </row>
    <row r="650" spans="2:68" ht="13.2" customHeight="1" collapsed="1">
      <c r="O650" s="136">
        <f>ROW()</f>
        <v>650</v>
      </c>
      <c r="P650" s="309" t="s">
        <v>2879</v>
      </c>
      <c r="Y650" s="309" t="s">
        <v>2842</v>
      </c>
      <c r="AH650" s="309" t="s">
        <v>2808</v>
      </c>
      <c r="AQ650" s="215" t="s">
        <v>3300</v>
      </c>
      <c r="AZ650" s="309" t="s">
        <v>2903</v>
      </c>
      <c r="BI650" s="309" t="s">
        <v>91</v>
      </c>
    </row>
    <row r="651" spans="2:68" ht="13.2" customHeight="1">
      <c r="B651" s="24" t="s">
        <v>393</v>
      </c>
      <c r="I651" s="54"/>
      <c r="O651" s="136">
        <f>ROW()</f>
        <v>651</v>
      </c>
      <c r="P651" s="880" t="s">
        <v>1472</v>
      </c>
      <c r="Q651" s="880" t="s">
        <v>985</v>
      </c>
      <c r="R651" s="880" t="s">
        <v>987</v>
      </c>
      <c r="S651" s="880" t="s">
        <v>1367</v>
      </c>
      <c r="T651" s="880" t="s">
        <v>988</v>
      </c>
      <c r="U651" s="880" t="s">
        <v>986</v>
      </c>
      <c r="V651" s="880"/>
      <c r="W651" s="880" t="s">
        <v>2684</v>
      </c>
      <c r="Y651" s="880" t="s">
        <v>1472</v>
      </c>
      <c r="Z651" s="880" t="s">
        <v>985</v>
      </c>
      <c r="AA651" s="880" t="s">
        <v>987</v>
      </c>
      <c r="AB651" s="880" t="s">
        <v>1367</v>
      </c>
      <c r="AC651" s="880" t="s">
        <v>988</v>
      </c>
      <c r="AD651" s="880" t="s">
        <v>986</v>
      </c>
      <c r="AE651" s="880"/>
      <c r="AF651" s="880" t="s">
        <v>2684</v>
      </c>
      <c r="AH651" s="880" t="s">
        <v>1472</v>
      </c>
      <c r="AI651" s="880" t="s">
        <v>985</v>
      </c>
      <c r="AJ651" s="880" t="s">
        <v>987</v>
      </c>
      <c r="AK651" s="880" t="s">
        <v>1367</v>
      </c>
      <c r="AL651" s="880" t="s">
        <v>988</v>
      </c>
      <c r="AM651" s="880" t="s">
        <v>986</v>
      </c>
      <c r="AN651" s="880"/>
      <c r="AO651" s="880" t="s">
        <v>2684</v>
      </c>
      <c r="AQ651" s="880" t="s">
        <v>1472</v>
      </c>
      <c r="AR651" s="880" t="s">
        <v>985</v>
      </c>
      <c r="AS651" s="880" t="s">
        <v>987</v>
      </c>
      <c r="AT651" s="880" t="s">
        <v>1367</v>
      </c>
      <c r="AU651" s="880" t="s">
        <v>988</v>
      </c>
      <c r="AV651" s="880" t="s">
        <v>986</v>
      </c>
      <c r="AW651" s="880" t="s">
        <v>1638</v>
      </c>
      <c r="AX651" s="880" t="s">
        <v>2684</v>
      </c>
      <c r="AZ651" s="880" t="s">
        <v>1472</v>
      </c>
      <c r="BA651" s="880" t="s">
        <v>985</v>
      </c>
      <c r="BB651" s="880" t="s">
        <v>987</v>
      </c>
      <c r="BC651" s="880" t="s">
        <v>1367</v>
      </c>
      <c r="BD651" s="880" t="s">
        <v>988</v>
      </c>
      <c r="BE651" s="880" t="s">
        <v>986</v>
      </c>
      <c r="BF651" s="880"/>
      <c r="BG651" s="880" t="s">
        <v>2684</v>
      </c>
      <c r="BI651" s="880" t="s">
        <v>1472</v>
      </c>
      <c r="BJ651" s="880" t="s">
        <v>985</v>
      </c>
      <c r="BK651" s="880" t="s">
        <v>987</v>
      </c>
      <c r="BL651" s="880" t="s">
        <v>1367</v>
      </c>
      <c r="BM651" s="880" t="s">
        <v>988</v>
      </c>
      <c r="BN651" s="880" t="s">
        <v>986</v>
      </c>
      <c r="BO651" s="880" t="s">
        <v>1638</v>
      </c>
      <c r="BP651" s="880" t="s">
        <v>2684</v>
      </c>
    </row>
    <row r="652" spans="2:68" ht="13.2" customHeight="1">
      <c r="O652" s="136">
        <f>ROW()</f>
        <v>652</v>
      </c>
      <c r="P652" s="298" t="s">
        <v>989</v>
      </c>
      <c r="Q652" s="298" t="s">
        <v>990</v>
      </c>
      <c r="R652" s="298" t="s">
        <v>991</v>
      </c>
      <c r="S652" s="298" t="s">
        <v>992</v>
      </c>
      <c r="T652" s="298" t="s">
        <v>993</v>
      </c>
      <c r="U652" s="298" t="s">
        <v>994</v>
      </c>
      <c r="V652" s="298"/>
      <c r="W652" s="298"/>
      <c r="Y652" s="298" t="s">
        <v>989</v>
      </c>
      <c r="Z652" s="298" t="s">
        <v>990</v>
      </c>
      <c r="AA652" s="298" t="s">
        <v>991</v>
      </c>
      <c r="AB652" s="298" t="s">
        <v>992</v>
      </c>
      <c r="AC652" s="298" t="s">
        <v>993</v>
      </c>
      <c r="AD652" s="298" t="s">
        <v>994</v>
      </c>
      <c r="AE652" s="298"/>
      <c r="AF652" s="298"/>
      <c r="AH652" s="298" t="s">
        <v>989</v>
      </c>
      <c r="AI652" s="298" t="s">
        <v>990</v>
      </c>
      <c r="AJ652" s="298" t="s">
        <v>991</v>
      </c>
      <c r="AK652" s="298" t="s">
        <v>992</v>
      </c>
      <c r="AL652" s="298" t="s">
        <v>993</v>
      </c>
      <c r="AM652" s="298" t="s">
        <v>994</v>
      </c>
      <c r="AN652" s="298"/>
      <c r="AO652" s="298"/>
      <c r="AQ652" s="298" t="s">
        <v>989</v>
      </c>
      <c r="AR652" s="298" t="s">
        <v>990</v>
      </c>
      <c r="AS652" s="298" t="s">
        <v>991</v>
      </c>
      <c r="AT652" s="298" t="s">
        <v>992</v>
      </c>
      <c r="AU652" s="298" t="s">
        <v>993</v>
      </c>
      <c r="AV652" s="298" t="s">
        <v>994</v>
      </c>
      <c r="AW652" s="298"/>
      <c r="AX652" s="298"/>
      <c r="AZ652" s="298" t="s">
        <v>989</v>
      </c>
      <c r="BA652" s="298" t="s">
        <v>990</v>
      </c>
      <c r="BB652" s="298" t="s">
        <v>991</v>
      </c>
      <c r="BC652" s="298" t="s">
        <v>992</v>
      </c>
      <c r="BD652" s="298" t="s">
        <v>993</v>
      </c>
      <c r="BE652" s="298" t="s">
        <v>994</v>
      </c>
      <c r="BF652" s="298"/>
      <c r="BG652" s="298"/>
      <c r="BI652" s="298" t="s">
        <v>989</v>
      </c>
      <c r="BJ652" s="298" t="s">
        <v>990</v>
      </c>
      <c r="BK652" s="298" t="s">
        <v>991</v>
      </c>
      <c r="BL652" s="298" t="s">
        <v>992</v>
      </c>
      <c r="BM652" s="298" t="s">
        <v>993</v>
      </c>
      <c r="BN652" s="298" t="s">
        <v>994</v>
      </c>
      <c r="BO652" s="298"/>
      <c r="BP652" s="298"/>
    </row>
    <row r="653" spans="2:68" ht="13.2" customHeight="1">
      <c r="B653" s="308" t="s">
        <v>112</v>
      </c>
      <c r="O653" s="136">
        <f>ROW()</f>
        <v>653</v>
      </c>
    </row>
    <row r="654" spans="2:68" s="1122" customFormat="1" ht="13.2" customHeight="1">
      <c r="B654" s="1123" t="s">
        <v>2744</v>
      </c>
      <c r="G654" s="1122">
        <f t="shared" ref="G654:L654" ca="1" si="1090">P654+Y654+AH654+AQ654+AZ654+BI654</f>
        <v>108733.66190299265</v>
      </c>
      <c r="H654" s="1122">
        <f t="shared" ca="1" si="1090"/>
        <v>46462.786858864914</v>
      </c>
      <c r="I654" s="1122">
        <f t="shared" ca="1" si="1090"/>
        <v>151021.24834690869</v>
      </c>
      <c r="J654" s="1122">
        <f t="shared" ca="1" si="1090"/>
        <v>99467.103101578934</v>
      </c>
      <c r="K654" s="1122">
        <f t="shared" ca="1" si="1090"/>
        <v>54805.333472069324</v>
      </c>
      <c r="L654" s="1122">
        <f t="shared" ca="1" si="1090"/>
        <v>36563.015124369107</v>
      </c>
      <c r="N654" s="1127">
        <f ca="1">SUM(G654:M654)</f>
        <v>497053.14880678366</v>
      </c>
      <c r="O654" s="136">
        <f>ROW()</f>
        <v>654</v>
      </c>
      <c r="P654" s="1122">
        <f t="shared" ref="P654:U654" ca="1" si="1091">P608</f>
        <v>24162.018492501815</v>
      </c>
      <c r="Q654" s="1122">
        <f t="shared" ca="1" si="1091"/>
        <v>9358.2211348782603</v>
      </c>
      <c r="R654" s="1122">
        <f t="shared" ca="1" si="1091"/>
        <v>25058.621672838985</v>
      </c>
      <c r="S654" s="1122">
        <f t="shared" ca="1" si="1091"/>
        <v>9843.8926525893294</v>
      </c>
      <c r="T654" s="1122">
        <f t="shared" ca="1" si="1091"/>
        <v>8986.9887803342044</v>
      </c>
      <c r="U654" s="1122">
        <f t="shared" ca="1" si="1091"/>
        <v>4811.8342169143807</v>
      </c>
      <c r="W654" s="1122">
        <f ca="1">SUM(P654:V654)</f>
        <v>82221.576950056973</v>
      </c>
      <c r="Y654" s="1122">
        <f t="shared" ref="Y654:AD654" ca="1" si="1092">Y608</f>
        <v>36301.260839619521</v>
      </c>
      <c r="Z654" s="1122">
        <f t="shared" ca="1" si="1092"/>
        <v>17694.668841610976</v>
      </c>
      <c r="AA654" s="1122">
        <f t="shared" ca="1" si="1092"/>
        <v>72975.944065680393</v>
      </c>
      <c r="AB654" s="1122">
        <f t="shared" ca="1" si="1092"/>
        <v>57193.920194307866</v>
      </c>
      <c r="AC654" s="1122">
        <f t="shared" ca="1" si="1092"/>
        <v>26540.083184716255</v>
      </c>
      <c r="AD654" s="1122">
        <f t="shared" ca="1" si="1092"/>
        <v>17706.867598427703</v>
      </c>
      <c r="AF654" s="1122">
        <f ca="1">SUM(Y654:AE654)</f>
        <v>228412.74472436271</v>
      </c>
      <c r="AH654" s="1122">
        <f t="shared" ref="AH654:AM654" ca="1" si="1093">AH608</f>
        <v>28003.004308334253</v>
      </c>
      <c r="AI654" s="1122">
        <f t="shared" ca="1" si="1093"/>
        <v>11175.848936165099</v>
      </c>
      <c r="AJ654" s="1122">
        <f t="shared" ca="1" si="1093"/>
        <v>26747.499448631246</v>
      </c>
      <c r="AK654" s="1122">
        <f t="shared" ca="1" si="1093"/>
        <v>15494.201548015806</v>
      </c>
      <c r="AL654" s="1122">
        <f t="shared" ca="1" si="1093"/>
        <v>9225.2621577834743</v>
      </c>
      <c r="AM654" s="1122">
        <f t="shared" ca="1" si="1093"/>
        <v>6278.1862691428205</v>
      </c>
      <c r="AO654" s="1122">
        <f ca="1">SUM(AH654:AN654)</f>
        <v>96924.002668072702</v>
      </c>
      <c r="AQ654" s="10">
        <f t="shared" ref="AQ654:AV654" ca="1" si="1094">AQ608</f>
        <v>16063.417052874969</v>
      </c>
      <c r="AR654" s="10">
        <f t="shared" ca="1" si="1094"/>
        <v>6580.3039547416147</v>
      </c>
      <c r="AS654" s="10">
        <f t="shared" ca="1" si="1094"/>
        <v>21013.495952133315</v>
      </c>
      <c r="AT654" s="10">
        <f t="shared" ca="1" si="1094"/>
        <v>13564.375536569334</v>
      </c>
      <c r="AU654" s="10">
        <f t="shared" ca="1" si="1094"/>
        <v>8063.8623615436009</v>
      </c>
      <c r="AV654" s="10">
        <f t="shared" ca="1" si="1094"/>
        <v>6227.2646854543091</v>
      </c>
      <c r="AW654" s="10"/>
      <c r="AX654" s="10">
        <f ca="1">SUM(AQ654:AW654)</f>
        <v>71512.719543317144</v>
      </c>
      <c r="AZ654" s="1122">
        <f t="shared" ref="AZ654:BE654" ca="1" si="1095">AZ608</f>
        <v>2862.41875481241</v>
      </c>
      <c r="BA654" s="1122">
        <f t="shared" ca="1" si="1095"/>
        <v>1127.3312134028336</v>
      </c>
      <c r="BB654" s="1122">
        <f t="shared" ca="1" si="1095"/>
        <v>3565.9012100979016</v>
      </c>
      <c r="BC654" s="1122">
        <f t="shared" ca="1" si="1095"/>
        <v>2300.9847218774898</v>
      </c>
      <c r="BD654" s="1122">
        <f t="shared" ca="1" si="1095"/>
        <v>1356.5523099428872</v>
      </c>
      <c r="BE654" s="1122">
        <f t="shared" ca="1" si="1095"/>
        <v>1049.0036176204196</v>
      </c>
      <c r="BG654" s="1122">
        <f ca="1">SUM(AZ654:BF654)</f>
        <v>12262.191827753941</v>
      </c>
      <c r="BI654" s="1122">
        <f t="shared" ref="BI654:BN654" ca="1" si="1096">BI608</f>
        <v>1341.542454849679</v>
      </c>
      <c r="BJ654" s="1122">
        <f t="shared" ca="1" si="1096"/>
        <v>526.41277806613573</v>
      </c>
      <c r="BK654" s="1122">
        <f t="shared" ca="1" si="1096"/>
        <v>1659.785997526852</v>
      </c>
      <c r="BL654" s="1122">
        <f t="shared" ca="1" si="1096"/>
        <v>1069.7284482190955</v>
      </c>
      <c r="BM654" s="1122">
        <f t="shared" ca="1" si="1096"/>
        <v>632.5846777488963</v>
      </c>
      <c r="BN654" s="1122">
        <f t="shared" ca="1" si="1096"/>
        <v>489.85873680947032</v>
      </c>
      <c r="BP654" s="1122">
        <f ca="1">SUM(BI654:BO654)</f>
        <v>5719.9130932201288</v>
      </c>
    </row>
    <row r="655" spans="2:68" ht="13.2" customHeight="1">
      <c r="B655" s="309" t="str">
        <f>CONCATENATE("Above row repeats figures in Row ",O608,".")</f>
        <v>Above row repeats figures in Row 608.</v>
      </c>
      <c r="G655" s="309" t="s">
        <v>1009</v>
      </c>
      <c r="O655" s="136">
        <f>ROW()</f>
        <v>655</v>
      </c>
      <c r="AQ655" s="265" t="str">
        <f>CONCATENATE("Row ",O656, " figures are set equal to ",O654, " figures, since rebound effects are presumed accounted for by taxi time-elasticity.")</f>
        <v>Row 656 figures are set equal to 654 figures, since rebound effects are presumed accounted for by taxi time-elasticity.</v>
      </c>
    </row>
    <row r="656" spans="2:68" s="1122" customFormat="1" ht="13.2" customHeight="1">
      <c r="B656" s="1123" t="s">
        <v>1300</v>
      </c>
      <c r="G656" s="1122">
        <f t="shared" ref="G656:L657" ca="1" si="1097">P656+Y656+AH656+AQ656+AZ656+BI656</f>
        <v>108817.32491341354</v>
      </c>
      <c r="H656" s="1122">
        <f t="shared" ca="1" si="1097"/>
        <v>46481.364904366361</v>
      </c>
      <c r="I656" s="1122">
        <f t="shared" ca="1" si="1097"/>
        <v>151183.57081749855</v>
      </c>
      <c r="J656" s="1122">
        <f t="shared" ca="1" si="1097"/>
        <v>99666.367932684778</v>
      </c>
      <c r="K656" s="1122">
        <f t="shared" ca="1" si="1097"/>
        <v>54837.917656222286</v>
      </c>
      <c r="L656" s="1122">
        <f t="shared" ca="1" si="1097"/>
        <v>36577.674406049417</v>
      </c>
      <c r="N656" s="1124">
        <f ca="1">SUM(G656:M656)</f>
        <v>497564.22063023492</v>
      </c>
      <c r="O656" s="136">
        <f>ROW()</f>
        <v>656</v>
      </c>
      <c r="P656" s="1122">
        <f t="shared" ref="P656:U656" ca="1" si="1098">P654*P645</f>
        <v>24189.01983185103</v>
      </c>
      <c r="Q656" s="1122">
        <f t="shared" ca="1" si="1098"/>
        <v>9365.9149973409585</v>
      </c>
      <c r="R656" s="1122">
        <f t="shared" ca="1" si="1098"/>
        <v>25096.362480692627</v>
      </c>
      <c r="S656" s="1122">
        <f t="shared" ca="1" si="1098"/>
        <v>9868.5513383669786</v>
      </c>
      <c r="T656" s="1122">
        <f t="shared" ca="1" si="1098"/>
        <v>8995.7777968042737</v>
      </c>
      <c r="U656" s="1122">
        <f t="shared" ca="1" si="1098"/>
        <v>4815.4722093993014</v>
      </c>
      <c r="W656" s="1122">
        <f ca="1">SUM(P656:V656)</f>
        <v>82331.098654455171</v>
      </c>
      <c r="Y656" s="1122">
        <f t="shared" ref="Y656:AD656" ca="1" si="1099">Y654*Y645</f>
        <v>36341.827924817284</v>
      </c>
      <c r="Z656" s="1122">
        <f t="shared" ca="1" si="1099"/>
        <v>17709.216515407974</v>
      </c>
      <c r="AA656" s="1122">
        <f t="shared" ca="1" si="1099"/>
        <v>73085.853186735796</v>
      </c>
      <c r="AB656" s="1122">
        <f t="shared" ca="1" si="1099"/>
        <v>57337.189422877971</v>
      </c>
      <c r="AC656" s="1122">
        <f t="shared" ca="1" si="1099"/>
        <v>26566.038622508488</v>
      </c>
      <c r="AD656" s="1122">
        <f t="shared" ca="1" si="1099"/>
        <v>17720.254894903577</v>
      </c>
      <c r="AF656" s="1122">
        <f ca="1">SUM(Y656:AE656)</f>
        <v>228760.38056725109</v>
      </c>
      <c r="AH656" s="1122">
        <f t="shared" ref="AH656:AM656" ca="1" si="1100">AH654*AH645</f>
        <v>28014.690455209384</v>
      </c>
      <c r="AI656" s="1122">
        <f t="shared" ca="1" si="1100"/>
        <v>11170.419158054463</v>
      </c>
      <c r="AJ656" s="1122">
        <f t="shared" ca="1" si="1100"/>
        <v>26753.630407194847</v>
      </c>
      <c r="AK656" s="1122">
        <f t="shared" ca="1" si="1100"/>
        <v>15518.055982072405</v>
      </c>
      <c r="AL656" s="1122">
        <f t="shared" ca="1" si="1100"/>
        <v>9220.5117013725358</v>
      </c>
      <c r="AM656" s="1122">
        <f t="shared" ca="1" si="1100"/>
        <v>6274.2301186843688</v>
      </c>
      <c r="AO656" s="1122">
        <f ca="1">SUM(AH656:AN656)</f>
        <v>96951.537822588012</v>
      </c>
      <c r="AQ656" s="10">
        <f ca="1">AQ654</f>
        <v>16063.417052874969</v>
      </c>
      <c r="AR656" s="10">
        <f t="shared" ref="AR656:AV656" ca="1" si="1101">AR654</f>
        <v>6580.3039547416147</v>
      </c>
      <c r="AS656" s="10">
        <f t="shared" ca="1" si="1101"/>
        <v>21013.495952133315</v>
      </c>
      <c r="AT656" s="10">
        <f t="shared" ca="1" si="1101"/>
        <v>13564.375536569334</v>
      </c>
      <c r="AU656" s="10">
        <f t="shared" ca="1" si="1101"/>
        <v>8063.8623615436009</v>
      </c>
      <c r="AV656" s="10">
        <f t="shared" ca="1" si="1101"/>
        <v>6227.2646854543091</v>
      </c>
      <c r="AW656" s="10"/>
      <c r="AX656" s="10">
        <f ca="1">SUM(AQ656:AW656)</f>
        <v>71512.719543317144</v>
      </c>
      <c r="AZ656" s="1122">
        <f t="shared" ref="AZ656:BE656" ca="1" si="1102">AZ654*AZ645</f>
        <v>2865.7368846684758</v>
      </c>
      <c r="BA656" s="1122">
        <f t="shared" ca="1" si="1102"/>
        <v>1128.7208686959159</v>
      </c>
      <c r="BB656" s="1122">
        <f t="shared" ca="1" si="1102"/>
        <v>3572.4867564308488</v>
      </c>
      <c r="BC656" s="1122">
        <f t="shared" ca="1" si="1102"/>
        <v>2306.5857497458255</v>
      </c>
      <c r="BD656" s="1122">
        <f t="shared" ca="1" si="1102"/>
        <v>1358.5959286841332</v>
      </c>
      <c r="BE656" s="1122">
        <f t="shared" ca="1" si="1102"/>
        <v>1050.2609970620319</v>
      </c>
      <c r="BG656" s="1122">
        <f ca="1">SUM(AZ656:BF656)</f>
        <v>12282.387185287231</v>
      </c>
      <c r="BI656" s="1122">
        <f t="shared" ref="BI656:BN656" ca="1" si="1103">BI654*BI645</f>
        <v>1342.6327639924077</v>
      </c>
      <c r="BJ656" s="1122">
        <f t="shared" ca="1" si="1103"/>
        <v>526.78941012543908</v>
      </c>
      <c r="BK656" s="1122">
        <f t="shared" ca="1" si="1103"/>
        <v>1661.7420343111251</v>
      </c>
      <c r="BL656" s="1122">
        <f t="shared" ca="1" si="1103"/>
        <v>1071.609903052273</v>
      </c>
      <c r="BM656" s="1122">
        <f t="shared" ca="1" si="1103"/>
        <v>633.13124530925654</v>
      </c>
      <c r="BN656" s="1122">
        <f t="shared" ca="1" si="1103"/>
        <v>490.19150054583218</v>
      </c>
      <c r="BP656" s="1122">
        <f ca="1">SUM(BI656:BO656)</f>
        <v>5726.0968573363334</v>
      </c>
    </row>
    <row r="657" spans="2:68" s="1122" customFormat="1" ht="13.2" customHeight="1">
      <c r="B657" s="1123" t="s">
        <v>112</v>
      </c>
      <c r="G657" s="1122">
        <f t="shared" ca="1" si="1097"/>
        <v>173426.14856003583</v>
      </c>
      <c r="H657" s="1122">
        <f t="shared" ca="1" si="1097"/>
        <v>73851.63342622151</v>
      </c>
      <c r="I657" s="1122">
        <f t="shared" ca="1" si="1097"/>
        <v>240796.34231339686</v>
      </c>
      <c r="J657" s="1122">
        <f t="shared" ca="1" si="1097"/>
        <v>158725.6176452495</v>
      </c>
      <c r="K657" s="1122">
        <f t="shared" ca="1" si="1097"/>
        <v>87721.216010648801</v>
      </c>
      <c r="L657" s="1122">
        <f t="shared" ca="1" si="1097"/>
        <v>59173.208185798816</v>
      </c>
      <c r="N657" s="1127">
        <f ca="1">SUM(G657:M657)</f>
        <v>793694.16614135134</v>
      </c>
      <c r="O657" s="136">
        <f>ROW()</f>
        <v>657</v>
      </c>
      <c r="P657" s="1122">
        <f t="shared" ref="P657:U657" ca="1" si="1104">P656*$I$85</f>
        <v>36283.529747776542</v>
      </c>
      <c r="Q657" s="1122">
        <f t="shared" ca="1" si="1104"/>
        <v>14048.872496011438</v>
      </c>
      <c r="R657" s="1122">
        <f t="shared" ca="1" si="1104"/>
        <v>37644.543721038943</v>
      </c>
      <c r="S657" s="1122">
        <f t="shared" ca="1" si="1104"/>
        <v>14802.827007550468</v>
      </c>
      <c r="T657" s="1122">
        <f t="shared" ca="1" si="1104"/>
        <v>13493.666695206412</v>
      </c>
      <c r="U657" s="1122">
        <f t="shared" ca="1" si="1104"/>
        <v>7223.2083140989525</v>
      </c>
      <c r="W657" s="1122">
        <f ca="1">SUM(P657:V657)</f>
        <v>123496.64798168275</v>
      </c>
      <c r="Y657" s="1122">
        <f t="shared" ref="Y657:AD657" ca="1" si="1105">Y656*$J$85</f>
        <v>54512.74188722593</v>
      </c>
      <c r="Z657" s="1122">
        <f t="shared" ca="1" si="1105"/>
        <v>26563.824773111963</v>
      </c>
      <c r="AA657" s="1122">
        <f t="shared" ca="1" si="1105"/>
        <v>109628.77978010369</v>
      </c>
      <c r="AB657" s="1122">
        <f t="shared" ca="1" si="1105"/>
        <v>86005.784134316957</v>
      </c>
      <c r="AC657" s="1122">
        <f t="shared" ca="1" si="1105"/>
        <v>39849.057933762728</v>
      </c>
      <c r="AD657" s="1122">
        <f t="shared" ca="1" si="1105"/>
        <v>26580.382342355366</v>
      </c>
      <c r="AF657" s="1122">
        <f ca="1">SUM(Y657:AE657)</f>
        <v>343140.57085087663</v>
      </c>
      <c r="AH657" s="1122">
        <f t="shared" ref="AH657:AM657" ca="1" si="1106">AH656*$K$85</f>
        <v>39220.566637293145</v>
      </c>
      <c r="AI657" s="1122">
        <f t="shared" ca="1" si="1106"/>
        <v>15638.586821276249</v>
      </c>
      <c r="AJ657" s="1122">
        <f t="shared" ca="1" si="1106"/>
        <v>37455.082570072787</v>
      </c>
      <c r="AK657" s="1122">
        <f t="shared" ca="1" si="1106"/>
        <v>21725.278374901369</v>
      </c>
      <c r="AL657" s="1122">
        <f t="shared" ca="1" si="1106"/>
        <v>12908.716381921551</v>
      </c>
      <c r="AM657" s="1122">
        <f t="shared" ca="1" si="1106"/>
        <v>8783.9221661581178</v>
      </c>
      <c r="AO657" s="1122">
        <f ca="1">SUM(AH657:AN657)</f>
        <v>135732.15295162323</v>
      </c>
      <c r="AQ657" s="10">
        <f ca="1">AQ656*$L$85</f>
        <v>32126.834105749938</v>
      </c>
      <c r="AR657" s="10">
        <f t="shared" ref="AR657" ca="1" si="1107">AR656*$L$85</f>
        <v>13160.607909483229</v>
      </c>
      <c r="AS657" s="10">
        <f t="shared" ref="AS657" ca="1" si="1108">AS656*$L$85</f>
        <v>42026.99190426663</v>
      </c>
      <c r="AT657" s="10">
        <f t="shared" ref="AT657" ca="1" si="1109">AT656*$L$85</f>
        <v>27128.751073138668</v>
      </c>
      <c r="AU657" s="10">
        <f t="shared" ref="AU657" ca="1" si="1110">AU656*$L$85</f>
        <v>16127.724723087202</v>
      </c>
      <c r="AV657" s="10">
        <f t="shared" ref="AV657" ca="1" si="1111">AV656*$L$85</f>
        <v>12454.529370908618</v>
      </c>
      <c r="AW657" s="10"/>
      <c r="AX657" s="10">
        <f ca="1">SUM(AQ657:AW657)</f>
        <v>143025.43908663429</v>
      </c>
      <c r="AZ657" s="1122">
        <f t="shared" ref="AZ657:BE657" ca="1" si="1112">AZ656*$M$85</f>
        <v>8597.2106540054265</v>
      </c>
      <c r="BA657" s="1122">
        <f t="shared" ca="1" si="1112"/>
        <v>3386.1626060877479</v>
      </c>
      <c r="BB657" s="1122">
        <f t="shared" ca="1" si="1112"/>
        <v>10717.460269292547</v>
      </c>
      <c r="BC657" s="1122">
        <f t="shared" ca="1" si="1112"/>
        <v>6919.7572492374766</v>
      </c>
      <c r="BD657" s="1122">
        <f t="shared" ca="1" si="1112"/>
        <v>4075.7877860523995</v>
      </c>
      <c r="BE657" s="1122">
        <f t="shared" ca="1" si="1112"/>
        <v>3150.7829911860958</v>
      </c>
      <c r="BG657" s="1122">
        <f ca="1">SUM(AZ657:BF657)</f>
        <v>36847.161555861698</v>
      </c>
      <c r="BI657" s="1122">
        <f t="shared" ref="BI657:BN657" ca="1" si="1113">BI656*$N$85</f>
        <v>2685.2655279848154</v>
      </c>
      <c r="BJ657" s="1122">
        <f t="shared" ca="1" si="1113"/>
        <v>1053.5788202508782</v>
      </c>
      <c r="BK657" s="1122">
        <f t="shared" ca="1" si="1113"/>
        <v>3323.4840686222501</v>
      </c>
      <c r="BL657" s="1122">
        <f t="shared" ca="1" si="1113"/>
        <v>2143.219806104546</v>
      </c>
      <c r="BM657" s="1122">
        <f t="shared" ca="1" si="1113"/>
        <v>1266.2624906185131</v>
      </c>
      <c r="BN657" s="1122">
        <f t="shared" ca="1" si="1113"/>
        <v>980.38300109166437</v>
      </c>
      <c r="BP657" s="1122">
        <f ca="1">SUM(BI657:BO657)</f>
        <v>11452.193714672667</v>
      </c>
    </row>
    <row r="658" spans="2:68" ht="13.2" customHeight="1">
      <c r="G658" s="10"/>
      <c r="H658" s="10"/>
      <c r="I658" s="10"/>
      <c r="J658" s="10"/>
      <c r="K658" s="10"/>
      <c r="L658" s="10"/>
      <c r="M658" s="10"/>
      <c r="N658" s="186"/>
      <c r="O658" s="136">
        <f>ROW()</f>
        <v>658</v>
      </c>
    </row>
    <row r="659" spans="2:68" ht="13.2" customHeight="1">
      <c r="B659" s="308" t="s">
        <v>1010</v>
      </c>
      <c r="G659" s="10"/>
      <c r="H659" s="10"/>
      <c r="I659" s="10"/>
      <c r="J659" s="10"/>
      <c r="K659" s="10"/>
      <c r="L659" s="10"/>
      <c r="M659" s="10"/>
      <c r="N659" s="186"/>
      <c r="O659" s="136">
        <f>ROW()</f>
        <v>659</v>
      </c>
      <c r="P659" s="10"/>
      <c r="Q659" s="10"/>
      <c r="R659" s="10"/>
      <c r="S659" s="10"/>
      <c r="T659" s="10"/>
      <c r="U659" s="10"/>
      <c r="V659" s="10"/>
      <c r="W659" s="10"/>
      <c r="Y659" s="10"/>
      <c r="Z659" s="10"/>
      <c r="AA659" s="10"/>
      <c r="AB659" s="10"/>
      <c r="AC659" s="10"/>
      <c r="AD659" s="10"/>
      <c r="AE659" s="10"/>
      <c r="AF659" s="10"/>
      <c r="AH659" s="10"/>
      <c r="AI659" s="10"/>
      <c r="AJ659" s="10"/>
      <c r="AK659" s="10"/>
      <c r="AL659" s="10"/>
      <c r="AM659" s="10"/>
      <c r="AN659" s="10"/>
      <c r="AO659" s="10"/>
      <c r="AQ659" s="10"/>
      <c r="AR659" s="10"/>
      <c r="AS659" s="10"/>
      <c r="AT659" s="10"/>
      <c r="AU659" s="10"/>
      <c r="AV659" s="10"/>
      <c r="AW659" s="10"/>
      <c r="AX659" s="10"/>
      <c r="AZ659" s="10"/>
      <c r="BA659" s="10"/>
      <c r="BB659" s="10"/>
      <c r="BC659" s="10"/>
      <c r="BD659" s="10"/>
      <c r="BE659" s="10"/>
      <c r="BF659" s="10"/>
      <c r="BG659" s="10"/>
      <c r="BI659" s="10"/>
      <c r="BJ659" s="10"/>
      <c r="BK659" s="10"/>
      <c r="BL659" s="10"/>
      <c r="BM659" s="10"/>
      <c r="BN659" s="10"/>
      <c r="BO659" s="10"/>
      <c r="BP659" s="10"/>
    </row>
    <row r="660" spans="2:68" s="1122" customFormat="1" ht="13.2" customHeight="1">
      <c r="B660" s="1123" t="s">
        <v>1301</v>
      </c>
      <c r="G660" s="1122">
        <f t="shared" ref="G660:L660" ca="1" si="1114">P660+Y660+AH660+AQ660+AZ660+BI660</f>
        <v>145320.63252929834</v>
      </c>
      <c r="H660" s="1122">
        <f t="shared" ca="1" si="1114"/>
        <v>43947.955059067164</v>
      </c>
      <c r="I660" s="1122">
        <f t="shared" ca="1" si="1114"/>
        <v>131078.24610073684</v>
      </c>
      <c r="J660" s="1122">
        <f t="shared" ca="1" si="1114"/>
        <v>83396.285358582769</v>
      </c>
      <c r="K660" s="1122">
        <f t="shared" ca="1" si="1114"/>
        <v>47406.326862608643</v>
      </c>
      <c r="L660" s="1122">
        <f t="shared" ca="1" si="1114"/>
        <v>45903.702896489915</v>
      </c>
      <c r="N660" s="1127">
        <f ca="1">SUM(G660:M660)</f>
        <v>497053.14880678366</v>
      </c>
      <c r="O660" s="136">
        <f>ROW()</f>
        <v>660</v>
      </c>
      <c r="P660" s="1122">
        <f t="shared" ref="P660:W660" ca="1" si="1115">P$135*$W654</f>
        <v>24974.670695894911</v>
      </c>
      <c r="Q660" s="1122">
        <f t="shared" ca="1" si="1115"/>
        <v>7220.059457182484</v>
      </c>
      <c r="R660" s="1122">
        <f t="shared" ca="1" si="1115"/>
        <v>21266.363197253875</v>
      </c>
      <c r="S660" s="1122">
        <f t="shared" ca="1" si="1115"/>
        <v>13492.700933112146</v>
      </c>
      <c r="T660" s="1122">
        <f t="shared" ca="1" si="1115"/>
        <v>7601.6266608981377</v>
      </c>
      <c r="U660" s="1122">
        <f t="shared" ca="1" si="1115"/>
        <v>7666.1560057154302</v>
      </c>
      <c r="W660" s="1122">
        <f t="shared" ca="1" si="1115"/>
        <v>82221.576950056973</v>
      </c>
      <c r="Y660" s="1122">
        <f t="shared" ref="Y660:AD660" ca="1" si="1116">Y$135*$AF654</f>
        <v>69380.000893214601</v>
      </c>
      <c r="Z660" s="1122">
        <f t="shared" ca="1" si="1116"/>
        <v>20057.430894202771</v>
      </c>
      <c r="AA660" s="1122">
        <f t="shared" ca="1" si="1116"/>
        <v>59078.268361849565</v>
      </c>
      <c r="AB660" s="1122">
        <f t="shared" ca="1" si="1116"/>
        <v>37482.920763598653</v>
      </c>
      <c r="AC660" s="1122">
        <f t="shared" ca="1" si="1116"/>
        <v>21117.430173351018</v>
      </c>
      <c r="AD660" s="1122">
        <f t="shared" ca="1" si="1116"/>
        <v>21296.693638146098</v>
      </c>
      <c r="AF660" s="1122">
        <f ca="1">SUM(Y660:AE660)</f>
        <v>228412.74472436268</v>
      </c>
      <c r="AH660" s="10">
        <f t="shared" ref="AH660:AM660" ca="1" si="1117">AH$135*$AO654</f>
        <v>29440.508671264037</v>
      </c>
      <c r="AI660" s="10">
        <f t="shared" ca="1" si="1117"/>
        <v>8511.1121441597916</v>
      </c>
      <c r="AJ660" s="10">
        <f t="shared" ca="1" si="1117"/>
        <v>25069.101320239388</v>
      </c>
      <c r="AK660" s="10">
        <f t="shared" ca="1" si="1117"/>
        <v>15905.394055319959</v>
      </c>
      <c r="AL660" s="10">
        <f t="shared" ca="1" si="1117"/>
        <v>8960.9091687710952</v>
      </c>
      <c r="AM660" s="10">
        <f t="shared" ca="1" si="1117"/>
        <v>9036.9773083184464</v>
      </c>
      <c r="AO660" s="1122">
        <f ca="1">SUM(AH660:AN660)</f>
        <v>96924.002668072702</v>
      </c>
      <c r="AQ660" s="10">
        <f t="shared" ref="AQ660:AV660" ca="1" si="1118">AQ654</f>
        <v>16063.417052874969</v>
      </c>
      <c r="AR660" s="10">
        <f t="shared" ca="1" si="1118"/>
        <v>6580.3039547416147</v>
      </c>
      <c r="AS660" s="10">
        <f t="shared" ca="1" si="1118"/>
        <v>21013.495952133315</v>
      </c>
      <c r="AT660" s="10">
        <f t="shared" ca="1" si="1118"/>
        <v>13564.375536569334</v>
      </c>
      <c r="AU660" s="10">
        <f t="shared" ca="1" si="1118"/>
        <v>8063.8623615436009</v>
      </c>
      <c r="AV660" s="10">
        <f t="shared" ca="1" si="1118"/>
        <v>6227.2646854543091</v>
      </c>
      <c r="AW660" s="10"/>
      <c r="AX660" s="10">
        <f ca="1">SUM(AQ660:AW660)</f>
        <v>71512.719543317144</v>
      </c>
      <c r="AZ660" s="1122">
        <f t="shared" ref="AZ660:BE660" ca="1" si="1119">AZ$135*$BG654</f>
        <v>3724.6208874595923</v>
      </c>
      <c r="BA660" s="1122">
        <f t="shared" ca="1" si="1119"/>
        <v>1076.7703242366388</v>
      </c>
      <c r="BB660" s="1122">
        <f t="shared" ca="1" si="1119"/>
        <v>3171.5789781289627</v>
      </c>
      <c r="BC660" s="1122">
        <f t="shared" ca="1" si="1119"/>
        <v>2012.2465811721586</v>
      </c>
      <c r="BD660" s="1122">
        <f t="shared" ca="1" si="1119"/>
        <v>1133.675706262856</v>
      </c>
      <c r="BE660" s="1122">
        <f t="shared" ca="1" si="1119"/>
        <v>1143.2993504937317</v>
      </c>
      <c r="BG660" s="1122">
        <f ca="1">SUM(AZ660:BF660)</f>
        <v>12262.191827753939</v>
      </c>
      <c r="BI660" s="1122">
        <f t="shared" ref="BI660:BN660" ca="1" si="1120">BI$135*$BP654</f>
        <v>1737.4143285901957</v>
      </c>
      <c r="BJ660" s="1122">
        <f t="shared" ca="1" si="1120"/>
        <v>502.27828454386372</v>
      </c>
      <c r="BK660" s="1122">
        <f t="shared" ca="1" si="1120"/>
        <v>1479.4382911317152</v>
      </c>
      <c r="BL660" s="1122">
        <f t="shared" ca="1" si="1120"/>
        <v>938.64748881051617</v>
      </c>
      <c r="BM660" s="1122">
        <f t="shared" ca="1" si="1120"/>
        <v>528.82279178193664</v>
      </c>
      <c r="BN660" s="1122">
        <f t="shared" ca="1" si="1120"/>
        <v>533.31190836190126</v>
      </c>
      <c r="BP660" s="1122">
        <f ca="1">SUM(BI660:BO660)</f>
        <v>5719.9130932201288</v>
      </c>
    </row>
    <row r="661" spans="2:68" ht="13.2" customHeight="1">
      <c r="B661" s="309"/>
      <c r="O661" s="136">
        <f>ROW()</f>
        <v>661</v>
      </c>
    </row>
    <row r="662" spans="2:68" ht="13.2" customHeight="1">
      <c r="B662" s="280" t="s">
        <v>1047</v>
      </c>
      <c r="G662" s="10"/>
      <c r="H662" s="10"/>
      <c r="I662" s="10"/>
      <c r="J662" s="10"/>
      <c r="K662" s="10"/>
      <c r="L662" s="10"/>
      <c r="M662" s="10"/>
      <c r="N662" s="186"/>
      <c r="O662" s="136">
        <f>ROW()</f>
        <v>662</v>
      </c>
      <c r="P662" s="10">
        <f t="shared" ref="P662:U662" ca="1" si="1121">P660*$W656/$W654</f>
        <v>25007.937736042531</v>
      </c>
      <c r="Q662" s="10">
        <f t="shared" ca="1" si="1121"/>
        <v>7229.6768015212729</v>
      </c>
      <c r="R662" s="10">
        <f t="shared" ca="1" si="1121"/>
        <v>21294.690656177816</v>
      </c>
      <c r="S662" s="10">
        <f t="shared" ca="1" si="1121"/>
        <v>13510.673631495529</v>
      </c>
      <c r="T662" s="10">
        <f t="shared" ca="1" si="1121"/>
        <v>7611.7522646506177</v>
      </c>
      <c r="U662" s="10">
        <f t="shared" ca="1" si="1121"/>
        <v>7676.3675645674148</v>
      </c>
      <c r="V662" s="10"/>
      <c r="W662" s="10">
        <f ca="1">SUM(P662:V662)</f>
        <v>82331.098654455171</v>
      </c>
      <c r="Y662" s="10">
        <f t="shared" ref="Y662:AD662" ca="1" si="1122">Y660*$AF656/$AF654</f>
        <v>69485.594716883308</v>
      </c>
      <c r="Z662" s="10">
        <f t="shared" ca="1" si="1122"/>
        <v>20087.957570389321</v>
      </c>
      <c r="AA662" s="10">
        <f t="shared" ca="1" si="1122"/>
        <v>59168.183325408805</v>
      </c>
      <c r="AB662" s="10">
        <f t="shared" ca="1" si="1122"/>
        <v>37539.968397999684</v>
      </c>
      <c r="AC662" s="10">
        <f t="shared" ca="1" si="1122"/>
        <v>21149.570129669166</v>
      </c>
      <c r="AD662" s="10">
        <f t="shared" ca="1" si="1122"/>
        <v>21329.106426900802</v>
      </c>
      <c r="AE662" s="10"/>
      <c r="AF662" s="10">
        <f ca="1">SUM(Y662:AE662)</f>
        <v>228760.38056725106</v>
      </c>
      <c r="AH662" s="10">
        <f t="shared" ref="AH662:AM662" ca="1" si="1123">AH660*$AO656/$AO654</f>
        <v>29448.872429806375</v>
      </c>
      <c r="AI662" s="10">
        <f t="shared" ca="1" si="1123"/>
        <v>8513.5300672906505</v>
      </c>
      <c r="AJ662" s="10">
        <f t="shared" ca="1" si="1123"/>
        <v>25076.223205009013</v>
      </c>
      <c r="AK662" s="10">
        <f t="shared" ca="1" si="1123"/>
        <v>15909.912621112584</v>
      </c>
      <c r="AL662" s="10">
        <f t="shared" ca="1" si="1123"/>
        <v>8963.4548748064171</v>
      </c>
      <c r="AM662" s="10">
        <f t="shared" ca="1" si="1123"/>
        <v>9039.5446245629901</v>
      </c>
      <c r="AN662" s="10"/>
      <c r="AO662" s="10">
        <f ca="1">SUM(AH662:AN662)</f>
        <v>96951.537822588027</v>
      </c>
      <c r="AQ662" s="10">
        <f t="shared" ref="AQ662:AV662" ca="1" si="1124">AQ660*$AX656/$AX654</f>
        <v>16063.417052874971</v>
      </c>
      <c r="AR662" s="10">
        <f t="shared" ca="1" si="1124"/>
        <v>6580.3039547416147</v>
      </c>
      <c r="AS662" s="10">
        <f t="shared" ca="1" si="1124"/>
        <v>21013.495952133315</v>
      </c>
      <c r="AT662" s="10">
        <f t="shared" ca="1" si="1124"/>
        <v>13564.375536569334</v>
      </c>
      <c r="AU662" s="10">
        <f t="shared" ca="1" si="1124"/>
        <v>8063.8623615436018</v>
      </c>
      <c r="AV662" s="10">
        <f t="shared" ca="1" si="1124"/>
        <v>6227.2646854543091</v>
      </c>
      <c r="AW662" s="10"/>
      <c r="AX662" s="10">
        <f ca="1">SUM(AQ662:AW662)</f>
        <v>71512.719543317144</v>
      </c>
      <c r="AZ662" s="10">
        <f t="shared" ref="AZ662:BE662" ca="1" si="1125">AZ660*$BG656/$BG654</f>
        <v>3730.7551945683717</v>
      </c>
      <c r="BA662" s="10">
        <f t="shared" ca="1" si="1125"/>
        <v>1078.5437234775459</v>
      </c>
      <c r="BB662" s="10">
        <f t="shared" ca="1" si="1125"/>
        <v>3176.802446519288</v>
      </c>
      <c r="BC662" s="10">
        <f t="shared" ca="1" si="1125"/>
        <v>2015.5606737685516</v>
      </c>
      <c r="BD662" s="10">
        <f t="shared" ca="1" si="1125"/>
        <v>1135.5428264756522</v>
      </c>
      <c r="BE662" s="10">
        <f t="shared" ca="1" si="1125"/>
        <v>1145.1823204778204</v>
      </c>
      <c r="BF662" s="10"/>
      <c r="BG662" s="10">
        <f ca="1">SUM(AZ662:BF662)</f>
        <v>12282.387185287231</v>
      </c>
      <c r="BI662" s="10">
        <f t="shared" ref="BI662:BN662" ca="1" si="1126">BI660*$BP656/$BP654</f>
        <v>1739.2926369149936</v>
      </c>
      <c r="BJ662" s="10">
        <f t="shared" ca="1" si="1126"/>
        <v>502.82129461791413</v>
      </c>
      <c r="BK662" s="10">
        <f t="shared" ca="1" si="1126"/>
        <v>1481.0377030926563</v>
      </c>
      <c r="BL662" s="10">
        <f t="shared" ca="1" si="1126"/>
        <v>939.66225504288286</v>
      </c>
      <c r="BM662" s="10">
        <f t="shared" ca="1" si="1126"/>
        <v>529.39449896530766</v>
      </c>
      <c r="BN662" s="10">
        <f t="shared" ca="1" si="1126"/>
        <v>533.88846870257885</v>
      </c>
      <c r="BO662" s="10"/>
      <c r="BP662" s="10">
        <f ca="1">SUM(BI662:BO662)</f>
        <v>5726.0968573363334</v>
      </c>
    </row>
    <row r="663" spans="2:68" ht="13.2" customHeight="1">
      <c r="B663" s="309"/>
      <c r="C663" s="309"/>
      <c r="D663" s="309"/>
      <c r="E663" s="309"/>
      <c r="F663" s="309"/>
      <c r="G663" s="10"/>
      <c r="H663" s="10"/>
      <c r="I663" s="10"/>
      <c r="J663" s="10"/>
      <c r="K663" s="10"/>
      <c r="L663" s="10"/>
      <c r="M663" s="10"/>
      <c r="N663" s="186"/>
      <c r="O663" s="136">
        <f>ROW()</f>
        <v>663</v>
      </c>
      <c r="AQ663" s="10"/>
      <c r="AR663" s="10"/>
      <c r="AS663" s="10"/>
      <c r="AT663" s="10"/>
      <c r="AU663" s="10"/>
      <c r="AV663" s="10"/>
    </row>
    <row r="664" spans="2:68" s="1122" customFormat="1" ht="13.2" customHeight="1">
      <c r="B664" s="1123" t="s">
        <v>1010</v>
      </c>
      <c r="G664" s="1122">
        <f t="shared" ref="G664:L664" ca="1" si="1127">P664+Y664+AH664+AQ664+AZ664+BI664</f>
        <v>221734.69651796526</v>
      </c>
      <c r="H664" s="1122">
        <f t="shared" ca="1" si="1127"/>
        <v>67007.123343853687</v>
      </c>
      <c r="I664" s="1122">
        <f t="shared" ca="1" si="1127"/>
        <v>199813.75013333571</v>
      </c>
      <c r="J664" s="1122">
        <f t="shared" ca="1" si="1127"/>
        <v>127122.41055004585</v>
      </c>
      <c r="K664" s="1122">
        <f t="shared" ca="1" si="1127"/>
        <v>72252.031435881639</v>
      </c>
      <c r="L664" s="1122">
        <f t="shared" ca="1" si="1127"/>
        <v>70007.794388610593</v>
      </c>
      <c r="N664" s="1127">
        <f ca="1">SUM(G664:M664)</f>
        <v>757937.80636969279</v>
      </c>
      <c r="O664" s="136">
        <f>ROW()</f>
        <v>664</v>
      </c>
      <c r="P664" s="1122">
        <f t="shared" ref="P664:U664" ca="1" si="1128">P662*$I$85</f>
        <v>37511.906604063799</v>
      </c>
      <c r="Q664" s="1122">
        <f t="shared" ca="1" si="1128"/>
        <v>10844.515202281909</v>
      </c>
      <c r="R664" s="1122">
        <f t="shared" ca="1" si="1128"/>
        <v>31942.035984266724</v>
      </c>
      <c r="S664" s="1122">
        <f t="shared" ca="1" si="1128"/>
        <v>20266.010447243294</v>
      </c>
      <c r="T664" s="1122">
        <f t="shared" ca="1" si="1128"/>
        <v>11417.628396975926</v>
      </c>
      <c r="U664" s="1122">
        <f t="shared" ca="1" si="1128"/>
        <v>11514.551346851122</v>
      </c>
      <c r="W664" s="1122">
        <f ca="1">SUM(P664:V664)</f>
        <v>123496.64798168278</v>
      </c>
      <c r="Y664" s="1122">
        <f t="shared" ref="Y664:AD664" ca="1" si="1129">Y662*$J$85</f>
        <v>104228.39207532495</v>
      </c>
      <c r="Z664" s="1122">
        <f t="shared" ca="1" si="1129"/>
        <v>30131.936355583981</v>
      </c>
      <c r="AA664" s="1122">
        <f t="shared" ca="1" si="1129"/>
        <v>88752.274988113204</v>
      </c>
      <c r="AB664" s="1122">
        <f t="shared" ca="1" si="1129"/>
        <v>56309.95259699953</v>
      </c>
      <c r="AC664" s="1122">
        <f t="shared" ca="1" si="1129"/>
        <v>31724.355194503747</v>
      </c>
      <c r="AD664" s="1122">
        <f t="shared" ca="1" si="1129"/>
        <v>31993.659640351201</v>
      </c>
      <c r="AF664" s="1122">
        <f ca="1">SUM(Y664:AE664)</f>
        <v>343140.57085087657</v>
      </c>
      <c r="AH664" s="1122">
        <f t="shared" ref="AH664:AM664" ca="1" si="1130">AH662*$K$85</f>
        <v>41228.421401728927</v>
      </c>
      <c r="AI664" s="1122">
        <f t="shared" ca="1" si="1130"/>
        <v>11918.942094206912</v>
      </c>
      <c r="AJ664" s="1122">
        <f t="shared" ca="1" si="1130"/>
        <v>35106.712487012621</v>
      </c>
      <c r="AK664" s="1122">
        <f t="shared" ca="1" si="1130"/>
        <v>22273.87766955762</v>
      </c>
      <c r="AL664" s="1122">
        <f t="shared" ca="1" si="1130"/>
        <v>12548.836824728985</v>
      </c>
      <c r="AM664" s="1122">
        <f t="shared" ca="1" si="1130"/>
        <v>12655.362474388186</v>
      </c>
      <c r="AO664" s="1122">
        <f ca="1">SUM(AH664:AN664)</f>
        <v>135732.15295162325</v>
      </c>
      <c r="AQ664" s="10">
        <f ca="1">AQ662*$L$85*Taxis!$L$130</f>
        <v>24095.125579312458</v>
      </c>
      <c r="AR664" s="10">
        <f ca="1">AR662*$L$85*Taxis!$L$130</f>
        <v>9870.4559321124216</v>
      </c>
      <c r="AS664" s="10">
        <f ca="1">AS662*$L$85*Taxis!$L$130</f>
        <v>31520.243928199972</v>
      </c>
      <c r="AT664" s="10">
        <f ca="1">AT662*$L$85*Taxis!$L$130</f>
        <v>20346.563304854</v>
      </c>
      <c r="AU664" s="10">
        <f ca="1">AU662*$L$85*Taxis!$L$130</f>
        <v>12095.793542315403</v>
      </c>
      <c r="AV664" s="10">
        <f ca="1">AV662*$L$85*Taxis!$L$130</f>
        <v>9340.8970281814636</v>
      </c>
      <c r="AW664" s="10"/>
      <c r="AX664" s="10">
        <f ca="1">SUM(AQ664:AW664)</f>
        <v>107269.07931497572</v>
      </c>
      <c r="AZ664" s="1122">
        <f t="shared" ref="AZ664:BE664" ca="1" si="1131">AZ662*$M$85</f>
        <v>11192.265583705115</v>
      </c>
      <c r="BA664" s="1122">
        <f t="shared" ca="1" si="1131"/>
        <v>3235.6311704326376</v>
      </c>
      <c r="BB664" s="1122">
        <f t="shared" ca="1" si="1131"/>
        <v>9530.4073395578635</v>
      </c>
      <c r="BC664" s="1122">
        <f t="shared" ca="1" si="1131"/>
        <v>6046.6820213056544</v>
      </c>
      <c r="BD664" s="1122">
        <f t="shared" ca="1" si="1131"/>
        <v>3406.6284794269568</v>
      </c>
      <c r="BE664" s="1122">
        <f t="shared" ca="1" si="1131"/>
        <v>3435.5469614334615</v>
      </c>
      <c r="BG664" s="1122">
        <f ca="1">SUM(AZ664:BF664)</f>
        <v>36847.16155586169</v>
      </c>
      <c r="BI664" s="1122">
        <f t="shared" ref="BI664:BN664" ca="1" si="1132">BI662*$N$85</f>
        <v>3478.5852738299873</v>
      </c>
      <c r="BJ664" s="1122">
        <f t="shared" ca="1" si="1132"/>
        <v>1005.6425892358283</v>
      </c>
      <c r="BK664" s="1122">
        <f t="shared" ca="1" si="1132"/>
        <v>2962.0754061853127</v>
      </c>
      <c r="BL664" s="1122">
        <f t="shared" ca="1" si="1132"/>
        <v>1879.3245100857657</v>
      </c>
      <c r="BM664" s="1122">
        <f t="shared" ca="1" si="1132"/>
        <v>1058.7889979306153</v>
      </c>
      <c r="BN664" s="1122">
        <f t="shared" ca="1" si="1132"/>
        <v>1067.7769374051577</v>
      </c>
      <c r="BP664" s="1122">
        <f ca="1">SUM(BI664:BO664)</f>
        <v>11452.193714672667</v>
      </c>
    </row>
    <row r="665" spans="2:68" ht="13.2" customHeight="1">
      <c r="O665" s="136">
        <f>ROW()</f>
        <v>665</v>
      </c>
      <c r="AQ665"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665" s="10"/>
      <c r="AS665" s="10"/>
      <c r="AT665" s="10"/>
      <c r="AU665" s="10"/>
      <c r="AV665" s="10"/>
    </row>
    <row r="666" spans="2:68" ht="13.2" customHeight="1">
      <c r="B666" s="308" t="s">
        <v>1431</v>
      </c>
      <c r="O666" s="136">
        <f>ROW()</f>
        <v>666</v>
      </c>
      <c r="AQ666" s="265" t="str">
        <f>CONCATENATE("Row ",O668, " figures are set equal to ",O667, " figures, since rebound effects are presumed accounted for by taxi time-elasticity.")</f>
        <v>Row 668 figures are set equal to 667 figures, since rebound effects are presumed accounted for by taxi time-elasticity.</v>
      </c>
    </row>
    <row r="667" spans="2:68" s="1122" customFormat="1" ht="13.2" customHeight="1">
      <c r="B667" s="1123" t="s">
        <v>1112</v>
      </c>
      <c r="G667" s="1122">
        <f t="shared" ref="G667:L669" ca="1" si="1133">P667+Y667+AH667+AQ667+AZ667+BI667</f>
        <v>490071.64975963649</v>
      </c>
      <c r="H667" s="1122">
        <f t="shared" ca="1" si="1133"/>
        <v>115630.54671283455</v>
      </c>
      <c r="I667" s="1122">
        <f t="shared" ca="1" si="1133"/>
        <v>324013.5785124416</v>
      </c>
      <c r="J667" s="1122">
        <f t="shared" ca="1" si="1133"/>
        <v>205239.98429974623</v>
      </c>
      <c r="K667" s="1122">
        <f t="shared" ca="1" si="1133"/>
        <v>130175.22695345746</v>
      </c>
      <c r="L667" s="1122">
        <f t="shared" ca="1" si="1133"/>
        <v>123904.69500751099</v>
      </c>
      <c r="N667" s="1127">
        <f ca="1">SUM(G667:M667)</f>
        <v>1389035.6812456273</v>
      </c>
      <c r="O667" s="136">
        <f>ROW()</f>
        <v>667</v>
      </c>
      <c r="P667" s="1122">
        <f t="shared" ref="P667:U667" ca="1" si="1134">P620</f>
        <v>11030.348291947021</v>
      </c>
      <c r="Q667" s="1122">
        <f t="shared" ca="1" si="1134"/>
        <v>3895.4971885147306</v>
      </c>
      <c r="R667" s="1122">
        <f t="shared" ca="1" si="1134"/>
        <v>12224.667330011524</v>
      </c>
      <c r="S667" s="1122">
        <f t="shared" ca="1" si="1134"/>
        <v>7830.789983796446</v>
      </c>
      <c r="T667" s="1122">
        <f t="shared" ca="1" si="1134"/>
        <v>4554.8883582513436</v>
      </c>
      <c r="U667" s="1122">
        <f t="shared" ca="1" si="1134"/>
        <v>4033.5832320285767</v>
      </c>
      <c r="W667" s="1122">
        <f ca="1">SUM(P667:V667)</f>
        <v>43569.774384549637</v>
      </c>
      <c r="Y667" s="1122">
        <f t="shared" ref="Y667:AD667" ca="1" si="1135">Y620</f>
        <v>33091.044875841064</v>
      </c>
      <c r="Z667" s="1122">
        <f t="shared" ca="1" si="1135"/>
        <v>11686.491565544189</v>
      </c>
      <c r="AA667" s="1122">
        <f t="shared" ca="1" si="1135"/>
        <v>36674.001990034565</v>
      </c>
      <c r="AB667" s="1122">
        <f t="shared" ca="1" si="1135"/>
        <v>23492.369951389341</v>
      </c>
      <c r="AC667" s="1122">
        <f t="shared" ca="1" si="1135"/>
        <v>13664.665074754026</v>
      </c>
      <c r="AD667" s="1122">
        <f t="shared" ca="1" si="1135"/>
        <v>12100.74969608573</v>
      </c>
      <c r="AF667" s="1122">
        <f ca="1">SUM(Y667:AE667)</f>
        <v>130709.3231536489</v>
      </c>
      <c r="AH667" s="1122">
        <f t="shared" ref="AH667:AM667" ca="1" si="1136">AH620</f>
        <v>0</v>
      </c>
      <c r="AI667" s="1122">
        <f t="shared" ca="1" si="1136"/>
        <v>0</v>
      </c>
      <c r="AJ667" s="1122">
        <f t="shared" ca="1" si="1136"/>
        <v>0</v>
      </c>
      <c r="AK667" s="1122">
        <f t="shared" ca="1" si="1136"/>
        <v>0</v>
      </c>
      <c r="AL667" s="1122">
        <f t="shared" ca="1" si="1136"/>
        <v>0</v>
      </c>
      <c r="AM667" s="1122">
        <f t="shared" ca="1" si="1136"/>
        <v>0</v>
      </c>
      <c r="AO667" s="1122">
        <f ca="1">SUM(AH667:AN667)</f>
        <v>0</v>
      </c>
      <c r="AQ667" s="1122">
        <f t="shared" ref="AQ667:AV667" si="1137">AQ620</f>
        <v>438656.72193199908</v>
      </c>
      <c r="AR667" s="1122">
        <f t="shared" si="1137"/>
        <v>97563.564894963914</v>
      </c>
      <c r="AS667" s="1122">
        <f t="shared" si="1137"/>
        <v>267453.00942252984</v>
      </c>
      <c r="AT667" s="1122">
        <f t="shared" si="1137"/>
        <v>169012.18827727382</v>
      </c>
      <c r="AU667" s="1122">
        <f t="shared" si="1137"/>
        <v>109114.24796886933</v>
      </c>
      <c r="AV667" s="1122">
        <f t="shared" si="1137"/>
        <v>105261.8059659023</v>
      </c>
      <c r="AX667" s="1122">
        <f>SUM(AQ667:AW667)</f>
        <v>1187061.5384615383</v>
      </c>
      <c r="AZ667" s="1122">
        <f t="shared" ref="AZ667:BE667" ca="1" si="1138">AZ620</f>
        <v>4159.9273384651378</v>
      </c>
      <c r="BA667" s="1122">
        <f t="shared" ca="1" si="1138"/>
        <v>1411.2086366519834</v>
      </c>
      <c r="BB667" s="1122">
        <f t="shared" ca="1" si="1138"/>
        <v>4341.8318389380929</v>
      </c>
      <c r="BC667" s="1122">
        <f t="shared" ca="1" si="1138"/>
        <v>2779.1186605213734</v>
      </c>
      <c r="BD667" s="1122">
        <f t="shared" ca="1" si="1138"/>
        <v>1609.2546078732705</v>
      </c>
      <c r="BE667" s="1122">
        <f t="shared" ca="1" si="1138"/>
        <v>1420.2050542593061</v>
      </c>
      <c r="BG667" s="1122">
        <f ca="1">SUM(AZ667:BF667)</f>
        <v>15721.546136709163</v>
      </c>
      <c r="BI667" s="1122">
        <f t="shared" ref="BI667:BN667" ca="1" si="1139">BI620</f>
        <v>3133.6073213841778</v>
      </c>
      <c r="BJ667" s="1122">
        <f t="shared" ca="1" si="1139"/>
        <v>1073.7844271597437</v>
      </c>
      <c r="BK667" s="1122">
        <f t="shared" ca="1" si="1139"/>
        <v>3320.0679309275502</v>
      </c>
      <c r="BL667" s="1122">
        <f t="shared" ca="1" si="1139"/>
        <v>2125.5174267652546</v>
      </c>
      <c r="BM667" s="1122">
        <f t="shared" ca="1" si="1139"/>
        <v>1232.1709437095035</v>
      </c>
      <c r="BN667" s="1122">
        <f t="shared" ca="1" si="1139"/>
        <v>1088.3510592350851</v>
      </c>
      <c r="BP667" s="1122">
        <f ca="1">SUM(BI667:BO667)</f>
        <v>11973.499109181314</v>
      </c>
    </row>
    <row r="668" spans="2:68" s="1122" customFormat="1" ht="13.2" customHeight="1">
      <c r="B668" s="1123" t="s">
        <v>114</v>
      </c>
      <c r="G668" s="1122">
        <f t="shared" ca="1" si="1133"/>
        <v>490074.86042372754</v>
      </c>
      <c r="H668" s="1122">
        <f t="shared" ca="1" si="1133"/>
        <v>115627.69193802253</v>
      </c>
      <c r="I668" s="1122">
        <f t="shared" ca="1" si="1133"/>
        <v>324021.21822860744</v>
      </c>
      <c r="J668" s="1122">
        <f t="shared" ca="1" si="1133"/>
        <v>205258.88037870071</v>
      </c>
      <c r="K668" s="1122">
        <f t="shared" ca="1" si="1133"/>
        <v>130164.32045877221</v>
      </c>
      <c r="L668" s="1122">
        <f t="shared" ca="1" si="1133"/>
        <v>123899.90094971244</v>
      </c>
      <c r="N668" s="1127">
        <f ca="1">SUM(G668:M668)</f>
        <v>1389046.8723775428</v>
      </c>
      <c r="O668" s="136">
        <f>ROW()</f>
        <v>668</v>
      </c>
      <c r="P668" s="1122">
        <f t="shared" ref="P668:U668" ca="1" si="1140">P667*P647</f>
        <v>11031.100600133974</v>
      </c>
      <c r="Q668" s="1122">
        <f t="shared" ca="1" si="1140"/>
        <v>3894.8268320495649</v>
      </c>
      <c r="R668" s="1122">
        <f t="shared" ca="1" si="1140"/>
        <v>12226.463147037557</v>
      </c>
      <c r="S668" s="1122">
        <f t="shared" ca="1" si="1140"/>
        <v>7835.231968003236</v>
      </c>
      <c r="T668" s="1122">
        <f t="shared" ca="1" si="1140"/>
        <v>4552.3239746788204</v>
      </c>
      <c r="U668" s="1122">
        <f t="shared" ca="1" si="1140"/>
        <v>4032.455827653167</v>
      </c>
      <c r="W668" s="1122">
        <f ca="1">SUM(P668:V668)</f>
        <v>43572.402349556323</v>
      </c>
      <c r="Y668" s="1122">
        <f t="shared" ref="Y668:AD668" ca="1" si="1141">Y667*Y647</f>
        <v>33093.301800401925</v>
      </c>
      <c r="Z668" s="1122">
        <f t="shared" ca="1" si="1141"/>
        <v>11684.480496148692</v>
      </c>
      <c r="AA668" s="1122">
        <f t="shared" ca="1" si="1141"/>
        <v>36679.389441112668</v>
      </c>
      <c r="AB668" s="1122">
        <f t="shared" ca="1" si="1141"/>
        <v>23505.69590400971</v>
      </c>
      <c r="AC668" s="1122">
        <f t="shared" ca="1" si="1141"/>
        <v>13656.971924036456</v>
      </c>
      <c r="AD668" s="1122">
        <f t="shared" ca="1" si="1141"/>
        <v>12097.3674829595</v>
      </c>
      <c r="AF668" s="1122">
        <f ca="1">SUM(Y668:AE668)</f>
        <v>130717.20704866895</v>
      </c>
      <c r="AH668" s="1122">
        <f t="shared" ref="AH668:AM668" ca="1" si="1142">AH667*AH647</f>
        <v>0</v>
      </c>
      <c r="AI668" s="1122">
        <f t="shared" ca="1" si="1142"/>
        <v>0</v>
      </c>
      <c r="AJ668" s="1122">
        <f t="shared" ca="1" si="1142"/>
        <v>0</v>
      </c>
      <c r="AK668" s="1122">
        <f t="shared" ca="1" si="1142"/>
        <v>0</v>
      </c>
      <c r="AL668" s="1122">
        <f t="shared" ca="1" si="1142"/>
        <v>0</v>
      </c>
      <c r="AM668" s="1122">
        <f t="shared" ca="1" si="1142"/>
        <v>0</v>
      </c>
      <c r="AO668" s="1122">
        <f ca="1">SUM(AH668:AN668)</f>
        <v>0</v>
      </c>
      <c r="AQ668" s="1122">
        <f t="shared" ref="AQ668:AV668" si="1143">AQ667</f>
        <v>438656.72193199908</v>
      </c>
      <c r="AR668" s="1122">
        <f t="shared" si="1143"/>
        <v>97563.564894963914</v>
      </c>
      <c r="AS668" s="1122">
        <f t="shared" si="1143"/>
        <v>267453.00942252984</v>
      </c>
      <c r="AT668" s="1122">
        <f t="shared" si="1143"/>
        <v>169012.18827727382</v>
      </c>
      <c r="AU668" s="1122">
        <f t="shared" si="1143"/>
        <v>109114.24796886933</v>
      </c>
      <c r="AV668" s="1122">
        <f t="shared" si="1143"/>
        <v>105261.8059659023</v>
      </c>
      <c r="AX668" s="1122">
        <f>SUM(AQ668:AW668)</f>
        <v>1187061.5384615383</v>
      </c>
      <c r="AZ668" s="1122">
        <f t="shared" ref="AZ668:BE668" ca="1" si="1144">AZ667*AZ647</f>
        <v>4160.0219101614866</v>
      </c>
      <c r="BA668" s="1122">
        <f t="shared" ca="1" si="1144"/>
        <v>1411.1276827490931</v>
      </c>
      <c r="BB668" s="1122">
        <f t="shared" ca="1" si="1144"/>
        <v>4342.0444351464703</v>
      </c>
      <c r="BC668" s="1122">
        <f t="shared" ca="1" si="1144"/>
        <v>2779.6440424977354</v>
      </c>
      <c r="BD668" s="1122">
        <f t="shared" ca="1" si="1144"/>
        <v>1608.9525499196179</v>
      </c>
      <c r="BE668" s="1122">
        <f t="shared" ca="1" si="1144"/>
        <v>1420.0727240623119</v>
      </c>
      <c r="BG668" s="1122">
        <f ca="1">SUM(AZ668:BF668)</f>
        <v>15721.863344536716</v>
      </c>
      <c r="BI668" s="1122">
        <f t="shared" ref="BI668:BN668" ca="1" si="1145">BI667*BI647</f>
        <v>3133.7141810310891</v>
      </c>
      <c r="BJ668" s="1122">
        <f t="shared" ca="1" si="1145"/>
        <v>1073.6920321112755</v>
      </c>
      <c r="BK668" s="1122">
        <f t="shared" ca="1" si="1145"/>
        <v>3320.3117827808724</v>
      </c>
      <c r="BL668" s="1122">
        <f t="shared" ca="1" si="1145"/>
        <v>2126.1201869161932</v>
      </c>
      <c r="BM668" s="1122">
        <f t="shared" ca="1" si="1145"/>
        <v>1231.8240412679816</v>
      </c>
      <c r="BN668" s="1122">
        <f t="shared" ca="1" si="1145"/>
        <v>1088.198949135161</v>
      </c>
      <c r="BP668" s="1122">
        <f ca="1">SUM(BI668:BO668)</f>
        <v>11973.861173242572</v>
      </c>
    </row>
    <row r="669" spans="2:68" s="1122" customFormat="1" ht="13.2" customHeight="1">
      <c r="B669" s="1123" t="s">
        <v>1880</v>
      </c>
      <c r="G669" s="1122">
        <f t="shared" ca="1" si="1133"/>
        <v>3.2106640910742499</v>
      </c>
      <c r="H669" s="1122">
        <f t="shared" ca="1" si="1133"/>
        <v>-2.8547748120217875</v>
      </c>
      <c r="I669" s="1122">
        <f t="shared" ca="1" si="1133"/>
        <v>7.6397161658355799</v>
      </c>
      <c r="J669" s="1122">
        <f t="shared" ca="1" si="1133"/>
        <v>18.896078954459881</v>
      </c>
      <c r="K669" s="1122">
        <f t="shared" ca="1" si="1133"/>
        <v>-10.906494685268171</v>
      </c>
      <c r="L669" s="1122">
        <f t="shared" ca="1" si="1133"/>
        <v>-4.7940577985575601</v>
      </c>
      <c r="N669" s="1127">
        <f ca="1">W669+AF669+AO669+AX669+BG669+BP669</f>
        <v>11.191131915542428</v>
      </c>
      <c r="O669" s="136">
        <f>ROW()</f>
        <v>669</v>
      </c>
      <c r="P669" s="1122">
        <f t="shared" ref="P669:W669" ca="1" si="1146">P668-P667</f>
        <v>0.75230818695308699</v>
      </c>
      <c r="Q669" s="1122">
        <f t="shared" ca="1" si="1146"/>
        <v>-0.67035646516569614</v>
      </c>
      <c r="R669" s="1122">
        <f t="shared" ca="1" si="1146"/>
        <v>1.7958170260335464</v>
      </c>
      <c r="S669" s="1122">
        <f t="shared" ca="1" si="1146"/>
        <v>4.441984206790039</v>
      </c>
      <c r="T669" s="1122">
        <f t="shared" ca="1" si="1146"/>
        <v>-2.5643835725231838</v>
      </c>
      <c r="U669" s="1122">
        <f t="shared" ca="1" si="1146"/>
        <v>-1.1274043754096965</v>
      </c>
      <c r="W669" s="1131">
        <f t="shared" ca="1" si="1146"/>
        <v>2.6279650066862814</v>
      </c>
      <c r="Y669" s="1122">
        <f t="shared" ref="Y669:AF669" ca="1" si="1147">Y668-Y667</f>
        <v>2.25692456086108</v>
      </c>
      <c r="Z669" s="1122">
        <f t="shared" ca="1" si="1147"/>
        <v>-2.0110693954975432</v>
      </c>
      <c r="AA669" s="1122">
        <f t="shared" ca="1" si="1147"/>
        <v>5.3874510781024583</v>
      </c>
      <c r="AB669" s="1122">
        <f t="shared" ca="1" si="1147"/>
        <v>13.325952620369208</v>
      </c>
      <c r="AC669" s="1122">
        <f t="shared" ca="1" si="1147"/>
        <v>-7.693150717570461</v>
      </c>
      <c r="AD669" s="1122">
        <f t="shared" ca="1" si="1147"/>
        <v>-3.3822131262295443</v>
      </c>
      <c r="AF669" s="1131">
        <f t="shared" ca="1" si="1147"/>
        <v>7.8838950200442923</v>
      </c>
      <c r="AH669" s="1122">
        <f t="shared" ref="AH669:AO669" ca="1" si="1148">AH668-AH667</f>
        <v>0</v>
      </c>
      <c r="AI669" s="1122">
        <f t="shared" ca="1" si="1148"/>
        <v>0</v>
      </c>
      <c r="AJ669" s="1122">
        <f t="shared" ca="1" si="1148"/>
        <v>0</v>
      </c>
      <c r="AK669" s="1122">
        <f t="shared" ca="1" si="1148"/>
        <v>0</v>
      </c>
      <c r="AL669" s="1122">
        <f t="shared" ca="1" si="1148"/>
        <v>0</v>
      </c>
      <c r="AM669" s="1122">
        <f t="shared" ca="1" si="1148"/>
        <v>0</v>
      </c>
      <c r="AO669" s="1131">
        <f t="shared" ca="1" si="1148"/>
        <v>0</v>
      </c>
      <c r="AQ669" s="10">
        <f t="shared" ref="AQ669:AX669" si="1149">AQ668-AQ667</f>
        <v>0</v>
      </c>
      <c r="AR669" s="10">
        <f t="shared" si="1149"/>
        <v>0</v>
      </c>
      <c r="AS669" s="10">
        <f t="shared" si="1149"/>
        <v>0</v>
      </c>
      <c r="AT669" s="10">
        <f t="shared" si="1149"/>
        <v>0</v>
      </c>
      <c r="AU669" s="10">
        <f t="shared" si="1149"/>
        <v>0</v>
      </c>
      <c r="AV669" s="10">
        <f t="shared" si="1149"/>
        <v>0</v>
      </c>
      <c r="AW669" s="10"/>
      <c r="AX669" s="138">
        <f t="shared" si="1149"/>
        <v>0</v>
      </c>
      <c r="AZ669" s="1122">
        <f t="shared" ref="AZ669:BG669" ca="1" si="1150">AZ668-AZ667</f>
        <v>9.4571696348793921E-2</v>
      </c>
      <c r="BA669" s="1122">
        <f t="shared" ca="1" si="1150"/>
        <v>-8.0953902890314566E-2</v>
      </c>
      <c r="BB669" s="1122">
        <f t="shared" ca="1" si="1150"/>
        <v>0.21259620837736293</v>
      </c>
      <c r="BC669" s="1122">
        <f t="shared" ca="1" si="1150"/>
        <v>0.52538197636204131</v>
      </c>
      <c r="BD669" s="1122">
        <f t="shared" ca="1" si="1150"/>
        <v>-0.30205795365259291</v>
      </c>
      <c r="BE669" s="1122">
        <f t="shared" ca="1" si="1150"/>
        <v>-0.13233019699418946</v>
      </c>
      <c r="BG669" s="1131">
        <f t="shared" ca="1" si="1150"/>
        <v>0.31720782755292021</v>
      </c>
      <c r="BI669" s="1122">
        <f t="shared" ref="BI669:BP669" ca="1" si="1151">BI668-BI667</f>
        <v>0.10685964691128902</v>
      </c>
      <c r="BJ669" s="1122">
        <f t="shared" ca="1" si="1151"/>
        <v>-9.2395048468233654E-2</v>
      </c>
      <c r="BK669" s="1122">
        <f t="shared" ca="1" si="1151"/>
        <v>0.24385185332221226</v>
      </c>
      <c r="BL669" s="1122">
        <f t="shared" ca="1" si="1151"/>
        <v>0.60276015093859314</v>
      </c>
      <c r="BM669" s="1122">
        <f t="shared" ca="1" si="1151"/>
        <v>-0.34690244152193372</v>
      </c>
      <c r="BN669" s="1122">
        <f t="shared" ca="1" si="1151"/>
        <v>-0.15211009992412983</v>
      </c>
      <c r="BP669" s="1131">
        <f t="shared" ca="1" si="1151"/>
        <v>0.36206406125893409</v>
      </c>
    </row>
    <row r="670" spans="2:68" ht="13.2" customHeight="1">
      <c r="O670" s="136">
        <f>ROW()</f>
        <v>670</v>
      </c>
    </row>
    <row r="671" spans="2:68" s="1122" customFormat="1" ht="13.2" customHeight="1">
      <c r="B671" s="1195" t="s">
        <v>1434</v>
      </c>
      <c r="G671" s="1122">
        <f t="shared" ref="G671:N672" ca="1" si="1152">P671+Y671+AH671+AQ671+AZ671+BI671</f>
        <v>892979.93368564663</v>
      </c>
      <c r="H671" s="1122">
        <f t="shared" ca="1" si="1152"/>
        <v>256884.06541302605</v>
      </c>
      <c r="I671" s="1122">
        <f t="shared" ca="1" si="1152"/>
        <v>763776.33557903592</v>
      </c>
      <c r="J671" s="1122">
        <f t="shared" ca="1" si="1152"/>
        <v>490270.13547529612</v>
      </c>
      <c r="K671" s="1122">
        <f t="shared" ca="1" si="1152"/>
        <v>289787.80036221881</v>
      </c>
      <c r="L671" s="1122">
        <f t="shared" ca="1" si="1152"/>
        <v>253266.44403561257</v>
      </c>
      <c r="N671" s="1127">
        <f t="shared" ca="1" si="1152"/>
        <v>2946964.714550836</v>
      </c>
      <c r="O671" s="136">
        <f>ROW()</f>
        <v>671</v>
      </c>
      <c r="P671" s="1122">
        <f t="shared" ref="P671:U671" ca="1" si="1153">P624</f>
        <v>84735.382074542125</v>
      </c>
      <c r="Q671" s="1122">
        <f t="shared" ca="1" si="1153"/>
        <v>28762.918076605849</v>
      </c>
      <c r="R671" s="1122">
        <f t="shared" ca="1" si="1153"/>
        <v>81712.14463515082</v>
      </c>
      <c r="S671" s="1122">
        <f t="shared" ca="1" si="1153"/>
        <v>42835.680362348656</v>
      </c>
      <c r="T671" s="1122">
        <f t="shared" ca="1" si="1153"/>
        <v>29437.811520099855</v>
      </c>
      <c r="U671" s="1122">
        <f t="shared" ca="1" si="1153"/>
        <v>22750.568565973292</v>
      </c>
      <c r="W671" s="1122">
        <f ca="1">SUM(P671:V671)</f>
        <v>290234.50523472059</v>
      </c>
      <c r="Y671" s="1122">
        <f t="shared" ref="Y671:AD671" ca="1" si="1154">Y624</f>
        <v>191612.93747509224</v>
      </c>
      <c r="Z671" s="1122">
        <f t="shared" ca="1" si="1154"/>
        <v>68314.641169264811</v>
      </c>
      <c r="AA671" s="1122">
        <f t="shared" ca="1" si="1154"/>
        <v>234755.32063132952</v>
      </c>
      <c r="AB671" s="1122">
        <f t="shared" ca="1" si="1154"/>
        <v>165507.63138824914</v>
      </c>
      <c r="AC671" s="1122">
        <f t="shared" ca="1" si="1154"/>
        <v>85150.935111854924</v>
      </c>
      <c r="AD671" s="1122">
        <f t="shared" ca="1" si="1154"/>
        <v>70606.091550946439</v>
      </c>
      <c r="AF671" s="1122">
        <f ca="1">SUM(Y671:AE671)</f>
        <v>815947.55732673709</v>
      </c>
      <c r="AH671" s="1122">
        <f t="shared" ref="AH671:AM671" ca="1" si="1155">AH624</f>
        <v>80420.918171437603</v>
      </c>
      <c r="AI671" s="1122">
        <f t="shared" ca="1" si="1155"/>
        <v>27561.745512454851</v>
      </c>
      <c r="AJ671" s="1122">
        <f t="shared" ca="1" si="1155"/>
        <v>72543.241076418897</v>
      </c>
      <c r="AK671" s="1122">
        <f t="shared" ca="1" si="1155"/>
        <v>43959.433844670071</v>
      </c>
      <c r="AL671" s="1122">
        <f t="shared" ca="1" si="1155"/>
        <v>25460.6398571764</v>
      </c>
      <c r="AM671" s="1122">
        <f t="shared" ca="1" si="1155"/>
        <v>21441.229008445778</v>
      </c>
      <c r="AO671" s="1122">
        <f ca="1">SUM(AH671:AN671)</f>
        <v>271387.20747060364</v>
      </c>
      <c r="AQ671" s="10">
        <f t="shared" ref="AQ671:AV671" ca="1" si="1156">AQ624</f>
        <v>502998.12881102966</v>
      </c>
      <c r="AR671" s="10">
        <f t="shared" ca="1" si="1156"/>
        <v>121090.0808527504</v>
      </c>
      <c r="AS671" s="10">
        <f t="shared" ca="1" si="1156"/>
        <v>340612.84032427327</v>
      </c>
      <c r="AT671" s="10">
        <f t="shared" ca="1" si="1156"/>
        <v>216106.30800953342</v>
      </c>
      <c r="AU671" s="10">
        <f t="shared" ca="1" si="1156"/>
        <v>137103.48933382597</v>
      </c>
      <c r="AV671" s="10">
        <f t="shared" ca="1" si="1156"/>
        <v>127336.74860206751</v>
      </c>
      <c r="AW671" s="10"/>
      <c r="AX671" s="10">
        <f ca="1">SUM(AQ671:AW671)</f>
        <v>1445247.5959334802</v>
      </c>
      <c r="AZ671" s="1122">
        <f t="shared" ref="AZ671:BE671" ca="1" si="1157">AZ624</f>
        <v>23921.046265281147</v>
      </c>
      <c r="BA671" s="1122">
        <f t="shared" ca="1" si="1157"/>
        <v>8023.5132495704011</v>
      </c>
      <c r="BB671" s="1122">
        <f t="shared" ca="1" si="1157"/>
        <v>24554.272403618685</v>
      </c>
      <c r="BC671" s="1122">
        <f t="shared" ca="1" si="1157"/>
        <v>15718.812569670317</v>
      </c>
      <c r="BD671" s="1122">
        <f t="shared" ca="1" si="1157"/>
        <v>9079.9386564904999</v>
      </c>
      <c r="BE671" s="1122">
        <f t="shared" ca="1" si="1157"/>
        <v>7997.1139586017598</v>
      </c>
      <c r="BG671" s="1122">
        <f ca="1">SUM(AZ671:BF671)</f>
        <v>89294.697103232815</v>
      </c>
      <c r="BI671" s="1122">
        <f t="shared" ref="BI671:BN671" ca="1" si="1158">BI624</f>
        <v>9291.5208882639272</v>
      </c>
      <c r="BJ671" s="1122">
        <f t="shared" ca="1" si="1158"/>
        <v>3131.1665523797424</v>
      </c>
      <c r="BK671" s="1122">
        <f t="shared" ca="1" si="1158"/>
        <v>9598.5165082446838</v>
      </c>
      <c r="BL671" s="1122">
        <f t="shared" ca="1" si="1158"/>
        <v>6142.2693008244778</v>
      </c>
      <c r="BM671" s="1122">
        <f t="shared" ca="1" si="1158"/>
        <v>3554.9858827711687</v>
      </c>
      <c r="BN671" s="1122">
        <f t="shared" ca="1" si="1158"/>
        <v>3134.6923495778283</v>
      </c>
      <c r="BP671" s="1122">
        <f ca="1">SUM(BI671:BO671)</f>
        <v>34853.151482061832</v>
      </c>
    </row>
    <row r="672" spans="2:68" s="1122" customFormat="1" ht="13.2" customHeight="1">
      <c r="B672" s="1195" t="s">
        <v>608</v>
      </c>
      <c r="G672" s="1122">
        <f t="shared" ca="1" si="1152"/>
        <v>893355.1526956968</v>
      </c>
      <c r="H672" s="1122">
        <f t="shared" ca="1" si="1152"/>
        <v>256981.90082428858</v>
      </c>
      <c r="I672" s="1122">
        <f t="shared" ca="1" si="1152"/>
        <v>764243.90574461676</v>
      </c>
      <c r="J672" s="1122">
        <f t="shared" ca="1" si="1152"/>
        <v>490725.71392826299</v>
      </c>
      <c r="K672" s="1122">
        <f t="shared" ca="1" si="1152"/>
        <v>289903.2910048567</v>
      </c>
      <c r="L672" s="1122">
        <f t="shared" ca="1" si="1152"/>
        <v>253360.41976119694</v>
      </c>
      <c r="N672" s="1127">
        <f t="shared" ca="1" si="1152"/>
        <v>2948570.383958919</v>
      </c>
      <c r="O672" s="136">
        <f>ROW()</f>
        <v>672</v>
      </c>
      <c r="P672" s="1122">
        <f t="shared" ref="P672:U672" ca="1" si="1159">P657+P664+P668</f>
        <v>84826.536951974311</v>
      </c>
      <c r="Q672" s="1122">
        <f t="shared" ca="1" si="1159"/>
        <v>28788.214530342913</v>
      </c>
      <c r="R672" s="1122">
        <f t="shared" ca="1" si="1159"/>
        <v>81813.04285234322</v>
      </c>
      <c r="S672" s="1122">
        <f t="shared" ca="1" si="1159"/>
        <v>42904.069422797002</v>
      </c>
      <c r="T672" s="1122">
        <f t="shared" ca="1" si="1159"/>
        <v>29463.619066861156</v>
      </c>
      <c r="U672" s="1122">
        <f t="shared" ca="1" si="1159"/>
        <v>22770.215488603244</v>
      </c>
      <c r="W672" s="1122">
        <f ca="1">SUM(P672:V672)</f>
        <v>290565.69831292186</v>
      </c>
      <c r="Y672" s="1122">
        <f t="shared" ref="Y672:AD672" ca="1" si="1160">Y657+Y664+Y668</f>
        <v>191834.43576295284</v>
      </c>
      <c r="Z672" s="1122">
        <f t="shared" ca="1" si="1160"/>
        <v>68380.241624844639</v>
      </c>
      <c r="AA672" s="1122">
        <f t="shared" ca="1" si="1160"/>
        <v>235060.44420932958</v>
      </c>
      <c r="AB672" s="1122">
        <f t="shared" ca="1" si="1160"/>
        <v>165821.4326353262</v>
      </c>
      <c r="AC672" s="1122">
        <f t="shared" ca="1" si="1160"/>
        <v>85230.385052302925</v>
      </c>
      <c r="AD672" s="1122">
        <f t="shared" ca="1" si="1160"/>
        <v>70671.40946566606</v>
      </c>
      <c r="AF672" s="1122">
        <f ca="1">SUM(Y672:AE672)</f>
        <v>816998.34875042224</v>
      </c>
      <c r="AH672" s="1122">
        <f t="shared" ref="AH672:AM672" ca="1" si="1161">AH657+AH664+AH668</f>
        <v>80448.988039022079</v>
      </c>
      <c r="AI672" s="1122">
        <f t="shared" ca="1" si="1161"/>
        <v>27557.528915483163</v>
      </c>
      <c r="AJ672" s="1122">
        <f t="shared" ca="1" si="1161"/>
        <v>72561.795057085401</v>
      </c>
      <c r="AK672" s="1122">
        <f t="shared" ca="1" si="1161"/>
        <v>43999.156044458985</v>
      </c>
      <c r="AL672" s="1122">
        <f t="shared" ca="1" si="1161"/>
        <v>25457.553206650537</v>
      </c>
      <c r="AM672" s="1122">
        <f t="shared" ca="1" si="1161"/>
        <v>21439.284640546306</v>
      </c>
      <c r="AO672" s="1122">
        <f ca="1">SUM(AH672:AN672)</f>
        <v>271464.30590324645</v>
      </c>
      <c r="AQ672" s="10">
        <f t="shared" ref="AQ672:AV672" ca="1" si="1162">AQ671</f>
        <v>502998.12881102966</v>
      </c>
      <c r="AR672" s="10">
        <f t="shared" ca="1" si="1162"/>
        <v>121090.0808527504</v>
      </c>
      <c r="AS672" s="10">
        <f t="shared" ca="1" si="1162"/>
        <v>340612.84032427327</v>
      </c>
      <c r="AT672" s="10">
        <f t="shared" ca="1" si="1162"/>
        <v>216106.30800953342</v>
      </c>
      <c r="AU672" s="10">
        <f t="shared" ca="1" si="1162"/>
        <v>137103.48933382597</v>
      </c>
      <c r="AV672" s="10">
        <f t="shared" ca="1" si="1162"/>
        <v>127336.74860206751</v>
      </c>
      <c r="AW672" s="10"/>
      <c r="AX672" s="10">
        <f ca="1">SUM(AQ672:AW672)</f>
        <v>1445247.5959334802</v>
      </c>
      <c r="AZ672" s="1122">
        <f t="shared" ref="AZ672:BE672" ca="1" si="1163">AZ657+AZ664+AZ668</f>
        <v>23949.498147872029</v>
      </c>
      <c r="BA672" s="1122">
        <f t="shared" ca="1" si="1163"/>
        <v>8032.9214592694789</v>
      </c>
      <c r="BB672" s="1122">
        <f t="shared" ca="1" si="1163"/>
        <v>24589.912043996883</v>
      </c>
      <c r="BC672" s="1122">
        <f t="shared" ca="1" si="1163"/>
        <v>15746.083313040866</v>
      </c>
      <c r="BD672" s="1122">
        <f t="shared" ca="1" si="1163"/>
        <v>9091.3688153989751</v>
      </c>
      <c r="BE672" s="1122">
        <f t="shared" ca="1" si="1163"/>
        <v>8006.4026766818688</v>
      </c>
      <c r="BG672" s="1122">
        <f ca="1">SUM(AZ672:BF672)</f>
        <v>89416.186456260111</v>
      </c>
      <c r="BI672" s="1122">
        <f t="shared" ref="BI672:BN672" ca="1" si="1164">BI657+BI664+BI668</f>
        <v>9297.5649828458918</v>
      </c>
      <c r="BJ672" s="1122">
        <f t="shared" ca="1" si="1164"/>
        <v>3132.9134415979815</v>
      </c>
      <c r="BK672" s="1122">
        <f t="shared" ca="1" si="1164"/>
        <v>9605.8712575884347</v>
      </c>
      <c r="BL672" s="1122">
        <f t="shared" ca="1" si="1164"/>
        <v>6148.6645031065054</v>
      </c>
      <c r="BM672" s="1122">
        <f t="shared" ca="1" si="1164"/>
        <v>3556.87552981711</v>
      </c>
      <c r="BN672" s="1122">
        <f t="shared" ca="1" si="1164"/>
        <v>3136.3588876319832</v>
      </c>
      <c r="BP672" s="1122">
        <f ca="1">SUM(BI672:BO672)</f>
        <v>34878.248602587904</v>
      </c>
    </row>
    <row r="673" spans="2:68" ht="13.2" customHeight="1">
      <c r="B673" s="308" t="s">
        <v>1308</v>
      </c>
      <c r="G673" s="10">
        <f t="shared" ref="G673:L673" ca="1" si="1165">G672/G$118</f>
        <v>89335.515269569674</v>
      </c>
      <c r="H673" s="10">
        <f t="shared" ca="1" si="1165"/>
        <v>128490.95041214429</v>
      </c>
      <c r="I673" s="10">
        <f t="shared" ca="1" si="1165"/>
        <v>152848.78114892336</v>
      </c>
      <c r="J673" s="10">
        <f t="shared" ca="1" si="1165"/>
        <v>163575.23797608766</v>
      </c>
      <c r="K673" s="10">
        <f t="shared" ca="1" si="1165"/>
        <v>144951.64550242835</v>
      </c>
      <c r="L673" s="10">
        <f t="shared" ca="1" si="1165"/>
        <v>126680.20988059847</v>
      </c>
      <c r="M673" s="10"/>
      <c r="N673" s="6"/>
      <c r="O673" s="136">
        <f>ROW()</f>
        <v>673</v>
      </c>
      <c r="P673" s="10"/>
      <c r="Q673" s="10"/>
      <c r="R673" s="10"/>
      <c r="S673" s="10"/>
      <c r="T673" s="10"/>
      <c r="U673" s="10"/>
      <c r="V673" s="10"/>
      <c r="W673" s="10"/>
      <c r="Y673" s="10"/>
      <c r="Z673" s="10"/>
      <c r="AA673" s="10"/>
      <c r="AB673" s="10"/>
      <c r="AC673" s="10"/>
      <c r="AD673" s="10"/>
      <c r="AE673" s="10"/>
      <c r="AF673" s="10"/>
      <c r="AH673" s="10"/>
      <c r="AI673" s="10"/>
      <c r="AJ673" s="10"/>
      <c r="AK673" s="10"/>
      <c r="AL673" s="10"/>
      <c r="AM673" s="10"/>
      <c r="AN673" s="10"/>
      <c r="AO673" s="10"/>
      <c r="AQ673" s="10"/>
      <c r="AR673" s="10"/>
      <c r="AS673" s="10"/>
      <c r="AT673" s="10"/>
      <c r="AU673" s="10"/>
      <c r="AV673" s="10"/>
      <c r="AW673" s="10"/>
      <c r="AX673" s="10"/>
      <c r="AZ673" s="10"/>
      <c r="BA673" s="10"/>
      <c r="BB673" s="10"/>
      <c r="BC673" s="10"/>
      <c r="BD673" s="10"/>
      <c r="BE673" s="10"/>
      <c r="BF673" s="10"/>
      <c r="BG673" s="10"/>
      <c r="BI673" s="10"/>
      <c r="BJ673" s="10"/>
      <c r="BK673" s="10"/>
      <c r="BL673" s="10"/>
      <c r="BM673" s="10"/>
      <c r="BN673" s="10"/>
      <c r="BO673" s="10"/>
      <c r="BP673" s="10"/>
    </row>
    <row r="674" spans="2:68" ht="13.2" customHeight="1">
      <c r="B674" s="280" t="s">
        <v>2709</v>
      </c>
      <c r="G674" s="612">
        <f t="shared" ref="G674:L674" ca="1" si="1166">G672/G671</f>
        <v>1.0004201875046637</v>
      </c>
      <c r="H674" s="612">
        <f t="shared" ca="1" si="1166"/>
        <v>1.0003808543402848</v>
      </c>
      <c r="I674" s="612">
        <f t="shared" ca="1" si="1166"/>
        <v>1.0006121820535672</v>
      </c>
      <c r="J674" s="612">
        <f t="shared" ca="1" si="1166"/>
        <v>1.0009292396578984</v>
      </c>
      <c r="K674" s="612">
        <f t="shared" ca="1" si="1166"/>
        <v>1.0003985352126401</v>
      </c>
      <c r="L674" s="612">
        <f t="shared" ca="1" si="1166"/>
        <v>1.0003710547835984</v>
      </c>
      <c r="M674" s="612"/>
      <c r="N674" s="186"/>
      <c r="O674" s="136">
        <f>ROW()</f>
        <v>674</v>
      </c>
      <c r="P674" s="4147" t="s">
        <v>2680</v>
      </c>
      <c r="Q674" s="4147"/>
      <c r="R674" s="4147"/>
      <c r="S674" s="4147"/>
      <c r="T674" s="4147"/>
      <c r="U674" s="4147"/>
      <c r="V674" s="4147"/>
      <c r="W674" s="4147"/>
      <c r="Y674" s="4147" t="s">
        <v>2681</v>
      </c>
      <c r="Z674" s="4147"/>
      <c r="AA674" s="4147"/>
      <c r="AB674" s="4147"/>
      <c r="AC674" s="4147"/>
      <c r="AD674" s="4147"/>
      <c r="AE674" s="4147"/>
      <c r="AF674" s="4147"/>
      <c r="AH674" s="4263" t="s">
        <v>5482</v>
      </c>
      <c r="AI674" s="4264"/>
      <c r="AJ674" s="4264"/>
      <c r="AK674" s="4264"/>
      <c r="AL674" s="4264"/>
      <c r="AM674" s="4264"/>
      <c r="AN674" s="4264"/>
      <c r="AO674" s="4264"/>
      <c r="AQ674" s="4147" t="s">
        <v>713</v>
      </c>
      <c r="AR674" s="4147"/>
      <c r="AS674" s="4147"/>
      <c r="AT674" s="4147"/>
      <c r="AU674" s="4147"/>
      <c r="AV674" s="4147"/>
      <c r="AW674" s="4147"/>
      <c r="AX674" s="4147"/>
      <c r="AZ674" s="4147" t="s">
        <v>460</v>
      </c>
      <c r="BA674" s="4147"/>
      <c r="BB674" s="4147"/>
      <c r="BC674" s="4147"/>
      <c r="BD674" s="4147"/>
      <c r="BE674" s="4147"/>
      <c r="BF674" s="4147"/>
      <c r="BG674" s="4147"/>
      <c r="BI674" s="4147" t="s">
        <v>849</v>
      </c>
      <c r="BJ674" s="4147"/>
      <c r="BK674" s="4147"/>
      <c r="BL674" s="4147"/>
      <c r="BM674" s="4147"/>
      <c r="BN674" s="4147"/>
      <c r="BO674" s="4147"/>
      <c r="BP674" s="4147"/>
    </row>
    <row r="675" spans="2:68" ht="13.2" customHeight="1">
      <c r="G675" s="612"/>
      <c r="H675" s="612"/>
      <c r="I675" s="612"/>
      <c r="J675" s="612"/>
      <c r="K675" s="612"/>
      <c r="L675" s="612"/>
      <c r="M675" s="612"/>
      <c r="N675" s="186"/>
      <c r="O675" s="136">
        <f>ROW()</f>
        <v>675</v>
      </c>
      <c r="P675" s="10"/>
      <c r="Q675" s="10"/>
      <c r="R675" s="10"/>
      <c r="S675" s="10"/>
      <c r="T675" s="10"/>
      <c r="U675" s="10"/>
      <c r="V675" s="10"/>
      <c r="W675" s="10"/>
      <c r="Y675" s="10"/>
      <c r="Z675" s="10"/>
      <c r="AA675" s="10"/>
      <c r="AB675" s="10"/>
      <c r="AC675" s="10"/>
      <c r="AD675" s="10"/>
      <c r="AE675" s="10"/>
      <c r="AF675" s="10"/>
      <c r="AO675" s="10"/>
      <c r="AQ675" s="10"/>
      <c r="AR675" s="10"/>
      <c r="AS675" s="10"/>
      <c r="AT675" s="10"/>
      <c r="AU675" s="10"/>
      <c r="AV675" s="10"/>
      <c r="AW675" s="10"/>
      <c r="AX675" s="10"/>
      <c r="AZ675" s="10"/>
      <c r="BA675" s="10"/>
      <c r="BB675" s="10"/>
      <c r="BC675" s="10"/>
      <c r="BD675" s="10"/>
      <c r="BE675" s="10"/>
      <c r="BF675" s="10"/>
      <c r="BG675" s="10"/>
      <c r="BI675" s="10"/>
      <c r="BJ675" s="10"/>
      <c r="BK675" s="10"/>
      <c r="BL675" s="10"/>
      <c r="BM675" s="10"/>
      <c r="BN675" s="10"/>
      <c r="BO675" s="10"/>
      <c r="BP675" s="10"/>
    </row>
    <row r="676" spans="2:68" ht="13.2" customHeight="1">
      <c r="B676" s="308" t="s">
        <v>587</v>
      </c>
      <c r="C676" s="280"/>
      <c r="D676" s="280"/>
      <c r="E676" s="280"/>
      <c r="F676" s="280"/>
      <c r="G676" s="280"/>
      <c r="H676" s="280"/>
      <c r="I676" s="280"/>
      <c r="J676" s="280"/>
      <c r="K676" s="280"/>
      <c r="L676" s="280"/>
      <c r="M676" s="280"/>
      <c r="N676" s="280"/>
      <c r="O676" s="136">
        <f>ROW()</f>
        <v>676</v>
      </c>
    </row>
    <row r="677" spans="2:68" ht="13.2" customHeight="1">
      <c r="B677" s="280" t="s">
        <v>2034</v>
      </c>
      <c r="E677" s="280"/>
      <c r="F677" s="280"/>
      <c r="G677" s="21">
        <f t="shared" ref="G677:L677" ca="1" si="1167">KSC/(1+0.1*($G$401*G673/$I$181)^KSE)</f>
        <v>20.157475415590639</v>
      </c>
      <c r="H677" s="21">
        <f t="shared" ca="1" si="1167"/>
        <v>15.813973886123854</v>
      </c>
      <c r="I677" s="21">
        <f t="shared" ca="1" si="1167"/>
        <v>12.336674712451282</v>
      </c>
      <c r="J677" s="21">
        <f t="shared" ca="1" si="1167"/>
        <v>10.851194271547406</v>
      </c>
      <c r="K677" s="21">
        <f t="shared" ca="1" si="1167"/>
        <v>13.467694204778786</v>
      </c>
      <c r="L677" s="21">
        <f t="shared" ca="1" si="1167"/>
        <v>16.063246802953856</v>
      </c>
      <c r="M677" s="21"/>
      <c r="O677" s="136">
        <f>ROW()</f>
        <v>677</v>
      </c>
      <c r="P677" s="21">
        <f t="shared" ref="P677:U678" ca="1" si="1168">G677</f>
        <v>20.157475415590639</v>
      </c>
      <c r="Q677" s="21">
        <f t="shared" ca="1" si="1168"/>
        <v>15.813973886123854</v>
      </c>
      <c r="R677" s="21">
        <f t="shared" ca="1" si="1168"/>
        <v>12.336674712451282</v>
      </c>
      <c r="S677" s="21">
        <f t="shared" ca="1" si="1168"/>
        <v>10.851194271547406</v>
      </c>
      <c r="T677" s="21">
        <f t="shared" ca="1" si="1168"/>
        <v>13.467694204778786</v>
      </c>
      <c r="U677" s="21">
        <f t="shared" ca="1" si="1168"/>
        <v>16.063246802953856</v>
      </c>
      <c r="V677" s="21"/>
      <c r="Y677" s="21">
        <f t="shared" ref="Y677:AD678" ca="1" si="1169">G677</f>
        <v>20.157475415590639</v>
      </c>
      <c r="Z677" s="21">
        <f t="shared" ca="1" si="1169"/>
        <v>15.813973886123854</v>
      </c>
      <c r="AA677" s="21">
        <f t="shared" ca="1" si="1169"/>
        <v>12.336674712451282</v>
      </c>
      <c r="AB677" s="21">
        <f t="shared" ca="1" si="1169"/>
        <v>10.851194271547406</v>
      </c>
      <c r="AC677" s="21">
        <f t="shared" ca="1" si="1169"/>
        <v>13.467694204778786</v>
      </c>
      <c r="AD677" s="21">
        <f t="shared" ca="1" si="1169"/>
        <v>16.063246802953856</v>
      </c>
      <c r="AE677" s="21"/>
      <c r="AH677" s="21">
        <f t="shared" ref="AH677:AM678" ca="1" si="1170">P677</f>
        <v>20.157475415590639</v>
      </c>
      <c r="AI677" s="21">
        <f t="shared" ca="1" si="1170"/>
        <v>15.813973886123854</v>
      </c>
      <c r="AJ677" s="21">
        <f t="shared" ca="1" si="1170"/>
        <v>12.336674712451282</v>
      </c>
      <c r="AK677" s="21">
        <f t="shared" ca="1" si="1170"/>
        <v>10.851194271547406</v>
      </c>
      <c r="AL677" s="21">
        <f t="shared" ca="1" si="1170"/>
        <v>13.467694204778786</v>
      </c>
      <c r="AM677" s="21">
        <f t="shared" ca="1" si="1170"/>
        <v>16.063246802953856</v>
      </c>
      <c r="AN677" s="21"/>
      <c r="AQ677" s="21">
        <f t="shared" ref="AQ677:AV677" ca="1" si="1171">G677*$AU$181</f>
        <v>19.149601644811106</v>
      </c>
      <c r="AR677" s="21">
        <f t="shared" ca="1" si="1171"/>
        <v>15.02327519181766</v>
      </c>
      <c r="AS677" s="21">
        <f t="shared" ca="1" si="1171"/>
        <v>11.719840976828717</v>
      </c>
      <c r="AT677" s="21">
        <f t="shared" ca="1" si="1171"/>
        <v>10.308634557970036</v>
      </c>
      <c r="AU677" s="21">
        <f t="shared" ca="1" si="1171"/>
        <v>12.794309494539846</v>
      </c>
      <c r="AV677" s="21">
        <f t="shared" ca="1" si="1171"/>
        <v>15.260084462806162</v>
      </c>
      <c r="AW677" s="21"/>
      <c r="AZ677" s="21">
        <f t="shared" ref="AZ677:BE678" ca="1" si="1172">G677</f>
        <v>20.157475415590639</v>
      </c>
      <c r="BA677" s="21">
        <f t="shared" ca="1" si="1172"/>
        <v>15.813973886123854</v>
      </c>
      <c r="BB677" s="21">
        <f t="shared" ca="1" si="1172"/>
        <v>12.336674712451282</v>
      </c>
      <c r="BC677" s="21">
        <f t="shared" ca="1" si="1172"/>
        <v>10.851194271547406</v>
      </c>
      <c r="BD677" s="21">
        <f t="shared" ca="1" si="1172"/>
        <v>13.467694204778786</v>
      </c>
      <c r="BE677" s="21">
        <f t="shared" ca="1" si="1172"/>
        <v>16.063246802953856</v>
      </c>
      <c r="BF677" s="21"/>
      <c r="BG677" s="21"/>
      <c r="BI677" s="21">
        <f t="shared" ref="BI677:BN678" ca="1" si="1173">G677</f>
        <v>20.157475415590639</v>
      </c>
      <c r="BJ677" s="21">
        <f t="shared" ca="1" si="1173"/>
        <v>15.813973886123854</v>
      </c>
      <c r="BK677" s="21">
        <f t="shared" ca="1" si="1173"/>
        <v>12.336674712451282</v>
      </c>
      <c r="BL677" s="21">
        <f t="shared" ca="1" si="1173"/>
        <v>10.851194271547406</v>
      </c>
      <c r="BM677" s="21">
        <f t="shared" ca="1" si="1173"/>
        <v>13.467694204778786</v>
      </c>
      <c r="BN677" s="21">
        <f t="shared" ca="1" si="1173"/>
        <v>16.063246802953856</v>
      </c>
      <c r="BO677" s="21"/>
      <c r="BP677" s="21"/>
    </row>
    <row r="678" spans="2:68" ht="13.2" customHeight="1">
      <c r="B678" s="280" t="s">
        <v>1428</v>
      </c>
      <c r="E678" s="280"/>
      <c r="F678" s="280"/>
      <c r="G678" s="21">
        <f ca="1">MIN('Speed-Vol., non-Cordon'!$X$57*(G630 / 'Speed-Vol., non-Cordon'!$X$57)^G649,'Speed-Vol., non-Cordon'!$X$32)</f>
        <v>54.484035113152601</v>
      </c>
      <c r="H678" s="21">
        <f ca="1">MIN('Speed-Vol., non-Cordon'!$X$57*(H630 / 'Speed-Vol., non-Cordon'!$X$57)^H649,'Speed-Vol., non-Cordon'!$X$32)</f>
        <v>31.471013137414182</v>
      </c>
      <c r="I678" s="21">
        <f ca="1">MIN('Speed-Vol., non-Cordon'!$X$57*(I630 / 'Speed-Vol., non-Cordon'!$X$57)^I649,'Speed-Vol., non-Cordon'!$X$32)</f>
        <v>23.437800115089917</v>
      </c>
      <c r="J678" s="21">
        <f ca="1">MIN('Speed-Vol., non-Cordon'!$X$57*(J630 / 'Speed-Vol., non-Cordon'!$X$57)^J649,'Speed-Vol., non-Cordon'!$X$32)</f>
        <v>21.011500781553249</v>
      </c>
      <c r="K678" s="21">
        <f ca="1">MIN('Speed-Vol., non-Cordon'!$X$57*(K630 / 'Speed-Vol., non-Cordon'!$X$57)^K649,'Speed-Vol., non-Cordon'!$X$32)</f>
        <v>27.020151127049825</v>
      </c>
      <c r="L678" s="21">
        <f ca="1">MIN('Speed-Vol., non-Cordon'!$X$57*(L630 / 'Speed-Vol., non-Cordon'!$X$57)^L649,'Speed-Vol., non-Cordon'!$X$32)</f>
        <v>33.121667212555138</v>
      </c>
      <c r="M678" s="21"/>
      <c r="O678" s="136">
        <f>ROW()</f>
        <v>678</v>
      </c>
      <c r="P678" s="21">
        <f t="shared" ca="1" si="1168"/>
        <v>54.484035113152601</v>
      </c>
      <c r="Q678" s="21">
        <f t="shared" ca="1" si="1168"/>
        <v>31.471013137414182</v>
      </c>
      <c r="R678" s="21">
        <f t="shared" ca="1" si="1168"/>
        <v>23.437800115089917</v>
      </c>
      <c r="S678" s="21">
        <f t="shared" ca="1" si="1168"/>
        <v>21.011500781553249</v>
      </c>
      <c r="T678" s="21">
        <f t="shared" ca="1" si="1168"/>
        <v>27.020151127049825</v>
      </c>
      <c r="U678" s="21">
        <f t="shared" ca="1" si="1168"/>
        <v>33.121667212555138</v>
      </c>
      <c r="V678" s="21"/>
      <c r="W678" s="4272" t="s">
        <v>1878</v>
      </c>
      <c r="Y678" s="21">
        <f t="shared" ca="1" si="1169"/>
        <v>54.484035113152601</v>
      </c>
      <c r="Z678" s="21">
        <f t="shared" ca="1" si="1169"/>
        <v>31.471013137414182</v>
      </c>
      <c r="AA678" s="21">
        <f t="shared" ca="1" si="1169"/>
        <v>23.437800115089917</v>
      </c>
      <c r="AB678" s="21">
        <f t="shared" ca="1" si="1169"/>
        <v>21.011500781553249</v>
      </c>
      <c r="AC678" s="21">
        <f t="shared" ca="1" si="1169"/>
        <v>27.020151127049825</v>
      </c>
      <c r="AD678" s="21">
        <f t="shared" ca="1" si="1169"/>
        <v>33.121667212555138</v>
      </c>
      <c r="AE678" s="21"/>
      <c r="AF678" s="4272" t="s">
        <v>1878</v>
      </c>
      <c r="AH678" s="21">
        <f t="shared" ca="1" si="1170"/>
        <v>54.484035113152601</v>
      </c>
      <c r="AI678" s="21">
        <f t="shared" ca="1" si="1170"/>
        <v>31.471013137414182</v>
      </c>
      <c r="AJ678" s="21">
        <f t="shared" ca="1" si="1170"/>
        <v>23.437800115089917</v>
      </c>
      <c r="AK678" s="21">
        <f t="shared" ca="1" si="1170"/>
        <v>21.011500781553249</v>
      </c>
      <c r="AL678" s="21">
        <f t="shared" ca="1" si="1170"/>
        <v>27.020151127049825</v>
      </c>
      <c r="AM678" s="21">
        <f t="shared" ca="1" si="1170"/>
        <v>33.121667212555138</v>
      </c>
      <c r="AN678" s="21"/>
      <c r="AO678" s="4272" t="s">
        <v>1878</v>
      </c>
      <c r="AQ678" s="21">
        <f t="shared" ref="AQ678:AV678" ca="1" si="1174">G678*$AV$181</f>
        <v>53.939194762021074</v>
      </c>
      <c r="AR678" s="21">
        <f t="shared" ca="1" si="1174"/>
        <v>31.156303006040041</v>
      </c>
      <c r="AS678" s="21">
        <f t="shared" ca="1" si="1174"/>
        <v>23.203422113939016</v>
      </c>
      <c r="AT678" s="21">
        <f t="shared" ca="1" si="1174"/>
        <v>20.801385773737717</v>
      </c>
      <c r="AU678" s="21">
        <f t="shared" ca="1" si="1174"/>
        <v>26.749949615779325</v>
      </c>
      <c r="AV678" s="21">
        <f t="shared" ca="1" si="1174"/>
        <v>32.790450540429589</v>
      </c>
      <c r="AW678" s="21"/>
      <c r="AX678" s="4272" t="s">
        <v>1878</v>
      </c>
      <c r="AZ678" s="21">
        <f t="shared" ca="1" si="1172"/>
        <v>54.484035113152601</v>
      </c>
      <c r="BA678" s="21">
        <f t="shared" ca="1" si="1172"/>
        <v>31.471013137414182</v>
      </c>
      <c r="BB678" s="21">
        <f t="shared" ca="1" si="1172"/>
        <v>23.437800115089917</v>
      </c>
      <c r="BC678" s="21">
        <f t="shared" ca="1" si="1172"/>
        <v>21.011500781553249</v>
      </c>
      <c r="BD678" s="21">
        <f t="shared" ca="1" si="1172"/>
        <v>27.020151127049825</v>
      </c>
      <c r="BE678" s="21">
        <f t="shared" ca="1" si="1172"/>
        <v>33.121667212555138</v>
      </c>
      <c r="BF678" s="21"/>
      <c r="BG678" s="4272" t="s">
        <v>1878</v>
      </c>
      <c r="BI678" s="21">
        <f t="shared" ca="1" si="1173"/>
        <v>54.484035113152601</v>
      </c>
      <c r="BJ678" s="21">
        <f t="shared" ca="1" si="1173"/>
        <v>31.471013137414182</v>
      </c>
      <c r="BK678" s="21">
        <f t="shared" ca="1" si="1173"/>
        <v>23.437800115089917</v>
      </c>
      <c r="BL678" s="21">
        <f t="shared" ca="1" si="1173"/>
        <v>21.011500781553249</v>
      </c>
      <c r="BM678" s="21">
        <f t="shared" ca="1" si="1173"/>
        <v>27.020151127049825</v>
      </c>
      <c r="BN678" s="21">
        <f t="shared" ca="1" si="1173"/>
        <v>33.121667212555138</v>
      </c>
      <c r="BO678" s="21"/>
      <c r="BP678" s="4272" t="s">
        <v>1878</v>
      </c>
    </row>
    <row r="679" spans="2:68" ht="13.2" customHeight="1">
      <c r="B679" s="280"/>
      <c r="O679" s="136">
        <f>ROW()</f>
        <v>679</v>
      </c>
      <c r="W679" s="4273"/>
      <c r="AF679" s="4273"/>
      <c r="AO679" s="4273"/>
      <c r="AX679" s="4273"/>
      <c r="BG679" s="4273"/>
      <c r="BP679" s="4273"/>
    </row>
    <row r="680" spans="2:68" ht="13.2" customHeight="1">
      <c r="B680" s="308" t="s">
        <v>2606</v>
      </c>
      <c r="F680" s="606"/>
      <c r="O680" s="136">
        <f>ROW()</f>
        <v>680</v>
      </c>
      <c r="W680" s="4273"/>
      <c r="AF680" s="4273"/>
      <c r="AO680" s="4273"/>
      <c r="AX680" s="4340"/>
      <c r="BG680" s="4273"/>
      <c r="BP680" s="4273"/>
    </row>
    <row r="681" spans="2:68" ht="13.2" customHeight="1">
      <c r="B681" s="280" t="s">
        <v>2158</v>
      </c>
      <c r="C681" s="297"/>
      <c r="D681" s="297"/>
      <c r="E681" s="297"/>
      <c r="F681" s="297"/>
      <c r="G681" s="4286" t="s">
        <v>2351</v>
      </c>
      <c r="H681" s="3775"/>
      <c r="I681" s="3775"/>
      <c r="J681" s="3775"/>
      <c r="K681" s="3775"/>
      <c r="L681" s="3776"/>
      <c r="O681" s="136">
        <f>ROW()</f>
        <v>681</v>
      </c>
      <c r="P681" s="21">
        <f t="shared" ref="P681:U681" ca="1" si="1175">($I$85)*60/P677</f>
        <v>4.4648448352014469</v>
      </c>
      <c r="Q681" s="21">
        <f t="shared" ca="1" si="1175"/>
        <v>5.6911691297891602</v>
      </c>
      <c r="R681" s="21">
        <f t="shared" ca="1" si="1175"/>
        <v>7.295320829782753</v>
      </c>
      <c r="S681" s="21">
        <f t="shared" ca="1" si="1175"/>
        <v>8.2940179438116157</v>
      </c>
      <c r="T681" s="21">
        <f t="shared" ca="1" si="1175"/>
        <v>6.6826584143902679</v>
      </c>
      <c r="U681" s="21">
        <f t="shared" ca="1" si="1175"/>
        <v>5.6028523438642539</v>
      </c>
      <c r="V681" s="21"/>
      <c r="W681" s="883">
        <f ca="1">SUMPRODUCT(P$476:V$476,P681:V681)/W$476</f>
        <v>6.2731210348258486</v>
      </c>
      <c r="Y681" s="21">
        <f t="shared" ref="Y681:AD681" ca="1" si="1176">($J$85)*60/Y677</f>
        <v>4.4648448352014469</v>
      </c>
      <c r="Z681" s="21">
        <f t="shared" ca="1" si="1176"/>
        <v>5.6911691297891602</v>
      </c>
      <c r="AA681" s="21">
        <f t="shared" ca="1" si="1176"/>
        <v>7.295320829782753</v>
      </c>
      <c r="AB681" s="21">
        <f t="shared" ca="1" si="1176"/>
        <v>8.2940179438116157</v>
      </c>
      <c r="AC681" s="21">
        <f t="shared" ca="1" si="1176"/>
        <v>6.6826584143902679</v>
      </c>
      <c r="AD681" s="21">
        <f t="shared" ca="1" si="1176"/>
        <v>5.6028523438642539</v>
      </c>
      <c r="AE681" s="21"/>
      <c r="AF681" s="613">
        <f ca="1">SUMPRODUCT(Y$476:AE$476,Y681:AE681)/AF$476</f>
        <v>6.4983655645187364</v>
      </c>
      <c r="AH681" s="21">
        <f t="shared" ref="AH681:AM681" ca="1" si="1177">($K$85)*60/AH677</f>
        <v>4.1671885128546844</v>
      </c>
      <c r="AI681" s="21">
        <f t="shared" ca="1" si="1177"/>
        <v>5.3117578544698842</v>
      </c>
      <c r="AJ681" s="21">
        <f t="shared" ca="1" si="1177"/>
        <v>6.8089661077972377</v>
      </c>
      <c r="AK681" s="21">
        <f t="shared" ca="1" si="1177"/>
        <v>7.7410834142241756</v>
      </c>
      <c r="AL681" s="21">
        <f t="shared" ca="1" si="1177"/>
        <v>6.2371478534309182</v>
      </c>
      <c r="AM681" s="21">
        <f t="shared" ca="1" si="1177"/>
        <v>5.2293288542733052</v>
      </c>
      <c r="AN681" s="21"/>
      <c r="AO681" s="613">
        <f ca="1">SUMPRODUCT(AH$476:AN$476,AH681:AN681)/AO$476</f>
        <v>5.8621066061273073</v>
      </c>
      <c r="AQ681" s="21">
        <f t="shared" ref="AQ681:AV681" ca="1" si="1178">($L$85)*60/AQ677</f>
        <v>6.2664488915108025</v>
      </c>
      <c r="AR681" s="21">
        <f t="shared" ca="1" si="1178"/>
        <v>7.9876057961953135</v>
      </c>
      <c r="AS681" s="21">
        <f t="shared" ca="1" si="1178"/>
        <v>10.239046778642463</v>
      </c>
      <c r="AT681" s="21">
        <f t="shared" ca="1" si="1178"/>
        <v>11.640726938682969</v>
      </c>
      <c r="AU681" s="21">
        <f t="shared" ca="1" si="1178"/>
        <v>9.3791697044073938</v>
      </c>
      <c r="AV681" s="21">
        <f t="shared" ca="1" si="1178"/>
        <v>7.8636524124410592</v>
      </c>
      <c r="AW681" s="21"/>
      <c r="AX681" s="613">
        <f ca="1">SUMPRODUCT(AQ$476:AW$476,AQ681:AW681)/AX$476</f>
        <v>8.5865329123786083</v>
      </c>
      <c r="AZ681" s="21">
        <f t="shared" ref="AZ681:BE681" ca="1" si="1179">($M$85)*60/AZ677</f>
        <v>8.9296896704028939</v>
      </c>
      <c r="BA681" s="21">
        <f t="shared" ca="1" si="1179"/>
        <v>11.38233825957832</v>
      </c>
      <c r="BB681" s="21">
        <f t="shared" ca="1" si="1179"/>
        <v>14.590641659565506</v>
      </c>
      <c r="BC681" s="21">
        <f t="shared" ca="1" si="1179"/>
        <v>16.588035887623231</v>
      </c>
      <c r="BD681" s="21">
        <f t="shared" ca="1" si="1179"/>
        <v>13.365316828780536</v>
      </c>
      <c r="BE681" s="21">
        <f t="shared" ca="1" si="1179"/>
        <v>11.205704687728508</v>
      </c>
      <c r="BF681" s="21"/>
      <c r="BG681" s="613">
        <f ca="1">SUMPRODUCT(AZ$476:BF$476,AZ681:BF681)/BG$476</f>
        <v>12.717808624156646</v>
      </c>
      <c r="BI681" s="21">
        <f t="shared" ref="BI681:BN681" ca="1" si="1180">($N$85)*60/BI677</f>
        <v>5.9531264469352623</v>
      </c>
      <c r="BJ681" s="21">
        <f t="shared" ca="1" si="1180"/>
        <v>7.5882255063855473</v>
      </c>
      <c r="BK681" s="21">
        <f t="shared" ca="1" si="1180"/>
        <v>9.7270944397103385</v>
      </c>
      <c r="BL681" s="21">
        <f t="shared" ca="1" si="1180"/>
        <v>11.058690591748821</v>
      </c>
      <c r="BM681" s="21">
        <f t="shared" ca="1" si="1180"/>
        <v>8.9102112191870244</v>
      </c>
      <c r="BN681" s="21">
        <f t="shared" ca="1" si="1180"/>
        <v>7.4704697918190055</v>
      </c>
      <c r="BO681" s="21"/>
      <c r="BP681" s="613">
        <f ca="1">SUMPRODUCT(BI$476:BO$476,BI681:BO681)/BP$476</f>
        <v>8.4876662780338759</v>
      </c>
    </row>
    <row r="682" spans="2:68" ht="13.2" customHeight="1">
      <c r="B682" s="280" t="s">
        <v>2159</v>
      </c>
      <c r="C682" s="297"/>
      <c r="D682" s="297"/>
      <c r="E682" s="297"/>
      <c r="F682" s="297"/>
      <c r="G682" s="3738"/>
      <c r="H682" s="3739"/>
      <c r="I682" s="3739"/>
      <c r="J682" s="3739"/>
      <c r="K682" s="3739"/>
      <c r="L682" s="3922"/>
      <c r="O682" s="136">
        <f>ROW()</f>
        <v>682</v>
      </c>
      <c r="P682" s="21">
        <f t="shared" ref="P682:U682" ca="1" si="1181">60*$I$85/(1/($P$135/$P677+$Q$135/$Q677+$R$135/$R677+$S$135/$S677+$T$135/$T677+$U$135/$U677))</f>
        <v>6.244147687013565</v>
      </c>
      <c r="Q682" s="21">
        <f t="shared" ca="1" si="1181"/>
        <v>6.244147687013565</v>
      </c>
      <c r="R682" s="21">
        <f t="shared" ca="1" si="1181"/>
        <v>6.244147687013565</v>
      </c>
      <c r="S682" s="21">
        <f t="shared" ca="1" si="1181"/>
        <v>6.244147687013565</v>
      </c>
      <c r="T682" s="21">
        <f t="shared" ca="1" si="1181"/>
        <v>6.244147687013565</v>
      </c>
      <c r="U682" s="21">
        <f t="shared" ca="1" si="1181"/>
        <v>6.244147687013565</v>
      </c>
      <c r="V682" s="21"/>
      <c r="W682" s="613">
        <f ca="1">SUMPRODUCT(P$383:V$383,P682:V682)/W$383</f>
        <v>6.2441476870135659</v>
      </c>
      <c r="Y682" s="21">
        <f t="shared" ref="Y682:AD682" ca="1" si="1182">60*$J$85/(1/($Y$135/$Y677+$Z$135/$Z677+$AA$135/$AA677+$AB$135/$AB677+$AC$135/$AC677+$AD$135/$AD677))</f>
        <v>6.2441476870135633</v>
      </c>
      <c r="Z682" s="21">
        <f t="shared" ca="1" si="1182"/>
        <v>6.2441476870135633</v>
      </c>
      <c r="AA682" s="21">
        <f t="shared" ca="1" si="1182"/>
        <v>6.2441476870135633</v>
      </c>
      <c r="AB682" s="21">
        <f t="shared" ca="1" si="1182"/>
        <v>6.2441476870135633</v>
      </c>
      <c r="AC682" s="21">
        <f t="shared" ca="1" si="1182"/>
        <v>6.2441476870135633</v>
      </c>
      <c r="AD682" s="21">
        <f t="shared" ca="1" si="1182"/>
        <v>6.2441476870135633</v>
      </c>
      <c r="AE682" s="21"/>
      <c r="AF682" s="613">
        <f ca="1">SUMPRODUCT(Y$383:AE$383,Y682:AE682)/AF$383</f>
        <v>6.2441476870135642</v>
      </c>
      <c r="AH682" s="21">
        <f t="shared" ref="AH682:AM682" ca="1" si="1183">AH681</f>
        <v>4.1671885128546844</v>
      </c>
      <c r="AI682" s="21">
        <f t="shared" ca="1" si="1183"/>
        <v>5.3117578544698842</v>
      </c>
      <c r="AJ682" s="21">
        <f t="shared" ca="1" si="1183"/>
        <v>6.8089661077972377</v>
      </c>
      <c r="AK682" s="21">
        <f t="shared" ca="1" si="1183"/>
        <v>7.7410834142241756</v>
      </c>
      <c r="AL682" s="21">
        <f t="shared" ca="1" si="1183"/>
        <v>6.2371478534309182</v>
      </c>
      <c r="AM682" s="21">
        <f t="shared" ca="1" si="1183"/>
        <v>5.2293288542733052</v>
      </c>
      <c r="AN682" s="21"/>
      <c r="AO682" s="613">
        <f ca="1">SUMPRODUCT(AH$383:AN$383,AH682:AN682)/AO$383</f>
        <v>5.8707315379293075</v>
      </c>
      <c r="AQ682" s="21"/>
      <c r="AR682" s="21"/>
      <c r="AS682" s="21"/>
      <c r="AT682" s="21"/>
      <c r="AU682" s="21"/>
      <c r="AV682" s="21"/>
      <c r="AW682" s="21"/>
      <c r="AX682" s="613"/>
      <c r="AZ682" s="21">
        <f t="shared" ref="AZ682:BE682" ca="1" si="1184">60*$M$85/(1/($AZ$135/$AZ677+$BA$135/$BA677+$BB$135/$BB677+$BC$135/$BC677+$BD$135/$BD677+$BE$135/$BE677))</f>
        <v>12.488295374027127</v>
      </c>
      <c r="BA682" s="21">
        <f t="shared" ca="1" si="1184"/>
        <v>12.488295374027127</v>
      </c>
      <c r="BB682" s="21">
        <f t="shared" ca="1" si="1184"/>
        <v>12.488295374027127</v>
      </c>
      <c r="BC682" s="21">
        <f t="shared" ca="1" si="1184"/>
        <v>12.488295374027127</v>
      </c>
      <c r="BD682" s="21">
        <f t="shared" ca="1" si="1184"/>
        <v>12.488295374027127</v>
      </c>
      <c r="BE682" s="21">
        <f t="shared" ca="1" si="1184"/>
        <v>12.488295374027127</v>
      </c>
      <c r="BF682" s="21"/>
      <c r="BG682" s="613">
        <f ca="1">SUMPRODUCT(AZ$383:BF$383,AZ682:BF682)/BG$383</f>
        <v>12.488295374027128</v>
      </c>
      <c r="BI682" s="21">
        <f t="shared" ref="BI682:BN682" ca="1" si="1185">60*$N$85/(1/($BI$135/$BI677+$BJ$135/$BJ677+$BK$135/$BK677+$BL$135/$BL677+$BM$135/$BM677+$BN$135/$BN677))</f>
        <v>8.3255302493514165</v>
      </c>
      <c r="BJ682" s="21">
        <f t="shared" ca="1" si="1185"/>
        <v>8.3255302493514165</v>
      </c>
      <c r="BK682" s="21">
        <f t="shared" ca="1" si="1185"/>
        <v>8.3255302493514165</v>
      </c>
      <c r="BL682" s="21">
        <f t="shared" ca="1" si="1185"/>
        <v>8.3255302493514165</v>
      </c>
      <c r="BM682" s="21">
        <f t="shared" ca="1" si="1185"/>
        <v>8.3255302493514165</v>
      </c>
      <c r="BN682" s="21">
        <f t="shared" ca="1" si="1185"/>
        <v>8.3255302493514165</v>
      </c>
      <c r="BO682" s="21"/>
      <c r="BP682" s="613">
        <f ca="1">SUMPRODUCT(BI$383:BO$383,BI682:BO682)/BP$383</f>
        <v>8.3255302493514147</v>
      </c>
    </row>
    <row r="683" spans="2:68" ht="13.2" customHeight="1">
      <c r="B683" s="280" t="s">
        <v>2160</v>
      </c>
      <c r="C683" s="297"/>
      <c r="D683" s="297"/>
      <c r="E683" s="297"/>
      <c r="F683" s="297"/>
      <c r="G683" s="3738"/>
      <c r="H683" s="3739"/>
      <c r="I683" s="3739"/>
      <c r="J683" s="3739"/>
      <c r="K683" s="3739"/>
      <c r="L683" s="3922"/>
      <c r="O683" s="136">
        <f>ROW()</f>
        <v>683</v>
      </c>
      <c r="P683" s="21">
        <f t="shared" ref="P683:U683" ca="1" si="1186">($I$79)*60/P678</f>
        <v>18.611021039786927</v>
      </c>
      <c r="Q683" s="21">
        <f t="shared" ca="1" si="1186"/>
        <v>32.220237696061929</v>
      </c>
      <c r="R683" s="21">
        <f t="shared" ca="1" si="1186"/>
        <v>43.26359636331776</v>
      </c>
      <c r="S683" s="21">
        <f t="shared" ca="1" si="1186"/>
        <v>48.259452495349727</v>
      </c>
      <c r="T683" s="21">
        <f t="shared" ca="1" si="1186"/>
        <v>37.527677734128424</v>
      </c>
      <c r="U683" s="21">
        <f t="shared" ca="1" si="1186"/>
        <v>30.614507334914691</v>
      </c>
      <c r="V683" s="21"/>
      <c r="W683" s="613">
        <f ca="1">SUMPRODUCT(P$476:V$476,P683:V683)/W$476</f>
        <v>34.223314550618191</v>
      </c>
      <c r="Y683" s="21">
        <f t="shared" ref="Y683:AD683" ca="1" si="1187">($J$79)*60/Y678</f>
        <v>18.611021039786927</v>
      </c>
      <c r="Z683" s="21">
        <f t="shared" ca="1" si="1187"/>
        <v>32.220237696061929</v>
      </c>
      <c r="AA683" s="21">
        <f t="shared" ca="1" si="1187"/>
        <v>43.26359636331776</v>
      </c>
      <c r="AB683" s="21">
        <f t="shared" ca="1" si="1187"/>
        <v>48.259452495349727</v>
      </c>
      <c r="AC683" s="21">
        <f t="shared" ca="1" si="1187"/>
        <v>37.527677734128424</v>
      </c>
      <c r="AD683" s="21">
        <f t="shared" ca="1" si="1187"/>
        <v>30.614507334914691</v>
      </c>
      <c r="AE683" s="21"/>
      <c r="AF683" s="613">
        <f ca="1">SUMPRODUCT(Y$476:AE$476,Y683:AE683)/AF$476</f>
        <v>35.949714185902678</v>
      </c>
      <c r="AH683" s="21">
        <f t="shared" ref="AH683:AM683" ca="1" si="1188">($K$79)*60/AH678</f>
        <v>27.91653155968039</v>
      </c>
      <c r="AI683" s="21">
        <f t="shared" ca="1" si="1188"/>
        <v>48.330356544092894</v>
      </c>
      <c r="AJ683" s="21">
        <f t="shared" ca="1" si="1188"/>
        <v>64.895394544976639</v>
      </c>
      <c r="AK683" s="21">
        <f t="shared" ca="1" si="1188"/>
        <v>72.389178743024587</v>
      </c>
      <c r="AL683" s="21">
        <f t="shared" ca="1" si="1188"/>
        <v>56.291516601192633</v>
      </c>
      <c r="AM683" s="21">
        <f t="shared" ca="1" si="1188"/>
        <v>45.921761002372037</v>
      </c>
      <c r="AN683" s="21"/>
      <c r="AO683" s="613">
        <f ca="1">SUMPRODUCT(AH$476:AN$476,AH683:AN683)/AO$476</f>
        <v>51.373922616478104</v>
      </c>
      <c r="AQ683" s="21">
        <f t="shared" ref="AQ683:AV683" ca="1" si="1189">($L$79)*60/AQ678</f>
        <v>6.6741819485499301</v>
      </c>
      <c r="AR683" s="21">
        <f t="shared" ca="1" si="1189"/>
        <v>11.55464433409219</v>
      </c>
      <c r="AS683" s="21">
        <f t="shared" ca="1" si="1189"/>
        <v>15.514952847568843</v>
      </c>
      <c r="AT683" s="21">
        <f t="shared" ca="1" si="1189"/>
        <v>17.306539281364092</v>
      </c>
      <c r="AU683" s="21">
        <f t="shared" ca="1" si="1189"/>
        <v>13.457969273618456</v>
      </c>
      <c r="AV683" s="21">
        <f t="shared" ca="1" si="1189"/>
        <v>10.978806148336735</v>
      </c>
      <c r="AW683" s="21"/>
      <c r="AX683" s="613">
        <f ca="1">SUMPRODUCT(AQ$476:AW$476,AQ683:AW683)/AX$476</f>
        <v>11.779323063157525</v>
      </c>
      <c r="AZ683" s="21">
        <f t="shared" ref="AZ683:BE683" ca="1" si="1190">($M$79)*60/AZ678</f>
        <v>14.020595834543974</v>
      </c>
      <c r="BA683" s="21">
        <f t="shared" ca="1" si="1190"/>
        <v>24.273086869531291</v>
      </c>
      <c r="BB683" s="21">
        <f t="shared" ca="1" si="1190"/>
        <v>32.592591113736624</v>
      </c>
      <c r="BC683" s="21">
        <f t="shared" ca="1" si="1190"/>
        <v>36.356214803431314</v>
      </c>
      <c r="BD683" s="21">
        <f t="shared" ca="1" si="1190"/>
        <v>28.271442012471844</v>
      </c>
      <c r="BE683" s="21">
        <f t="shared" ca="1" si="1190"/>
        <v>23.063411357114614</v>
      </c>
      <c r="BF683" s="21"/>
      <c r="BG683" s="613">
        <f ca="1">SUMPRODUCT(AZ$476:BF$476,AZ683:BF683)/BG$476</f>
        <v>26.26435182824493</v>
      </c>
      <c r="BI683" s="21">
        <f t="shared" ref="BI683:BN683" ca="1" si="1191">($N$79)*60/BI678</f>
        <v>19.20892183253709</v>
      </c>
      <c r="BJ683" s="21">
        <f t="shared" ca="1" si="1191"/>
        <v>33.255350472512518</v>
      </c>
      <c r="BK683" s="21">
        <f t="shared" ca="1" si="1191"/>
        <v>44.653489938073875</v>
      </c>
      <c r="BL683" s="21">
        <f t="shared" ca="1" si="1191"/>
        <v>49.809843784627901</v>
      </c>
      <c r="BM683" s="21">
        <f t="shared" ca="1" si="1191"/>
        <v>38.733298222082311</v>
      </c>
      <c r="BN683" s="21">
        <f t="shared" ca="1" si="1191"/>
        <v>31.598034147660194</v>
      </c>
      <c r="BO683" s="21"/>
      <c r="BP683" s="613">
        <f ca="1">SUMPRODUCT(BI$476:BO$476,BI683:BO683)/BP$476</f>
        <v>36.04264193562917</v>
      </c>
    </row>
    <row r="684" spans="2:68" ht="13.2" customHeight="1">
      <c r="B684" s="280" t="s">
        <v>1138</v>
      </c>
      <c r="C684" s="297"/>
      <c r="D684" s="297"/>
      <c r="E684" s="297"/>
      <c r="F684" s="297"/>
      <c r="G684" s="3738"/>
      <c r="H684" s="3739"/>
      <c r="I684" s="3739"/>
      <c r="J684" s="3739"/>
      <c r="K684" s="3739"/>
      <c r="L684" s="3922"/>
      <c r="O684" s="136">
        <f>ROW()</f>
        <v>684</v>
      </c>
      <c r="P684" s="21">
        <f t="shared" ref="P684:U684" ca="1" si="1192">60*$I$79/(1/($P$135/$P678+$Q$135/$Q678+$R$135/$R678+$S$135/$S678+$T$135/$T678+$U$135/$U678))</f>
        <v>33.915827878333474</v>
      </c>
      <c r="Q684" s="21">
        <f t="shared" ca="1" si="1192"/>
        <v>33.915827878333474</v>
      </c>
      <c r="R684" s="21">
        <f t="shared" ca="1" si="1192"/>
        <v>33.915827878333474</v>
      </c>
      <c r="S684" s="21">
        <f t="shared" ca="1" si="1192"/>
        <v>33.915827878333474</v>
      </c>
      <c r="T684" s="21">
        <f t="shared" ca="1" si="1192"/>
        <v>33.915827878333474</v>
      </c>
      <c r="U684" s="21">
        <f t="shared" ca="1" si="1192"/>
        <v>33.915827878333474</v>
      </c>
      <c r="V684" s="21"/>
      <c r="W684" s="613">
        <f ca="1">SUMPRODUCT(P$476:V$476,P684:V684)/W$476</f>
        <v>33.915827878333474</v>
      </c>
      <c r="Y684" s="21">
        <f t="shared" ref="Y684:AD684" ca="1" si="1193">60*$J$79/(1/($Y$135/$Y678+$Z$135/$Z678+$AA$135/$AA678+$AB$135/$AB678+$AC$135/$AC678+$AD$135/$AD678))</f>
        <v>33.915827878333459</v>
      </c>
      <c r="Z684" s="21">
        <f t="shared" ca="1" si="1193"/>
        <v>33.915827878333459</v>
      </c>
      <c r="AA684" s="21">
        <f t="shared" ca="1" si="1193"/>
        <v>33.915827878333459</v>
      </c>
      <c r="AB684" s="21">
        <f t="shared" ca="1" si="1193"/>
        <v>33.915827878333459</v>
      </c>
      <c r="AC684" s="21">
        <f t="shared" ca="1" si="1193"/>
        <v>33.915827878333459</v>
      </c>
      <c r="AD684" s="21">
        <f t="shared" ca="1" si="1193"/>
        <v>33.915827878333459</v>
      </c>
      <c r="AE684" s="21"/>
      <c r="AF684" s="613">
        <f ca="1">SUMPRODUCT(Y$476:AE$476,Y684:AE684)/AF$476</f>
        <v>33.915827878333459</v>
      </c>
      <c r="AH684" s="21">
        <f t="shared" ref="AH684:AM684" ca="1" si="1194">AH683</f>
        <v>27.91653155968039</v>
      </c>
      <c r="AI684" s="21">
        <f t="shared" ca="1" si="1194"/>
        <v>48.330356544092894</v>
      </c>
      <c r="AJ684" s="21">
        <f t="shared" ca="1" si="1194"/>
        <v>64.895394544976639</v>
      </c>
      <c r="AK684" s="21">
        <f t="shared" ca="1" si="1194"/>
        <v>72.389178743024587</v>
      </c>
      <c r="AL684" s="21">
        <f t="shared" ca="1" si="1194"/>
        <v>56.291516601192633</v>
      </c>
      <c r="AM684" s="21">
        <f t="shared" ca="1" si="1194"/>
        <v>45.921761002372037</v>
      </c>
      <c r="AN684" s="21"/>
      <c r="AO684" s="613">
        <f ca="1">SUMPRODUCT(AH$476:AN$476,AH684:AN684)/AO$476</f>
        <v>51.373922616478104</v>
      </c>
      <c r="AX684" s="613"/>
      <c r="AZ684" s="21">
        <f t="shared" ref="AZ684:BE684" ca="1" si="1195">60*$M$79/(1/($AZ$135/$AZ678+$BA$135/$BA678+$BB$135/$BB678+$BC$135/$BC678+$BD$135/$BD678+$BE$135/$BE678))</f>
        <v>25.550458196758701</v>
      </c>
      <c r="BA684" s="21">
        <f t="shared" ca="1" si="1195"/>
        <v>25.550458196758701</v>
      </c>
      <c r="BB684" s="21">
        <f t="shared" ca="1" si="1195"/>
        <v>25.550458196758701</v>
      </c>
      <c r="BC684" s="21">
        <f t="shared" ca="1" si="1195"/>
        <v>25.550458196758701</v>
      </c>
      <c r="BD684" s="21">
        <f t="shared" ca="1" si="1195"/>
        <v>25.550458196758701</v>
      </c>
      <c r="BE684" s="21">
        <f t="shared" ca="1" si="1195"/>
        <v>25.550458196758701</v>
      </c>
      <c r="BF684" s="21"/>
      <c r="BG684" s="613">
        <f ca="1">SUMPRODUCT(AZ$476:BF$476,AZ684:BF684)/BG$476</f>
        <v>25.550458196758701</v>
      </c>
      <c r="BI684" s="21">
        <f t="shared" ref="BI684:BN684" ca="1" si="1196">60*$N$79/(1/($BI$135/$BI678+$BJ$135/$BJ678+$BK$135/$BK678+$BL$135/$BL678+$BM$135/$BM678+$BN$135/$BN678))</f>
        <v>35.005413470219182</v>
      </c>
      <c r="BJ684" s="21">
        <f t="shared" ca="1" si="1196"/>
        <v>35.005413470219182</v>
      </c>
      <c r="BK684" s="21">
        <f t="shared" ca="1" si="1196"/>
        <v>35.005413470219182</v>
      </c>
      <c r="BL684" s="21">
        <f t="shared" ca="1" si="1196"/>
        <v>35.005413470219182</v>
      </c>
      <c r="BM684" s="21">
        <f t="shared" ca="1" si="1196"/>
        <v>35.005413470219182</v>
      </c>
      <c r="BN684" s="21">
        <f t="shared" ca="1" si="1196"/>
        <v>35.005413470219182</v>
      </c>
      <c r="BO684" s="21"/>
      <c r="BP684" s="613">
        <f ca="1">SUMPRODUCT(BI$476:BO$476,BI684:BO684)/BP$476</f>
        <v>35.005413470219175</v>
      </c>
    </row>
    <row r="685" spans="2:68" ht="13.2" customHeight="1">
      <c r="B685" s="308" t="s">
        <v>2243</v>
      </c>
      <c r="C685" s="297"/>
      <c r="D685" s="297"/>
      <c r="E685" s="297"/>
      <c r="F685" s="297"/>
      <c r="G685" s="3741"/>
      <c r="H685" s="3742"/>
      <c r="I685" s="3742"/>
      <c r="J685" s="3742"/>
      <c r="K685" s="3742"/>
      <c r="L685" s="3777"/>
      <c r="O685" s="136">
        <f>ROW()</f>
        <v>685</v>
      </c>
      <c r="P685" s="21">
        <f t="shared" ref="P685:U685" ca="1" si="1197">SUM(P681:P684)</f>
        <v>63.235841440335413</v>
      </c>
      <c r="Q685" s="21">
        <f t="shared" ca="1" si="1197"/>
        <v>78.071382391198128</v>
      </c>
      <c r="R685" s="21">
        <f t="shared" ca="1" si="1197"/>
        <v>90.718892758447552</v>
      </c>
      <c r="S685" s="21">
        <f t="shared" ca="1" si="1197"/>
        <v>96.713446004508384</v>
      </c>
      <c r="T685" s="21">
        <f t="shared" ca="1" si="1197"/>
        <v>84.370311713865732</v>
      </c>
      <c r="U685" s="21">
        <f t="shared" ca="1" si="1197"/>
        <v>76.377335244125987</v>
      </c>
      <c r="V685" s="21"/>
      <c r="W685" s="614">
        <f ca="1">SUM(W681:W684)</f>
        <v>80.656411150791087</v>
      </c>
      <c r="Y685" s="21">
        <f t="shared" ref="Y685:AD685" ca="1" si="1198">SUM(Y681:Y684)</f>
        <v>63.235841440335392</v>
      </c>
      <c r="Z685" s="21">
        <f t="shared" ca="1" si="1198"/>
        <v>78.071382391198114</v>
      </c>
      <c r="AA685" s="21">
        <f t="shared" ca="1" si="1198"/>
        <v>90.718892758447538</v>
      </c>
      <c r="AB685" s="21">
        <f t="shared" ca="1" si="1198"/>
        <v>96.71344600450837</v>
      </c>
      <c r="AC685" s="21">
        <f t="shared" ca="1" si="1198"/>
        <v>84.370311713865718</v>
      </c>
      <c r="AD685" s="21">
        <f t="shared" ca="1" si="1198"/>
        <v>76.377335244125959</v>
      </c>
      <c r="AE685" s="21"/>
      <c r="AF685" s="614">
        <f ca="1">SUM(AF681:AF684)</f>
        <v>82.608055315768439</v>
      </c>
      <c r="AH685" s="21">
        <f t="shared" ref="AH685:AO685" ca="1" si="1199">SUM(AH681:AH684)</f>
        <v>64.167440145070145</v>
      </c>
      <c r="AI685" s="21">
        <f t="shared" ca="1" si="1199"/>
        <v>107.28422879712556</v>
      </c>
      <c r="AJ685" s="21">
        <f t="shared" ca="1" si="1199"/>
        <v>143.40872130554777</v>
      </c>
      <c r="AK685" s="21">
        <f t="shared" ca="1" si="1199"/>
        <v>160.26052431449753</v>
      </c>
      <c r="AL685" s="21">
        <f t="shared" ca="1" si="1199"/>
        <v>125.0573289092471</v>
      </c>
      <c r="AM685" s="21">
        <f t="shared" ca="1" si="1199"/>
        <v>102.30217971329068</v>
      </c>
      <c r="AN685" s="21"/>
      <c r="AO685" s="614">
        <f t="shared" ca="1" si="1199"/>
        <v>114.48068337701282</v>
      </c>
      <c r="AQ685" s="21">
        <f t="shared" ref="AQ685:AX685" ca="1" si="1200">AQ681+AQ683</f>
        <v>12.940630840060733</v>
      </c>
      <c r="AR685" s="21">
        <f t="shared" ca="1" si="1200"/>
        <v>19.542250130287503</v>
      </c>
      <c r="AS685" s="21">
        <f t="shared" ca="1" si="1200"/>
        <v>25.753999626211304</v>
      </c>
      <c r="AT685" s="21">
        <f t="shared" ca="1" si="1200"/>
        <v>28.947266220047062</v>
      </c>
      <c r="AU685" s="21">
        <f t="shared" ca="1" si="1200"/>
        <v>22.837138978025848</v>
      </c>
      <c r="AV685" s="21">
        <f t="shared" ca="1" si="1200"/>
        <v>18.842458560777793</v>
      </c>
      <c r="AW685" s="21"/>
      <c r="AX685" s="614">
        <f t="shared" ca="1" si="1200"/>
        <v>20.365855975536135</v>
      </c>
      <c r="AZ685" s="21">
        <f t="shared" ref="AZ685:BE685" ca="1" si="1201">SUM(AZ681:AZ684)</f>
        <v>60.989039075732691</v>
      </c>
      <c r="BA685" s="21">
        <f t="shared" ca="1" si="1201"/>
        <v>73.694178699895431</v>
      </c>
      <c r="BB685" s="21">
        <f t="shared" ca="1" si="1201"/>
        <v>85.221986344087952</v>
      </c>
      <c r="BC685" s="21">
        <f t="shared" ca="1" si="1201"/>
        <v>90.983004261840378</v>
      </c>
      <c r="BD685" s="21">
        <f t="shared" ca="1" si="1201"/>
        <v>79.675512412038202</v>
      </c>
      <c r="BE685" s="21">
        <f t="shared" ca="1" si="1201"/>
        <v>72.307869615628945</v>
      </c>
      <c r="BF685" s="21"/>
      <c r="BG685" s="614">
        <f ca="1">SUM(BG681:BG684)</f>
        <v>77.020914023187402</v>
      </c>
      <c r="BI685" s="21">
        <f t="shared" ref="BI685:BN685" ca="1" si="1202">SUM(BI681:BI684)</f>
        <v>68.492991999042943</v>
      </c>
      <c r="BJ685" s="21">
        <f t="shared" ca="1" si="1202"/>
        <v>84.174519698468657</v>
      </c>
      <c r="BK685" s="21">
        <f t="shared" ca="1" si="1202"/>
        <v>97.711528097354815</v>
      </c>
      <c r="BL685" s="21">
        <f t="shared" ca="1" si="1202"/>
        <v>104.19947809594733</v>
      </c>
      <c r="BM685" s="21">
        <f t="shared" ca="1" si="1202"/>
        <v>90.974453160839943</v>
      </c>
      <c r="BN685" s="21">
        <f t="shared" ca="1" si="1202"/>
        <v>82.399447659049798</v>
      </c>
      <c r="BO685" s="21"/>
      <c r="BP685" s="614">
        <f ca="1">SUM(BP681:BP684)</f>
        <v>87.861251933233632</v>
      </c>
    </row>
    <row r="686" spans="2:68" ht="13.2" customHeight="1">
      <c r="B686" s="280"/>
      <c r="G686" s="280"/>
      <c r="O686" s="136">
        <f>ROW()</f>
        <v>686</v>
      </c>
      <c r="P686" s="117"/>
      <c r="Q686" s="117"/>
      <c r="R686" s="117"/>
      <c r="S686" s="117"/>
      <c r="T686" s="117"/>
      <c r="U686" s="117"/>
      <c r="V686" s="117"/>
      <c r="W686" s="117"/>
      <c r="Y686" s="117"/>
      <c r="Z686" s="117"/>
      <c r="AA686" s="117"/>
      <c r="AB686" s="117"/>
      <c r="AC686" s="117"/>
      <c r="AD686" s="117"/>
      <c r="AE686" s="117"/>
      <c r="AF686" s="117"/>
      <c r="AH686" s="117"/>
      <c r="AI686" s="117"/>
      <c r="AJ686" s="117"/>
      <c r="AK686" s="117"/>
      <c r="AL686" s="117"/>
      <c r="AM686" s="117"/>
      <c r="AN686" s="117"/>
      <c r="AO686" s="117"/>
      <c r="AQ686" s="117"/>
      <c r="AR686" s="117"/>
      <c r="AS686" s="117"/>
      <c r="AT686" s="117"/>
      <c r="AU686" s="117"/>
      <c r="AV686" s="117"/>
      <c r="AW686" s="117"/>
      <c r="AX686" s="117"/>
      <c r="AZ686" s="117"/>
      <c r="BA686" s="117"/>
      <c r="BB686" s="117"/>
      <c r="BC686" s="117"/>
      <c r="BD686" s="117"/>
      <c r="BE686" s="117"/>
      <c r="BF686" s="117"/>
      <c r="BG686" s="117"/>
      <c r="BI686" s="117"/>
      <c r="BJ686" s="117"/>
      <c r="BK686" s="117"/>
      <c r="BL686" s="117"/>
      <c r="BM686" s="117"/>
      <c r="BN686" s="117"/>
      <c r="BO686" s="117"/>
      <c r="BP686" s="117"/>
    </row>
    <row r="687" spans="2:68" ht="13.2" customHeight="1">
      <c r="B687" s="308" t="s">
        <v>1345</v>
      </c>
      <c r="G687" s="4285" t="s">
        <v>2351</v>
      </c>
      <c r="H687" s="3970"/>
      <c r="I687" s="3970"/>
      <c r="J687" s="3970"/>
      <c r="K687" s="3970"/>
      <c r="L687" s="3971"/>
      <c r="O687" s="136">
        <f>ROW()</f>
        <v>687</v>
      </c>
      <c r="P687" s="117">
        <f t="shared" ref="P687:W687" ca="1" si="1203">P685/P637</f>
        <v>1.0003380985532817</v>
      </c>
      <c r="Q687" s="117">
        <f t="shared" ca="1" si="1203"/>
        <v>1.0005427280894301</v>
      </c>
      <c r="R687" s="117">
        <f t="shared" ca="1" si="1203"/>
        <v>1.0006193463982913</v>
      </c>
      <c r="S687" s="117">
        <f t="shared" ca="1" si="1203"/>
        <v>1.0006020024794389</v>
      </c>
      <c r="T687" s="117">
        <f t="shared" ca="1" si="1203"/>
        <v>1.0006437903098948</v>
      </c>
      <c r="U687" s="117">
        <f t="shared" ca="1" si="1203"/>
        <v>1.0005608612551933</v>
      </c>
      <c r="V687" s="117"/>
      <c r="W687" s="117">
        <f t="shared" ca="1" si="1203"/>
        <v>1.0005435573299952</v>
      </c>
      <c r="Y687" s="117">
        <f t="shared" ref="Y687:AF687" ca="1" si="1204">Y685/Y637</f>
        <v>1.0003380985532817</v>
      </c>
      <c r="Z687" s="117">
        <f t="shared" ca="1" si="1204"/>
        <v>1.0005427280894301</v>
      </c>
      <c r="AA687" s="117">
        <f t="shared" ca="1" si="1204"/>
        <v>1.0006193463982915</v>
      </c>
      <c r="AB687" s="117">
        <f t="shared" ca="1" si="1204"/>
        <v>1.0006020024794389</v>
      </c>
      <c r="AC687" s="117">
        <f t="shared" ca="1" si="1204"/>
        <v>1.0006437903098948</v>
      </c>
      <c r="AD687" s="117">
        <f t="shared" ca="1" si="1204"/>
        <v>1.0005608612551931</v>
      </c>
      <c r="AE687" s="117"/>
      <c r="AF687" s="117">
        <f t="shared" ca="1" si="1204"/>
        <v>1.0005571663942867</v>
      </c>
      <c r="AH687" s="117">
        <f t="shared" ref="AH687:AO687" ca="1" si="1205">AH685/AH637</f>
        <v>0.99997611290985333</v>
      </c>
      <c r="AI687" s="117">
        <f t="shared" ca="1" si="1205"/>
        <v>1.0005534716625453</v>
      </c>
      <c r="AJ687" s="117">
        <f t="shared" ca="1" si="1205"/>
        <v>1.0006603407338797</v>
      </c>
      <c r="AK687" s="117">
        <f t="shared" ca="1" si="1205"/>
        <v>1.0005741196760789</v>
      </c>
      <c r="AL687" s="117">
        <f t="shared" ca="1" si="1205"/>
        <v>1.0007460404026491</v>
      </c>
      <c r="AM687" s="117">
        <f t="shared" ca="1" si="1205"/>
        <v>1.0005962262078045</v>
      </c>
      <c r="AN687" s="117"/>
      <c r="AO687" s="117">
        <f t="shared" ca="1" si="1205"/>
        <v>1.0005239623871862</v>
      </c>
      <c r="AQ687" s="117">
        <f t="shared" ref="AQ687:AX687" ca="1" si="1206">AQ685/AQ637</f>
        <v>1.0000431099812632</v>
      </c>
      <c r="AR687" s="117">
        <f t="shared" ca="1" si="1206"/>
        <v>1.0005103832880486</v>
      </c>
      <c r="AS687" s="117">
        <f t="shared" ca="1" si="1206"/>
        <v>1.0007989809204836</v>
      </c>
      <c r="AT687" s="117">
        <f t="shared" ca="1" si="1206"/>
        <v>1.0010163318717451</v>
      </c>
      <c r="AU687" s="117">
        <f t="shared" ca="1" si="1206"/>
        <v>1.0007018198634496</v>
      </c>
      <c r="AV687" s="117">
        <f t="shared" ca="1" si="1206"/>
        <v>1.0005274532398787</v>
      </c>
      <c r="AW687" s="117"/>
      <c r="AX687" s="117">
        <f t="shared" ca="1" si="1206"/>
        <v>1.0006222277484378</v>
      </c>
      <c r="AZ687" s="117">
        <f t="shared" ref="AZ687:BG687" ca="1" si="1207">AZ685/AZ637</f>
        <v>1.0003910329120878</v>
      </c>
      <c r="BA687" s="117">
        <f t="shared" ca="1" si="1207"/>
        <v>1.0005688229060477</v>
      </c>
      <c r="BB687" s="117">
        <f t="shared" ca="1" si="1207"/>
        <v>1.0006930778786514</v>
      </c>
      <c r="BC687" s="117">
        <f t="shared" ca="1" si="1207"/>
        <v>1.0007724049955038</v>
      </c>
      <c r="BD687" s="117">
        <f t="shared" ca="1" si="1207"/>
        <v>1.0006655695155231</v>
      </c>
      <c r="BE687" s="117">
        <f t="shared" ca="1" si="1207"/>
        <v>1.0005812390565212</v>
      </c>
      <c r="BF687" s="117"/>
      <c r="BG687" s="117">
        <f t="shared" ca="1" si="1207"/>
        <v>1.0006228543110256</v>
      </c>
      <c r="BI687" s="117">
        <f t="shared" ref="BI687:BP687" ca="1" si="1208">BI685/BI637</f>
        <v>1.0003494865075513</v>
      </c>
      <c r="BJ687" s="117">
        <f t="shared" ca="1" si="1208"/>
        <v>1.0005482478252985</v>
      </c>
      <c r="BK687" s="117">
        <f t="shared" ca="1" si="1208"/>
        <v>1.0006348829267717</v>
      </c>
      <c r="BL687" s="117">
        <f t="shared" ca="1" si="1208"/>
        <v>1.0006379470103934</v>
      </c>
      <c r="BM687" s="117">
        <f t="shared" ca="1" si="1208"/>
        <v>1.0006483988188537</v>
      </c>
      <c r="BN687" s="117">
        <f t="shared" ca="1" si="1208"/>
        <v>1.0005651817358137</v>
      </c>
      <c r="BO687" s="117"/>
      <c r="BP687" s="117">
        <f t="shared" ca="1" si="1208"/>
        <v>1.0005648470856963</v>
      </c>
    </row>
    <row r="688" spans="2:68" ht="13.2" customHeight="1">
      <c r="B688" s="280"/>
      <c r="G688" s="280"/>
      <c r="O688" s="136">
        <f>ROW()</f>
        <v>688</v>
      </c>
      <c r="P688" s="117"/>
      <c r="Q688" s="117"/>
      <c r="R688" s="117"/>
      <c r="S688" s="117"/>
      <c r="T688" s="117"/>
      <c r="U688" s="117"/>
      <c r="V688" s="117"/>
      <c r="W688" s="117"/>
      <c r="Y688" s="117"/>
      <c r="Z688" s="117"/>
      <c r="AA688" s="117"/>
      <c r="AB688" s="117"/>
      <c r="AC688" s="117"/>
      <c r="AD688" s="117"/>
      <c r="AE688" s="117"/>
      <c r="AF688" s="117"/>
      <c r="AH688" s="117"/>
      <c r="AI688" s="117"/>
      <c r="AJ688" s="117"/>
      <c r="AK688" s="117"/>
      <c r="AL688" s="117"/>
      <c r="AM688" s="117"/>
      <c r="AN688" s="117"/>
      <c r="AO688" s="117"/>
      <c r="AQ688" s="117"/>
      <c r="AR688" s="117"/>
      <c r="AS688" s="117"/>
      <c r="AT688" s="117"/>
      <c r="AU688" s="117"/>
      <c r="AV688" s="117"/>
      <c r="AW688" s="117"/>
      <c r="AX688" s="117"/>
      <c r="AZ688" s="117"/>
      <c r="BA688" s="117"/>
      <c r="BB688" s="117"/>
      <c r="BC688" s="117"/>
      <c r="BD688" s="117"/>
      <c r="BE688" s="117"/>
      <c r="BF688" s="117"/>
      <c r="BG688" s="117"/>
      <c r="BI688" s="117"/>
      <c r="BJ688" s="117"/>
      <c r="BK688" s="117"/>
      <c r="BL688" s="117"/>
      <c r="BM688" s="117"/>
      <c r="BN688" s="117"/>
      <c r="BO688" s="117"/>
      <c r="BP688" s="117"/>
    </row>
    <row r="689" spans="2:68" ht="13.2" customHeight="1">
      <c r="B689" s="308" t="s">
        <v>1571</v>
      </c>
      <c r="G689" s="280"/>
      <c r="O689" s="136">
        <f>ROW()</f>
        <v>689</v>
      </c>
      <c r="P689" s="117"/>
      <c r="Q689" s="117"/>
      <c r="R689" s="117"/>
      <c r="S689" s="117"/>
      <c r="T689" s="117"/>
      <c r="U689" s="117"/>
      <c r="V689" s="117"/>
      <c r="W689" s="117"/>
      <c r="Y689" s="117"/>
      <c r="Z689" s="117"/>
      <c r="AA689" s="117"/>
      <c r="AB689" s="117"/>
      <c r="AC689" s="117"/>
      <c r="AD689" s="117"/>
      <c r="AE689" s="117"/>
      <c r="AF689" s="117"/>
      <c r="AH689" s="117"/>
      <c r="AI689" s="117"/>
      <c r="AJ689" s="117"/>
      <c r="AK689" s="117"/>
      <c r="AL689" s="117"/>
      <c r="AM689" s="117"/>
      <c r="AN689" s="117"/>
      <c r="AO689" s="117"/>
      <c r="AQ689" s="117"/>
      <c r="AR689" s="117"/>
      <c r="AS689" s="117"/>
      <c r="AT689" s="117"/>
      <c r="AU689" s="117"/>
      <c r="AV689" s="117"/>
      <c r="AW689" s="117"/>
      <c r="AX689" s="117"/>
      <c r="AZ689" s="117"/>
      <c r="BA689" s="117"/>
      <c r="BB689" s="117"/>
      <c r="BC689" s="117"/>
      <c r="BD689" s="117"/>
      <c r="BE689" s="117"/>
      <c r="BF689" s="117"/>
      <c r="BG689" s="117"/>
      <c r="BI689" s="117"/>
      <c r="BJ689" s="117"/>
      <c r="BK689" s="117"/>
      <c r="BL689" s="117"/>
      <c r="BM689" s="117"/>
      <c r="BN689" s="117"/>
      <c r="BO689" s="117"/>
      <c r="BP689" s="117"/>
    </row>
    <row r="690" spans="2:68" ht="13.2" customHeight="1">
      <c r="B690" s="280" t="s">
        <v>2533</v>
      </c>
      <c r="G690" s="21">
        <f t="shared" ref="G690:L690" ca="1" si="1209">AVERAGE(G$677,G$629,G$581,G$533,G$481,G$403)</f>
        <v>20.1552560344455</v>
      </c>
      <c r="H690" s="21">
        <f t="shared" ca="1" si="1209"/>
        <v>15.828698834714018</v>
      </c>
      <c r="I690" s="21">
        <f t="shared" ca="1" si="1209"/>
        <v>12.341684332991086</v>
      </c>
      <c r="J690" s="21">
        <f t="shared" ca="1" si="1209"/>
        <v>10.847721565896611</v>
      </c>
      <c r="K690" s="21">
        <f t="shared" ca="1" si="1209"/>
        <v>13.499991550970508</v>
      </c>
      <c r="L690" s="21">
        <f t="shared" ca="1" si="1209"/>
        <v>16.083598127831536</v>
      </c>
      <c r="M690" s="21"/>
      <c r="O690" s="136">
        <f>ROW()</f>
        <v>690</v>
      </c>
      <c r="P690" s="21">
        <f t="shared" ref="P690:U691" ca="1" si="1210">G690</f>
        <v>20.1552560344455</v>
      </c>
      <c r="Q690" s="21">
        <f t="shared" ca="1" si="1210"/>
        <v>15.828698834714018</v>
      </c>
      <c r="R690" s="21">
        <f t="shared" ca="1" si="1210"/>
        <v>12.341684332991086</v>
      </c>
      <c r="S690" s="21">
        <f t="shared" ca="1" si="1210"/>
        <v>10.847721565896611</v>
      </c>
      <c r="T690" s="21">
        <f t="shared" ca="1" si="1210"/>
        <v>13.499991550970508</v>
      </c>
      <c r="U690" s="21">
        <f t="shared" ca="1" si="1210"/>
        <v>16.083598127831536</v>
      </c>
      <c r="V690" s="21"/>
      <c r="Y690" s="21">
        <f t="shared" ref="Y690:AD691" ca="1" si="1211">G690</f>
        <v>20.1552560344455</v>
      </c>
      <c r="Z690" s="21">
        <f t="shared" ca="1" si="1211"/>
        <v>15.828698834714018</v>
      </c>
      <c r="AA690" s="21">
        <f t="shared" ca="1" si="1211"/>
        <v>12.341684332991086</v>
      </c>
      <c r="AB690" s="21">
        <f t="shared" ca="1" si="1211"/>
        <v>10.847721565896611</v>
      </c>
      <c r="AC690" s="21">
        <f t="shared" ca="1" si="1211"/>
        <v>13.499991550970508</v>
      </c>
      <c r="AD690" s="21">
        <f t="shared" ca="1" si="1211"/>
        <v>16.083598127831536</v>
      </c>
      <c r="AE690" s="21"/>
      <c r="AH690" s="21">
        <f t="shared" ref="AH690:AM691" ca="1" si="1212">P690</f>
        <v>20.1552560344455</v>
      </c>
      <c r="AI690" s="21">
        <f t="shared" ca="1" si="1212"/>
        <v>15.828698834714018</v>
      </c>
      <c r="AJ690" s="21">
        <f t="shared" ca="1" si="1212"/>
        <v>12.341684332991086</v>
      </c>
      <c r="AK690" s="21">
        <f t="shared" ca="1" si="1212"/>
        <v>10.847721565896611</v>
      </c>
      <c r="AL690" s="21">
        <f t="shared" ca="1" si="1212"/>
        <v>13.499991550970508</v>
      </c>
      <c r="AM690" s="21">
        <f t="shared" ca="1" si="1212"/>
        <v>16.083598127831536</v>
      </c>
      <c r="AN690" s="21"/>
      <c r="AQ690" s="21">
        <f t="shared" ref="AQ690:AV690" ca="1" si="1213">G690*$AU$181</f>
        <v>19.147493232723225</v>
      </c>
      <c r="AR690" s="21">
        <f t="shared" ca="1" si="1213"/>
        <v>15.037263892978316</v>
      </c>
      <c r="AS690" s="21">
        <f t="shared" ca="1" si="1213"/>
        <v>11.724600116341531</v>
      </c>
      <c r="AT690" s="21">
        <f t="shared" ca="1" si="1213"/>
        <v>10.305335487601781</v>
      </c>
      <c r="AU690" s="21">
        <f t="shared" ca="1" si="1213"/>
        <v>12.824991973421982</v>
      </c>
      <c r="AV690" s="21">
        <f t="shared" ca="1" si="1213"/>
        <v>15.279418221439958</v>
      </c>
      <c r="AW690" s="21"/>
      <c r="AZ690" s="21">
        <f t="shared" ref="AZ690:BE691" ca="1" si="1214">G690</f>
        <v>20.1552560344455</v>
      </c>
      <c r="BA690" s="21">
        <f t="shared" ca="1" si="1214"/>
        <v>15.828698834714018</v>
      </c>
      <c r="BB690" s="21">
        <f t="shared" ca="1" si="1214"/>
        <v>12.341684332991086</v>
      </c>
      <c r="BC690" s="21">
        <f t="shared" ca="1" si="1214"/>
        <v>10.847721565896611</v>
      </c>
      <c r="BD690" s="21">
        <f t="shared" ca="1" si="1214"/>
        <v>13.499991550970508</v>
      </c>
      <c r="BE690" s="21">
        <f t="shared" ca="1" si="1214"/>
        <v>16.083598127831536</v>
      </c>
      <c r="BF690" s="21"/>
      <c r="BG690" s="21"/>
      <c r="BI690" s="21">
        <f t="shared" ref="BI690:BN691" ca="1" si="1215">G690</f>
        <v>20.1552560344455</v>
      </c>
      <c r="BJ690" s="21">
        <f t="shared" ca="1" si="1215"/>
        <v>15.828698834714018</v>
      </c>
      <c r="BK690" s="21">
        <f t="shared" ca="1" si="1215"/>
        <v>12.341684332991086</v>
      </c>
      <c r="BL690" s="21">
        <f t="shared" ca="1" si="1215"/>
        <v>10.847721565896611</v>
      </c>
      <c r="BM690" s="21">
        <f t="shared" ca="1" si="1215"/>
        <v>13.499991550970508</v>
      </c>
      <c r="BN690" s="21">
        <f t="shared" ca="1" si="1215"/>
        <v>16.083598127831536</v>
      </c>
      <c r="BO690" s="21"/>
      <c r="BP690" s="21"/>
    </row>
    <row r="691" spans="2:68" ht="13.2" customHeight="1">
      <c r="B691" s="280" t="s">
        <v>2534</v>
      </c>
      <c r="G691" s="21">
        <f t="shared" ref="G691:L691" ca="1" si="1216">AVERAGE(G$678,G$630,G$582,G$534,G$482,G$427)</f>
        <v>54.492136567504666</v>
      </c>
      <c r="H691" s="21">
        <f t="shared" ca="1" si="1216"/>
        <v>31.443149305992801</v>
      </c>
      <c r="I691" s="21">
        <f t="shared" ca="1" si="1216"/>
        <v>23.421166836563597</v>
      </c>
      <c r="J691" s="21">
        <f t="shared" ca="1" si="1216"/>
        <v>21.002076198770016</v>
      </c>
      <c r="K691" s="21">
        <f t="shared" ca="1" si="1216"/>
        <v>26.992859326072502</v>
      </c>
      <c r="L691" s="21">
        <f t="shared" ca="1" si="1216"/>
        <v>33.08787249334258</v>
      </c>
      <c r="M691" s="21"/>
      <c r="O691" s="136">
        <f>ROW()</f>
        <v>691</v>
      </c>
      <c r="P691" s="21">
        <f t="shared" ca="1" si="1210"/>
        <v>54.492136567504666</v>
      </c>
      <c r="Q691" s="21">
        <f t="shared" ca="1" si="1210"/>
        <v>31.443149305992801</v>
      </c>
      <c r="R691" s="21">
        <f t="shared" ca="1" si="1210"/>
        <v>23.421166836563597</v>
      </c>
      <c r="S691" s="21">
        <f t="shared" ca="1" si="1210"/>
        <v>21.002076198770016</v>
      </c>
      <c r="T691" s="21">
        <f t="shared" ca="1" si="1210"/>
        <v>26.992859326072502</v>
      </c>
      <c r="U691" s="21">
        <f t="shared" ca="1" si="1210"/>
        <v>33.08787249334258</v>
      </c>
      <c r="V691" s="21"/>
      <c r="Y691" s="21">
        <f t="shared" ca="1" si="1211"/>
        <v>54.492136567504666</v>
      </c>
      <c r="Z691" s="21">
        <f t="shared" ca="1" si="1211"/>
        <v>31.443149305992801</v>
      </c>
      <c r="AA691" s="21">
        <f t="shared" ca="1" si="1211"/>
        <v>23.421166836563597</v>
      </c>
      <c r="AB691" s="21">
        <f t="shared" ca="1" si="1211"/>
        <v>21.002076198770016</v>
      </c>
      <c r="AC691" s="21">
        <f t="shared" ca="1" si="1211"/>
        <v>26.992859326072502</v>
      </c>
      <c r="AD691" s="21">
        <f t="shared" ca="1" si="1211"/>
        <v>33.08787249334258</v>
      </c>
      <c r="AE691" s="21"/>
      <c r="AH691" s="21">
        <f t="shared" ca="1" si="1212"/>
        <v>54.492136567504666</v>
      </c>
      <c r="AI691" s="21">
        <f t="shared" ca="1" si="1212"/>
        <v>31.443149305992801</v>
      </c>
      <c r="AJ691" s="21">
        <f t="shared" ca="1" si="1212"/>
        <v>23.421166836563597</v>
      </c>
      <c r="AK691" s="21">
        <f t="shared" ca="1" si="1212"/>
        <v>21.002076198770016</v>
      </c>
      <c r="AL691" s="21">
        <f t="shared" ca="1" si="1212"/>
        <v>26.992859326072502</v>
      </c>
      <c r="AM691" s="21">
        <f t="shared" ca="1" si="1212"/>
        <v>33.08787249334258</v>
      </c>
      <c r="AN691" s="21"/>
      <c r="AQ691" s="21">
        <f t="shared" ref="AQ691:AV691" ca="1" si="1217">G691*$AV$181</f>
        <v>53.947215201829621</v>
      </c>
      <c r="AR691" s="21">
        <f t="shared" ca="1" si="1217"/>
        <v>31.128717812932873</v>
      </c>
      <c r="AS691" s="21">
        <f t="shared" ca="1" si="1217"/>
        <v>23.186955168197962</v>
      </c>
      <c r="AT691" s="21">
        <f t="shared" ca="1" si="1217"/>
        <v>20.792055436782316</v>
      </c>
      <c r="AU691" s="21">
        <f t="shared" ca="1" si="1217"/>
        <v>26.722930732811776</v>
      </c>
      <c r="AV691" s="21">
        <f t="shared" ca="1" si="1217"/>
        <v>32.756993768409153</v>
      </c>
      <c r="AW691" s="21"/>
      <c r="AZ691" s="21">
        <f t="shared" ca="1" si="1214"/>
        <v>54.492136567504666</v>
      </c>
      <c r="BA691" s="21">
        <f t="shared" ca="1" si="1214"/>
        <v>31.443149305992801</v>
      </c>
      <c r="BB691" s="21">
        <f t="shared" ca="1" si="1214"/>
        <v>23.421166836563597</v>
      </c>
      <c r="BC691" s="21">
        <f t="shared" ca="1" si="1214"/>
        <v>21.002076198770016</v>
      </c>
      <c r="BD691" s="21">
        <f t="shared" ca="1" si="1214"/>
        <v>26.992859326072502</v>
      </c>
      <c r="BE691" s="21">
        <f t="shared" ca="1" si="1214"/>
        <v>33.08787249334258</v>
      </c>
      <c r="BF691" s="21"/>
      <c r="BG691" s="21"/>
      <c r="BI691" s="21">
        <f t="shared" ca="1" si="1215"/>
        <v>54.492136567504666</v>
      </c>
      <c r="BJ691" s="21">
        <f t="shared" ca="1" si="1215"/>
        <v>31.443149305992801</v>
      </c>
      <c r="BK691" s="21">
        <f t="shared" ca="1" si="1215"/>
        <v>23.421166836563597</v>
      </c>
      <c r="BL691" s="21">
        <f t="shared" ca="1" si="1215"/>
        <v>21.002076198770016</v>
      </c>
      <c r="BM691" s="21">
        <f t="shared" ca="1" si="1215"/>
        <v>26.992859326072502</v>
      </c>
      <c r="BN691" s="21">
        <f t="shared" ca="1" si="1215"/>
        <v>33.08787249334258</v>
      </c>
      <c r="BO691" s="21"/>
      <c r="BP691" s="21"/>
    </row>
    <row r="692" spans="2:68" ht="13.2" customHeight="1">
      <c r="B692" s="280"/>
      <c r="G692" s="280"/>
      <c r="O692" s="136">
        <f>ROW()</f>
        <v>692</v>
      </c>
      <c r="P692" s="117"/>
      <c r="Q692" s="117"/>
      <c r="R692" s="117"/>
      <c r="S692" s="117"/>
      <c r="T692" s="117"/>
      <c r="U692" s="117"/>
      <c r="V692" s="117"/>
      <c r="W692" s="117"/>
      <c r="Y692" s="117"/>
      <c r="Z692" s="117"/>
      <c r="AA692" s="117"/>
      <c r="AB692" s="117"/>
      <c r="AC692" s="117"/>
      <c r="AD692" s="117"/>
      <c r="AE692" s="117"/>
      <c r="AF692" s="117"/>
      <c r="AH692" s="117"/>
      <c r="AI692" s="117"/>
      <c r="AJ692" s="117"/>
      <c r="AK692" s="117"/>
      <c r="AL692" s="117"/>
      <c r="AM692" s="117"/>
      <c r="AN692" s="117"/>
      <c r="AO692" s="117"/>
      <c r="AQ692" s="117"/>
      <c r="AR692" s="117"/>
      <c r="AS692" s="117"/>
      <c r="AT692" s="117"/>
      <c r="AU692" s="117"/>
      <c r="AV692" s="117"/>
      <c r="AW692" s="117"/>
      <c r="AX692" s="117"/>
      <c r="AZ692" s="117"/>
      <c r="BA692" s="117"/>
      <c r="BB692" s="117"/>
      <c r="BC692" s="117"/>
      <c r="BD692" s="117"/>
      <c r="BE692" s="117"/>
      <c r="BF692" s="117"/>
      <c r="BG692" s="117"/>
      <c r="BI692" s="117"/>
      <c r="BJ692" s="117"/>
      <c r="BK692" s="117"/>
      <c r="BL692" s="117"/>
      <c r="BM692" s="117"/>
      <c r="BN692" s="117"/>
      <c r="BO692" s="117"/>
      <c r="BP692" s="117"/>
    </row>
    <row r="693" spans="2:68" ht="13.2" customHeight="1">
      <c r="B693" s="6" t="s">
        <v>1643</v>
      </c>
      <c r="G693" s="948" t="s">
        <v>1472</v>
      </c>
      <c r="H693" s="948" t="s">
        <v>985</v>
      </c>
      <c r="I693" s="948" t="s">
        <v>987</v>
      </c>
      <c r="J693" s="948" t="s">
        <v>1367</v>
      </c>
      <c r="K693" s="948" t="s">
        <v>988</v>
      </c>
      <c r="L693" s="948" t="s">
        <v>986</v>
      </c>
      <c r="M693" s="948" t="s">
        <v>1638</v>
      </c>
      <c r="N693" s="948" t="s">
        <v>2684</v>
      </c>
      <c r="O693" s="136">
        <f>ROW()</f>
        <v>693</v>
      </c>
      <c r="P693" s="117">
        <f ca="1">P687^Elasticities!$G$52</f>
        <v>0.99966201571871482</v>
      </c>
      <c r="Q693" s="117">
        <f ca="1">Q687^Elasticities!$G$52</f>
        <v>0.99945756630457305</v>
      </c>
      <c r="R693" s="117">
        <f ca="1">R687^Elasticities!$G$52</f>
        <v>0.99938103695424174</v>
      </c>
      <c r="S693" s="117">
        <f ca="1">S687^Elasticities!$G$52</f>
        <v>0.99939835970950774</v>
      </c>
      <c r="T693" s="117">
        <f ca="1">T687^Elasticities!$G$52</f>
        <v>0.99935662388941082</v>
      </c>
      <c r="U693" s="117">
        <f ca="1">U687^Elasticities!$G$52</f>
        <v>0.99943945313382565</v>
      </c>
      <c r="V693" s="117"/>
      <c r="Y693" s="117">
        <f ca="1">Y687^Elasticities!$H$52</f>
        <v>0.99966201571871482</v>
      </c>
      <c r="Z693" s="117">
        <f ca="1">Z687^Elasticities!$H$52</f>
        <v>0.99945756630457305</v>
      </c>
      <c r="AA693" s="117">
        <f ca="1">AA687^Elasticities!$H$52</f>
        <v>0.99938103695424152</v>
      </c>
      <c r="AB693" s="117">
        <f ca="1">AB687^Elasticities!$H$52</f>
        <v>0.99939835970950774</v>
      </c>
      <c r="AC693" s="117">
        <f ca="1">AC687^Elasticities!$H$52</f>
        <v>0.99935662388941082</v>
      </c>
      <c r="AD693" s="117">
        <f ca="1">AD687^Elasticities!$H$52</f>
        <v>0.99943945313382587</v>
      </c>
      <c r="AE693" s="117"/>
      <c r="AH693" s="638">
        <f ca="1">AH687^Elasticities!$J$52</f>
        <v>1.0000238876607535</v>
      </c>
      <c r="AI693" s="117">
        <f ca="1">AI687^Elasticities!$J$52</f>
        <v>0.99944683449888427</v>
      </c>
      <c r="AJ693" s="117">
        <f ca="1">AJ687^Elasticities!$J$52</f>
        <v>0.99934009502825372</v>
      </c>
      <c r="AK693" s="117">
        <f ca="1">AK687^Elasticities!$J$52</f>
        <v>0.99942620974819463</v>
      </c>
      <c r="AL693" s="117">
        <f ca="1">AL687^Elasticities!$J$52</f>
        <v>0.99925451575871438</v>
      </c>
      <c r="AM693" s="117">
        <f ca="1">AM687^Elasticities!$J$52</f>
        <v>0.9994041290660628</v>
      </c>
      <c r="AN693" s="117"/>
      <c r="AQ693" s="117">
        <f ca="1">AQ687^Elasticities!$G$54</f>
        <v>0.99996551335303441</v>
      </c>
      <c r="AR693" s="117">
        <f ca="1">AR687^Elasticities!$G$54</f>
        <v>0.99959188083385442</v>
      </c>
      <c r="AS693" s="117">
        <f ca="1">AS687^Elasticities!$G$54</f>
        <v>0.99936127454789048</v>
      </c>
      <c r="AT693" s="117">
        <f ca="1">AT687^Elasticities!$G$54</f>
        <v>0.99918767750775961</v>
      </c>
      <c r="AU693" s="117">
        <f ca="1">AU687^Elasticities!$G$54</f>
        <v>0.99943889851390355</v>
      </c>
      <c r="AV693" s="117">
        <f ca="1">AV687^Elasticities!$G$54</f>
        <v>0.99957823761851905</v>
      </c>
      <c r="AW693" s="117"/>
      <c r="AZ693" s="117">
        <f ca="1">AZ687^(Elasticities!$J$64*Elasticities!$G$52)</f>
        <v>0.99986968966491496</v>
      </c>
      <c r="BA693" s="117">
        <f ca="1">BA687^(Elasticities!$J$64*Elasticities!$G$52)</f>
        <v>0.99981046423496578</v>
      </c>
      <c r="BB693" s="117">
        <f ca="1">BB687^(Elasticities!$J$64*Elasticities!$G$52)</f>
        <v>0.99976908072892812</v>
      </c>
      <c r="BC693" s="117">
        <f ca="1">BC687^(Elasticities!$J$64*Elasticities!$G$52)</f>
        <v>0.9997426641684517</v>
      </c>
      <c r="BD693" s="117">
        <f ca="1">BD687^(Elasticities!$J$64*Elasticities!$G$52)</f>
        <v>0.99977824188451248</v>
      </c>
      <c r="BE693" s="117">
        <f ca="1">BE687^(Elasticities!$J$64*Elasticities!$G$52)</f>
        <v>0.99980632868920105</v>
      </c>
      <c r="BF693" s="117"/>
      <c r="BI693" s="117">
        <f ca="1">BI687^Elasticities!$G$50</f>
        <v>0.9998253025356959</v>
      </c>
      <c r="BJ693" s="117">
        <f ca="1">BJ687^Elasticities!$G$50</f>
        <v>0.99972598875175778</v>
      </c>
      <c r="BK693" s="117">
        <f ca="1">BK687^Elasticities!$G$50</f>
        <v>0.99968270961031169</v>
      </c>
      <c r="BL693" s="117">
        <f ca="1">BL687^Elasticities!$G$50</f>
        <v>0.99968117902985998</v>
      </c>
      <c r="BM693" s="117">
        <f ca="1">BM687^Elasticities!$G$50</f>
        <v>0.99967595816331944</v>
      </c>
      <c r="BN693" s="117">
        <f ca="1">BN687^Elasticities!$G$50</f>
        <v>0.99971752886210152</v>
      </c>
      <c r="BO693" s="117"/>
    </row>
    <row r="694" spans="2:68" ht="13.2" customHeight="1">
      <c r="B694" s="6"/>
      <c r="G694" s="298" t="s">
        <v>1918</v>
      </c>
      <c r="H694" s="298" t="s">
        <v>1838</v>
      </c>
      <c r="I694" s="298" t="s">
        <v>1839</v>
      </c>
      <c r="J694" s="298" t="s">
        <v>1840</v>
      </c>
      <c r="K694" s="298" t="s">
        <v>1841</v>
      </c>
      <c r="L694" s="298" t="s">
        <v>1917</v>
      </c>
      <c r="M694" s="298"/>
      <c r="N694" s="298"/>
      <c r="O694" s="136">
        <f>ROW()</f>
        <v>694</v>
      </c>
      <c r="P694" s="309" t="s">
        <v>3311</v>
      </c>
      <c r="Y694" s="309" t="s">
        <v>3312</v>
      </c>
      <c r="AH694" s="309" t="s">
        <v>3313</v>
      </c>
      <c r="AQ694" s="215" t="s">
        <v>3304</v>
      </c>
      <c r="AZ694" s="309" t="s">
        <v>3309</v>
      </c>
      <c r="BI694" s="309" t="s">
        <v>3310</v>
      </c>
    </row>
    <row r="695" spans="2:68" ht="13.2" customHeight="1">
      <c r="B695" s="6" t="s">
        <v>1921</v>
      </c>
      <c r="O695" s="136">
        <f>ROW()</f>
        <v>695</v>
      </c>
      <c r="P695" s="117">
        <f ca="1">(P642/P690)^Elasticities!$G$52</f>
        <v>1.0000220233374317</v>
      </c>
      <c r="Q695" s="117">
        <f ca="1">(Q642/Q690)^Elasticities!$G$52</f>
        <v>0.99981398080005546</v>
      </c>
      <c r="R695" s="117">
        <f ca="1">(R642/R690)^Elasticities!$G$52</f>
        <v>0.99991882446923686</v>
      </c>
      <c r="S695" s="117">
        <f ca="1">(S642/S690)^Elasticities!$G$52</f>
        <v>1.0000640305522033</v>
      </c>
      <c r="T695" s="117">
        <f ca="1">(T642/T690)^Elasticities!$G$52</f>
        <v>0.99952174933084337</v>
      </c>
      <c r="U695" s="117">
        <f ca="1">(U642/U690)^Elasticities!$G$52</f>
        <v>0.99974699472439699</v>
      </c>
      <c r="V695" s="117"/>
      <c r="Y695" s="117">
        <f ca="1">(Y642/Y690)^Elasticities!$H$52</f>
        <v>1.0000220233374317</v>
      </c>
      <c r="Z695" s="117">
        <f ca="1">(Z642/Z690)^Elasticities!$H$52</f>
        <v>0.99981398080005546</v>
      </c>
      <c r="AA695" s="117">
        <f ca="1">(AA642/AA690)^Elasticities!$H$52</f>
        <v>0.99991882446923686</v>
      </c>
      <c r="AB695" s="117">
        <f ca="1">(AB642/AB690)^Elasticities!$H$52</f>
        <v>1.0000640305522033</v>
      </c>
      <c r="AC695" s="117">
        <f ca="1">(AC642/AC690)^Elasticities!$H$52</f>
        <v>0.99952174933084337</v>
      </c>
      <c r="AD695" s="117">
        <f ca="1">(AD642/AD690)^Elasticities!$H$52</f>
        <v>0.99974699472439699</v>
      </c>
      <c r="AE695" s="117"/>
      <c r="AH695" s="117">
        <f ca="1">(AH642/AH690)^Elasticities!$J$52</f>
        <v>1.0000220233374317</v>
      </c>
      <c r="AI695" s="117">
        <f ca="1">(AI642/AI690)^Elasticities!$J$52</f>
        <v>0.99981398080005546</v>
      </c>
      <c r="AJ695" s="117">
        <f ca="1">(AJ642/AJ690)^Elasticities!$J$52</f>
        <v>0.99991882446923686</v>
      </c>
      <c r="AK695" s="117">
        <f ca="1">(AK642/AK690)^Elasticities!$J$52</f>
        <v>1.0000640305522033</v>
      </c>
      <c r="AL695" s="117">
        <f ca="1">(AL642/AL690)^Elasticities!$J$52</f>
        <v>0.99952174933084337</v>
      </c>
      <c r="AM695" s="117">
        <f ca="1">(AM642/AM690)^Elasticities!$J$52</f>
        <v>0.99974699472439699</v>
      </c>
      <c r="AN695" s="117"/>
      <c r="AQ695" s="117">
        <f ca="1">(AQ642/AQ690)^Elasticities!$G$54</f>
        <v>1.0000176186311436</v>
      </c>
      <c r="AR695" s="117">
        <f ca="1">(AR642/AR690)^Elasticities!$G$54</f>
        <v>0.99985118187158695</v>
      </c>
      <c r="AS695" s="117">
        <f ca="1">(AS642/AS690)^Elasticities!$G$54</f>
        <v>0.99993505904821478</v>
      </c>
      <c r="AT695" s="117">
        <f ca="1">(AT642/AT690)^Elasticities!$G$54</f>
        <v>1.0000512241137782</v>
      </c>
      <c r="AU695" s="117">
        <f ca="1">(AU642/AU690)^Elasticities!$G$54</f>
        <v>0.99961738116327714</v>
      </c>
      <c r="AV695" s="117">
        <f ca="1">(AV642/AV690)^Elasticities!$G$54</f>
        <v>0.99979759065806562</v>
      </c>
      <c r="AW695" s="117"/>
      <c r="AZ695" s="117">
        <f ca="1">(AZ642/AZ690)^(Elasticities!$J$64*Elasticities!$G$52)</f>
        <v>1.0000073410585859</v>
      </c>
      <c r="BA695" s="117">
        <f ca="1">(BA642/BA690)^(Elasticities!$J$64*Elasticities!$G$52)</f>
        <v>0.99993798975482751</v>
      </c>
      <c r="BB695" s="117">
        <f ca="1">(BB642/BB690)^(Elasticities!$J$64*Elasticities!$G$52)</f>
        <v>0.99997294075754961</v>
      </c>
      <c r="BC695" s="117">
        <f ca="1">(BC642/BC690)^(Elasticities!$J$64*Elasticities!$G$52)</f>
        <v>1.0000213430618716</v>
      </c>
      <c r="BD695" s="117">
        <f ca="1">(BD642/BD690)^(Elasticities!$J$64*Elasticities!$G$52)</f>
        <v>0.99984055768978197</v>
      </c>
      <c r="BE695" s="117">
        <f ca="1">(BE642/BE690)^(Elasticities!$J$64*Elasticities!$G$52)</f>
        <v>0.9999156577947248</v>
      </c>
      <c r="BF695" s="117"/>
      <c r="BI695" s="117">
        <f ca="1">(BI642/BI690)^Elasticities!$G$50</f>
        <v>1.000011011608088</v>
      </c>
      <c r="BJ695" s="117">
        <f ca="1">(BJ642/BJ690)^Elasticities!$G$50</f>
        <v>0.99990698607423256</v>
      </c>
      <c r="BK695" s="117">
        <f ca="1">(BK642/BK690)^Elasticities!$G$50</f>
        <v>0.99995941141090172</v>
      </c>
      <c r="BL695" s="117">
        <f ca="1">(BL642/BL690)^Elasticities!$G$50</f>
        <v>1.0000320147636292</v>
      </c>
      <c r="BM695" s="117">
        <f ca="1">(BM642/BM690)^Elasticities!$G$50</f>
        <v>0.9997608460681201</v>
      </c>
      <c r="BN695" s="117">
        <f ca="1">(BN642/BN690)^Elasticities!$G$50</f>
        <v>0.99987348935972753</v>
      </c>
      <c r="BO695" s="117"/>
    </row>
    <row r="696" spans="2:68" ht="13.2" customHeight="1">
      <c r="O696" s="136">
        <f>ROW()</f>
        <v>696</v>
      </c>
      <c r="P696" s="309" t="s">
        <v>529</v>
      </c>
      <c r="Y696" s="309" t="s">
        <v>530</v>
      </c>
      <c r="AH696" s="309" t="s">
        <v>2922</v>
      </c>
      <c r="AQ696" s="215" t="s">
        <v>3299</v>
      </c>
      <c r="AZ696" s="309" t="s">
        <v>2398</v>
      </c>
      <c r="BI696" s="309" t="s">
        <v>2878</v>
      </c>
    </row>
    <row r="697" spans="2:68" ht="13.2" customHeight="1">
      <c r="B697" s="6" t="s">
        <v>2164</v>
      </c>
      <c r="G697" s="633">
        <f t="shared" ref="G697:L697" ca="1" si="1218">($I$76*$I$79*P697+$J$76*$J$79*Y697+$K$76*$K$79*AH697+$L$76*$L$79*AQ697+$M$76*$M$79*AZ697+$N$76*$N$79*BI697)/SUMPRODUCT($I$76:$N$76,$I$79:$N$79)</f>
        <v>0.99997095403599323</v>
      </c>
      <c r="H697" s="633">
        <f t="shared" ca="1" si="1218"/>
        <v>1.0001731652614048</v>
      </c>
      <c r="I697" s="633">
        <f t="shared" ca="1" si="1218"/>
        <v>1.0001387714465682</v>
      </c>
      <c r="J697" s="633">
        <f t="shared" ca="1" si="1218"/>
        <v>1.000087681529485</v>
      </c>
      <c r="K697" s="633">
        <f t="shared" ca="1" si="1218"/>
        <v>1.0001975786735176</v>
      </c>
      <c r="L697" s="633">
        <f t="shared" ca="1" si="1218"/>
        <v>1.0001995894807605</v>
      </c>
      <c r="M697" s="633"/>
      <c r="O697" s="136">
        <f>ROW()</f>
        <v>697</v>
      </c>
      <c r="P697" s="117">
        <f ca="1">(P643/P691)^Elasticities!$G$52</f>
        <v>0.99997026648622112</v>
      </c>
      <c r="Q697" s="117">
        <f ca="1">(Q643/Q691)^Elasticities!$G$52</f>
        <v>1.0001772644999285</v>
      </c>
      <c r="R697" s="117">
        <f ca="1">(R643/R691)^Elasticities!$G$52</f>
        <v>1.0001420564697501</v>
      </c>
      <c r="S697" s="117">
        <f ca="1">(S643/S691)^Elasticities!$G$52</f>
        <v>1.0000897571137002</v>
      </c>
      <c r="T697" s="117">
        <f ca="1">(T643/T691)^Elasticities!$G$52</f>
        <v>1.0002022558675572</v>
      </c>
      <c r="U697" s="117">
        <f ca="1">(U643/U691)^Elasticities!$G$52</f>
        <v>1.0002043142783692</v>
      </c>
      <c r="V697" s="117"/>
      <c r="Y697" s="117">
        <f ca="1">(Y643/Y691)^Elasticities!$H$52</f>
        <v>0.99997026648622112</v>
      </c>
      <c r="Z697" s="117">
        <f ca="1">(Z643/Z691)^Elasticities!$H$52</f>
        <v>1.0001772644999285</v>
      </c>
      <c r="AA697" s="117">
        <f ca="1">(AA643/AA691)^Elasticities!$H$52</f>
        <v>1.0001420564697501</v>
      </c>
      <c r="AB697" s="117">
        <f ca="1">(AB643/AB691)^Elasticities!$H$52</f>
        <v>1.0000897571137002</v>
      </c>
      <c r="AC697" s="117">
        <f ca="1">(AC643/AC691)^Elasticities!$H$52</f>
        <v>1.0002022558675572</v>
      </c>
      <c r="AD697" s="117">
        <f ca="1">(AD643/AD691)^Elasticities!$H$52</f>
        <v>1.0002043142783692</v>
      </c>
      <c r="AE697" s="117"/>
      <c r="AH697" s="117">
        <f ca="1">(AH643/AH691)^Elasticities!$J$52</f>
        <v>0.99997026648622112</v>
      </c>
      <c r="AI697" s="117">
        <f ca="1">(AI643/AI691)^Elasticities!$J$52</f>
        <v>1.0001772644999285</v>
      </c>
      <c r="AJ697" s="117">
        <f ca="1">(AJ643/AJ691)^Elasticities!$J$52</f>
        <v>1.0001420564697501</v>
      </c>
      <c r="AK697" s="117">
        <f ca="1">(AK643/AK691)^Elasticities!$J$52</f>
        <v>1.0000897571137002</v>
      </c>
      <c r="AL697" s="117">
        <f ca="1">(AL643/AL691)^Elasticities!$J$52</f>
        <v>1.0002022558675572</v>
      </c>
      <c r="AM697" s="117">
        <f ca="1">(AM643/AM691)^Elasticities!$J$52</f>
        <v>1.0002043142783692</v>
      </c>
      <c r="AN697" s="117"/>
      <c r="AQ697" s="117">
        <f ca="1">(AQ643/AQ691)^Elasticities!$G$54</f>
        <v>0.99997621311824947</v>
      </c>
      <c r="AR697" s="117">
        <f ca="1">(AR643/AR691)^Elasticities!$G$54</f>
        <v>1.0001418090863048</v>
      </c>
      <c r="AS697" s="117">
        <f ca="1">(AS643/AS691)^Elasticities!$G$54</f>
        <v>1.0001136435614886</v>
      </c>
      <c r="AT697" s="117">
        <f ca="1">(AT643/AT691)^Elasticities!$G$54</f>
        <v>1.0000718050464761</v>
      </c>
      <c r="AU697" s="117">
        <f ca="1">(AU643/AU691)^Elasticities!$G$54</f>
        <v>1.0001618014217157</v>
      </c>
      <c r="AV697" s="117">
        <f ca="1">(AV643/AV691)^Elasticities!$G$54</f>
        <v>1.0001634480834223</v>
      </c>
      <c r="AW697" s="117"/>
      <c r="AZ697" s="117">
        <f ca="1">(AZ643/AZ691)^(Elasticities!$J$64*Elasticities!$G$52)</f>
        <v>0.99999008873050743</v>
      </c>
      <c r="BA697" s="117">
        <f ca="1">(BA643/BA691)^(Elasticities!$J$64*Elasticities!$G$52)</f>
        <v>1.0000590846755752</v>
      </c>
      <c r="BB697" s="117">
        <f ca="1">(BB643/BB691)^(Elasticities!$J$64*Elasticities!$G$52)</f>
        <v>1.0000473499145337</v>
      </c>
      <c r="BC697" s="117">
        <f ca="1">(BC643/BC691)^(Elasticities!$J$64*Elasticities!$G$52)</f>
        <v>1.0000299181427958</v>
      </c>
      <c r="BD697" s="117">
        <f ca="1">(BD643/BD691)^(Elasticities!$J$64*Elasticities!$G$52)</f>
        <v>1.000067414077759</v>
      </c>
      <c r="BE697" s="117">
        <f ca="1">(BE643/BE691)^(Elasticities!$J$64*Elasticities!$G$52)</f>
        <v>1.0000681001217246</v>
      </c>
      <c r="BF697" s="117"/>
      <c r="BI697" s="117">
        <f ca="1">(BI643/BI691)^Elasticities!$G$50</f>
        <v>0.99998513313259874</v>
      </c>
      <c r="BJ697" s="117">
        <f ca="1">(BJ643/BJ691)^Elasticities!$G$50</f>
        <v>1.0000886283224744</v>
      </c>
      <c r="BK697" s="117">
        <f ca="1">(BK643/BK691)^Elasticities!$G$50</f>
        <v>1.0000710257125491</v>
      </c>
      <c r="BL697" s="117">
        <f ca="1">(BL643/BL691)^Elasticities!$G$50</f>
        <v>1.0000448775498529</v>
      </c>
      <c r="BM697" s="117">
        <f ca="1">(BM643/BM691)^Elasticities!$G$50</f>
        <v>1.0001011228208663</v>
      </c>
      <c r="BN697" s="117">
        <f ca="1">(BN643/BN691)^Elasticities!$G$50</f>
        <v>1.0001021519216771</v>
      </c>
      <c r="BO697" s="117"/>
    </row>
    <row r="698" spans="2:68" ht="13.2" customHeight="1" collapsed="1">
      <c r="O698" s="136">
        <f>ROW()</f>
        <v>698</v>
      </c>
      <c r="P698" s="309" t="s">
        <v>2879</v>
      </c>
      <c r="Y698" s="309" t="s">
        <v>2842</v>
      </c>
      <c r="AH698" s="309" t="s">
        <v>2808</v>
      </c>
      <c r="AQ698" s="215" t="s">
        <v>3300</v>
      </c>
      <c r="AZ698" s="309" t="s">
        <v>2903</v>
      </c>
      <c r="BI698" s="309" t="s">
        <v>91</v>
      </c>
    </row>
    <row r="699" spans="2:68" ht="13.2" customHeight="1">
      <c r="B699" s="24" t="s">
        <v>776</v>
      </c>
      <c r="I699" s="54"/>
      <c r="O699" s="136">
        <f>ROW()</f>
        <v>699</v>
      </c>
      <c r="P699" s="880" t="s">
        <v>1472</v>
      </c>
      <c r="Q699" s="880" t="s">
        <v>985</v>
      </c>
      <c r="R699" s="880" t="s">
        <v>987</v>
      </c>
      <c r="S699" s="880" t="s">
        <v>1367</v>
      </c>
      <c r="T699" s="880" t="s">
        <v>988</v>
      </c>
      <c r="U699" s="880" t="s">
        <v>986</v>
      </c>
      <c r="V699" s="880"/>
      <c r="W699" s="880" t="s">
        <v>2684</v>
      </c>
      <c r="Y699" s="880" t="s">
        <v>1472</v>
      </c>
      <c r="Z699" s="880" t="s">
        <v>985</v>
      </c>
      <c r="AA699" s="880" t="s">
        <v>987</v>
      </c>
      <c r="AB699" s="880" t="s">
        <v>1367</v>
      </c>
      <c r="AC699" s="880" t="s">
        <v>988</v>
      </c>
      <c r="AD699" s="880" t="s">
        <v>986</v>
      </c>
      <c r="AE699" s="880"/>
      <c r="AF699" s="880" t="s">
        <v>2684</v>
      </c>
      <c r="AH699" s="880" t="s">
        <v>1472</v>
      </c>
      <c r="AI699" s="880" t="s">
        <v>985</v>
      </c>
      <c r="AJ699" s="880" t="s">
        <v>987</v>
      </c>
      <c r="AK699" s="880" t="s">
        <v>1367</v>
      </c>
      <c r="AL699" s="880" t="s">
        <v>988</v>
      </c>
      <c r="AM699" s="880" t="s">
        <v>986</v>
      </c>
      <c r="AN699" s="880"/>
      <c r="AO699" s="880" t="s">
        <v>2684</v>
      </c>
      <c r="AQ699" s="880" t="s">
        <v>1472</v>
      </c>
      <c r="AR699" s="880" t="s">
        <v>985</v>
      </c>
      <c r="AS699" s="880" t="s">
        <v>987</v>
      </c>
      <c r="AT699" s="880" t="s">
        <v>1367</v>
      </c>
      <c r="AU699" s="880" t="s">
        <v>988</v>
      </c>
      <c r="AV699" s="880" t="s">
        <v>986</v>
      </c>
      <c r="AW699" s="880" t="s">
        <v>1638</v>
      </c>
      <c r="AX699" s="880" t="s">
        <v>2684</v>
      </c>
      <c r="AZ699" s="880" t="s">
        <v>1472</v>
      </c>
      <c r="BA699" s="880" t="s">
        <v>985</v>
      </c>
      <c r="BB699" s="880" t="s">
        <v>987</v>
      </c>
      <c r="BC699" s="880" t="s">
        <v>1367</v>
      </c>
      <c r="BD699" s="880" t="s">
        <v>988</v>
      </c>
      <c r="BE699" s="880" t="s">
        <v>986</v>
      </c>
      <c r="BF699" s="880" t="s">
        <v>1638</v>
      </c>
      <c r="BG699" s="880" t="s">
        <v>2684</v>
      </c>
      <c r="BI699" s="880" t="s">
        <v>1472</v>
      </c>
      <c r="BJ699" s="880" t="s">
        <v>985</v>
      </c>
      <c r="BK699" s="880" t="s">
        <v>987</v>
      </c>
      <c r="BL699" s="880" t="s">
        <v>1367</v>
      </c>
      <c r="BM699" s="880" t="s">
        <v>988</v>
      </c>
      <c r="BN699" s="880" t="s">
        <v>986</v>
      </c>
      <c r="BO699" s="880" t="s">
        <v>1638</v>
      </c>
      <c r="BP699" s="880" t="s">
        <v>2684</v>
      </c>
    </row>
    <row r="700" spans="2:68" ht="13.2" customHeight="1">
      <c r="O700" s="136">
        <f>ROW()</f>
        <v>700</v>
      </c>
      <c r="P700" s="298" t="s">
        <v>989</v>
      </c>
      <c r="Q700" s="298" t="s">
        <v>990</v>
      </c>
      <c r="R700" s="298" t="s">
        <v>991</v>
      </c>
      <c r="S700" s="298" t="s">
        <v>992</v>
      </c>
      <c r="T700" s="298" t="s">
        <v>993</v>
      </c>
      <c r="U700" s="298" t="s">
        <v>994</v>
      </c>
      <c r="V700" s="298"/>
      <c r="W700" s="298"/>
      <c r="Y700" s="298" t="s">
        <v>989</v>
      </c>
      <c r="Z700" s="298" t="s">
        <v>990</v>
      </c>
      <c r="AA700" s="298" t="s">
        <v>991</v>
      </c>
      <c r="AB700" s="298" t="s">
        <v>992</v>
      </c>
      <c r="AC700" s="298" t="s">
        <v>993</v>
      </c>
      <c r="AD700" s="298" t="s">
        <v>994</v>
      </c>
      <c r="AE700" s="298"/>
      <c r="AF700" s="298"/>
      <c r="AH700" s="298" t="s">
        <v>989</v>
      </c>
      <c r="AI700" s="298" t="s">
        <v>990</v>
      </c>
      <c r="AJ700" s="298" t="s">
        <v>991</v>
      </c>
      <c r="AK700" s="298" t="s">
        <v>992</v>
      </c>
      <c r="AL700" s="298" t="s">
        <v>993</v>
      </c>
      <c r="AM700" s="298" t="s">
        <v>994</v>
      </c>
      <c r="AN700" s="298"/>
      <c r="AO700" s="298"/>
      <c r="AQ700" s="298" t="s">
        <v>989</v>
      </c>
      <c r="AR700" s="298" t="s">
        <v>990</v>
      </c>
      <c r="AS700" s="298" t="s">
        <v>991</v>
      </c>
      <c r="AT700" s="298" t="s">
        <v>992</v>
      </c>
      <c r="AU700" s="298" t="s">
        <v>993</v>
      </c>
      <c r="AV700" s="298" t="s">
        <v>994</v>
      </c>
      <c r="AW700" s="298"/>
      <c r="AX700" s="298"/>
      <c r="AZ700" s="298" t="s">
        <v>989</v>
      </c>
      <c r="BA700" s="298" t="s">
        <v>990</v>
      </c>
      <c r="BB700" s="298" t="s">
        <v>991</v>
      </c>
      <c r="BC700" s="298" t="s">
        <v>992</v>
      </c>
      <c r="BD700" s="298" t="s">
        <v>993</v>
      </c>
      <c r="BE700" s="298" t="s">
        <v>994</v>
      </c>
      <c r="BF700" s="298"/>
      <c r="BG700" s="298"/>
      <c r="BI700" s="298" t="s">
        <v>989</v>
      </c>
      <c r="BJ700" s="298" t="s">
        <v>990</v>
      </c>
      <c r="BK700" s="298" t="s">
        <v>991</v>
      </c>
      <c r="BL700" s="298" t="s">
        <v>992</v>
      </c>
      <c r="BM700" s="298" t="s">
        <v>993</v>
      </c>
      <c r="BN700" s="298" t="s">
        <v>994</v>
      </c>
      <c r="BO700" s="298"/>
      <c r="BP700" s="298"/>
    </row>
    <row r="701" spans="2:68" ht="13.2" customHeight="1">
      <c r="B701" s="308" t="s">
        <v>112</v>
      </c>
      <c r="O701" s="136">
        <f>ROW()</f>
        <v>701</v>
      </c>
    </row>
    <row r="702" spans="2:68" ht="13.2" customHeight="1">
      <c r="B702" s="280" t="s">
        <v>2389</v>
      </c>
      <c r="G702" s="1122">
        <f t="shared" ref="G702:L702" ca="1" si="1219">P702+Y702+AH702+AQ702+AZ702+BI702</f>
        <v>108817.32491341354</v>
      </c>
      <c r="H702" s="1122">
        <f t="shared" ca="1" si="1219"/>
        <v>46481.364904366361</v>
      </c>
      <c r="I702" s="1122">
        <f t="shared" ca="1" si="1219"/>
        <v>151183.57081749855</v>
      </c>
      <c r="J702" s="1122">
        <f t="shared" ca="1" si="1219"/>
        <v>99666.367932684778</v>
      </c>
      <c r="K702" s="1122">
        <f t="shared" ca="1" si="1219"/>
        <v>54837.917656222286</v>
      </c>
      <c r="L702" s="1122">
        <f t="shared" ca="1" si="1219"/>
        <v>36577.674406049417</v>
      </c>
      <c r="N702" s="186">
        <f ca="1">SUM(G702:M702)</f>
        <v>497564.22063023492</v>
      </c>
      <c r="O702" s="136">
        <f>ROW()</f>
        <v>702</v>
      </c>
      <c r="P702" s="10">
        <f t="shared" ref="P702:U702" ca="1" si="1220">P656</f>
        <v>24189.01983185103</v>
      </c>
      <c r="Q702" s="10">
        <f t="shared" ca="1" si="1220"/>
        <v>9365.9149973409585</v>
      </c>
      <c r="R702" s="10">
        <f t="shared" ca="1" si="1220"/>
        <v>25096.362480692627</v>
      </c>
      <c r="S702" s="10">
        <f t="shared" ca="1" si="1220"/>
        <v>9868.5513383669786</v>
      </c>
      <c r="T702" s="10">
        <f t="shared" ca="1" si="1220"/>
        <v>8995.7777968042737</v>
      </c>
      <c r="U702" s="10">
        <f t="shared" ca="1" si="1220"/>
        <v>4815.4722093993014</v>
      </c>
      <c r="V702" s="10"/>
      <c r="W702" s="10">
        <f ca="1">SUM(P702:V702)</f>
        <v>82331.098654455171</v>
      </c>
      <c r="Y702" s="10">
        <f t="shared" ref="Y702:AD702" ca="1" si="1221">Y656</f>
        <v>36341.827924817284</v>
      </c>
      <c r="Z702" s="10">
        <f t="shared" ca="1" si="1221"/>
        <v>17709.216515407974</v>
      </c>
      <c r="AA702" s="10">
        <f t="shared" ca="1" si="1221"/>
        <v>73085.853186735796</v>
      </c>
      <c r="AB702" s="10">
        <f t="shared" ca="1" si="1221"/>
        <v>57337.189422877971</v>
      </c>
      <c r="AC702" s="10">
        <f t="shared" ca="1" si="1221"/>
        <v>26566.038622508488</v>
      </c>
      <c r="AD702" s="10">
        <f t="shared" ca="1" si="1221"/>
        <v>17720.254894903577</v>
      </c>
      <c r="AE702" s="10"/>
      <c r="AF702" s="10">
        <f ca="1">SUM(Y702:AE702)</f>
        <v>228760.38056725109</v>
      </c>
      <c r="AH702" s="10">
        <f t="shared" ref="AH702:AM702" ca="1" si="1222">AH656</f>
        <v>28014.690455209384</v>
      </c>
      <c r="AI702" s="10">
        <f t="shared" ca="1" si="1222"/>
        <v>11170.419158054463</v>
      </c>
      <c r="AJ702" s="10">
        <f t="shared" ca="1" si="1222"/>
        <v>26753.630407194847</v>
      </c>
      <c r="AK702" s="10">
        <f t="shared" ca="1" si="1222"/>
        <v>15518.055982072405</v>
      </c>
      <c r="AL702" s="10">
        <f t="shared" ca="1" si="1222"/>
        <v>9220.5117013725358</v>
      </c>
      <c r="AM702" s="10">
        <f t="shared" ca="1" si="1222"/>
        <v>6274.2301186843688</v>
      </c>
      <c r="AN702" s="10"/>
      <c r="AO702" s="10">
        <f ca="1">SUM(AH702:AN702)</f>
        <v>96951.537822588012</v>
      </c>
      <c r="AQ702" s="10">
        <f t="shared" ref="AQ702:AV702" ca="1" si="1223">AQ656</f>
        <v>16063.417052874969</v>
      </c>
      <c r="AR702" s="10">
        <f t="shared" ca="1" si="1223"/>
        <v>6580.3039547416147</v>
      </c>
      <c r="AS702" s="10">
        <f t="shared" ca="1" si="1223"/>
        <v>21013.495952133315</v>
      </c>
      <c r="AT702" s="10">
        <f t="shared" ca="1" si="1223"/>
        <v>13564.375536569334</v>
      </c>
      <c r="AU702" s="10">
        <f t="shared" ca="1" si="1223"/>
        <v>8063.8623615436009</v>
      </c>
      <c r="AV702" s="10">
        <f t="shared" ca="1" si="1223"/>
        <v>6227.2646854543091</v>
      </c>
      <c r="AW702" s="10"/>
      <c r="AX702" s="10">
        <f ca="1">SUM(AQ702:AW702)</f>
        <v>71512.719543317144</v>
      </c>
      <c r="AZ702" s="10">
        <f t="shared" ref="AZ702:BE702" ca="1" si="1224">AZ656</f>
        <v>2865.7368846684758</v>
      </c>
      <c r="BA702" s="10">
        <f t="shared" ca="1" si="1224"/>
        <v>1128.7208686959159</v>
      </c>
      <c r="BB702" s="10">
        <f t="shared" ca="1" si="1224"/>
        <v>3572.4867564308488</v>
      </c>
      <c r="BC702" s="10">
        <f t="shared" ca="1" si="1224"/>
        <v>2306.5857497458255</v>
      </c>
      <c r="BD702" s="10">
        <f t="shared" ca="1" si="1224"/>
        <v>1358.5959286841332</v>
      </c>
      <c r="BE702" s="10">
        <f t="shared" ca="1" si="1224"/>
        <v>1050.2609970620319</v>
      </c>
      <c r="BF702" s="10"/>
      <c r="BG702" s="10">
        <f ca="1">SUM(AZ702:BF702)</f>
        <v>12282.387185287231</v>
      </c>
      <c r="BI702" s="10">
        <f t="shared" ref="BI702:BN702" ca="1" si="1225">BI656</f>
        <v>1342.6327639924077</v>
      </c>
      <c r="BJ702" s="10">
        <f t="shared" ca="1" si="1225"/>
        <v>526.78941012543908</v>
      </c>
      <c r="BK702" s="10">
        <f t="shared" ca="1" si="1225"/>
        <v>1661.7420343111251</v>
      </c>
      <c r="BL702" s="10">
        <f t="shared" ca="1" si="1225"/>
        <v>1071.609903052273</v>
      </c>
      <c r="BM702" s="10">
        <f t="shared" ca="1" si="1225"/>
        <v>633.13124530925654</v>
      </c>
      <c r="BN702" s="10">
        <f t="shared" ca="1" si="1225"/>
        <v>490.19150054583218</v>
      </c>
      <c r="BO702" s="10"/>
      <c r="BP702" s="10">
        <f ca="1">SUM(BI702:BO702)</f>
        <v>5726.0968573363334</v>
      </c>
    </row>
    <row r="703" spans="2:68" ht="13.2" customHeight="1">
      <c r="B703" s="309" t="str">
        <f>CONCATENATE("Above row repeats figures in Row ",O656,".")</f>
        <v>Above row repeats figures in Row 656.</v>
      </c>
      <c r="G703" s="1126" t="s">
        <v>1009</v>
      </c>
      <c r="H703" s="1122"/>
      <c r="I703" s="1122"/>
      <c r="J703" s="1122"/>
      <c r="K703" s="1122"/>
      <c r="L703" s="1122"/>
      <c r="O703" s="136">
        <f>ROW()</f>
        <v>703</v>
      </c>
      <c r="AQ703" s="265" t="str">
        <f>CONCATENATE("Row ",O704, " figures are set equal to ",O702, " figures, since rebound effects are presumed accounted for by taxi time-elasticity.")</f>
        <v>Row 704 figures are set equal to 702 figures, since rebound effects are presumed accounted for by taxi time-elasticity.</v>
      </c>
    </row>
    <row r="704" spans="2:68" ht="13.2" customHeight="1">
      <c r="B704" s="280" t="s">
        <v>1300</v>
      </c>
      <c r="G704" s="1122">
        <f t="shared" ref="G704:L705" ca="1" si="1226">P704+Y704+AH704+AQ704+AZ704+BI704</f>
        <v>108796.92765408756</v>
      </c>
      <c r="H704" s="1122">
        <f t="shared" ca="1" si="1226"/>
        <v>46460.141071017308</v>
      </c>
      <c r="I704" s="1122">
        <f t="shared" ca="1" si="1226"/>
        <v>151103.79258971644</v>
      </c>
      <c r="J704" s="1122">
        <f t="shared" ca="1" si="1226"/>
        <v>99616.094923170123</v>
      </c>
      <c r="K704" s="1122">
        <f t="shared" ca="1" si="1226"/>
        <v>54807.657846234542</v>
      </c>
      <c r="L704" s="1122">
        <f t="shared" ca="1" si="1226"/>
        <v>36560.96157310866</v>
      </c>
      <c r="N704" s="617">
        <f ca="1">SUM(G704:M704)</f>
        <v>497345.57565733464</v>
      </c>
      <c r="O704" s="136">
        <f>ROW()</f>
        <v>704</v>
      </c>
      <c r="P704" s="10">
        <f t="shared" ref="P704:U704" ca="1" si="1227">P702*P693</f>
        <v>24180.844323368168</v>
      </c>
      <c r="Q704" s="10">
        <f t="shared" ca="1" si="1227"/>
        <v>9360.8346094578956</v>
      </c>
      <c r="R704" s="10">
        <f t="shared" ca="1" si="1227"/>
        <v>25080.828759734126</v>
      </c>
      <c r="S704" s="10">
        <f t="shared" ca="1" si="1227"/>
        <v>9862.6140202730257</v>
      </c>
      <c r="T704" s="10">
        <f t="shared" ca="1" si="1227"/>
        <v>8989.9901282736409</v>
      </c>
      <c r="U704" s="10">
        <f t="shared" ca="1" si="1227"/>
        <v>4812.772911543173</v>
      </c>
      <c r="V704" s="10"/>
      <c r="W704" s="10">
        <f ca="1">SUM(P704:V704)</f>
        <v>82287.884752650032</v>
      </c>
      <c r="Y704" s="10">
        <f t="shared" ref="Y704:AD704" ca="1" si="1228">Y702*Y693</f>
        <v>36329.544958225524</v>
      </c>
      <c r="Z704" s="10">
        <f t="shared" ca="1" si="1228"/>
        <v>17699.610439650405</v>
      </c>
      <c r="AA704" s="10">
        <f t="shared" ca="1" si="1228"/>
        <v>73040.615744445473</v>
      </c>
      <c r="AB704" s="10">
        <f t="shared" ca="1" si="1228"/>
        <v>57302.693059577585</v>
      </c>
      <c r="AC704" s="10">
        <f t="shared" ca="1" si="1228"/>
        <v>26548.946667905777</v>
      </c>
      <c r="AD704" s="10">
        <f t="shared" ca="1" si="1228"/>
        <v>17710.321861554432</v>
      </c>
      <c r="AE704" s="10"/>
      <c r="AF704" s="10">
        <f ca="1">SUM(Y704:AE704)</f>
        <v>228631.7327313592</v>
      </c>
      <c r="AH704" s="10">
        <f t="shared" ref="AH704:AM704" ca="1" si="1229">AH702*AH693</f>
        <v>28015.359660631089</v>
      </c>
      <c r="AI704" s="10">
        <f t="shared" ca="1" si="1229"/>
        <v>11164.240067543225</v>
      </c>
      <c r="AJ704" s="10">
        <f t="shared" ca="1" si="1229"/>
        <v>26735.975553476877</v>
      </c>
      <c r="AK704" s="10">
        <f t="shared" ca="1" si="1229"/>
        <v>15509.151872822922</v>
      </c>
      <c r="AL704" s="10">
        <f t="shared" ca="1" si="1229"/>
        <v>9213.6379552025737</v>
      </c>
      <c r="AM704" s="10">
        <f t="shared" ca="1" si="1229"/>
        <v>6270.4914873238113</v>
      </c>
      <c r="AN704" s="10"/>
      <c r="AO704" s="10">
        <f ca="1">SUM(AH704:AN704)</f>
        <v>96908.856597000515</v>
      </c>
      <c r="AQ704" s="10">
        <f ca="1">AQ702</f>
        <v>16063.417052874969</v>
      </c>
      <c r="AR704" s="10">
        <f t="shared" ref="AR704:AV704" ca="1" si="1230">AR702</f>
        <v>6580.3039547416147</v>
      </c>
      <c r="AS704" s="10">
        <f t="shared" ca="1" si="1230"/>
        <v>21013.495952133315</v>
      </c>
      <c r="AT704" s="10">
        <f t="shared" ca="1" si="1230"/>
        <v>13564.375536569334</v>
      </c>
      <c r="AU704" s="10">
        <f t="shared" ca="1" si="1230"/>
        <v>8063.8623615436009</v>
      </c>
      <c r="AV704" s="10">
        <f t="shared" ca="1" si="1230"/>
        <v>6227.2646854543091</v>
      </c>
      <c r="AW704" s="10"/>
      <c r="AX704" s="10">
        <f ca="1">SUM(AQ704:AW704)</f>
        <v>71512.719543317144</v>
      </c>
      <c r="AZ704" s="10">
        <f t="shared" ref="AZ704:BE704" ca="1" si="1231">AZ702*AZ693</f>
        <v>2865.3634495347692</v>
      </c>
      <c r="BA704" s="10">
        <f t="shared" ca="1" si="1231"/>
        <v>1128.5069357225575</v>
      </c>
      <c r="BB704" s="10">
        <f t="shared" ca="1" si="1231"/>
        <v>3571.6618003931399</v>
      </c>
      <c r="BC704" s="10">
        <f t="shared" ca="1" si="1231"/>
        <v>2305.9921825838774</v>
      </c>
      <c r="BD704" s="10">
        <f t="shared" ca="1" si="1231"/>
        <v>1358.2946490112793</v>
      </c>
      <c r="BE704" s="10">
        <f t="shared" ca="1" si="1231"/>
        <v>1050.0575916380499</v>
      </c>
      <c r="BF704" s="10"/>
      <c r="BG704" s="10">
        <f ca="1">SUM(AZ704:BF704)</f>
        <v>12279.876608883673</v>
      </c>
      <c r="BI704" s="10">
        <f t="shared" ref="BI704:BN704" ca="1" si="1232">BI702*BI693</f>
        <v>1342.3982094530465</v>
      </c>
      <c r="BJ704" s="10">
        <f t="shared" ca="1" si="1232"/>
        <v>526.64506390160977</v>
      </c>
      <c r="BK704" s="10">
        <f t="shared" ca="1" si="1232"/>
        <v>1661.214779533497</v>
      </c>
      <c r="BL704" s="10">
        <f t="shared" ca="1" si="1232"/>
        <v>1071.2682513433701</v>
      </c>
      <c r="BM704" s="10">
        <f t="shared" ca="1" si="1232"/>
        <v>632.92608429766665</v>
      </c>
      <c r="BN704" s="10">
        <f t="shared" ca="1" si="1232"/>
        <v>490.05303559488482</v>
      </c>
      <c r="BO704" s="10"/>
      <c r="BP704" s="10">
        <f ca="1">SUM(BI704:BO704)</f>
        <v>5724.505424124075</v>
      </c>
    </row>
    <row r="705" spans="2:68" ht="13.2" customHeight="1">
      <c r="B705" s="280" t="s">
        <v>112</v>
      </c>
      <c r="G705" s="1122">
        <f t="shared" ca="1" si="1226"/>
        <v>173394.80832053442</v>
      </c>
      <c r="H705" s="1122">
        <f t="shared" ca="1" si="1226"/>
        <v>73820.022512677082</v>
      </c>
      <c r="I705" s="1122">
        <f t="shared" ca="1" si="1226"/>
        <v>240676.93939565012</v>
      </c>
      <c r="J705" s="1122">
        <f t="shared" ca="1" si="1226"/>
        <v>158650.03736530506</v>
      </c>
      <c r="K705" s="1122">
        <f t="shared" ca="1" si="1226"/>
        <v>87675.95917026911</v>
      </c>
      <c r="L705" s="1122">
        <f t="shared" ca="1" si="1226"/>
        <v>59148.138458912275</v>
      </c>
      <c r="N705" s="186">
        <f ca="1">SUM(G705:M705)</f>
        <v>793365.90522334795</v>
      </c>
      <c r="O705" s="136">
        <f>ROW()</f>
        <v>705</v>
      </c>
      <c r="P705" s="10">
        <f t="shared" ref="P705:U705" ca="1" si="1233">P704*$I$85</f>
        <v>36271.266485052256</v>
      </c>
      <c r="Q705" s="10">
        <f t="shared" ca="1" si="1233"/>
        <v>14041.251914186843</v>
      </c>
      <c r="R705" s="10">
        <f t="shared" ca="1" si="1233"/>
        <v>37621.243139601189</v>
      </c>
      <c r="S705" s="10">
        <f t="shared" ca="1" si="1233"/>
        <v>14793.92103040954</v>
      </c>
      <c r="T705" s="10">
        <f t="shared" ca="1" si="1233"/>
        <v>13484.985192410462</v>
      </c>
      <c r="U705" s="10">
        <f t="shared" ca="1" si="1233"/>
        <v>7219.1593673147599</v>
      </c>
      <c r="V705" s="10"/>
      <c r="W705" s="10">
        <f ca="1">SUM(P705:V705)</f>
        <v>123431.82712897504</v>
      </c>
      <c r="Y705" s="10">
        <f t="shared" ref="Y705:AD705" ca="1" si="1234">Y704*$J$85</f>
        <v>54494.317437338286</v>
      </c>
      <c r="Z705" s="10">
        <f t="shared" ca="1" si="1234"/>
        <v>26549.415659475606</v>
      </c>
      <c r="AA705" s="10">
        <f t="shared" ca="1" si="1234"/>
        <v>109560.92361666821</v>
      </c>
      <c r="AB705" s="10">
        <f t="shared" ca="1" si="1234"/>
        <v>85954.039589366381</v>
      </c>
      <c r="AC705" s="10">
        <f t="shared" ca="1" si="1234"/>
        <v>39823.420001858663</v>
      </c>
      <c r="AD705" s="10">
        <f t="shared" ca="1" si="1234"/>
        <v>26565.482792331648</v>
      </c>
      <c r="AE705" s="10"/>
      <c r="AF705" s="10">
        <f ca="1">SUM(Y705:AE705)</f>
        <v>342947.59909703885</v>
      </c>
      <c r="AH705" s="10">
        <f t="shared" ref="AH705:AM705" ca="1" si="1235">AH704*$K$85</f>
        <v>39221.503524883527</v>
      </c>
      <c r="AI705" s="10">
        <f t="shared" ca="1" si="1235"/>
        <v>15629.936094560517</v>
      </c>
      <c r="AJ705" s="10">
        <f t="shared" ca="1" si="1235"/>
        <v>37430.365774867634</v>
      </c>
      <c r="AK705" s="10">
        <f t="shared" ca="1" si="1235"/>
        <v>21712.812621952093</v>
      </c>
      <c r="AL705" s="10">
        <f t="shared" ca="1" si="1235"/>
        <v>12899.093137283604</v>
      </c>
      <c r="AM705" s="10">
        <f t="shared" ca="1" si="1235"/>
        <v>8778.6880822533367</v>
      </c>
      <c r="AN705" s="10"/>
      <c r="AO705" s="10">
        <f ca="1">SUM(AH705:AN705)</f>
        <v>135672.39923580069</v>
      </c>
      <c r="AQ705" s="10">
        <f ca="1">AQ704*$L$85</f>
        <v>32126.834105749938</v>
      </c>
      <c r="AR705" s="10">
        <f t="shared" ref="AR705" ca="1" si="1236">AR704*$L$85</f>
        <v>13160.607909483229</v>
      </c>
      <c r="AS705" s="10">
        <f t="shared" ref="AS705" ca="1" si="1237">AS704*$L$85</f>
        <v>42026.99190426663</v>
      </c>
      <c r="AT705" s="10">
        <f t="shared" ref="AT705" ca="1" si="1238">AT704*$L$85</f>
        <v>27128.751073138668</v>
      </c>
      <c r="AU705" s="10">
        <f t="shared" ref="AU705" ca="1" si="1239">AU704*$L$85</f>
        <v>16127.724723087202</v>
      </c>
      <c r="AV705" s="10">
        <f t="shared" ref="AV705" ca="1" si="1240">AV704*$L$85</f>
        <v>12454.529370908618</v>
      </c>
      <c r="AW705" s="10"/>
      <c r="AX705" s="10">
        <f ca="1">SUM(AQ705:AW705)</f>
        <v>143025.43908663429</v>
      </c>
      <c r="AZ705" s="10">
        <f t="shared" ref="AZ705:BE705" ca="1" si="1241">AZ704*$M$85</f>
        <v>8596.090348604308</v>
      </c>
      <c r="BA705" s="10">
        <f t="shared" ca="1" si="1241"/>
        <v>3385.5208071676725</v>
      </c>
      <c r="BB705" s="10">
        <f t="shared" ca="1" si="1241"/>
        <v>10714.98540117942</v>
      </c>
      <c r="BC705" s="10">
        <f t="shared" ca="1" si="1241"/>
        <v>6917.9765477516321</v>
      </c>
      <c r="BD705" s="10">
        <f t="shared" ca="1" si="1241"/>
        <v>4074.883947033838</v>
      </c>
      <c r="BE705" s="10">
        <f t="shared" ca="1" si="1241"/>
        <v>3150.1727749141496</v>
      </c>
      <c r="BF705" s="10"/>
      <c r="BG705" s="10">
        <f ca="1">SUM(AZ705:BF705)</f>
        <v>36839.62982665102</v>
      </c>
      <c r="BI705" s="10">
        <f t="shared" ref="BI705:BN705" ca="1" si="1242">BI704*$N$85</f>
        <v>2684.7964189060931</v>
      </c>
      <c r="BJ705" s="10">
        <f t="shared" ca="1" si="1242"/>
        <v>1053.2901278032195</v>
      </c>
      <c r="BK705" s="10">
        <f t="shared" ca="1" si="1242"/>
        <v>3322.429559066994</v>
      </c>
      <c r="BL705" s="10">
        <f t="shared" ca="1" si="1242"/>
        <v>2142.5365026867403</v>
      </c>
      <c r="BM705" s="10">
        <f t="shared" ca="1" si="1242"/>
        <v>1265.8521685953333</v>
      </c>
      <c r="BN705" s="10">
        <f t="shared" ca="1" si="1242"/>
        <v>980.10607118976964</v>
      </c>
      <c r="BO705" s="10"/>
      <c r="BP705" s="10">
        <f ca="1">SUM(BI705:BO705)</f>
        <v>11449.01084824815</v>
      </c>
    </row>
    <row r="706" spans="2:68" ht="13.2" customHeight="1">
      <c r="G706" s="1122"/>
      <c r="H706" s="1122"/>
      <c r="I706" s="1128"/>
      <c r="J706" s="3454"/>
      <c r="K706" s="3454"/>
      <c r="L706" s="3454"/>
      <c r="M706" s="3455" t="s">
        <v>6039</v>
      </c>
      <c r="N706" s="756">
        <f ca="1">(W706*W704+AF706*AF704+AO706*AO704+BG706*BG704+BP706*BP704)/(W704+AF704+AO704+BG704+BP704)</f>
        <v>5.1600403540884994</v>
      </c>
      <c r="O706" s="136">
        <f>ROW()</f>
        <v>706</v>
      </c>
      <c r="V706" s="1816" t="s">
        <v>6039</v>
      </c>
      <c r="W706" s="591">
        <f ca="1">SUMPRODUCT(P704:V704,P$291:V$291)/W704</f>
        <v>4.3014541081995468</v>
      </c>
      <c r="AE706" s="1816" t="s">
        <v>6039</v>
      </c>
      <c r="AF706" s="591">
        <f ca="1">SUMPRODUCT(Y704:AE704,Y$291:AE$291)/AF704</f>
        <v>4.3014541081995468</v>
      </c>
      <c r="AN706" s="1816" t="s">
        <v>6039</v>
      </c>
      <c r="AO706" s="591">
        <f ca="1">SUMPRODUCT(AH704:AN704,AH$291:AN$291)/AO704</f>
        <v>7.3124719839392291</v>
      </c>
      <c r="BF706" s="1816" t="s">
        <v>6039</v>
      </c>
      <c r="BG706" s="591">
        <f ca="1">SUMPRODUCT(AZ704:BF704,AZ$291:BF$291)/BG704</f>
        <v>8.7086713781619096</v>
      </c>
      <c r="BO706" s="1816" t="s">
        <v>6039</v>
      </c>
      <c r="BP706" s="591">
        <f ca="1">SUMPRODUCT(BI704:BO704,BI$291:BO$291)/BP704</f>
        <v>7.7427731485038844</v>
      </c>
    </row>
    <row r="707" spans="2:68" ht="13.2" customHeight="1">
      <c r="B707" s="308" t="s">
        <v>1010</v>
      </c>
      <c r="G707" s="1122"/>
      <c r="H707" s="1122"/>
      <c r="I707" s="1129"/>
      <c r="J707" s="1130"/>
      <c r="K707" s="1130"/>
      <c r="L707" s="1130"/>
      <c r="M707" s="1130"/>
      <c r="N707" s="3456" t="s">
        <v>6040</v>
      </c>
      <c r="O707" s="136">
        <f>ROW()</f>
        <v>707</v>
      </c>
      <c r="P707" s="10"/>
      <c r="Q707" s="10"/>
      <c r="R707" s="10"/>
      <c r="S707" s="10"/>
      <c r="T707" s="10"/>
      <c r="U707" s="10"/>
      <c r="V707" s="10"/>
      <c r="W707" s="10"/>
      <c r="Y707" s="10"/>
      <c r="Z707" s="10"/>
      <c r="AA707" s="10"/>
      <c r="AB707" s="10"/>
      <c r="AC707" s="10"/>
      <c r="AD707" s="10"/>
      <c r="AE707" s="10"/>
      <c r="AF707" s="10"/>
      <c r="AH707" s="10"/>
      <c r="AI707" s="10"/>
      <c r="AJ707" s="10"/>
      <c r="AK707" s="10"/>
      <c r="AL707" s="10"/>
      <c r="AM707" s="10"/>
      <c r="AN707" s="10"/>
      <c r="AO707" s="10"/>
      <c r="AQ707" s="10"/>
      <c r="AR707" s="10"/>
      <c r="AS707" s="10"/>
      <c r="AT707" s="10"/>
      <c r="AU707" s="10"/>
      <c r="AV707" s="10"/>
      <c r="AW707" s="10"/>
      <c r="AX707" s="10"/>
      <c r="AZ707" s="10"/>
      <c r="BA707" s="10"/>
      <c r="BB707" s="10"/>
      <c r="BC707" s="10"/>
      <c r="BD707" s="10"/>
      <c r="BE707" s="10"/>
      <c r="BF707" s="10"/>
      <c r="BG707" s="10"/>
      <c r="BI707" s="10"/>
      <c r="BJ707" s="10"/>
      <c r="BK707" s="10"/>
      <c r="BL707" s="10"/>
      <c r="BM707" s="10"/>
      <c r="BN707" s="10"/>
      <c r="BO707" s="10"/>
      <c r="BP707" s="10"/>
    </row>
    <row r="708" spans="2:68" ht="13.2" customHeight="1">
      <c r="B708" s="280" t="s">
        <v>1301</v>
      </c>
      <c r="G708" s="1122">
        <f t="shared" ref="G708:L708" ca="1" si="1243">P708+Y708+AH708+AQ708+AZ708+BI708</f>
        <v>145475.86976709054</v>
      </c>
      <c r="H708" s="1122">
        <f t="shared" ca="1" si="1243"/>
        <v>43992.833412038315</v>
      </c>
      <c r="I708" s="1122">
        <f t="shared" ca="1" si="1243"/>
        <v>131210.43328834089</v>
      </c>
      <c r="J708" s="1122">
        <f t="shared" ca="1" si="1243"/>
        <v>83480.153115988564</v>
      </c>
      <c r="K708" s="1122">
        <f t="shared" ca="1" si="1243"/>
        <v>47453.576956110774</v>
      </c>
      <c r="L708" s="1122">
        <f t="shared" ca="1" si="1243"/>
        <v>45951.354090665911</v>
      </c>
      <c r="N708" s="186">
        <f ca="1">SUM(G708:M708)</f>
        <v>497564.22063023504</v>
      </c>
      <c r="O708" s="136">
        <f>ROW()</f>
        <v>708</v>
      </c>
      <c r="P708" s="10">
        <f t="shared" ref="P708:W708" ca="1" si="1244">P$135*$W702</f>
        <v>25007.937736042531</v>
      </c>
      <c r="Q708" s="10">
        <f t="shared" ca="1" si="1244"/>
        <v>7229.6768015212738</v>
      </c>
      <c r="R708" s="10">
        <f t="shared" ca="1" si="1244"/>
        <v>21294.690656177816</v>
      </c>
      <c r="S708" s="10">
        <f t="shared" ca="1" si="1244"/>
        <v>13510.673631495531</v>
      </c>
      <c r="T708" s="10">
        <f t="shared" ca="1" si="1244"/>
        <v>7611.7522646506177</v>
      </c>
      <c r="U708" s="10">
        <f t="shared" ca="1" si="1244"/>
        <v>7676.3675645674139</v>
      </c>
      <c r="V708" s="10"/>
      <c r="W708" s="10">
        <f t="shared" ca="1" si="1244"/>
        <v>82331.098654455171</v>
      </c>
      <c r="Y708" s="10">
        <f t="shared" ref="Y708:AD708" ca="1" si="1245">Y$135*$AF702</f>
        <v>69485.594716883294</v>
      </c>
      <c r="Z708" s="10">
        <f t="shared" ca="1" si="1245"/>
        <v>20087.957570389321</v>
      </c>
      <c r="AA708" s="10">
        <f t="shared" ca="1" si="1245"/>
        <v>59168.183325408805</v>
      </c>
      <c r="AB708" s="10">
        <f t="shared" ca="1" si="1245"/>
        <v>37539.968397999684</v>
      </c>
      <c r="AC708" s="10">
        <f t="shared" ca="1" si="1245"/>
        <v>21149.57012966917</v>
      </c>
      <c r="AD708" s="10">
        <f t="shared" ca="1" si="1245"/>
        <v>21329.106426900802</v>
      </c>
      <c r="AE708" s="10"/>
      <c r="AF708" s="10">
        <f ca="1">SUM(Y708:AE708)</f>
        <v>228760.38056725109</v>
      </c>
      <c r="AH708" s="10">
        <f t="shared" ref="AH708:AM708" ca="1" si="1246">AH$135*$AO702</f>
        <v>29448.872429806372</v>
      </c>
      <c r="AI708" s="10">
        <f t="shared" ca="1" si="1246"/>
        <v>8513.5300672906505</v>
      </c>
      <c r="AJ708" s="10">
        <f t="shared" ca="1" si="1246"/>
        <v>25076.22320500901</v>
      </c>
      <c r="AK708" s="10">
        <f t="shared" ca="1" si="1246"/>
        <v>15909.912621112582</v>
      </c>
      <c r="AL708" s="10">
        <f t="shared" ca="1" si="1246"/>
        <v>8963.454874806419</v>
      </c>
      <c r="AM708" s="10">
        <f t="shared" ca="1" si="1246"/>
        <v>9039.5446245629901</v>
      </c>
      <c r="AN708" s="10"/>
      <c r="AO708" s="10">
        <f ca="1">SUM(AH708:AN708)</f>
        <v>96951.537822588027</v>
      </c>
      <c r="AQ708" s="10">
        <f t="shared" ref="AQ708:AV708" ca="1" si="1247">AQ702</f>
        <v>16063.417052874969</v>
      </c>
      <c r="AR708" s="10">
        <f t="shared" ca="1" si="1247"/>
        <v>6580.3039547416147</v>
      </c>
      <c r="AS708" s="10">
        <f t="shared" ca="1" si="1247"/>
        <v>21013.495952133315</v>
      </c>
      <c r="AT708" s="10">
        <f t="shared" ca="1" si="1247"/>
        <v>13564.375536569334</v>
      </c>
      <c r="AU708" s="10">
        <f t="shared" ca="1" si="1247"/>
        <v>8063.8623615436009</v>
      </c>
      <c r="AV708" s="10">
        <f t="shared" ca="1" si="1247"/>
        <v>6227.2646854543091</v>
      </c>
      <c r="AW708" s="10"/>
      <c r="AX708" s="10">
        <f ca="1">SUM(AQ708:AW708)</f>
        <v>71512.719543317144</v>
      </c>
      <c r="AZ708" s="10">
        <f t="shared" ref="AZ708:BE708" ca="1" si="1248">AZ$135*$BG702</f>
        <v>3730.7551945683713</v>
      </c>
      <c r="BA708" s="10">
        <f t="shared" ca="1" si="1248"/>
        <v>1078.5437234775459</v>
      </c>
      <c r="BB708" s="10">
        <f t="shared" ca="1" si="1248"/>
        <v>3176.802446519288</v>
      </c>
      <c r="BC708" s="10">
        <f t="shared" ca="1" si="1248"/>
        <v>2015.5606737685519</v>
      </c>
      <c r="BD708" s="10">
        <f t="shared" ca="1" si="1248"/>
        <v>1135.5428264756522</v>
      </c>
      <c r="BE708" s="10">
        <f t="shared" ca="1" si="1248"/>
        <v>1145.1823204778204</v>
      </c>
      <c r="BF708" s="10"/>
      <c r="BG708" s="10">
        <f ca="1">SUM(AZ708:BF708)</f>
        <v>12282.387185287231</v>
      </c>
      <c r="BI708" s="10">
        <f t="shared" ref="BI708:BN708" ca="1" si="1249">BI$135*$BP702</f>
        <v>1739.2926369149934</v>
      </c>
      <c r="BJ708" s="10">
        <f t="shared" ca="1" si="1249"/>
        <v>502.82129461791408</v>
      </c>
      <c r="BK708" s="10">
        <f t="shared" ca="1" si="1249"/>
        <v>1481.0377030926563</v>
      </c>
      <c r="BL708" s="10">
        <f t="shared" ca="1" si="1249"/>
        <v>939.66225504288298</v>
      </c>
      <c r="BM708" s="10">
        <f t="shared" ca="1" si="1249"/>
        <v>529.39449896530778</v>
      </c>
      <c r="BN708" s="10">
        <f t="shared" ca="1" si="1249"/>
        <v>533.88846870257885</v>
      </c>
      <c r="BO708" s="10"/>
      <c r="BP708" s="10">
        <f ca="1">SUM(BI708:BO708)</f>
        <v>5726.0968573363334</v>
      </c>
    </row>
    <row r="709" spans="2:68" ht="13.2" customHeight="1">
      <c r="B709" s="309"/>
      <c r="O709" s="136">
        <f>ROW()</f>
        <v>709</v>
      </c>
    </row>
    <row r="710" spans="2:68" ht="13.2" customHeight="1">
      <c r="B710" s="280" t="s">
        <v>1047</v>
      </c>
      <c r="G710" s="10"/>
      <c r="H710" s="10"/>
      <c r="I710" s="10"/>
      <c r="J710" s="10"/>
      <c r="K710" s="10"/>
      <c r="L710" s="10"/>
      <c r="M710" s="10"/>
      <c r="N710" s="186"/>
      <c r="O710" s="136">
        <f>ROW()</f>
        <v>710</v>
      </c>
      <c r="P710" s="10">
        <f t="shared" ref="P710:U710" ca="1" si="1250">P708*$W704/$W702</f>
        <v>24994.811583430259</v>
      </c>
      <c r="Q710" s="10">
        <f t="shared" ca="1" si="1250"/>
        <v>7225.8820927357756</v>
      </c>
      <c r="R710" s="10">
        <f t="shared" ca="1" si="1250"/>
        <v>21283.51351065169</v>
      </c>
      <c r="S710" s="10">
        <f t="shared" ca="1" si="1250"/>
        <v>13503.582156546519</v>
      </c>
      <c r="T710" s="10">
        <f t="shared" ca="1" si="1250"/>
        <v>7607.7570123060559</v>
      </c>
      <c r="U710" s="10">
        <f t="shared" ca="1" si="1250"/>
        <v>7672.3383969797496</v>
      </c>
      <c r="V710" s="10"/>
      <c r="W710" s="10">
        <f ca="1">SUM(P710:V710)</f>
        <v>82287.884752650047</v>
      </c>
      <c r="Y710" s="10">
        <f t="shared" ref="Y710:AD710" ca="1" si="1251">Y708*$AF704/$AF702</f>
        <v>69446.518145302922</v>
      </c>
      <c r="Z710" s="10">
        <f t="shared" ca="1" si="1251"/>
        <v>20076.660717925137</v>
      </c>
      <c r="AA710" s="10">
        <f t="shared" ca="1" si="1251"/>
        <v>59134.908950188794</v>
      </c>
      <c r="AB710" s="10">
        <f t="shared" ca="1" si="1251"/>
        <v>37518.857068835612</v>
      </c>
      <c r="AC710" s="10">
        <f t="shared" ca="1" si="1251"/>
        <v>21137.6762587966</v>
      </c>
      <c r="AD710" s="10">
        <f t="shared" ca="1" si="1251"/>
        <v>21317.111590310113</v>
      </c>
      <c r="AE710" s="10"/>
      <c r="AF710" s="10">
        <f ca="1">SUM(Y710:AE710)</f>
        <v>228631.73273135917</v>
      </c>
      <c r="AH710" s="10">
        <f t="shared" ref="AH710:AM710" ca="1" si="1252">AH708*$AO704/$AO702</f>
        <v>29435.908076731601</v>
      </c>
      <c r="AI710" s="10">
        <f t="shared" ca="1" si="1252"/>
        <v>8509.7821339880047</v>
      </c>
      <c r="AJ710" s="10">
        <f t="shared" ca="1" si="1252"/>
        <v>25065.183834581963</v>
      </c>
      <c r="AK710" s="10">
        <f t="shared" ca="1" si="1252"/>
        <v>15902.908559238889</v>
      </c>
      <c r="AL710" s="10">
        <f t="shared" ca="1" si="1252"/>
        <v>8959.5088699451553</v>
      </c>
      <c r="AM710" s="10">
        <f t="shared" ca="1" si="1252"/>
        <v>9035.565122514914</v>
      </c>
      <c r="AN710" s="10"/>
      <c r="AO710" s="10">
        <f ca="1">SUM(AH710:AN710)</f>
        <v>96908.856597000544</v>
      </c>
      <c r="AQ710" s="10">
        <f t="shared" ref="AQ710:AV710" ca="1" si="1253">AQ708*$AX704/$AX702</f>
        <v>16063.417052874971</v>
      </c>
      <c r="AR710" s="10">
        <f t="shared" ca="1" si="1253"/>
        <v>6580.3039547416147</v>
      </c>
      <c r="AS710" s="10">
        <f t="shared" ca="1" si="1253"/>
        <v>21013.495952133315</v>
      </c>
      <c r="AT710" s="10">
        <f t="shared" ca="1" si="1253"/>
        <v>13564.375536569334</v>
      </c>
      <c r="AU710" s="10">
        <f t="shared" ca="1" si="1253"/>
        <v>8063.8623615436018</v>
      </c>
      <c r="AV710" s="10">
        <f t="shared" ca="1" si="1253"/>
        <v>6227.2646854543091</v>
      </c>
      <c r="AW710" s="10"/>
      <c r="AX710" s="10">
        <f ca="1">SUM(AQ710:AW710)</f>
        <v>71512.719543317144</v>
      </c>
      <c r="AZ710" s="10">
        <f t="shared" ref="AZ710:BE710" ca="1" si="1254">AZ708*$BG704/$BG702</f>
        <v>3729.9926110560914</v>
      </c>
      <c r="BA710" s="10">
        <f t="shared" ca="1" si="1254"/>
        <v>1078.3232641823356</v>
      </c>
      <c r="BB710" s="10">
        <f t="shared" ca="1" si="1254"/>
        <v>3176.1530934952643</v>
      </c>
      <c r="BC710" s="10">
        <f t="shared" ca="1" si="1254"/>
        <v>2015.1486839011777</v>
      </c>
      <c r="BD710" s="10">
        <f t="shared" ca="1" si="1254"/>
        <v>1135.3107163017607</v>
      </c>
      <c r="BE710" s="10">
        <f t="shared" ca="1" si="1254"/>
        <v>1144.9482399470417</v>
      </c>
      <c r="BF710" s="10"/>
      <c r="BG710" s="10">
        <f ca="1">SUM(AZ710:BF710)</f>
        <v>12279.876608883671</v>
      </c>
      <c r="BI710" s="10">
        <f t="shared" ref="BI710:BN710" ca="1" si="1255">BI708*$BP704/$BP702</f>
        <v>1738.8092416568993</v>
      </c>
      <c r="BJ710" s="10">
        <f t="shared" ca="1" si="1255"/>
        <v>502.68154732966127</v>
      </c>
      <c r="BK710" s="10">
        <f t="shared" ca="1" si="1255"/>
        <v>1480.6260836862732</v>
      </c>
      <c r="BL710" s="10">
        <f t="shared" ca="1" si="1255"/>
        <v>939.4010981399806</v>
      </c>
      <c r="BM710" s="10">
        <f t="shared" ca="1" si="1255"/>
        <v>529.24736628330277</v>
      </c>
      <c r="BN710" s="10">
        <f t="shared" ca="1" si="1255"/>
        <v>533.74008702795754</v>
      </c>
      <c r="BO710" s="10"/>
      <c r="BP710" s="10">
        <f ca="1">SUM(BI710:BO710)</f>
        <v>5724.5054241240741</v>
      </c>
    </row>
    <row r="711" spans="2:68" ht="13.2" customHeight="1">
      <c r="B711" s="309"/>
      <c r="C711" s="309"/>
      <c r="D711" s="309"/>
      <c r="E711" s="309"/>
      <c r="F711" s="309"/>
      <c r="G711" s="10"/>
      <c r="H711" s="10"/>
      <c r="I711" s="10"/>
      <c r="J711" s="10"/>
      <c r="K711" s="10"/>
      <c r="L711" s="10"/>
      <c r="M711" s="10"/>
      <c r="N711" s="186"/>
      <c r="O711" s="136">
        <f>ROW()</f>
        <v>711</v>
      </c>
      <c r="AQ711" s="10"/>
      <c r="AR711" s="10"/>
      <c r="AS711" s="10"/>
      <c r="AT711" s="10"/>
      <c r="AU711" s="10"/>
      <c r="AV711" s="10"/>
    </row>
    <row r="712" spans="2:68" ht="13.2" customHeight="1">
      <c r="B712" s="280" t="s">
        <v>1010</v>
      </c>
      <c r="G712" s="1122">
        <f t="shared" ref="G712:L712" ca="1" si="1256">P712+Y712+AH712+AQ712+AZ712+BI712</f>
        <v>221634.98779631854</v>
      </c>
      <c r="H712" s="1122">
        <f t="shared" ca="1" si="1256"/>
        <v>66978.29802289333</v>
      </c>
      <c r="I712" s="1122">
        <f t="shared" ca="1" si="1256"/>
        <v>199728.84643573381</v>
      </c>
      <c r="J712" s="1122">
        <f t="shared" ca="1" si="1256"/>
        <v>127068.54237384515</v>
      </c>
      <c r="K712" s="1122">
        <f t="shared" ca="1" si="1256"/>
        <v>72221.682748364488</v>
      </c>
      <c r="L712" s="1122">
        <f t="shared" ca="1" si="1256"/>
        <v>69977.188074534177</v>
      </c>
      <c r="N712" s="186">
        <f ca="1">SUM(G712:M712)</f>
        <v>757609.54545168951</v>
      </c>
      <c r="O712" s="136">
        <f>ROW()</f>
        <v>712</v>
      </c>
      <c r="P712" s="10">
        <f t="shared" ref="P712:U712" ca="1" si="1257">P710*$I$85</f>
        <v>37492.217375145388</v>
      </c>
      <c r="Q712" s="10">
        <f t="shared" ca="1" si="1257"/>
        <v>10838.823139103664</v>
      </c>
      <c r="R712" s="10">
        <f t="shared" ca="1" si="1257"/>
        <v>31925.270265977535</v>
      </c>
      <c r="S712" s="10">
        <f t="shared" ca="1" si="1257"/>
        <v>20255.373234819781</v>
      </c>
      <c r="T712" s="10">
        <f t="shared" ca="1" si="1257"/>
        <v>11411.635518459083</v>
      </c>
      <c r="U712" s="10">
        <f t="shared" ca="1" si="1257"/>
        <v>11508.507595469624</v>
      </c>
      <c r="V712" s="10"/>
      <c r="W712" s="10">
        <f ca="1">SUM(P712:V712)</f>
        <v>123431.82712897507</v>
      </c>
      <c r="Y712" s="10">
        <f t="shared" ref="Y712:AD712" ca="1" si="1258">Y710*$J$85</f>
        <v>104169.77721795438</v>
      </c>
      <c r="Z712" s="10">
        <f t="shared" ca="1" si="1258"/>
        <v>30114.991076887705</v>
      </c>
      <c r="AA712" s="10">
        <f t="shared" ca="1" si="1258"/>
        <v>88702.363425283198</v>
      </c>
      <c r="AB712" s="10">
        <f t="shared" ca="1" si="1258"/>
        <v>56278.285603253418</v>
      </c>
      <c r="AC712" s="10">
        <f t="shared" ca="1" si="1258"/>
        <v>31706.514388194901</v>
      </c>
      <c r="AD712" s="10">
        <f t="shared" ca="1" si="1258"/>
        <v>31975.667385465167</v>
      </c>
      <c r="AE712" s="10"/>
      <c r="AF712" s="10">
        <f ca="1">SUM(Y712:AE712)</f>
        <v>342947.59909703879</v>
      </c>
      <c r="AH712" s="10">
        <f t="shared" ref="AH712:AM712" ca="1" si="1259">AH710*$K$85</f>
        <v>41210.271307424242</v>
      </c>
      <c r="AI712" s="10">
        <f t="shared" ca="1" si="1259"/>
        <v>11913.694987583207</v>
      </c>
      <c r="AJ712" s="10">
        <f t="shared" ca="1" si="1259"/>
        <v>35091.25736841475</v>
      </c>
      <c r="AK712" s="10">
        <f t="shared" ca="1" si="1259"/>
        <v>22264.071982934445</v>
      </c>
      <c r="AL712" s="10">
        <f t="shared" ca="1" si="1259"/>
        <v>12543.312417923218</v>
      </c>
      <c r="AM712" s="10">
        <f t="shared" ca="1" si="1259"/>
        <v>12649.791171520881</v>
      </c>
      <c r="AN712" s="10"/>
      <c r="AO712" s="10">
        <f ca="1">SUM(AH712:AN712)</f>
        <v>135672.39923580075</v>
      </c>
      <c r="AQ712" s="10">
        <f ca="1">AQ710*$L$85*Taxis!$L$130</f>
        <v>24095.125579312458</v>
      </c>
      <c r="AR712" s="10">
        <f ca="1">AR710*$L$85*Taxis!$L$130</f>
        <v>9870.4559321124216</v>
      </c>
      <c r="AS712" s="10">
        <f ca="1">AS710*$L$85*Taxis!$L$130</f>
        <v>31520.243928199972</v>
      </c>
      <c r="AT712" s="10">
        <f ca="1">AT710*$L$85*Taxis!$L$130</f>
        <v>20346.563304854</v>
      </c>
      <c r="AU712" s="10">
        <f ca="1">AU710*$L$85*Taxis!$L$130</f>
        <v>12095.793542315403</v>
      </c>
      <c r="AV712" s="10">
        <f ca="1">AV710*$L$85*Taxis!$L$130</f>
        <v>9340.8970281814636</v>
      </c>
      <c r="AW712" s="10"/>
      <c r="AX712" s="10">
        <f ca="1">SUM(AQ712:AW712)</f>
        <v>107269.07931497572</v>
      </c>
      <c r="AZ712" s="10">
        <f t="shared" ref="AZ712:BE712" ca="1" si="1260">AZ710*$M$85</f>
        <v>11189.977833168274</v>
      </c>
      <c r="BA712" s="10">
        <f t="shared" ca="1" si="1260"/>
        <v>3234.9697925470068</v>
      </c>
      <c r="BB712" s="10">
        <f t="shared" ca="1" si="1260"/>
        <v>9528.459280485793</v>
      </c>
      <c r="BC712" s="10">
        <f t="shared" ca="1" si="1260"/>
        <v>6045.4460517035332</v>
      </c>
      <c r="BD712" s="10">
        <f t="shared" ca="1" si="1260"/>
        <v>3405.9321489052822</v>
      </c>
      <c r="BE712" s="10">
        <f t="shared" ca="1" si="1260"/>
        <v>3434.844719841125</v>
      </c>
      <c r="BF712" s="10"/>
      <c r="BG712" s="10">
        <f ca="1">SUM(AZ712:BF712)</f>
        <v>36839.629826651013</v>
      </c>
      <c r="BI712" s="10">
        <f t="shared" ref="BI712:BN712" ca="1" si="1261">BI710*$N$85</f>
        <v>3477.6184833137986</v>
      </c>
      <c r="BJ712" s="10">
        <f t="shared" ca="1" si="1261"/>
        <v>1005.3630946593225</v>
      </c>
      <c r="BK712" s="10">
        <f t="shared" ca="1" si="1261"/>
        <v>2961.2521673725464</v>
      </c>
      <c r="BL712" s="10">
        <f t="shared" ca="1" si="1261"/>
        <v>1878.8021962799612</v>
      </c>
      <c r="BM712" s="10">
        <f t="shared" ca="1" si="1261"/>
        <v>1058.4947325666055</v>
      </c>
      <c r="BN712" s="10">
        <f t="shared" ca="1" si="1261"/>
        <v>1067.4801740559151</v>
      </c>
      <c r="BO712" s="10"/>
      <c r="BP712" s="10">
        <f ca="1">SUM(BI712:BO712)</f>
        <v>11449.010848248148</v>
      </c>
    </row>
    <row r="713" spans="2:68" ht="13.2" customHeight="1">
      <c r="G713" s="1122"/>
      <c r="H713" s="1122"/>
      <c r="I713" s="1122"/>
      <c r="J713" s="1122"/>
      <c r="K713" s="1122"/>
      <c r="L713" s="1122"/>
      <c r="O713" s="136">
        <f>ROW()</f>
        <v>713</v>
      </c>
      <c r="AQ713"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713" s="10"/>
      <c r="AS713" s="10"/>
      <c r="AT713" s="10"/>
      <c r="AU713" s="10"/>
      <c r="AV713" s="10"/>
    </row>
    <row r="714" spans="2:68" ht="13.2" customHeight="1">
      <c r="B714" s="308" t="s">
        <v>1431</v>
      </c>
      <c r="G714" s="1122"/>
      <c r="H714" s="1122"/>
      <c r="I714" s="1122"/>
      <c r="J714" s="1122"/>
      <c r="K714" s="1122"/>
      <c r="L714" s="1122"/>
      <c r="O714" s="136">
        <f>ROW()</f>
        <v>714</v>
      </c>
      <c r="AQ714" s="265" t="str">
        <f>CONCATENATE("Row ",O716, " figures are set equal to ",O715, " figures, since rebound effects are presumed accounted for by taxi time-elasticity.")</f>
        <v>Row 716 figures are set equal to 715 figures, since rebound effects are presumed accounted for by taxi time-elasticity.</v>
      </c>
    </row>
    <row r="715" spans="2:68" s="1122" customFormat="1" ht="13.2" customHeight="1">
      <c r="B715" s="1123" t="s">
        <v>1112</v>
      </c>
      <c r="G715" s="1122">
        <f t="shared" ref="G715:L717" ca="1" si="1262">P715+Y715+AH715+AQ715+AZ715+BI715</f>
        <v>490074.86042372754</v>
      </c>
      <c r="H715" s="1122">
        <f t="shared" ca="1" si="1262"/>
        <v>115627.69193802253</v>
      </c>
      <c r="I715" s="1122">
        <f t="shared" ca="1" si="1262"/>
        <v>324021.21822860744</v>
      </c>
      <c r="J715" s="1122">
        <f t="shared" ca="1" si="1262"/>
        <v>205258.88037870071</v>
      </c>
      <c r="K715" s="1122">
        <f t="shared" ca="1" si="1262"/>
        <v>130164.32045877221</v>
      </c>
      <c r="L715" s="1122">
        <f t="shared" ca="1" si="1262"/>
        <v>123899.90094971244</v>
      </c>
      <c r="N715" s="1127">
        <f ca="1">SUM(G715:M715)</f>
        <v>1389046.8723775428</v>
      </c>
      <c r="O715" s="136">
        <f>ROW()</f>
        <v>715</v>
      </c>
      <c r="P715" s="1122">
        <f t="shared" ref="P715:U715" ca="1" si="1263">P668</f>
        <v>11031.100600133974</v>
      </c>
      <c r="Q715" s="1122">
        <f t="shared" ca="1" si="1263"/>
        <v>3894.8268320495649</v>
      </c>
      <c r="R715" s="1122">
        <f t="shared" ca="1" si="1263"/>
        <v>12226.463147037557</v>
      </c>
      <c r="S715" s="1122">
        <f t="shared" ca="1" si="1263"/>
        <v>7835.231968003236</v>
      </c>
      <c r="T715" s="1122">
        <f t="shared" ca="1" si="1263"/>
        <v>4552.3239746788204</v>
      </c>
      <c r="U715" s="1122">
        <f t="shared" ca="1" si="1263"/>
        <v>4032.455827653167</v>
      </c>
      <c r="W715" s="1122">
        <f ca="1">SUM(P715:V715)</f>
        <v>43572.402349556323</v>
      </c>
      <c r="Y715" s="1122">
        <f t="shared" ref="Y715:AD715" ca="1" si="1264">Y668</f>
        <v>33093.301800401925</v>
      </c>
      <c r="Z715" s="1122">
        <f t="shared" ca="1" si="1264"/>
        <v>11684.480496148692</v>
      </c>
      <c r="AA715" s="1122">
        <f t="shared" ca="1" si="1264"/>
        <v>36679.389441112668</v>
      </c>
      <c r="AB715" s="1122">
        <f t="shared" ca="1" si="1264"/>
        <v>23505.69590400971</v>
      </c>
      <c r="AC715" s="1122">
        <f t="shared" ca="1" si="1264"/>
        <v>13656.971924036456</v>
      </c>
      <c r="AD715" s="1122">
        <f t="shared" ca="1" si="1264"/>
        <v>12097.3674829595</v>
      </c>
      <c r="AF715" s="1122">
        <f ca="1">SUM(Y715:AE715)</f>
        <v>130717.20704866895</v>
      </c>
      <c r="AH715" s="1122">
        <f t="shared" ref="AH715:AM715" ca="1" si="1265">AH668</f>
        <v>0</v>
      </c>
      <c r="AI715" s="1122">
        <f t="shared" ca="1" si="1265"/>
        <v>0</v>
      </c>
      <c r="AJ715" s="1122">
        <f t="shared" ca="1" si="1265"/>
        <v>0</v>
      </c>
      <c r="AK715" s="1122">
        <f t="shared" ca="1" si="1265"/>
        <v>0</v>
      </c>
      <c r="AL715" s="1122">
        <f t="shared" ca="1" si="1265"/>
        <v>0</v>
      </c>
      <c r="AM715" s="1122">
        <f t="shared" ca="1" si="1265"/>
        <v>0</v>
      </c>
      <c r="AO715" s="1122">
        <f ca="1">SUM(AH715:AN715)</f>
        <v>0</v>
      </c>
      <c r="AQ715" s="1122">
        <f t="shared" ref="AQ715:AV715" si="1266">AQ668</f>
        <v>438656.72193199908</v>
      </c>
      <c r="AR715" s="1122">
        <f t="shared" si="1266"/>
        <v>97563.564894963914</v>
      </c>
      <c r="AS715" s="1122">
        <f t="shared" si="1266"/>
        <v>267453.00942252984</v>
      </c>
      <c r="AT715" s="1122">
        <f t="shared" si="1266"/>
        <v>169012.18827727382</v>
      </c>
      <c r="AU715" s="1122">
        <f t="shared" si="1266"/>
        <v>109114.24796886933</v>
      </c>
      <c r="AV715" s="1122">
        <f t="shared" si="1266"/>
        <v>105261.8059659023</v>
      </c>
      <c r="AX715" s="1122">
        <f>SUM(AQ715:AW715)</f>
        <v>1187061.5384615383</v>
      </c>
      <c r="AZ715" s="1122">
        <f t="shared" ref="AZ715:BE715" ca="1" si="1267">AZ668</f>
        <v>4160.0219101614866</v>
      </c>
      <c r="BA715" s="1122">
        <f t="shared" ca="1" si="1267"/>
        <v>1411.1276827490931</v>
      </c>
      <c r="BB715" s="1122">
        <f t="shared" ca="1" si="1267"/>
        <v>4342.0444351464703</v>
      </c>
      <c r="BC715" s="1122">
        <f t="shared" ca="1" si="1267"/>
        <v>2779.6440424977354</v>
      </c>
      <c r="BD715" s="1122">
        <f t="shared" ca="1" si="1267"/>
        <v>1608.9525499196179</v>
      </c>
      <c r="BE715" s="1122">
        <f t="shared" ca="1" si="1267"/>
        <v>1420.0727240623119</v>
      </c>
      <c r="BG715" s="1122">
        <f ca="1">SUM(AZ715:BF715)</f>
        <v>15721.863344536716</v>
      </c>
      <c r="BI715" s="1122">
        <f t="shared" ref="BI715:BN715" ca="1" si="1268">BI668</f>
        <v>3133.7141810310891</v>
      </c>
      <c r="BJ715" s="1122">
        <f t="shared" ca="1" si="1268"/>
        <v>1073.6920321112755</v>
      </c>
      <c r="BK715" s="1122">
        <f t="shared" ca="1" si="1268"/>
        <v>3320.3117827808724</v>
      </c>
      <c r="BL715" s="1122">
        <f t="shared" ca="1" si="1268"/>
        <v>2126.1201869161932</v>
      </c>
      <c r="BM715" s="1122">
        <f t="shared" ca="1" si="1268"/>
        <v>1231.8240412679816</v>
      </c>
      <c r="BN715" s="1122">
        <f t="shared" ca="1" si="1268"/>
        <v>1088.198949135161</v>
      </c>
      <c r="BP715" s="1122">
        <f ca="1">SUM(BI715:BO715)</f>
        <v>11973.861173242572</v>
      </c>
    </row>
    <row r="716" spans="2:68" s="1122" customFormat="1" ht="13.2" customHeight="1">
      <c r="B716" s="1123" t="s">
        <v>114</v>
      </c>
      <c r="G716" s="1122">
        <f t="shared" ca="1" si="1262"/>
        <v>490075.89723652758</v>
      </c>
      <c r="H716" s="1122">
        <f t="shared" ca="1" si="1262"/>
        <v>115624.60651505312</v>
      </c>
      <c r="I716" s="1122">
        <f t="shared" ca="1" si="1262"/>
        <v>324016.99601086241</v>
      </c>
      <c r="J716" s="1122">
        <f t="shared" ca="1" si="1262"/>
        <v>205261.0145489689</v>
      </c>
      <c r="K716" s="1122">
        <f t="shared" ca="1" si="1262"/>
        <v>130155.06072014933</v>
      </c>
      <c r="L716" s="1122">
        <f t="shared" ca="1" si="1262"/>
        <v>123895.56257850931</v>
      </c>
      <c r="N716" s="1127">
        <f ca="1">SUM(G716:M716)</f>
        <v>1389029.1376100709</v>
      </c>
      <c r="O716" s="136">
        <f>ROW()</f>
        <v>716</v>
      </c>
      <c r="P716" s="1122">
        <f t="shared" ref="P716:U716" ca="1" si="1269">P715*P695</f>
        <v>11031.343541784734</v>
      </c>
      <c r="Q716" s="1122">
        <f t="shared" ca="1" si="1269"/>
        <v>3894.1023194783447</v>
      </c>
      <c r="R716" s="1122">
        <f t="shared" ca="1" si="1269"/>
        <v>12225.47065740224</v>
      </c>
      <c r="S716" s="1122">
        <f t="shared" ca="1" si="1269"/>
        <v>7835.7336622327884</v>
      </c>
      <c r="T716" s="1122">
        <f t="shared" ca="1" si="1269"/>
        <v>4550.1468226917123</v>
      </c>
      <c r="U716" s="1122">
        <f t="shared" ca="1" si="1269"/>
        <v>4031.4355950551349</v>
      </c>
      <c r="W716" s="1122">
        <f ca="1">SUM(P716:V716)</f>
        <v>43568.23259864495</v>
      </c>
      <c r="Y716" s="1122">
        <f t="shared" ref="Y716:AD716" ca="1" si="1270">Y715*Y695</f>
        <v>33094.030625354208</v>
      </c>
      <c r="Z716" s="1122">
        <f t="shared" ca="1" si="1270"/>
        <v>11682.306958435031</v>
      </c>
      <c r="AA716" s="1122">
        <f t="shared" ca="1" si="1270"/>
        <v>36676.411972206719</v>
      </c>
      <c r="AB716" s="1122">
        <f t="shared" ca="1" si="1270"/>
        <v>23507.200986698364</v>
      </c>
      <c r="AC716" s="1122">
        <f t="shared" ca="1" si="1270"/>
        <v>13650.440468075132</v>
      </c>
      <c r="AD716" s="1122">
        <f t="shared" ca="1" si="1270"/>
        <v>12094.306785165403</v>
      </c>
      <c r="AF716" s="1122">
        <f ca="1">SUM(Y716:AE716)</f>
        <v>130704.69779593484</v>
      </c>
      <c r="AH716" s="1122">
        <f t="shared" ref="AH716:AM716" ca="1" si="1271">AH715*AH695</f>
        <v>0</v>
      </c>
      <c r="AI716" s="1122">
        <f t="shared" ca="1" si="1271"/>
        <v>0</v>
      </c>
      <c r="AJ716" s="1122">
        <f t="shared" ca="1" si="1271"/>
        <v>0</v>
      </c>
      <c r="AK716" s="1122">
        <f t="shared" ca="1" si="1271"/>
        <v>0</v>
      </c>
      <c r="AL716" s="1122">
        <f t="shared" ca="1" si="1271"/>
        <v>0</v>
      </c>
      <c r="AM716" s="1122">
        <f t="shared" ca="1" si="1271"/>
        <v>0</v>
      </c>
      <c r="AO716" s="1122">
        <f ca="1">SUM(AH716:AN716)</f>
        <v>0</v>
      </c>
      <c r="AQ716" s="1122">
        <f t="shared" ref="AQ716:AV716" si="1272">AQ715</f>
        <v>438656.72193199908</v>
      </c>
      <c r="AR716" s="1122">
        <f t="shared" si="1272"/>
        <v>97563.564894963914</v>
      </c>
      <c r="AS716" s="1122">
        <f t="shared" si="1272"/>
        <v>267453.00942252984</v>
      </c>
      <c r="AT716" s="1122">
        <f t="shared" si="1272"/>
        <v>169012.18827727382</v>
      </c>
      <c r="AU716" s="1122">
        <f t="shared" si="1272"/>
        <v>109114.24796886933</v>
      </c>
      <c r="AV716" s="1122">
        <f t="shared" si="1272"/>
        <v>105261.8059659023</v>
      </c>
      <c r="AX716" s="1122">
        <f>SUM(AQ716:AW716)</f>
        <v>1187061.5384615383</v>
      </c>
      <c r="AZ716" s="1122">
        <f t="shared" ref="AZ716:BE716" ca="1" si="1273">AZ715*AZ695</f>
        <v>4160.0524491260476</v>
      </c>
      <c r="BA716" s="1122">
        <f t="shared" ca="1" si="1273"/>
        <v>1411.040178375516</v>
      </c>
      <c r="BB716" s="1122">
        <f t="shared" ca="1" si="1273"/>
        <v>4341.9269427133695</v>
      </c>
      <c r="BC716" s="1122">
        <f t="shared" ca="1" si="1273"/>
        <v>2779.7033686125155</v>
      </c>
      <c r="BD716" s="1122">
        <f t="shared" ca="1" si="1273"/>
        <v>1608.6960148080275</v>
      </c>
      <c r="BE716" s="1122">
        <f t="shared" ca="1" si="1273"/>
        <v>1419.9529519971134</v>
      </c>
      <c r="BG716" s="1122">
        <f ca="1">SUM(AZ716:BF716)</f>
        <v>15721.371905632588</v>
      </c>
      <c r="BI716" s="1122">
        <f t="shared" ref="BI716:BN716" ca="1" si="1274">BI715*BI695</f>
        <v>3133.7486882635103</v>
      </c>
      <c r="BJ716" s="1122">
        <f t="shared" ca="1" si="1274"/>
        <v>1073.5921638003035</v>
      </c>
      <c r="BK716" s="1122">
        <f t="shared" ca="1" si="1274"/>
        <v>3320.1770160102428</v>
      </c>
      <c r="BL716" s="1122">
        <f t="shared" ca="1" si="1274"/>
        <v>2126.1882541514246</v>
      </c>
      <c r="BM716" s="1122">
        <f t="shared" ca="1" si="1274"/>
        <v>1231.5294457051282</v>
      </c>
      <c r="BN716" s="1122">
        <f t="shared" ca="1" si="1274"/>
        <v>1088.0612803893621</v>
      </c>
      <c r="BP716" s="1122">
        <f ca="1">SUM(BI716:BO716)</f>
        <v>11973.296848319971</v>
      </c>
    </row>
    <row r="717" spans="2:68" ht="13.2" customHeight="1">
      <c r="B717" s="280" t="s">
        <v>1880</v>
      </c>
      <c r="G717" s="1122">
        <f t="shared" ca="1" si="1262"/>
        <v>1.0368128000250181</v>
      </c>
      <c r="H717" s="1122">
        <f t="shared" ca="1" si="1262"/>
        <v>-3.085422969430283</v>
      </c>
      <c r="I717" s="1122">
        <f t="shared" ca="1" si="1262"/>
        <v>-4.2222177449957599</v>
      </c>
      <c r="J717" s="1122">
        <f t="shared" ca="1" si="1262"/>
        <v>2.1341702682184405</v>
      </c>
      <c r="K717" s="1122">
        <f t="shared" ca="1" si="1262"/>
        <v>-9.2597386228753749</v>
      </c>
      <c r="L717" s="1122">
        <f t="shared" ca="1" si="1262"/>
        <v>-4.3383712031265986</v>
      </c>
      <c r="N717" s="1127">
        <f ca="1">W717+AF717+AO717+AX717+BG717+BP717</f>
        <v>-17.734767472205931</v>
      </c>
      <c r="O717" s="136">
        <f>ROW()</f>
        <v>717</v>
      </c>
      <c r="P717" s="10">
        <f t="shared" ref="P717:W717" ca="1" si="1275">P716-P715</f>
        <v>0.2429416507602582</v>
      </c>
      <c r="Q717" s="10">
        <f t="shared" ca="1" si="1275"/>
        <v>-0.72451257122020252</v>
      </c>
      <c r="R717" s="10">
        <f t="shared" ca="1" si="1275"/>
        <v>-0.99248963531681511</v>
      </c>
      <c r="S717" s="10">
        <f t="shared" ca="1" si="1275"/>
        <v>0.50169422955241316</v>
      </c>
      <c r="T717" s="10">
        <f t="shared" ca="1" si="1275"/>
        <v>-2.1771519871081182</v>
      </c>
      <c r="U717" s="10">
        <f t="shared" ca="1" si="1275"/>
        <v>-1.0202325980321802</v>
      </c>
      <c r="V717" s="10"/>
      <c r="W717" s="138">
        <f t="shared" ca="1" si="1275"/>
        <v>-4.1697509113728302</v>
      </c>
      <c r="Y717" s="10">
        <f t="shared" ref="Y717:AF717" ca="1" si="1276">Y716-Y715</f>
        <v>0.72882495228259359</v>
      </c>
      <c r="Z717" s="10">
        <f t="shared" ca="1" si="1276"/>
        <v>-2.1735377136610623</v>
      </c>
      <c r="AA717" s="10">
        <f t="shared" ca="1" si="1276"/>
        <v>-2.9774689059486263</v>
      </c>
      <c r="AB717" s="10">
        <f t="shared" ca="1" si="1276"/>
        <v>1.505082688654511</v>
      </c>
      <c r="AC717" s="10">
        <f t="shared" ca="1" si="1276"/>
        <v>-6.5314559613234451</v>
      </c>
      <c r="AD717" s="10">
        <f t="shared" ca="1" si="1276"/>
        <v>-3.0606977940969955</v>
      </c>
      <c r="AE717" s="10"/>
      <c r="AF717" s="138">
        <f t="shared" ca="1" si="1276"/>
        <v>-12.509252734103939</v>
      </c>
      <c r="AH717" s="10">
        <f t="shared" ref="AH717:AO717" ca="1" si="1277">AH716-AH715</f>
        <v>0</v>
      </c>
      <c r="AI717" s="10">
        <f t="shared" ca="1" si="1277"/>
        <v>0</v>
      </c>
      <c r="AJ717" s="10">
        <f t="shared" ca="1" si="1277"/>
        <v>0</v>
      </c>
      <c r="AK717" s="10">
        <f t="shared" ca="1" si="1277"/>
        <v>0</v>
      </c>
      <c r="AL717" s="10">
        <f t="shared" ca="1" si="1277"/>
        <v>0</v>
      </c>
      <c r="AM717" s="10">
        <f t="shared" ca="1" si="1277"/>
        <v>0</v>
      </c>
      <c r="AN717" s="10"/>
      <c r="AO717" s="138">
        <f t="shared" ca="1" si="1277"/>
        <v>0</v>
      </c>
      <c r="AQ717" s="10">
        <f t="shared" ref="AQ717:AX717" si="1278">AQ716-AQ715</f>
        <v>0</v>
      </c>
      <c r="AR717" s="10">
        <f t="shared" si="1278"/>
        <v>0</v>
      </c>
      <c r="AS717" s="10">
        <f t="shared" si="1278"/>
        <v>0</v>
      </c>
      <c r="AT717" s="10">
        <f t="shared" si="1278"/>
        <v>0</v>
      </c>
      <c r="AU717" s="10">
        <f t="shared" si="1278"/>
        <v>0</v>
      </c>
      <c r="AV717" s="10">
        <f t="shared" si="1278"/>
        <v>0</v>
      </c>
      <c r="AW717" s="10"/>
      <c r="AX717" s="138">
        <f t="shared" si="1278"/>
        <v>0</v>
      </c>
      <c r="AZ717" s="10">
        <f t="shared" ref="AZ717:BG717" ca="1" si="1279">AZ716-AZ715</f>
        <v>3.0538964560946624E-2</v>
      </c>
      <c r="BA717" s="10">
        <f t="shared" ca="1" si="1279"/>
        <v>-8.7504373577075967E-2</v>
      </c>
      <c r="BB717" s="10">
        <f t="shared" ca="1" si="1279"/>
        <v>-0.11749243310077873</v>
      </c>
      <c r="BC717" s="10">
        <f t="shared" ca="1" si="1279"/>
        <v>5.9326114780105854E-2</v>
      </c>
      <c r="BD717" s="10">
        <f t="shared" ca="1" si="1279"/>
        <v>-0.25653511159043774</v>
      </c>
      <c r="BE717" s="10">
        <f t="shared" ca="1" si="1279"/>
        <v>-0.1197720651985037</v>
      </c>
      <c r="BF717" s="10"/>
      <c r="BG717" s="138">
        <f t="shared" ca="1" si="1279"/>
        <v>-0.49143890412779001</v>
      </c>
      <c r="BI717" s="10">
        <f t="shared" ref="BI717:BP717" ca="1" si="1280">BI716-BI715</f>
        <v>3.4507232421219669E-2</v>
      </c>
      <c r="BJ717" s="10">
        <f t="shared" ca="1" si="1280"/>
        <v>-9.9868310971942265E-2</v>
      </c>
      <c r="BK717" s="10">
        <f t="shared" ca="1" si="1280"/>
        <v>-0.13476677062953968</v>
      </c>
      <c r="BL717" s="10">
        <f t="shared" ca="1" si="1280"/>
        <v>6.806723523141045E-2</v>
      </c>
      <c r="BM717" s="10">
        <f t="shared" ca="1" si="1280"/>
        <v>-0.29459556285337385</v>
      </c>
      <c r="BN717" s="10">
        <f t="shared" ca="1" si="1280"/>
        <v>-0.13766874579891919</v>
      </c>
      <c r="BO717" s="10"/>
      <c r="BP717" s="138">
        <f t="shared" ca="1" si="1280"/>
        <v>-0.56432492260137224</v>
      </c>
    </row>
    <row r="718" spans="2:68" ht="13.2" customHeight="1">
      <c r="G718" s="1122"/>
      <c r="H718" s="1122"/>
      <c r="I718" s="1122"/>
      <c r="J718" s="1122"/>
      <c r="K718" s="1122"/>
      <c r="L718" s="1122"/>
      <c r="O718" s="136">
        <f>ROW()</f>
        <v>718</v>
      </c>
    </row>
    <row r="719" spans="2:68" ht="13.2" customHeight="1">
      <c r="B719" s="308" t="s">
        <v>2596</v>
      </c>
      <c r="G719" s="1122">
        <f t="shared" ref="G719:N720" ca="1" si="1281">P719+Y719+AH719+AQ719+AZ719+BI719</f>
        <v>893355.1526956968</v>
      </c>
      <c r="H719" s="1122">
        <f t="shared" ca="1" si="1281"/>
        <v>256981.90082428858</v>
      </c>
      <c r="I719" s="1122">
        <f t="shared" ca="1" si="1281"/>
        <v>764243.90574461676</v>
      </c>
      <c r="J719" s="1122">
        <f t="shared" ca="1" si="1281"/>
        <v>490725.71392826299</v>
      </c>
      <c r="K719" s="1122">
        <f t="shared" ca="1" si="1281"/>
        <v>289903.2910048567</v>
      </c>
      <c r="L719" s="1122">
        <f t="shared" ca="1" si="1281"/>
        <v>253360.41976119694</v>
      </c>
      <c r="N719" s="1127">
        <f t="shared" ca="1" si="1281"/>
        <v>2948570.383958919</v>
      </c>
      <c r="O719" s="136">
        <f>ROW()</f>
        <v>719</v>
      </c>
      <c r="P719" s="10">
        <f t="shared" ref="P719:U719" ca="1" si="1282">P672</f>
        <v>84826.536951974311</v>
      </c>
      <c r="Q719" s="10">
        <f t="shared" ca="1" si="1282"/>
        <v>28788.214530342913</v>
      </c>
      <c r="R719" s="10">
        <f t="shared" ca="1" si="1282"/>
        <v>81813.04285234322</v>
      </c>
      <c r="S719" s="10">
        <f t="shared" ca="1" si="1282"/>
        <v>42904.069422797002</v>
      </c>
      <c r="T719" s="10">
        <f t="shared" ca="1" si="1282"/>
        <v>29463.619066861156</v>
      </c>
      <c r="U719" s="10">
        <f t="shared" ca="1" si="1282"/>
        <v>22770.215488603244</v>
      </c>
      <c r="V719" s="10"/>
      <c r="W719" s="10">
        <f ca="1">SUM(P719:V719)</f>
        <v>290565.69831292186</v>
      </c>
      <c r="Y719" s="10">
        <f t="shared" ref="Y719:AD719" ca="1" si="1283">Y672</f>
        <v>191834.43576295284</v>
      </c>
      <c r="Z719" s="10">
        <f t="shared" ca="1" si="1283"/>
        <v>68380.241624844639</v>
      </c>
      <c r="AA719" s="10">
        <f t="shared" ca="1" si="1283"/>
        <v>235060.44420932958</v>
      </c>
      <c r="AB719" s="10">
        <f t="shared" ca="1" si="1283"/>
        <v>165821.4326353262</v>
      </c>
      <c r="AC719" s="10">
        <f t="shared" ca="1" si="1283"/>
        <v>85230.385052302925</v>
      </c>
      <c r="AD719" s="10">
        <f t="shared" ca="1" si="1283"/>
        <v>70671.40946566606</v>
      </c>
      <c r="AE719" s="10"/>
      <c r="AF719" s="10">
        <f ca="1">SUM(Y719:AE719)</f>
        <v>816998.34875042224</v>
      </c>
      <c r="AH719" s="10">
        <f t="shared" ref="AH719:AM719" ca="1" si="1284">AH672</f>
        <v>80448.988039022079</v>
      </c>
      <c r="AI719" s="10">
        <f t="shared" ca="1" si="1284"/>
        <v>27557.528915483163</v>
      </c>
      <c r="AJ719" s="10">
        <f t="shared" ca="1" si="1284"/>
        <v>72561.795057085401</v>
      </c>
      <c r="AK719" s="10">
        <f t="shared" ca="1" si="1284"/>
        <v>43999.156044458985</v>
      </c>
      <c r="AL719" s="10">
        <f t="shared" ca="1" si="1284"/>
        <v>25457.553206650537</v>
      </c>
      <c r="AM719" s="10">
        <f t="shared" ca="1" si="1284"/>
        <v>21439.284640546306</v>
      </c>
      <c r="AN719" s="10"/>
      <c r="AO719" s="10">
        <f ca="1">SUM(AH719:AN719)</f>
        <v>271464.30590324645</v>
      </c>
      <c r="AQ719" s="10">
        <f t="shared" ref="AQ719:AV719" ca="1" si="1285">AQ672</f>
        <v>502998.12881102966</v>
      </c>
      <c r="AR719" s="10">
        <f t="shared" ca="1" si="1285"/>
        <v>121090.0808527504</v>
      </c>
      <c r="AS719" s="10">
        <f t="shared" ca="1" si="1285"/>
        <v>340612.84032427327</v>
      </c>
      <c r="AT719" s="10">
        <f t="shared" ca="1" si="1285"/>
        <v>216106.30800953342</v>
      </c>
      <c r="AU719" s="10">
        <f t="shared" ca="1" si="1285"/>
        <v>137103.48933382597</v>
      </c>
      <c r="AV719" s="10">
        <f t="shared" ca="1" si="1285"/>
        <v>127336.74860206751</v>
      </c>
      <c r="AW719" s="10"/>
      <c r="AX719" s="10">
        <f ca="1">SUM(AQ719:AW719)</f>
        <v>1445247.5959334802</v>
      </c>
      <c r="AZ719" s="10">
        <f t="shared" ref="AZ719:BE719" ca="1" si="1286">AZ672</f>
        <v>23949.498147872029</v>
      </c>
      <c r="BA719" s="10">
        <f t="shared" ca="1" si="1286"/>
        <v>8032.9214592694789</v>
      </c>
      <c r="BB719" s="10">
        <f t="shared" ca="1" si="1286"/>
        <v>24589.912043996883</v>
      </c>
      <c r="BC719" s="10">
        <f t="shared" ca="1" si="1286"/>
        <v>15746.083313040866</v>
      </c>
      <c r="BD719" s="10">
        <f t="shared" ca="1" si="1286"/>
        <v>9091.3688153989751</v>
      </c>
      <c r="BE719" s="10">
        <f t="shared" ca="1" si="1286"/>
        <v>8006.4026766818688</v>
      </c>
      <c r="BF719" s="10"/>
      <c r="BG719" s="10">
        <f ca="1">SUM(AZ719:BF719)</f>
        <v>89416.186456260111</v>
      </c>
      <c r="BI719" s="10">
        <f t="shared" ref="BI719:BN719" ca="1" si="1287">BI672</f>
        <v>9297.5649828458918</v>
      </c>
      <c r="BJ719" s="10">
        <f t="shared" ca="1" si="1287"/>
        <v>3132.9134415979815</v>
      </c>
      <c r="BK719" s="10">
        <f t="shared" ca="1" si="1287"/>
        <v>9605.8712575884347</v>
      </c>
      <c r="BL719" s="10">
        <f t="shared" ca="1" si="1287"/>
        <v>6148.6645031065054</v>
      </c>
      <c r="BM719" s="10">
        <f t="shared" ca="1" si="1287"/>
        <v>3556.87552981711</v>
      </c>
      <c r="BN719" s="10">
        <f t="shared" ca="1" si="1287"/>
        <v>3136.3588876319832</v>
      </c>
      <c r="BO719" s="10"/>
      <c r="BP719" s="10">
        <f ca="1">SUM(BI719:BO719)</f>
        <v>34878.248602587904</v>
      </c>
    </row>
    <row r="720" spans="2:68" ht="13.2" customHeight="1">
      <c r="B720" s="308" t="s">
        <v>2597</v>
      </c>
      <c r="G720" s="1122">
        <f t="shared" ca="1" si="1281"/>
        <v>893225.14054734865</v>
      </c>
      <c r="H720" s="1122">
        <f t="shared" ca="1" si="1281"/>
        <v>256918.37916681435</v>
      </c>
      <c r="I720" s="1122">
        <f t="shared" ca="1" si="1281"/>
        <v>764035.37691152305</v>
      </c>
      <c r="J720" s="1122">
        <f t="shared" ca="1" si="1281"/>
        <v>490598.39964238601</v>
      </c>
      <c r="K720" s="1122">
        <f t="shared" ca="1" si="1281"/>
        <v>289818.42573833698</v>
      </c>
      <c r="L720" s="1122">
        <f t="shared" ca="1" si="1281"/>
        <v>253300.40534903089</v>
      </c>
      <c r="N720" s="1127">
        <f t="shared" ca="1" si="1281"/>
        <v>2947896.1273554401</v>
      </c>
      <c r="O720" s="136">
        <f>ROW()</f>
        <v>720</v>
      </c>
      <c r="P720" s="10">
        <f t="shared" ref="P720:U720" ca="1" si="1288">P705+P712+P716</f>
        <v>84794.827401982388</v>
      </c>
      <c r="Q720" s="10">
        <f t="shared" ca="1" si="1288"/>
        <v>28774.177372768852</v>
      </c>
      <c r="R720" s="10">
        <f t="shared" ca="1" si="1288"/>
        <v>81771.984062980962</v>
      </c>
      <c r="S720" s="10">
        <f t="shared" ca="1" si="1288"/>
        <v>42885.027927462106</v>
      </c>
      <c r="T720" s="10">
        <f t="shared" ca="1" si="1288"/>
        <v>29446.767533561258</v>
      </c>
      <c r="U720" s="10">
        <f t="shared" ca="1" si="1288"/>
        <v>22759.10255783952</v>
      </c>
      <c r="V720" s="10"/>
      <c r="W720" s="10">
        <f ca="1">SUM(P720:V720)</f>
        <v>290431.88685659511</v>
      </c>
      <c r="Y720" s="10">
        <f t="shared" ref="Y720:AD720" ca="1" si="1289">Y705+Y712+Y716</f>
        <v>191758.12528064687</v>
      </c>
      <c r="Z720" s="10">
        <f t="shared" ca="1" si="1289"/>
        <v>68346.713694798338</v>
      </c>
      <c r="AA720" s="10">
        <f t="shared" ca="1" si="1289"/>
        <v>234939.69901415813</v>
      </c>
      <c r="AB720" s="10">
        <f t="shared" ca="1" si="1289"/>
        <v>165739.52617931817</v>
      </c>
      <c r="AC720" s="10">
        <f t="shared" ca="1" si="1289"/>
        <v>85180.374858128693</v>
      </c>
      <c r="AD720" s="10">
        <f t="shared" ca="1" si="1289"/>
        <v>70635.456962962213</v>
      </c>
      <c r="AE720" s="10"/>
      <c r="AF720" s="10">
        <f ca="1">SUM(Y720:AE720)</f>
        <v>816599.89599001245</v>
      </c>
      <c r="AH720" s="10">
        <f t="shared" ref="AH720:AM720" ca="1" si="1290">AH705+AH712+AH716</f>
        <v>80431.774832307769</v>
      </c>
      <c r="AI720" s="10">
        <f t="shared" ca="1" si="1290"/>
        <v>27543.631082143722</v>
      </c>
      <c r="AJ720" s="10">
        <f t="shared" ca="1" si="1290"/>
        <v>72521.623143282384</v>
      </c>
      <c r="AK720" s="10">
        <f t="shared" ca="1" si="1290"/>
        <v>43976.884604886538</v>
      </c>
      <c r="AL720" s="10">
        <f t="shared" ca="1" si="1290"/>
        <v>25442.405555206824</v>
      </c>
      <c r="AM720" s="10">
        <f t="shared" ca="1" si="1290"/>
        <v>21428.479253774218</v>
      </c>
      <c r="AN720" s="10"/>
      <c r="AO720" s="10">
        <f ca="1">SUM(AH720:AN720)</f>
        <v>271344.79847160145</v>
      </c>
      <c r="AQ720" s="10">
        <f t="shared" ref="AQ720:AV720" ca="1" si="1291">AQ719</f>
        <v>502998.12881102966</v>
      </c>
      <c r="AR720" s="10">
        <f t="shared" ca="1" si="1291"/>
        <v>121090.0808527504</v>
      </c>
      <c r="AS720" s="10">
        <f t="shared" ca="1" si="1291"/>
        <v>340612.84032427327</v>
      </c>
      <c r="AT720" s="10">
        <f t="shared" ca="1" si="1291"/>
        <v>216106.30800953342</v>
      </c>
      <c r="AU720" s="10">
        <f t="shared" ca="1" si="1291"/>
        <v>137103.48933382597</v>
      </c>
      <c r="AV720" s="10">
        <f t="shared" ca="1" si="1291"/>
        <v>127336.74860206751</v>
      </c>
      <c r="AW720" s="10"/>
      <c r="AX720" s="10">
        <f ca="1">SUM(AQ720:AW720)</f>
        <v>1445247.5959334802</v>
      </c>
      <c r="AZ720" s="10">
        <f t="shared" ref="AZ720:BE720" ca="1" si="1292">AZ705+AZ712+AZ716</f>
        <v>23946.120630898629</v>
      </c>
      <c r="BA720" s="10">
        <f t="shared" ca="1" si="1292"/>
        <v>8031.5307780901958</v>
      </c>
      <c r="BB720" s="10">
        <f t="shared" ca="1" si="1292"/>
        <v>24585.371624378582</v>
      </c>
      <c r="BC720" s="10">
        <f t="shared" ca="1" si="1292"/>
        <v>15743.125968067681</v>
      </c>
      <c r="BD720" s="10">
        <f t="shared" ca="1" si="1292"/>
        <v>9089.5121107471477</v>
      </c>
      <c r="BE720" s="10">
        <f t="shared" ca="1" si="1292"/>
        <v>8004.9704467523879</v>
      </c>
      <c r="BF720" s="10"/>
      <c r="BG720" s="10">
        <f ca="1">SUM(AZ720:BF720)</f>
        <v>89400.63155893462</v>
      </c>
      <c r="BI720" s="10">
        <f t="shared" ref="BI720:BN720" ca="1" si="1293">BI705+BI712+BI716</f>
        <v>9296.163590483402</v>
      </c>
      <c r="BJ720" s="10">
        <f t="shared" ca="1" si="1293"/>
        <v>3132.2453862628454</v>
      </c>
      <c r="BK720" s="10">
        <f t="shared" ca="1" si="1293"/>
        <v>9603.8587424497837</v>
      </c>
      <c r="BL720" s="10">
        <f t="shared" ca="1" si="1293"/>
        <v>6147.5269531181257</v>
      </c>
      <c r="BM720" s="10">
        <f t="shared" ca="1" si="1293"/>
        <v>3555.8763468670672</v>
      </c>
      <c r="BN720" s="10">
        <f t="shared" ca="1" si="1293"/>
        <v>3135.6475256350468</v>
      </c>
      <c r="BO720" s="10"/>
      <c r="BP720" s="10">
        <f ca="1">SUM(BI720:BO720)</f>
        <v>34871.318544816269</v>
      </c>
    </row>
    <row r="721" spans="2:68" ht="13.2" customHeight="1">
      <c r="B721" s="308" t="s">
        <v>1816</v>
      </c>
      <c r="G721" s="10">
        <f t="shared" ref="G721:L721" ca="1" si="1294">G720/G$118</f>
        <v>89322.514054734871</v>
      </c>
      <c r="H721" s="10">
        <f t="shared" ca="1" si="1294"/>
        <v>128459.18958340718</v>
      </c>
      <c r="I721" s="10">
        <f t="shared" ca="1" si="1294"/>
        <v>152807.07538230461</v>
      </c>
      <c r="J721" s="10">
        <f t="shared" ca="1" si="1294"/>
        <v>163532.79988079533</v>
      </c>
      <c r="K721" s="10">
        <f t="shared" ca="1" si="1294"/>
        <v>144909.21286916849</v>
      </c>
      <c r="L721" s="10">
        <f t="shared" ca="1" si="1294"/>
        <v>126650.20267451544</v>
      </c>
      <c r="M721" s="10"/>
      <c r="N721" s="6"/>
      <c r="O721" s="136">
        <f>ROW()</f>
        <v>721</v>
      </c>
      <c r="P721" s="10"/>
      <c r="Q721" s="10"/>
      <c r="R721" s="10"/>
      <c r="S721" s="10"/>
      <c r="T721" s="10"/>
      <c r="U721" s="10"/>
      <c r="V721" s="10"/>
      <c r="W721" s="10"/>
      <c r="Y721" s="10"/>
      <c r="Z721" s="10"/>
      <c r="AA721" s="10"/>
      <c r="AB721" s="10"/>
      <c r="AC721" s="10"/>
      <c r="AD721" s="10"/>
      <c r="AE721" s="10"/>
      <c r="AF721" s="10"/>
      <c r="AH721" s="10"/>
      <c r="AI721" s="10"/>
      <c r="AJ721" s="10"/>
      <c r="AK721" s="10"/>
      <c r="AL721" s="10"/>
      <c r="AM721" s="10"/>
      <c r="AN721" s="10"/>
      <c r="AO721" s="10"/>
      <c r="AQ721" s="10"/>
      <c r="AR721" s="10"/>
      <c r="AS721" s="10"/>
      <c r="AT721" s="10"/>
      <c r="AU721" s="10"/>
      <c r="AV721" s="10"/>
      <c r="AW721" s="10"/>
      <c r="AX721" s="10"/>
      <c r="AZ721" s="10"/>
      <c r="BA721" s="10"/>
      <c r="BB721" s="10"/>
      <c r="BC721" s="10"/>
      <c r="BD721" s="10"/>
      <c r="BE721" s="10"/>
      <c r="BF721" s="10"/>
      <c r="BG721" s="10"/>
      <c r="BI721" s="10"/>
      <c r="BJ721" s="10"/>
      <c r="BK721" s="10"/>
      <c r="BL721" s="10"/>
      <c r="BM721" s="10"/>
      <c r="BN721" s="10"/>
      <c r="BO721" s="10"/>
      <c r="BP721" s="10"/>
    </row>
    <row r="722" spans="2:68" ht="13.2" customHeight="1">
      <c r="B722" s="280" t="s">
        <v>2709</v>
      </c>
      <c r="G722" s="612">
        <f t="shared" ref="G722:L722" ca="1" si="1295">G720/G719</f>
        <v>0.9998544675676232</v>
      </c>
      <c r="H722" s="612">
        <f t="shared" ca="1" si="1295"/>
        <v>0.99975281660976723</v>
      </c>
      <c r="I722" s="612">
        <f t="shared" ca="1" si="1295"/>
        <v>0.99972714361014037</v>
      </c>
      <c r="J722" s="612">
        <f t="shared" ca="1" si="1295"/>
        <v>0.99974055917131821</v>
      </c>
      <c r="K722" s="612">
        <f t="shared" ca="1" si="1295"/>
        <v>0.99970726352838024</v>
      </c>
      <c r="L722" s="612">
        <f t="shared" ca="1" si="1295"/>
        <v>0.99976312633116637</v>
      </c>
      <c r="M722" s="612"/>
      <c r="N722" s="186"/>
      <c r="O722" s="136">
        <f>ROW()</f>
        <v>722</v>
      </c>
      <c r="P722" s="4147" t="s">
        <v>2680</v>
      </c>
      <c r="Q722" s="4147"/>
      <c r="R722" s="4147"/>
      <c r="S722" s="4147"/>
      <c r="T722" s="4147"/>
      <c r="U722" s="4147"/>
      <c r="V722" s="4147"/>
      <c r="W722" s="4147"/>
      <c r="Y722" s="4147" t="s">
        <v>2681</v>
      </c>
      <c r="Z722" s="4147"/>
      <c r="AA722" s="4147"/>
      <c r="AB722" s="4147"/>
      <c r="AC722" s="4147"/>
      <c r="AD722" s="4147"/>
      <c r="AE722" s="4147"/>
      <c r="AF722" s="4147"/>
      <c r="AH722" s="4263" t="s">
        <v>5482</v>
      </c>
      <c r="AI722" s="4264"/>
      <c r="AJ722" s="4264"/>
      <c r="AK722" s="4264"/>
      <c r="AL722" s="4264"/>
      <c r="AM722" s="4264"/>
      <c r="AN722" s="4264"/>
      <c r="AO722" s="4264"/>
      <c r="AQ722" s="4147" t="s">
        <v>713</v>
      </c>
      <c r="AR722" s="4147"/>
      <c r="AS722" s="4147"/>
      <c r="AT722" s="4147"/>
      <c r="AU722" s="4147"/>
      <c r="AV722" s="4147"/>
      <c r="AW722" s="4147"/>
      <c r="AX722" s="4147"/>
      <c r="AZ722" s="4147" t="s">
        <v>460</v>
      </c>
      <c r="BA722" s="4147"/>
      <c r="BB722" s="4147"/>
      <c r="BC722" s="4147"/>
      <c r="BD722" s="4147"/>
      <c r="BE722" s="4147"/>
      <c r="BF722" s="4147"/>
      <c r="BG722" s="4147"/>
      <c r="BI722" s="4147" t="s">
        <v>849</v>
      </c>
      <c r="BJ722" s="4147"/>
      <c r="BK722" s="4147"/>
      <c r="BL722" s="4147"/>
      <c r="BM722" s="4147"/>
      <c r="BN722" s="4147"/>
      <c r="BO722" s="4147"/>
      <c r="BP722" s="4147"/>
    </row>
    <row r="723" spans="2:68" ht="13.2" customHeight="1">
      <c r="G723" s="612"/>
      <c r="H723" s="612"/>
      <c r="I723" s="612"/>
      <c r="J723" s="612"/>
      <c r="K723" s="612"/>
      <c r="L723" s="612"/>
      <c r="M723" s="612"/>
      <c r="N723" s="186"/>
      <c r="O723" s="136">
        <f>ROW()</f>
        <v>723</v>
      </c>
      <c r="P723" s="10"/>
      <c r="Q723" s="10"/>
      <c r="R723" s="10"/>
      <c r="S723" s="10"/>
      <c r="T723" s="10"/>
      <c r="U723" s="10"/>
      <c r="V723" s="10"/>
      <c r="W723" s="10"/>
      <c r="Y723" s="10"/>
      <c r="Z723" s="10"/>
      <c r="AA723" s="10"/>
      <c r="AB723" s="10"/>
      <c r="AC723" s="10"/>
      <c r="AD723" s="10"/>
      <c r="AE723" s="10"/>
      <c r="AF723" s="10"/>
      <c r="AO723" s="10"/>
      <c r="AQ723" s="10"/>
      <c r="AR723" s="10"/>
      <c r="AS723" s="10"/>
      <c r="AT723" s="10"/>
      <c r="AU723" s="10"/>
      <c r="AV723" s="10"/>
      <c r="AW723" s="10"/>
      <c r="AX723" s="10"/>
      <c r="AZ723" s="10"/>
      <c r="BA723" s="10"/>
      <c r="BB723" s="10"/>
      <c r="BC723" s="10"/>
      <c r="BD723" s="10"/>
      <c r="BE723" s="10"/>
      <c r="BF723" s="10"/>
      <c r="BG723" s="10"/>
      <c r="BI723" s="10"/>
      <c r="BJ723" s="10"/>
      <c r="BK723" s="10"/>
      <c r="BL723" s="10"/>
      <c r="BM723" s="10"/>
      <c r="BN723" s="10"/>
      <c r="BO723" s="10"/>
      <c r="BP723" s="10"/>
    </row>
    <row r="724" spans="2:68" ht="13.2" customHeight="1">
      <c r="B724" s="308" t="s">
        <v>587</v>
      </c>
      <c r="C724" s="280"/>
      <c r="D724" s="280"/>
      <c r="E724" s="280"/>
      <c r="F724" s="280"/>
      <c r="G724" s="280"/>
      <c r="H724" s="280"/>
      <c r="I724" s="280"/>
      <c r="J724" s="280"/>
      <c r="K724" s="280"/>
      <c r="L724" s="280"/>
      <c r="M724" s="280"/>
      <c r="N724" s="280"/>
      <c r="O724" s="136">
        <f>ROW()</f>
        <v>724</v>
      </c>
    </row>
    <row r="725" spans="2:68" ht="13.2" customHeight="1">
      <c r="B725" s="280" t="s">
        <v>2034</v>
      </c>
      <c r="E725" s="280"/>
      <c r="F725" s="280"/>
      <c r="G725" s="21">
        <f t="shared" ref="G725:L725" ca="1" si="1296">KSC/(1+0.1*($G$401*G721/$I$181)^KSE)</f>
        <v>20.158458006837595</v>
      </c>
      <c r="H725" s="21">
        <f t="shared" ca="1" si="1296"/>
        <v>15.81837000112427</v>
      </c>
      <c r="I725" s="21">
        <f t="shared" ca="1" si="1296"/>
        <v>12.342589328580381</v>
      </c>
      <c r="J725" s="21">
        <f t="shared" ca="1" si="1296"/>
        <v>10.856901705215513</v>
      </c>
      <c r="K725" s="21">
        <f t="shared" ca="1" si="1296"/>
        <v>13.47381038511822</v>
      </c>
      <c r="L725" s="21">
        <f t="shared" ca="1" si="1296"/>
        <v>16.067353504374438</v>
      </c>
      <c r="M725" s="21"/>
      <c r="O725" s="136">
        <f>ROW()</f>
        <v>725</v>
      </c>
      <c r="P725" s="21">
        <f t="shared" ref="P725:U726" ca="1" si="1297">G725</f>
        <v>20.158458006837595</v>
      </c>
      <c r="Q725" s="21">
        <f t="shared" ca="1" si="1297"/>
        <v>15.81837000112427</v>
      </c>
      <c r="R725" s="21">
        <f t="shared" ca="1" si="1297"/>
        <v>12.342589328580381</v>
      </c>
      <c r="S725" s="21">
        <f t="shared" ca="1" si="1297"/>
        <v>10.856901705215513</v>
      </c>
      <c r="T725" s="21">
        <f t="shared" ca="1" si="1297"/>
        <v>13.47381038511822</v>
      </c>
      <c r="U725" s="21">
        <f t="shared" ca="1" si="1297"/>
        <v>16.067353504374438</v>
      </c>
      <c r="V725" s="21"/>
      <c r="Y725" s="21">
        <f t="shared" ref="Y725:AD726" ca="1" si="1298">G725</f>
        <v>20.158458006837595</v>
      </c>
      <c r="Z725" s="21">
        <f t="shared" ca="1" si="1298"/>
        <v>15.81837000112427</v>
      </c>
      <c r="AA725" s="21">
        <f t="shared" ca="1" si="1298"/>
        <v>12.342589328580381</v>
      </c>
      <c r="AB725" s="21">
        <f t="shared" ca="1" si="1298"/>
        <v>10.856901705215513</v>
      </c>
      <c r="AC725" s="21">
        <f t="shared" ca="1" si="1298"/>
        <v>13.47381038511822</v>
      </c>
      <c r="AD725" s="21">
        <f t="shared" ca="1" si="1298"/>
        <v>16.067353504374438</v>
      </c>
      <c r="AE725" s="21"/>
      <c r="AH725" s="21">
        <f t="shared" ref="AH725:AM726" ca="1" si="1299">P725</f>
        <v>20.158458006837595</v>
      </c>
      <c r="AI725" s="21">
        <f t="shared" ca="1" si="1299"/>
        <v>15.81837000112427</v>
      </c>
      <c r="AJ725" s="21">
        <f t="shared" ca="1" si="1299"/>
        <v>12.342589328580381</v>
      </c>
      <c r="AK725" s="21">
        <f t="shared" ca="1" si="1299"/>
        <v>10.856901705215513</v>
      </c>
      <c r="AL725" s="21">
        <f t="shared" ca="1" si="1299"/>
        <v>13.47381038511822</v>
      </c>
      <c r="AM725" s="21">
        <f t="shared" ca="1" si="1299"/>
        <v>16.067353504374438</v>
      </c>
      <c r="AN725" s="21"/>
      <c r="AQ725" s="21">
        <f t="shared" ref="AQ725:AV725" ca="1" si="1300">G725*$AU$181</f>
        <v>19.150535106495713</v>
      </c>
      <c r="AR725" s="21">
        <f t="shared" ca="1" si="1300"/>
        <v>15.027451501068056</v>
      </c>
      <c r="AS725" s="21">
        <f t="shared" ca="1" si="1300"/>
        <v>11.725459862151361</v>
      </c>
      <c r="AT725" s="21">
        <f t="shared" ca="1" si="1300"/>
        <v>10.314056619954737</v>
      </c>
      <c r="AU725" s="21">
        <f t="shared" ca="1" si="1300"/>
        <v>12.800119865862309</v>
      </c>
      <c r="AV725" s="21">
        <f t="shared" ca="1" si="1300"/>
        <v>15.263985829155715</v>
      </c>
      <c r="AW725" s="21"/>
      <c r="AZ725" s="21">
        <f t="shared" ref="AZ725:BE726" ca="1" si="1301">G725</f>
        <v>20.158458006837595</v>
      </c>
      <c r="BA725" s="21">
        <f t="shared" ca="1" si="1301"/>
        <v>15.81837000112427</v>
      </c>
      <c r="BB725" s="21">
        <f t="shared" ca="1" si="1301"/>
        <v>12.342589328580381</v>
      </c>
      <c r="BC725" s="21">
        <f t="shared" ca="1" si="1301"/>
        <v>10.856901705215513</v>
      </c>
      <c r="BD725" s="21">
        <f t="shared" ca="1" si="1301"/>
        <v>13.47381038511822</v>
      </c>
      <c r="BE725" s="21">
        <f t="shared" ca="1" si="1301"/>
        <v>16.067353504374438</v>
      </c>
      <c r="BF725" s="21"/>
      <c r="BG725" s="21"/>
      <c r="BI725" s="21">
        <f t="shared" ref="BI725:BN726" ca="1" si="1302">G725</f>
        <v>20.158458006837595</v>
      </c>
      <c r="BJ725" s="21">
        <f t="shared" ca="1" si="1302"/>
        <v>15.81837000112427</v>
      </c>
      <c r="BK725" s="21">
        <f t="shared" ca="1" si="1302"/>
        <v>12.342589328580381</v>
      </c>
      <c r="BL725" s="21">
        <f t="shared" ca="1" si="1302"/>
        <v>10.856901705215513</v>
      </c>
      <c r="BM725" s="21">
        <f t="shared" ca="1" si="1302"/>
        <v>13.47381038511822</v>
      </c>
      <c r="BN725" s="21">
        <f t="shared" ca="1" si="1302"/>
        <v>16.067353504374438</v>
      </c>
      <c r="BO725" s="21"/>
      <c r="BP725" s="21"/>
    </row>
    <row r="726" spans="2:68" ht="13.2" customHeight="1">
      <c r="B726" s="280" t="s">
        <v>1428</v>
      </c>
      <c r="E726" s="280"/>
      <c r="F726" s="280"/>
      <c r="G726" s="21">
        <f ca="1">MIN('Speed-Vol., non-Cordon'!$X$57*(G678 / 'Speed-Vol., non-Cordon'!$X$57)^G697,'Speed-Vol., non-Cordon'!$X$32)</f>
        <v>54.485419001671396</v>
      </c>
      <c r="H726" s="21">
        <f ca="1">MIN('Speed-Vol., non-Cordon'!$X$57*(H678 / 'Speed-Vol., non-Cordon'!$X$57)^H697,'Speed-Vol., non-Cordon'!$X$32)</f>
        <v>31.463257543935036</v>
      </c>
      <c r="I726" s="21">
        <f ca="1">MIN('Speed-Vol., non-Cordon'!$X$57*(I678 / 'Speed-Vol., non-Cordon'!$X$57)^I697,'Speed-Vol., non-Cordon'!$X$32)</f>
        <v>23.432212929446358</v>
      </c>
      <c r="J726" s="21">
        <f ca="1">MIN('Speed-Vol., non-Cordon'!$X$57*(J678 / 'Speed-Vol., non-Cordon'!$X$57)^J697,'Speed-Vol., non-Cordon'!$X$32)</f>
        <v>21.008134580855973</v>
      </c>
      <c r="K726" s="21">
        <f ca="1">MIN('Speed-Vol., non-Cordon'!$X$57*(K678 / 'Speed-Vol., non-Cordon'!$X$57)^K697,'Speed-Vol., non-Cordon'!$X$32)</f>
        <v>27.011739936642421</v>
      </c>
      <c r="L726" s="21">
        <f ca="1">MIN('Speed-Vol., non-Cordon'!$X$57*(L678 / 'Speed-Vol., non-Cordon'!$X$57)^L697,'Speed-Vol., non-Cordon'!$X$32)</f>
        <v>33.112597326241293</v>
      </c>
      <c r="M726" s="21"/>
      <c r="O726" s="136">
        <f>ROW()</f>
        <v>726</v>
      </c>
      <c r="P726" s="21">
        <f t="shared" ca="1" si="1297"/>
        <v>54.485419001671396</v>
      </c>
      <c r="Q726" s="21">
        <f t="shared" ca="1" si="1297"/>
        <v>31.463257543935036</v>
      </c>
      <c r="R726" s="21">
        <f t="shared" ca="1" si="1297"/>
        <v>23.432212929446358</v>
      </c>
      <c r="S726" s="21">
        <f t="shared" ca="1" si="1297"/>
        <v>21.008134580855973</v>
      </c>
      <c r="T726" s="21">
        <f t="shared" ca="1" si="1297"/>
        <v>27.011739936642421</v>
      </c>
      <c r="U726" s="21">
        <f t="shared" ca="1" si="1297"/>
        <v>33.112597326241293</v>
      </c>
      <c r="V726" s="21"/>
      <c r="W726" s="4272" t="s">
        <v>1878</v>
      </c>
      <c r="Y726" s="21">
        <f t="shared" ca="1" si="1298"/>
        <v>54.485419001671396</v>
      </c>
      <c r="Z726" s="21">
        <f t="shared" ca="1" si="1298"/>
        <v>31.463257543935036</v>
      </c>
      <c r="AA726" s="21">
        <f t="shared" ca="1" si="1298"/>
        <v>23.432212929446358</v>
      </c>
      <c r="AB726" s="21">
        <f t="shared" ca="1" si="1298"/>
        <v>21.008134580855973</v>
      </c>
      <c r="AC726" s="21">
        <f t="shared" ca="1" si="1298"/>
        <v>27.011739936642421</v>
      </c>
      <c r="AD726" s="21">
        <f t="shared" ca="1" si="1298"/>
        <v>33.112597326241293</v>
      </c>
      <c r="AE726" s="21"/>
      <c r="AF726" s="4272" t="s">
        <v>1878</v>
      </c>
      <c r="AH726" s="21">
        <f t="shared" ca="1" si="1299"/>
        <v>54.485419001671396</v>
      </c>
      <c r="AI726" s="21">
        <f t="shared" ca="1" si="1299"/>
        <v>31.463257543935036</v>
      </c>
      <c r="AJ726" s="21">
        <f t="shared" ca="1" si="1299"/>
        <v>23.432212929446358</v>
      </c>
      <c r="AK726" s="21">
        <f t="shared" ca="1" si="1299"/>
        <v>21.008134580855973</v>
      </c>
      <c r="AL726" s="21">
        <f t="shared" ca="1" si="1299"/>
        <v>27.011739936642421</v>
      </c>
      <c r="AM726" s="21">
        <f t="shared" ca="1" si="1299"/>
        <v>33.112597326241293</v>
      </c>
      <c r="AN726" s="21"/>
      <c r="AO726" s="4272" t="s">
        <v>1878</v>
      </c>
      <c r="AQ726" s="21">
        <f t="shared" ref="AQ726:AV726" ca="1" si="1303">G726*$AV$181</f>
        <v>53.940564811654681</v>
      </c>
      <c r="AR726" s="21">
        <f t="shared" ca="1" si="1303"/>
        <v>31.148624968495685</v>
      </c>
      <c r="AS726" s="21">
        <f t="shared" ca="1" si="1303"/>
        <v>23.197890800151892</v>
      </c>
      <c r="AT726" s="21">
        <f t="shared" ca="1" si="1303"/>
        <v>20.798053235047412</v>
      </c>
      <c r="AU726" s="21">
        <f t="shared" ca="1" si="1303"/>
        <v>26.741622537275997</v>
      </c>
      <c r="AV726" s="21">
        <f t="shared" ca="1" si="1303"/>
        <v>32.781471352978876</v>
      </c>
      <c r="AW726" s="21"/>
      <c r="AX726" s="4272" t="s">
        <v>1878</v>
      </c>
      <c r="AZ726" s="21">
        <f t="shared" ca="1" si="1301"/>
        <v>54.485419001671396</v>
      </c>
      <c r="BA726" s="21">
        <f t="shared" ca="1" si="1301"/>
        <v>31.463257543935036</v>
      </c>
      <c r="BB726" s="21">
        <f t="shared" ca="1" si="1301"/>
        <v>23.432212929446358</v>
      </c>
      <c r="BC726" s="21">
        <f t="shared" ca="1" si="1301"/>
        <v>21.008134580855973</v>
      </c>
      <c r="BD726" s="21">
        <f t="shared" ca="1" si="1301"/>
        <v>27.011739936642421</v>
      </c>
      <c r="BE726" s="21">
        <f t="shared" ca="1" si="1301"/>
        <v>33.112597326241293</v>
      </c>
      <c r="BF726" s="21"/>
      <c r="BG726" s="4272" t="s">
        <v>1878</v>
      </c>
      <c r="BI726" s="21">
        <f t="shared" ca="1" si="1302"/>
        <v>54.485419001671396</v>
      </c>
      <c r="BJ726" s="21">
        <f t="shared" ca="1" si="1302"/>
        <v>31.463257543935036</v>
      </c>
      <c r="BK726" s="21">
        <f t="shared" ca="1" si="1302"/>
        <v>23.432212929446358</v>
      </c>
      <c r="BL726" s="21">
        <f t="shared" ca="1" si="1302"/>
        <v>21.008134580855973</v>
      </c>
      <c r="BM726" s="21">
        <f t="shared" ca="1" si="1302"/>
        <v>27.011739936642421</v>
      </c>
      <c r="BN726" s="21">
        <f t="shared" ca="1" si="1302"/>
        <v>33.112597326241293</v>
      </c>
      <c r="BO726" s="21"/>
      <c r="BP726" s="4272" t="s">
        <v>1878</v>
      </c>
    </row>
    <row r="727" spans="2:68" ht="13.2" customHeight="1">
      <c r="B727" s="280"/>
      <c r="O727" s="136">
        <f>ROW()</f>
        <v>727</v>
      </c>
      <c r="W727" s="4273"/>
      <c r="AF727" s="4273"/>
      <c r="AO727" s="4273"/>
      <c r="AX727" s="4273"/>
      <c r="BG727" s="4273"/>
      <c r="BP727" s="4273"/>
    </row>
    <row r="728" spans="2:68" ht="13.2" customHeight="1">
      <c r="B728" s="308" t="s">
        <v>2606</v>
      </c>
      <c r="F728" s="606"/>
      <c r="O728" s="136">
        <f>ROW()</f>
        <v>728</v>
      </c>
      <c r="W728" s="4273"/>
      <c r="AF728" s="4273"/>
      <c r="AO728" s="4273"/>
      <c r="AX728" s="4340"/>
      <c r="BG728" s="4273"/>
      <c r="BP728" s="4273"/>
    </row>
    <row r="729" spans="2:68" ht="13.2" customHeight="1">
      <c r="B729" s="280" t="s">
        <v>2158</v>
      </c>
      <c r="C729" s="297"/>
      <c r="D729" s="297"/>
      <c r="E729" s="297"/>
      <c r="F729" s="297"/>
      <c r="G729" s="4286" t="s">
        <v>2351</v>
      </c>
      <c r="H729" s="3775"/>
      <c r="I729" s="3775"/>
      <c r="J729" s="3775"/>
      <c r="K729" s="3775"/>
      <c r="L729" s="3776"/>
      <c r="O729" s="136">
        <f>ROW()</f>
        <v>729</v>
      </c>
      <c r="P729" s="21">
        <f t="shared" ref="P729:U729" ca="1" si="1304">($I$85)*60/P725</f>
        <v>4.4646272036022143</v>
      </c>
      <c r="Q729" s="21">
        <f t="shared" ca="1" si="1304"/>
        <v>5.6895874855375972</v>
      </c>
      <c r="R729" s="21">
        <f t="shared" ca="1" si="1304"/>
        <v>7.2918248840700599</v>
      </c>
      <c r="S729" s="21">
        <f t="shared" ca="1" si="1304"/>
        <v>8.2896578087987276</v>
      </c>
      <c r="T729" s="21">
        <f t="shared" ca="1" si="1304"/>
        <v>6.6796249485152845</v>
      </c>
      <c r="U729" s="21">
        <f t="shared" ca="1" si="1304"/>
        <v>5.6014202946052647</v>
      </c>
      <c r="V729" s="21"/>
      <c r="W729" s="613">
        <f ca="1">SUMPRODUCT(P$476:V$476,P729:V729)/W$476</f>
        <v>6.2708409780328491</v>
      </c>
      <c r="Y729" s="21">
        <f t="shared" ref="Y729:AD729" ca="1" si="1305">($J$85)*60/Y725</f>
        <v>4.4646272036022143</v>
      </c>
      <c r="Z729" s="21">
        <f t="shared" ca="1" si="1305"/>
        <v>5.6895874855375972</v>
      </c>
      <c r="AA729" s="21">
        <f t="shared" ca="1" si="1305"/>
        <v>7.2918248840700599</v>
      </c>
      <c r="AB729" s="21">
        <f t="shared" ca="1" si="1305"/>
        <v>8.2896578087987276</v>
      </c>
      <c r="AC729" s="21">
        <f t="shared" ca="1" si="1305"/>
        <v>6.6796249485152845</v>
      </c>
      <c r="AD729" s="21">
        <f t="shared" ca="1" si="1305"/>
        <v>5.6014202946052647</v>
      </c>
      <c r="AE729" s="21"/>
      <c r="AF729" s="613">
        <f ca="1">SUMPRODUCT(Y$476:AE$476,Y729:AE729)/AF$476</f>
        <v>6.4958401435776336</v>
      </c>
      <c r="AH729" s="21">
        <f t="shared" ref="AH729:AM729" ca="1" si="1306">($K$85)*60/AH725</f>
        <v>4.1669853900287341</v>
      </c>
      <c r="AI729" s="21">
        <f t="shared" ca="1" si="1306"/>
        <v>5.3102816531684249</v>
      </c>
      <c r="AJ729" s="21">
        <f t="shared" ca="1" si="1306"/>
        <v>6.8057032251320573</v>
      </c>
      <c r="AK729" s="21">
        <f t="shared" ca="1" si="1306"/>
        <v>7.7370139548788135</v>
      </c>
      <c r="AL729" s="21">
        <f t="shared" ca="1" si="1306"/>
        <v>6.2343166186142671</v>
      </c>
      <c r="AM729" s="21">
        <f t="shared" ca="1" si="1306"/>
        <v>5.2279922749649144</v>
      </c>
      <c r="AN729" s="21"/>
      <c r="AO729" s="613">
        <f ca="1">SUMPRODUCT(AH$476:AN$476,AH729:AN729)/AO$476</f>
        <v>5.859976218252136</v>
      </c>
      <c r="AQ729" s="21">
        <f t="shared" ref="AQ729:AV729" ca="1" si="1307">($L$85)*60/AQ725</f>
        <v>6.266143443652231</v>
      </c>
      <c r="AR729" s="21">
        <f t="shared" ca="1" si="1307"/>
        <v>7.9853859446141726</v>
      </c>
      <c r="AS729" s="21">
        <f t="shared" ca="1" si="1307"/>
        <v>10.234140188168507</v>
      </c>
      <c r="AT729" s="21">
        <f t="shared" ca="1" si="1307"/>
        <v>11.634607450945582</v>
      </c>
      <c r="AU729" s="21">
        <f t="shared" ca="1" si="1307"/>
        <v>9.3749122084425061</v>
      </c>
      <c r="AV729" s="21">
        <f t="shared" ca="1" si="1307"/>
        <v>7.8616425187442323</v>
      </c>
      <c r="AW729" s="21"/>
      <c r="AX729" s="613">
        <f ca="1">SUMPRODUCT(AQ$476:AW$476,AQ729:AW729)/AX$476</f>
        <v>8.5835882264845065</v>
      </c>
      <c r="AZ729" s="21">
        <f t="shared" ref="AZ729:BE729" ca="1" si="1308">($M$85)*60/AZ725</f>
        <v>8.9292544072044286</v>
      </c>
      <c r="BA729" s="21">
        <f t="shared" ca="1" si="1308"/>
        <v>11.379174971075194</v>
      </c>
      <c r="BB729" s="21">
        <f t="shared" ca="1" si="1308"/>
        <v>14.58364976814012</v>
      </c>
      <c r="BC729" s="21">
        <f t="shared" ca="1" si="1308"/>
        <v>16.579315617597455</v>
      </c>
      <c r="BD729" s="21">
        <f t="shared" ca="1" si="1308"/>
        <v>13.359249897030569</v>
      </c>
      <c r="BE729" s="21">
        <f t="shared" ca="1" si="1308"/>
        <v>11.202840589210529</v>
      </c>
      <c r="BF729" s="21"/>
      <c r="BG729" s="613">
        <f ca="1">SUMPRODUCT(AZ$476:BF$476,AZ729:BF729)/BG$476</f>
        <v>12.713067491052454</v>
      </c>
      <c r="BI729" s="21">
        <f t="shared" ref="BI729:BN729" ca="1" si="1309">($N$85)*60/BI725</f>
        <v>5.9528362714696188</v>
      </c>
      <c r="BJ729" s="21">
        <f t="shared" ca="1" si="1309"/>
        <v>7.5861166473834629</v>
      </c>
      <c r="BK729" s="21">
        <f t="shared" ca="1" si="1309"/>
        <v>9.7224331787600811</v>
      </c>
      <c r="BL729" s="21">
        <f t="shared" ca="1" si="1309"/>
        <v>11.052877078398303</v>
      </c>
      <c r="BM729" s="21">
        <f t="shared" ca="1" si="1309"/>
        <v>8.9061665980203788</v>
      </c>
      <c r="BN729" s="21">
        <f t="shared" ca="1" si="1309"/>
        <v>7.4685603928070199</v>
      </c>
      <c r="BO729" s="21"/>
      <c r="BP729" s="613">
        <f ca="1">SUMPRODUCT(BI$476:BO$476,BI729:BO729)/BP$476</f>
        <v>8.4844950871010347</v>
      </c>
    </row>
    <row r="730" spans="2:68" ht="13.2" customHeight="1">
      <c r="B730" s="280" t="s">
        <v>2159</v>
      </c>
      <c r="C730" s="297"/>
      <c r="D730" s="297"/>
      <c r="E730" s="297"/>
      <c r="F730" s="297"/>
      <c r="G730" s="3738"/>
      <c r="H730" s="3739"/>
      <c r="I730" s="3739"/>
      <c r="J730" s="3739"/>
      <c r="K730" s="3739"/>
      <c r="L730" s="3922"/>
      <c r="O730" s="136">
        <f>ROW()</f>
        <v>730</v>
      </c>
      <c r="P730" s="21">
        <f t="shared" ref="P730:U730" ca="1" si="1310">60*$I$85/(1/($P$135/$P725+$Q$135/$Q725+$R$135/$R725+$S$135/$S725+$T$135/$T725+$U$135/$U725))</f>
        <v>6.2419089987399206</v>
      </c>
      <c r="Q730" s="21">
        <f t="shared" ca="1" si="1310"/>
        <v>6.2419089987399206</v>
      </c>
      <c r="R730" s="21">
        <f t="shared" ca="1" si="1310"/>
        <v>6.2419089987399206</v>
      </c>
      <c r="S730" s="21">
        <f t="shared" ca="1" si="1310"/>
        <v>6.2419089987399206</v>
      </c>
      <c r="T730" s="21">
        <f t="shared" ca="1" si="1310"/>
        <v>6.2419089987399206</v>
      </c>
      <c r="U730" s="21">
        <f t="shared" ca="1" si="1310"/>
        <v>6.2419089987399206</v>
      </c>
      <c r="V730" s="21"/>
      <c r="W730" s="613">
        <f ca="1">SUMPRODUCT(P$383:V$383,P730:V730)/W$383</f>
        <v>6.2419089987399232</v>
      </c>
      <c r="Y730" s="21">
        <f t="shared" ref="Y730:AD730" ca="1" si="1311">60*$J$85/(1/($Y$135/$Y725+$Z$135/$Z725+$AA$135/$AA725+$AB$135/$AB725+$AC$135/$AC725+$AD$135/$AD725))</f>
        <v>6.2419089987399188</v>
      </c>
      <c r="Z730" s="21">
        <f t="shared" ca="1" si="1311"/>
        <v>6.2419089987399188</v>
      </c>
      <c r="AA730" s="21">
        <f t="shared" ca="1" si="1311"/>
        <v>6.2419089987399188</v>
      </c>
      <c r="AB730" s="21">
        <f t="shared" ca="1" si="1311"/>
        <v>6.2419089987399188</v>
      </c>
      <c r="AC730" s="21">
        <f t="shared" ca="1" si="1311"/>
        <v>6.2419089987399188</v>
      </c>
      <c r="AD730" s="21">
        <f t="shared" ca="1" si="1311"/>
        <v>6.2419089987399188</v>
      </c>
      <c r="AE730" s="21"/>
      <c r="AF730" s="613">
        <f ca="1">SUMPRODUCT(Y$383:AE$383,Y730:AE730)/AF$383</f>
        <v>6.2419089987399188</v>
      </c>
      <c r="AH730" s="21">
        <f t="shared" ref="AH730:AM730" ca="1" si="1312">AH729</f>
        <v>4.1669853900287341</v>
      </c>
      <c r="AI730" s="21">
        <f t="shared" ca="1" si="1312"/>
        <v>5.3102816531684249</v>
      </c>
      <c r="AJ730" s="21">
        <f t="shared" ca="1" si="1312"/>
        <v>6.8057032251320573</v>
      </c>
      <c r="AK730" s="21">
        <f t="shared" ca="1" si="1312"/>
        <v>7.7370139548788135</v>
      </c>
      <c r="AL730" s="21">
        <f t="shared" ca="1" si="1312"/>
        <v>6.2343166186142671</v>
      </c>
      <c r="AM730" s="21">
        <f t="shared" ca="1" si="1312"/>
        <v>5.2279922749649144</v>
      </c>
      <c r="AN730" s="21"/>
      <c r="AO730" s="613">
        <f ca="1">SUMPRODUCT(AH$383:AN$383,AH730:AN730)/AO$383</f>
        <v>5.8685935744355975</v>
      </c>
      <c r="AQ730" s="21"/>
      <c r="AR730" s="21"/>
      <c r="AS730" s="21"/>
      <c r="AT730" s="21"/>
      <c r="AU730" s="21"/>
      <c r="AV730" s="21"/>
      <c r="AW730" s="21"/>
      <c r="AX730" s="613"/>
      <c r="AZ730" s="21">
        <f t="shared" ref="AZ730:BE730" ca="1" si="1313">60*$M$85/(1/($AZ$135/$AZ725+$BA$135/$BA725+$BB$135/$BB725+$BC$135/$BC725+$BD$135/$BD725+$BE$135/$BE725))</f>
        <v>12.483817997479838</v>
      </c>
      <c r="BA730" s="21">
        <f t="shared" ca="1" si="1313"/>
        <v>12.483817997479838</v>
      </c>
      <c r="BB730" s="21">
        <f t="shared" ca="1" si="1313"/>
        <v>12.483817997479838</v>
      </c>
      <c r="BC730" s="21">
        <f t="shared" ca="1" si="1313"/>
        <v>12.483817997479838</v>
      </c>
      <c r="BD730" s="21">
        <f t="shared" ca="1" si="1313"/>
        <v>12.483817997479838</v>
      </c>
      <c r="BE730" s="21">
        <f t="shared" ca="1" si="1313"/>
        <v>12.483817997479838</v>
      </c>
      <c r="BF730" s="21"/>
      <c r="BG730" s="613">
        <f ca="1">SUMPRODUCT(AZ$383:BF$383,AZ730:BF730)/BG$383</f>
        <v>12.483817997479838</v>
      </c>
      <c r="BI730" s="21">
        <f t="shared" ref="BI730:BN730" ca="1" si="1314">60*$N$85/(1/($BI$135/$BI725+$BJ$135/$BJ725+$BK$135/$BK725+$BL$135/$BL725+$BM$135/$BM725+$BN$135/$BN725))</f>
        <v>8.3225453316532256</v>
      </c>
      <c r="BJ730" s="21">
        <f t="shared" ca="1" si="1314"/>
        <v>8.3225453316532256</v>
      </c>
      <c r="BK730" s="21">
        <f t="shared" ca="1" si="1314"/>
        <v>8.3225453316532256</v>
      </c>
      <c r="BL730" s="21">
        <f t="shared" ca="1" si="1314"/>
        <v>8.3225453316532256</v>
      </c>
      <c r="BM730" s="21">
        <f t="shared" ca="1" si="1314"/>
        <v>8.3225453316532256</v>
      </c>
      <c r="BN730" s="21">
        <f t="shared" ca="1" si="1314"/>
        <v>8.3225453316532256</v>
      </c>
      <c r="BO730" s="21"/>
      <c r="BP730" s="613">
        <f ca="1">SUMPRODUCT(BI$383:BO$383,BI730:BO730)/BP$383</f>
        <v>8.3225453316532239</v>
      </c>
    </row>
    <row r="731" spans="2:68" ht="13.2" customHeight="1">
      <c r="B731" s="280" t="s">
        <v>2160</v>
      </c>
      <c r="C731" s="297"/>
      <c r="D731" s="297"/>
      <c r="E731" s="297"/>
      <c r="F731" s="297"/>
      <c r="G731" s="3738"/>
      <c r="H731" s="3739"/>
      <c r="I731" s="3739"/>
      <c r="J731" s="3739"/>
      <c r="K731" s="3739"/>
      <c r="L731" s="3922"/>
      <c r="O731" s="136">
        <f>ROW()</f>
        <v>731</v>
      </c>
      <c r="P731" s="21">
        <f t="shared" ref="P731:U731" ca="1" si="1315">($I$79)*60/P726</f>
        <v>18.610548333899516</v>
      </c>
      <c r="Q731" s="21">
        <f t="shared" ca="1" si="1315"/>
        <v>32.22817988275456</v>
      </c>
      <c r="R731" s="21">
        <f t="shared" ca="1" si="1315"/>
        <v>43.273912151468785</v>
      </c>
      <c r="S731" s="21">
        <f t="shared" ca="1" si="1315"/>
        <v>48.267185262008027</v>
      </c>
      <c r="T731" s="21">
        <f t="shared" ca="1" si="1315"/>
        <v>37.539363484239665</v>
      </c>
      <c r="U731" s="21">
        <f t="shared" ca="1" si="1315"/>
        <v>30.62289296828396</v>
      </c>
      <c r="V731" s="21"/>
      <c r="W731" s="613">
        <f ca="1">SUMPRODUCT(P$476:V$476,P731:V731)/W$476</f>
        <v>34.229887683327206</v>
      </c>
      <c r="Y731" s="21">
        <f t="shared" ref="Y731:AD731" ca="1" si="1316">($J$79)*60/Y726</f>
        <v>18.610548333899516</v>
      </c>
      <c r="Z731" s="21">
        <f t="shared" ca="1" si="1316"/>
        <v>32.22817988275456</v>
      </c>
      <c r="AA731" s="21">
        <f t="shared" ca="1" si="1316"/>
        <v>43.273912151468785</v>
      </c>
      <c r="AB731" s="21">
        <f t="shared" ca="1" si="1316"/>
        <v>48.267185262008027</v>
      </c>
      <c r="AC731" s="21">
        <f t="shared" ca="1" si="1316"/>
        <v>37.539363484239665</v>
      </c>
      <c r="AD731" s="21">
        <f t="shared" ca="1" si="1316"/>
        <v>30.62289296828396</v>
      </c>
      <c r="AE731" s="21"/>
      <c r="AF731" s="613">
        <f ca="1">SUMPRODUCT(Y$476:AE$476,Y731:AE731)/AF$476</f>
        <v>35.956779623305032</v>
      </c>
      <c r="AH731" s="21">
        <f t="shared" ref="AH731:AM731" ca="1" si="1317">($K$79)*60/AH726</f>
        <v>27.915822500849277</v>
      </c>
      <c r="AI731" s="21">
        <f t="shared" ca="1" si="1317"/>
        <v>48.342269824131833</v>
      </c>
      <c r="AJ731" s="21">
        <f t="shared" ca="1" si="1317"/>
        <v>64.910868227203181</v>
      </c>
      <c r="AK731" s="21">
        <f t="shared" ca="1" si="1317"/>
        <v>72.400777893012048</v>
      </c>
      <c r="AL731" s="21">
        <f t="shared" ca="1" si="1317"/>
        <v>56.309045226359494</v>
      </c>
      <c r="AM731" s="21">
        <f t="shared" ca="1" si="1317"/>
        <v>45.934339452425938</v>
      </c>
      <c r="AN731" s="21"/>
      <c r="AO731" s="613">
        <f ca="1">SUMPRODUCT(AH$476:AN$476,AH731:AN731)/AO$476</f>
        <v>51.38366831753612</v>
      </c>
      <c r="AQ731" s="21">
        <f t="shared" ref="AQ731:AV731" ca="1" si="1318">($L$79)*60/AQ726</f>
        <v>6.6740124293658951</v>
      </c>
      <c r="AR731" s="21">
        <f t="shared" ca="1" si="1318"/>
        <v>11.557492517377922</v>
      </c>
      <c r="AS731" s="21">
        <f t="shared" ca="1" si="1318"/>
        <v>15.51865223874762</v>
      </c>
      <c r="AT731" s="21">
        <f t="shared" ca="1" si="1318"/>
        <v>17.309312363589559</v>
      </c>
      <c r="AU731" s="21">
        <f t="shared" ca="1" si="1318"/>
        <v>13.462159953016485</v>
      </c>
      <c r="AV731" s="21">
        <f t="shared" ca="1" si="1318"/>
        <v>10.981813358029353</v>
      </c>
      <c r="AW731" s="21"/>
      <c r="AX731" s="613">
        <f ca="1">SUMPRODUCT(AQ$476:AW$476,AQ731:AW731)/AX$476</f>
        <v>11.781451725880673</v>
      </c>
      <c r="AZ731" s="21">
        <f t="shared" ref="AZ731:BE731" ca="1" si="1319">($M$79)*60/AZ726</f>
        <v>14.020239721992072</v>
      </c>
      <c r="BA731" s="21">
        <f t="shared" ca="1" si="1319"/>
        <v>24.27907010867877</v>
      </c>
      <c r="BB731" s="21">
        <f t="shared" ca="1" si="1319"/>
        <v>32.600362503391771</v>
      </c>
      <c r="BC731" s="21">
        <f t="shared" ca="1" si="1319"/>
        <v>36.362040276185724</v>
      </c>
      <c r="BD731" s="21">
        <f t="shared" ca="1" si="1319"/>
        <v>28.280245461728228</v>
      </c>
      <c r="BE731" s="21">
        <f t="shared" ca="1" si="1319"/>
        <v>23.069728666414079</v>
      </c>
      <c r="BF731" s="21"/>
      <c r="BG731" s="613">
        <f ca="1">SUMPRODUCT(AZ$476:BF$476,AZ731:BF731)/BG$476</f>
        <v>26.269426920033411</v>
      </c>
      <c r="BI731" s="21">
        <f t="shared" ref="BI731:BN731" ca="1" si="1320">($N$79)*60/BI726</f>
        <v>19.208433940420822</v>
      </c>
      <c r="BJ731" s="21">
        <f t="shared" ca="1" si="1320"/>
        <v>33.2635478112309</v>
      </c>
      <c r="BK731" s="21">
        <f t="shared" ca="1" si="1320"/>
        <v>44.664137132970403</v>
      </c>
      <c r="BL731" s="21">
        <f t="shared" ca="1" si="1320"/>
        <v>49.817824975448708</v>
      </c>
      <c r="BM731" s="21">
        <f t="shared" ca="1" si="1320"/>
        <v>38.745359390567451</v>
      </c>
      <c r="BN731" s="21">
        <f t="shared" ca="1" si="1320"/>
        <v>31.606689179297753</v>
      </c>
      <c r="BO731" s="21"/>
      <c r="BP731" s="613">
        <f ca="1">SUMPRODUCT(BI$476:BO$476,BI731:BO731)/BP$476</f>
        <v>36.049620723488395</v>
      </c>
    </row>
    <row r="732" spans="2:68" ht="13.2" customHeight="1">
      <c r="B732" s="280" t="s">
        <v>1138</v>
      </c>
      <c r="C732" s="297"/>
      <c r="D732" s="297"/>
      <c r="E732" s="297"/>
      <c r="F732" s="297"/>
      <c r="G732" s="3738"/>
      <c r="H732" s="3739"/>
      <c r="I732" s="3739"/>
      <c r="J732" s="3739"/>
      <c r="K732" s="3739"/>
      <c r="L732" s="3922"/>
      <c r="O732" s="136">
        <f>ROW()</f>
        <v>732</v>
      </c>
      <c r="P732" s="21">
        <f t="shared" ref="P732:U732" ca="1" si="1321">60*$I$79/(1/($P$135/$P726+$Q$135/$Q726+$R$135/$R726+$S$135/$S726+$T$135/$T726+$U$135/$U726))</f>
        <v>33.922181063157325</v>
      </c>
      <c r="Q732" s="21">
        <f t="shared" ca="1" si="1321"/>
        <v>33.922181063157325</v>
      </c>
      <c r="R732" s="21">
        <f t="shared" ca="1" si="1321"/>
        <v>33.922181063157325</v>
      </c>
      <c r="S732" s="21">
        <f t="shared" ca="1" si="1321"/>
        <v>33.922181063157325</v>
      </c>
      <c r="T732" s="21">
        <f t="shared" ca="1" si="1321"/>
        <v>33.922181063157325</v>
      </c>
      <c r="U732" s="21">
        <f t="shared" ca="1" si="1321"/>
        <v>33.922181063157325</v>
      </c>
      <c r="V732" s="21"/>
      <c r="W732" s="613">
        <f ca="1">SUMPRODUCT(P$476:V$476,P732:V732)/W$476</f>
        <v>33.922181063157318</v>
      </c>
      <c r="Y732" s="21">
        <f t="shared" ref="Y732:AD732" ca="1" si="1322">60*$J$79/(1/($Y$135/$Y726+$Z$135/$Z726+$AA$135/$AA726+$AB$135/$AB726+$AC$135/$AC726+$AD$135/$AD726))</f>
        <v>33.922181063157318</v>
      </c>
      <c r="Z732" s="21">
        <f t="shared" ca="1" si="1322"/>
        <v>33.922181063157318</v>
      </c>
      <c r="AA732" s="21">
        <f t="shared" ca="1" si="1322"/>
        <v>33.922181063157318</v>
      </c>
      <c r="AB732" s="21">
        <f t="shared" ca="1" si="1322"/>
        <v>33.922181063157318</v>
      </c>
      <c r="AC732" s="21">
        <f t="shared" ca="1" si="1322"/>
        <v>33.922181063157318</v>
      </c>
      <c r="AD732" s="21">
        <f t="shared" ca="1" si="1322"/>
        <v>33.922181063157318</v>
      </c>
      <c r="AE732" s="21"/>
      <c r="AF732" s="613">
        <f ca="1">SUMPRODUCT(Y$476:AE$476,Y732:AE732)/AF$476</f>
        <v>33.922181063157318</v>
      </c>
      <c r="AH732" s="21">
        <f t="shared" ref="AH732:AM732" ca="1" si="1323">AH731</f>
        <v>27.915822500849277</v>
      </c>
      <c r="AI732" s="21">
        <f t="shared" ca="1" si="1323"/>
        <v>48.342269824131833</v>
      </c>
      <c r="AJ732" s="21">
        <f t="shared" ca="1" si="1323"/>
        <v>64.910868227203181</v>
      </c>
      <c r="AK732" s="21">
        <f t="shared" ca="1" si="1323"/>
        <v>72.400777893012048</v>
      </c>
      <c r="AL732" s="21">
        <f t="shared" ca="1" si="1323"/>
        <v>56.309045226359494</v>
      </c>
      <c r="AM732" s="21">
        <f t="shared" ca="1" si="1323"/>
        <v>45.934339452425938</v>
      </c>
      <c r="AN732" s="21"/>
      <c r="AO732" s="613">
        <f ca="1">SUMPRODUCT(AH$476:AN$476,AH732:AN732)/AO$476</f>
        <v>51.38366831753612</v>
      </c>
      <c r="AX732" s="613"/>
      <c r="AZ732" s="21">
        <f t="shared" ref="AZ732:BE732" ca="1" si="1324">60*$M$79/(1/($AZ$135/$AZ726+$BA$135/$BA726+$BB$135/$BB726+$BC$135/$BC726+$BD$135/$BD726+$BE$135/$BE726))</f>
        <v>25.555244362788333</v>
      </c>
      <c r="BA732" s="21">
        <f t="shared" ca="1" si="1324"/>
        <v>25.555244362788333</v>
      </c>
      <c r="BB732" s="21">
        <f t="shared" ca="1" si="1324"/>
        <v>25.555244362788333</v>
      </c>
      <c r="BC732" s="21">
        <f t="shared" ca="1" si="1324"/>
        <v>25.555244362788333</v>
      </c>
      <c r="BD732" s="21">
        <f t="shared" ca="1" si="1324"/>
        <v>25.555244362788333</v>
      </c>
      <c r="BE732" s="21">
        <f t="shared" ca="1" si="1324"/>
        <v>25.555244362788333</v>
      </c>
      <c r="BF732" s="21"/>
      <c r="BG732" s="613">
        <f ca="1">SUMPRODUCT(AZ$476:BF$476,AZ732:BF732)/BG$476</f>
        <v>25.555244362788333</v>
      </c>
      <c r="BI732" s="21">
        <f t="shared" ref="BI732:BN732" ca="1" si="1325">60*$N$79/(1/($BI$135/$BI726+$BJ$135/$BJ726+$BK$135/$BK726+$BL$135/$BL726+$BM$135/$BM726+$BN$135/$BN726))</f>
        <v>35.011970758527447</v>
      </c>
      <c r="BJ732" s="21">
        <f t="shared" ca="1" si="1325"/>
        <v>35.011970758527447</v>
      </c>
      <c r="BK732" s="21">
        <f t="shared" ca="1" si="1325"/>
        <v>35.011970758527447</v>
      </c>
      <c r="BL732" s="21">
        <f t="shared" ca="1" si="1325"/>
        <v>35.011970758527447</v>
      </c>
      <c r="BM732" s="21">
        <f t="shared" ca="1" si="1325"/>
        <v>35.011970758527447</v>
      </c>
      <c r="BN732" s="21">
        <f t="shared" ca="1" si="1325"/>
        <v>35.011970758527447</v>
      </c>
      <c r="BO732" s="21"/>
      <c r="BP732" s="613">
        <f ca="1">SUMPRODUCT(BI$476:BO$476,BI732:BO732)/BP$476</f>
        <v>35.011970758527447</v>
      </c>
    </row>
    <row r="733" spans="2:68" ht="13.2" customHeight="1">
      <c r="B733" s="308" t="s">
        <v>2243</v>
      </c>
      <c r="C733" s="297"/>
      <c r="D733" s="297"/>
      <c r="E733" s="297"/>
      <c r="F733" s="297"/>
      <c r="G733" s="3741"/>
      <c r="H733" s="3742"/>
      <c r="I733" s="3742"/>
      <c r="J733" s="3742"/>
      <c r="K733" s="3742"/>
      <c r="L733" s="3777"/>
      <c r="O733" s="136">
        <f>ROW()</f>
        <v>733</v>
      </c>
      <c r="P733" s="21">
        <f t="shared" ref="P733:U733" ca="1" si="1326">SUM(P729:P732)</f>
        <v>63.239265599398976</v>
      </c>
      <c r="Q733" s="21">
        <f t="shared" ca="1" si="1326"/>
        <v>78.081857430189402</v>
      </c>
      <c r="R733" s="21">
        <f t="shared" ca="1" si="1326"/>
        <v>90.729827097436086</v>
      </c>
      <c r="S733" s="21">
        <f t="shared" ca="1" si="1326"/>
        <v>96.720933132704005</v>
      </c>
      <c r="T733" s="21">
        <f t="shared" ca="1" si="1326"/>
        <v>84.383078494652196</v>
      </c>
      <c r="U733" s="21">
        <f t="shared" ca="1" si="1326"/>
        <v>76.388403324786466</v>
      </c>
      <c r="V733" s="21"/>
      <c r="W733" s="614">
        <f ca="1">SUM(W729:W732)</f>
        <v>80.664818723257298</v>
      </c>
      <c r="Y733" s="21">
        <f t="shared" ref="Y733:AD733" ca="1" si="1327">SUM(Y729:Y732)</f>
        <v>63.239265599398962</v>
      </c>
      <c r="Z733" s="21">
        <f t="shared" ca="1" si="1327"/>
        <v>78.081857430189388</v>
      </c>
      <c r="AA733" s="21">
        <f t="shared" ca="1" si="1327"/>
        <v>90.729827097436072</v>
      </c>
      <c r="AB733" s="21">
        <f t="shared" ca="1" si="1327"/>
        <v>96.720933132703991</v>
      </c>
      <c r="AC733" s="21">
        <f t="shared" ca="1" si="1327"/>
        <v>84.383078494652182</v>
      </c>
      <c r="AD733" s="21">
        <f t="shared" ca="1" si="1327"/>
        <v>76.388403324786452</v>
      </c>
      <c r="AE733" s="21"/>
      <c r="AF733" s="614">
        <f ca="1">SUM(AF729:AF732)</f>
        <v>82.616709828779904</v>
      </c>
      <c r="AH733" s="21">
        <f t="shared" ref="AH733:AO733" ca="1" si="1328">SUM(AH729:AH732)</f>
        <v>64.165615781756017</v>
      </c>
      <c r="AI733" s="21">
        <f t="shared" ca="1" si="1328"/>
        <v>107.30510295460051</v>
      </c>
      <c r="AJ733" s="21">
        <f t="shared" ca="1" si="1328"/>
        <v>143.43314290467049</v>
      </c>
      <c r="AK733" s="21">
        <f t="shared" ca="1" si="1328"/>
        <v>160.27558369578173</v>
      </c>
      <c r="AL733" s="21">
        <f t="shared" ca="1" si="1328"/>
        <v>125.08672368994752</v>
      </c>
      <c r="AM733" s="21">
        <f t="shared" ca="1" si="1328"/>
        <v>102.3246634547817</v>
      </c>
      <c r="AN733" s="21"/>
      <c r="AO733" s="614">
        <f t="shared" ca="1" si="1328"/>
        <v>114.49590642775998</v>
      </c>
      <c r="AQ733" s="21">
        <f t="shared" ref="AQ733:AX733" ca="1" si="1329">AQ729+AQ731</f>
        <v>12.940155873018126</v>
      </c>
      <c r="AR733" s="21">
        <f t="shared" ca="1" si="1329"/>
        <v>19.542878461992096</v>
      </c>
      <c r="AS733" s="21">
        <f t="shared" ca="1" si="1329"/>
        <v>25.752792426916127</v>
      </c>
      <c r="AT733" s="21">
        <f t="shared" ca="1" si="1329"/>
        <v>28.943919814535143</v>
      </c>
      <c r="AU733" s="21">
        <f t="shared" ca="1" si="1329"/>
        <v>22.837072161458991</v>
      </c>
      <c r="AV733" s="21">
        <f t="shared" ca="1" si="1329"/>
        <v>18.843455876773586</v>
      </c>
      <c r="AW733" s="21"/>
      <c r="AX733" s="614">
        <f t="shared" ca="1" si="1329"/>
        <v>20.36503995236518</v>
      </c>
      <c r="AZ733" s="21">
        <f t="shared" ref="AZ733:BE733" ca="1" si="1330">SUM(AZ729:AZ732)</f>
        <v>60.988556489464671</v>
      </c>
      <c r="BA733" s="21">
        <f t="shared" ca="1" si="1330"/>
        <v>73.697307440022129</v>
      </c>
      <c r="BB733" s="21">
        <f t="shared" ca="1" si="1330"/>
        <v>85.22307463180006</v>
      </c>
      <c r="BC733" s="21">
        <f t="shared" ca="1" si="1330"/>
        <v>90.980418254051344</v>
      </c>
      <c r="BD733" s="21">
        <f t="shared" ca="1" si="1330"/>
        <v>79.678557719026969</v>
      </c>
      <c r="BE733" s="21">
        <f t="shared" ca="1" si="1330"/>
        <v>72.311631615892779</v>
      </c>
      <c r="BF733" s="21"/>
      <c r="BG733" s="614">
        <f ca="1">SUM(BG729:BG732)</f>
        <v>77.021556771354028</v>
      </c>
      <c r="BI733" s="21">
        <f t="shared" ref="BI733:BN733" ca="1" si="1331">SUM(BI729:BI732)</f>
        <v>68.49578630207111</v>
      </c>
      <c r="BJ733" s="21">
        <f t="shared" ca="1" si="1331"/>
        <v>84.184180548795041</v>
      </c>
      <c r="BK733" s="21">
        <f t="shared" ca="1" si="1331"/>
        <v>97.721086401911151</v>
      </c>
      <c r="BL733" s="21">
        <f t="shared" ca="1" si="1331"/>
        <v>104.20521814402767</v>
      </c>
      <c r="BM733" s="21">
        <f t="shared" ca="1" si="1331"/>
        <v>90.986042078768492</v>
      </c>
      <c r="BN733" s="21">
        <f t="shared" ca="1" si="1331"/>
        <v>82.409765662285452</v>
      </c>
      <c r="BO733" s="21"/>
      <c r="BP733" s="614">
        <f ca="1">SUM(BP729:BP732)</f>
        <v>87.868631900770112</v>
      </c>
    </row>
    <row r="734" spans="2:68" ht="13.2" customHeight="1">
      <c r="B734" s="308"/>
      <c r="C734" s="297"/>
      <c r="D734" s="297"/>
      <c r="E734" s="297"/>
      <c r="F734" s="297"/>
      <c r="G734" s="280"/>
      <c r="O734" s="136">
        <f>ROW()</f>
        <v>734</v>
      </c>
      <c r="P734" s="21"/>
      <c r="Q734" s="21"/>
      <c r="R734" s="21"/>
      <c r="S734" s="21"/>
      <c r="T734" s="21"/>
      <c r="U734" s="21"/>
      <c r="V734" s="21"/>
      <c r="W734" s="634"/>
      <c r="Y734" s="21"/>
      <c r="Z734" s="21"/>
      <c r="AA734" s="21"/>
      <c r="AB734" s="21"/>
      <c r="AC734" s="21"/>
      <c r="AD734" s="21"/>
      <c r="AE734" s="21"/>
      <c r="AF734" s="634"/>
      <c r="AH734" s="21"/>
      <c r="AI734" s="21"/>
      <c r="AJ734" s="21"/>
      <c r="AK734" s="21"/>
      <c r="AL734" s="21"/>
      <c r="AM734" s="21"/>
      <c r="AN734" s="21"/>
      <c r="AO734" s="634"/>
      <c r="AQ734" s="21"/>
      <c r="AR734" s="21"/>
      <c r="AS734" s="21"/>
      <c r="AT734" s="21"/>
      <c r="AU734" s="21"/>
      <c r="AV734" s="21"/>
      <c r="AW734" s="21"/>
      <c r="AX734" s="634"/>
      <c r="AZ734" s="21"/>
      <c r="BA734" s="21"/>
      <c r="BB734" s="21"/>
      <c r="BC734" s="21"/>
      <c r="BD734" s="21"/>
      <c r="BE734" s="21"/>
      <c r="BF734" s="21"/>
      <c r="BG734" s="634"/>
      <c r="BI734" s="21"/>
      <c r="BJ734" s="21"/>
      <c r="BK734" s="21"/>
      <c r="BL734" s="21"/>
      <c r="BM734" s="21"/>
      <c r="BN734" s="21"/>
      <c r="BO734" s="21"/>
      <c r="BP734" s="634"/>
    </row>
    <row r="735" spans="2:68" ht="13.2" customHeight="1">
      <c r="B735" s="308" t="s">
        <v>1345</v>
      </c>
      <c r="G735" s="4285" t="s">
        <v>2351</v>
      </c>
      <c r="H735" s="3970"/>
      <c r="I735" s="3970"/>
      <c r="J735" s="3970"/>
      <c r="K735" s="3970"/>
      <c r="L735" s="3971"/>
      <c r="O735" s="136">
        <f>ROW()</f>
        <v>735</v>
      </c>
      <c r="P735" s="117">
        <f t="shared" ref="P735:W735" ca="1" si="1332">P733/P685</f>
        <v>1.00005414902349</v>
      </c>
      <c r="Q735" s="117">
        <f t="shared" ca="1" si="1332"/>
        <v>1.0001341725824553</v>
      </c>
      <c r="R735" s="117">
        <f t="shared" ca="1" si="1332"/>
        <v>1.0001205298990767</v>
      </c>
      <c r="S735" s="117">
        <f t="shared" ca="1" si="1332"/>
        <v>1.0000774155870247</v>
      </c>
      <c r="T735" s="117">
        <f t="shared" ca="1" si="1332"/>
        <v>1.0001513184024939</v>
      </c>
      <c r="U735" s="117">
        <f t="shared" ca="1" si="1332"/>
        <v>1.0001449131555207</v>
      </c>
      <c r="V735" s="117"/>
      <c r="W735" s="117">
        <f t="shared" ca="1" si="1332"/>
        <v>1.0001042393573709</v>
      </c>
      <c r="Y735" s="117">
        <f t="shared" ref="Y735:AF735" ca="1" si="1333">Y733/Y685</f>
        <v>1.0000541490234902</v>
      </c>
      <c r="Z735" s="117">
        <f t="shared" ca="1" si="1333"/>
        <v>1.0001341725824553</v>
      </c>
      <c r="AA735" s="117">
        <f t="shared" ca="1" si="1333"/>
        <v>1.0001205298990767</v>
      </c>
      <c r="AB735" s="117">
        <f t="shared" ca="1" si="1333"/>
        <v>1.0000774155870247</v>
      </c>
      <c r="AC735" s="117">
        <f t="shared" ca="1" si="1333"/>
        <v>1.0001513184024939</v>
      </c>
      <c r="AD735" s="117">
        <f t="shared" ca="1" si="1333"/>
        <v>1.0001449131555207</v>
      </c>
      <c r="AE735" s="117"/>
      <c r="AF735" s="117">
        <f t="shared" ca="1" si="1333"/>
        <v>1.0001047659695943</v>
      </c>
      <c r="AH735" s="117">
        <f t="shared" ref="AH735:AO735" ca="1" si="1334">AH733/AH685</f>
        <v>0.99997156870665238</v>
      </c>
      <c r="AI735" s="117">
        <f t="shared" ca="1" si="1334"/>
        <v>1.0001945687423863</v>
      </c>
      <c r="AJ735" s="117">
        <f t="shared" ca="1" si="1334"/>
        <v>1.0001702936815864</v>
      </c>
      <c r="AK735" s="117">
        <f t="shared" ca="1" si="1334"/>
        <v>1.0000939681268897</v>
      </c>
      <c r="AL735" s="117">
        <f t="shared" ca="1" si="1334"/>
        <v>1.0002350504441186</v>
      </c>
      <c r="AM735" s="117">
        <f t="shared" ca="1" si="1334"/>
        <v>1.0002197777364474</v>
      </c>
      <c r="AN735" s="117"/>
      <c r="AO735" s="117">
        <f t="shared" ca="1" si="1334"/>
        <v>1.0001329748416772</v>
      </c>
      <c r="AQ735" s="117">
        <f t="shared" ref="AQ735:AX735" ca="1" si="1335">AQ733/AQ685</f>
        <v>0.99996329645374504</v>
      </c>
      <c r="AR735" s="117">
        <f t="shared" ca="1" si="1335"/>
        <v>1.0000321524747868</v>
      </c>
      <c r="AS735" s="117">
        <f t="shared" ca="1" si="1335"/>
        <v>0.9999531257547295</v>
      </c>
      <c r="AT735" s="117">
        <f t="shared" ca="1" si="1335"/>
        <v>0.99988439649234984</v>
      </c>
      <c r="AU735" s="117">
        <f t="shared" ca="1" si="1335"/>
        <v>0.99999707421464124</v>
      </c>
      <c r="AV735" s="117">
        <f t="shared" ca="1" si="1335"/>
        <v>1.0000529291861024</v>
      </c>
      <c r="AW735" s="117"/>
      <c r="AX735" s="117">
        <f t="shared" ca="1" si="1335"/>
        <v>0.99995993180095477</v>
      </c>
      <c r="AZ735" s="117">
        <f t="shared" ref="AZ735:BG735" ca="1" si="1336">AZ733/AZ685</f>
        <v>0.99999208732789802</v>
      </c>
      <c r="BA735" s="117">
        <f t="shared" ca="1" si="1336"/>
        <v>1.000042455729637</v>
      </c>
      <c r="BB735" s="117">
        <f t="shared" ca="1" si="1336"/>
        <v>1.0000127700345742</v>
      </c>
      <c r="BC735" s="117">
        <f t="shared" ca="1" si="1336"/>
        <v>0.99997157702353301</v>
      </c>
      <c r="BD735" s="117">
        <f t="shared" ca="1" si="1336"/>
        <v>1.0000382213668488</v>
      </c>
      <c r="BE735" s="117">
        <f t="shared" ca="1" si="1336"/>
        <v>1.0000520275356448</v>
      </c>
      <c r="BF735" s="117"/>
      <c r="BG735" s="117">
        <f t="shared" ca="1" si="1336"/>
        <v>1.0000083451121657</v>
      </c>
      <c r="BI735" s="117">
        <f t="shared" ref="BI735:BP735" ca="1" si="1337">BI733/BI685</f>
        <v>1.0000407969187302</v>
      </c>
      <c r="BJ735" s="117">
        <f t="shared" ca="1" si="1337"/>
        <v>1.0001147716715342</v>
      </c>
      <c r="BK735" s="117">
        <f t="shared" ca="1" si="1337"/>
        <v>1.0000978216669256</v>
      </c>
      <c r="BL735" s="117">
        <f t="shared" ca="1" si="1337"/>
        <v>1.000055087109698</v>
      </c>
      <c r="BM735" s="117">
        <f t="shared" ca="1" si="1337"/>
        <v>1.0001273865082547</v>
      </c>
      <c r="BN735" s="117">
        <f t="shared" ca="1" si="1337"/>
        <v>1.0001252193252357</v>
      </c>
      <c r="BO735" s="117"/>
      <c r="BP735" s="117">
        <f t="shared" ca="1" si="1337"/>
        <v>1.00008399570202</v>
      </c>
    </row>
    <row r="736" spans="2:68" ht="13.2" customHeight="1">
      <c r="B736" s="280"/>
      <c r="G736" s="280"/>
      <c r="O736" s="136">
        <f>ROW()</f>
        <v>736</v>
      </c>
      <c r="P736" s="117"/>
      <c r="Q736" s="117"/>
      <c r="R736" s="117"/>
      <c r="S736" s="117"/>
      <c r="T736" s="117"/>
      <c r="U736" s="117"/>
      <c r="V736" s="117"/>
      <c r="W736" s="117"/>
      <c r="Y736" s="117"/>
      <c r="Z736" s="117"/>
      <c r="AA736" s="117"/>
      <c r="AB736" s="117"/>
      <c r="AC736" s="117"/>
      <c r="AD736" s="117"/>
      <c r="AE736" s="117"/>
      <c r="AF736" s="117"/>
      <c r="AH736" s="117"/>
      <c r="AI736" s="117"/>
      <c r="AJ736" s="117"/>
      <c r="AK736" s="117"/>
      <c r="AL736" s="117"/>
      <c r="AM736" s="117"/>
      <c r="AN736" s="117"/>
      <c r="AO736" s="117"/>
      <c r="AQ736" s="117"/>
      <c r="AR736" s="117"/>
      <c r="AS736" s="117"/>
      <c r="AT736" s="117"/>
      <c r="AU736" s="117"/>
      <c r="AV736" s="117"/>
      <c r="AW736" s="117"/>
      <c r="AX736" s="117"/>
      <c r="AZ736" s="117"/>
      <c r="BA736" s="117"/>
      <c r="BB736" s="117"/>
      <c r="BC736" s="117"/>
      <c r="BD736" s="117"/>
      <c r="BE736" s="117"/>
      <c r="BF736" s="117"/>
      <c r="BG736" s="117"/>
      <c r="BI736" s="117"/>
      <c r="BJ736" s="117"/>
      <c r="BK736" s="117"/>
      <c r="BL736" s="117"/>
      <c r="BM736" s="117"/>
      <c r="BN736" s="117"/>
      <c r="BO736" s="117"/>
      <c r="BP736" s="117"/>
    </row>
    <row r="737" spans="2:68" ht="13.2" customHeight="1">
      <c r="B737" s="308" t="s">
        <v>1571</v>
      </c>
      <c r="G737" s="280"/>
      <c r="O737" s="136">
        <f>ROW()</f>
        <v>737</v>
      </c>
      <c r="P737" s="117"/>
      <c r="Q737" s="117"/>
      <c r="R737" s="117"/>
      <c r="S737" s="117"/>
      <c r="T737" s="117"/>
      <c r="U737" s="117"/>
      <c r="V737" s="117"/>
      <c r="W737" s="117"/>
      <c r="Y737" s="117"/>
      <c r="Z737" s="117"/>
      <c r="AA737" s="117"/>
      <c r="AB737" s="117"/>
      <c r="AC737" s="117"/>
      <c r="AD737" s="117"/>
      <c r="AE737" s="117"/>
      <c r="AF737" s="117"/>
      <c r="AH737" s="117"/>
      <c r="AI737" s="117"/>
      <c r="AJ737" s="117"/>
      <c r="AK737" s="117"/>
      <c r="AL737" s="117"/>
      <c r="AM737" s="117"/>
      <c r="AN737" s="117"/>
      <c r="AO737" s="117"/>
      <c r="AQ737" s="117"/>
      <c r="AR737" s="117"/>
      <c r="AS737" s="117"/>
      <c r="AT737" s="117"/>
      <c r="AU737" s="117"/>
      <c r="AV737" s="117"/>
      <c r="AW737" s="117"/>
      <c r="AX737" s="117"/>
      <c r="AZ737" s="117"/>
      <c r="BA737" s="117"/>
      <c r="BB737" s="117"/>
      <c r="BC737" s="117"/>
      <c r="BD737" s="117"/>
      <c r="BE737" s="117"/>
      <c r="BF737" s="117"/>
      <c r="BG737" s="117"/>
      <c r="BI737" s="117"/>
      <c r="BJ737" s="117"/>
      <c r="BK737" s="117"/>
      <c r="BL737" s="117"/>
      <c r="BM737" s="117"/>
      <c r="BN737" s="117"/>
      <c r="BO737" s="117"/>
      <c r="BP737" s="117"/>
    </row>
    <row r="738" spans="2:68" ht="13.2" customHeight="1">
      <c r="B738" s="280" t="s">
        <v>2533</v>
      </c>
      <c r="G738" s="21">
        <f t="shared" ref="G738:L738" ca="1" si="1338">AVERAGE(G$725,G$677,G$629,G$581,G$533,G$481,G$403)</f>
        <v>20.155713459072945</v>
      </c>
      <c r="H738" s="21">
        <f t="shared" ca="1" si="1338"/>
        <v>15.82722328705834</v>
      </c>
      <c r="I738" s="21">
        <f t="shared" ca="1" si="1338"/>
        <v>12.341813618075273</v>
      </c>
      <c r="J738" s="21">
        <f t="shared" ca="1" si="1338"/>
        <v>10.849033014370738</v>
      </c>
      <c r="K738" s="21">
        <f t="shared" ca="1" si="1338"/>
        <v>13.496251384420182</v>
      </c>
      <c r="L738" s="21">
        <f t="shared" ca="1" si="1338"/>
        <v>16.081277467337664</v>
      </c>
      <c r="M738" s="21"/>
      <c r="O738" s="136">
        <f>ROW()</f>
        <v>738</v>
      </c>
      <c r="P738" s="21">
        <f t="shared" ref="P738:U739" ca="1" si="1339">G738</f>
        <v>20.155713459072945</v>
      </c>
      <c r="Q738" s="21">
        <f t="shared" ca="1" si="1339"/>
        <v>15.82722328705834</v>
      </c>
      <c r="R738" s="21">
        <f t="shared" ca="1" si="1339"/>
        <v>12.341813618075273</v>
      </c>
      <c r="S738" s="21">
        <f t="shared" ca="1" si="1339"/>
        <v>10.849033014370738</v>
      </c>
      <c r="T738" s="21">
        <f t="shared" ca="1" si="1339"/>
        <v>13.496251384420182</v>
      </c>
      <c r="U738" s="21">
        <f t="shared" ca="1" si="1339"/>
        <v>16.081277467337664</v>
      </c>
      <c r="V738" s="21"/>
      <c r="Y738" s="21">
        <f t="shared" ref="Y738:AD739" ca="1" si="1340">G738</f>
        <v>20.155713459072945</v>
      </c>
      <c r="Z738" s="21">
        <f t="shared" ca="1" si="1340"/>
        <v>15.82722328705834</v>
      </c>
      <c r="AA738" s="21">
        <f t="shared" ca="1" si="1340"/>
        <v>12.341813618075273</v>
      </c>
      <c r="AB738" s="21">
        <f t="shared" ca="1" si="1340"/>
        <v>10.849033014370738</v>
      </c>
      <c r="AC738" s="21">
        <f t="shared" ca="1" si="1340"/>
        <v>13.496251384420182</v>
      </c>
      <c r="AD738" s="21">
        <f t="shared" ca="1" si="1340"/>
        <v>16.081277467337664</v>
      </c>
      <c r="AE738" s="21"/>
      <c r="AH738" s="21">
        <f t="shared" ref="AH738:AM739" ca="1" si="1341">P738</f>
        <v>20.155713459072945</v>
      </c>
      <c r="AI738" s="21">
        <f t="shared" ca="1" si="1341"/>
        <v>15.82722328705834</v>
      </c>
      <c r="AJ738" s="21">
        <f t="shared" ca="1" si="1341"/>
        <v>12.341813618075273</v>
      </c>
      <c r="AK738" s="21">
        <f t="shared" ca="1" si="1341"/>
        <v>10.849033014370738</v>
      </c>
      <c r="AL738" s="21">
        <f t="shared" ca="1" si="1341"/>
        <v>13.496251384420182</v>
      </c>
      <c r="AM738" s="21">
        <f t="shared" ca="1" si="1341"/>
        <v>16.081277467337664</v>
      </c>
      <c r="AN738" s="21"/>
      <c r="AQ738" s="21">
        <f t="shared" ref="AQ738:AV738" ca="1" si="1342">G738*$AU$181</f>
        <v>19.147927786119297</v>
      </c>
      <c r="AR738" s="21">
        <f t="shared" ca="1" si="1342"/>
        <v>15.035862122705423</v>
      </c>
      <c r="AS738" s="21">
        <f t="shared" ca="1" si="1342"/>
        <v>11.724722937171508</v>
      </c>
      <c r="AT738" s="21">
        <f t="shared" ca="1" si="1342"/>
        <v>10.306581363652201</v>
      </c>
      <c r="AU738" s="21">
        <f t="shared" ca="1" si="1342"/>
        <v>12.821438815199173</v>
      </c>
      <c r="AV738" s="21">
        <f t="shared" ca="1" si="1342"/>
        <v>15.27721359397078</v>
      </c>
      <c r="AW738" s="21"/>
      <c r="AZ738" s="21">
        <f t="shared" ref="AZ738:BE739" ca="1" si="1343">G738</f>
        <v>20.155713459072945</v>
      </c>
      <c r="BA738" s="21">
        <f t="shared" ca="1" si="1343"/>
        <v>15.82722328705834</v>
      </c>
      <c r="BB738" s="21">
        <f t="shared" ca="1" si="1343"/>
        <v>12.341813618075273</v>
      </c>
      <c r="BC738" s="21">
        <f t="shared" ca="1" si="1343"/>
        <v>10.849033014370738</v>
      </c>
      <c r="BD738" s="21">
        <f t="shared" ca="1" si="1343"/>
        <v>13.496251384420182</v>
      </c>
      <c r="BE738" s="21">
        <f t="shared" ca="1" si="1343"/>
        <v>16.081277467337664</v>
      </c>
      <c r="BF738" s="21"/>
      <c r="BG738" s="21"/>
      <c r="BI738" s="21">
        <f t="shared" ref="BI738:BN739" ca="1" si="1344">G738</f>
        <v>20.155713459072945</v>
      </c>
      <c r="BJ738" s="21">
        <f t="shared" ca="1" si="1344"/>
        <v>15.82722328705834</v>
      </c>
      <c r="BK738" s="21">
        <f t="shared" ca="1" si="1344"/>
        <v>12.341813618075273</v>
      </c>
      <c r="BL738" s="21">
        <f t="shared" ca="1" si="1344"/>
        <v>10.849033014370738</v>
      </c>
      <c r="BM738" s="21">
        <f t="shared" ca="1" si="1344"/>
        <v>13.496251384420182</v>
      </c>
      <c r="BN738" s="21">
        <f t="shared" ca="1" si="1344"/>
        <v>16.081277467337664</v>
      </c>
      <c r="BO738" s="21"/>
      <c r="BP738" s="21"/>
    </row>
    <row r="739" spans="2:68" ht="13.2" customHeight="1">
      <c r="B739" s="280" t="s">
        <v>2534</v>
      </c>
      <c r="G739" s="21">
        <f t="shared" ref="G739:L739" ca="1" si="1345">AVERAGE(G$726,G$678,G$630,G$582,G$534,G$482,G$427)</f>
        <v>54.491176915242768</v>
      </c>
      <c r="H739" s="21">
        <f t="shared" ca="1" si="1345"/>
        <v>31.446021911413116</v>
      </c>
      <c r="I739" s="21">
        <f t="shared" ca="1" si="1345"/>
        <v>23.422744849832561</v>
      </c>
      <c r="J739" s="21">
        <f t="shared" ca="1" si="1345"/>
        <v>21.002941681925154</v>
      </c>
      <c r="K739" s="21">
        <f t="shared" ca="1" si="1345"/>
        <v>26.995556556153918</v>
      </c>
      <c r="L739" s="21">
        <f t="shared" ca="1" si="1345"/>
        <v>33.091404612328105</v>
      </c>
      <c r="M739" s="21"/>
      <c r="O739" s="136">
        <f>ROW()</f>
        <v>739</v>
      </c>
      <c r="P739" s="21">
        <f t="shared" ca="1" si="1339"/>
        <v>54.491176915242768</v>
      </c>
      <c r="Q739" s="21">
        <f t="shared" ca="1" si="1339"/>
        <v>31.446021911413116</v>
      </c>
      <c r="R739" s="21">
        <f t="shared" ca="1" si="1339"/>
        <v>23.422744849832561</v>
      </c>
      <c r="S739" s="21">
        <f t="shared" ca="1" si="1339"/>
        <v>21.002941681925154</v>
      </c>
      <c r="T739" s="21">
        <f t="shared" ca="1" si="1339"/>
        <v>26.995556556153918</v>
      </c>
      <c r="U739" s="21">
        <f t="shared" ca="1" si="1339"/>
        <v>33.091404612328105</v>
      </c>
      <c r="V739" s="21"/>
      <c r="Y739" s="21">
        <f t="shared" ca="1" si="1340"/>
        <v>54.491176915242768</v>
      </c>
      <c r="Z739" s="21">
        <f t="shared" ca="1" si="1340"/>
        <v>31.446021911413116</v>
      </c>
      <c r="AA739" s="21">
        <f t="shared" ca="1" si="1340"/>
        <v>23.422744849832561</v>
      </c>
      <c r="AB739" s="21">
        <f t="shared" ca="1" si="1340"/>
        <v>21.002941681925154</v>
      </c>
      <c r="AC739" s="21">
        <f t="shared" ca="1" si="1340"/>
        <v>26.995556556153918</v>
      </c>
      <c r="AD739" s="21">
        <f t="shared" ca="1" si="1340"/>
        <v>33.091404612328105</v>
      </c>
      <c r="AE739" s="21"/>
      <c r="AH739" s="21">
        <f t="shared" ca="1" si="1341"/>
        <v>54.491176915242768</v>
      </c>
      <c r="AI739" s="21">
        <f t="shared" ca="1" si="1341"/>
        <v>31.446021911413116</v>
      </c>
      <c r="AJ739" s="21">
        <f t="shared" ca="1" si="1341"/>
        <v>23.422744849832561</v>
      </c>
      <c r="AK739" s="21">
        <f t="shared" ca="1" si="1341"/>
        <v>21.002941681925154</v>
      </c>
      <c r="AL739" s="21">
        <f t="shared" ca="1" si="1341"/>
        <v>26.995556556153918</v>
      </c>
      <c r="AM739" s="21">
        <f t="shared" ca="1" si="1341"/>
        <v>33.091404612328105</v>
      </c>
      <c r="AN739" s="21"/>
      <c r="AQ739" s="21">
        <f t="shared" ref="AQ739:AV739" ca="1" si="1346">G739*$AV$181</f>
        <v>53.94626514609034</v>
      </c>
      <c r="AR739" s="21">
        <f t="shared" ca="1" si="1346"/>
        <v>31.131561692298984</v>
      </c>
      <c r="AS739" s="21">
        <f t="shared" ca="1" si="1346"/>
        <v>23.188517401334234</v>
      </c>
      <c r="AT739" s="21">
        <f t="shared" ca="1" si="1346"/>
        <v>20.792912265105901</v>
      </c>
      <c r="AU739" s="21">
        <f t="shared" ca="1" si="1346"/>
        <v>26.72560099059238</v>
      </c>
      <c r="AV739" s="21">
        <f t="shared" ca="1" si="1346"/>
        <v>32.760490566204822</v>
      </c>
      <c r="AW739" s="21"/>
      <c r="AZ739" s="21">
        <f t="shared" ca="1" si="1343"/>
        <v>54.491176915242768</v>
      </c>
      <c r="BA739" s="21">
        <f t="shared" ca="1" si="1343"/>
        <v>31.446021911413116</v>
      </c>
      <c r="BB739" s="21">
        <f t="shared" ca="1" si="1343"/>
        <v>23.422744849832561</v>
      </c>
      <c r="BC739" s="21">
        <f t="shared" ca="1" si="1343"/>
        <v>21.002941681925154</v>
      </c>
      <c r="BD739" s="21">
        <f t="shared" ca="1" si="1343"/>
        <v>26.995556556153918</v>
      </c>
      <c r="BE739" s="21">
        <f t="shared" ca="1" si="1343"/>
        <v>33.091404612328105</v>
      </c>
      <c r="BF739" s="21"/>
      <c r="BG739" s="21"/>
      <c r="BI739" s="21">
        <f t="shared" ca="1" si="1344"/>
        <v>54.491176915242768</v>
      </c>
      <c r="BJ739" s="21">
        <f t="shared" ca="1" si="1344"/>
        <v>31.446021911413116</v>
      </c>
      <c r="BK739" s="21">
        <f t="shared" ca="1" si="1344"/>
        <v>23.422744849832561</v>
      </c>
      <c r="BL739" s="21">
        <f t="shared" ca="1" si="1344"/>
        <v>21.002941681925154</v>
      </c>
      <c r="BM739" s="21">
        <f t="shared" ca="1" si="1344"/>
        <v>26.995556556153918</v>
      </c>
      <c r="BN739" s="21">
        <f t="shared" ca="1" si="1344"/>
        <v>33.091404612328105</v>
      </c>
      <c r="BO739" s="21"/>
      <c r="BP739" s="21"/>
    </row>
    <row r="740" spans="2:68" ht="13.2" customHeight="1">
      <c r="B740" s="280"/>
      <c r="G740" s="280"/>
      <c r="O740" s="136">
        <f>ROW()</f>
        <v>740</v>
      </c>
      <c r="P740" s="117"/>
      <c r="Q740" s="117"/>
      <c r="R740" s="117"/>
      <c r="S740" s="117"/>
      <c r="T740" s="117"/>
      <c r="U740" s="117"/>
      <c r="V740" s="117"/>
      <c r="W740" s="117"/>
      <c r="Y740" s="117"/>
      <c r="Z740" s="117"/>
      <c r="AA740" s="117"/>
      <c r="AB740" s="117"/>
      <c r="AC740" s="117"/>
      <c r="AD740" s="117"/>
      <c r="AE740" s="117"/>
      <c r="AF740" s="117"/>
      <c r="AH740" s="117"/>
      <c r="AI740" s="117"/>
      <c r="AJ740" s="117"/>
      <c r="AK740" s="117"/>
      <c r="AL740" s="117"/>
      <c r="AM740" s="117"/>
      <c r="AN740" s="117"/>
      <c r="AO740" s="117"/>
      <c r="AQ740" s="117"/>
      <c r="AR740" s="117"/>
      <c r="AS740" s="117"/>
      <c r="AT740" s="117"/>
      <c r="AU740" s="117"/>
      <c r="AV740" s="117"/>
      <c r="AW740" s="117"/>
      <c r="AX740" s="117"/>
      <c r="AZ740" s="117"/>
      <c r="BA740" s="117"/>
      <c r="BB740" s="117"/>
      <c r="BC740" s="117"/>
      <c r="BD740" s="117"/>
      <c r="BE740" s="117"/>
      <c r="BF740" s="117"/>
      <c r="BG740" s="117"/>
      <c r="BI740" s="117"/>
      <c r="BJ740" s="117"/>
      <c r="BK740" s="117"/>
      <c r="BL740" s="117"/>
      <c r="BM740" s="117"/>
      <c r="BN740" s="117"/>
      <c r="BO740" s="117"/>
      <c r="BP740" s="117"/>
    </row>
    <row r="741" spans="2:68" ht="13.2" customHeight="1">
      <c r="B741" s="6" t="s">
        <v>1643</v>
      </c>
      <c r="G741" s="948" t="s">
        <v>1472</v>
      </c>
      <c r="H741" s="948" t="s">
        <v>985</v>
      </c>
      <c r="I741" s="948" t="s">
        <v>987</v>
      </c>
      <c r="J741" s="948" t="s">
        <v>1367</v>
      </c>
      <c r="K741" s="948" t="s">
        <v>988</v>
      </c>
      <c r="L741" s="948" t="s">
        <v>986</v>
      </c>
      <c r="M741" s="948" t="s">
        <v>1638</v>
      </c>
      <c r="N741" s="948" t="s">
        <v>2684</v>
      </c>
      <c r="O741" s="136">
        <f>ROW()</f>
        <v>741</v>
      </c>
      <c r="P741" s="117">
        <f ca="1">P735^Elasticities!$G$52</f>
        <v>0.99994585390846802</v>
      </c>
      <c r="Q741" s="117">
        <f ca="1">Q735^Elasticities!$G$52</f>
        <v>0.99986584541741153</v>
      </c>
      <c r="R741" s="117">
        <f ca="1">R735^Elasticities!$G$52</f>
        <v>0.99987948462662901</v>
      </c>
      <c r="S741" s="117">
        <f ca="1">S735^Elasticities!$G$52</f>
        <v>0.99992259040568454</v>
      </c>
      <c r="T741" s="117">
        <f ca="1">T735^Elasticities!$G$52</f>
        <v>0.9998487044913007</v>
      </c>
      <c r="U741" s="117">
        <f ca="1">U735^Elasticities!$G$52</f>
        <v>0.99985510784125931</v>
      </c>
      <c r="V741" s="117"/>
      <c r="Y741" s="117">
        <f ca="1">Y735^Elasticities!$H$52</f>
        <v>0.9999458539084678</v>
      </c>
      <c r="Z741" s="117">
        <f ca="1">Z735^Elasticities!$H$52</f>
        <v>0.99986584541741153</v>
      </c>
      <c r="AA741" s="117">
        <f ca="1">AA735^Elasticities!$H$52</f>
        <v>0.99987948462662901</v>
      </c>
      <c r="AB741" s="117">
        <f ca="1">AB735^Elasticities!$H$52</f>
        <v>0.99992259040568454</v>
      </c>
      <c r="AC741" s="117">
        <f ca="1">AC735^Elasticities!$H$52</f>
        <v>0.9998487044913007</v>
      </c>
      <c r="AD741" s="117">
        <f ca="1">AD735^Elasticities!$H$52</f>
        <v>0.99985510784125931</v>
      </c>
      <c r="AE741" s="117"/>
      <c r="AH741" s="638">
        <f ca="1">AH735^Elasticities!$J$52</f>
        <v>1.000028432101709</v>
      </c>
      <c r="AI741" s="117">
        <f ca="1">AI735^Elasticities!$J$52</f>
        <v>0.99980546910724488</v>
      </c>
      <c r="AJ741" s="117">
        <f ca="1">AJ735^Elasticities!$J$52</f>
        <v>0.9998297353134139</v>
      </c>
      <c r="AK741" s="117">
        <f ca="1">AK735^Elasticities!$J$52</f>
        <v>0.9999060407022895</v>
      </c>
      <c r="AL741" s="117">
        <f ca="1">AL735^Elasticities!$J$52</f>
        <v>0.99976500479160946</v>
      </c>
      <c r="AM741" s="117">
        <f ca="1">AM735^Elasticities!$J$52</f>
        <v>0.99978027055519259</v>
      </c>
      <c r="AN741" s="117"/>
      <c r="AQ741" s="117">
        <f ca="1">AQ735^Elasticities!$G$54</f>
        <v>1.0000293638069855</v>
      </c>
      <c r="AR741" s="117">
        <f ca="1">AR735^Elasticities!$G$54</f>
        <v>0.99997427876447098</v>
      </c>
      <c r="AS741" s="117">
        <f ca="1">AS735^Elasticities!$G$54</f>
        <v>1.0000375009782658</v>
      </c>
      <c r="AT741" s="117">
        <f ca="1">AT735^Elasticities!$G$54</f>
        <v>1.0000924924293615</v>
      </c>
      <c r="AU741" s="117">
        <f ca="1">AU735^Elasticities!$G$54</f>
        <v>1.0000023406344505</v>
      </c>
      <c r="AV741" s="117">
        <f ca="1">AV735^Elasticities!$G$54</f>
        <v>0.9999576586680976</v>
      </c>
      <c r="AW741" s="117"/>
      <c r="AZ741" s="117">
        <f ca="1">AZ735^(Elasticities!$J$64*Elasticities!$G$52)</f>
        <v>1.0000026375712807</v>
      </c>
      <c r="BA741" s="117">
        <f ca="1">BA735^(Elasticities!$J$64*Elasticities!$G$52)</f>
        <v>0.99998584849066074</v>
      </c>
      <c r="BB741" s="117">
        <f ca="1">BB735^(Elasticities!$J$64*Elasticities!$G$52)</f>
        <v>0.99999574335804686</v>
      </c>
      <c r="BC741" s="117">
        <f ca="1">BC735^(Elasticities!$J$64*Elasticities!$G$52)</f>
        <v>1.0000094745050185</v>
      </c>
      <c r="BD741" s="117">
        <f ca="1">BD735^(Elasticities!$J$64*Elasticities!$G$52)</f>
        <v>0.99998725986901249</v>
      </c>
      <c r="BE741" s="117">
        <f ca="1">BE735^(Elasticities!$J$64*Elasticities!$G$52)</f>
        <v>0.9999826580896195</v>
      </c>
      <c r="BF741" s="117"/>
      <c r="BI741" s="117">
        <f ca="1">BI735^Elasticities!$G$50</f>
        <v>0.99997960216475945</v>
      </c>
      <c r="BJ741" s="117">
        <f ca="1">BJ735^Elasticities!$G$50</f>
        <v>0.99994261910346161</v>
      </c>
      <c r="BK741" s="117">
        <f ca="1">BK735^Elasticities!$G$50</f>
        <v>0.99995109275464911</v>
      </c>
      <c r="BL741" s="117">
        <f ca="1">BL735^Elasticities!$G$50</f>
        <v>0.99997245758306996</v>
      </c>
      <c r="BM741" s="117">
        <f ca="1">BM735^Elasticities!$G$50</f>
        <v>0.9999363128304728</v>
      </c>
      <c r="BN741" s="117">
        <f ca="1">BN735^Elasticities!$G$50</f>
        <v>0.9999373962167234</v>
      </c>
      <c r="BO741" s="117"/>
    </row>
    <row r="742" spans="2:68" ht="13.2" customHeight="1">
      <c r="B742" s="6"/>
      <c r="G742" s="298" t="s">
        <v>1918</v>
      </c>
      <c r="H742" s="298" t="s">
        <v>1838</v>
      </c>
      <c r="I742" s="298" t="s">
        <v>1839</v>
      </c>
      <c r="J742" s="298" t="s">
        <v>1840</v>
      </c>
      <c r="K742" s="298" t="s">
        <v>1841</v>
      </c>
      <c r="L742" s="298" t="s">
        <v>1917</v>
      </c>
      <c r="M742" s="298"/>
      <c r="N742" s="298"/>
      <c r="O742" s="136">
        <f>ROW()</f>
        <v>742</v>
      </c>
      <c r="P742" s="309" t="s">
        <v>3311</v>
      </c>
      <c r="Y742" s="309" t="s">
        <v>3312</v>
      </c>
      <c r="AH742" s="309" t="s">
        <v>3313</v>
      </c>
      <c r="AQ742" s="215" t="s">
        <v>3304</v>
      </c>
      <c r="AZ742" s="309" t="s">
        <v>3309</v>
      </c>
      <c r="BI742" s="309" t="s">
        <v>3310</v>
      </c>
    </row>
    <row r="743" spans="2:68" ht="13.2" customHeight="1">
      <c r="B743" s="6" t="s">
        <v>1921</v>
      </c>
      <c r="O743" s="136">
        <f>ROW()</f>
        <v>743</v>
      </c>
      <c r="P743" s="117">
        <f ca="1">(P690/P738)^Elasticities!$G$52</f>
        <v>1.0000226950541666</v>
      </c>
      <c r="Q743" s="117">
        <f ca="1">(Q690/Q738)^Elasticities!$G$52</f>
        <v>0.99990678023057444</v>
      </c>
      <c r="R743" s="117">
        <f ca="1">(R690/R738)^Elasticities!$G$52</f>
        <v>1.0000104754813606</v>
      </c>
      <c r="S743" s="117">
        <f ca="1">(S690/S738)^Elasticities!$G$52</f>
        <v>1.0001208962145791</v>
      </c>
      <c r="T743" s="117">
        <f ca="1">(T690/T738)^Elasticities!$G$52</f>
        <v>0.99972295045250925</v>
      </c>
      <c r="U743" s="117">
        <f ca="1">(U690/U738)^Elasticities!$G$52</f>
        <v>0.99985571260389461</v>
      </c>
      <c r="V743" s="117"/>
      <c r="Y743" s="117">
        <f ca="1">(Y690/Y738)^Elasticities!$H$52</f>
        <v>1.0000226950541666</v>
      </c>
      <c r="Z743" s="117">
        <f ca="1">(Z690/Z738)^Elasticities!$H$52</f>
        <v>0.99990678023057444</v>
      </c>
      <c r="AA743" s="117">
        <f ca="1">(AA690/AA738)^Elasticities!$H$52</f>
        <v>1.0000104754813606</v>
      </c>
      <c r="AB743" s="117">
        <f ca="1">(AB690/AB738)^Elasticities!$H$52</f>
        <v>1.0001208962145791</v>
      </c>
      <c r="AC743" s="117">
        <f ca="1">(AC690/AC738)^Elasticities!$H$52</f>
        <v>0.99972295045250925</v>
      </c>
      <c r="AD743" s="117">
        <f ca="1">(AD690/AD738)^Elasticities!$H$52</f>
        <v>0.99985571260389461</v>
      </c>
      <c r="AE743" s="117"/>
      <c r="AH743" s="117">
        <f ca="1">(AH690/AH738)^Elasticities!$J$52</f>
        <v>1.0000226950541666</v>
      </c>
      <c r="AI743" s="117">
        <f ca="1">(AI690/AI738)^Elasticities!$J$52</f>
        <v>0.99990678023057444</v>
      </c>
      <c r="AJ743" s="117">
        <f ca="1">(AJ690/AJ738)^Elasticities!$J$52</f>
        <v>1.0000104754813606</v>
      </c>
      <c r="AK743" s="117">
        <f ca="1">(AK690/AK738)^Elasticities!$J$52</f>
        <v>1.0001208962145791</v>
      </c>
      <c r="AL743" s="117">
        <f ca="1">(AL690/AL738)^Elasticities!$J$52</f>
        <v>0.99972295045250925</v>
      </c>
      <c r="AM743" s="117">
        <f ca="1">(AM690/AM738)^Elasticities!$J$52</f>
        <v>0.99985571260389461</v>
      </c>
      <c r="AN743" s="117"/>
      <c r="AQ743" s="117">
        <f ca="1">(AQ690/AQ738)^Elasticities!$G$54</f>
        <v>1.0000181560021284</v>
      </c>
      <c r="AR743" s="117">
        <f ca="1">(AR690/AR738)^Elasticities!$G$54</f>
        <v>0.99992542348923963</v>
      </c>
      <c r="AS743" s="117">
        <f ca="1">(AS690/AS738)^Elasticities!$G$54</f>
        <v>1.0000083803763096</v>
      </c>
      <c r="AT743" s="117">
        <f ca="1">(AT690/AT738)^Elasticities!$G$54</f>
        <v>1.0000967158024485</v>
      </c>
      <c r="AU743" s="117">
        <f ca="1">(AU690/AU738)^Elasticities!$G$54</f>
        <v>0.99977835422081085</v>
      </c>
      <c r="AV743" s="117">
        <f ca="1">(AV690/AV738)^Elasticities!$G$54</f>
        <v>0.99988456841751139</v>
      </c>
      <c r="AW743" s="117"/>
      <c r="AZ743" s="117">
        <f ca="1">(AZ690/AZ738)^(Elasticities!$J$64*Elasticities!$G$52)</f>
        <v>1.0000075649608267</v>
      </c>
      <c r="BA743" s="117">
        <f ca="1">(BA690/BA738)^(Elasticities!$J$64*Elasticities!$G$52)</f>
        <v>0.99996892577792751</v>
      </c>
      <c r="BB743" s="117">
        <f ca="1">(BB690/BB738)^(Elasticities!$J$64*Elasticities!$G$52)</f>
        <v>1.0000034918149274</v>
      </c>
      <c r="BC743" s="117">
        <f ca="1">(BC690/BC738)^(Elasticities!$J$64*Elasticities!$G$52)</f>
        <v>1.0000402971143139</v>
      </c>
      <c r="BD743" s="117">
        <f ca="1">(BD690/BD738)^(Elasticities!$J$64*Elasticities!$G$52)</f>
        <v>0.99990764162102885</v>
      </c>
      <c r="BE743" s="117">
        <f ca="1">(BE690/BE738)^(Elasticities!$J$64*Elasticities!$G$52)</f>
        <v>0.99995190188790695</v>
      </c>
      <c r="BF743" s="117"/>
      <c r="BI743" s="117">
        <f ca="1">(BI690/BI738)^Elasticities!$G$50</f>
        <v>1.0000113474627008</v>
      </c>
      <c r="BJ743" s="117">
        <f ca="1">(BJ690/BJ738)^Elasticities!$G$50</f>
        <v>0.99995338902899589</v>
      </c>
      <c r="BK743" s="117">
        <f ca="1">(BK690/BK738)^Elasticities!$G$50</f>
        <v>1.0000052377269633</v>
      </c>
      <c r="BL743" s="117">
        <f ca="1">(BL690/BL738)^Elasticities!$G$50</f>
        <v>1.0000604462804132</v>
      </c>
      <c r="BM743" s="117">
        <f ca="1">(BM690/BM738)^Elasticities!$G$50</f>
        <v>0.99986146563036882</v>
      </c>
      <c r="BN743" s="117">
        <f ca="1">(BN690/BN738)^Elasticities!$G$50</f>
        <v>0.99992785369940296</v>
      </c>
      <c r="BO743" s="117"/>
    </row>
    <row r="744" spans="2:68" ht="13.2" customHeight="1">
      <c r="O744" s="136">
        <f>ROW()</f>
        <v>744</v>
      </c>
      <c r="P744" s="309" t="s">
        <v>529</v>
      </c>
      <c r="Y744" s="309" t="s">
        <v>530</v>
      </c>
      <c r="AH744" s="309" t="s">
        <v>2922</v>
      </c>
      <c r="AQ744" s="215" t="s">
        <v>3299</v>
      </c>
      <c r="AZ744" s="309" t="s">
        <v>2398</v>
      </c>
      <c r="BI744" s="309" t="s">
        <v>2878</v>
      </c>
    </row>
    <row r="745" spans="2:68" ht="13.2" customHeight="1">
      <c r="B745" s="6" t="s">
        <v>2164</v>
      </c>
      <c r="G745" s="633">
        <f t="shared" ref="G745:L745" ca="1" si="1347">($I$76*$I$79*P745+$J$76*$J$79*Y745+$K$76*$K$79*AH745+$L$76*$L$79*AQ745+$M$76*$M$79*AZ745+$N$76*$N$79*BI745)/SUMPRODUCT($I$76:$N$76,$I$79:$N$79)</f>
        <v>1.0000169039807423</v>
      </c>
      <c r="H745" s="633">
        <f t="shared" ca="1" si="1347"/>
        <v>0.99982137400349813</v>
      </c>
      <c r="I745" s="633">
        <f t="shared" ca="1" si="1347"/>
        <v>0.99982334983139964</v>
      </c>
      <c r="J745" s="633">
        <f t="shared" ca="1" si="1347"/>
        <v>0.99988053238199537</v>
      </c>
      <c r="K745" s="633">
        <f t="shared" ca="1" si="1347"/>
        <v>0.99977151695289046</v>
      </c>
      <c r="L745" s="633">
        <f t="shared" ca="1" si="1347"/>
        <v>0.99980247621367258</v>
      </c>
      <c r="M745" s="633"/>
      <c r="O745" s="136">
        <f>ROW()</f>
        <v>745</v>
      </c>
      <c r="P745" s="117">
        <f ca="1">(P691/P739)^Elasticities!$G$52</f>
        <v>0.99998238916066884</v>
      </c>
      <c r="Q745" s="117">
        <f ca="1">(Q691/Q739)^Elasticities!$G$52</f>
        <v>1.0000913587055915</v>
      </c>
      <c r="R745" s="117">
        <f ca="1">(R691/R739)^Elasticities!$G$52</f>
        <v>1.0000673755189047</v>
      </c>
      <c r="S745" s="117">
        <f ca="1">(S691/S739)^Elasticities!$G$52</f>
        <v>1.0000412094093436</v>
      </c>
      <c r="T745" s="117">
        <f ca="1">(T691/T739)^Elasticities!$G$52</f>
        <v>1.0000999238372206</v>
      </c>
      <c r="U745" s="117">
        <f ca="1">(U691/U739)^Elasticities!$G$52</f>
        <v>1.0001067496553679</v>
      </c>
      <c r="V745" s="117"/>
      <c r="Y745" s="117">
        <f ca="1">(Y678/Y726)^Elasticities!$H$52</f>
        <v>1.0000253998903701</v>
      </c>
      <c r="Z745" s="117">
        <f ca="1">(Z678/Z726)^Elasticities!$H$52</f>
        <v>0.99975356390830872</v>
      </c>
      <c r="AA745" s="117">
        <f ca="1">(AA678/AA726)^Elasticities!$H$52</f>
        <v>0.99976161646502126</v>
      </c>
      <c r="AB745" s="117">
        <f ca="1">(AB678/AB726)^Elasticities!$H$52</f>
        <v>0.9998397924673601</v>
      </c>
      <c r="AC745" s="117">
        <f ca="1">(AC678/AC726)^Elasticities!$H$52</f>
        <v>0.99968870675934207</v>
      </c>
      <c r="AD745" s="117">
        <f ca="1">(AD678/AD726)^Elasticities!$H$52</f>
        <v>0.99972616456002528</v>
      </c>
      <c r="AE745" s="117"/>
      <c r="AH745" s="117">
        <f ca="1">(AH678/AH726)^Elasticities!$J$52</f>
        <v>1.0000253998903701</v>
      </c>
      <c r="AI745" s="117">
        <f ca="1">(AI678/AI726)^Elasticities!$J$52</f>
        <v>0.99975356390830872</v>
      </c>
      <c r="AJ745" s="117">
        <f ca="1">(AJ678/AJ726)^Elasticities!$J$52</f>
        <v>0.99976161646502126</v>
      </c>
      <c r="AK745" s="117">
        <f ca="1">(AK678/AK726)^Elasticities!$J$52</f>
        <v>0.9998397924673601</v>
      </c>
      <c r="AL745" s="117">
        <f ca="1">(AL678/AL726)^Elasticities!$J$52</f>
        <v>0.99968870675934207</v>
      </c>
      <c r="AM745" s="117">
        <f ca="1">(AM678/AM726)^Elasticities!$J$52</f>
        <v>0.99972616456002528</v>
      </c>
      <c r="AN745" s="117"/>
      <c r="AQ745" s="117">
        <f ca="1">(AQ691/AQ739)^Elasticities!$G$54</f>
        <v>0.9999859113037235</v>
      </c>
      <c r="AR745" s="117">
        <f ca="1">(AR691/AR739)^Elasticities!$G$54</f>
        <v>1.0000730862967846</v>
      </c>
      <c r="AS745" s="117">
        <f ca="1">(AS691/AS739)^Elasticities!$G$54</f>
        <v>1.0000539000519766</v>
      </c>
      <c r="AT745" s="117">
        <f ca="1">(AT691/AT739)^Elasticities!$G$54</f>
        <v>1.0000329673916197</v>
      </c>
      <c r="AU745" s="117">
        <f ca="1">(AU691/AU739)^Elasticities!$G$54</f>
        <v>1.0000799382710266</v>
      </c>
      <c r="AV745" s="117">
        <f ca="1">(AV691/AV739)^Elasticities!$G$54</f>
        <v>1.0000853988126943</v>
      </c>
      <c r="AW745" s="117"/>
      <c r="AZ745" s="117">
        <f ca="1">(AZ678/AZ726)^(Elasticities!$J$64*Elasticities!$G$52)</f>
        <v>1.0000084665584406</v>
      </c>
      <c r="BA745" s="117">
        <f ca="1">(BA678/BA726)^(Elasticities!$J$64*Elasticities!$G$52)</f>
        <v>0.99991784788731808</v>
      </c>
      <c r="BB745" s="117">
        <f ca="1">(BB678/BB726)^(Elasticities!$J$64*Elasticities!$G$52)</f>
        <v>0.9999205325067585</v>
      </c>
      <c r="BC745" s="117">
        <f ca="1">(BC678/BC726)^(Elasticities!$J$64*Elasticities!$G$52)</f>
        <v>0.99994659463703806</v>
      </c>
      <c r="BD745" s="117">
        <f ca="1">(BD678/BD726)^(Elasticities!$J$64*Elasticities!$G$52)</f>
        <v>0.99989622481753149</v>
      </c>
      <c r="BE745" s="117">
        <f ca="1">(BE678/BE726)^(Elasticities!$J$64*Elasticities!$G$52)</f>
        <v>0.99990871318697971</v>
      </c>
      <c r="BF745" s="117"/>
      <c r="BI745" s="117">
        <f ca="1">(BI678/BI726)^Elasticities!$G$50</f>
        <v>1.0000126998645418</v>
      </c>
      <c r="BJ745" s="117">
        <f ca="1">(BJ678/BJ726)^Elasticities!$G$50</f>
        <v>0.99987677436187528</v>
      </c>
      <c r="BK745" s="117">
        <f ca="1">(BK678/BK726)^Elasticities!$G$50</f>
        <v>0.999880801128325</v>
      </c>
      <c r="BL745" s="117">
        <f ca="1">(BL678/BL726)^Elasticities!$G$50</f>
        <v>0.9999198930251163</v>
      </c>
      <c r="BM745" s="117">
        <f ca="1">(BM678/BM726)^Elasticities!$G$50</f>
        <v>0.99984434126485011</v>
      </c>
      <c r="BN745" s="117">
        <f ca="1">(BN678/BN726)^Elasticities!$G$50</f>
        <v>0.99986307290549814</v>
      </c>
      <c r="BO745" s="117"/>
    </row>
    <row r="746" spans="2:68" ht="13.2" customHeight="1" collapsed="1">
      <c r="B746" s="43"/>
      <c r="O746" s="136">
        <f>ROW()</f>
        <v>746</v>
      </c>
      <c r="P746" s="309" t="s">
        <v>2879</v>
      </c>
      <c r="Y746" s="309" t="s">
        <v>2842</v>
      </c>
      <c r="AH746" s="309" t="s">
        <v>2808</v>
      </c>
      <c r="AQ746" s="215" t="s">
        <v>3300</v>
      </c>
      <c r="AZ746" s="309" t="s">
        <v>2903</v>
      </c>
      <c r="BI746" s="309" t="s">
        <v>91</v>
      </c>
    </row>
    <row r="747" spans="2:68" ht="13.2" customHeight="1">
      <c r="B747" s="24" t="s">
        <v>2143</v>
      </c>
      <c r="I747" s="54"/>
      <c r="O747" s="136">
        <f>ROW()</f>
        <v>747</v>
      </c>
      <c r="P747" s="880" t="s">
        <v>1472</v>
      </c>
      <c r="Q747" s="880" t="s">
        <v>985</v>
      </c>
      <c r="R747" s="880" t="s">
        <v>987</v>
      </c>
      <c r="S747" s="880" t="s">
        <v>1367</v>
      </c>
      <c r="T747" s="880" t="s">
        <v>988</v>
      </c>
      <c r="U747" s="880" t="s">
        <v>986</v>
      </c>
      <c r="V747" s="880"/>
      <c r="W747" s="880" t="s">
        <v>2684</v>
      </c>
      <c r="Y747" s="880" t="s">
        <v>1472</v>
      </c>
      <c r="Z747" s="880" t="s">
        <v>985</v>
      </c>
      <c r="AA747" s="880" t="s">
        <v>987</v>
      </c>
      <c r="AB747" s="880" t="s">
        <v>1367</v>
      </c>
      <c r="AC747" s="880" t="s">
        <v>988</v>
      </c>
      <c r="AD747" s="880" t="s">
        <v>986</v>
      </c>
      <c r="AE747" s="880"/>
      <c r="AF747" s="880" t="s">
        <v>2684</v>
      </c>
      <c r="AH747" s="880" t="s">
        <v>1472</v>
      </c>
      <c r="AI747" s="880" t="s">
        <v>985</v>
      </c>
      <c r="AJ747" s="880" t="s">
        <v>987</v>
      </c>
      <c r="AK747" s="880" t="s">
        <v>1367</v>
      </c>
      <c r="AL747" s="880" t="s">
        <v>988</v>
      </c>
      <c r="AM747" s="880" t="s">
        <v>986</v>
      </c>
      <c r="AN747" s="880"/>
      <c r="AO747" s="880" t="s">
        <v>2684</v>
      </c>
      <c r="AQ747" s="880" t="s">
        <v>1472</v>
      </c>
      <c r="AR747" s="880" t="s">
        <v>985</v>
      </c>
      <c r="AS747" s="880" t="s">
        <v>987</v>
      </c>
      <c r="AT747" s="880" t="s">
        <v>1367</v>
      </c>
      <c r="AU747" s="880" t="s">
        <v>988</v>
      </c>
      <c r="AV747" s="880" t="s">
        <v>986</v>
      </c>
      <c r="AW747" s="880" t="s">
        <v>1638</v>
      </c>
      <c r="AX747" s="880" t="s">
        <v>2684</v>
      </c>
      <c r="AZ747" s="880" t="s">
        <v>1472</v>
      </c>
      <c r="BA747" s="880" t="s">
        <v>985</v>
      </c>
      <c r="BB747" s="880" t="s">
        <v>987</v>
      </c>
      <c r="BC747" s="880" t="s">
        <v>1367</v>
      </c>
      <c r="BD747" s="880" t="s">
        <v>988</v>
      </c>
      <c r="BE747" s="880" t="s">
        <v>986</v>
      </c>
      <c r="BF747" s="880" t="s">
        <v>1638</v>
      </c>
      <c r="BG747" s="880" t="s">
        <v>2684</v>
      </c>
      <c r="BI747" s="880" t="s">
        <v>1472</v>
      </c>
      <c r="BJ747" s="880" t="s">
        <v>985</v>
      </c>
      <c r="BK747" s="880" t="s">
        <v>987</v>
      </c>
      <c r="BL747" s="880" t="s">
        <v>1367</v>
      </c>
      <c r="BM747" s="880" t="s">
        <v>988</v>
      </c>
      <c r="BN747" s="880" t="s">
        <v>986</v>
      </c>
      <c r="BO747" s="880" t="s">
        <v>1638</v>
      </c>
      <c r="BP747" s="880" t="s">
        <v>2684</v>
      </c>
    </row>
    <row r="748" spans="2:68" ht="13.2" customHeight="1">
      <c r="O748" s="136">
        <f>ROW()</f>
        <v>748</v>
      </c>
      <c r="P748" s="298" t="s">
        <v>989</v>
      </c>
      <c r="Q748" s="298" t="s">
        <v>990</v>
      </c>
      <c r="R748" s="298" t="s">
        <v>991</v>
      </c>
      <c r="S748" s="298" t="s">
        <v>992</v>
      </c>
      <c r="T748" s="298" t="s">
        <v>993</v>
      </c>
      <c r="U748" s="298" t="s">
        <v>994</v>
      </c>
      <c r="V748" s="298"/>
      <c r="W748" s="298"/>
      <c r="Y748" s="298" t="s">
        <v>989</v>
      </c>
      <c r="Z748" s="298" t="s">
        <v>990</v>
      </c>
      <c r="AA748" s="298" t="s">
        <v>991</v>
      </c>
      <c r="AB748" s="298" t="s">
        <v>992</v>
      </c>
      <c r="AC748" s="298" t="s">
        <v>993</v>
      </c>
      <c r="AD748" s="298" t="s">
        <v>994</v>
      </c>
      <c r="AE748" s="298"/>
      <c r="AF748" s="298"/>
      <c r="AH748" s="298" t="s">
        <v>989</v>
      </c>
      <c r="AI748" s="298" t="s">
        <v>990</v>
      </c>
      <c r="AJ748" s="298" t="s">
        <v>991</v>
      </c>
      <c r="AK748" s="298" t="s">
        <v>992</v>
      </c>
      <c r="AL748" s="298" t="s">
        <v>993</v>
      </c>
      <c r="AM748" s="298" t="s">
        <v>994</v>
      </c>
      <c r="AN748" s="298"/>
      <c r="AO748" s="298"/>
      <c r="AQ748" s="298" t="s">
        <v>989</v>
      </c>
      <c r="AR748" s="298" t="s">
        <v>990</v>
      </c>
      <c r="AS748" s="298" t="s">
        <v>991</v>
      </c>
      <c r="AT748" s="298" t="s">
        <v>992</v>
      </c>
      <c r="AU748" s="298" t="s">
        <v>993</v>
      </c>
      <c r="AV748" s="298" t="s">
        <v>994</v>
      </c>
      <c r="AW748" s="298"/>
      <c r="AX748" s="298"/>
      <c r="AZ748" s="298" t="s">
        <v>989</v>
      </c>
      <c r="BA748" s="298" t="s">
        <v>990</v>
      </c>
      <c r="BB748" s="298" t="s">
        <v>991</v>
      </c>
      <c r="BC748" s="298" t="s">
        <v>992</v>
      </c>
      <c r="BD748" s="298" t="s">
        <v>993</v>
      </c>
      <c r="BE748" s="298" t="s">
        <v>994</v>
      </c>
      <c r="BF748" s="298"/>
      <c r="BG748" s="298"/>
      <c r="BI748" s="298" t="s">
        <v>989</v>
      </c>
      <c r="BJ748" s="298" t="s">
        <v>990</v>
      </c>
      <c r="BK748" s="298" t="s">
        <v>991</v>
      </c>
      <c r="BL748" s="298" t="s">
        <v>992</v>
      </c>
      <c r="BM748" s="298" t="s">
        <v>993</v>
      </c>
      <c r="BN748" s="298" t="s">
        <v>994</v>
      </c>
      <c r="BO748" s="298"/>
      <c r="BP748" s="298"/>
    </row>
    <row r="749" spans="2:68" ht="13.2" customHeight="1">
      <c r="B749" s="308" t="s">
        <v>112</v>
      </c>
      <c r="O749" s="136">
        <f>ROW()</f>
        <v>749</v>
      </c>
    </row>
    <row r="750" spans="2:68" ht="13.2" customHeight="1">
      <c r="B750" s="280" t="s">
        <v>2745</v>
      </c>
      <c r="G750" s="1122">
        <f t="shared" ref="G750:L750" ca="1" si="1348">P750+Y750+AH750+AQ750+AZ750+BI750</f>
        <v>108796.92765408756</v>
      </c>
      <c r="H750" s="1122">
        <f t="shared" ca="1" si="1348"/>
        <v>46460.141071017308</v>
      </c>
      <c r="I750" s="1122">
        <f t="shared" ca="1" si="1348"/>
        <v>151103.79258971644</v>
      </c>
      <c r="J750" s="1122">
        <f t="shared" ca="1" si="1348"/>
        <v>99616.094923170123</v>
      </c>
      <c r="K750" s="1122">
        <f t="shared" ca="1" si="1348"/>
        <v>54807.657846234542</v>
      </c>
      <c r="L750" s="1122">
        <f t="shared" ca="1" si="1348"/>
        <v>36560.96157310866</v>
      </c>
      <c r="N750" s="186">
        <f ca="1">SUM(G750:M750)</f>
        <v>497345.57565733464</v>
      </c>
      <c r="O750" s="136">
        <f>ROW()</f>
        <v>750</v>
      </c>
      <c r="P750" s="10">
        <f t="shared" ref="P750:U750" ca="1" si="1349">P704</f>
        <v>24180.844323368168</v>
      </c>
      <c r="Q750" s="10">
        <f t="shared" ca="1" si="1349"/>
        <v>9360.8346094578956</v>
      </c>
      <c r="R750" s="10">
        <f t="shared" ca="1" si="1349"/>
        <v>25080.828759734126</v>
      </c>
      <c r="S750" s="10">
        <f t="shared" ca="1" si="1349"/>
        <v>9862.6140202730257</v>
      </c>
      <c r="T750" s="10">
        <f t="shared" ca="1" si="1349"/>
        <v>8989.9901282736409</v>
      </c>
      <c r="U750" s="10">
        <f t="shared" ca="1" si="1349"/>
        <v>4812.772911543173</v>
      </c>
      <c r="V750" s="10"/>
      <c r="W750" s="10">
        <f ca="1">SUM(P750:V750)</f>
        <v>82287.884752650032</v>
      </c>
      <c r="Y750" s="10">
        <f t="shared" ref="Y750:AD750" ca="1" si="1350">Y704</f>
        <v>36329.544958225524</v>
      </c>
      <c r="Z750" s="10">
        <f t="shared" ca="1" si="1350"/>
        <v>17699.610439650405</v>
      </c>
      <c r="AA750" s="10">
        <f t="shared" ca="1" si="1350"/>
        <v>73040.615744445473</v>
      </c>
      <c r="AB750" s="10">
        <f t="shared" ca="1" si="1350"/>
        <v>57302.693059577585</v>
      </c>
      <c r="AC750" s="10">
        <f t="shared" ca="1" si="1350"/>
        <v>26548.946667905777</v>
      </c>
      <c r="AD750" s="10">
        <f t="shared" ca="1" si="1350"/>
        <v>17710.321861554432</v>
      </c>
      <c r="AE750" s="10"/>
      <c r="AF750" s="10">
        <f ca="1">SUM(Y750:AE750)</f>
        <v>228631.7327313592</v>
      </c>
      <c r="AH750" s="10">
        <f t="shared" ref="AH750:AM750" ca="1" si="1351">AH704</f>
        <v>28015.359660631089</v>
      </c>
      <c r="AI750" s="10">
        <f t="shared" ca="1" si="1351"/>
        <v>11164.240067543225</v>
      </c>
      <c r="AJ750" s="10">
        <f t="shared" ca="1" si="1351"/>
        <v>26735.975553476877</v>
      </c>
      <c r="AK750" s="10">
        <f t="shared" ca="1" si="1351"/>
        <v>15509.151872822922</v>
      </c>
      <c r="AL750" s="10">
        <f t="shared" ca="1" si="1351"/>
        <v>9213.6379552025737</v>
      </c>
      <c r="AM750" s="10">
        <f t="shared" ca="1" si="1351"/>
        <v>6270.4914873238113</v>
      </c>
      <c r="AN750" s="10"/>
      <c r="AO750" s="10">
        <f ca="1">SUM(AH750:AN750)</f>
        <v>96908.856597000515</v>
      </c>
      <c r="AQ750" s="10">
        <f t="shared" ref="AQ750:AV750" ca="1" si="1352">AQ704</f>
        <v>16063.417052874969</v>
      </c>
      <c r="AR750" s="10">
        <f t="shared" ca="1" si="1352"/>
        <v>6580.3039547416147</v>
      </c>
      <c r="AS750" s="10">
        <f t="shared" ca="1" si="1352"/>
        <v>21013.495952133315</v>
      </c>
      <c r="AT750" s="10">
        <f t="shared" ca="1" si="1352"/>
        <v>13564.375536569334</v>
      </c>
      <c r="AU750" s="10">
        <f t="shared" ca="1" si="1352"/>
        <v>8063.8623615436009</v>
      </c>
      <c r="AV750" s="10">
        <f t="shared" ca="1" si="1352"/>
        <v>6227.2646854543091</v>
      </c>
      <c r="AW750" s="10"/>
      <c r="AX750" s="10">
        <f ca="1">SUM(AQ750:AW750)</f>
        <v>71512.719543317144</v>
      </c>
      <c r="AZ750" s="10">
        <f t="shared" ref="AZ750:BE750" ca="1" si="1353">AZ704</f>
        <v>2865.3634495347692</v>
      </c>
      <c r="BA750" s="10">
        <f t="shared" ca="1" si="1353"/>
        <v>1128.5069357225575</v>
      </c>
      <c r="BB750" s="10">
        <f t="shared" ca="1" si="1353"/>
        <v>3571.6618003931399</v>
      </c>
      <c r="BC750" s="10">
        <f t="shared" ca="1" si="1353"/>
        <v>2305.9921825838774</v>
      </c>
      <c r="BD750" s="10">
        <f t="shared" ca="1" si="1353"/>
        <v>1358.2946490112793</v>
      </c>
      <c r="BE750" s="10">
        <f t="shared" ca="1" si="1353"/>
        <v>1050.0575916380499</v>
      </c>
      <c r="BF750" s="10"/>
      <c r="BG750" s="10">
        <f ca="1">SUM(AZ750:BF750)</f>
        <v>12279.876608883673</v>
      </c>
      <c r="BI750" s="10">
        <f t="shared" ref="BI750:BN750" ca="1" si="1354">BI704</f>
        <v>1342.3982094530465</v>
      </c>
      <c r="BJ750" s="10">
        <f t="shared" ca="1" si="1354"/>
        <v>526.64506390160977</v>
      </c>
      <c r="BK750" s="10">
        <f t="shared" ca="1" si="1354"/>
        <v>1661.214779533497</v>
      </c>
      <c r="BL750" s="10">
        <f t="shared" ca="1" si="1354"/>
        <v>1071.2682513433701</v>
      </c>
      <c r="BM750" s="10">
        <f t="shared" ca="1" si="1354"/>
        <v>632.92608429766665</v>
      </c>
      <c r="BN750" s="10">
        <f t="shared" ca="1" si="1354"/>
        <v>490.05303559488482</v>
      </c>
      <c r="BO750" s="10"/>
      <c r="BP750" s="10">
        <f ca="1">SUM(BI750:BO750)</f>
        <v>5724.505424124075</v>
      </c>
    </row>
    <row r="751" spans="2:68" ht="13.2" customHeight="1">
      <c r="B751" s="309" t="str">
        <f>CONCATENATE("Above row repeats figures in Row ",O704,".")</f>
        <v>Above row repeats figures in Row 704.</v>
      </c>
      <c r="G751" s="1126" t="s">
        <v>1009</v>
      </c>
      <c r="H751" s="1122"/>
      <c r="I751" s="1122"/>
      <c r="J751" s="1122"/>
      <c r="K751" s="1122"/>
      <c r="L751" s="1122"/>
      <c r="O751" s="136">
        <f>ROW()</f>
        <v>751</v>
      </c>
      <c r="AQ751" s="265" t="str">
        <f>CONCATENATE("Row ",O752, " figures are set equal to ",O750, " figures, since rebound effects are presumed accounted for by taxi time-elasticity.")</f>
        <v>Row 752 figures are set equal to 750 figures, since rebound effects are presumed accounted for by taxi time-elasticity.</v>
      </c>
    </row>
    <row r="752" spans="2:68" ht="13.2" customHeight="1">
      <c r="B752" s="280" t="s">
        <v>1300</v>
      </c>
      <c r="G752" s="1122">
        <f t="shared" ref="G752:L753" ca="1" si="1355">P752+Y752+AH752+AQ752+AZ752+BI752</f>
        <v>108794.427964149</v>
      </c>
      <c r="H752" s="1122">
        <f t="shared" ca="1" si="1355"/>
        <v>46454.292809277453</v>
      </c>
      <c r="I752" s="1122">
        <f t="shared" ca="1" si="1355"/>
        <v>151087.31880597386</v>
      </c>
      <c r="J752" s="1122">
        <f t="shared" ca="1" si="1355"/>
        <v>99609.430797796624</v>
      </c>
      <c r="K752" s="1122">
        <f t="shared" ca="1" si="1355"/>
        <v>54800.058189819436</v>
      </c>
      <c r="L752" s="1122">
        <f t="shared" ca="1" si="1355"/>
        <v>36556.271452493602</v>
      </c>
      <c r="N752" s="617">
        <f ca="1">SUM(G752:M752)</f>
        <v>497301.80001951003</v>
      </c>
      <c r="O752" s="136">
        <f>ROW()</f>
        <v>752</v>
      </c>
      <c r="P752" s="10">
        <f t="shared" ref="P752:U752" ca="1" si="1356">P750*P741</f>
        <v>24179.535025158115</v>
      </c>
      <c r="Q752" s="10">
        <f t="shared" ca="1" si="1356"/>
        <v>9359.5788105981846</v>
      </c>
      <c r="R752" s="10">
        <f t="shared" ca="1" si="1356"/>
        <v>25077.806134291692</v>
      </c>
      <c r="S752" s="10">
        <f t="shared" ca="1" si="1356"/>
        <v>9861.8505593228256</v>
      </c>
      <c r="T752" s="10">
        <f t="shared" ca="1" si="1356"/>
        <v>8988.6299831439828</v>
      </c>
      <c r="U752" s="10">
        <f t="shared" ca="1" si="1356"/>
        <v>4812.0755784864905</v>
      </c>
      <c r="V752" s="10"/>
      <c r="W752" s="10">
        <f ca="1">SUM(P752:V752)</f>
        <v>82279.476091001285</v>
      </c>
      <c r="Y752" s="10">
        <f t="shared" ref="Y752:AD752" ca="1" si="1357">Y750*Y741</f>
        <v>36327.57785535889</v>
      </c>
      <c r="Z752" s="10">
        <f t="shared" ca="1" si="1357"/>
        <v>17697.235955799897</v>
      </c>
      <c r="AA752" s="10">
        <f t="shared" ca="1" si="1357"/>
        <v>73031.813227367791</v>
      </c>
      <c r="AB752" s="10">
        <f t="shared" ca="1" si="1357"/>
        <v>57298.257281354658</v>
      </c>
      <c r="AC752" s="10">
        <f t="shared" ca="1" si="1357"/>
        <v>26544.929931514227</v>
      </c>
      <c r="AD752" s="10">
        <f t="shared" ca="1" si="1357"/>
        <v>17707.755774787918</v>
      </c>
      <c r="AE752" s="10"/>
      <c r="AF752" s="10">
        <f ca="1">SUM(Y752:AE752)</f>
        <v>228607.57002618338</v>
      </c>
      <c r="AH752" s="10">
        <f t="shared" ref="AH752:AM752" ca="1" si="1358">AH750*AH741</f>
        <v>28016.156196186374</v>
      </c>
      <c r="AI752" s="10">
        <f t="shared" ca="1" si="1358"/>
        <v>11162.068277955954</v>
      </c>
      <c r="AJ752" s="10">
        <f t="shared" ca="1" si="1358"/>
        <v>26731.42336097869</v>
      </c>
      <c r="AK752" s="10">
        <f t="shared" ca="1" si="1358"/>
        <v>15507.694643804865</v>
      </c>
      <c r="AL752" s="10">
        <f t="shared" ca="1" si="1358"/>
        <v>9211.4727944312563</v>
      </c>
      <c r="AM752" s="10">
        <f t="shared" ca="1" si="1358"/>
        <v>6269.1136757106324</v>
      </c>
      <c r="AN752" s="10"/>
      <c r="AO752" s="10">
        <f ca="1">SUM(AH752:AN752)</f>
        <v>96897.928949067777</v>
      </c>
      <c r="AQ752" s="10">
        <f ca="1">AQ750</f>
        <v>16063.417052874969</v>
      </c>
      <c r="AR752" s="10">
        <f t="shared" ref="AR752:AV752" ca="1" si="1359">AR750</f>
        <v>6580.3039547416147</v>
      </c>
      <c r="AS752" s="10">
        <f t="shared" ca="1" si="1359"/>
        <v>21013.495952133315</v>
      </c>
      <c r="AT752" s="10">
        <f t="shared" ca="1" si="1359"/>
        <v>13564.375536569334</v>
      </c>
      <c r="AU752" s="10">
        <f t="shared" ca="1" si="1359"/>
        <v>8063.8623615436009</v>
      </c>
      <c r="AV752" s="10">
        <f t="shared" ca="1" si="1359"/>
        <v>6227.2646854543091</v>
      </c>
      <c r="AW752" s="10"/>
      <c r="AX752" s="10">
        <f ca="1">SUM(AQ752:AW752)</f>
        <v>71512.719543317144</v>
      </c>
      <c r="AZ752" s="10">
        <f t="shared" ref="AZ752:BE752" ca="1" si="1360">AZ750*AZ741</f>
        <v>2865.3710071351124</v>
      </c>
      <c r="BA752" s="10">
        <f t="shared" ca="1" si="1360"/>
        <v>1128.4909656461173</v>
      </c>
      <c r="BB752" s="10">
        <f t="shared" ca="1" si="1360"/>
        <v>3571.6465971076777</v>
      </c>
      <c r="BC752" s="10">
        <f t="shared" ca="1" si="1360"/>
        <v>2306.0140307183838</v>
      </c>
      <c r="BD752" s="10">
        <f t="shared" ca="1" si="1360"/>
        <v>1358.2773441595311</v>
      </c>
      <c r="BE752" s="10">
        <f t="shared" ca="1" si="1360"/>
        <v>1050.0393816334013</v>
      </c>
      <c r="BF752" s="10"/>
      <c r="BG752" s="10">
        <f ca="1">SUM(AZ752:BF752)</f>
        <v>12279.839326400224</v>
      </c>
      <c r="BI752" s="10">
        <f t="shared" ref="BI752:BN752" ca="1" si="1361">BI750*BI741</f>
        <v>1342.3708274355429</v>
      </c>
      <c r="BJ752" s="10">
        <f t="shared" ca="1" si="1361"/>
        <v>526.61484453568562</v>
      </c>
      <c r="BK752" s="10">
        <f t="shared" ca="1" si="1361"/>
        <v>1661.1335340946939</v>
      </c>
      <c r="BL752" s="10">
        <f t="shared" ca="1" si="1361"/>
        <v>1071.2387460265477</v>
      </c>
      <c r="BM752" s="10">
        <f t="shared" ca="1" si="1361"/>
        <v>632.88577502683779</v>
      </c>
      <c r="BN752" s="10">
        <f t="shared" ca="1" si="1361"/>
        <v>490.02235642085037</v>
      </c>
      <c r="BO752" s="10"/>
      <c r="BP752" s="10">
        <f ca="1">SUM(BI752:BO752)</f>
        <v>5724.2660835401584</v>
      </c>
    </row>
    <row r="753" spans="2:68" ht="13.2" customHeight="1">
      <c r="B753" s="280" t="s">
        <v>112</v>
      </c>
      <c r="G753" s="1122">
        <f t="shared" ca="1" si="1355"/>
        <v>173390.97677746278</v>
      </c>
      <c r="H753" s="1122">
        <f t="shared" ca="1" si="1355"/>
        <v>73811.428234228413</v>
      </c>
      <c r="I753" s="1122">
        <f t="shared" ca="1" si="1355"/>
        <v>240652.62051163847</v>
      </c>
      <c r="J753" s="1122">
        <f t="shared" ca="1" si="1355"/>
        <v>158640.20491968995</v>
      </c>
      <c r="K753" s="1122">
        <f t="shared" ca="1" si="1355"/>
        <v>87664.730089810546</v>
      </c>
      <c r="L753" s="1122">
        <f t="shared" ca="1" si="1355"/>
        <v>59141.198404557021</v>
      </c>
      <c r="N753" s="186">
        <f ca="1">SUM(G753:M753)</f>
        <v>793301.15893738728</v>
      </c>
      <c r="O753" s="136">
        <f>ROW()</f>
        <v>753</v>
      </c>
      <c r="P753" s="10">
        <f t="shared" ref="P753:U753" ca="1" si="1362">P752*$I$85</f>
        <v>36269.302537737174</v>
      </c>
      <c r="Q753" s="10">
        <f t="shared" ca="1" si="1362"/>
        <v>14039.368215897277</v>
      </c>
      <c r="R753" s="10">
        <f t="shared" ca="1" si="1362"/>
        <v>37616.709201437538</v>
      </c>
      <c r="S753" s="10">
        <f t="shared" ca="1" si="1362"/>
        <v>14792.775838984238</v>
      </c>
      <c r="T753" s="10">
        <f t="shared" ca="1" si="1362"/>
        <v>13482.944974715974</v>
      </c>
      <c r="U753" s="10">
        <f t="shared" ca="1" si="1362"/>
        <v>7218.1133677297357</v>
      </c>
      <c r="V753" s="10"/>
      <c r="W753" s="10">
        <f ca="1">SUM(P753:V753)</f>
        <v>123419.21413650192</v>
      </c>
      <c r="Y753" s="10">
        <f t="shared" ref="Y753:AD753" ca="1" si="1363">Y752*$J$85</f>
        <v>54491.366783038335</v>
      </c>
      <c r="Z753" s="10">
        <f t="shared" ca="1" si="1363"/>
        <v>26545.853933699844</v>
      </c>
      <c r="AA753" s="10">
        <f t="shared" ca="1" si="1363"/>
        <v>109547.71984105169</v>
      </c>
      <c r="AB753" s="10">
        <f t="shared" ca="1" si="1363"/>
        <v>85947.385922031986</v>
      </c>
      <c r="AC753" s="10">
        <f t="shared" ca="1" si="1363"/>
        <v>39817.394897271341</v>
      </c>
      <c r="AD753" s="10">
        <f t="shared" ca="1" si="1363"/>
        <v>26561.633662181877</v>
      </c>
      <c r="AE753" s="10"/>
      <c r="AF753" s="10">
        <f ca="1">SUM(Y753:AE753)</f>
        <v>342911.35503927513</v>
      </c>
      <c r="AH753" s="10">
        <f t="shared" ref="AH753:AM753" ca="1" si="1364">AH752*$K$85</f>
        <v>39222.618674660924</v>
      </c>
      <c r="AI753" s="10">
        <f t="shared" ca="1" si="1364"/>
        <v>15626.895589138338</v>
      </c>
      <c r="AJ753" s="10">
        <f t="shared" ca="1" si="1364"/>
        <v>37423.992705370169</v>
      </c>
      <c r="AK753" s="10">
        <f t="shared" ca="1" si="1364"/>
        <v>21710.772501326814</v>
      </c>
      <c r="AL753" s="10">
        <f t="shared" ca="1" si="1364"/>
        <v>12896.061912203761</v>
      </c>
      <c r="AM753" s="10">
        <f t="shared" ca="1" si="1364"/>
        <v>8776.7591459948853</v>
      </c>
      <c r="AN753" s="10"/>
      <c r="AO753" s="10">
        <f ca="1">SUM(AH753:AN753)</f>
        <v>135657.10052869486</v>
      </c>
      <c r="AQ753" s="10">
        <f ca="1">AQ752*$L$85</f>
        <v>32126.834105749938</v>
      </c>
      <c r="AR753" s="10">
        <f t="shared" ref="AR753" ca="1" si="1365">AR752*$L$85</f>
        <v>13160.607909483229</v>
      </c>
      <c r="AS753" s="10">
        <f t="shared" ref="AS753" ca="1" si="1366">AS752*$L$85</f>
        <v>42026.99190426663</v>
      </c>
      <c r="AT753" s="10">
        <f t="shared" ref="AT753" ca="1" si="1367">AT752*$L$85</f>
        <v>27128.751073138668</v>
      </c>
      <c r="AU753" s="10">
        <f t="shared" ref="AU753" ca="1" si="1368">AU752*$L$85</f>
        <v>16127.724723087202</v>
      </c>
      <c r="AV753" s="10">
        <f t="shared" ref="AV753" ca="1" si="1369">AV752*$L$85</f>
        <v>12454.529370908618</v>
      </c>
      <c r="AW753" s="10"/>
      <c r="AX753" s="10">
        <f ca="1">SUM(AQ753:AW753)</f>
        <v>143025.43908663429</v>
      </c>
      <c r="AZ753" s="10">
        <f t="shared" ref="AZ753:BE753" ca="1" si="1370">AZ752*$M$85</f>
        <v>8596.1130214053373</v>
      </c>
      <c r="BA753" s="10">
        <f t="shared" ca="1" si="1370"/>
        <v>3385.4728969383518</v>
      </c>
      <c r="BB753" s="10">
        <f t="shared" ca="1" si="1370"/>
        <v>10714.939791323033</v>
      </c>
      <c r="BC753" s="10">
        <f t="shared" ca="1" si="1370"/>
        <v>6918.0420921551513</v>
      </c>
      <c r="BD753" s="10">
        <f t="shared" ca="1" si="1370"/>
        <v>4074.8320324785936</v>
      </c>
      <c r="BE753" s="10">
        <f t="shared" ca="1" si="1370"/>
        <v>3150.1181449002038</v>
      </c>
      <c r="BF753" s="10"/>
      <c r="BG753" s="10">
        <f ca="1">SUM(AZ753:BF753)</f>
        <v>36839.517979200675</v>
      </c>
      <c r="BI753" s="10">
        <f t="shared" ref="BI753:BN753" ca="1" si="1371">BI752*$N$85</f>
        <v>2684.7416548710858</v>
      </c>
      <c r="BJ753" s="10">
        <f t="shared" ca="1" si="1371"/>
        <v>1053.2296890713712</v>
      </c>
      <c r="BK753" s="10">
        <f t="shared" ca="1" si="1371"/>
        <v>3322.2670681893878</v>
      </c>
      <c r="BL753" s="10">
        <f t="shared" ca="1" si="1371"/>
        <v>2142.4774920530954</v>
      </c>
      <c r="BM753" s="10">
        <f t="shared" ca="1" si="1371"/>
        <v>1265.7715500536756</v>
      </c>
      <c r="BN753" s="10">
        <f t="shared" ca="1" si="1371"/>
        <v>980.04471284170074</v>
      </c>
      <c r="BO753" s="10"/>
      <c r="BP753" s="10">
        <f ca="1">SUM(BI753:BO753)</f>
        <v>11448.532167080317</v>
      </c>
    </row>
    <row r="754" spans="2:68" ht="13.2" customHeight="1">
      <c r="G754" s="1122"/>
      <c r="H754" s="1122"/>
      <c r="I754" s="1128"/>
      <c r="J754" s="3454"/>
      <c r="K754" s="3454"/>
      <c r="L754" s="3454"/>
      <c r="M754" s="3455" t="s">
        <v>6039</v>
      </c>
      <c r="N754" s="756">
        <f ca="1">(W754*W752+AF754*AF752+AO754*AO752+BG754*BG752+BP754*BP752)/(W752+AF752+AO752+BG752+BP752)</f>
        <v>5.1600490294118737</v>
      </c>
      <c r="O754" s="136">
        <f>ROW()</f>
        <v>754</v>
      </c>
      <c r="V754" s="1816" t="s">
        <v>6039</v>
      </c>
      <c r="W754" s="591">
        <f ca="1">SUMPRODUCT(P752:V752,P$291:V$291)/W752</f>
        <v>4.3014541081995477</v>
      </c>
      <c r="AE754" s="1816" t="s">
        <v>6039</v>
      </c>
      <c r="AF754" s="591">
        <f ca="1">SUMPRODUCT(Y752:AE752,Y$291:AE$291)/AF752</f>
        <v>4.3014541081995468</v>
      </c>
      <c r="AN754" s="1816" t="s">
        <v>6039</v>
      </c>
      <c r="AO754" s="591">
        <f ca="1">SUMPRODUCT(AH752:AN752,AH$291:AN$291)/AO752</f>
        <v>7.3124719839392309</v>
      </c>
      <c r="BF754" s="1816" t="s">
        <v>6039</v>
      </c>
      <c r="BG754" s="591">
        <f ca="1">SUMPRODUCT(AZ752:BF752,AZ$291:BF$291)/BG752</f>
        <v>8.7086713781619078</v>
      </c>
      <c r="BO754" s="1816" t="s">
        <v>6039</v>
      </c>
      <c r="BP754" s="591">
        <f ca="1">SUMPRODUCT(BI752:BO752,BI$291:BO$291)/BP752</f>
        <v>7.7427731485038827</v>
      </c>
    </row>
    <row r="755" spans="2:68" ht="13.2" customHeight="1">
      <c r="B755" s="308" t="s">
        <v>1010</v>
      </c>
      <c r="G755" s="1122"/>
      <c r="H755" s="1122"/>
      <c r="I755" s="1129"/>
      <c r="J755" s="1130"/>
      <c r="K755" s="1130"/>
      <c r="L755" s="1130"/>
      <c r="M755" s="1130"/>
      <c r="N755" s="3456" t="s">
        <v>6040</v>
      </c>
      <c r="O755" s="136">
        <f>ROW()</f>
        <v>755</v>
      </c>
      <c r="P755" s="10"/>
      <c r="Q755" s="10"/>
      <c r="R755" s="10"/>
      <c r="S755" s="10"/>
      <c r="T755" s="10"/>
      <c r="U755" s="10"/>
      <c r="V755" s="10"/>
      <c r="W755" s="10"/>
      <c r="Y755" s="10"/>
      <c r="Z755" s="10"/>
      <c r="AA755" s="10"/>
      <c r="AB755" s="10"/>
      <c r="AC755" s="10"/>
      <c r="AD755" s="10"/>
      <c r="AE755" s="10"/>
      <c r="AF755" s="10"/>
      <c r="AH755" s="10"/>
      <c r="AI755" s="10"/>
      <c r="AJ755" s="10"/>
      <c r="AK755" s="10"/>
      <c r="AL755" s="10"/>
      <c r="AM755" s="10"/>
      <c r="AN755" s="10"/>
      <c r="AO755" s="10"/>
      <c r="AQ755" s="10"/>
      <c r="AR755" s="10"/>
      <c r="AS755" s="10"/>
      <c r="AT755" s="10"/>
      <c r="AU755" s="10"/>
      <c r="AV755" s="10"/>
      <c r="AW755" s="10"/>
      <c r="AX755" s="10"/>
      <c r="AZ755" s="10"/>
      <c r="BA755" s="10"/>
      <c r="BB755" s="10"/>
      <c r="BC755" s="10"/>
      <c r="BD755" s="10"/>
      <c r="BE755" s="10"/>
      <c r="BF755" s="10"/>
      <c r="BG755" s="10"/>
      <c r="BI755" s="10"/>
      <c r="BJ755" s="10"/>
      <c r="BK755" s="10"/>
      <c r="BL755" s="10"/>
      <c r="BM755" s="10"/>
      <c r="BN755" s="10"/>
      <c r="BO755" s="10"/>
      <c r="BP755" s="10"/>
    </row>
    <row r="756" spans="2:68" ht="13.2" customHeight="1">
      <c r="B756" s="280" t="s">
        <v>1301</v>
      </c>
      <c r="G756" s="1122">
        <f t="shared" ref="G756:L756" ca="1" si="1372">P756+Y756+AH756+AQ756+AZ756+BI756</f>
        <v>145409.4567110528</v>
      </c>
      <c r="H756" s="1122">
        <f t="shared" ca="1" si="1372"/>
        <v>43973.633710902519</v>
      </c>
      <c r="I756" s="1122">
        <f t="shared" ca="1" si="1372"/>
        <v>131153.88142473731</v>
      </c>
      <c r="J756" s="1122">
        <f t="shared" ca="1" si="1372"/>
        <v>83444.273103231506</v>
      </c>
      <c r="K756" s="1122">
        <f t="shared" ca="1" si="1372"/>
        <v>47433.362585176474</v>
      </c>
      <c r="L756" s="1122">
        <f t="shared" ca="1" si="1372"/>
        <v>45930.968122234081</v>
      </c>
      <c r="N756" s="186">
        <f ca="1">SUM(G756:M756)</f>
        <v>497345.5756573347</v>
      </c>
      <c r="O756" s="136">
        <f>ROW()</f>
        <v>756</v>
      </c>
      <c r="P756" s="10">
        <f t="shared" ref="P756:W756" ca="1" si="1373">P$135*$W750</f>
        <v>24994.811583430259</v>
      </c>
      <c r="Q756" s="10">
        <f t="shared" ca="1" si="1373"/>
        <v>7225.8820927357747</v>
      </c>
      <c r="R756" s="10">
        <f t="shared" ca="1" si="1373"/>
        <v>21283.513510651686</v>
      </c>
      <c r="S756" s="10">
        <f t="shared" ca="1" si="1373"/>
        <v>13503.582156546518</v>
      </c>
      <c r="T756" s="10">
        <f t="shared" ca="1" si="1373"/>
        <v>7607.757012306055</v>
      </c>
      <c r="U756" s="10">
        <f t="shared" ca="1" si="1373"/>
        <v>7672.3383969797496</v>
      </c>
      <c r="V756" s="10"/>
      <c r="W756" s="10">
        <f t="shared" ca="1" si="1373"/>
        <v>82287.884752650032</v>
      </c>
      <c r="Y756" s="10">
        <f t="shared" ref="Y756:AD756" ca="1" si="1374">Y$135*$AF750</f>
        <v>69446.518145302936</v>
      </c>
      <c r="Z756" s="10">
        <f t="shared" ca="1" si="1374"/>
        <v>20076.660717925137</v>
      </c>
      <c r="AA756" s="10">
        <f t="shared" ca="1" si="1374"/>
        <v>59134.908950188787</v>
      </c>
      <c r="AB756" s="10">
        <f t="shared" ca="1" si="1374"/>
        <v>37518.857068835612</v>
      </c>
      <c r="AC756" s="10">
        <f t="shared" ca="1" si="1374"/>
        <v>21137.6762587966</v>
      </c>
      <c r="AD756" s="10">
        <f t="shared" ca="1" si="1374"/>
        <v>21317.111590310109</v>
      </c>
      <c r="AE756" s="10"/>
      <c r="AF756" s="10">
        <f ca="1">SUM(Y756:AE756)</f>
        <v>228631.73273135917</v>
      </c>
      <c r="AH756" s="10">
        <f t="shared" ref="AH756:AM756" ca="1" si="1375">AH$135*$AO750</f>
        <v>29435.908076731601</v>
      </c>
      <c r="AI756" s="10">
        <f t="shared" ca="1" si="1375"/>
        <v>8509.7821339880047</v>
      </c>
      <c r="AJ756" s="10">
        <f t="shared" ca="1" si="1375"/>
        <v>25065.183834581963</v>
      </c>
      <c r="AK756" s="10">
        <f t="shared" ca="1" si="1375"/>
        <v>15902.908559238889</v>
      </c>
      <c r="AL756" s="10">
        <f t="shared" ca="1" si="1375"/>
        <v>8959.5088699451535</v>
      </c>
      <c r="AM756" s="10">
        <f t="shared" ca="1" si="1375"/>
        <v>9035.5651225149122</v>
      </c>
      <c r="AN756" s="10"/>
      <c r="AO756" s="10">
        <f ca="1">SUM(AH756:AN756)</f>
        <v>96908.856597000529</v>
      </c>
      <c r="AQ756" s="10">
        <f t="shared" ref="AQ756:AV756" ca="1" si="1376">AQ750</f>
        <v>16063.417052874969</v>
      </c>
      <c r="AR756" s="10">
        <f t="shared" ca="1" si="1376"/>
        <v>6580.3039547416147</v>
      </c>
      <c r="AS756" s="10">
        <f t="shared" ca="1" si="1376"/>
        <v>21013.495952133315</v>
      </c>
      <c r="AT756" s="10">
        <f t="shared" ca="1" si="1376"/>
        <v>13564.375536569334</v>
      </c>
      <c r="AU756" s="10">
        <f t="shared" ca="1" si="1376"/>
        <v>8063.8623615436009</v>
      </c>
      <c r="AV756" s="10">
        <f t="shared" ca="1" si="1376"/>
        <v>6227.2646854543091</v>
      </c>
      <c r="AW756" s="10"/>
      <c r="AX756" s="10">
        <f ca="1">SUM(AQ756:AW756)</f>
        <v>71512.719543317144</v>
      </c>
      <c r="AZ756" s="10">
        <f t="shared" ref="AZ756:BE756" ca="1" si="1377">AZ$135*$BG750</f>
        <v>3729.9926110560918</v>
      </c>
      <c r="BA756" s="10">
        <f t="shared" ca="1" si="1377"/>
        <v>1078.3232641823356</v>
      </c>
      <c r="BB756" s="10">
        <f t="shared" ca="1" si="1377"/>
        <v>3176.1530934952643</v>
      </c>
      <c r="BC756" s="10">
        <f t="shared" ca="1" si="1377"/>
        <v>2015.1486839011777</v>
      </c>
      <c r="BD756" s="10">
        <f t="shared" ca="1" si="1377"/>
        <v>1135.3107163017607</v>
      </c>
      <c r="BE756" s="10">
        <f t="shared" ca="1" si="1377"/>
        <v>1144.9482399470417</v>
      </c>
      <c r="BF756" s="10"/>
      <c r="BG756" s="10">
        <f ca="1">SUM(AZ756:BF756)</f>
        <v>12279.876608883673</v>
      </c>
      <c r="BI756" s="10">
        <f t="shared" ref="BI756:BN756" ca="1" si="1378">BI$135*$BP750</f>
        <v>1738.8092416568995</v>
      </c>
      <c r="BJ756" s="10">
        <f t="shared" ca="1" si="1378"/>
        <v>502.68154732966127</v>
      </c>
      <c r="BK756" s="10">
        <f t="shared" ca="1" si="1378"/>
        <v>1480.6260836862732</v>
      </c>
      <c r="BL756" s="10">
        <f t="shared" ca="1" si="1378"/>
        <v>939.4010981399806</v>
      </c>
      <c r="BM756" s="10">
        <f t="shared" ca="1" si="1378"/>
        <v>529.24736628330277</v>
      </c>
      <c r="BN756" s="10">
        <f t="shared" ca="1" si="1378"/>
        <v>533.74008702795754</v>
      </c>
      <c r="BO756" s="10"/>
      <c r="BP756" s="10">
        <f ca="1">SUM(BI756:BO756)</f>
        <v>5724.5054241240741</v>
      </c>
    </row>
    <row r="757" spans="2:68" ht="13.2" customHeight="1">
      <c r="B757" s="309"/>
      <c r="G757" s="1122"/>
      <c r="H757" s="1122"/>
      <c r="I757" s="1122"/>
      <c r="J757" s="1122"/>
      <c r="K757" s="1122"/>
      <c r="L757" s="1122"/>
      <c r="O757" s="136">
        <f>ROW()</f>
        <v>757</v>
      </c>
    </row>
    <row r="758" spans="2:68" ht="13.2" customHeight="1">
      <c r="B758" s="280" t="s">
        <v>1047</v>
      </c>
      <c r="G758" s="1122"/>
      <c r="H758" s="1122"/>
      <c r="I758" s="1122"/>
      <c r="J758" s="1122"/>
      <c r="K758" s="1122"/>
      <c r="L758" s="1122"/>
      <c r="M758" s="10"/>
      <c r="N758" s="186"/>
      <c r="O758" s="136">
        <f>ROW()</f>
        <v>758</v>
      </c>
      <c r="P758" s="10">
        <f t="shared" ref="P758:U758" ca="1" si="1379">P756*$W752/$W750</f>
        <v>24992.257466087092</v>
      </c>
      <c r="Q758" s="10">
        <f t="shared" ca="1" si="1379"/>
        <v>7225.1437094632656</v>
      </c>
      <c r="R758" s="10">
        <f t="shared" ca="1" si="1379"/>
        <v>21281.338635646141</v>
      </c>
      <c r="S758" s="10">
        <f t="shared" ca="1" si="1379"/>
        <v>13502.202280836482</v>
      </c>
      <c r="T758" s="10">
        <f t="shared" ca="1" si="1379"/>
        <v>7606.9796068008009</v>
      </c>
      <c r="U758" s="10">
        <f t="shared" ca="1" si="1379"/>
        <v>7671.5543921675126</v>
      </c>
      <c r="V758" s="10"/>
      <c r="W758" s="10">
        <f ca="1">SUM(P758:V758)</f>
        <v>82279.476091001299</v>
      </c>
      <c r="Y758" s="10">
        <f t="shared" ref="Y758:AD758" ca="1" si="1380">Y756*$AF752/$AF750</f>
        <v>69439.178762779848</v>
      </c>
      <c r="Z758" s="10">
        <f t="shared" ca="1" si="1380"/>
        <v>20074.53893706801</v>
      </c>
      <c r="AA758" s="10">
        <f t="shared" ca="1" si="1380"/>
        <v>59128.659339281796</v>
      </c>
      <c r="AB758" s="10">
        <f t="shared" ca="1" si="1380"/>
        <v>37514.891927728306</v>
      </c>
      <c r="AC758" s="10">
        <f t="shared" ca="1" si="1380"/>
        <v>21135.442345623476</v>
      </c>
      <c r="AD758" s="10">
        <f t="shared" ca="1" si="1380"/>
        <v>21314.858713701939</v>
      </c>
      <c r="AE758" s="10"/>
      <c r="AF758" s="10">
        <f ca="1">SUM(Y758:AE758)</f>
        <v>228607.57002618338</v>
      </c>
      <c r="AH758" s="10">
        <f t="shared" ref="AH758:AM758" ca="1" si="1381">AH756*$AO752/$AO750</f>
        <v>29432.58882138861</v>
      </c>
      <c r="AI758" s="10">
        <f t="shared" ca="1" si="1381"/>
        <v>8508.8225529299889</v>
      </c>
      <c r="AJ758" s="10">
        <f t="shared" ca="1" si="1381"/>
        <v>25062.357431362158</v>
      </c>
      <c r="AK758" s="10">
        <f t="shared" ca="1" si="1381"/>
        <v>15901.115313585764</v>
      </c>
      <c r="AL758" s="10">
        <f t="shared" ca="1" si="1381"/>
        <v>8958.4985767478229</v>
      </c>
      <c r="AM758" s="10">
        <f t="shared" ca="1" si="1381"/>
        <v>9034.5462530534478</v>
      </c>
      <c r="AN758" s="10"/>
      <c r="AO758" s="10">
        <f ca="1">SUM(AH758:AN758)</f>
        <v>96897.928949067791</v>
      </c>
      <c r="AQ758" s="10">
        <f t="shared" ref="AQ758:AV758" ca="1" si="1382">AQ756*$AX752/$AX750</f>
        <v>16063.417052874971</v>
      </c>
      <c r="AR758" s="10">
        <f t="shared" ca="1" si="1382"/>
        <v>6580.3039547416147</v>
      </c>
      <c r="AS758" s="10">
        <f t="shared" ca="1" si="1382"/>
        <v>21013.495952133315</v>
      </c>
      <c r="AT758" s="10">
        <f t="shared" ca="1" si="1382"/>
        <v>13564.375536569334</v>
      </c>
      <c r="AU758" s="10">
        <f t="shared" ca="1" si="1382"/>
        <v>8063.8623615436018</v>
      </c>
      <c r="AV758" s="10">
        <f t="shared" ca="1" si="1382"/>
        <v>6227.2646854543091</v>
      </c>
      <c r="AW758" s="10"/>
      <c r="AX758" s="10">
        <f ca="1">SUM(AQ758:AW758)</f>
        <v>71512.719543317144</v>
      </c>
      <c r="AZ758" s="10">
        <f t="shared" ref="AZ758:BE758" ca="1" si="1383">AZ756*$BG752/$BG750</f>
        <v>3729.9812865621893</v>
      </c>
      <c r="BA758" s="10">
        <f t="shared" ca="1" si="1383"/>
        <v>1078.319990324582</v>
      </c>
      <c r="BB758" s="10">
        <f t="shared" ca="1" si="1383"/>
        <v>3176.1434504932286</v>
      </c>
      <c r="BC758" s="10">
        <f t="shared" ca="1" si="1383"/>
        <v>2015.1425657820919</v>
      </c>
      <c r="BD758" s="10">
        <f t="shared" ca="1" si="1383"/>
        <v>1135.3072694264918</v>
      </c>
      <c r="BE758" s="10">
        <f t="shared" ca="1" si="1383"/>
        <v>1144.9447638116403</v>
      </c>
      <c r="BF758" s="10"/>
      <c r="BG758" s="10">
        <f ca="1">SUM(AZ758:BF758)</f>
        <v>12279.839326400222</v>
      </c>
      <c r="BI758" s="10">
        <f t="shared" ref="BI758:BN758" ca="1" si="1384">BI756*$BP752/$BP750</f>
        <v>1738.7365423425686</v>
      </c>
      <c r="BJ758" s="10">
        <f t="shared" ca="1" si="1384"/>
        <v>502.66053030091416</v>
      </c>
      <c r="BK758" s="10">
        <f t="shared" ca="1" si="1384"/>
        <v>1480.5641789652229</v>
      </c>
      <c r="BL758" s="10">
        <f t="shared" ca="1" si="1384"/>
        <v>939.36182194217781</v>
      </c>
      <c r="BM758" s="10">
        <f t="shared" ca="1" si="1384"/>
        <v>529.2252385422496</v>
      </c>
      <c r="BN758" s="10">
        <f t="shared" ca="1" si="1384"/>
        <v>533.71777144702537</v>
      </c>
      <c r="BO758" s="10"/>
      <c r="BP758" s="10">
        <f ca="1">SUM(BI758:BO758)</f>
        <v>5724.2660835401584</v>
      </c>
    </row>
    <row r="759" spans="2:68" ht="13.2" customHeight="1">
      <c r="B759" s="309"/>
      <c r="C759" s="309"/>
      <c r="D759" s="309"/>
      <c r="E759" s="309"/>
      <c r="F759" s="309"/>
      <c r="G759" s="1122"/>
      <c r="H759" s="1122"/>
      <c r="I759" s="1122"/>
      <c r="J759" s="1122"/>
      <c r="K759" s="1122"/>
      <c r="L759" s="1122"/>
      <c r="M759" s="10"/>
      <c r="N759" s="186"/>
      <c r="O759" s="136">
        <f>ROW()</f>
        <v>759</v>
      </c>
      <c r="AQ759" s="10"/>
      <c r="AR759" s="10"/>
      <c r="AS759" s="10"/>
      <c r="AT759" s="10"/>
      <c r="AU759" s="10"/>
      <c r="AV759" s="10"/>
    </row>
    <row r="760" spans="2:68" ht="13.2" customHeight="1">
      <c r="B760" s="280" t="s">
        <v>1010</v>
      </c>
      <c r="G760" s="1122">
        <f t="shared" ref="G760:L760" ca="1" si="1385">P760+Y760+AH760+AQ760+AZ760+BI760</f>
        <v>221615.32121692866</v>
      </c>
      <c r="H760" s="1122">
        <f t="shared" ca="1" si="1385"/>
        <v>66972.612507586906</v>
      </c>
      <c r="I760" s="1122">
        <f t="shared" ca="1" si="1385"/>
        <v>199712.10000390906</v>
      </c>
      <c r="J760" s="1122">
        <f t="shared" ca="1" si="1385"/>
        <v>127057.91739795187</v>
      </c>
      <c r="K760" s="1122">
        <f t="shared" ca="1" si="1385"/>
        <v>72215.696763762724</v>
      </c>
      <c r="L760" s="1122">
        <f t="shared" ca="1" si="1385"/>
        <v>69971.151275589436</v>
      </c>
      <c r="N760" s="186">
        <f ca="1">SUM(G760:M760)</f>
        <v>757544.79916572862</v>
      </c>
      <c r="O760" s="136">
        <f>ROW()</f>
        <v>760</v>
      </c>
      <c r="P760" s="10">
        <f t="shared" ref="P760:U760" ca="1" si="1386">P758*$I$85</f>
        <v>37488.38619913064</v>
      </c>
      <c r="Q760" s="10">
        <f t="shared" ca="1" si="1386"/>
        <v>10837.715564194899</v>
      </c>
      <c r="R760" s="10">
        <f t="shared" ca="1" si="1386"/>
        <v>31922.007953469212</v>
      </c>
      <c r="S760" s="10">
        <f t="shared" ca="1" si="1386"/>
        <v>20253.303421254721</v>
      </c>
      <c r="T760" s="10">
        <f t="shared" ca="1" si="1386"/>
        <v>11410.469410201202</v>
      </c>
      <c r="U760" s="10">
        <f t="shared" ca="1" si="1386"/>
        <v>11507.331588251269</v>
      </c>
      <c r="V760" s="10"/>
      <c r="W760" s="10">
        <f ca="1">SUM(P760:V760)</f>
        <v>123419.21413650193</v>
      </c>
      <c r="Y760" s="10">
        <f t="shared" ref="Y760:AD760" ca="1" si="1387">Y758*$J$85</f>
        <v>104158.76814416976</v>
      </c>
      <c r="Z760" s="10">
        <f t="shared" ca="1" si="1387"/>
        <v>30111.808405602016</v>
      </c>
      <c r="AA760" s="10">
        <f t="shared" ca="1" si="1387"/>
        <v>88692.989008922697</v>
      </c>
      <c r="AB760" s="10">
        <f t="shared" ca="1" si="1387"/>
        <v>56272.337891592455</v>
      </c>
      <c r="AC760" s="10">
        <f t="shared" ca="1" si="1387"/>
        <v>31703.163518435213</v>
      </c>
      <c r="AD760" s="10">
        <f t="shared" ca="1" si="1387"/>
        <v>31972.28807055291</v>
      </c>
      <c r="AE760" s="10"/>
      <c r="AF760" s="10">
        <f ca="1">SUM(Y760:AE760)</f>
        <v>342911.35503927508</v>
      </c>
      <c r="AH760" s="10">
        <f t="shared" ref="AH760:AM760" ca="1" si="1388">AH758*$K$85</f>
        <v>41205.624349944061</v>
      </c>
      <c r="AI760" s="10">
        <f t="shared" ca="1" si="1388"/>
        <v>11912.351574101986</v>
      </c>
      <c r="AJ760" s="10">
        <f t="shared" ca="1" si="1388"/>
        <v>35087.300403907022</v>
      </c>
      <c r="AK760" s="10">
        <f t="shared" ca="1" si="1388"/>
        <v>22261.561439020072</v>
      </c>
      <c r="AL760" s="10">
        <f t="shared" ca="1" si="1388"/>
        <v>12541.898007446953</v>
      </c>
      <c r="AM760" s="10">
        <f t="shared" ca="1" si="1388"/>
        <v>12648.364754274828</v>
      </c>
      <c r="AN760" s="10"/>
      <c r="AO760" s="10">
        <f ca="1">SUM(AH760:AN760)</f>
        <v>135657.10052869492</v>
      </c>
      <c r="AQ760" s="10">
        <f ca="1">AQ758*$L$85*Taxis!$L$130</f>
        <v>24095.125579312458</v>
      </c>
      <c r="AR760" s="10">
        <f ca="1">AR758*$L$85*Taxis!$L$130</f>
        <v>9870.4559321124216</v>
      </c>
      <c r="AS760" s="10">
        <f ca="1">AS758*$L$85*Taxis!$L$130</f>
        <v>31520.243928199972</v>
      </c>
      <c r="AT760" s="10">
        <f ca="1">AT758*$L$85*Taxis!$L$130</f>
        <v>20346.563304854</v>
      </c>
      <c r="AU760" s="10">
        <f ca="1">AU758*$L$85*Taxis!$L$130</f>
        <v>12095.793542315403</v>
      </c>
      <c r="AV760" s="10">
        <f ca="1">AV758*$L$85*Taxis!$L$130</f>
        <v>9340.8970281814636</v>
      </c>
      <c r="AW760" s="10"/>
      <c r="AX760" s="10">
        <f ca="1">SUM(AQ760:AW760)</f>
        <v>107269.07931497572</v>
      </c>
      <c r="AZ760" s="10">
        <f t="shared" ref="AZ760:BE760" ca="1" si="1389">AZ758*$M$85</f>
        <v>11189.943859686568</v>
      </c>
      <c r="BA760" s="10">
        <f t="shared" ca="1" si="1389"/>
        <v>3234.9599709737458</v>
      </c>
      <c r="BB760" s="10">
        <f t="shared" ca="1" si="1389"/>
        <v>9528.4303514796848</v>
      </c>
      <c r="BC760" s="10">
        <f t="shared" ca="1" si="1389"/>
        <v>6045.4276973462756</v>
      </c>
      <c r="BD760" s="10">
        <f t="shared" ca="1" si="1389"/>
        <v>3405.921808279475</v>
      </c>
      <c r="BE760" s="10">
        <f t="shared" ca="1" si="1389"/>
        <v>3434.8342914349209</v>
      </c>
      <c r="BF760" s="10"/>
      <c r="BG760" s="10">
        <f ca="1">SUM(AZ760:BF760)</f>
        <v>36839.517979200667</v>
      </c>
      <c r="BI760" s="10">
        <f t="shared" ref="BI760:BN760" ca="1" si="1390">BI758*$N$85</f>
        <v>3477.4730846851371</v>
      </c>
      <c r="BJ760" s="10">
        <f t="shared" ca="1" si="1390"/>
        <v>1005.3210606018283</v>
      </c>
      <c r="BK760" s="10">
        <f t="shared" ca="1" si="1390"/>
        <v>2961.1283579304459</v>
      </c>
      <c r="BL760" s="10">
        <f t="shared" ca="1" si="1390"/>
        <v>1878.7236438843556</v>
      </c>
      <c r="BM760" s="10">
        <f t="shared" ca="1" si="1390"/>
        <v>1058.4504770844992</v>
      </c>
      <c r="BN760" s="10">
        <f t="shared" ca="1" si="1390"/>
        <v>1067.4355428940507</v>
      </c>
      <c r="BO760" s="10"/>
      <c r="BP760" s="10">
        <f ca="1">SUM(BI760:BO760)</f>
        <v>11448.532167080317</v>
      </c>
    </row>
    <row r="761" spans="2:68" ht="13.2" customHeight="1">
      <c r="G761" s="1122"/>
      <c r="H761" s="1122"/>
      <c r="I761" s="1122"/>
      <c r="J761" s="1122"/>
      <c r="K761" s="1122"/>
      <c r="L761" s="1122"/>
      <c r="O761" s="136">
        <f>ROW()</f>
        <v>761</v>
      </c>
      <c r="AQ761"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761" s="10"/>
      <c r="AS761" s="10"/>
      <c r="AT761" s="10"/>
      <c r="AU761" s="10"/>
      <c r="AV761" s="10"/>
    </row>
    <row r="762" spans="2:68" ht="13.2" customHeight="1">
      <c r="B762" s="308" t="s">
        <v>1431</v>
      </c>
      <c r="G762" s="1122"/>
      <c r="H762" s="1122"/>
      <c r="I762" s="1122"/>
      <c r="J762" s="1122"/>
      <c r="K762" s="1122"/>
      <c r="L762" s="1122"/>
      <c r="O762" s="136">
        <f>ROW()</f>
        <v>762</v>
      </c>
      <c r="AQ762" s="265" t="str">
        <f>CONCATENATE("Row ",O764, " figures are set equal to ",O763, " figures, since rebound effects are presumed accounted for by taxi time-elasticity.")</f>
        <v>Row 764 figures are set equal to 763 figures, since rebound effects are presumed accounted for by taxi time-elasticity.</v>
      </c>
    </row>
    <row r="763" spans="2:68" s="1122" customFormat="1" ht="13.2" customHeight="1">
      <c r="B763" s="1123" t="s">
        <v>1112</v>
      </c>
      <c r="G763" s="1122">
        <f t="shared" ref="G763:L765" ca="1" si="1391">P763+Y763+AH763+AQ763+AZ763+BI763</f>
        <v>490075.89723652758</v>
      </c>
      <c r="H763" s="1122">
        <f t="shared" ca="1" si="1391"/>
        <v>115624.60651505312</v>
      </c>
      <c r="I763" s="1122">
        <f t="shared" ca="1" si="1391"/>
        <v>324016.99601086241</v>
      </c>
      <c r="J763" s="1122">
        <f t="shared" ca="1" si="1391"/>
        <v>205261.0145489689</v>
      </c>
      <c r="K763" s="1122">
        <f t="shared" ca="1" si="1391"/>
        <v>130155.06072014933</v>
      </c>
      <c r="L763" s="1122">
        <f t="shared" ca="1" si="1391"/>
        <v>123895.56257850931</v>
      </c>
      <c r="N763" s="1127">
        <f ca="1">SUM(G763:M763)</f>
        <v>1389029.1376100709</v>
      </c>
      <c r="O763" s="136">
        <f>ROW()</f>
        <v>763</v>
      </c>
      <c r="P763" s="1122">
        <f t="shared" ref="P763:U763" ca="1" si="1392">P716</f>
        <v>11031.343541784734</v>
      </c>
      <c r="Q763" s="1122">
        <f t="shared" ca="1" si="1392"/>
        <v>3894.1023194783447</v>
      </c>
      <c r="R763" s="1122">
        <f t="shared" ca="1" si="1392"/>
        <v>12225.47065740224</v>
      </c>
      <c r="S763" s="1122">
        <f t="shared" ca="1" si="1392"/>
        <v>7835.7336622327884</v>
      </c>
      <c r="T763" s="1122">
        <f t="shared" ca="1" si="1392"/>
        <v>4550.1468226917123</v>
      </c>
      <c r="U763" s="1122">
        <f t="shared" ca="1" si="1392"/>
        <v>4031.4355950551349</v>
      </c>
      <c r="W763" s="1122">
        <f ca="1">SUM(P763:V763)</f>
        <v>43568.23259864495</v>
      </c>
      <c r="Y763" s="1122">
        <f t="shared" ref="Y763:AD763" ca="1" si="1393">Y716</f>
        <v>33094.030625354208</v>
      </c>
      <c r="Z763" s="1122">
        <f t="shared" ca="1" si="1393"/>
        <v>11682.306958435031</v>
      </c>
      <c r="AA763" s="1122">
        <f t="shared" ca="1" si="1393"/>
        <v>36676.411972206719</v>
      </c>
      <c r="AB763" s="1122">
        <f t="shared" ca="1" si="1393"/>
        <v>23507.200986698364</v>
      </c>
      <c r="AC763" s="1122">
        <f t="shared" ca="1" si="1393"/>
        <v>13650.440468075132</v>
      </c>
      <c r="AD763" s="1122">
        <f t="shared" ca="1" si="1393"/>
        <v>12094.306785165403</v>
      </c>
      <c r="AF763" s="1122">
        <f ca="1">SUM(Y763:AE763)</f>
        <v>130704.69779593484</v>
      </c>
      <c r="AH763" s="1122">
        <f t="shared" ref="AH763:AM763" ca="1" si="1394">AH716</f>
        <v>0</v>
      </c>
      <c r="AI763" s="1122">
        <f t="shared" ca="1" si="1394"/>
        <v>0</v>
      </c>
      <c r="AJ763" s="1122">
        <f t="shared" ca="1" si="1394"/>
        <v>0</v>
      </c>
      <c r="AK763" s="1122">
        <f t="shared" ca="1" si="1394"/>
        <v>0</v>
      </c>
      <c r="AL763" s="1122">
        <f t="shared" ca="1" si="1394"/>
        <v>0</v>
      </c>
      <c r="AM763" s="1122">
        <f t="shared" ca="1" si="1394"/>
        <v>0</v>
      </c>
      <c r="AO763" s="1122">
        <f ca="1">SUM(AH763:AN763)</f>
        <v>0</v>
      </c>
      <c r="AQ763" s="1122">
        <f t="shared" ref="AQ763:AV763" si="1395">AQ716</f>
        <v>438656.72193199908</v>
      </c>
      <c r="AR763" s="1122">
        <f t="shared" si="1395"/>
        <v>97563.564894963914</v>
      </c>
      <c r="AS763" s="1122">
        <f t="shared" si="1395"/>
        <v>267453.00942252984</v>
      </c>
      <c r="AT763" s="1122">
        <f t="shared" si="1395"/>
        <v>169012.18827727382</v>
      </c>
      <c r="AU763" s="1122">
        <f t="shared" si="1395"/>
        <v>109114.24796886933</v>
      </c>
      <c r="AV763" s="1122">
        <f t="shared" si="1395"/>
        <v>105261.8059659023</v>
      </c>
      <c r="AX763" s="1122">
        <f>SUM(AQ763:AW763)</f>
        <v>1187061.5384615383</v>
      </c>
      <c r="AZ763" s="1122">
        <f t="shared" ref="AZ763:BE763" ca="1" si="1396">AZ716</f>
        <v>4160.0524491260476</v>
      </c>
      <c r="BA763" s="1122">
        <f t="shared" ca="1" si="1396"/>
        <v>1411.040178375516</v>
      </c>
      <c r="BB763" s="1122">
        <f t="shared" ca="1" si="1396"/>
        <v>4341.9269427133695</v>
      </c>
      <c r="BC763" s="1122">
        <f t="shared" ca="1" si="1396"/>
        <v>2779.7033686125155</v>
      </c>
      <c r="BD763" s="1122">
        <f t="shared" ca="1" si="1396"/>
        <v>1608.6960148080275</v>
      </c>
      <c r="BE763" s="1122">
        <f t="shared" ca="1" si="1396"/>
        <v>1419.9529519971134</v>
      </c>
      <c r="BG763" s="1122">
        <f ca="1">SUM(AZ763:BF763)</f>
        <v>15721.371905632588</v>
      </c>
      <c r="BI763" s="1122">
        <f t="shared" ref="BI763:BN763" ca="1" si="1397">BI716</f>
        <v>3133.7486882635103</v>
      </c>
      <c r="BJ763" s="1122">
        <f t="shared" ca="1" si="1397"/>
        <v>1073.5921638003035</v>
      </c>
      <c r="BK763" s="1122">
        <f t="shared" ca="1" si="1397"/>
        <v>3320.1770160102428</v>
      </c>
      <c r="BL763" s="1122">
        <f t="shared" ca="1" si="1397"/>
        <v>2126.1882541514246</v>
      </c>
      <c r="BM763" s="1122">
        <f t="shared" ca="1" si="1397"/>
        <v>1231.5294457051282</v>
      </c>
      <c r="BN763" s="1122">
        <f t="shared" ca="1" si="1397"/>
        <v>1088.0612803893621</v>
      </c>
      <c r="BP763" s="1122">
        <f ca="1">SUM(BI763:BO763)</f>
        <v>11973.296848319971</v>
      </c>
    </row>
    <row r="764" spans="2:68" s="1122" customFormat="1" ht="13.2" customHeight="1">
      <c r="B764" s="1123" t="s">
        <v>114</v>
      </c>
      <c r="G764" s="1122">
        <f t="shared" ca="1" si="1391"/>
        <v>490076.96569501457</v>
      </c>
      <c r="H764" s="1122">
        <f t="shared" ca="1" si="1391"/>
        <v>115623.06059762267</v>
      </c>
      <c r="I764" s="1122">
        <f t="shared" ca="1" si="1391"/>
        <v>324017.54083300842</v>
      </c>
      <c r="J764" s="1122">
        <f t="shared" ca="1" si="1391"/>
        <v>205265.04432531758</v>
      </c>
      <c r="K764" s="1122">
        <f t="shared" ca="1" si="1391"/>
        <v>130149.69906996473</v>
      </c>
      <c r="L764" s="1122">
        <f t="shared" ca="1" si="1391"/>
        <v>123893.08904047855</v>
      </c>
      <c r="N764" s="1127">
        <f ca="1">SUM(G764:M764)</f>
        <v>1389025.3995614063</v>
      </c>
      <c r="O764" s="136">
        <f>ROW()</f>
        <v>764</v>
      </c>
      <c r="P764" s="1122">
        <f t="shared" ref="P764:U764" ca="1" si="1398">P763*P743</f>
        <v>11031.593898723946</v>
      </c>
      <c r="Q764" s="1122">
        <f t="shared" ca="1" si="1398"/>
        <v>3893.7393121580035</v>
      </c>
      <c r="R764" s="1122">
        <f t="shared" ca="1" si="1398"/>
        <v>12225.598725092235</v>
      </c>
      <c r="S764" s="1122">
        <f t="shared" ca="1" si="1398"/>
        <v>7836.6809727710024</v>
      </c>
      <c r="T764" s="1122">
        <f t="shared" ca="1" si="1398"/>
        <v>4548.8862065734693</v>
      </c>
      <c r="U764" s="1122">
        <f t="shared" ca="1" si="1398"/>
        <v>4030.8539097105577</v>
      </c>
      <c r="W764" s="1122">
        <f ca="1">SUM(P764:V764)</f>
        <v>43567.353025029217</v>
      </c>
      <c r="Y764" s="1122">
        <f t="shared" ref="Y764:AD764" ca="1" si="1399">Y763*Y743</f>
        <v>33094.781696171842</v>
      </c>
      <c r="Z764" s="1122">
        <f t="shared" ca="1" si="1399"/>
        <v>11681.217936474006</v>
      </c>
      <c r="AA764" s="1122">
        <f t="shared" ca="1" si="1399"/>
        <v>36676.796175276708</v>
      </c>
      <c r="AB764" s="1122">
        <f t="shared" ca="1" si="1399"/>
        <v>23510.042918313007</v>
      </c>
      <c r="AC764" s="1122">
        <f t="shared" ca="1" si="1399"/>
        <v>13646.658619720403</v>
      </c>
      <c r="AD764" s="1122">
        <f t="shared" ca="1" si="1399"/>
        <v>12092.561729131672</v>
      </c>
      <c r="AF764" s="1122">
        <f ca="1">SUM(Y764:AE764)</f>
        <v>130702.05907508763</v>
      </c>
      <c r="AH764" s="1122">
        <f t="shared" ref="AH764:AM764" ca="1" si="1400">AH763*AH743</f>
        <v>0</v>
      </c>
      <c r="AI764" s="1122">
        <f t="shared" ca="1" si="1400"/>
        <v>0</v>
      </c>
      <c r="AJ764" s="1122">
        <f t="shared" ca="1" si="1400"/>
        <v>0</v>
      </c>
      <c r="AK764" s="1122">
        <f t="shared" ca="1" si="1400"/>
        <v>0</v>
      </c>
      <c r="AL764" s="1122">
        <f t="shared" ca="1" si="1400"/>
        <v>0</v>
      </c>
      <c r="AM764" s="1122">
        <f t="shared" ca="1" si="1400"/>
        <v>0</v>
      </c>
      <c r="AO764" s="1122">
        <f ca="1">SUM(AH764:AN764)</f>
        <v>0</v>
      </c>
      <c r="AQ764" s="1122">
        <f t="shared" ref="AQ764:AV764" si="1401">AQ763</f>
        <v>438656.72193199908</v>
      </c>
      <c r="AR764" s="1122">
        <f t="shared" si="1401"/>
        <v>97563.564894963914</v>
      </c>
      <c r="AS764" s="1122">
        <f t="shared" si="1401"/>
        <v>267453.00942252984</v>
      </c>
      <c r="AT764" s="1122">
        <f t="shared" si="1401"/>
        <v>169012.18827727382</v>
      </c>
      <c r="AU764" s="1122">
        <f t="shared" si="1401"/>
        <v>109114.24796886933</v>
      </c>
      <c r="AV764" s="1122">
        <f t="shared" si="1401"/>
        <v>105261.8059659023</v>
      </c>
      <c r="AX764" s="1122">
        <f>SUM(AQ764:AW764)</f>
        <v>1187061.5384615383</v>
      </c>
      <c r="AZ764" s="1122">
        <f t="shared" ref="AZ764:BE764" ca="1" si="1402">AZ763*AZ743</f>
        <v>4160.0839197598616</v>
      </c>
      <c r="BA764" s="1122">
        <f t="shared" ca="1" si="1402"/>
        <v>1410.99633139966</v>
      </c>
      <c r="BB764" s="1122">
        <f t="shared" ca="1" si="1402"/>
        <v>4341.9421039186818</v>
      </c>
      <c r="BC764" s="1122">
        <f t="shared" ca="1" si="1402"/>
        <v>2779.8153826369189</v>
      </c>
      <c r="BD764" s="1122">
        <f t="shared" ca="1" si="1402"/>
        <v>1608.5474382518426</v>
      </c>
      <c r="BE764" s="1122">
        <f t="shared" ca="1" si="1402"/>
        <v>1419.8846549408613</v>
      </c>
      <c r="BG764" s="1122">
        <f ca="1">SUM(AZ764:BF764)</f>
        <v>15721.269830907826</v>
      </c>
      <c r="BI764" s="1122">
        <f t="shared" ref="BI764:BN764" ca="1" si="1403">BI763*BI743</f>
        <v>3133.7842483598643</v>
      </c>
      <c r="BJ764" s="1122">
        <f t="shared" ca="1" si="1403"/>
        <v>1073.5421226270864</v>
      </c>
      <c r="BK764" s="1122">
        <f t="shared" ca="1" si="1403"/>
        <v>3320.1944061909226</v>
      </c>
      <c r="BL764" s="1122">
        <f t="shared" ca="1" si="1403"/>
        <v>2126.3167743228464</v>
      </c>
      <c r="BM764" s="1122">
        <f t="shared" ca="1" si="1403"/>
        <v>1231.3588365496853</v>
      </c>
      <c r="BN764" s="1122">
        <f t="shared" ca="1" si="1403"/>
        <v>1087.982780793159</v>
      </c>
      <c r="BP764" s="1122">
        <f ca="1">SUM(BI764:BO764)</f>
        <v>11973.179168843564</v>
      </c>
    </row>
    <row r="765" spans="2:68" ht="13.2" customHeight="1">
      <c r="B765" s="280" t="s">
        <v>1880</v>
      </c>
      <c r="G765" s="1122">
        <f t="shared" ca="1" si="1391"/>
        <v>1.0684584870141407</v>
      </c>
      <c r="H765" s="1122">
        <f t="shared" ca="1" si="1391"/>
        <v>-1.5459174304389762</v>
      </c>
      <c r="I765" s="1122">
        <f t="shared" ca="1" si="1391"/>
        <v>0.54482214597601342</v>
      </c>
      <c r="J765" s="1122">
        <f t="shared" ca="1" si="1391"/>
        <v>4.0297763486819349</v>
      </c>
      <c r="K765" s="1122">
        <f t="shared" ca="1" si="1391"/>
        <v>-5.3616501845997391</v>
      </c>
      <c r="L765" s="1122">
        <f t="shared" ca="1" si="1391"/>
        <v>-2.4735380307633932</v>
      </c>
      <c r="N765" s="1127">
        <f ca="1">W765+AF765+AO765+AX765+BG765+BP765</f>
        <v>-3.7380486641177413</v>
      </c>
      <c r="O765" s="136">
        <f>ROW()</f>
        <v>765</v>
      </c>
      <c r="P765" s="10">
        <f t="shared" ref="P765:W765" ca="1" si="1404">P764-P763</f>
        <v>0.25035693921199709</v>
      </c>
      <c r="Q765" s="10">
        <f t="shared" ca="1" si="1404"/>
        <v>-0.36300732034123939</v>
      </c>
      <c r="R765" s="10">
        <f t="shared" ca="1" si="1404"/>
        <v>0.12806768999507767</v>
      </c>
      <c r="S765" s="10">
        <f t="shared" ca="1" si="1404"/>
        <v>0.94731053821396927</v>
      </c>
      <c r="T765" s="10">
        <f t="shared" ca="1" si="1404"/>
        <v>-1.2606161182429787</v>
      </c>
      <c r="U765" s="10">
        <f t="shared" ca="1" si="1404"/>
        <v>-0.58168534457718124</v>
      </c>
      <c r="V765" s="10"/>
      <c r="W765" s="138">
        <f t="shared" ca="1" si="1404"/>
        <v>-0.8795736157335341</v>
      </c>
      <c r="Y765" s="10">
        <f t="shared" ref="Y765:AF765" ca="1" si="1405">Y764-Y763</f>
        <v>0.75107081763417227</v>
      </c>
      <c r="Z765" s="10">
        <f t="shared" ca="1" si="1405"/>
        <v>-1.0890219610246277</v>
      </c>
      <c r="AA765" s="10">
        <f t="shared" ca="1" si="1405"/>
        <v>0.38420306998887099</v>
      </c>
      <c r="AB765" s="10">
        <f t="shared" ca="1" si="1405"/>
        <v>2.8419316146428173</v>
      </c>
      <c r="AC765" s="10">
        <f t="shared" ca="1" si="1405"/>
        <v>-3.7818483547289361</v>
      </c>
      <c r="AD765" s="10">
        <f t="shared" ca="1" si="1405"/>
        <v>-1.745056033731089</v>
      </c>
      <c r="AE765" s="10"/>
      <c r="AF765" s="138">
        <f t="shared" ca="1" si="1405"/>
        <v>-2.6387208472151542</v>
      </c>
      <c r="AH765" s="10">
        <f t="shared" ref="AH765:AO765" ca="1" si="1406">AH764-AH763</f>
        <v>0</v>
      </c>
      <c r="AI765" s="10">
        <f t="shared" ca="1" si="1406"/>
        <v>0</v>
      </c>
      <c r="AJ765" s="10">
        <f t="shared" ca="1" si="1406"/>
        <v>0</v>
      </c>
      <c r="AK765" s="10">
        <f t="shared" ca="1" si="1406"/>
        <v>0</v>
      </c>
      <c r="AL765" s="10">
        <f t="shared" ca="1" si="1406"/>
        <v>0</v>
      </c>
      <c r="AM765" s="10">
        <f t="shared" ca="1" si="1406"/>
        <v>0</v>
      </c>
      <c r="AN765" s="10"/>
      <c r="AO765" s="138">
        <f t="shared" ca="1" si="1406"/>
        <v>0</v>
      </c>
      <c r="AQ765" s="10">
        <f t="shared" ref="AQ765:AX765" si="1407">AQ764-AQ763</f>
        <v>0</v>
      </c>
      <c r="AR765" s="10">
        <f t="shared" si="1407"/>
        <v>0</v>
      </c>
      <c r="AS765" s="10">
        <f t="shared" si="1407"/>
        <v>0</v>
      </c>
      <c r="AT765" s="10">
        <f t="shared" si="1407"/>
        <v>0</v>
      </c>
      <c r="AU765" s="10">
        <f t="shared" si="1407"/>
        <v>0</v>
      </c>
      <c r="AV765" s="10">
        <f t="shared" si="1407"/>
        <v>0</v>
      </c>
      <c r="AW765" s="10"/>
      <c r="AX765" s="138">
        <f t="shared" si="1407"/>
        <v>0</v>
      </c>
      <c r="AZ765" s="10">
        <f t="shared" ref="AZ765:BG765" ca="1" si="1408">AZ764-AZ763</f>
        <v>3.147063381402404E-2</v>
      </c>
      <c r="BA765" s="10">
        <f t="shared" ca="1" si="1408"/>
        <v>-4.384697585601316E-2</v>
      </c>
      <c r="BB765" s="10">
        <f t="shared" ca="1" si="1408"/>
        <v>1.5161205312324455E-2</v>
      </c>
      <c r="BC765" s="10">
        <f t="shared" ca="1" si="1408"/>
        <v>0.11201402440337915</v>
      </c>
      <c r="BD765" s="10">
        <f t="shared" ca="1" si="1408"/>
        <v>-0.14857655618493482</v>
      </c>
      <c r="BE765" s="10">
        <f t="shared" ca="1" si="1408"/>
        <v>-6.8297056252049515E-2</v>
      </c>
      <c r="BF765" s="10"/>
      <c r="BG765" s="138">
        <f t="shared" ca="1" si="1408"/>
        <v>-0.10207472476213297</v>
      </c>
      <c r="BI765" s="10">
        <f t="shared" ref="BI765:BP765" ca="1" si="1409">BI764-BI763</f>
        <v>3.5560096353947301E-2</v>
      </c>
      <c r="BJ765" s="10">
        <f t="shared" ca="1" si="1409"/>
        <v>-5.0041173217096002E-2</v>
      </c>
      <c r="BK765" s="10">
        <f t="shared" ca="1" si="1409"/>
        <v>1.7390180679740297E-2</v>
      </c>
      <c r="BL765" s="10">
        <f t="shared" ca="1" si="1409"/>
        <v>0.12852017142176919</v>
      </c>
      <c r="BM765" s="10">
        <f t="shared" ca="1" si="1409"/>
        <v>-0.17060915544288946</v>
      </c>
      <c r="BN765" s="10">
        <f t="shared" ca="1" si="1409"/>
        <v>-7.8499596203073452E-2</v>
      </c>
      <c r="BO765" s="10"/>
      <c r="BP765" s="138">
        <f t="shared" ca="1" si="1409"/>
        <v>-0.11767947640692</v>
      </c>
    </row>
    <row r="766" spans="2:68" ht="13.2" customHeight="1">
      <c r="G766" s="1122"/>
      <c r="H766" s="1122"/>
      <c r="I766" s="1122"/>
      <c r="J766" s="1122"/>
      <c r="K766" s="1122"/>
      <c r="L766" s="1122"/>
      <c r="N766" s="1127"/>
      <c r="O766" s="136">
        <f>ROW()</f>
        <v>766</v>
      </c>
    </row>
    <row r="767" spans="2:68" ht="13.2" customHeight="1">
      <c r="B767" s="308" t="s">
        <v>1691</v>
      </c>
      <c r="G767" s="1122">
        <f t="shared" ref="G767:N768" ca="1" si="1410">P767+Y767+AH767+AQ767+AZ767+BI767</f>
        <v>893225.14054734865</v>
      </c>
      <c r="H767" s="1122">
        <f t="shared" ca="1" si="1410"/>
        <v>256918.37916681435</v>
      </c>
      <c r="I767" s="1122">
        <f t="shared" ca="1" si="1410"/>
        <v>764035.37691152305</v>
      </c>
      <c r="J767" s="1122">
        <f t="shared" ca="1" si="1410"/>
        <v>490598.39964238601</v>
      </c>
      <c r="K767" s="1122">
        <f t="shared" ca="1" si="1410"/>
        <v>289818.42573833698</v>
      </c>
      <c r="L767" s="1122">
        <f t="shared" ca="1" si="1410"/>
        <v>253300.40534903089</v>
      </c>
      <c r="N767" s="1127">
        <f t="shared" ca="1" si="1410"/>
        <v>2947896.1273554401</v>
      </c>
      <c r="O767" s="136">
        <f>ROW()</f>
        <v>767</v>
      </c>
      <c r="P767" s="10">
        <f t="shared" ref="P767:U767" ca="1" si="1411">P720</f>
        <v>84794.827401982388</v>
      </c>
      <c r="Q767" s="10">
        <f t="shared" ca="1" si="1411"/>
        <v>28774.177372768852</v>
      </c>
      <c r="R767" s="10">
        <f t="shared" ca="1" si="1411"/>
        <v>81771.984062980962</v>
      </c>
      <c r="S767" s="10">
        <f t="shared" ca="1" si="1411"/>
        <v>42885.027927462106</v>
      </c>
      <c r="T767" s="10">
        <f t="shared" ca="1" si="1411"/>
        <v>29446.767533561258</v>
      </c>
      <c r="U767" s="10">
        <f t="shared" ca="1" si="1411"/>
        <v>22759.10255783952</v>
      </c>
      <c r="V767" s="10"/>
      <c r="W767" s="10">
        <f ca="1">SUM(P767:V767)</f>
        <v>290431.88685659511</v>
      </c>
      <c r="Y767" s="10">
        <f t="shared" ref="Y767:AD767" ca="1" si="1412">Y720</f>
        <v>191758.12528064687</v>
      </c>
      <c r="Z767" s="10">
        <f t="shared" ca="1" si="1412"/>
        <v>68346.713694798338</v>
      </c>
      <c r="AA767" s="10">
        <f t="shared" ca="1" si="1412"/>
        <v>234939.69901415813</v>
      </c>
      <c r="AB767" s="10">
        <f t="shared" ca="1" si="1412"/>
        <v>165739.52617931817</v>
      </c>
      <c r="AC767" s="10">
        <f t="shared" ca="1" si="1412"/>
        <v>85180.374858128693</v>
      </c>
      <c r="AD767" s="10">
        <f t="shared" ca="1" si="1412"/>
        <v>70635.456962962213</v>
      </c>
      <c r="AE767" s="10"/>
      <c r="AF767" s="10">
        <f ca="1">SUM(Y767:AE767)</f>
        <v>816599.89599001245</v>
      </c>
      <c r="AH767" s="10">
        <f t="shared" ref="AH767:AM767" ca="1" si="1413">AH720</f>
        <v>80431.774832307769</v>
      </c>
      <c r="AI767" s="10">
        <f t="shared" ca="1" si="1413"/>
        <v>27543.631082143722</v>
      </c>
      <c r="AJ767" s="10">
        <f t="shared" ca="1" si="1413"/>
        <v>72521.623143282384</v>
      </c>
      <c r="AK767" s="10">
        <f t="shared" ca="1" si="1413"/>
        <v>43976.884604886538</v>
      </c>
      <c r="AL767" s="10">
        <f t="shared" ca="1" si="1413"/>
        <v>25442.405555206824</v>
      </c>
      <c r="AM767" s="10">
        <f t="shared" ca="1" si="1413"/>
        <v>21428.479253774218</v>
      </c>
      <c r="AN767" s="10"/>
      <c r="AO767" s="10">
        <f ca="1">SUM(AH767:AN767)</f>
        <v>271344.79847160145</v>
      </c>
      <c r="AQ767" s="10">
        <f t="shared" ref="AQ767:AV767" ca="1" si="1414">AQ720</f>
        <v>502998.12881102966</v>
      </c>
      <c r="AR767" s="10">
        <f t="shared" ca="1" si="1414"/>
        <v>121090.0808527504</v>
      </c>
      <c r="AS767" s="10">
        <f t="shared" ca="1" si="1414"/>
        <v>340612.84032427327</v>
      </c>
      <c r="AT767" s="10">
        <f t="shared" ca="1" si="1414"/>
        <v>216106.30800953342</v>
      </c>
      <c r="AU767" s="10">
        <f t="shared" ca="1" si="1414"/>
        <v>137103.48933382597</v>
      </c>
      <c r="AV767" s="10">
        <f t="shared" ca="1" si="1414"/>
        <v>127336.74860206751</v>
      </c>
      <c r="AW767" s="10"/>
      <c r="AX767" s="10">
        <f ca="1">SUM(AQ767:AW767)</f>
        <v>1445247.5959334802</v>
      </c>
      <c r="AZ767" s="10">
        <f t="shared" ref="AZ767:BE767" ca="1" si="1415">AZ720</f>
        <v>23946.120630898629</v>
      </c>
      <c r="BA767" s="10">
        <f t="shared" ca="1" si="1415"/>
        <v>8031.5307780901958</v>
      </c>
      <c r="BB767" s="10">
        <f t="shared" ca="1" si="1415"/>
        <v>24585.371624378582</v>
      </c>
      <c r="BC767" s="10">
        <f t="shared" ca="1" si="1415"/>
        <v>15743.125968067681</v>
      </c>
      <c r="BD767" s="10">
        <f t="shared" ca="1" si="1415"/>
        <v>9089.5121107471477</v>
      </c>
      <c r="BE767" s="10">
        <f t="shared" ca="1" si="1415"/>
        <v>8004.9704467523879</v>
      </c>
      <c r="BF767" s="10"/>
      <c r="BG767" s="10">
        <f ca="1">SUM(AZ767:BF767)</f>
        <v>89400.63155893462</v>
      </c>
      <c r="BI767" s="10">
        <f t="shared" ref="BI767:BN767" ca="1" si="1416">BI720</f>
        <v>9296.163590483402</v>
      </c>
      <c r="BJ767" s="10">
        <f t="shared" ca="1" si="1416"/>
        <v>3132.2453862628454</v>
      </c>
      <c r="BK767" s="10">
        <f t="shared" ca="1" si="1416"/>
        <v>9603.8587424497837</v>
      </c>
      <c r="BL767" s="10">
        <f t="shared" ca="1" si="1416"/>
        <v>6147.5269531181257</v>
      </c>
      <c r="BM767" s="10">
        <f t="shared" ca="1" si="1416"/>
        <v>3555.8763468670672</v>
      </c>
      <c r="BN767" s="10">
        <f t="shared" ca="1" si="1416"/>
        <v>3135.6475256350468</v>
      </c>
      <c r="BO767" s="10"/>
      <c r="BP767" s="10">
        <f ca="1">SUM(BI767:BO767)</f>
        <v>34871.318544816269</v>
      </c>
    </row>
    <row r="768" spans="2:68" ht="13.2" customHeight="1">
      <c r="B768" s="308" t="s">
        <v>1568</v>
      </c>
      <c r="G768" s="1122">
        <f t="shared" ca="1" si="1410"/>
        <v>893202.71088337409</v>
      </c>
      <c r="H768" s="1122">
        <f t="shared" ca="1" si="1410"/>
        <v>256902.5534556288</v>
      </c>
      <c r="I768" s="1122">
        <f t="shared" ca="1" si="1410"/>
        <v>763994.85641783278</v>
      </c>
      <c r="J768" s="1122">
        <f t="shared" ca="1" si="1410"/>
        <v>490581.97199722641</v>
      </c>
      <c r="K768" s="1122">
        <f t="shared" ca="1" si="1410"/>
        <v>289795.84902309201</v>
      </c>
      <c r="L768" s="1122">
        <f t="shared" ca="1" si="1410"/>
        <v>253284.95495770013</v>
      </c>
      <c r="N768" s="1127">
        <f t="shared" ca="1" si="1410"/>
        <v>2947762.8967348547</v>
      </c>
      <c r="O768" s="136">
        <f>ROW()</f>
        <v>768</v>
      </c>
      <c r="P768" s="10">
        <f t="shared" ref="P768:U768" ca="1" si="1417">P753+P760+P764</f>
        <v>84789.282635591764</v>
      </c>
      <c r="Q768" s="10">
        <f t="shared" ca="1" si="1417"/>
        <v>28770.823092250179</v>
      </c>
      <c r="R768" s="10">
        <f t="shared" ca="1" si="1417"/>
        <v>81764.315879998976</v>
      </c>
      <c r="S768" s="10">
        <f t="shared" ca="1" si="1417"/>
        <v>42882.760233009962</v>
      </c>
      <c r="T768" s="10">
        <f t="shared" ca="1" si="1417"/>
        <v>29442.300591490643</v>
      </c>
      <c r="U768" s="10">
        <f t="shared" ca="1" si="1417"/>
        <v>22756.298865691562</v>
      </c>
      <c r="V768" s="10"/>
      <c r="W768" s="10">
        <f ca="1">SUM(P768:V768)</f>
        <v>290405.78129803314</v>
      </c>
      <c r="Y768" s="10">
        <f t="shared" ref="Y768:AD768" ca="1" si="1418">Y753+Y760+Y764</f>
        <v>191744.91662337995</v>
      </c>
      <c r="Z768" s="10">
        <f t="shared" ca="1" si="1418"/>
        <v>68338.880275775868</v>
      </c>
      <c r="AA768" s="10">
        <f t="shared" ca="1" si="1418"/>
        <v>234917.5050252511</v>
      </c>
      <c r="AB768" s="10">
        <f t="shared" ca="1" si="1418"/>
        <v>165729.76673193745</v>
      </c>
      <c r="AC768" s="10">
        <f t="shared" ca="1" si="1418"/>
        <v>85167.217035426962</v>
      </c>
      <c r="AD768" s="10">
        <f t="shared" ca="1" si="1418"/>
        <v>70626.483461866461</v>
      </c>
      <c r="AE768" s="10"/>
      <c r="AF768" s="10">
        <f ca="1">SUM(Y768:AE768)</f>
        <v>816524.76915363781</v>
      </c>
      <c r="AH768" s="10">
        <f t="shared" ref="AH768:AM768" ca="1" si="1419">AH753+AH760+AH764</f>
        <v>80428.243024604977</v>
      </c>
      <c r="AI768" s="10">
        <f t="shared" ca="1" si="1419"/>
        <v>27539.247163240325</v>
      </c>
      <c r="AJ768" s="10">
        <f t="shared" ca="1" si="1419"/>
        <v>72511.293109277191</v>
      </c>
      <c r="AK768" s="10">
        <f t="shared" ca="1" si="1419"/>
        <v>43972.333940346885</v>
      </c>
      <c r="AL768" s="10">
        <f t="shared" ca="1" si="1419"/>
        <v>25437.959919650712</v>
      </c>
      <c r="AM768" s="10">
        <f t="shared" ca="1" si="1419"/>
        <v>21425.123900269711</v>
      </c>
      <c r="AN768" s="10"/>
      <c r="AO768" s="10">
        <f ca="1">SUM(AH768:AN768)</f>
        <v>271314.20105738984</v>
      </c>
      <c r="AQ768" s="10">
        <f t="shared" ref="AQ768:AV768" ca="1" si="1420">AQ767</f>
        <v>502998.12881102966</v>
      </c>
      <c r="AR768" s="10">
        <f t="shared" ca="1" si="1420"/>
        <v>121090.0808527504</v>
      </c>
      <c r="AS768" s="10">
        <f t="shared" ca="1" si="1420"/>
        <v>340612.84032427327</v>
      </c>
      <c r="AT768" s="10">
        <f t="shared" ca="1" si="1420"/>
        <v>216106.30800953342</v>
      </c>
      <c r="AU768" s="10">
        <f t="shared" ca="1" si="1420"/>
        <v>137103.48933382597</v>
      </c>
      <c r="AV768" s="10">
        <f t="shared" ca="1" si="1420"/>
        <v>127336.74860206751</v>
      </c>
      <c r="AW768" s="10"/>
      <c r="AX768" s="10">
        <f ca="1">SUM(AQ768:AW768)</f>
        <v>1445247.5959334802</v>
      </c>
      <c r="AZ768" s="10">
        <f t="shared" ref="AZ768:BE768" ca="1" si="1421">AZ753+AZ760+AZ764</f>
        <v>23946.140800851768</v>
      </c>
      <c r="BA768" s="10">
        <f t="shared" ca="1" si="1421"/>
        <v>8031.4291993117567</v>
      </c>
      <c r="BB768" s="10">
        <f t="shared" ca="1" si="1421"/>
        <v>24585.312246721402</v>
      </c>
      <c r="BC768" s="10">
        <f t="shared" ca="1" si="1421"/>
        <v>15743.285172138345</v>
      </c>
      <c r="BD768" s="10">
        <f t="shared" ca="1" si="1421"/>
        <v>9089.301279009911</v>
      </c>
      <c r="BE768" s="10">
        <f t="shared" ca="1" si="1421"/>
        <v>8004.8370912759856</v>
      </c>
      <c r="BF768" s="10"/>
      <c r="BG768" s="10">
        <f ca="1">SUM(AZ768:BF768)</f>
        <v>89400.305789309175</v>
      </c>
      <c r="BI768" s="10">
        <f t="shared" ref="BI768:BN768" ca="1" si="1422">BI753+BI760+BI764</f>
        <v>9295.9989879160858</v>
      </c>
      <c r="BJ768" s="10">
        <f t="shared" ca="1" si="1422"/>
        <v>3132.0928723002862</v>
      </c>
      <c r="BK768" s="10">
        <f t="shared" ca="1" si="1422"/>
        <v>9603.5898323107576</v>
      </c>
      <c r="BL768" s="10">
        <f t="shared" ca="1" si="1422"/>
        <v>6147.5179102602979</v>
      </c>
      <c r="BM768" s="10">
        <f t="shared" ca="1" si="1422"/>
        <v>3555.5808636878601</v>
      </c>
      <c r="BN768" s="10">
        <f t="shared" ca="1" si="1422"/>
        <v>3135.4630365289104</v>
      </c>
      <c r="BO768" s="10"/>
      <c r="BP768" s="10">
        <f ca="1">SUM(BI768:BO768)</f>
        <v>34870.243503004196</v>
      </c>
    </row>
    <row r="769" spans="2:68" ht="13.2" customHeight="1">
      <c r="B769" s="308" t="s">
        <v>1817</v>
      </c>
      <c r="G769" s="10">
        <f t="shared" ref="G769:L769" ca="1" si="1423">G768/G$118</f>
        <v>89320.271088337409</v>
      </c>
      <c r="H769" s="10">
        <f t="shared" ca="1" si="1423"/>
        <v>128451.2767278144</v>
      </c>
      <c r="I769" s="10">
        <f t="shared" ca="1" si="1423"/>
        <v>152798.97128356656</v>
      </c>
      <c r="J769" s="10">
        <f t="shared" ca="1" si="1423"/>
        <v>163527.32399907548</v>
      </c>
      <c r="K769" s="10">
        <f t="shared" ca="1" si="1423"/>
        <v>144897.92451154601</v>
      </c>
      <c r="L769" s="10">
        <f t="shared" ca="1" si="1423"/>
        <v>126642.47747885007</v>
      </c>
      <c r="M769" s="10"/>
      <c r="N769" s="6"/>
      <c r="O769" s="136">
        <f>ROW()</f>
        <v>769</v>
      </c>
      <c r="P769" s="10"/>
      <c r="Q769" s="10"/>
      <c r="R769" s="10"/>
      <c r="S769" s="10"/>
      <c r="T769" s="10"/>
      <c r="U769" s="10"/>
      <c r="V769" s="10"/>
      <c r="W769" s="10"/>
      <c r="Y769" s="10"/>
      <c r="Z769" s="10"/>
      <c r="AA769" s="10"/>
      <c r="AB769" s="10"/>
      <c r="AC769" s="10"/>
      <c r="AD769" s="10"/>
      <c r="AE769" s="10"/>
      <c r="AF769" s="10"/>
      <c r="AH769" s="10"/>
      <c r="AI769" s="10"/>
      <c r="AJ769" s="10"/>
      <c r="AK769" s="10"/>
      <c r="AL769" s="10"/>
      <c r="AM769" s="10"/>
      <c r="AN769" s="10"/>
      <c r="AO769" s="10"/>
      <c r="AQ769" s="10"/>
      <c r="AR769" s="10"/>
      <c r="AS769" s="10"/>
      <c r="AT769" s="10"/>
      <c r="AU769" s="10"/>
      <c r="AV769" s="10"/>
      <c r="AW769" s="10"/>
      <c r="AX769" s="10"/>
      <c r="AZ769" s="10"/>
      <c r="BA769" s="10"/>
      <c r="BB769" s="10"/>
      <c r="BC769" s="10"/>
      <c r="BD769" s="10"/>
      <c r="BE769" s="10"/>
      <c r="BF769" s="10"/>
      <c r="BG769" s="10"/>
      <c r="BI769" s="10"/>
      <c r="BJ769" s="10"/>
      <c r="BK769" s="10"/>
      <c r="BL769" s="10"/>
      <c r="BM769" s="10"/>
      <c r="BN769" s="10"/>
      <c r="BO769" s="10"/>
      <c r="BP769" s="10"/>
    </row>
    <row r="770" spans="2:68" ht="13.2" customHeight="1">
      <c r="B770" s="280" t="s">
        <v>2709</v>
      </c>
      <c r="G770" s="612">
        <f t="shared" ref="G770:L770" ca="1" si="1424">G768/G767</f>
        <v>0.99997488912598131</v>
      </c>
      <c r="H770" s="612">
        <f t="shared" ca="1" si="1424"/>
        <v>0.99993840179423177</v>
      </c>
      <c r="I770" s="612">
        <f t="shared" ca="1" si="1424"/>
        <v>0.99994696516036463</v>
      </c>
      <c r="J770" s="612">
        <f t="shared" ca="1" si="1424"/>
        <v>0.99996651508612422</v>
      </c>
      <c r="K770" s="612">
        <f t="shared" ca="1" si="1424"/>
        <v>0.9999221004834753</v>
      </c>
      <c r="L770" s="612">
        <f t="shared" ca="1" si="1424"/>
        <v>0.99993900368493505</v>
      </c>
      <c r="M770" s="612"/>
      <c r="N770" s="186"/>
      <c r="O770" s="136">
        <f>ROW()</f>
        <v>770</v>
      </c>
      <c r="P770" s="4147" t="s">
        <v>2680</v>
      </c>
      <c r="Q770" s="4147"/>
      <c r="R770" s="4147"/>
      <c r="S770" s="4147"/>
      <c r="T770" s="4147"/>
      <c r="U770" s="4147"/>
      <c r="V770" s="4147"/>
      <c r="W770" s="4147"/>
      <c r="Y770" s="4147" t="s">
        <v>2681</v>
      </c>
      <c r="Z770" s="4147"/>
      <c r="AA770" s="4147"/>
      <c r="AB770" s="4147"/>
      <c r="AC770" s="4147"/>
      <c r="AD770" s="4147"/>
      <c r="AE770" s="4147"/>
      <c r="AF770" s="4147"/>
      <c r="AH770" s="4263" t="s">
        <v>5482</v>
      </c>
      <c r="AI770" s="4264"/>
      <c r="AJ770" s="4264"/>
      <c r="AK770" s="4264"/>
      <c r="AL770" s="4264"/>
      <c r="AM770" s="4264"/>
      <c r="AN770" s="4264"/>
      <c r="AO770" s="4264"/>
      <c r="AQ770" s="4147" t="s">
        <v>713</v>
      </c>
      <c r="AR770" s="4147"/>
      <c r="AS770" s="4147"/>
      <c r="AT770" s="4147"/>
      <c r="AU770" s="4147"/>
      <c r="AV770" s="4147"/>
      <c r="AW770" s="4147"/>
      <c r="AX770" s="4147"/>
      <c r="AZ770" s="4147" t="s">
        <v>460</v>
      </c>
      <c r="BA770" s="4147"/>
      <c r="BB770" s="4147"/>
      <c r="BC770" s="4147"/>
      <c r="BD770" s="4147"/>
      <c r="BE770" s="4147"/>
      <c r="BF770" s="4147"/>
      <c r="BG770" s="4147"/>
      <c r="BI770" s="4147" t="s">
        <v>849</v>
      </c>
      <c r="BJ770" s="4147"/>
      <c r="BK770" s="4147"/>
      <c r="BL770" s="4147"/>
      <c r="BM770" s="4147"/>
      <c r="BN770" s="4147"/>
      <c r="BO770" s="4147"/>
      <c r="BP770" s="4147"/>
    </row>
    <row r="771" spans="2:68" ht="13.2" customHeight="1">
      <c r="G771" s="612"/>
      <c r="H771" s="612"/>
      <c r="I771" s="612"/>
      <c r="J771" s="612"/>
      <c r="K771" s="612"/>
      <c r="L771" s="612"/>
      <c r="M771" s="612"/>
      <c r="N771" s="186"/>
      <c r="O771" s="136">
        <f>ROW()</f>
        <v>771</v>
      </c>
      <c r="P771" s="10"/>
      <c r="Q771" s="10"/>
      <c r="R771" s="10"/>
      <c r="S771" s="10"/>
      <c r="T771" s="10"/>
      <c r="U771" s="10"/>
      <c r="V771" s="10"/>
      <c r="W771" s="10"/>
      <c r="Y771" s="10"/>
      <c r="Z771" s="10"/>
      <c r="AA771" s="10"/>
      <c r="AB771" s="10"/>
      <c r="AC771" s="10"/>
      <c r="AD771" s="10"/>
      <c r="AE771" s="10"/>
      <c r="AF771" s="10"/>
      <c r="AO771" s="10"/>
      <c r="AQ771" s="10"/>
      <c r="AR771" s="10"/>
      <c r="AS771" s="10"/>
      <c r="AT771" s="10"/>
      <c r="AU771" s="10"/>
      <c r="AV771" s="10"/>
      <c r="AW771" s="10"/>
      <c r="AX771" s="10"/>
      <c r="AZ771" s="10"/>
      <c r="BA771" s="10"/>
      <c r="BB771" s="10"/>
      <c r="BC771" s="10"/>
      <c r="BD771" s="10"/>
      <c r="BE771" s="10"/>
      <c r="BF771" s="10"/>
      <c r="BG771" s="10"/>
      <c r="BI771" s="10"/>
      <c r="BJ771" s="10"/>
      <c r="BK771" s="10"/>
      <c r="BL771" s="10"/>
      <c r="BM771" s="10"/>
      <c r="BN771" s="10"/>
      <c r="BO771" s="10"/>
      <c r="BP771" s="10"/>
    </row>
    <row r="772" spans="2:68" ht="13.2" customHeight="1">
      <c r="B772" s="308" t="s">
        <v>587</v>
      </c>
      <c r="C772" s="280"/>
      <c r="D772" s="280"/>
      <c r="E772" s="280"/>
      <c r="F772" s="280"/>
      <c r="G772" s="280"/>
      <c r="H772" s="280"/>
      <c r="I772" s="280"/>
      <c r="J772" s="280"/>
      <c r="K772" s="280"/>
      <c r="L772" s="280"/>
      <c r="M772" s="280"/>
      <c r="N772" s="280"/>
      <c r="O772" s="136">
        <f>ROW()</f>
        <v>772</v>
      </c>
    </row>
    <row r="773" spans="2:68" ht="13.2" customHeight="1">
      <c r="B773" s="280" t="s">
        <v>2034</v>
      </c>
      <c r="E773" s="280"/>
      <c r="F773" s="280"/>
      <c r="G773" s="21">
        <f t="shared" ref="G773:L773" ca="1" si="1425">KSC/(1+0.1*($G$401*G769/$I$181)^KSE)</f>
        <v>20.158627489535096</v>
      </c>
      <c r="H773" s="21">
        <f t="shared" ca="1" si="1425"/>
        <v>15.819465116929349</v>
      </c>
      <c r="I773" s="21">
        <f t="shared" ca="1" si="1425"/>
        <v>12.343738729239174</v>
      </c>
      <c r="J773" s="21">
        <f t="shared" ca="1" si="1425"/>
        <v>10.85763826162508</v>
      </c>
      <c r="K773" s="21">
        <f t="shared" ca="1" si="1425"/>
        <v>13.47543750363123</v>
      </c>
      <c r="L773" s="21">
        <f t="shared" ca="1" si="1425"/>
        <v>16.068410620180011</v>
      </c>
      <c r="M773" s="21"/>
      <c r="O773" s="136">
        <f>ROW()</f>
        <v>773</v>
      </c>
      <c r="P773" s="21">
        <f t="shared" ref="P773:U774" ca="1" si="1426">G773</f>
        <v>20.158627489535096</v>
      </c>
      <c r="Q773" s="21">
        <f t="shared" ca="1" si="1426"/>
        <v>15.819465116929349</v>
      </c>
      <c r="R773" s="21">
        <f t="shared" ca="1" si="1426"/>
        <v>12.343738729239174</v>
      </c>
      <c r="S773" s="21">
        <f t="shared" ca="1" si="1426"/>
        <v>10.85763826162508</v>
      </c>
      <c r="T773" s="21">
        <f t="shared" ca="1" si="1426"/>
        <v>13.47543750363123</v>
      </c>
      <c r="U773" s="21">
        <f t="shared" ca="1" si="1426"/>
        <v>16.068410620180011</v>
      </c>
      <c r="V773" s="21"/>
      <c r="Y773" s="21">
        <f t="shared" ref="Y773:AD774" ca="1" si="1427">G773</f>
        <v>20.158627489535096</v>
      </c>
      <c r="Z773" s="21">
        <f t="shared" ca="1" si="1427"/>
        <v>15.819465116929349</v>
      </c>
      <c r="AA773" s="21">
        <f t="shared" ca="1" si="1427"/>
        <v>12.343738729239174</v>
      </c>
      <c r="AB773" s="21">
        <f t="shared" ca="1" si="1427"/>
        <v>10.85763826162508</v>
      </c>
      <c r="AC773" s="21">
        <f t="shared" ca="1" si="1427"/>
        <v>13.47543750363123</v>
      </c>
      <c r="AD773" s="21">
        <f t="shared" ca="1" si="1427"/>
        <v>16.068410620180011</v>
      </c>
      <c r="AE773" s="21"/>
      <c r="AH773" s="21">
        <f t="shared" ref="AH773:AM774" ca="1" si="1428">P773</f>
        <v>20.158627489535096</v>
      </c>
      <c r="AI773" s="21">
        <f t="shared" ca="1" si="1428"/>
        <v>15.819465116929349</v>
      </c>
      <c r="AJ773" s="21">
        <f t="shared" ca="1" si="1428"/>
        <v>12.343738729239174</v>
      </c>
      <c r="AK773" s="21">
        <f t="shared" ca="1" si="1428"/>
        <v>10.85763826162508</v>
      </c>
      <c r="AL773" s="21">
        <f t="shared" ca="1" si="1428"/>
        <v>13.47543750363123</v>
      </c>
      <c r="AM773" s="21">
        <f t="shared" ca="1" si="1428"/>
        <v>16.068410620180011</v>
      </c>
      <c r="AN773" s="21"/>
      <c r="AQ773" s="21">
        <f t="shared" ref="AQ773:AV773" ca="1" si="1429">G773*$AU$181</f>
        <v>19.150696115058341</v>
      </c>
      <c r="AR773" s="21">
        <f t="shared" ca="1" si="1429"/>
        <v>15.02849186108288</v>
      </c>
      <c r="AS773" s="21">
        <f t="shared" ca="1" si="1429"/>
        <v>11.726551792777215</v>
      </c>
      <c r="AT773" s="21">
        <f t="shared" ca="1" si="1429"/>
        <v>10.314756348543826</v>
      </c>
      <c r="AU773" s="21">
        <f t="shared" ca="1" si="1429"/>
        <v>12.801665628449669</v>
      </c>
      <c r="AV773" s="21">
        <f t="shared" ca="1" si="1429"/>
        <v>15.264990089171009</v>
      </c>
      <c r="AW773" s="21"/>
      <c r="AZ773" s="21">
        <f t="shared" ref="AZ773:BE774" ca="1" si="1430">G773</f>
        <v>20.158627489535096</v>
      </c>
      <c r="BA773" s="21">
        <f t="shared" ca="1" si="1430"/>
        <v>15.819465116929349</v>
      </c>
      <c r="BB773" s="21">
        <f t="shared" ca="1" si="1430"/>
        <v>12.343738729239174</v>
      </c>
      <c r="BC773" s="21">
        <f t="shared" ca="1" si="1430"/>
        <v>10.85763826162508</v>
      </c>
      <c r="BD773" s="21">
        <f t="shared" ca="1" si="1430"/>
        <v>13.47543750363123</v>
      </c>
      <c r="BE773" s="21">
        <f t="shared" ca="1" si="1430"/>
        <v>16.068410620180011</v>
      </c>
      <c r="BF773" s="21"/>
      <c r="BG773" s="21"/>
      <c r="BI773" s="21">
        <f t="shared" ref="BI773:BN774" ca="1" si="1431">G773</f>
        <v>20.158627489535096</v>
      </c>
      <c r="BJ773" s="21">
        <f t="shared" ca="1" si="1431"/>
        <v>15.819465116929349</v>
      </c>
      <c r="BK773" s="21">
        <f t="shared" ca="1" si="1431"/>
        <v>12.343738729239174</v>
      </c>
      <c r="BL773" s="21">
        <f t="shared" ca="1" si="1431"/>
        <v>10.85763826162508</v>
      </c>
      <c r="BM773" s="21">
        <f t="shared" ca="1" si="1431"/>
        <v>13.47543750363123</v>
      </c>
      <c r="BN773" s="21">
        <f t="shared" ca="1" si="1431"/>
        <v>16.068410620180011</v>
      </c>
      <c r="BO773" s="21"/>
      <c r="BP773" s="21"/>
    </row>
    <row r="774" spans="2:68" ht="13.2" customHeight="1">
      <c r="B774" s="280" t="s">
        <v>1428</v>
      </c>
      <c r="E774" s="280"/>
      <c r="F774" s="280"/>
      <c r="G774" s="21">
        <f ca="1">MIN('Speed-Vol., non-Cordon'!$X$57*(G726 / 'Speed-Vol., non-Cordon'!$X$57)^G745,'Speed-Vol., non-Cordon'!$X$32)</f>
        <v>54.484613634372188</v>
      </c>
      <c r="H774" s="21">
        <f ca="1">MIN('Speed-Vol., non-Cordon'!$X$57*(H726 / 'Speed-Vol., non-Cordon'!$X$57)^H745,'Speed-Vol., non-Cordon'!$X$32)</f>
        <v>31.47125912527051</v>
      </c>
      <c r="I774" s="21">
        <f ca="1">MIN('Speed-Vol., non-Cordon'!$X$57*(I726 / 'Speed-Vol., non-Cordon'!$X$57)^I745,'Speed-Vol., non-Cordon'!$X$32)</f>
        <v>23.439326398508438</v>
      </c>
      <c r="J774" s="21">
        <f ca="1">MIN('Speed-Vol., non-Cordon'!$X$57*(J726 / 'Speed-Vol., non-Cordon'!$X$57)^J745,'Speed-Vol., non-Cordon'!$X$32)</f>
        <v>21.012721623613292</v>
      </c>
      <c r="K774" s="21">
        <f ca="1">MIN('Speed-Vol., non-Cordon'!$X$57*(K726 / 'Speed-Vol., non-Cordon'!$X$57)^K745,'Speed-Vol., non-Cordon'!$X$32)</f>
        <v>27.021468926948629</v>
      </c>
      <c r="L774" s="21">
        <f ca="1">MIN('Speed-Vol., non-Cordon'!$X$57*(L726 / 'Speed-Vol., non-Cordon'!$X$57)^L745,'Speed-Vol., non-Cordon'!$X$32)</f>
        <v>33.121575120844803</v>
      </c>
      <c r="M774" s="21"/>
      <c r="O774" s="136">
        <f>ROW()</f>
        <v>774</v>
      </c>
      <c r="P774" s="21">
        <f t="shared" ca="1" si="1426"/>
        <v>54.484613634372188</v>
      </c>
      <c r="Q774" s="21">
        <f t="shared" ca="1" si="1426"/>
        <v>31.47125912527051</v>
      </c>
      <c r="R774" s="21">
        <f t="shared" ca="1" si="1426"/>
        <v>23.439326398508438</v>
      </c>
      <c r="S774" s="21">
        <f t="shared" ca="1" si="1426"/>
        <v>21.012721623613292</v>
      </c>
      <c r="T774" s="21">
        <f t="shared" ca="1" si="1426"/>
        <v>27.021468926948629</v>
      </c>
      <c r="U774" s="21">
        <f t="shared" ca="1" si="1426"/>
        <v>33.121575120844803</v>
      </c>
      <c r="V774" s="21"/>
      <c r="Y774" s="21">
        <f t="shared" ca="1" si="1427"/>
        <v>54.484613634372188</v>
      </c>
      <c r="Z774" s="21">
        <f t="shared" ca="1" si="1427"/>
        <v>31.47125912527051</v>
      </c>
      <c r="AA774" s="21">
        <f t="shared" ca="1" si="1427"/>
        <v>23.439326398508438</v>
      </c>
      <c r="AB774" s="21">
        <f t="shared" ca="1" si="1427"/>
        <v>21.012721623613292</v>
      </c>
      <c r="AC774" s="21">
        <f t="shared" ca="1" si="1427"/>
        <v>27.021468926948629</v>
      </c>
      <c r="AD774" s="21">
        <f t="shared" ca="1" si="1427"/>
        <v>33.121575120844803</v>
      </c>
      <c r="AE774" s="21"/>
      <c r="AH774" s="21">
        <f t="shared" ca="1" si="1428"/>
        <v>54.484613634372188</v>
      </c>
      <c r="AI774" s="21">
        <f t="shared" ca="1" si="1428"/>
        <v>31.47125912527051</v>
      </c>
      <c r="AJ774" s="21">
        <f t="shared" ca="1" si="1428"/>
        <v>23.439326398508438</v>
      </c>
      <c r="AK774" s="21">
        <f t="shared" ca="1" si="1428"/>
        <v>21.012721623613292</v>
      </c>
      <c r="AL774" s="21">
        <f t="shared" ca="1" si="1428"/>
        <v>27.021468926948629</v>
      </c>
      <c r="AM774" s="21">
        <f t="shared" ca="1" si="1428"/>
        <v>33.121575120844803</v>
      </c>
      <c r="AN774" s="21"/>
      <c r="AQ774" s="21">
        <f t="shared" ref="AQ774:AV774" ca="1" si="1432">G774*$AV$181</f>
        <v>53.939767498028466</v>
      </c>
      <c r="AR774" s="21">
        <f t="shared" ca="1" si="1432"/>
        <v>31.156546534017806</v>
      </c>
      <c r="AS774" s="21">
        <f t="shared" ca="1" si="1432"/>
        <v>23.204933134523355</v>
      </c>
      <c r="AT774" s="21">
        <f t="shared" ca="1" si="1432"/>
        <v>20.802594407377157</v>
      </c>
      <c r="AU774" s="21">
        <f t="shared" ca="1" si="1432"/>
        <v>26.751254237679142</v>
      </c>
      <c r="AV774" s="21">
        <f t="shared" ca="1" si="1432"/>
        <v>32.790359369636356</v>
      </c>
      <c r="AW774" s="21"/>
      <c r="AX774" s="4272" t="s">
        <v>1878</v>
      </c>
      <c r="AZ774" s="21">
        <f t="shared" ca="1" si="1430"/>
        <v>54.484613634372188</v>
      </c>
      <c r="BA774" s="21">
        <f t="shared" ca="1" si="1430"/>
        <v>31.47125912527051</v>
      </c>
      <c r="BB774" s="21">
        <f t="shared" ca="1" si="1430"/>
        <v>23.439326398508438</v>
      </c>
      <c r="BC774" s="21">
        <f t="shared" ca="1" si="1430"/>
        <v>21.012721623613292</v>
      </c>
      <c r="BD774" s="21">
        <f t="shared" ca="1" si="1430"/>
        <v>27.021468926948629</v>
      </c>
      <c r="BE774" s="21">
        <f t="shared" ca="1" si="1430"/>
        <v>33.121575120844803</v>
      </c>
      <c r="BF774" s="21"/>
      <c r="BG774" s="21"/>
      <c r="BI774" s="21">
        <f t="shared" ca="1" si="1431"/>
        <v>54.484613634372188</v>
      </c>
      <c r="BJ774" s="21">
        <f t="shared" ca="1" si="1431"/>
        <v>31.47125912527051</v>
      </c>
      <c r="BK774" s="21">
        <f t="shared" ca="1" si="1431"/>
        <v>23.439326398508438</v>
      </c>
      <c r="BL774" s="21">
        <f t="shared" ca="1" si="1431"/>
        <v>21.012721623613292</v>
      </c>
      <c r="BM774" s="21">
        <f t="shared" ca="1" si="1431"/>
        <v>27.021468926948629</v>
      </c>
      <c r="BN774" s="21">
        <f t="shared" ca="1" si="1431"/>
        <v>33.121575120844803</v>
      </c>
      <c r="BO774" s="21"/>
      <c r="BP774" s="21"/>
    </row>
    <row r="775" spans="2:68" ht="13.2" customHeight="1">
      <c r="B775" s="280"/>
      <c r="O775" s="136">
        <f>ROW()</f>
        <v>775</v>
      </c>
      <c r="AX775" s="4273"/>
    </row>
    <row r="776" spans="2:68" ht="13.2" customHeight="1">
      <c r="B776" s="308" t="s">
        <v>2606</v>
      </c>
      <c r="F776" s="606"/>
      <c r="O776" s="136">
        <f>ROW()</f>
        <v>776</v>
      </c>
      <c r="AX776" s="4340"/>
    </row>
    <row r="777" spans="2:68" ht="13.2" customHeight="1">
      <c r="B777" s="280" t="s">
        <v>2158</v>
      </c>
      <c r="C777" s="297"/>
      <c r="D777" s="297"/>
      <c r="E777" s="297"/>
      <c r="F777" s="297"/>
      <c r="G777" s="4286" t="s">
        <v>2351</v>
      </c>
      <c r="H777" s="3775"/>
      <c r="I777" s="3775"/>
      <c r="J777" s="3775"/>
      <c r="K777" s="3775"/>
      <c r="L777" s="3776"/>
      <c r="O777" s="136">
        <f>ROW()</f>
        <v>777</v>
      </c>
      <c r="P777" s="21">
        <f t="shared" ref="P777:U777" ca="1" si="1433">($I$85)*60/P773</f>
        <v>4.464589667462306</v>
      </c>
      <c r="Q777" s="21">
        <f t="shared" ca="1" si="1433"/>
        <v>5.6891936190488295</v>
      </c>
      <c r="R777" s="21">
        <f t="shared" ca="1" si="1433"/>
        <v>7.2911458978642276</v>
      </c>
      <c r="S777" s="21">
        <f t="shared" ca="1" si="1433"/>
        <v>8.2890954580880969</v>
      </c>
      <c r="T777" s="21">
        <f t="shared" ca="1" si="1433"/>
        <v>6.6788184039106469</v>
      </c>
      <c r="U777" s="21">
        <f t="shared" ca="1" si="1433"/>
        <v>5.6010517858543345</v>
      </c>
      <c r="V777" s="21"/>
      <c r="W777" s="883">
        <f ca="1">SUMPRODUCT(P$476:V$476,P777:V777)/W$476</f>
        <v>6.2704039261641284</v>
      </c>
      <c r="Y777" s="21">
        <f t="shared" ref="Y777:AD777" ca="1" si="1434">($J$85)*60/Y773</f>
        <v>4.464589667462306</v>
      </c>
      <c r="Z777" s="21">
        <f t="shared" ca="1" si="1434"/>
        <v>5.6891936190488295</v>
      </c>
      <c r="AA777" s="21">
        <f t="shared" ca="1" si="1434"/>
        <v>7.2911458978642276</v>
      </c>
      <c r="AB777" s="21">
        <f t="shared" ca="1" si="1434"/>
        <v>8.2890954580880969</v>
      </c>
      <c r="AC777" s="21">
        <f t="shared" ca="1" si="1434"/>
        <v>6.6788184039106469</v>
      </c>
      <c r="AD777" s="21">
        <f t="shared" ca="1" si="1434"/>
        <v>5.6010517858543345</v>
      </c>
      <c r="AE777" s="21"/>
      <c r="AF777" s="613">
        <f ca="1">SUMPRODUCT(Y$476:AE$476,Y777:AE777)/AF$476</f>
        <v>6.4953709814027061</v>
      </c>
      <c r="AH777" s="21">
        <f t="shared" ref="AH777:AM777" ca="1" si="1435">($K$85)*60/AH773</f>
        <v>4.1669503562981536</v>
      </c>
      <c r="AI777" s="21">
        <f t="shared" ca="1" si="1435"/>
        <v>5.3099140444455752</v>
      </c>
      <c r="AJ777" s="21">
        <f t="shared" ca="1" si="1435"/>
        <v>6.8050695046732805</v>
      </c>
      <c r="AK777" s="21">
        <f t="shared" ca="1" si="1435"/>
        <v>7.7364890942155586</v>
      </c>
      <c r="AL777" s="21">
        <f t="shared" ca="1" si="1435"/>
        <v>6.2335638436499377</v>
      </c>
      <c r="AM777" s="21">
        <f t="shared" ca="1" si="1435"/>
        <v>5.227648333464046</v>
      </c>
      <c r="AN777" s="21"/>
      <c r="AO777" s="883">
        <f ca="1">SUMPRODUCT(AH$476:AN$476,AH777:AN777)/AO$476</f>
        <v>5.8595729326352606</v>
      </c>
      <c r="AQ777" s="21">
        <f t="shared" ref="AQ777:AV777" ca="1" si="1436">($L$85)*60/AQ773</f>
        <v>6.2660907613506049</v>
      </c>
      <c r="AR777" s="21">
        <f t="shared" ca="1" si="1436"/>
        <v>7.9848331495422178</v>
      </c>
      <c r="AS777" s="21">
        <f t="shared" ca="1" si="1436"/>
        <v>10.233187225072601</v>
      </c>
      <c r="AT777" s="21">
        <f t="shared" ca="1" si="1436"/>
        <v>11.633818186790313</v>
      </c>
      <c r="AU777" s="21">
        <f t="shared" ca="1" si="1436"/>
        <v>9.3737802160149428</v>
      </c>
      <c r="AV777" s="21">
        <f t="shared" ca="1" si="1436"/>
        <v>7.8611253134797678</v>
      </c>
      <c r="AW777" s="21"/>
      <c r="AX777" s="613">
        <f ca="1">SUMPRODUCT(AQ$476:AW$476,AQ777:AW777)/AX$476</f>
        <v>8.5830280090661972</v>
      </c>
      <c r="AZ777" s="21">
        <f t="shared" ref="AZ777:BE777" ca="1" si="1437">($M$85)*60/AZ773</f>
        <v>8.929179334924612</v>
      </c>
      <c r="BA777" s="21">
        <f t="shared" ca="1" si="1437"/>
        <v>11.378387238097659</v>
      </c>
      <c r="BB777" s="21">
        <f t="shared" ca="1" si="1437"/>
        <v>14.582291795728455</v>
      </c>
      <c r="BC777" s="21">
        <f t="shared" ca="1" si="1437"/>
        <v>16.578190916176194</v>
      </c>
      <c r="BD777" s="21">
        <f t="shared" ca="1" si="1437"/>
        <v>13.357636807821294</v>
      </c>
      <c r="BE777" s="21">
        <f t="shared" ca="1" si="1437"/>
        <v>11.202103571708669</v>
      </c>
      <c r="BF777" s="21"/>
      <c r="BG777" s="883">
        <f ca="1">SUMPRODUCT(AZ$476:BF$476,AZ777:BF777)/BG$476</f>
        <v>12.712173584959785</v>
      </c>
      <c r="BI777" s="21">
        <f t="shared" ref="BI777:BN777" ca="1" si="1438">($N$85)*60/BI773</f>
        <v>5.9527862232830753</v>
      </c>
      <c r="BJ777" s="21">
        <f t="shared" ca="1" si="1438"/>
        <v>7.585591492065106</v>
      </c>
      <c r="BK777" s="21">
        <f t="shared" ca="1" si="1438"/>
        <v>9.7215278638189702</v>
      </c>
      <c r="BL777" s="21">
        <f t="shared" ca="1" si="1438"/>
        <v>11.052127277450797</v>
      </c>
      <c r="BM777" s="21">
        <f t="shared" ca="1" si="1438"/>
        <v>8.9050912052141946</v>
      </c>
      <c r="BN777" s="21">
        <f t="shared" ca="1" si="1438"/>
        <v>7.4680690478057787</v>
      </c>
      <c r="BO777" s="21"/>
      <c r="BP777" s="883">
        <f ca="1">SUMPRODUCT(BI$476:BO$476,BI777:BO777)/BP$476</f>
        <v>8.4838971848525908</v>
      </c>
    </row>
    <row r="778" spans="2:68" ht="13.2" customHeight="1">
      <c r="B778" s="280" t="s">
        <v>2159</v>
      </c>
      <c r="C778" s="297"/>
      <c r="D778" s="297"/>
      <c r="E778" s="297"/>
      <c r="F778" s="297"/>
      <c r="G778" s="3738"/>
      <c r="H778" s="3739"/>
      <c r="I778" s="3739"/>
      <c r="J778" s="3739"/>
      <c r="K778" s="3739"/>
      <c r="L778" s="3922"/>
      <c r="O778" s="136">
        <f>ROW()</f>
        <v>778</v>
      </c>
      <c r="P778" s="21">
        <f t="shared" ref="P778:U778" ca="1" si="1439">60*$I$85/(1/($P$135/$P773+$Q$135/$Q773+$R$135/$R773+$S$135/$S773+$T$135/$T773+$U$135/$U773))</f>
        <v>6.2414861841059617</v>
      </c>
      <c r="Q778" s="21">
        <f t="shared" ca="1" si="1439"/>
        <v>6.2414861841059617</v>
      </c>
      <c r="R778" s="21">
        <f t="shared" ca="1" si="1439"/>
        <v>6.2414861841059617</v>
      </c>
      <c r="S778" s="21">
        <f t="shared" ca="1" si="1439"/>
        <v>6.2414861841059617</v>
      </c>
      <c r="T778" s="21">
        <f t="shared" ca="1" si="1439"/>
        <v>6.2414861841059617</v>
      </c>
      <c r="U778" s="21">
        <f t="shared" ca="1" si="1439"/>
        <v>6.2414861841059617</v>
      </c>
      <c r="V778" s="21"/>
      <c r="W778" s="613">
        <f ca="1">SUMPRODUCT(P$383:V$383,P778:V778)/W$383</f>
        <v>6.2414861841059626</v>
      </c>
      <c r="Y778" s="21">
        <f t="shared" ref="Y778:AD778" ca="1" si="1440">60*$J$85/(1/($Y$135/$Y773+$Z$135/$Z773+$AA$135/$AA773+$AB$135/$AB773+$AC$135/$AC773+$AD$135/$AD773))</f>
        <v>6.2414861841059608</v>
      </c>
      <c r="Z778" s="21">
        <f t="shared" ca="1" si="1440"/>
        <v>6.2414861841059608</v>
      </c>
      <c r="AA778" s="21">
        <f t="shared" ca="1" si="1440"/>
        <v>6.2414861841059608</v>
      </c>
      <c r="AB778" s="21">
        <f t="shared" ca="1" si="1440"/>
        <v>6.2414861841059608</v>
      </c>
      <c r="AC778" s="21">
        <f t="shared" ca="1" si="1440"/>
        <v>6.2414861841059608</v>
      </c>
      <c r="AD778" s="21">
        <f t="shared" ca="1" si="1440"/>
        <v>6.2414861841059608</v>
      </c>
      <c r="AE778" s="21"/>
      <c r="AF778" s="613">
        <f ca="1">SUMPRODUCT(Y$383:AE$383,Y778:AE778)/AF$383</f>
        <v>6.2414861841059608</v>
      </c>
      <c r="AH778" s="21">
        <f t="shared" ref="AH778:AM778" ca="1" si="1441">AH777</f>
        <v>4.1669503562981536</v>
      </c>
      <c r="AI778" s="21">
        <f t="shared" ca="1" si="1441"/>
        <v>5.3099140444455752</v>
      </c>
      <c r="AJ778" s="21">
        <f t="shared" ca="1" si="1441"/>
        <v>6.8050695046732805</v>
      </c>
      <c r="AK778" s="21">
        <f t="shared" ca="1" si="1441"/>
        <v>7.7364890942155586</v>
      </c>
      <c r="AL778" s="21">
        <f t="shared" ca="1" si="1441"/>
        <v>6.2335638436499377</v>
      </c>
      <c r="AM778" s="21">
        <f t="shared" ca="1" si="1441"/>
        <v>5.227648333464046</v>
      </c>
      <c r="AN778" s="21"/>
      <c r="AO778" s="613">
        <f ca="1">SUMPRODUCT(AH$383:AN$383,AH778:AN778)/AO$383</f>
        <v>5.8681923638068225</v>
      </c>
      <c r="AQ778" s="21"/>
      <c r="AR778" s="21"/>
      <c r="AS778" s="21"/>
      <c r="AT778" s="21"/>
      <c r="AU778" s="21"/>
      <c r="AV778" s="21"/>
      <c r="AW778" s="21"/>
      <c r="AX778" s="613"/>
      <c r="AZ778" s="21">
        <f t="shared" ref="AZ778:BE778" ca="1" si="1442">60*$M$85/(1/($AZ$135/$AZ773+$BA$135/$BA773+$BB$135/$BB773+$BC$135/$BC773+$BD$135/$BD773+$BE$135/$BE773))</f>
        <v>12.482972368211922</v>
      </c>
      <c r="BA778" s="21">
        <f t="shared" ca="1" si="1442"/>
        <v>12.482972368211922</v>
      </c>
      <c r="BB778" s="21">
        <f t="shared" ca="1" si="1442"/>
        <v>12.482972368211922</v>
      </c>
      <c r="BC778" s="21">
        <f t="shared" ca="1" si="1442"/>
        <v>12.482972368211922</v>
      </c>
      <c r="BD778" s="21">
        <f t="shared" ca="1" si="1442"/>
        <v>12.482972368211922</v>
      </c>
      <c r="BE778" s="21">
        <f t="shared" ca="1" si="1442"/>
        <v>12.482972368211922</v>
      </c>
      <c r="BF778" s="21"/>
      <c r="BG778" s="613">
        <f ca="1">SUMPRODUCT(AZ$383:BF$383,AZ778:BF778)/BG$383</f>
        <v>12.482972368211923</v>
      </c>
      <c r="BI778" s="21">
        <f t="shared" ref="BI778:BN778" ca="1" si="1443">60*$N$85/(1/($BI$135/$BI773+$BJ$135/$BJ773+$BK$135/$BK773+$BL$135/$BL773+$BM$135/$BM773+$BN$135/$BN773))</f>
        <v>8.3219815788079483</v>
      </c>
      <c r="BJ778" s="21">
        <f t="shared" ca="1" si="1443"/>
        <v>8.3219815788079483</v>
      </c>
      <c r="BK778" s="21">
        <f t="shared" ca="1" si="1443"/>
        <v>8.3219815788079483</v>
      </c>
      <c r="BL778" s="21">
        <f t="shared" ca="1" si="1443"/>
        <v>8.3219815788079483</v>
      </c>
      <c r="BM778" s="21">
        <f t="shared" ca="1" si="1443"/>
        <v>8.3219815788079483</v>
      </c>
      <c r="BN778" s="21">
        <f t="shared" ca="1" si="1443"/>
        <v>8.3219815788079483</v>
      </c>
      <c r="BO778" s="21"/>
      <c r="BP778" s="613">
        <f ca="1">SUMPRODUCT(BI$383:BO$383,BI778:BO778)/BP$383</f>
        <v>8.3219815788079483</v>
      </c>
    </row>
    <row r="779" spans="2:68" ht="13.2" customHeight="1">
      <c r="B779" s="280" t="s">
        <v>2160</v>
      </c>
      <c r="C779" s="297"/>
      <c r="D779" s="297"/>
      <c r="E779" s="297"/>
      <c r="F779" s="297"/>
      <c r="G779" s="3738"/>
      <c r="H779" s="3739"/>
      <c r="I779" s="3739"/>
      <c r="J779" s="3739"/>
      <c r="K779" s="3739"/>
      <c r="L779" s="3922"/>
      <c r="O779" s="136">
        <f>ROW()</f>
        <v>779</v>
      </c>
      <c r="P779" s="21">
        <f t="shared" ref="P779:U779" ca="1" si="1444">($I$79)*60/P774</f>
        <v>18.610823426738552</v>
      </c>
      <c r="Q779" s="21">
        <f t="shared" ca="1" si="1444"/>
        <v>32.21998585398692</v>
      </c>
      <c r="R779" s="21">
        <f t="shared" ca="1" si="1444"/>
        <v>43.260779195766432</v>
      </c>
      <c r="S779" s="21">
        <f t="shared" ca="1" si="1444"/>
        <v>48.256648614421962</v>
      </c>
      <c r="T779" s="21">
        <f t="shared" ca="1" si="1444"/>
        <v>37.525847560866779</v>
      </c>
      <c r="U779" s="21">
        <f t="shared" ca="1" si="1444"/>
        <v>30.614592455937203</v>
      </c>
      <c r="V779" s="21"/>
      <c r="W779" s="613">
        <f ca="1">SUMPRODUCT(P$476:V$476,P779:V779)/W$476</f>
        <v>34.221837512036231</v>
      </c>
      <c r="Y779" s="21">
        <f t="shared" ref="Y779:AD779" ca="1" si="1445">($J$79)*60/Y774</f>
        <v>18.610823426738552</v>
      </c>
      <c r="Z779" s="21">
        <f t="shared" ca="1" si="1445"/>
        <v>32.21998585398692</v>
      </c>
      <c r="AA779" s="21">
        <f t="shared" ca="1" si="1445"/>
        <v>43.260779195766432</v>
      </c>
      <c r="AB779" s="21">
        <f t="shared" ca="1" si="1445"/>
        <v>48.256648614421962</v>
      </c>
      <c r="AC779" s="21">
        <f t="shared" ca="1" si="1445"/>
        <v>37.525847560866779</v>
      </c>
      <c r="AD779" s="21">
        <f t="shared" ca="1" si="1445"/>
        <v>30.614592455937203</v>
      </c>
      <c r="AE779" s="21"/>
      <c r="AF779" s="613">
        <f ca="1">SUMPRODUCT(Y$476:AE$476,Y779:AE779)/AF$476</f>
        <v>35.948075909814669</v>
      </c>
      <c r="AH779" s="21">
        <f t="shared" ref="AH779:AM779" ca="1" si="1446">($K$79)*60/AH774</f>
        <v>27.91623514010783</v>
      </c>
      <c r="AI779" s="21">
        <f t="shared" ca="1" si="1446"/>
        <v>48.329978780980383</v>
      </c>
      <c r="AJ779" s="21">
        <f t="shared" ca="1" si="1446"/>
        <v>64.891168793649641</v>
      </c>
      <c r="AK779" s="21">
        <f t="shared" ca="1" si="1446"/>
        <v>72.384972921632937</v>
      </c>
      <c r="AL779" s="21">
        <f t="shared" ca="1" si="1446"/>
        <v>56.288771341300169</v>
      </c>
      <c r="AM779" s="21">
        <f t="shared" ca="1" si="1446"/>
        <v>45.921888683905806</v>
      </c>
      <c r="AN779" s="21"/>
      <c r="AO779" s="613">
        <f ca="1">SUMPRODUCT(AH$476:AN$476,AH779:AN779)/AO$476</f>
        <v>51.371719883467456</v>
      </c>
      <c r="AQ779" s="21">
        <f t="shared" ref="AQ779:AV779" ca="1" si="1447">($L$79)*60/AQ774</f>
        <v>6.6741110816459903</v>
      </c>
      <c r="AR779" s="21">
        <f t="shared" ca="1" si="1447"/>
        <v>11.554554019873141</v>
      </c>
      <c r="AS779" s="21">
        <f t="shared" ca="1" si="1447"/>
        <v>15.513942570444501</v>
      </c>
      <c r="AT779" s="21">
        <f t="shared" ca="1" si="1447"/>
        <v>17.305533769015579</v>
      </c>
      <c r="AU779" s="21">
        <f t="shared" ca="1" si="1447"/>
        <v>13.457312946954838</v>
      </c>
      <c r="AV779" s="21">
        <f t="shared" ca="1" si="1447"/>
        <v>10.978836673969408</v>
      </c>
      <c r="AW779" s="21"/>
      <c r="AX779" s="613">
        <f ca="1">SUMPRODUCT(AQ$476:AW$476,AQ779:AW779)/AX$476</f>
        <v>11.778842805905303</v>
      </c>
      <c r="AZ779" s="21">
        <f t="shared" ref="AZ779:BE779" ca="1" si="1448">($M$79)*60/AZ774</f>
        <v>14.020446962933063</v>
      </c>
      <c r="BA779" s="21">
        <f t="shared" ca="1" si="1448"/>
        <v>24.272897144532308</v>
      </c>
      <c r="BB779" s="21">
        <f t="shared" ca="1" si="1448"/>
        <v>32.590468803114817</v>
      </c>
      <c r="BC779" s="21">
        <f t="shared" ca="1" si="1448"/>
        <v>36.354102502275332</v>
      </c>
      <c r="BD779" s="21">
        <f t="shared" ca="1" si="1448"/>
        <v>28.270063253103739</v>
      </c>
      <c r="BE779" s="21">
        <f t="shared" ca="1" si="1448"/>
        <v>23.063475482959785</v>
      </c>
      <c r="BF779" s="21"/>
      <c r="BG779" s="613">
        <f ca="1">SUMPRODUCT(AZ$476:BF$476,AZ779:BF779)/BG$476</f>
        <v>26.263202571538056</v>
      </c>
      <c r="BI779" s="21">
        <f t="shared" ref="BI779:BN779" ca="1" si="1449">($N$79)*60/BI774</f>
        <v>19.208717870938681</v>
      </c>
      <c r="BJ779" s="21">
        <f t="shared" ca="1" si="1449"/>
        <v>33.25509053971664</v>
      </c>
      <c r="BK779" s="21">
        <f t="shared" ca="1" si="1449"/>
        <v>44.650582265723877</v>
      </c>
      <c r="BL779" s="21">
        <f t="shared" ca="1" si="1449"/>
        <v>49.806949825749761</v>
      </c>
      <c r="BM779" s="21">
        <f t="shared" ca="1" si="1449"/>
        <v>38.731409252366589</v>
      </c>
      <c r="BN779" s="21">
        <f t="shared" ca="1" si="1449"/>
        <v>31.598122003294996</v>
      </c>
      <c r="BO779" s="21"/>
      <c r="BP779" s="613">
        <f ca="1">SUMPRODUCT(BI$476:BO$476,BI779:BO779)/BP$476</f>
        <v>36.041062136417288</v>
      </c>
    </row>
    <row r="780" spans="2:68" ht="13.2" customHeight="1">
      <c r="B780" s="280" t="s">
        <v>1138</v>
      </c>
      <c r="C780" s="297"/>
      <c r="D780" s="297"/>
      <c r="E780" s="297"/>
      <c r="F780" s="297"/>
      <c r="G780" s="3738"/>
      <c r="H780" s="3739"/>
      <c r="I780" s="3739"/>
      <c r="J780" s="3739"/>
      <c r="K780" s="3739"/>
      <c r="L780" s="3922"/>
      <c r="O780" s="136">
        <f>ROW()</f>
        <v>780</v>
      </c>
      <c r="P780" s="21">
        <f t="shared" ref="P780:U780" ca="1" si="1450">60*$I$79/(1/($P$135/$P774+$Q$135/$Q774+$R$135/$R774+$S$135/$S774+$T$135/$T774+$U$135/$U774))</f>
        <v>33.91439569692929</v>
      </c>
      <c r="Q780" s="21">
        <f t="shared" ca="1" si="1450"/>
        <v>33.91439569692929</v>
      </c>
      <c r="R780" s="21">
        <f t="shared" ca="1" si="1450"/>
        <v>33.91439569692929</v>
      </c>
      <c r="S780" s="21">
        <f t="shared" ca="1" si="1450"/>
        <v>33.91439569692929</v>
      </c>
      <c r="T780" s="21">
        <f t="shared" ca="1" si="1450"/>
        <v>33.91439569692929</v>
      </c>
      <c r="U780" s="21">
        <f t="shared" ca="1" si="1450"/>
        <v>33.91439569692929</v>
      </c>
      <c r="V780" s="21"/>
      <c r="W780" s="613">
        <f ca="1">SUMPRODUCT(P$476:V$476,P780:V780)/W$476</f>
        <v>33.914395696929283</v>
      </c>
      <c r="Y780" s="21">
        <f t="shared" ref="Y780:AD780" ca="1" si="1451">60*$J$79/(1/($Y$135/$Y774+$Z$135/$Z774+$AA$135/$AA774+$AB$135/$AB774+$AC$135/$AC774+$AD$135/$AD774))</f>
        <v>33.914395696929283</v>
      </c>
      <c r="Z780" s="21">
        <f t="shared" ca="1" si="1451"/>
        <v>33.914395696929283</v>
      </c>
      <c r="AA780" s="21">
        <f t="shared" ca="1" si="1451"/>
        <v>33.914395696929283</v>
      </c>
      <c r="AB780" s="21">
        <f t="shared" ca="1" si="1451"/>
        <v>33.914395696929283</v>
      </c>
      <c r="AC780" s="21">
        <f t="shared" ca="1" si="1451"/>
        <v>33.914395696929283</v>
      </c>
      <c r="AD780" s="21">
        <f t="shared" ca="1" si="1451"/>
        <v>33.914395696929283</v>
      </c>
      <c r="AE780" s="21"/>
      <c r="AF780" s="613">
        <f ca="1">SUMPRODUCT(Y$476:AE$476,Y780:AE780)/AF$476</f>
        <v>33.914395696929283</v>
      </c>
      <c r="AH780" s="21">
        <f t="shared" ref="AH780:AM780" ca="1" si="1452">AH779</f>
        <v>27.91623514010783</v>
      </c>
      <c r="AI780" s="21">
        <f t="shared" ca="1" si="1452"/>
        <v>48.329978780980383</v>
      </c>
      <c r="AJ780" s="21">
        <f t="shared" ca="1" si="1452"/>
        <v>64.891168793649641</v>
      </c>
      <c r="AK780" s="21">
        <f t="shared" ca="1" si="1452"/>
        <v>72.384972921632937</v>
      </c>
      <c r="AL780" s="21">
        <f t="shared" ca="1" si="1452"/>
        <v>56.288771341300169</v>
      </c>
      <c r="AM780" s="21">
        <f t="shared" ca="1" si="1452"/>
        <v>45.921888683905806</v>
      </c>
      <c r="AN780" s="21"/>
      <c r="AO780" s="613">
        <f ca="1">SUMPRODUCT(AH$476:AN$476,AH780:AN780)/AO$476</f>
        <v>51.371719883467456</v>
      </c>
      <c r="AX780" s="613"/>
      <c r="AZ780" s="21">
        <f t="shared" ref="AZ780:BE780" ca="1" si="1453">60*$M$79/(1/($AZ$135/$AZ774+$BA$135/$BA774+$BB$135/$BB774+$BC$135/$BC774+$BD$135/$BD774+$BE$135/$BE774))</f>
        <v>25.549379264195743</v>
      </c>
      <c r="BA780" s="21">
        <f t="shared" ca="1" si="1453"/>
        <v>25.549379264195743</v>
      </c>
      <c r="BB780" s="21">
        <f t="shared" ca="1" si="1453"/>
        <v>25.549379264195743</v>
      </c>
      <c r="BC780" s="21">
        <f t="shared" ca="1" si="1453"/>
        <v>25.549379264195743</v>
      </c>
      <c r="BD780" s="21">
        <f t="shared" ca="1" si="1453"/>
        <v>25.549379264195743</v>
      </c>
      <c r="BE780" s="21">
        <f t="shared" ca="1" si="1453"/>
        <v>25.549379264195743</v>
      </c>
      <c r="BF780" s="21"/>
      <c r="BG780" s="613">
        <f ca="1">SUMPRODUCT(AZ$476:BF$476,AZ780:BF780)/BG$476</f>
        <v>25.549379264195743</v>
      </c>
      <c r="BI780" s="21">
        <f t="shared" ref="BI780:BN780" ca="1" si="1454">60*$N$79/(1/($BI$135/$BI774+$BJ$135/$BJ774+$BK$135/$BK774+$BL$135/$BL774+$BM$135/$BM774+$BN$135/$BN774))</f>
        <v>35.003935278314287</v>
      </c>
      <c r="BJ780" s="21">
        <f t="shared" ca="1" si="1454"/>
        <v>35.003935278314287</v>
      </c>
      <c r="BK780" s="21">
        <f t="shared" ca="1" si="1454"/>
        <v>35.003935278314287</v>
      </c>
      <c r="BL780" s="21">
        <f t="shared" ca="1" si="1454"/>
        <v>35.003935278314287</v>
      </c>
      <c r="BM780" s="21">
        <f t="shared" ca="1" si="1454"/>
        <v>35.003935278314287</v>
      </c>
      <c r="BN780" s="21">
        <f t="shared" ca="1" si="1454"/>
        <v>35.003935278314287</v>
      </c>
      <c r="BO780" s="21"/>
      <c r="BP780" s="613">
        <f ca="1">SUMPRODUCT(BI$476:BO$476,BI780:BO780)/BP$476</f>
        <v>35.003935278314287</v>
      </c>
    </row>
    <row r="781" spans="2:68" ht="13.2" customHeight="1">
      <c r="B781" s="308" t="s">
        <v>2243</v>
      </c>
      <c r="C781" s="297"/>
      <c r="D781" s="297"/>
      <c r="E781" s="297"/>
      <c r="F781" s="297"/>
      <c r="G781" s="3741"/>
      <c r="H781" s="3742"/>
      <c r="I781" s="3742"/>
      <c r="J781" s="3742"/>
      <c r="K781" s="3742"/>
      <c r="L781" s="3777"/>
      <c r="O781" s="136">
        <f>ROW()</f>
        <v>781</v>
      </c>
      <c r="P781" s="21">
        <f t="shared" ref="P781:U781" ca="1" si="1455">SUM(P777:P780)</f>
        <v>63.231294975236111</v>
      </c>
      <c r="Q781" s="21">
        <f t="shared" ca="1" si="1455"/>
        <v>78.065061354071005</v>
      </c>
      <c r="R781" s="21">
        <f t="shared" ca="1" si="1455"/>
        <v>90.707806974665914</v>
      </c>
      <c r="S781" s="21">
        <f t="shared" ca="1" si="1455"/>
        <v>96.701625953545317</v>
      </c>
      <c r="T781" s="21">
        <f t="shared" ca="1" si="1455"/>
        <v>84.360547845812675</v>
      </c>
      <c r="U781" s="21">
        <f t="shared" ca="1" si="1455"/>
        <v>76.371526122826793</v>
      </c>
      <c r="V781" s="21"/>
      <c r="W781" s="614">
        <f ca="1">SUM(W777:W780)</f>
        <v>80.648123319235594</v>
      </c>
      <c r="Y781" s="21">
        <f t="shared" ref="Y781:AD781" ca="1" si="1456">SUM(Y777:Y780)</f>
        <v>63.231294975236104</v>
      </c>
      <c r="Z781" s="21">
        <f t="shared" ca="1" si="1456"/>
        <v>78.065061354070991</v>
      </c>
      <c r="AA781" s="21">
        <f t="shared" ca="1" si="1456"/>
        <v>90.707806974665914</v>
      </c>
      <c r="AB781" s="21">
        <f t="shared" ca="1" si="1456"/>
        <v>96.701625953545303</v>
      </c>
      <c r="AC781" s="21">
        <f t="shared" ca="1" si="1456"/>
        <v>84.360547845812675</v>
      </c>
      <c r="AD781" s="21">
        <f t="shared" ca="1" si="1456"/>
        <v>76.371526122826779</v>
      </c>
      <c r="AE781" s="21"/>
      <c r="AF781" s="614">
        <f ca="1">SUM(AF777:AF780)</f>
        <v>82.599328772252619</v>
      </c>
      <c r="AH781" s="21">
        <f t="shared" ref="AH781:AO781" ca="1" si="1457">SUM(AH777:AH780)</f>
        <v>64.166370992811963</v>
      </c>
      <c r="AI781" s="21">
        <f t="shared" ca="1" si="1457"/>
        <v>107.27978565085192</v>
      </c>
      <c r="AJ781" s="21">
        <f t="shared" ca="1" si="1457"/>
        <v>143.39247659664585</v>
      </c>
      <c r="AK781" s="21">
        <f t="shared" ca="1" si="1457"/>
        <v>160.24292403169699</v>
      </c>
      <c r="AL781" s="21">
        <f t="shared" ca="1" si="1457"/>
        <v>125.04467036990022</v>
      </c>
      <c r="AM781" s="21">
        <f t="shared" ca="1" si="1457"/>
        <v>102.2990740347397</v>
      </c>
      <c r="AN781" s="21"/>
      <c r="AO781" s="614">
        <f t="shared" ca="1" si="1457"/>
        <v>114.471205063377</v>
      </c>
      <c r="AQ781" s="21">
        <f t="shared" ref="AQ781:AX781" ca="1" si="1458">AQ777+AQ779</f>
        <v>12.940201842996595</v>
      </c>
      <c r="AR781" s="21">
        <f t="shared" ca="1" si="1458"/>
        <v>19.53938716941536</v>
      </c>
      <c r="AS781" s="21">
        <f t="shared" ca="1" si="1458"/>
        <v>25.747129795517104</v>
      </c>
      <c r="AT781" s="21">
        <f t="shared" ca="1" si="1458"/>
        <v>28.93935195580589</v>
      </c>
      <c r="AU781" s="21">
        <f t="shared" ca="1" si="1458"/>
        <v>22.831093162969779</v>
      </c>
      <c r="AV781" s="21">
        <f t="shared" ca="1" si="1458"/>
        <v>18.839961987449175</v>
      </c>
      <c r="AW781" s="21"/>
      <c r="AX781" s="614">
        <f t="shared" ca="1" si="1458"/>
        <v>20.3618708149715</v>
      </c>
      <c r="AZ781" s="21">
        <f t="shared" ref="AZ781:BE781" ca="1" si="1459">SUM(AZ777:AZ780)</f>
        <v>60.981977930265337</v>
      </c>
      <c r="BA781" s="21">
        <f t="shared" ca="1" si="1459"/>
        <v>73.683636015037621</v>
      </c>
      <c r="BB781" s="21">
        <f t="shared" ca="1" si="1459"/>
        <v>85.205112231250936</v>
      </c>
      <c r="BC781" s="21">
        <f t="shared" ca="1" si="1459"/>
        <v>90.96464505085919</v>
      </c>
      <c r="BD781" s="21">
        <f t="shared" ca="1" si="1459"/>
        <v>79.66005169333269</v>
      </c>
      <c r="BE781" s="21">
        <f t="shared" ca="1" si="1459"/>
        <v>72.297930687076118</v>
      </c>
      <c r="BF781" s="21"/>
      <c r="BG781" s="614">
        <f ca="1">SUM(BG777:BG780)</f>
        <v>77.007727788905498</v>
      </c>
      <c r="BI781" s="21">
        <f t="shared" ref="BI781:BN781" ca="1" si="1460">SUM(BI777:BI780)</f>
        <v>68.487420951343992</v>
      </c>
      <c r="BJ781" s="21">
        <f t="shared" ca="1" si="1460"/>
        <v>84.166598888903991</v>
      </c>
      <c r="BK781" s="21">
        <f t="shared" ca="1" si="1460"/>
        <v>97.698026986665084</v>
      </c>
      <c r="BL781" s="21">
        <f t="shared" ca="1" si="1460"/>
        <v>104.1849939603228</v>
      </c>
      <c r="BM781" s="21">
        <f t="shared" ca="1" si="1460"/>
        <v>90.962417314703018</v>
      </c>
      <c r="BN781" s="21">
        <f t="shared" ca="1" si="1460"/>
        <v>82.392107908223011</v>
      </c>
      <c r="BO781" s="21"/>
      <c r="BP781" s="614">
        <f ca="1">SUM(BP777:BP780)</f>
        <v>87.850876178392113</v>
      </c>
    </row>
    <row r="782" spans="2:68" ht="13.2" customHeight="1">
      <c r="B782" s="308"/>
      <c r="C782" s="297"/>
      <c r="D782" s="297"/>
      <c r="E782" s="297"/>
      <c r="F782" s="297"/>
      <c r="G782" s="280"/>
      <c r="O782" s="136">
        <f>ROW()</f>
        <v>782</v>
      </c>
      <c r="P782" s="21"/>
      <c r="Q782" s="21"/>
      <c r="R782" s="21"/>
      <c r="S782" s="21"/>
      <c r="T782" s="21"/>
      <c r="U782" s="21"/>
      <c r="V782" s="21"/>
      <c r="W782" s="634"/>
      <c r="Y782" s="21"/>
      <c r="Z782" s="21"/>
      <c r="AA782" s="21"/>
      <c r="AB782" s="21"/>
      <c r="AC782" s="21"/>
      <c r="AD782" s="21"/>
      <c r="AE782" s="21"/>
      <c r="AF782" s="634"/>
      <c r="AH782" s="21"/>
      <c r="AI782" s="21"/>
      <c r="AJ782" s="21"/>
      <c r="AK782" s="21"/>
      <c r="AL782" s="21"/>
      <c r="AM782" s="21"/>
      <c r="AN782" s="21"/>
      <c r="AO782" s="634"/>
      <c r="AQ782" s="21"/>
      <c r="AR782" s="21"/>
      <c r="AS782" s="21"/>
      <c r="AT782" s="21"/>
      <c r="AU782" s="21"/>
      <c r="AV782" s="21"/>
      <c r="AW782" s="21"/>
      <c r="AX782" s="634"/>
      <c r="AZ782" s="21"/>
      <c r="BA782" s="21"/>
      <c r="BB782" s="21"/>
      <c r="BC782" s="21"/>
      <c r="BD782" s="21"/>
      <c r="BE782" s="21"/>
      <c r="BF782" s="21"/>
      <c r="BG782" s="634"/>
      <c r="BI782" s="21"/>
      <c r="BJ782" s="21"/>
      <c r="BK782" s="21"/>
      <c r="BL782" s="21"/>
      <c r="BM782" s="21"/>
      <c r="BN782" s="21"/>
      <c r="BO782" s="21"/>
      <c r="BP782" s="634"/>
    </row>
    <row r="783" spans="2:68" ht="13.2" customHeight="1">
      <c r="B783" s="308" t="s">
        <v>1345</v>
      </c>
      <c r="G783" s="4285" t="s">
        <v>2351</v>
      </c>
      <c r="H783" s="3970"/>
      <c r="I783" s="3970"/>
      <c r="J783" s="3970"/>
      <c r="K783" s="3970"/>
      <c r="L783" s="3971"/>
      <c r="O783" s="136">
        <f>ROW()</f>
        <v>783</v>
      </c>
      <c r="P783" s="117">
        <f t="shared" ref="P783:W783" ca="1" si="1461">P781/P733</f>
        <v>0.99987396083608315</v>
      </c>
      <c r="Q783" s="117">
        <f t="shared" ca="1" si="1461"/>
        <v>0.99978489143738147</v>
      </c>
      <c r="R783" s="117">
        <f t="shared" ca="1" si="1461"/>
        <v>0.99975730006906627</v>
      </c>
      <c r="S783" s="117">
        <f t="shared" ca="1" si="1461"/>
        <v>0.99980038262107962</v>
      </c>
      <c r="T783" s="117">
        <f t="shared" ca="1" si="1461"/>
        <v>0.99973299565219176</v>
      </c>
      <c r="U783" s="117">
        <f t="shared" ca="1" si="1461"/>
        <v>0.99977906067904165</v>
      </c>
      <c r="V783" s="117"/>
      <c r="W783" s="117">
        <f t="shared" ca="1" si="1461"/>
        <v>0.99979302744014109</v>
      </c>
      <c r="Y783" s="117">
        <f t="shared" ref="Y783:AF783" ca="1" si="1462">Y781/Y733</f>
        <v>0.99987396083608326</v>
      </c>
      <c r="Z783" s="117">
        <f t="shared" ca="1" si="1462"/>
        <v>0.99978489143738147</v>
      </c>
      <c r="AA783" s="117">
        <f t="shared" ca="1" si="1462"/>
        <v>0.99975730006906649</v>
      </c>
      <c r="AB783" s="117">
        <f t="shared" ca="1" si="1462"/>
        <v>0.99980038262107962</v>
      </c>
      <c r="AC783" s="117">
        <f t="shared" ca="1" si="1462"/>
        <v>0.99973299565219187</v>
      </c>
      <c r="AD783" s="117">
        <f t="shared" ca="1" si="1462"/>
        <v>0.99977906067904165</v>
      </c>
      <c r="AE783" s="117"/>
      <c r="AF783" s="117">
        <f t="shared" ca="1" si="1462"/>
        <v>0.99978961814670053</v>
      </c>
      <c r="AH783" s="117">
        <f t="shared" ref="AH783:AO783" ca="1" si="1463">AH781/AH733</f>
        <v>1.0000117697157074</v>
      </c>
      <c r="AI783" s="117">
        <f t="shared" ca="1" si="1463"/>
        <v>0.99976406244389604</v>
      </c>
      <c r="AJ783" s="117">
        <f t="shared" ca="1" si="1463"/>
        <v>0.99971647900059146</v>
      </c>
      <c r="AK783" s="117">
        <f t="shared" ca="1" si="1463"/>
        <v>0.99979622807584501</v>
      </c>
      <c r="AL783" s="117">
        <f t="shared" ca="1" si="1463"/>
        <v>0.99966380668701871</v>
      </c>
      <c r="AM783" s="117">
        <f t="shared" ca="1" si="1463"/>
        <v>0.99974991933344293</v>
      </c>
      <c r="AN783" s="117"/>
      <c r="AO783" s="117">
        <f t="shared" ca="1" si="1463"/>
        <v>0.9997842598468919</v>
      </c>
      <c r="AQ783" s="117">
        <f t="shared" ref="AQ783:AX783" ca="1" si="1464">AQ781/AQ733</f>
        <v>1.0000035525057751</v>
      </c>
      <c r="AR783" s="117">
        <f t="shared" ca="1" si="1464"/>
        <v>0.9998213521829179</v>
      </c>
      <c r="AS783" s="117">
        <f t="shared" ca="1" si="1464"/>
        <v>0.99978011582957094</v>
      </c>
      <c r="AT783" s="117">
        <f t="shared" ca="1" si="1464"/>
        <v>0.99984218244251222</v>
      </c>
      <c r="AU783" s="117">
        <f t="shared" ca="1" si="1464"/>
        <v>0.99973818892163846</v>
      </c>
      <c r="AV783" s="117">
        <f t="shared" ca="1" si="1464"/>
        <v>0.99981458341042861</v>
      </c>
      <c r="AW783" s="117"/>
      <c r="AX783" s="117">
        <f t="shared" ca="1" si="1464"/>
        <v>0.99984438344333759</v>
      </c>
      <c r="AZ783" s="117">
        <f t="shared" ref="AZ783:BG783" ca="1" si="1465">AZ781/AZ733</f>
        <v>0.99989213453182046</v>
      </c>
      <c r="BA783" s="117">
        <f t="shared" ca="1" si="1465"/>
        <v>0.99981449220521879</v>
      </c>
      <c r="BB783" s="117">
        <f t="shared" ca="1" si="1465"/>
        <v>0.99978923078489335</v>
      </c>
      <c r="BC783" s="117">
        <f t="shared" ca="1" si="1465"/>
        <v>0.99982663079050582</v>
      </c>
      <c r="BD783" s="117">
        <f t="shared" ca="1" si="1465"/>
        <v>0.99976774145737501</v>
      </c>
      <c r="BE783" s="117">
        <f t="shared" ca="1" si="1465"/>
        <v>0.99981052939187653</v>
      </c>
      <c r="BF783" s="117"/>
      <c r="BG783" s="117">
        <f t="shared" ca="1" si="1465"/>
        <v>0.9998204530909498</v>
      </c>
      <c r="BI783" s="117">
        <f t="shared" ref="BI783:BP783" ca="1" si="1466">BI781/BI733</f>
        <v>0.99987787057892541</v>
      </c>
      <c r="BJ783" s="117">
        <f t="shared" ca="1" si="1466"/>
        <v>0.99979115244958805</v>
      </c>
      <c r="BK783" s="117">
        <f t="shared" ca="1" si="1466"/>
        <v>0.99976402825536315</v>
      </c>
      <c r="BL783" s="117">
        <f t="shared" ca="1" si="1466"/>
        <v>0.99980591966443644</v>
      </c>
      <c r="BM783" s="117">
        <f t="shared" ca="1" si="1466"/>
        <v>0.99974034738157946</v>
      </c>
      <c r="BN783" s="117">
        <f t="shared" ca="1" si="1466"/>
        <v>0.99978573226218359</v>
      </c>
      <c r="BO783" s="117"/>
      <c r="BP783" s="117">
        <f t="shared" ca="1" si="1466"/>
        <v>0.99979792877169127</v>
      </c>
    </row>
    <row r="784" spans="2:68" ht="13.2" customHeight="1">
      <c r="B784" s="280"/>
      <c r="G784" s="280"/>
      <c r="O784" s="136">
        <f>ROW()</f>
        <v>784</v>
      </c>
      <c r="P784" s="117"/>
      <c r="Q784" s="117"/>
      <c r="R784" s="117"/>
      <c r="S784" s="117"/>
      <c r="T784" s="117"/>
      <c r="U784" s="117"/>
      <c r="V784" s="117"/>
      <c r="W784" s="117"/>
      <c r="Y784" s="117"/>
      <c r="Z784" s="117"/>
      <c r="AA784" s="117"/>
      <c r="AB784" s="117"/>
      <c r="AC784" s="117"/>
      <c r="AD784" s="117"/>
      <c r="AE784" s="117"/>
      <c r="AF784" s="117"/>
      <c r="AH784" s="117"/>
      <c r="AI784" s="117"/>
      <c r="AJ784" s="117"/>
      <c r="AK784" s="117"/>
      <c r="AL784" s="117"/>
      <c r="AM784" s="117"/>
      <c r="AN784" s="117"/>
      <c r="AO784" s="117"/>
      <c r="AQ784" s="117"/>
      <c r="AR784" s="117"/>
      <c r="AS784" s="117"/>
      <c r="AT784" s="117"/>
      <c r="AU784" s="117"/>
      <c r="AV784" s="117"/>
      <c r="AW784" s="117"/>
      <c r="AX784" s="117"/>
      <c r="AZ784" s="117"/>
      <c r="BA784" s="117"/>
      <c r="BB784" s="117"/>
      <c r="BC784" s="117"/>
      <c r="BD784" s="117"/>
      <c r="BE784" s="117"/>
      <c r="BF784" s="117"/>
      <c r="BG784" s="117"/>
      <c r="BI784" s="117"/>
      <c r="BJ784" s="117"/>
      <c r="BK784" s="117"/>
      <c r="BL784" s="117"/>
      <c r="BM784" s="117"/>
      <c r="BN784" s="117"/>
      <c r="BO784" s="117"/>
      <c r="BP784" s="117"/>
    </row>
    <row r="785" spans="2:68" ht="13.2" customHeight="1">
      <c r="B785" s="308" t="s">
        <v>1571</v>
      </c>
      <c r="G785" s="280"/>
      <c r="O785" s="136">
        <f>ROW()</f>
        <v>785</v>
      </c>
      <c r="P785" s="117"/>
      <c r="Q785" s="117"/>
      <c r="R785" s="117"/>
      <c r="S785" s="117"/>
      <c r="T785" s="117"/>
      <c r="U785" s="117"/>
      <c r="V785" s="117"/>
      <c r="W785" s="117"/>
      <c r="Y785" s="117"/>
      <c r="Z785" s="117"/>
      <c r="AA785" s="117"/>
      <c r="AB785" s="117"/>
      <c r="AC785" s="117"/>
      <c r="AD785" s="117"/>
      <c r="AE785" s="117"/>
      <c r="AF785" s="117"/>
      <c r="AH785" s="117"/>
      <c r="AI785" s="117"/>
      <c r="AJ785" s="117"/>
      <c r="AK785" s="117"/>
      <c r="AL785" s="117"/>
      <c r="AM785" s="117"/>
      <c r="AN785" s="117"/>
      <c r="AO785" s="117"/>
      <c r="AQ785" s="117"/>
      <c r="AR785" s="117"/>
      <c r="AS785" s="117"/>
      <c r="AT785" s="117"/>
      <c r="AU785" s="117"/>
      <c r="AV785" s="117"/>
      <c r="AW785" s="117"/>
      <c r="AX785" s="117"/>
      <c r="AZ785" s="117"/>
      <c r="BA785" s="117"/>
      <c r="BB785" s="117"/>
      <c r="BC785" s="117"/>
      <c r="BD785" s="117"/>
      <c r="BE785" s="117"/>
      <c r="BF785" s="117"/>
      <c r="BG785" s="117"/>
      <c r="BI785" s="117"/>
      <c r="BJ785" s="117"/>
      <c r="BK785" s="117"/>
      <c r="BL785" s="117"/>
      <c r="BM785" s="117"/>
      <c r="BN785" s="117"/>
      <c r="BO785" s="117"/>
      <c r="BP785" s="117"/>
    </row>
    <row r="786" spans="2:68" ht="13.2" customHeight="1">
      <c r="B786" s="280" t="s">
        <v>2533</v>
      </c>
      <c r="G786" s="21">
        <f t="shared" ref="G786:L786" ca="1" si="1467">AVERAGE(G$773,G$725,G$677,G$629,G$581,G$533,G$481,G$403)</f>
        <v>20.156077712880712</v>
      </c>
      <c r="H786" s="21">
        <f t="shared" ca="1" si="1467"/>
        <v>15.826253515792214</v>
      </c>
      <c r="I786" s="21">
        <f t="shared" ca="1" si="1467"/>
        <v>12.34205425697076</v>
      </c>
      <c r="J786" s="21">
        <f t="shared" ca="1" si="1467"/>
        <v>10.850108670277532</v>
      </c>
      <c r="K786" s="21">
        <f t="shared" ca="1" si="1467"/>
        <v>13.493649649321563</v>
      </c>
      <c r="L786" s="21">
        <f t="shared" ca="1" si="1467"/>
        <v>16.079669111442957</v>
      </c>
      <c r="M786" s="21"/>
      <c r="O786" s="136">
        <f>ROW()</f>
        <v>786</v>
      </c>
      <c r="P786" s="21">
        <f t="shared" ref="P786:U787" ca="1" si="1468">G786</f>
        <v>20.156077712880712</v>
      </c>
      <c r="Q786" s="21">
        <f t="shared" ca="1" si="1468"/>
        <v>15.826253515792214</v>
      </c>
      <c r="R786" s="21">
        <f t="shared" ca="1" si="1468"/>
        <v>12.34205425697076</v>
      </c>
      <c r="S786" s="21">
        <f t="shared" ca="1" si="1468"/>
        <v>10.850108670277532</v>
      </c>
      <c r="T786" s="21">
        <f t="shared" ca="1" si="1468"/>
        <v>13.493649649321563</v>
      </c>
      <c r="U786" s="21">
        <f t="shared" ca="1" si="1468"/>
        <v>16.079669111442957</v>
      </c>
      <c r="V786" s="21"/>
      <c r="Y786" s="21">
        <f t="shared" ref="Y786:AD787" ca="1" si="1469">G786</f>
        <v>20.156077712880712</v>
      </c>
      <c r="Z786" s="21">
        <f t="shared" ca="1" si="1469"/>
        <v>15.826253515792214</v>
      </c>
      <c r="AA786" s="21">
        <f t="shared" ca="1" si="1469"/>
        <v>12.34205425697076</v>
      </c>
      <c r="AB786" s="21">
        <f t="shared" ca="1" si="1469"/>
        <v>10.850108670277532</v>
      </c>
      <c r="AC786" s="21">
        <f t="shared" ca="1" si="1469"/>
        <v>13.493649649321563</v>
      </c>
      <c r="AD786" s="21">
        <f t="shared" ca="1" si="1469"/>
        <v>16.079669111442957</v>
      </c>
      <c r="AE786" s="21"/>
      <c r="AH786" s="21">
        <f t="shared" ref="AH786:AM787" ca="1" si="1470">P786</f>
        <v>20.156077712880712</v>
      </c>
      <c r="AI786" s="21">
        <f t="shared" ca="1" si="1470"/>
        <v>15.826253515792214</v>
      </c>
      <c r="AJ786" s="21">
        <f t="shared" ca="1" si="1470"/>
        <v>12.34205425697076</v>
      </c>
      <c r="AK786" s="21">
        <f t="shared" ca="1" si="1470"/>
        <v>10.850108670277532</v>
      </c>
      <c r="AL786" s="21">
        <f t="shared" ca="1" si="1470"/>
        <v>13.493649649321563</v>
      </c>
      <c r="AM786" s="21">
        <f t="shared" ca="1" si="1470"/>
        <v>16.079669111442957</v>
      </c>
      <c r="AN786" s="21"/>
      <c r="AQ786" s="21">
        <f t="shared" ref="AQ786:AV786" ca="1" si="1471">G786*$AU$181</f>
        <v>19.148273827236675</v>
      </c>
      <c r="AR786" s="21">
        <f t="shared" ca="1" si="1471"/>
        <v>15.034940840002603</v>
      </c>
      <c r="AS786" s="21">
        <f t="shared" ca="1" si="1471"/>
        <v>11.724951544122222</v>
      </c>
      <c r="AT786" s="21">
        <f t="shared" ca="1" si="1471"/>
        <v>10.307603236763654</v>
      </c>
      <c r="AU786" s="21">
        <f t="shared" ca="1" si="1471"/>
        <v>12.818967166855485</v>
      </c>
      <c r="AV786" s="21">
        <f t="shared" ca="1" si="1471"/>
        <v>15.275685655870808</v>
      </c>
      <c r="AW786" s="21"/>
      <c r="AZ786" s="21">
        <f t="shared" ref="AZ786:BE787" ca="1" si="1472">G786</f>
        <v>20.156077712880712</v>
      </c>
      <c r="BA786" s="21">
        <f t="shared" ca="1" si="1472"/>
        <v>15.826253515792214</v>
      </c>
      <c r="BB786" s="21">
        <f t="shared" ca="1" si="1472"/>
        <v>12.34205425697076</v>
      </c>
      <c r="BC786" s="21">
        <f t="shared" ca="1" si="1472"/>
        <v>10.850108670277532</v>
      </c>
      <c r="BD786" s="21">
        <f t="shared" ca="1" si="1472"/>
        <v>13.493649649321563</v>
      </c>
      <c r="BE786" s="21">
        <f t="shared" ca="1" si="1472"/>
        <v>16.079669111442957</v>
      </c>
      <c r="BF786" s="21"/>
      <c r="BG786" s="21"/>
      <c r="BI786" s="21">
        <f t="shared" ref="BI786:BN787" ca="1" si="1473">G786</f>
        <v>20.156077712880712</v>
      </c>
      <c r="BJ786" s="21">
        <f t="shared" ca="1" si="1473"/>
        <v>15.826253515792214</v>
      </c>
      <c r="BK786" s="21">
        <f t="shared" ca="1" si="1473"/>
        <v>12.34205425697076</v>
      </c>
      <c r="BL786" s="21">
        <f t="shared" ca="1" si="1473"/>
        <v>10.850108670277532</v>
      </c>
      <c r="BM786" s="21">
        <f t="shared" ca="1" si="1473"/>
        <v>13.493649649321563</v>
      </c>
      <c r="BN786" s="21">
        <f t="shared" ca="1" si="1473"/>
        <v>16.079669111442957</v>
      </c>
      <c r="BO786" s="21"/>
      <c r="BP786" s="21"/>
    </row>
    <row r="787" spans="2:68" ht="13.2" customHeight="1">
      <c r="B787" s="280" t="s">
        <v>2534</v>
      </c>
      <c r="G787" s="21">
        <f t="shared" ref="G787:L787" ca="1" si="1474">AVERAGE(G$774,G$726,G$678,G$630,G$582,G$534,G$482,G$427)</f>
        <v>54.490356505133946</v>
      </c>
      <c r="H787" s="21">
        <f t="shared" ca="1" si="1474"/>
        <v>31.449176563145294</v>
      </c>
      <c r="I787" s="21">
        <f t="shared" ca="1" si="1474"/>
        <v>23.424817543417046</v>
      </c>
      <c r="J787" s="21">
        <f t="shared" ca="1" si="1474"/>
        <v>21.004164174636173</v>
      </c>
      <c r="K787" s="21">
        <f t="shared" ca="1" si="1474"/>
        <v>26.998795602503254</v>
      </c>
      <c r="L787" s="21">
        <f t="shared" ca="1" si="1474"/>
        <v>33.095175925892697</v>
      </c>
      <c r="M787" s="21"/>
      <c r="O787" s="136">
        <f>ROW()</f>
        <v>787</v>
      </c>
      <c r="P787" s="21">
        <f t="shared" ca="1" si="1468"/>
        <v>54.490356505133946</v>
      </c>
      <c r="Q787" s="21">
        <f t="shared" ca="1" si="1468"/>
        <v>31.449176563145294</v>
      </c>
      <c r="R787" s="21">
        <f t="shared" ca="1" si="1468"/>
        <v>23.424817543417046</v>
      </c>
      <c r="S787" s="21">
        <f t="shared" ca="1" si="1468"/>
        <v>21.004164174636173</v>
      </c>
      <c r="T787" s="21">
        <f t="shared" ca="1" si="1468"/>
        <v>26.998795602503254</v>
      </c>
      <c r="U787" s="21">
        <f t="shared" ca="1" si="1468"/>
        <v>33.095175925892697</v>
      </c>
      <c r="V787" s="21"/>
      <c r="Y787" s="21">
        <f t="shared" ca="1" si="1469"/>
        <v>54.490356505133946</v>
      </c>
      <c r="Z787" s="21">
        <f t="shared" ca="1" si="1469"/>
        <v>31.449176563145294</v>
      </c>
      <c r="AA787" s="21">
        <f t="shared" ca="1" si="1469"/>
        <v>23.424817543417046</v>
      </c>
      <c r="AB787" s="21">
        <f t="shared" ca="1" si="1469"/>
        <v>21.004164174636173</v>
      </c>
      <c r="AC787" s="21">
        <f t="shared" ca="1" si="1469"/>
        <v>26.998795602503254</v>
      </c>
      <c r="AD787" s="21">
        <f t="shared" ca="1" si="1469"/>
        <v>33.095175925892697</v>
      </c>
      <c r="AE787" s="21"/>
      <c r="AH787" s="21">
        <f t="shared" ca="1" si="1470"/>
        <v>54.490356505133946</v>
      </c>
      <c r="AI787" s="21">
        <f t="shared" ca="1" si="1470"/>
        <v>31.449176563145294</v>
      </c>
      <c r="AJ787" s="21">
        <f t="shared" ca="1" si="1470"/>
        <v>23.424817543417046</v>
      </c>
      <c r="AK787" s="21">
        <f t="shared" ca="1" si="1470"/>
        <v>21.004164174636173</v>
      </c>
      <c r="AL787" s="21">
        <f t="shared" ca="1" si="1470"/>
        <v>26.998795602503254</v>
      </c>
      <c r="AM787" s="21">
        <f t="shared" ca="1" si="1470"/>
        <v>33.095175925892697</v>
      </c>
      <c r="AN787" s="21"/>
      <c r="AQ787" s="21">
        <f t="shared" ref="AQ787:AV787" ca="1" si="1475">G787*$AV$181</f>
        <v>53.945452940082603</v>
      </c>
      <c r="AR787" s="21">
        <f t="shared" ca="1" si="1475"/>
        <v>31.134684797513842</v>
      </c>
      <c r="AS787" s="21">
        <f t="shared" ca="1" si="1475"/>
        <v>23.190569367982874</v>
      </c>
      <c r="AT787" s="21">
        <f t="shared" ca="1" si="1475"/>
        <v>20.794122532889812</v>
      </c>
      <c r="AU787" s="21">
        <f t="shared" ca="1" si="1475"/>
        <v>26.72880764647822</v>
      </c>
      <c r="AV787" s="21">
        <f t="shared" ca="1" si="1475"/>
        <v>32.764224166633767</v>
      </c>
      <c r="AW787" s="21"/>
      <c r="AZ787" s="21">
        <f t="shared" ca="1" si="1472"/>
        <v>54.490356505133946</v>
      </c>
      <c r="BA787" s="21">
        <f t="shared" ca="1" si="1472"/>
        <v>31.449176563145294</v>
      </c>
      <c r="BB787" s="21">
        <f t="shared" ca="1" si="1472"/>
        <v>23.424817543417046</v>
      </c>
      <c r="BC787" s="21">
        <f t="shared" ca="1" si="1472"/>
        <v>21.004164174636173</v>
      </c>
      <c r="BD787" s="21">
        <f t="shared" ca="1" si="1472"/>
        <v>26.998795602503254</v>
      </c>
      <c r="BE787" s="21">
        <f t="shared" ca="1" si="1472"/>
        <v>33.095175925892697</v>
      </c>
      <c r="BF787" s="21"/>
      <c r="BG787" s="21"/>
      <c r="BI787" s="21">
        <f t="shared" ca="1" si="1473"/>
        <v>54.490356505133946</v>
      </c>
      <c r="BJ787" s="21">
        <f t="shared" ca="1" si="1473"/>
        <v>31.449176563145294</v>
      </c>
      <c r="BK787" s="21">
        <f t="shared" ca="1" si="1473"/>
        <v>23.424817543417046</v>
      </c>
      <c r="BL787" s="21">
        <f t="shared" ca="1" si="1473"/>
        <v>21.004164174636173</v>
      </c>
      <c r="BM787" s="21">
        <f t="shared" ca="1" si="1473"/>
        <v>26.998795602503254</v>
      </c>
      <c r="BN787" s="21">
        <f t="shared" ca="1" si="1473"/>
        <v>33.095175925892697</v>
      </c>
      <c r="BO787" s="21"/>
      <c r="BP787" s="21"/>
    </row>
    <row r="788" spans="2:68" ht="13.2" customHeight="1">
      <c r="B788" s="280"/>
      <c r="G788" s="280"/>
      <c r="O788" s="136">
        <f>ROW()</f>
        <v>788</v>
      </c>
      <c r="P788" s="117"/>
      <c r="Q788" s="117"/>
      <c r="R788" s="117"/>
      <c r="S788" s="117"/>
      <c r="T788" s="117"/>
      <c r="U788" s="117"/>
      <c r="V788" s="117"/>
      <c r="W788" s="117"/>
      <c r="Y788" s="117"/>
      <c r="Z788" s="117"/>
      <c r="AA788" s="117"/>
      <c r="AB788" s="117"/>
      <c r="AC788" s="117"/>
      <c r="AD788" s="117"/>
      <c r="AE788" s="117"/>
      <c r="AF788" s="117"/>
      <c r="AH788" s="117"/>
      <c r="AI788" s="117"/>
      <c r="AJ788" s="117"/>
      <c r="AK788" s="117"/>
      <c r="AL788" s="117"/>
      <c r="AM788" s="117"/>
      <c r="AN788" s="117"/>
      <c r="AO788" s="117"/>
      <c r="AQ788" s="117"/>
      <c r="AR788" s="117"/>
      <c r="AS788" s="117"/>
      <c r="AT788" s="117"/>
      <c r="AU788" s="117"/>
      <c r="AV788" s="117"/>
      <c r="AW788" s="117"/>
      <c r="AX788" s="117"/>
      <c r="AZ788" s="117"/>
      <c r="BA788" s="117"/>
      <c r="BB788" s="117"/>
      <c r="BC788" s="117"/>
      <c r="BD788" s="117"/>
      <c r="BE788" s="117"/>
      <c r="BF788" s="117"/>
      <c r="BG788" s="117"/>
      <c r="BI788" s="117"/>
      <c r="BJ788" s="117"/>
      <c r="BK788" s="117"/>
      <c r="BL788" s="117"/>
      <c r="BM788" s="117"/>
      <c r="BN788" s="117"/>
      <c r="BO788" s="117"/>
      <c r="BP788" s="117"/>
    </row>
    <row r="789" spans="2:68" ht="13.2" customHeight="1">
      <c r="B789" s="6" t="s">
        <v>1643</v>
      </c>
      <c r="G789" s="948" t="s">
        <v>1472</v>
      </c>
      <c r="H789" s="948" t="s">
        <v>985</v>
      </c>
      <c r="I789" s="948" t="s">
        <v>987</v>
      </c>
      <c r="J789" s="948" t="s">
        <v>1367</v>
      </c>
      <c r="K789" s="948" t="s">
        <v>988</v>
      </c>
      <c r="L789" s="948" t="s">
        <v>986</v>
      </c>
      <c r="M789" s="948" t="s">
        <v>1638</v>
      </c>
      <c r="N789" s="948" t="s">
        <v>2684</v>
      </c>
      <c r="O789" s="136">
        <f>ROW()</f>
        <v>789</v>
      </c>
      <c r="P789" s="117">
        <f ca="1">P783^Elasticities!$G$52</f>
        <v>1.0001260550517901</v>
      </c>
      <c r="Q789" s="117">
        <f ca="1">Q783^Elasticities!$G$52</f>
        <v>1.0002151548442679</v>
      </c>
      <c r="R789" s="117">
        <f ca="1">R783^Elasticities!$G$52</f>
        <v>1.0002427588484895</v>
      </c>
      <c r="S789" s="117">
        <f ca="1">S783^Elasticities!$G$52</f>
        <v>1.0001996572339742</v>
      </c>
      <c r="T789" s="117">
        <f ca="1">T783^Elasticities!$G$52</f>
        <v>1.0002670756581702</v>
      </c>
      <c r="U789" s="117">
        <f ca="1">U783^Elasticities!$G$52</f>
        <v>1.0002209881459292</v>
      </c>
      <c r="V789" s="117"/>
      <c r="Y789" s="117">
        <f ca="1">Y783^Elasticities!$H$52</f>
        <v>1.0001260550517901</v>
      </c>
      <c r="Z789" s="117">
        <f ca="1">Z783^Elasticities!$H$52</f>
        <v>1.0002151548442679</v>
      </c>
      <c r="AA789" s="117">
        <f ca="1">AA783^Elasticities!$H$52</f>
        <v>1.0002427588484892</v>
      </c>
      <c r="AB789" s="117">
        <f ca="1">AB783^Elasticities!$H$52</f>
        <v>1.0001996572339742</v>
      </c>
      <c r="AC789" s="117">
        <f ca="1">AC783^Elasticities!$H$52</f>
        <v>1.00026707565817</v>
      </c>
      <c r="AD789" s="117">
        <f ca="1">AD783^Elasticities!$H$52</f>
        <v>1.0002209881459292</v>
      </c>
      <c r="AE789" s="117"/>
      <c r="AH789" s="638">
        <f ca="1">AH783^Elasticities!$J$52</f>
        <v>0.99998823042281715</v>
      </c>
      <c r="AI789" s="117">
        <f ca="1">AI783^Elasticities!$J$52</f>
        <v>1.0002359932357712</v>
      </c>
      <c r="AJ789" s="117">
        <f ca="1">AJ783^Elasticities!$J$52</f>
        <v>1.0002836014063627</v>
      </c>
      <c r="AK789" s="117">
        <f ca="1">AK783^Elasticities!$J$52</f>
        <v>1.000203813455615</v>
      </c>
      <c r="AL789" s="117">
        <f ca="1">AL783^Elasticities!$J$52</f>
        <v>1.0003363063769364</v>
      </c>
      <c r="AM789" s="117">
        <f ca="1">AM783^Elasticities!$J$52</f>
        <v>1.0002501432225408</v>
      </c>
      <c r="AN789" s="117"/>
      <c r="AQ789" s="117">
        <f ca="1">AQ783^Elasticities!$G$54</f>
        <v>0.99999715800446654</v>
      </c>
      <c r="AR789" s="117">
        <f ca="1">AR783^Elasticities!$G$54</f>
        <v>1.0001429412363285</v>
      </c>
      <c r="AS789" s="117">
        <f ca="1">AS783^Elasticities!$G$54</f>
        <v>1.0001759421548038</v>
      </c>
      <c r="AT789" s="117">
        <f ca="1">AT783^Elasticities!$G$54</f>
        <v>1.0001262719812267</v>
      </c>
      <c r="AU789" s="117">
        <f ca="1">AU783^Elasticities!$G$54</f>
        <v>1.0002094982271812</v>
      </c>
      <c r="AV789" s="117">
        <f ca="1">AV783^Elasticities!$G$54</f>
        <v>1.000148358029046</v>
      </c>
      <c r="AW789" s="117"/>
      <c r="AZ789" s="117">
        <f ca="1">AZ783^(Elasticities!$J$64*Elasticities!$G$52)</f>
        <v>1.0000359577418232</v>
      </c>
      <c r="BA789" s="117">
        <f ca="1">BA783^(Elasticities!$J$64*Elasticities!$G$52)</f>
        <v>1.0000618435800621</v>
      </c>
      <c r="BB789" s="117">
        <f ca="1">BB783^(Elasticities!$J$64*Elasticities!$G$52)</f>
        <v>1.000070266278579</v>
      </c>
      <c r="BC789" s="117">
        <f ca="1">BC783^(Elasticities!$J$64*Elasticities!$G$52)</f>
        <v>1.0000577964167061</v>
      </c>
      <c r="BD789" s="117">
        <f ca="1">BD783^(Elasticities!$J$64*Elasticities!$G$52)</f>
        <v>1.0000774315039367</v>
      </c>
      <c r="BE789" s="117">
        <f ca="1">BE783^(Elasticities!$J$64*Elasticities!$G$52)</f>
        <v>1.0000631648481306</v>
      </c>
      <c r="BF789" s="117"/>
      <c r="BI789" s="117">
        <f ca="1">BI783^Elasticities!$G$50</f>
        <v>1.000061070304455</v>
      </c>
      <c r="BJ789" s="117">
        <f ca="1">BJ783^Elasticities!$G$50</f>
        <v>1.0001044401345405</v>
      </c>
      <c r="BK789" s="117">
        <f ca="1">BK783^Elasticities!$G$50</f>
        <v>1.0001180067574245</v>
      </c>
      <c r="BL789" s="117">
        <f ca="1">BL783^Elasticities!$G$50</f>
        <v>1.0000970542952581</v>
      </c>
      <c r="BM789" s="117">
        <f ca="1">BM783^Elasticities!$G$50</f>
        <v>1.0001298515969879</v>
      </c>
      <c r="BN789" s="117">
        <f ca="1">BN783^Elasticities!$G$50</f>
        <v>1.0001071510884818</v>
      </c>
      <c r="BO789" s="117"/>
    </row>
    <row r="790" spans="2:68" ht="13.2" customHeight="1">
      <c r="B790" s="6"/>
      <c r="G790" s="298" t="s">
        <v>1918</v>
      </c>
      <c r="H790" s="298" t="s">
        <v>1838</v>
      </c>
      <c r="I790" s="298" t="s">
        <v>1839</v>
      </c>
      <c r="J790" s="298" t="s">
        <v>1840</v>
      </c>
      <c r="K790" s="298" t="s">
        <v>1841</v>
      </c>
      <c r="L790" s="298" t="s">
        <v>1917</v>
      </c>
      <c r="M790" s="298"/>
      <c r="N790" s="298"/>
      <c r="O790" s="136">
        <f>ROW()</f>
        <v>790</v>
      </c>
      <c r="P790" s="309" t="s">
        <v>3311</v>
      </c>
      <c r="Y790" s="309" t="s">
        <v>3312</v>
      </c>
      <c r="AH790" s="309" t="s">
        <v>3313</v>
      </c>
      <c r="AQ790" s="215" t="s">
        <v>3304</v>
      </c>
      <c r="AZ790" s="309" t="s">
        <v>3309</v>
      </c>
      <c r="BI790" s="309" t="s">
        <v>3310</v>
      </c>
    </row>
    <row r="791" spans="2:68" ht="13.2" customHeight="1">
      <c r="B791" s="6" t="s">
        <v>1921</v>
      </c>
      <c r="O791" s="136">
        <f>ROW()</f>
        <v>791</v>
      </c>
      <c r="P791" s="117">
        <f ca="1">(P738/P786)^Elasticities!$G$52</f>
        <v>1.0000180719878016</v>
      </c>
      <c r="Q791" s="117">
        <f ca="1">(Q738/Q786)^Elasticities!$G$52</f>
        <v>0.99993872764359615</v>
      </c>
      <c r="R791" s="117">
        <f ca="1">(R738/R786)^Elasticities!$G$52</f>
        <v>1.0000194978552532</v>
      </c>
      <c r="S791" s="117">
        <f ca="1">(S738/S786)^Elasticities!$G$52</f>
        <v>1.0000991476295968</v>
      </c>
      <c r="T791" s="117">
        <f ca="1">(T738/T786)^Elasticities!$G$52</f>
        <v>0.99980722535283961</v>
      </c>
      <c r="U791" s="117">
        <f ca="1">(U738/U786)^Elasticities!$G$52</f>
        <v>0.99989998581282036</v>
      </c>
      <c r="V791" s="117"/>
      <c r="Y791" s="117">
        <f ca="1">(Y738/Y786)^Elasticities!$H$52</f>
        <v>1.0000180719878016</v>
      </c>
      <c r="Z791" s="117">
        <f ca="1">(Z738/Z786)^Elasticities!$H$52</f>
        <v>0.99993872764359615</v>
      </c>
      <c r="AA791" s="117">
        <f ca="1">(AA738/AA786)^Elasticities!$H$52</f>
        <v>1.0000194978552532</v>
      </c>
      <c r="AB791" s="117">
        <f ca="1">(AB738/AB786)^Elasticities!$H$52</f>
        <v>1.0000991476295968</v>
      </c>
      <c r="AC791" s="117">
        <f ca="1">(AC738/AC786)^Elasticities!$H$52</f>
        <v>0.99980722535283961</v>
      </c>
      <c r="AD791" s="117">
        <f ca="1">(AD738/AD786)^Elasticities!$H$52</f>
        <v>0.99989998581282036</v>
      </c>
      <c r="AE791" s="117"/>
      <c r="AH791" s="117">
        <f ca="1">(AH738/AH786)^Elasticities!$J$52</f>
        <v>1.0000180719878016</v>
      </c>
      <c r="AI791" s="117">
        <f ca="1">(AI738/AI786)^Elasticities!$J$52</f>
        <v>0.99993872764359615</v>
      </c>
      <c r="AJ791" s="117">
        <f ca="1">(AJ738/AJ786)^Elasticities!$J$52</f>
        <v>1.0000194978552532</v>
      </c>
      <c r="AK791" s="117">
        <f ca="1">(AK738/AK786)^Elasticities!$J$52</f>
        <v>1.0000991476295968</v>
      </c>
      <c r="AL791" s="117">
        <f ca="1">(AL738/AL786)^Elasticities!$J$52</f>
        <v>0.99980722535283961</v>
      </c>
      <c r="AM791" s="117">
        <f ca="1">(AM738/AM786)^Elasticities!$J$52</f>
        <v>0.99989998581282036</v>
      </c>
      <c r="AN791" s="117"/>
      <c r="AQ791" s="117">
        <f ca="1">(AQ738/AQ786)^Elasticities!$G$54</f>
        <v>1.0000144575641139</v>
      </c>
      <c r="AR791" s="117">
        <f ca="1">(AR738/AR786)^Elasticities!$G$54</f>
        <v>0.99995098181452557</v>
      </c>
      <c r="AS791" s="117">
        <f ca="1">(AS738/AS786)^Elasticities!$G$54</f>
        <v>1.0000155982537895</v>
      </c>
      <c r="AT791" s="117">
        <f ca="1">(AT738/AT786)^Elasticities!$G$54</f>
        <v>1.0000793173172884</v>
      </c>
      <c r="AU791" s="117">
        <f ca="1">(AU738/AU786)^Elasticities!$G$54</f>
        <v>0.9998457773090772</v>
      </c>
      <c r="AV791" s="117">
        <f ca="1">(AV738/AV786)^Elasticities!$G$54</f>
        <v>0.99991998784999725</v>
      </c>
      <c r="AW791" s="117"/>
      <c r="AZ791" s="117">
        <f ca="1">(AZ738/AZ786)^(Elasticities!$J$64*Elasticities!$G$52)</f>
        <v>1.0000060239596458</v>
      </c>
      <c r="BA791" s="117">
        <f ca="1">(BA738/BA786)^(Elasticities!$J$64*Elasticities!$G$52)</f>
        <v>0.99997957546403982</v>
      </c>
      <c r="BB791" s="117">
        <f ca="1">(BB738/BB786)^(Elasticities!$J$64*Elasticities!$G$52)</f>
        <v>1.0000064992428441</v>
      </c>
      <c r="BC791" s="117">
        <f ca="1">(BC738/BC786)^(Elasticities!$J$64*Elasticities!$G$52)</f>
        <v>1.0000330481176756</v>
      </c>
      <c r="BD791" s="117">
        <f ca="1">(BD738/BD786)^(Elasticities!$J$64*Elasticities!$G$52)</f>
        <v>0.99993573765471933</v>
      </c>
      <c r="BE791" s="117">
        <f ca="1">(BE738/BE786)^(Elasticities!$J$64*Elasticities!$G$52)</f>
        <v>0.99996666082611863</v>
      </c>
      <c r="BF791" s="117"/>
      <c r="BI791" s="117">
        <f ca="1">(BI738/BI786)^Elasticities!$G$50</f>
        <v>1.0000090359530767</v>
      </c>
      <c r="BJ791" s="117">
        <f ca="1">(BJ738/BJ786)^Elasticities!$G$50</f>
        <v>0.99996936335249598</v>
      </c>
      <c r="BK791" s="117">
        <f ca="1">(BK738/BK786)^Elasticities!$G$50</f>
        <v>1.0000097488801063</v>
      </c>
      <c r="BL791" s="117">
        <f ca="1">(BL738/BL786)^Elasticities!$G$50</f>
        <v>1.0000495725860779</v>
      </c>
      <c r="BM791" s="117">
        <f ca="1">(BM738/BM786)^Elasticities!$G$50</f>
        <v>0.99990360803071388</v>
      </c>
      <c r="BN791" s="117">
        <f ca="1">(BN738/BN786)^Elasticities!$G$50</f>
        <v>0.99994999165599296</v>
      </c>
      <c r="BO791" s="117"/>
    </row>
    <row r="792" spans="2:68" ht="13.2" customHeight="1">
      <c r="O792" s="136">
        <f>ROW()</f>
        <v>792</v>
      </c>
      <c r="P792" s="309" t="s">
        <v>529</v>
      </c>
      <c r="Y792" s="309" t="s">
        <v>530</v>
      </c>
      <c r="AH792" s="309" t="s">
        <v>2922</v>
      </c>
      <c r="AQ792" s="215" t="s">
        <v>3299</v>
      </c>
      <c r="AZ792" s="309" t="s">
        <v>2398</v>
      </c>
      <c r="BI792" s="309" t="s">
        <v>2878</v>
      </c>
    </row>
    <row r="793" spans="2:68" ht="13.2" customHeight="1">
      <c r="B793" s="6" t="s">
        <v>2164</v>
      </c>
      <c r="G793" s="633">
        <f t="shared" ref="G793:L793" ca="1" si="1476">($I$76*$I$79*P793+$J$76*$J$79*Y793+$K$76*$K$79*AH793+$L$76*$L$79*AQ793+$M$76*$M$79*AZ793+$N$76*$N$79*BI793)/SUMPRODUCT($I$76:$N$76,$I$79:$N$79)</f>
        <v>0.99998550999167446</v>
      </c>
      <c r="H793" s="633">
        <f t="shared" ca="1" si="1476"/>
        <v>1.000220118315287</v>
      </c>
      <c r="I793" s="633">
        <f t="shared" ca="1" si="1476"/>
        <v>1.0002570075874184</v>
      </c>
      <c r="J793" s="633">
        <f t="shared" ca="1" si="1476"/>
        <v>1.0001838512086449</v>
      </c>
      <c r="K793" s="633">
        <f t="shared" ca="1" si="1476"/>
        <v>1.0003076821557826</v>
      </c>
      <c r="L793" s="633">
        <f t="shared" ca="1" si="1476"/>
        <v>1.0002359612862948</v>
      </c>
      <c r="M793" s="633"/>
      <c r="O793" s="136">
        <f>ROW()</f>
        <v>793</v>
      </c>
      <c r="P793" s="117">
        <f ca="1">(P739/P787)^Elasticities!$G$52</f>
        <v>0.99998494416609685</v>
      </c>
      <c r="Q793" s="117">
        <f ca="1">(Q739/Q787)^Elasticities!$G$52</f>
        <v>1.000100319580679</v>
      </c>
      <c r="R793" s="117">
        <f ca="1">(R739/R787)^Elasticities!$G$52</f>
        <v>1.0000884906358232</v>
      </c>
      <c r="S793" s="117">
        <f ca="1">(S739/S787)^Elasticities!$G$52</f>
        <v>1.0000582057851484</v>
      </c>
      <c r="T793" s="117">
        <f ca="1">(T739/T787)^Elasticities!$G$52</f>
        <v>1.0001199844256812</v>
      </c>
      <c r="U793" s="117">
        <f ca="1">(U739/U787)^Elasticities!$G$52</f>
        <v>1.0001139665604641</v>
      </c>
      <c r="V793" s="117"/>
      <c r="Y793" s="117">
        <f ca="1">(Y726/Y774)^Elasticities!$H$52</f>
        <v>0.99998521866374601</v>
      </c>
      <c r="Z793" s="117">
        <f ca="1">(Z726/Z774)^Elasticities!$H$52</f>
        <v>1.0002543150951329</v>
      </c>
      <c r="AA793" s="117">
        <f ca="1">(AA726/AA774)^Elasticities!$H$52</f>
        <v>1.0003035764946102</v>
      </c>
      <c r="AB793" s="117">
        <f ca="1">(AB726/AB774)^Elasticities!$H$52</f>
        <v>1.0002183460287568</v>
      </c>
      <c r="AC793" s="117">
        <f ca="1">(AC726/AC774)^Elasticities!$H$52</f>
        <v>1.0003601763651297</v>
      </c>
      <c r="AD793" s="117">
        <f ca="1">(AD726/AD774)^Elasticities!$H$52</f>
        <v>1.0002711292779318</v>
      </c>
      <c r="AE793" s="117"/>
      <c r="AH793" s="117">
        <f ca="1">(AH726/AH774)^Elasticities!$J$52</f>
        <v>0.99998521866374601</v>
      </c>
      <c r="AI793" s="117">
        <f ca="1">(AI726/AI774)^Elasticities!$J$52</f>
        <v>1.0002543150951329</v>
      </c>
      <c r="AJ793" s="117">
        <f ca="1">(AJ726/AJ774)^Elasticities!$J$52</f>
        <v>1.0003035764946102</v>
      </c>
      <c r="AK793" s="117">
        <f ca="1">(AK726/AK774)^Elasticities!$J$52</f>
        <v>1.0002183460287568</v>
      </c>
      <c r="AL793" s="117">
        <f ca="1">(AL726/AL774)^Elasticities!$J$52</f>
        <v>1.0003601763651297</v>
      </c>
      <c r="AM793" s="117">
        <f ca="1">(AM726/AM774)^Elasticities!$J$52</f>
        <v>1.0002711292779318</v>
      </c>
      <c r="AN793" s="117"/>
      <c r="AQ793" s="117">
        <f ca="1">(AQ739/AQ787)^Elasticities!$G$54</f>
        <v>0.99998795531474305</v>
      </c>
      <c r="AR793" s="117">
        <f ca="1">(AR739/AR787)^Elasticities!$G$54</f>
        <v>1.0000802548594541</v>
      </c>
      <c r="AS793" s="117">
        <f ca="1">(AS739/AS787)^Elasticities!$G$54</f>
        <v>1.0000707918822334</v>
      </c>
      <c r="AT793" s="117">
        <f ca="1">(AT739/AT787)^Elasticities!$G$54</f>
        <v>1.0000465643570919</v>
      </c>
      <c r="AU793" s="117">
        <f ca="1">(AU739/AU787)^Elasticities!$G$54</f>
        <v>1.0000959863888992</v>
      </c>
      <c r="AV793" s="117">
        <f ca="1">(AV739/AV787)^Elasticities!$G$54</f>
        <v>1.0000911722093484</v>
      </c>
      <c r="AW793" s="117"/>
      <c r="AZ793" s="117">
        <f ca="1">(AZ726/AZ774)^(Elasticities!$J$64*Elasticities!$G$52)</f>
        <v>0.99999507286363865</v>
      </c>
      <c r="BA793" s="117">
        <f ca="1">(BA726/BA774)^(Elasticities!$J$64*Elasticities!$G$52)</f>
        <v>1.0000847645131519</v>
      </c>
      <c r="BB793" s="117">
        <f ca="1">(BB726/BB774)^(Elasticities!$J$64*Elasticities!$G$52)</f>
        <v>1.0001011819267425</v>
      </c>
      <c r="BC793" s="117">
        <f ca="1">(BC726/BC774)^(Elasticities!$J$64*Elasticities!$G$52)</f>
        <v>1.0000727767130071</v>
      </c>
      <c r="BD793" s="117">
        <f ca="1">(BD726/BD774)^(Elasticities!$J$64*Elasticities!$G$52)</f>
        <v>1.0001200443771474</v>
      </c>
      <c r="BE793" s="117">
        <f ca="1">(BE726/BE774)^(Elasticities!$J$64*Elasticities!$G$52)</f>
        <v>1.000090368259309</v>
      </c>
      <c r="BF793" s="117"/>
      <c r="BI793" s="117">
        <f ca="1">(BI726/BI774)^Elasticities!$G$50</f>
        <v>0.99999260930456169</v>
      </c>
      <c r="BJ793" s="117">
        <f ca="1">(BJ726/BJ774)^Elasticities!$G$50</f>
        <v>1.0001271494640733</v>
      </c>
      <c r="BK793" s="117">
        <f ca="1">(BK726/BK774)^Elasticities!$G$50</f>
        <v>1.0001517767292174</v>
      </c>
      <c r="BL793" s="117">
        <f ca="1">(BL726/BL774)^Elasticities!$G$50</f>
        <v>1.0001091670556554</v>
      </c>
      <c r="BM793" s="117">
        <f ca="1">(BM726/BM774)^Elasticities!$G$50</f>
        <v>1.0001800719696077</v>
      </c>
      <c r="BN793" s="117">
        <f ca="1">(BN726/BN774)^Elasticities!$G$50</f>
        <v>1.0001355554513258</v>
      </c>
      <c r="BO793" s="117"/>
    </row>
    <row r="794" spans="2:68" ht="13.2" customHeight="1" collapsed="1">
      <c r="O794" s="136">
        <f>ROW()</f>
        <v>794</v>
      </c>
      <c r="P794" s="309" t="s">
        <v>2879</v>
      </c>
      <c r="Y794" s="309" t="s">
        <v>2842</v>
      </c>
      <c r="AH794" s="309" t="s">
        <v>2808</v>
      </c>
      <c r="AQ794" s="215" t="s">
        <v>3300</v>
      </c>
      <c r="AZ794" s="309" t="s">
        <v>2903</v>
      </c>
      <c r="BI794" s="309" t="s">
        <v>91</v>
      </c>
    </row>
    <row r="795" spans="2:68" ht="13.2" customHeight="1">
      <c r="B795" s="24" t="s">
        <v>322</v>
      </c>
      <c r="I795" s="54"/>
      <c r="O795" s="136">
        <f>ROW()</f>
        <v>795</v>
      </c>
      <c r="P795" s="880" t="s">
        <v>1472</v>
      </c>
      <c r="Q795" s="880" t="s">
        <v>985</v>
      </c>
      <c r="R795" s="880" t="s">
        <v>987</v>
      </c>
      <c r="S795" s="880" t="s">
        <v>1367</v>
      </c>
      <c r="T795" s="880" t="s">
        <v>988</v>
      </c>
      <c r="U795" s="880" t="s">
        <v>986</v>
      </c>
      <c r="V795" s="880"/>
      <c r="W795" s="880" t="s">
        <v>2684</v>
      </c>
      <c r="Y795" s="880" t="s">
        <v>1472</v>
      </c>
      <c r="Z795" s="880" t="s">
        <v>985</v>
      </c>
      <c r="AA795" s="880" t="s">
        <v>987</v>
      </c>
      <c r="AB795" s="880" t="s">
        <v>1367</v>
      </c>
      <c r="AC795" s="880" t="s">
        <v>988</v>
      </c>
      <c r="AD795" s="880" t="s">
        <v>986</v>
      </c>
      <c r="AE795" s="880"/>
      <c r="AF795" s="880" t="s">
        <v>2684</v>
      </c>
      <c r="AH795" s="880" t="s">
        <v>1472</v>
      </c>
      <c r="AI795" s="880" t="s">
        <v>985</v>
      </c>
      <c r="AJ795" s="880" t="s">
        <v>987</v>
      </c>
      <c r="AK795" s="880" t="s">
        <v>1367</v>
      </c>
      <c r="AL795" s="880" t="s">
        <v>988</v>
      </c>
      <c r="AM795" s="880" t="s">
        <v>986</v>
      </c>
      <c r="AN795" s="880"/>
      <c r="AO795" s="880" t="s">
        <v>2684</v>
      </c>
      <c r="AQ795" s="880" t="s">
        <v>1472</v>
      </c>
      <c r="AR795" s="880" t="s">
        <v>985</v>
      </c>
      <c r="AS795" s="880" t="s">
        <v>987</v>
      </c>
      <c r="AT795" s="880" t="s">
        <v>1367</v>
      </c>
      <c r="AU795" s="880" t="s">
        <v>988</v>
      </c>
      <c r="AV795" s="880" t="s">
        <v>986</v>
      </c>
      <c r="AW795" s="880" t="s">
        <v>1638</v>
      </c>
      <c r="AX795" s="880" t="s">
        <v>2684</v>
      </c>
      <c r="AZ795" s="880" t="s">
        <v>1472</v>
      </c>
      <c r="BA795" s="880" t="s">
        <v>985</v>
      </c>
      <c r="BB795" s="880" t="s">
        <v>987</v>
      </c>
      <c r="BC795" s="880" t="s">
        <v>1367</v>
      </c>
      <c r="BD795" s="880" t="s">
        <v>988</v>
      </c>
      <c r="BE795" s="880" t="s">
        <v>986</v>
      </c>
      <c r="BF795" s="880" t="s">
        <v>1638</v>
      </c>
      <c r="BG795" s="880" t="s">
        <v>2684</v>
      </c>
      <c r="BI795" s="880" t="s">
        <v>1472</v>
      </c>
      <c r="BJ795" s="880" t="s">
        <v>985</v>
      </c>
      <c r="BK795" s="880" t="s">
        <v>987</v>
      </c>
      <c r="BL795" s="880" t="s">
        <v>1367</v>
      </c>
      <c r="BM795" s="880" t="s">
        <v>988</v>
      </c>
      <c r="BN795" s="880" t="s">
        <v>986</v>
      </c>
      <c r="BO795" s="880" t="s">
        <v>1638</v>
      </c>
      <c r="BP795" s="880" t="s">
        <v>2684</v>
      </c>
    </row>
    <row r="796" spans="2:68" ht="13.2" customHeight="1">
      <c r="O796" s="136">
        <f>ROW()</f>
        <v>796</v>
      </c>
      <c r="P796" s="298" t="s">
        <v>989</v>
      </c>
      <c r="Q796" s="298" t="s">
        <v>990</v>
      </c>
      <c r="R796" s="298" t="s">
        <v>991</v>
      </c>
      <c r="S796" s="298" t="s">
        <v>992</v>
      </c>
      <c r="T796" s="298" t="s">
        <v>993</v>
      </c>
      <c r="U796" s="298" t="s">
        <v>994</v>
      </c>
      <c r="V796" s="298"/>
      <c r="W796" s="298"/>
      <c r="Y796" s="298" t="s">
        <v>989</v>
      </c>
      <c r="Z796" s="298" t="s">
        <v>990</v>
      </c>
      <c r="AA796" s="298" t="s">
        <v>991</v>
      </c>
      <c r="AB796" s="298" t="s">
        <v>992</v>
      </c>
      <c r="AC796" s="298" t="s">
        <v>993</v>
      </c>
      <c r="AD796" s="298" t="s">
        <v>994</v>
      </c>
      <c r="AE796" s="298"/>
      <c r="AF796" s="298"/>
      <c r="AH796" s="298" t="s">
        <v>989</v>
      </c>
      <c r="AI796" s="298" t="s">
        <v>990</v>
      </c>
      <c r="AJ796" s="298" t="s">
        <v>991</v>
      </c>
      <c r="AK796" s="298" t="s">
        <v>992</v>
      </c>
      <c r="AL796" s="298" t="s">
        <v>993</v>
      </c>
      <c r="AM796" s="298" t="s">
        <v>994</v>
      </c>
      <c r="AN796" s="298"/>
      <c r="AO796" s="298"/>
      <c r="AQ796" s="298" t="s">
        <v>989</v>
      </c>
      <c r="AR796" s="298" t="s">
        <v>990</v>
      </c>
      <c r="AS796" s="298" t="s">
        <v>991</v>
      </c>
      <c r="AT796" s="298" t="s">
        <v>992</v>
      </c>
      <c r="AU796" s="298" t="s">
        <v>993</v>
      </c>
      <c r="AV796" s="298" t="s">
        <v>994</v>
      </c>
      <c r="AW796" s="298"/>
      <c r="AX796" s="298"/>
      <c r="AZ796" s="298" t="s">
        <v>989</v>
      </c>
      <c r="BA796" s="298" t="s">
        <v>990</v>
      </c>
      <c r="BB796" s="298" t="s">
        <v>991</v>
      </c>
      <c r="BC796" s="298" t="s">
        <v>992</v>
      </c>
      <c r="BD796" s="298" t="s">
        <v>993</v>
      </c>
      <c r="BE796" s="298" t="s">
        <v>994</v>
      </c>
      <c r="BF796" s="298"/>
      <c r="BG796" s="298"/>
      <c r="BI796" s="298" t="s">
        <v>989</v>
      </c>
      <c r="BJ796" s="298" t="s">
        <v>990</v>
      </c>
      <c r="BK796" s="298" t="s">
        <v>991</v>
      </c>
      <c r="BL796" s="298" t="s">
        <v>992</v>
      </c>
      <c r="BM796" s="298" t="s">
        <v>993</v>
      </c>
      <c r="BN796" s="298" t="s">
        <v>994</v>
      </c>
      <c r="BO796" s="298"/>
      <c r="BP796" s="298"/>
    </row>
    <row r="797" spans="2:68" ht="13.2" customHeight="1">
      <c r="B797" s="308" t="s">
        <v>112</v>
      </c>
      <c r="O797" s="136">
        <f>ROW()</f>
        <v>797</v>
      </c>
    </row>
    <row r="798" spans="2:68" ht="13.2" customHeight="1">
      <c r="B798" s="280" t="s">
        <v>1845</v>
      </c>
      <c r="G798" s="1122">
        <f t="shared" ref="G798:L798" ca="1" si="1477">P798+Y798+AH798+AQ798+AZ798+BI798</f>
        <v>108794.427964149</v>
      </c>
      <c r="H798" s="1122">
        <f t="shared" ca="1" si="1477"/>
        <v>46454.292809277453</v>
      </c>
      <c r="I798" s="1122">
        <f t="shared" ca="1" si="1477"/>
        <v>151087.31880597386</v>
      </c>
      <c r="J798" s="1122">
        <f t="shared" ca="1" si="1477"/>
        <v>99609.430797796624</v>
      </c>
      <c r="K798" s="1122">
        <f t="shared" ca="1" si="1477"/>
        <v>54800.058189819436</v>
      </c>
      <c r="L798" s="1122">
        <f t="shared" ca="1" si="1477"/>
        <v>36556.271452493602</v>
      </c>
      <c r="N798" s="186">
        <f ca="1">SUM(G798:M798)</f>
        <v>497301.80001951003</v>
      </c>
      <c r="O798" s="136">
        <f>ROW()</f>
        <v>798</v>
      </c>
      <c r="P798" s="10">
        <f t="shared" ref="P798:U798" ca="1" si="1478">P752</f>
        <v>24179.535025158115</v>
      </c>
      <c r="Q798" s="10">
        <f t="shared" ca="1" si="1478"/>
        <v>9359.5788105981846</v>
      </c>
      <c r="R798" s="10">
        <f t="shared" ca="1" si="1478"/>
        <v>25077.806134291692</v>
      </c>
      <c r="S798" s="10">
        <f t="shared" ca="1" si="1478"/>
        <v>9861.8505593228256</v>
      </c>
      <c r="T798" s="10">
        <f t="shared" ca="1" si="1478"/>
        <v>8988.6299831439828</v>
      </c>
      <c r="U798" s="10">
        <f t="shared" ca="1" si="1478"/>
        <v>4812.0755784864905</v>
      </c>
      <c r="V798" s="10"/>
      <c r="W798" s="10">
        <f ca="1">SUM(P798:V798)</f>
        <v>82279.476091001285</v>
      </c>
      <c r="Y798" s="10">
        <f t="shared" ref="Y798:AD798" ca="1" si="1479">Y752</f>
        <v>36327.57785535889</v>
      </c>
      <c r="Z798" s="10">
        <f t="shared" ca="1" si="1479"/>
        <v>17697.235955799897</v>
      </c>
      <c r="AA798" s="10">
        <f t="shared" ca="1" si="1479"/>
        <v>73031.813227367791</v>
      </c>
      <c r="AB798" s="10">
        <f t="shared" ca="1" si="1479"/>
        <v>57298.257281354658</v>
      </c>
      <c r="AC798" s="10">
        <f t="shared" ca="1" si="1479"/>
        <v>26544.929931514227</v>
      </c>
      <c r="AD798" s="10">
        <f t="shared" ca="1" si="1479"/>
        <v>17707.755774787918</v>
      </c>
      <c r="AE798" s="10"/>
      <c r="AF798" s="10">
        <f ca="1">SUM(Y798:AE798)</f>
        <v>228607.57002618338</v>
      </c>
      <c r="AH798" s="10">
        <f t="shared" ref="AH798:AM798" ca="1" si="1480">AH752</f>
        <v>28016.156196186374</v>
      </c>
      <c r="AI798" s="10">
        <f t="shared" ca="1" si="1480"/>
        <v>11162.068277955954</v>
      </c>
      <c r="AJ798" s="10">
        <f t="shared" ca="1" si="1480"/>
        <v>26731.42336097869</v>
      </c>
      <c r="AK798" s="10">
        <f t="shared" ca="1" si="1480"/>
        <v>15507.694643804865</v>
      </c>
      <c r="AL798" s="10">
        <f t="shared" ca="1" si="1480"/>
        <v>9211.4727944312563</v>
      </c>
      <c r="AM798" s="10">
        <f t="shared" ca="1" si="1480"/>
        <v>6269.1136757106324</v>
      </c>
      <c r="AN798" s="10"/>
      <c r="AO798" s="10">
        <f ca="1">SUM(AH798:AN798)</f>
        <v>96897.928949067777</v>
      </c>
      <c r="AQ798" s="10">
        <f t="shared" ref="AQ798:AV798" ca="1" si="1481">AQ752</f>
        <v>16063.417052874969</v>
      </c>
      <c r="AR798" s="10">
        <f t="shared" ca="1" si="1481"/>
        <v>6580.3039547416147</v>
      </c>
      <c r="AS798" s="10">
        <f t="shared" ca="1" si="1481"/>
        <v>21013.495952133315</v>
      </c>
      <c r="AT798" s="10">
        <f t="shared" ca="1" si="1481"/>
        <v>13564.375536569334</v>
      </c>
      <c r="AU798" s="10">
        <f t="shared" ca="1" si="1481"/>
        <v>8063.8623615436009</v>
      </c>
      <c r="AV798" s="10">
        <f t="shared" ca="1" si="1481"/>
        <v>6227.2646854543091</v>
      </c>
      <c r="AW798" s="10"/>
      <c r="AX798" s="10">
        <f ca="1">SUM(AQ798:AW798)</f>
        <v>71512.719543317144</v>
      </c>
      <c r="AZ798" s="10">
        <f t="shared" ref="AZ798:BE798" ca="1" si="1482">AZ752</f>
        <v>2865.3710071351124</v>
      </c>
      <c r="BA798" s="10">
        <f t="shared" ca="1" si="1482"/>
        <v>1128.4909656461173</v>
      </c>
      <c r="BB798" s="10">
        <f t="shared" ca="1" si="1482"/>
        <v>3571.6465971076777</v>
      </c>
      <c r="BC798" s="10">
        <f t="shared" ca="1" si="1482"/>
        <v>2306.0140307183838</v>
      </c>
      <c r="BD798" s="10">
        <f t="shared" ca="1" si="1482"/>
        <v>1358.2773441595311</v>
      </c>
      <c r="BE798" s="10">
        <f t="shared" ca="1" si="1482"/>
        <v>1050.0393816334013</v>
      </c>
      <c r="BF798" s="10"/>
      <c r="BG798" s="10">
        <f ca="1">SUM(AZ798:BF798)</f>
        <v>12279.839326400224</v>
      </c>
      <c r="BI798" s="10">
        <f t="shared" ref="BI798:BN798" ca="1" si="1483">BI752</f>
        <v>1342.3708274355429</v>
      </c>
      <c r="BJ798" s="10">
        <f t="shared" ca="1" si="1483"/>
        <v>526.61484453568562</v>
      </c>
      <c r="BK798" s="10">
        <f t="shared" ca="1" si="1483"/>
        <v>1661.1335340946939</v>
      </c>
      <c r="BL798" s="10">
        <f t="shared" ca="1" si="1483"/>
        <v>1071.2387460265477</v>
      </c>
      <c r="BM798" s="10">
        <f t="shared" ca="1" si="1483"/>
        <v>632.88577502683779</v>
      </c>
      <c r="BN798" s="10">
        <f t="shared" ca="1" si="1483"/>
        <v>490.02235642085037</v>
      </c>
      <c r="BO798" s="10"/>
      <c r="BP798" s="10">
        <f ca="1">SUM(BI798:BO798)</f>
        <v>5724.2660835401584</v>
      </c>
    </row>
    <row r="799" spans="2:68" ht="13.2" customHeight="1">
      <c r="B799" s="309" t="str">
        <f>CONCATENATE("Above row repeats figures in Row ",O752,".")</f>
        <v>Above row repeats figures in Row 752.</v>
      </c>
      <c r="G799" s="1126" t="s">
        <v>1009</v>
      </c>
      <c r="H799" s="1122"/>
      <c r="I799" s="1122"/>
      <c r="J799" s="1122"/>
      <c r="K799" s="1122"/>
      <c r="L799" s="1122"/>
      <c r="O799" s="136">
        <f>ROW()</f>
        <v>799</v>
      </c>
      <c r="AQ799" s="265" t="str">
        <f>CONCATENATE("Row ",O800, " figures are set equal to ",O798, " figures, since rebound effects are presumed accounted for by taxi time-elasticity.")</f>
        <v>Row 800 figures are set equal to 798 figures, since rebound effects are presumed accounted for by taxi time-elasticity.</v>
      </c>
    </row>
    <row r="800" spans="2:68" ht="13.2" customHeight="1">
      <c r="B800" s="280" t="s">
        <v>1300</v>
      </c>
      <c r="G800" s="1122">
        <f t="shared" ref="G800:L801" ca="1" si="1484">P800+Y800+AH800+AQ800+AZ800+BI800</f>
        <v>108801.91046435013</v>
      </c>
      <c r="H800" s="1122">
        <f t="shared" ca="1" si="1484"/>
        <v>46462.87317630231</v>
      </c>
      <c r="I800" s="1122">
        <f t="shared" ca="1" si="1484"/>
        <v>151119.16384475183</v>
      </c>
      <c r="J800" s="1122">
        <f t="shared" ca="1" si="1484"/>
        <v>99626.237723664861</v>
      </c>
      <c r="K800" s="1122">
        <f t="shared" ca="1" si="1484"/>
        <v>54812.833570448624</v>
      </c>
      <c r="L800" s="1122">
        <f t="shared" ca="1" si="1484"/>
        <v>36562.935076575261</v>
      </c>
      <c r="N800" s="617">
        <f ca="1">SUM(G800:M800)</f>
        <v>497385.95385609299</v>
      </c>
      <c r="O800" s="136">
        <f>ROW()</f>
        <v>800</v>
      </c>
      <c r="P800" s="10">
        <f t="shared" ref="P800:U800" ca="1" si="1485">P798*P789</f>
        <v>24182.58297769797</v>
      </c>
      <c r="Q800" s="10">
        <f t="shared" ca="1" si="1485"/>
        <v>9361.5925693195932</v>
      </c>
      <c r="R800" s="10">
        <f t="shared" ca="1" si="1485"/>
        <v>25083.893993631493</v>
      </c>
      <c r="S800" s="10">
        <f t="shared" ca="1" si="1485"/>
        <v>9863.8195491273673</v>
      </c>
      <c r="T800" s="10">
        <f t="shared" ca="1" si="1485"/>
        <v>8991.0306274127797</v>
      </c>
      <c r="U800" s="10">
        <f t="shared" ca="1" si="1485"/>
        <v>4813.1389901466509</v>
      </c>
      <c r="V800" s="10"/>
      <c r="W800" s="10">
        <f ca="1">SUM(P800:V800)</f>
        <v>82296.058707335847</v>
      </c>
      <c r="Y800" s="10">
        <f t="shared" ref="Y800:AD800" ca="1" si="1486">Y798*Y789</f>
        <v>36332.157130066858</v>
      </c>
      <c r="Z800" s="10">
        <f t="shared" ca="1" si="1486"/>
        <v>17701.04360184594</v>
      </c>
      <c r="AA800" s="10">
        <f t="shared" ca="1" si="1486"/>
        <v>73049.542346249946</v>
      </c>
      <c r="AB800" s="10">
        <f t="shared" ca="1" si="1486"/>
        <v>57309.697292914992</v>
      </c>
      <c r="AC800" s="10">
        <f t="shared" ca="1" si="1486"/>
        <v>26552.019436146762</v>
      </c>
      <c r="AD800" s="10">
        <f t="shared" ca="1" si="1486"/>
        <v>17711.668978905156</v>
      </c>
      <c r="AE800" s="10"/>
      <c r="AF800" s="10">
        <f ca="1">SUM(Y800:AE800)</f>
        <v>228656.12878612967</v>
      </c>
      <c r="AH800" s="10">
        <f t="shared" ref="AH800:AM800" ca="1" si="1487">AH798*AH789</f>
        <v>28015.826457873656</v>
      </c>
      <c r="AI800" s="10">
        <f t="shared" ca="1" si="1487"/>
        <v>11164.702450566767</v>
      </c>
      <c r="AJ800" s="10">
        <f t="shared" ca="1" si="1487"/>
        <v>26739.004430237943</v>
      </c>
      <c r="AK800" s="10">
        <f t="shared" ca="1" si="1487"/>
        <v>15510.855320638842</v>
      </c>
      <c r="AL800" s="10">
        <f t="shared" ca="1" si="1487"/>
        <v>9214.5706714729986</v>
      </c>
      <c r="AM800" s="10">
        <f t="shared" ca="1" si="1487"/>
        <v>6270.6818520079496</v>
      </c>
      <c r="AN800" s="10"/>
      <c r="AO800" s="10">
        <f ca="1">SUM(AH800:AN800)</f>
        <v>96915.641182798165</v>
      </c>
      <c r="AQ800" s="10">
        <f ca="1">AQ798</f>
        <v>16063.417052874969</v>
      </c>
      <c r="AR800" s="10">
        <f t="shared" ref="AR800:AV800" ca="1" si="1488">AR798</f>
        <v>6580.3039547416147</v>
      </c>
      <c r="AS800" s="10">
        <f t="shared" ca="1" si="1488"/>
        <v>21013.495952133315</v>
      </c>
      <c r="AT800" s="10">
        <f t="shared" ca="1" si="1488"/>
        <v>13564.375536569334</v>
      </c>
      <c r="AU800" s="10">
        <f t="shared" ca="1" si="1488"/>
        <v>8063.8623615436009</v>
      </c>
      <c r="AV800" s="10">
        <f t="shared" ca="1" si="1488"/>
        <v>6227.2646854543091</v>
      </c>
      <c r="AW800" s="10"/>
      <c r="AX800" s="10">
        <f ca="1">SUM(AQ800:AW800)</f>
        <v>71512.719543317144</v>
      </c>
      <c r="AZ800" s="10">
        <f t="shared" ref="AZ800:BE800" ca="1" si="1489">AZ798*AZ789</f>
        <v>2865.4740394060145</v>
      </c>
      <c r="BA800" s="10">
        <f t="shared" ca="1" si="1489"/>
        <v>1128.5607555675006</v>
      </c>
      <c r="BB800" s="10">
        <f t="shared" ca="1" si="1489"/>
        <v>3571.8975634224557</v>
      </c>
      <c r="BC800" s="10">
        <f t="shared" ca="1" si="1489"/>
        <v>2306.1473100662333</v>
      </c>
      <c r="BD800" s="10">
        <f t="shared" ca="1" si="1489"/>
        <v>1358.3825176170526</v>
      </c>
      <c r="BE800" s="10">
        <f t="shared" ca="1" si="1489"/>
        <v>1050.1057072114734</v>
      </c>
      <c r="BF800" s="10"/>
      <c r="BG800" s="10">
        <f ca="1">SUM(AZ800:BF800)</f>
        <v>12280.567893290729</v>
      </c>
      <c r="BI800" s="10">
        <f t="shared" ref="BI800:BN800" ca="1" si="1490">BI798*BI789</f>
        <v>1342.452806430666</v>
      </c>
      <c r="BJ800" s="10">
        <f t="shared" ca="1" si="1490"/>
        <v>526.66984426089994</v>
      </c>
      <c r="BK800" s="10">
        <f t="shared" ca="1" si="1490"/>
        <v>1661.3295590767016</v>
      </c>
      <c r="BL800" s="10">
        <f t="shared" ca="1" si="1490"/>
        <v>1071.3427143480965</v>
      </c>
      <c r="BM800" s="10">
        <f t="shared" ca="1" si="1490"/>
        <v>632.96795625543598</v>
      </c>
      <c r="BN800" s="10">
        <f t="shared" ca="1" si="1490"/>
        <v>490.07486284972128</v>
      </c>
      <c r="BO800" s="10"/>
      <c r="BP800" s="10">
        <f ca="1">SUM(BI800:BO800)</f>
        <v>5724.8377432215211</v>
      </c>
    </row>
    <row r="801" spans="2:68" ht="13.2" customHeight="1">
      <c r="B801" s="280" t="s">
        <v>112</v>
      </c>
      <c r="G801" s="1122">
        <f t="shared" ca="1" si="1484"/>
        <v>173402.42903949966</v>
      </c>
      <c r="H801" s="1122">
        <f t="shared" ca="1" si="1484"/>
        <v>73824.167552249288</v>
      </c>
      <c r="I801" s="1122">
        <f t="shared" ca="1" si="1484"/>
        <v>240700.10442484269</v>
      </c>
      <c r="J801" s="1122">
        <f t="shared" ca="1" si="1484"/>
        <v>158665.35114399146</v>
      </c>
      <c r="K801" s="1122">
        <f t="shared" ca="1" si="1484"/>
        <v>87683.782223850736</v>
      </c>
      <c r="L801" s="1122">
        <f t="shared" ca="1" si="1484"/>
        <v>59151.162764631321</v>
      </c>
      <c r="N801" s="186">
        <f ca="1">SUM(G801:M801)</f>
        <v>793426.99714906514</v>
      </c>
      <c r="O801" s="136">
        <f>ROW()</f>
        <v>801</v>
      </c>
      <c r="P801" s="10">
        <f t="shared" ref="P801:U801" ca="1" si="1491">P800*$I$85</f>
        <v>36273.874466546957</v>
      </c>
      <c r="Q801" s="10">
        <f t="shared" ca="1" si="1491"/>
        <v>14042.38885397939</v>
      </c>
      <c r="R801" s="10">
        <f t="shared" ca="1" si="1491"/>
        <v>37625.840990447236</v>
      </c>
      <c r="S801" s="10">
        <f t="shared" ca="1" si="1491"/>
        <v>14795.729323691052</v>
      </c>
      <c r="T801" s="10">
        <f t="shared" ca="1" si="1491"/>
        <v>13486.54594111917</v>
      </c>
      <c r="U801" s="10">
        <f t="shared" ca="1" si="1491"/>
        <v>7219.7084852199769</v>
      </c>
      <c r="V801" s="10"/>
      <c r="W801" s="10">
        <f ca="1">SUM(P801:V801)</f>
        <v>123444.08806100377</v>
      </c>
      <c r="Y801" s="10">
        <f t="shared" ref="Y801:AD801" ca="1" si="1492">Y800*$J$85</f>
        <v>54498.235695100288</v>
      </c>
      <c r="Z801" s="10">
        <f t="shared" ca="1" si="1492"/>
        <v>26551.565402768909</v>
      </c>
      <c r="AA801" s="10">
        <f t="shared" ca="1" si="1492"/>
        <v>109574.31351937492</v>
      </c>
      <c r="AB801" s="10">
        <f t="shared" ca="1" si="1492"/>
        <v>85964.545939372489</v>
      </c>
      <c r="AC801" s="10">
        <f t="shared" ca="1" si="1492"/>
        <v>39828.029154220145</v>
      </c>
      <c r="AD801" s="10">
        <f t="shared" ca="1" si="1492"/>
        <v>26567.503468357732</v>
      </c>
      <c r="AE801" s="10"/>
      <c r="AF801" s="10">
        <f ca="1">SUM(Y801:AE801)</f>
        <v>342984.19317919447</v>
      </c>
      <c r="AH801" s="10">
        <f t="shared" ref="AH801:AM801" ca="1" si="1493">AH800*$K$85</f>
        <v>39222.157041023122</v>
      </c>
      <c r="AI801" s="10">
        <f t="shared" ca="1" si="1493"/>
        <v>15630.583430793475</v>
      </c>
      <c r="AJ801" s="10">
        <f t="shared" ca="1" si="1493"/>
        <v>37434.606202333125</v>
      </c>
      <c r="AK801" s="10">
        <f t="shared" ca="1" si="1493"/>
        <v>21715.197448894382</v>
      </c>
      <c r="AL801" s="10">
        <f t="shared" ca="1" si="1493"/>
        <v>12900.398940062199</v>
      </c>
      <c r="AM801" s="10">
        <f t="shared" ca="1" si="1493"/>
        <v>8778.9545928111311</v>
      </c>
      <c r="AN801" s="10"/>
      <c r="AO801" s="10">
        <f ca="1">SUM(AH801:AN801)</f>
        <v>135681.89765591742</v>
      </c>
      <c r="AQ801" s="10">
        <f ca="1">AQ800*$L$85</f>
        <v>32126.834105749938</v>
      </c>
      <c r="AR801" s="10">
        <f t="shared" ref="AR801" ca="1" si="1494">AR800*$L$85</f>
        <v>13160.607909483229</v>
      </c>
      <c r="AS801" s="10">
        <f t="shared" ref="AS801" ca="1" si="1495">AS800*$L$85</f>
        <v>42026.99190426663</v>
      </c>
      <c r="AT801" s="10">
        <f t="shared" ref="AT801" ca="1" si="1496">AT800*$L$85</f>
        <v>27128.751073138668</v>
      </c>
      <c r="AU801" s="10">
        <f t="shared" ref="AU801" ca="1" si="1497">AU800*$L$85</f>
        <v>16127.724723087202</v>
      </c>
      <c r="AV801" s="10">
        <f t="shared" ref="AV801" ca="1" si="1498">AV800*$L$85</f>
        <v>12454.529370908618</v>
      </c>
      <c r="AW801" s="10"/>
      <c r="AX801" s="10">
        <f ca="1">SUM(AQ801:AW801)</f>
        <v>143025.43908663429</v>
      </c>
      <c r="AZ801" s="10">
        <f t="shared" ref="AZ801:BE801" ca="1" si="1499">AZ800*$M$85</f>
        <v>8596.4221182180445</v>
      </c>
      <c r="BA801" s="10">
        <f t="shared" ca="1" si="1499"/>
        <v>3385.6822667025017</v>
      </c>
      <c r="BB801" s="10">
        <f t="shared" ca="1" si="1499"/>
        <v>10715.692690267368</v>
      </c>
      <c r="BC801" s="10">
        <f t="shared" ca="1" si="1499"/>
        <v>6918.4419301987</v>
      </c>
      <c r="BD801" s="10">
        <f t="shared" ca="1" si="1499"/>
        <v>4075.1475528511578</v>
      </c>
      <c r="BE801" s="10">
        <f t="shared" ca="1" si="1499"/>
        <v>3150.3171216344199</v>
      </c>
      <c r="BF801" s="10"/>
      <c r="BG801" s="10">
        <f ca="1">SUM(AZ801:BF801)</f>
        <v>36841.703679872189</v>
      </c>
      <c r="BI801" s="10">
        <f t="shared" ref="BI801:BN801" ca="1" si="1500">BI800*$N$85</f>
        <v>2684.905612861332</v>
      </c>
      <c r="BJ801" s="10">
        <f t="shared" ca="1" si="1500"/>
        <v>1053.3396885217999</v>
      </c>
      <c r="BK801" s="10">
        <f t="shared" ca="1" si="1500"/>
        <v>3322.6591181534031</v>
      </c>
      <c r="BL801" s="10">
        <f t="shared" ca="1" si="1500"/>
        <v>2142.685428696193</v>
      </c>
      <c r="BM801" s="10">
        <f t="shared" ca="1" si="1500"/>
        <v>1265.935912510872</v>
      </c>
      <c r="BN801" s="10">
        <f t="shared" ca="1" si="1500"/>
        <v>980.14972569944257</v>
      </c>
      <c r="BO801" s="10"/>
      <c r="BP801" s="10">
        <f ca="1">SUM(BI801:BO801)</f>
        <v>11449.675486443042</v>
      </c>
    </row>
    <row r="802" spans="2:68" ht="13.2" customHeight="1">
      <c r="G802" s="1122"/>
      <c r="H802" s="1122"/>
      <c r="I802" s="1128"/>
      <c r="J802" s="3454"/>
      <c r="K802" s="3454"/>
      <c r="L802" s="3454"/>
      <c r="M802" s="3455" t="s">
        <v>6039</v>
      </c>
      <c r="N802" s="756">
        <f ca="1">(W802*W800+AF802*AF800+AO802*AO800+BG802*BG800+BP802*BP800)/(W800+AF800+AO800+BG800+BP800)</f>
        <v>5.1600167569249589</v>
      </c>
      <c r="O802" s="136">
        <f>ROW()</f>
        <v>802</v>
      </c>
      <c r="V802" s="1816" t="s">
        <v>6039</v>
      </c>
      <c r="W802" s="591">
        <f ca="1">SUMPRODUCT(P800:V800,P$291:V$291)/W800</f>
        <v>4.3014541081995468</v>
      </c>
      <c r="AE802" s="1816" t="s">
        <v>6039</v>
      </c>
      <c r="AF802" s="591">
        <f ca="1">SUMPRODUCT(Y800:AE800,Y$291:AE$291)/AF800</f>
        <v>4.3014541081995459</v>
      </c>
      <c r="AN802" s="1816" t="s">
        <v>6039</v>
      </c>
      <c r="AO802" s="591">
        <f ca="1">SUMPRODUCT(AH800:AN800,AH$291:AN$291)/AO800</f>
        <v>7.3124719839392291</v>
      </c>
      <c r="BF802" s="1816" t="s">
        <v>6039</v>
      </c>
      <c r="BG802" s="591">
        <f ca="1">SUMPRODUCT(AZ800:BF800,AZ$291:BF$291)/BG800</f>
        <v>8.7086713781619114</v>
      </c>
      <c r="BO802" s="1816" t="s">
        <v>6039</v>
      </c>
      <c r="BP802" s="591">
        <f ca="1">SUMPRODUCT(BI800:BO800,BI$291:BO$291)/BP800</f>
        <v>7.7427731485038844</v>
      </c>
    </row>
    <row r="803" spans="2:68" ht="13.2" customHeight="1">
      <c r="B803" s="308" t="s">
        <v>1010</v>
      </c>
      <c r="G803" s="1122"/>
      <c r="H803" s="1122"/>
      <c r="I803" s="1129"/>
      <c r="J803" s="1130"/>
      <c r="K803" s="1130"/>
      <c r="L803" s="1130"/>
      <c r="M803" s="1130"/>
      <c r="N803" s="3456" t="s">
        <v>6040</v>
      </c>
      <c r="O803" s="136">
        <f>ROW()</f>
        <v>803</v>
      </c>
      <c r="P803" s="10"/>
      <c r="Q803" s="10"/>
      <c r="R803" s="10"/>
      <c r="S803" s="10"/>
      <c r="T803" s="10"/>
      <c r="U803" s="10"/>
      <c r="V803" s="10"/>
      <c r="W803" s="10"/>
      <c r="Y803" s="10"/>
      <c r="Z803" s="10"/>
      <c r="AA803" s="10"/>
      <c r="AB803" s="10"/>
      <c r="AC803" s="10"/>
      <c r="AD803" s="10"/>
      <c r="AE803" s="10"/>
      <c r="AF803" s="10"/>
      <c r="AH803" s="10"/>
      <c r="AI803" s="10"/>
      <c r="AJ803" s="10"/>
      <c r="AK803" s="10"/>
      <c r="AL803" s="10"/>
      <c r="AM803" s="10"/>
      <c r="AN803" s="10"/>
      <c r="AO803" s="10"/>
      <c r="AQ803" s="10"/>
      <c r="AR803" s="10"/>
      <c r="AS803" s="10"/>
      <c r="AT803" s="10"/>
      <c r="AU803" s="10"/>
      <c r="AV803" s="10"/>
      <c r="AW803" s="10"/>
      <c r="AX803" s="10"/>
      <c r="AZ803" s="10"/>
      <c r="BA803" s="10"/>
      <c r="BB803" s="10"/>
      <c r="BC803" s="10"/>
      <c r="BD803" s="10"/>
      <c r="BE803" s="10"/>
      <c r="BF803" s="10"/>
      <c r="BG803" s="10"/>
      <c r="BI803" s="10"/>
      <c r="BJ803" s="10"/>
      <c r="BK803" s="10"/>
      <c r="BL803" s="10"/>
      <c r="BM803" s="10"/>
      <c r="BN803" s="10"/>
      <c r="BO803" s="10"/>
      <c r="BP803" s="10"/>
    </row>
    <row r="804" spans="2:68" ht="13.2" customHeight="1">
      <c r="B804" s="280" t="s">
        <v>1301</v>
      </c>
      <c r="G804" s="1122">
        <f t="shared" ref="G804:L804" ca="1" si="1501">P804+Y804+AH804+AQ804+AZ804+BI804</f>
        <v>145396.15993203528</v>
      </c>
      <c r="H804" s="1122">
        <f t="shared" ca="1" si="1501"/>
        <v>43969.789674828367</v>
      </c>
      <c r="I804" s="1122">
        <f t="shared" ca="1" si="1501"/>
        <v>131142.55898788187</v>
      </c>
      <c r="J804" s="1122">
        <f t="shared" ca="1" si="1501"/>
        <v>83437.089446444152</v>
      </c>
      <c r="K804" s="1122">
        <f t="shared" ca="1" si="1501"/>
        <v>47429.315398684441</v>
      </c>
      <c r="L804" s="1122">
        <f t="shared" ca="1" si="1501"/>
        <v>45926.886579635866</v>
      </c>
      <c r="N804" s="186">
        <f ca="1">SUM(G804:M804)</f>
        <v>497301.80001951003</v>
      </c>
      <c r="O804" s="136">
        <f>ROW()</f>
        <v>804</v>
      </c>
      <c r="P804" s="10">
        <f t="shared" ref="P804:W804" ca="1" si="1502">P$135*$W798</f>
        <v>24992.257466087092</v>
      </c>
      <c r="Q804" s="10">
        <f t="shared" ca="1" si="1502"/>
        <v>7225.1437094632647</v>
      </c>
      <c r="R804" s="10">
        <f t="shared" ca="1" si="1502"/>
        <v>21281.338635646141</v>
      </c>
      <c r="S804" s="10">
        <f t="shared" ca="1" si="1502"/>
        <v>13502.202280836482</v>
      </c>
      <c r="T804" s="10">
        <f t="shared" ca="1" si="1502"/>
        <v>7606.9796068008018</v>
      </c>
      <c r="U804" s="10">
        <f t="shared" ca="1" si="1502"/>
        <v>7671.5543921675117</v>
      </c>
      <c r="V804" s="10"/>
      <c r="W804" s="10">
        <f t="shared" ca="1" si="1502"/>
        <v>82279.476091001285</v>
      </c>
      <c r="Y804" s="10">
        <f t="shared" ref="Y804:AD804" ca="1" si="1503">Y$135*$AF798</f>
        <v>69439.178762779848</v>
      </c>
      <c r="Z804" s="10">
        <f t="shared" ca="1" si="1503"/>
        <v>20074.538937068006</v>
      </c>
      <c r="AA804" s="10">
        <f t="shared" ca="1" si="1503"/>
        <v>59128.659339281796</v>
      </c>
      <c r="AB804" s="10">
        <f t="shared" ca="1" si="1503"/>
        <v>37514.891927728306</v>
      </c>
      <c r="AC804" s="10">
        <f t="shared" ca="1" si="1503"/>
        <v>21135.442345623476</v>
      </c>
      <c r="AD804" s="10">
        <f t="shared" ca="1" si="1503"/>
        <v>21314.858713701939</v>
      </c>
      <c r="AE804" s="10"/>
      <c r="AF804" s="10">
        <f ca="1">SUM(Y804:AE804)</f>
        <v>228607.57002618338</v>
      </c>
      <c r="AH804" s="10">
        <f t="shared" ref="AH804:AM804" ca="1" si="1504">AH$135*$AO798</f>
        <v>29432.58882138861</v>
      </c>
      <c r="AI804" s="10">
        <f t="shared" ca="1" si="1504"/>
        <v>8508.8225529299871</v>
      </c>
      <c r="AJ804" s="10">
        <f t="shared" ca="1" si="1504"/>
        <v>25062.357431362154</v>
      </c>
      <c r="AK804" s="10">
        <f t="shared" ca="1" si="1504"/>
        <v>15901.115313585764</v>
      </c>
      <c r="AL804" s="10">
        <f t="shared" ca="1" si="1504"/>
        <v>8958.4985767478247</v>
      </c>
      <c r="AM804" s="10">
        <f t="shared" ca="1" si="1504"/>
        <v>9034.5462530534478</v>
      </c>
      <c r="AN804" s="10"/>
      <c r="AO804" s="10">
        <f ca="1">SUM(AH804:AN804)</f>
        <v>96897.928949067777</v>
      </c>
      <c r="AQ804" s="10">
        <f t="shared" ref="AQ804:AV804" ca="1" si="1505">AQ798</f>
        <v>16063.417052874969</v>
      </c>
      <c r="AR804" s="10">
        <f t="shared" ca="1" si="1505"/>
        <v>6580.3039547416147</v>
      </c>
      <c r="AS804" s="10">
        <f t="shared" ca="1" si="1505"/>
        <v>21013.495952133315</v>
      </c>
      <c r="AT804" s="10">
        <f t="shared" ca="1" si="1505"/>
        <v>13564.375536569334</v>
      </c>
      <c r="AU804" s="10">
        <f t="shared" ca="1" si="1505"/>
        <v>8063.8623615436009</v>
      </c>
      <c r="AV804" s="10">
        <f t="shared" ca="1" si="1505"/>
        <v>6227.2646854543091</v>
      </c>
      <c r="AW804" s="10"/>
      <c r="AX804" s="10">
        <f ca="1">SUM(AQ804:AW804)</f>
        <v>71512.719543317144</v>
      </c>
      <c r="AZ804" s="10">
        <f t="shared" ref="AZ804:BE804" ca="1" si="1506">AZ$135*$BG798</f>
        <v>3729.9812865621889</v>
      </c>
      <c r="BA804" s="10">
        <f t="shared" ca="1" si="1506"/>
        <v>1078.319990324582</v>
      </c>
      <c r="BB804" s="10">
        <f t="shared" ca="1" si="1506"/>
        <v>3176.1434504932286</v>
      </c>
      <c r="BC804" s="10">
        <f t="shared" ca="1" si="1506"/>
        <v>2015.1425657820919</v>
      </c>
      <c r="BD804" s="10">
        <f t="shared" ca="1" si="1506"/>
        <v>1135.3072694264918</v>
      </c>
      <c r="BE804" s="10">
        <f t="shared" ca="1" si="1506"/>
        <v>1144.9447638116403</v>
      </c>
      <c r="BF804" s="10"/>
      <c r="BG804" s="10">
        <f ca="1">SUM(AZ804:BF804)</f>
        <v>12279.839326400222</v>
      </c>
      <c r="BI804" s="10">
        <f t="shared" ref="BI804:BN804" ca="1" si="1507">BI$135*$BP798</f>
        <v>1738.7365423425686</v>
      </c>
      <c r="BJ804" s="10">
        <f t="shared" ca="1" si="1507"/>
        <v>502.6605303009141</v>
      </c>
      <c r="BK804" s="10">
        <f t="shared" ca="1" si="1507"/>
        <v>1480.5641789652229</v>
      </c>
      <c r="BL804" s="10">
        <f t="shared" ca="1" si="1507"/>
        <v>939.36182194217781</v>
      </c>
      <c r="BM804" s="10">
        <f t="shared" ca="1" si="1507"/>
        <v>529.2252385422496</v>
      </c>
      <c r="BN804" s="10">
        <f t="shared" ca="1" si="1507"/>
        <v>533.71777144702537</v>
      </c>
      <c r="BO804" s="10"/>
      <c r="BP804" s="10">
        <f ca="1">SUM(BI804:BO804)</f>
        <v>5724.2660835401584</v>
      </c>
    </row>
    <row r="805" spans="2:68" ht="13.2" customHeight="1">
      <c r="B805" s="309"/>
      <c r="G805" s="1122"/>
      <c r="H805" s="1122"/>
      <c r="I805" s="1122"/>
      <c r="J805" s="1122"/>
      <c r="K805" s="1122"/>
      <c r="L805" s="1122"/>
      <c r="O805" s="136">
        <f>ROW()</f>
        <v>805</v>
      </c>
    </row>
    <row r="806" spans="2:68" ht="13.2" customHeight="1">
      <c r="B806" s="280" t="s">
        <v>1047</v>
      </c>
      <c r="G806" s="1122"/>
      <c r="H806" s="1122"/>
      <c r="I806" s="1122"/>
      <c r="J806" s="1122"/>
      <c r="K806" s="1122"/>
      <c r="L806" s="1122"/>
      <c r="M806" s="10"/>
      <c r="N806" s="186"/>
      <c r="O806" s="136">
        <f>ROW()</f>
        <v>806</v>
      </c>
      <c r="P806" s="10">
        <f t="shared" ref="P806:U806" ca="1" si="1508">P804*$W800/$W798</f>
        <v>24997.294408913956</v>
      </c>
      <c r="Q806" s="10">
        <f t="shared" ca="1" si="1508"/>
        <v>7226.5998658680974</v>
      </c>
      <c r="R806" s="10">
        <f t="shared" ca="1" si="1508"/>
        <v>21285.627679408288</v>
      </c>
      <c r="S806" s="10">
        <f t="shared" ca="1" si="1508"/>
        <v>13504.923516443856</v>
      </c>
      <c r="T806" s="10">
        <f t="shared" ca="1" si="1508"/>
        <v>7608.512718462146</v>
      </c>
      <c r="U806" s="10">
        <f t="shared" ca="1" si="1508"/>
        <v>7673.1005182395138</v>
      </c>
      <c r="V806" s="10"/>
      <c r="W806" s="10">
        <f ca="1">SUM(P806:V806)</f>
        <v>82296.058707335862</v>
      </c>
      <c r="Y806" s="10">
        <f t="shared" ref="Y806:AD806" ca="1" si="1509">Y804*$AF800/$AF798</f>
        <v>69453.92840738708</v>
      </c>
      <c r="Z806" s="10">
        <f t="shared" ca="1" si="1509"/>
        <v>20078.802989728931</v>
      </c>
      <c r="AA806" s="10">
        <f t="shared" ca="1" si="1509"/>
        <v>59141.218916265505</v>
      </c>
      <c r="AB806" s="10">
        <f t="shared" ca="1" si="1509"/>
        <v>37522.860503009171</v>
      </c>
      <c r="AC806" s="10">
        <f t="shared" ca="1" si="1509"/>
        <v>21139.931745826201</v>
      </c>
      <c r="AD806" s="10">
        <f t="shared" ca="1" si="1509"/>
        <v>21319.386223912774</v>
      </c>
      <c r="AE806" s="10"/>
      <c r="AF806" s="10">
        <f ca="1">SUM(Y806:AE806)</f>
        <v>228656.12878612964</v>
      </c>
      <c r="AH806" s="10">
        <f t="shared" ref="AH806:AM806" ca="1" si="1510">AH804*$AO800/$AO798</f>
        <v>29437.968883668051</v>
      </c>
      <c r="AI806" s="10">
        <f t="shared" ca="1" si="1510"/>
        <v>8510.3779035495772</v>
      </c>
      <c r="AJ806" s="10">
        <f t="shared" ca="1" si="1510"/>
        <v>25066.938647260919</v>
      </c>
      <c r="AK806" s="10">
        <f t="shared" ca="1" si="1510"/>
        <v>15904.021921333346</v>
      </c>
      <c r="AL806" s="10">
        <f t="shared" ca="1" si="1510"/>
        <v>8960.1361248604171</v>
      </c>
      <c r="AM806" s="10">
        <f t="shared" ca="1" si="1510"/>
        <v>9036.1977021258645</v>
      </c>
      <c r="AN806" s="10"/>
      <c r="AO806" s="10">
        <f ca="1">SUM(AH806:AN806)</f>
        <v>96915.641182798179</v>
      </c>
      <c r="AQ806" s="10">
        <f t="shared" ref="AQ806:AV806" ca="1" si="1511">AQ804*$AX800/$AX798</f>
        <v>16063.417052874971</v>
      </c>
      <c r="AR806" s="10">
        <f t="shared" ca="1" si="1511"/>
        <v>6580.3039547416147</v>
      </c>
      <c r="AS806" s="10">
        <f t="shared" ca="1" si="1511"/>
        <v>21013.495952133315</v>
      </c>
      <c r="AT806" s="10">
        <f t="shared" ca="1" si="1511"/>
        <v>13564.375536569334</v>
      </c>
      <c r="AU806" s="10">
        <f t="shared" ca="1" si="1511"/>
        <v>8063.8623615436018</v>
      </c>
      <c r="AV806" s="10">
        <f t="shared" ca="1" si="1511"/>
        <v>6227.2646854543091</v>
      </c>
      <c r="AW806" s="10"/>
      <c r="AX806" s="10">
        <f ca="1">SUM(AQ806:AW806)</f>
        <v>71512.719543317144</v>
      </c>
      <c r="AZ806" s="10">
        <f t="shared" ref="AZ806:BE806" ca="1" si="1512">AZ804*$BG800/$BG798</f>
        <v>3730.2025875739819</v>
      </c>
      <c r="BA806" s="10">
        <f t="shared" ca="1" si="1512"/>
        <v>1078.3839674029002</v>
      </c>
      <c r="BB806" s="10">
        <f t="shared" ca="1" si="1512"/>
        <v>3176.3318921247524</v>
      </c>
      <c r="BC806" s="10">
        <f t="shared" ca="1" si="1512"/>
        <v>2015.2621248507451</v>
      </c>
      <c r="BD806" s="10">
        <f t="shared" ca="1" si="1512"/>
        <v>1135.3746275787498</v>
      </c>
      <c r="BE806" s="10">
        <f t="shared" ca="1" si="1512"/>
        <v>1145.0126937595978</v>
      </c>
      <c r="BF806" s="10"/>
      <c r="BG806" s="10">
        <f ca="1">SUM(AZ806:BF806)</f>
        <v>12280.567893290727</v>
      </c>
      <c r="BI806" s="10">
        <f t="shared" ref="BI806:BN806" ca="1" si="1513">BI804*$BP800/$BP798</f>
        <v>1738.9101830439727</v>
      </c>
      <c r="BJ806" s="10">
        <f t="shared" ca="1" si="1513"/>
        <v>502.71072900838016</v>
      </c>
      <c r="BK806" s="10">
        <f t="shared" ca="1" si="1513"/>
        <v>1480.7120370197633</v>
      </c>
      <c r="BL806" s="10">
        <f t="shared" ca="1" si="1513"/>
        <v>939.45563227034552</v>
      </c>
      <c r="BM806" s="10">
        <f t="shared" ca="1" si="1513"/>
        <v>529.27809016144738</v>
      </c>
      <c r="BN806" s="10">
        <f t="shared" ca="1" si="1513"/>
        <v>533.77107171761202</v>
      </c>
      <c r="BO806" s="10"/>
      <c r="BP806" s="10">
        <f ca="1">SUM(BI806:BO806)</f>
        <v>5724.837743221522</v>
      </c>
    </row>
    <row r="807" spans="2:68" ht="13.2" customHeight="1">
      <c r="B807" s="309"/>
      <c r="C807" s="309"/>
      <c r="D807" s="309"/>
      <c r="E807" s="309"/>
      <c r="F807" s="309"/>
      <c r="G807" s="1122"/>
      <c r="H807" s="1122"/>
      <c r="I807" s="1122"/>
      <c r="J807" s="1122"/>
      <c r="K807" s="1122"/>
      <c r="L807" s="1122"/>
      <c r="M807" s="10"/>
      <c r="N807" s="186"/>
      <c r="O807" s="136">
        <f>ROW()</f>
        <v>807</v>
      </c>
      <c r="AQ807" s="10"/>
      <c r="AR807" s="10"/>
      <c r="AS807" s="10"/>
      <c r="AT807" s="10"/>
      <c r="AU807" s="10"/>
      <c r="AV807" s="10"/>
    </row>
    <row r="808" spans="2:68" ht="13.2" customHeight="1">
      <c r="B808" s="280" t="s">
        <v>1010</v>
      </c>
      <c r="G808" s="1122">
        <f t="shared" ref="G808:L808" ca="1" si="1514">P808+Y808+AH808+AQ808+AZ808+BI808</f>
        <v>221653.54436970921</v>
      </c>
      <c r="H808" s="1122">
        <f t="shared" ca="1" si="1514"/>
        <v>66983.662640702838</v>
      </c>
      <c r="I808" s="1122">
        <f t="shared" ca="1" si="1514"/>
        <v>199744.64767828977</v>
      </c>
      <c r="J808" s="1122">
        <f t="shared" ca="1" si="1514"/>
        <v>127078.56766299314</v>
      </c>
      <c r="K808" s="1122">
        <f t="shared" ca="1" si="1514"/>
        <v>72227.330876611653</v>
      </c>
      <c r="L808" s="1122">
        <f t="shared" ca="1" si="1514"/>
        <v>69982.884149100122</v>
      </c>
      <c r="N808" s="186">
        <f ca="1">SUM(G808:M808)</f>
        <v>757670.6373774067</v>
      </c>
      <c r="O808" s="136">
        <f>ROW()</f>
        <v>808</v>
      </c>
      <c r="P808" s="10">
        <f t="shared" ref="P808:U808" ca="1" si="1515">P806*$I$85</f>
        <v>37495.941613370931</v>
      </c>
      <c r="Q808" s="10">
        <f t="shared" ca="1" si="1515"/>
        <v>10839.899798802146</v>
      </c>
      <c r="R808" s="10">
        <f t="shared" ca="1" si="1515"/>
        <v>31928.441519112432</v>
      </c>
      <c r="S808" s="10">
        <f t="shared" ca="1" si="1515"/>
        <v>20257.385274665783</v>
      </c>
      <c r="T808" s="10">
        <f t="shared" ca="1" si="1515"/>
        <v>11412.76907769322</v>
      </c>
      <c r="U808" s="10">
        <f t="shared" ca="1" si="1515"/>
        <v>11509.650777359271</v>
      </c>
      <c r="V808" s="10"/>
      <c r="W808" s="10">
        <f ca="1">SUM(P808:V808)</f>
        <v>123444.08806100377</v>
      </c>
      <c r="Y808" s="10">
        <f t="shared" ref="Y808:AD808" ca="1" si="1516">Y806*$J$85</f>
        <v>104180.89261108062</v>
      </c>
      <c r="Z808" s="10">
        <f t="shared" ca="1" si="1516"/>
        <v>30118.204484593396</v>
      </c>
      <c r="AA808" s="10">
        <f t="shared" ca="1" si="1516"/>
        <v>88711.828374398261</v>
      </c>
      <c r="AB808" s="10">
        <f t="shared" ca="1" si="1516"/>
        <v>56284.290754513757</v>
      </c>
      <c r="AC808" s="10">
        <f t="shared" ca="1" si="1516"/>
        <v>31709.897618739302</v>
      </c>
      <c r="AD808" s="10">
        <f t="shared" ca="1" si="1516"/>
        <v>31979.079335869159</v>
      </c>
      <c r="AE808" s="10"/>
      <c r="AF808" s="10">
        <f ca="1">SUM(Y808:AE808)</f>
        <v>342984.19317919447</v>
      </c>
      <c r="AH808" s="10">
        <f t="shared" ref="AH808:AM808" ca="1" si="1517">AH806*$K$85</f>
        <v>41213.156437135272</v>
      </c>
      <c r="AI808" s="10">
        <f t="shared" ca="1" si="1517"/>
        <v>11914.529064969409</v>
      </c>
      <c r="AJ808" s="10">
        <f t="shared" ca="1" si="1517"/>
        <v>35093.714106165287</v>
      </c>
      <c r="AK808" s="10">
        <f t="shared" ca="1" si="1517"/>
        <v>22265.630689866684</v>
      </c>
      <c r="AL808" s="10">
        <f t="shared" ca="1" si="1517"/>
        <v>12544.190574804585</v>
      </c>
      <c r="AM808" s="10">
        <f t="shared" ca="1" si="1517"/>
        <v>12650.676782976212</v>
      </c>
      <c r="AN808" s="10"/>
      <c r="AO808" s="10">
        <f ca="1">SUM(AH808:AN808)</f>
        <v>135681.89765591745</v>
      </c>
      <c r="AQ808" s="10">
        <f ca="1">AQ806*$L$85*Taxis!$L$130</f>
        <v>24095.125579312458</v>
      </c>
      <c r="AR808" s="10">
        <f ca="1">AR806*$L$85*Taxis!$L$130</f>
        <v>9870.4559321124216</v>
      </c>
      <c r="AS808" s="10">
        <f ca="1">AS806*$L$85*Taxis!$L$130</f>
        <v>31520.243928199972</v>
      </c>
      <c r="AT808" s="10">
        <f ca="1">AT806*$L$85*Taxis!$L$130</f>
        <v>20346.563304854</v>
      </c>
      <c r="AU808" s="10">
        <f ca="1">AU806*$L$85*Taxis!$L$130</f>
        <v>12095.793542315403</v>
      </c>
      <c r="AV808" s="10">
        <f ca="1">AV806*$L$85*Taxis!$L$130</f>
        <v>9340.8970281814636</v>
      </c>
      <c r="AW808" s="10"/>
      <c r="AX808" s="10">
        <f ca="1">SUM(AQ808:AW808)</f>
        <v>107269.07931497572</v>
      </c>
      <c r="AZ808" s="10">
        <f t="shared" ref="AZ808:BE808" ca="1" si="1518">AZ806*$M$85</f>
        <v>11190.607762721946</v>
      </c>
      <c r="BA808" s="10">
        <f t="shared" ca="1" si="1518"/>
        <v>3235.1519022087004</v>
      </c>
      <c r="BB808" s="10">
        <f t="shared" ca="1" si="1518"/>
        <v>9528.9956763742575</v>
      </c>
      <c r="BC808" s="10">
        <f t="shared" ca="1" si="1518"/>
        <v>6045.7863745522354</v>
      </c>
      <c r="BD808" s="10">
        <f t="shared" ca="1" si="1518"/>
        <v>3406.1238827362495</v>
      </c>
      <c r="BE808" s="10">
        <f t="shared" ca="1" si="1518"/>
        <v>3435.0380812787935</v>
      </c>
      <c r="BF808" s="10"/>
      <c r="BG808" s="10">
        <f ca="1">SUM(AZ808:BF808)</f>
        <v>36841.703679872175</v>
      </c>
      <c r="BI808" s="10">
        <f t="shared" ref="BI808:BN808" ca="1" si="1519">BI806*$N$85</f>
        <v>3477.8203660879453</v>
      </c>
      <c r="BJ808" s="10">
        <f t="shared" ca="1" si="1519"/>
        <v>1005.4214580167603</v>
      </c>
      <c r="BK808" s="10">
        <f t="shared" ca="1" si="1519"/>
        <v>2961.4240740395267</v>
      </c>
      <c r="BL808" s="10">
        <f t="shared" ca="1" si="1519"/>
        <v>1878.911264540691</v>
      </c>
      <c r="BM808" s="10">
        <f t="shared" ca="1" si="1519"/>
        <v>1058.5561803228948</v>
      </c>
      <c r="BN808" s="10">
        <f t="shared" ca="1" si="1519"/>
        <v>1067.542143435224</v>
      </c>
      <c r="BO808" s="10"/>
      <c r="BP808" s="10">
        <f ca="1">SUM(BI808:BO808)</f>
        <v>11449.675486443044</v>
      </c>
    </row>
    <row r="809" spans="2:68" ht="13.2" customHeight="1">
      <c r="G809" s="1122"/>
      <c r="H809" s="1122"/>
      <c r="I809" s="1122"/>
      <c r="J809" s="1122"/>
      <c r="K809" s="1122"/>
      <c r="L809" s="1122"/>
      <c r="O809" s="136">
        <f>ROW()</f>
        <v>809</v>
      </c>
      <c r="AQ809"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809" s="10"/>
      <c r="AS809" s="10"/>
      <c r="AT809" s="10"/>
      <c r="AU809" s="10"/>
      <c r="AV809" s="10"/>
    </row>
    <row r="810" spans="2:68" ht="13.2" customHeight="1">
      <c r="B810" s="308" t="s">
        <v>1431</v>
      </c>
      <c r="G810" s="1122"/>
      <c r="H810" s="1122"/>
      <c r="I810" s="1122"/>
      <c r="J810" s="1122"/>
      <c r="K810" s="1122"/>
      <c r="L810" s="1122"/>
      <c r="O810" s="136">
        <f>ROW()</f>
        <v>810</v>
      </c>
      <c r="AQ810" s="265" t="str">
        <f>CONCATENATE("Row ",O812, " figures are set equal to ",O811, " figures, since rebound effects are presumed accounted for by taxi time-elasticity.")</f>
        <v>Row 812 figures are set equal to 811 figures, since rebound effects are presumed accounted for by taxi time-elasticity.</v>
      </c>
    </row>
    <row r="811" spans="2:68" ht="13.2" customHeight="1">
      <c r="B811" s="280" t="s">
        <v>1112</v>
      </c>
      <c r="G811" s="1122">
        <f t="shared" ref="G811:L813" ca="1" si="1520">P811+Y811+AH811+AQ811+AZ811+BI811</f>
        <v>490076.96569501457</v>
      </c>
      <c r="H811" s="1122">
        <f t="shared" ca="1" si="1520"/>
        <v>115623.06059762267</v>
      </c>
      <c r="I811" s="1122">
        <f t="shared" ca="1" si="1520"/>
        <v>324017.54083300842</v>
      </c>
      <c r="J811" s="1122">
        <f t="shared" ca="1" si="1520"/>
        <v>205265.04432531758</v>
      </c>
      <c r="K811" s="1122">
        <f t="shared" ca="1" si="1520"/>
        <v>130149.69906996473</v>
      </c>
      <c r="L811" s="1122">
        <f t="shared" ca="1" si="1520"/>
        <v>123893.08904047855</v>
      </c>
      <c r="N811" s="186">
        <f ca="1">SUM(G811:M811)</f>
        <v>1389025.3995614063</v>
      </c>
      <c r="O811" s="136">
        <f>ROW()</f>
        <v>811</v>
      </c>
      <c r="P811">
        <f t="shared" ref="P811:U811" ca="1" si="1521">P764</f>
        <v>11031.593898723946</v>
      </c>
      <c r="Q811">
        <f t="shared" ca="1" si="1521"/>
        <v>3893.7393121580035</v>
      </c>
      <c r="R811">
        <f t="shared" ca="1" si="1521"/>
        <v>12225.598725092235</v>
      </c>
      <c r="S811">
        <f t="shared" ca="1" si="1521"/>
        <v>7836.6809727710024</v>
      </c>
      <c r="T811">
        <f t="shared" ca="1" si="1521"/>
        <v>4548.8862065734693</v>
      </c>
      <c r="U811">
        <f t="shared" ca="1" si="1521"/>
        <v>4030.8539097105577</v>
      </c>
      <c r="W811" s="10">
        <f ca="1">SUM(P811:V811)</f>
        <v>43567.353025029217</v>
      </c>
      <c r="Y811">
        <f t="shared" ref="Y811:AD811" ca="1" si="1522">Y764</f>
        <v>33094.781696171842</v>
      </c>
      <c r="Z811">
        <f t="shared" ca="1" si="1522"/>
        <v>11681.217936474006</v>
      </c>
      <c r="AA811">
        <f t="shared" ca="1" si="1522"/>
        <v>36676.796175276708</v>
      </c>
      <c r="AB811">
        <f t="shared" ca="1" si="1522"/>
        <v>23510.042918313007</v>
      </c>
      <c r="AC811">
        <f t="shared" ca="1" si="1522"/>
        <v>13646.658619720403</v>
      </c>
      <c r="AD811">
        <f t="shared" ca="1" si="1522"/>
        <v>12092.561729131672</v>
      </c>
      <c r="AF811" s="10">
        <f ca="1">SUM(Y811:AE811)</f>
        <v>130702.05907508763</v>
      </c>
      <c r="AH811">
        <f t="shared" ref="AH811:AM811" ca="1" si="1523">AH764</f>
        <v>0</v>
      </c>
      <c r="AI811">
        <f t="shared" ca="1" si="1523"/>
        <v>0</v>
      </c>
      <c r="AJ811">
        <f t="shared" ca="1" si="1523"/>
        <v>0</v>
      </c>
      <c r="AK811">
        <f t="shared" ca="1" si="1523"/>
        <v>0</v>
      </c>
      <c r="AL811">
        <f t="shared" ca="1" si="1523"/>
        <v>0</v>
      </c>
      <c r="AM811">
        <f t="shared" ca="1" si="1523"/>
        <v>0</v>
      </c>
      <c r="AO811" s="10">
        <f ca="1">SUM(AH811:AN811)</f>
        <v>0</v>
      </c>
      <c r="AQ811" s="1122">
        <f t="shared" ref="AQ811:AV811" si="1524">AQ764</f>
        <v>438656.72193199908</v>
      </c>
      <c r="AR811" s="1122">
        <f t="shared" si="1524"/>
        <v>97563.564894963914</v>
      </c>
      <c r="AS811" s="1122">
        <f t="shared" si="1524"/>
        <v>267453.00942252984</v>
      </c>
      <c r="AT811" s="1122">
        <f t="shared" si="1524"/>
        <v>169012.18827727382</v>
      </c>
      <c r="AU811" s="1122">
        <f t="shared" si="1524"/>
        <v>109114.24796886933</v>
      </c>
      <c r="AV811" s="1122">
        <f t="shared" si="1524"/>
        <v>105261.8059659023</v>
      </c>
      <c r="AW811" s="1122"/>
      <c r="AX811" s="1122">
        <f>SUM(AQ811:AW811)</f>
        <v>1187061.5384615383</v>
      </c>
      <c r="AZ811" s="1122">
        <f t="shared" ref="AZ811:BE811" ca="1" si="1525">AZ764</f>
        <v>4160.0839197598616</v>
      </c>
      <c r="BA811" s="1122">
        <f t="shared" ca="1" si="1525"/>
        <v>1410.99633139966</v>
      </c>
      <c r="BB811" s="1122">
        <f t="shared" ca="1" si="1525"/>
        <v>4341.9421039186818</v>
      </c>
      <c r="BC811" s="1122">
        <f t="shared" ca="1" si="1525"/>
        <v>2779.8153826369189</v>
      </c>
      <c r="BD811" s="1122">
        <f t="shared" ca="1" si="1525"/>
        <v>1608.5474382518426</v>
      </c>
      <c r="BE811" s="1122">
        <f t="shared" ca="1" si="1525"/>
        <v>1419.8846549408613</v>
      </c>
      <c r="BG811" s="10">
        <f ca="1">SUM(AZ811:BF811)</f>
        <v>15721.269830907826</v>
      </c>
      <c r="BI811" s="1122">
        <f t="shared" ref="BI811:BN811" ca="1" si="1526">BI764</f>
        <v>3133.7842483598643</v>
      </c>
      <c r="BJ811" s="1122">
        <f t="shared" ca="1" si="1526"/>
        <v>1073.5421226270864</v>
      </c>
      <c r="BK811" s="1122">
        <f t="shared" ca="1" si="1526"/>
        <v>3320.1944061909226</v>
      </c>
      <c r="BL811" s="1122">
        <f t="shared" ca="1" si="1526"/>
        <v>2126.3167743228464</v>
      </c>
      <c r="BM811" s="1122">
        <f t="shared" ca="1" si="1526"/>
        <v>1231.3588365496853</v>
      </c>
      <c r="BN811" s="1122">
        <f t="shared" ca="1" si="1526"/>
        <v>1087.982780793159</v>
      </c>
      <c r="BP811" s="10">
        <f ca="1">SUM(BI811:BO811)</f>
        <v>11973.179168843564</v>
      </c>
    </row>
    <row r="812" spans="2:68" ht="13.2" customHeight="1">
      <c r="B812" s="280" t="s">
        <v>114</v>
      </c>
      <c r="G812" s="1122">
        <f t="shared" ca="1" si="1520"/>
        <v>490077.81652324117</v>
      </c>
      <c r="H812" s="1122">
        <f t="shared" ca="1" si="1520"/>
        <v>115622.04457461425</v>
      </c>
      <c r="I812" s="1122">
        <f t="shared" ca="1" si="1520"/>
        <v>324018.55491233902</v>
      </c>
      <c r="J812" s="1122">
        <f t="shared" ca="1" si="1520"/>
        <v>205268.34955337425</v>
      </c>
      <c r="K812" s="1122">
        <f t="shared" ca="1" si="1520"/>
        <v>130145.96936809691</v>
      </c>
      <c r="L812" s="1122">
        <f t="shared" ca="1" si="1520"/>
        <v>123891.37472417029</v>
      </c>
      <c r="N812" s="186">
        <f ca="1">SUM(G812:M812)</f>
        <v>1389024.1096558359</v>
      </c>
      <c r="O812" s="136">
        <f>ROW()</f>
        <v>812</v>
      </c>
      <c r="P812">
        <f t="shared" ref="P812:U812" ca="1" si="1527">P811*P791</f>
        <v>11031.793261554316</v>
      </c>
      <c r="Q812">
        <f t="shared" ca="1" si="1527"/>
        <v>3893.5007335751252</v>
      </c>
      <c r="R812">
        <f t="shared" ca="1" si="1527"/>
        <v>12225.837098046561</v>
      </c>
      <c r="S812">
        <f t="shared" ca="1" si="1527"/>
        <v>7837.4579611133595</v>
      </c>
      <c r="T812">
        <f t="shared" ca="1" si="1527"/>
        <v>4548.0092966400243</v>
      </c>
      <c r="U812">
        <f t="shared" ca="1" si="1527"/>
        <v>4030.450767133138</v>
      </c>
      <c r="W812" s="10">
        <f ca="1">SUM(P812:V812)</f>
        <v>43567.049118062525</v>
      </c>
      <c r="Y812">
        <f t="shared" ref="Y812:AD812" ca="1" si="1528">Y811*Y791</f>
        <v>33095.379784662953</v>
      </c>
      <c r="Z812">
        <f t="shared" ca="1" si="1528"/>
        <v>11680.502200725372</v>
      </c>
      <c r="AA812">
        <f t="shared" ca="1" si="1528"/>
        <v>36677.511294139687</v>
      </c>
      <c r="AB812">
        <f t="shared" ca="1" si="1528"/>
        <v>23512.373883340078</v>
      </c>
      <c r="AC812">
        <f t="shared" ca="1" si="1528"/>
        <v>13644.027889920068</v>
      </c>
      <c r="AD812">
        <f t="shared" ca="1" si="1528"/>
        <v>12091.352301399413</v>
      </c>
      <c r="AF812" s="10">
        <f ca="1">SUM(Y812:AE812)</f>
        <v>130701.14735418756</v>
      </c>
      <c r="AH812">
        <f t="shared" ref="AH812:AM812" ca="1" si="1529">AH811*AH791</f>
        <v>0</v>
      </c>
      <c r="AI812">
        <f t="shared" ca="1" si="1529"/>
        <v>0</v>
      </c>
      <c r="AJ812">
        <f t="shared" ca="1" si="1529"/>
        <v>0</v>
      </c>
      <c r="AK812">
        <f t="shared" ca="1" si="1529"/>
        <v>0</v>
      </c>
      <c r="AL812">
        <f t="shared" ca="1" si="1529"/>
        <v>0</v>
      </c>
      <c r="AM812">
        <f t="shared" ca="1" si="1529"/>
        <v>0</v>
      </c>
      <c r="AO812" s="10">
        <f ca="1">SUM(AH812:AN812)</f>
        <v>0</v>
      </c>
      <c r="AQ812" s="1122">
        <f t="shared" ref="AQ812:AW812" si="1530">AQ811</f>
        <v>438656.72193199908</v>
      </c>
      <c r="AR812" s="1122">
        <f t="shared" si="1530"/>
        <v>97563.564894963914</v>
      </c>
      <c r="AS812" s="1122">
        <f t="shared" si="1530"/>
        <v>267453.00942252984</v>
      </c>
      <c r="AT812" s="1122">
        <f t="shared" si="1530"/>
        <v>169012.18827727382</v>
      </c>
      <c r="AU812" s="1122">
        <f t="shared" si="1530"/>
        <v>109114.24796886933</v>
      </c>
      <c r="AV812" s="1122">
        <f t="shared" si="1530"/>
        <v>105261.8059659023</v>
      </c>
      <c r="AW812" s="1122">
        <f t="shared" si="1530"/>
        <v>0</v>
      </c>
      <c r="AX812" s="1122">
        <f>SUM(AQ812:AW812)</f>
        <v>1187061.5384615383</v>
      </c>
      <c r="AZ812" s="1122">
        <f t="shared" ref="AZ812:BE812" ca="1" si="1531">AZ811*AZ791</f>
        <v>4160.1089799375177</v>
      </c>
      <c r="BA812" s="1122">
        <f t="shared" ca="1" si="1531"/>
        <v>1410.9675124543496</v>
      </c>
      <c r="BB812" s="1122">
        <f t="shared" ca="1" si="1531"/>
        <v>4341.97032325483</v>
      </c>
      <c r="BC812" s="1122">
        <f t="shared" ca="1" si="1531"/>
        <v>2779.9072503028005</v>
      </c>
      <c r="BD812" s="1122">
        <f t="shared" ca="1" si="1531"/>
        <v>1608.4440692209653</v>
      </c>
      <c r="BE812" s="1122">
        <f t="shared" ca="1" si="1531"/>
        <v>1419.8373171594587</v>
      </c>
      <c r="BG812" s="10">
        <f ca="1">SUM(AZ812:BF812)</f>
        <v>15721.23545232992</v>
      </c>
      <c r="BI812" s="1122">
        <f t="shared" ref="BI812:BN812" ca="1" si="1532">BI811*BI791</f>
        <v>3133.8125650872848</v>
      </c>
      <c r="BJ812" s="1122">
        <f t="shared" ca="1" si="1532"/>
        <v>1073.5092328954947</v>
      </c>
      <c r="BK812" s="1122">
        <f t="shared" ca="1" si="1532"/>
        <v>3320.2267743681182</v>
      </c>
      <c r="BL812" s="1122">
        <f t="shared" ca="1" si="1532"/>
        <v>2126.4221813441704</v>
      </c>
      <c r="BM812" s="1122">
        <f t="shared" ca="1" si="1532"/>
        <v>1231.2401434465323</v>
      </c>
      <c r="BN812" s="1122">
        <f t="shared" ca="1" si="1532"/>
        <v>1087.9283725759833</v>
      </c>
      <c r="BP812" s="10">
        <f ca="1">SUM(BI812:BO812)</f>
        <v>11973.139269717583</v>
      </c>
    </row>
    <row r="813" spans="2:68" s="1132" customFormat="1" ht="13.2" customHeight="1">
      <c r="B813" s="1123" t="s">
        <v>1880</v>
      </c>
      <c r="G813" s="1122">
        <f t="shared" ca="1" si="1520"/>
        <v>0.85082822655795098</v>
      </c>
      <c r="H813" s="1122">
        <f t="shared" ca="1" si="1520"/>
        <v>-1.0160230084143222</v>
      </c>
      <c r="I813" s="1122">
        <f t="shared" ca="1" si="1520"/>
        <v>1.0140793306486557</v>
      </c>
      <c r="J813" s="1122">
        <f t="shared" ca="1" si="1520"/>
        <v>3.3052280566339505</v>
      </c>
      <c r="K813" s="1122">
        <f t="shared" ca="1" si="1520"/>
        <v>-3.7297018678109453</v>
      </c>
      <c r="L813" s="1122">
        <f t="shared" ca="1" si="1520"/>
        <v>-1.7143163082573665</v>
      </c>
      <c r="M813" s="1122"/>
      <c r="N813" s="1127">
        <f ca="1">W813+AF813+AO813+AX813+BG813+BP813</f>
        <v>-1.2899055706475338</v>
      </c>
      <c r="O813" s="136">
        <f>ROW()</f>
        <v>813</v>
      </c>
      <c r="P813" s="1132">
        <f t="shared" ref="P813:W813" ca="1" si="1533">P812-P811</f>
        <v>0.19936283036986424</v>
      </c>
      <c r="Q813" s="1132">
        <f t="shared" ca="1" si="1533"/>
        <v>-0.23857858287829004</v>
      </c>
      <c r="R813" s="1132">
        <f t="shared" ca="1" si="1533"/>
        <v>0.23837295432531391</v>
      </c>
      <c r="S813" s="1132">
        <f t="shared" ca="1" si="1533"/>
        <v>0.77698834235707182</v>
      </c>
      <c r="T813" s="1132">
        <f t="shared" ca="1" si="1533"/>
        <v>-0.87690993344494927</v>
      </c>
      <c r="U813" s="1132">
        <f t="shared" ca="1" si="1533"/>
        <v>-0.40314257741965775</v>
      </c>
      <c r="W813" s="1132">
        <f t="shared" ca="1" si="1533"/>
        <v>-0.30390696669201134</v>
      </c>
      <c r="Y813" s="1132">
        <f t="shared" ref="Y813:AF813" ca="1" si="1534">Y812-Y811</f>
        <v>0.59808849111141171</v>
      </c>
      <c r="Z813" s="1132">
        <f t="shared" ca="1" si="1534"/>
        <v>-0.71573574863396061</v>
      </c>
      <c r="AA813" s="1132">
        <f t="shared" ca="1" si="1534"/>
        <v>0.71511886297957972</v>
      </c>
      <c r="AB813" s="1132">
        <f t="shared" ca="1" si="1534"/>
        <v>2.3309650270712154</v>
      </c>
      <c r="AC813" s="1132">
        <f t="shared" ca="1" si="1534"/>
        <v>-2.6307298003357573</v>
      </c>
      <c r="AD813" s="1132">
        <f t="shared" ca="1" si="1534"/>
        <v>-1.209427732259428</v>
      </c>
      <c r="AF813" s="1132">
        <f t="shared" ca="1" si="1534"/>
        <v>-0.91172090006875806</v>
      </c>
      <c r="AH813" s="1122">
        <f t="shared" ref="AH813:AO813" ca="1" si="1535">AH812-AH811</f>
        <v>0</v>
      </c>
      <c r="AI813" s="1122">
        <f t="shared" ca="1" si="1535"/>
        <v>0</v>
      </c>
      <c r="AJ813" s="1122">
        <f t="shared" ca="1" si="1535"/>
        <v>0</v>
      </c>
      <c r="AK813" s="1122">
        <f t="shared" ca="1" si="1535"/>
        <v>0</v>
      </c>
      <c r="AL813" s="1122">
        <f t="shared" ca="1" si="1535"/>
        <v>0</v>
      </c>
      <c r="AM813" s="1122">
        <f t="shared" ca="1" si="1535"/>
        <v>0</v>
      </c>
      <c r="AN813" s="1122"/>
      <c r="AO813" s="1132">
        <f t="shared" ca="1" si="1535"/>
        <v>0</v>
      </c>
      <c r="AQ813" s="1122">
        <f t="shared" ref="AQ813:AX813" si="1536">AQ812-AQ811</f>
        <v>0</v>
      </c>
      <c r="AR813" s="1122">
        <f t="shared" si="1536"/>
        <v>0</v>
      </c>
      <c r="AS813" s="1122">
        <f t="shared" si="1536"/>
        <v>0</v>
      </c>
      <c r="AT813" s="1122">
        <f t="shared" si="1536"/>
        <v>0</v>
      </c>
      <c r="AU813" s="1122">
        <f t="shared" si="1536"/>
        <v>0</v>
      </c>
      <c r="AV813" s="1122">
        <f t="shared" si="1536"/>
        <v>0</v>
      </c>
      <c r="AW813" s="1122"/>
      <c r="AX813" s="1127">
        <f t="shared" si="1536"/>
        <v>0</v>
      </c>
      <c r="AZ813" s="1122">
        <f t="shared" ref="AZ813:BG813" ca="1" si="1537">AZ812-AZ811</f>
        <v>2.5060177656087035E-2</v>
      </c>
      <c r="BA813" s="1122">
        <f t="shared" ca="1" si="1537"/>
        <v>-2.8818945310376876E-2</v>
      </c>
      <c r="BB813" s="1122">
        <f t="shared" ca="1" si="1537"/>
        <v>2.8219336148140428E-2</v>
      </c>
      <c r="BC813" s="1122">
        <f t="shared" ca="1" si="1537"/>
        <v>9.186766588163664E-2</v>
      </c>
      <c r="BD813" s="1122">
        <f t="shared" ca="1" si="1537"/>
        <v>-0.10336903087727478</v>
      </c>
      <c r="BE813" s="1122">
        <f t="shared" ca="1" si="1537"/>
        <v>-4.7337781402575274E-2</v>
      </c>
      <c r="BG813" s="1132">
        <f t="shared" ca="1" si="1537"/>
        <v>-3.4378577905954444E-2</v>
      </c>
      <c r="BI813" s="1122">
        <f t="shared" ref="BI813:BP813" ca="1" si="1538">BI812-BI811</f>
        <v>2.8316727420587995E-2</v>
      </c>
      <c r="BJ813" s="1122">
        <f t="shared" ca="1" si="1538"/>
        <v>-3.2889731591694726E-2</v>
      </c>
      <c r="BK813" s="1122">
        <f t="shared" ca="1" si="1538"/>
        <v>3.2368177195621683E-2</v>
      </c>
      <c r="BL813" s="1122">
        <f t="shared" ca="1" si="1538"/>
        <v>0.10540702132402657</v>
      </c>
      <c r="BM813" s="1122">
        <f t="shared" ca="1" si="1538"/>
        <v>-0.11869310315296389</v>
      </c>
      <c r="BN813" s="1122">
        <f t="shared" ca="1" si="1538"/>
        <v>-5.4408217175705431E-2</v>
      </c>
      <c r="BP813" s="1132">
        <f t="shared" ca="1" si="1538"/>
        <v>-3.9899125980809913E-2</v>
      </c>
    </row>
    <row r="814" spans="2:68" ht="13.2" customHeight="1">
      <c r="O814" s="136">
        <f>ROW()</f>
        <v>814</v>
      </c>
    </row>
    <row r="815" spans="2:68" s="1122" customFormat="1" ht="13.2" customHeight="1">
      <c r="B815" s="1195" t="s">
        <v>1569</v>
      </c>
      <c r="G815" s="1122">
        <f t="shared" ref="G815:N816" ca="1" si="1539">P815+Y815+AH815+AQ815+AZ815+BI815</f>
        <v>893202.71088337409</v>
      </c>
      <c r="H815" s="1122">
        <f t="shared" ca="1" si="1539"/>
        <v>256902.5534556288</v>
      </c>
      <c r="I815" s="1122">
        <f t="shared" ca="1" si="1539"/>
        <v>763994.85641783278</v>
      </c>
      <c r="J815" s="1122">
        <f t="shared" ca="1" si="1539"/>
        <v>490581.97199722641</v>
      </c>
      <c r="K815" s="1122">
        <f t="shared" ca="1" si="1539"/>
        <v>289795.84902309201</v>
      </c>
      <c r="L815" s="1122">
        <f t="shared" ca="1" si="1539"/>
        <v>253284.95495770013</v>
      </c>
      <c r="N815" s="1127">
        <f t="shared" ca="1" si="1539"/>
        <v>2947762.8967348547</v>
      </c>
      <c r="O815" s="136">
        <f>ROW()</f>
        <v>815</v>
      </c>
      <c r="P815" s="1122">
        <f t="shared" ref="P815:U815" ca="1" si="1540">P768</f>
        <v>84789.282635591764</v>
      </c>
      <c r="Q815" s="1122">
        <f t="shared" ca="1" si="1540"/>
        <v>28770.823092250179</v>
      </c>
      <c r="R815" s="1122">
        <f t="shared" ca="1" si="1540"/>
        <v>81764.315879998976</v>
      </c>
      <c r="S815" s="1122">
        <f t="shared" ca="1" si="1540"/>
        <v>42882.760233009962</v>
      </c>
      <c r="T815" s="1122">
        <f t="shared" ca="1" si="1540"/>
        <v>29442.300591490643</v>
      </c>
      <c r="U815" s="1122">
        <f t="shared" ca="1" si="1540"/>
        <v>22756.298865691562</v>
      </c>
      <c r="W815" s="1122">
        <f ca="1">SUM(P815:V815)</f>
        <v>290405.78129803314</v>
      </c>
      <c r="Y815" s="1122">
        <f t="shared" ref="Y815:AD815" ca="1" si="1541">Y768</f>
        <v>191744.91662337995</v>
      </c>
      <c r="Z815" s="1122">
        <f t="shared" ca="1" si="1541"/>
        <v>68338.880275775868</v>
      </c>
      <c r="AA815" s="1122">
        <f t="shared" ca="1" si="1541"/>
        <v>234917.5050252511</v>
      </c>
      <c r="AB815" s="1122">
        <f t="shared" ca="1" si="1541"/>
        <v>165729.76673193745</v>
      </c>
      <c r="AC815" s="1122">
        <f t="shared" ca="1" si="1541"/>
        <v>85167.217035426962</v>
      </c>
      <c r="AD815" s="1122">
        <f t="shared" ca="1" si="1541"/>
        <v>70626.483461866461</v>
      </c>
      <c r="AF815" s="1122">
        <f ca="1">SUM(Y815:AE815)</f>
        <v>816524.76915363781</v>
      </c>
      <c r="AH815" s="1122">
        <f t="shared" ref="AH815:AM815" ca="1" si="1542">AH768</f>
        <v>80428.243024604977</v>
      </c>
      <c r="AI815" s="1122">
        <f t="shared" ca="1" si="1542"/>
        <v>27539.247163240325</v>
      </c>
      <c r="AJ815" s="1122">
        <f t="shared" ca="1" si="1542"/>
        <v>72511.293109277191</v>
      </c>
      <c r="AK815" s="1122">
        <f t="shared" ca="1" si="1542"/>
        <v>43972.333940346885</v>
      </c>
      <c r="AL815" s="1122">
        <f t="shared" ca="1" si="1542"/>
        <v>25437.959919650712</v>
      </c>
      <c r="AM815" s="1122">
        <f t="shared" ca="1" si="1542"/>
        <v>21425.123900269711</v>
      </c>
      <c r="AO815" s="1122">
        <f ca="1">SUM(AH815:AN815)</f>
        <v>271314.20105738984</v>
      </c>
      <c r="AQ815" s="10">
        <f t="shared" ref="AQ815:AV815" ca="1" si="1543">AQ768</f>
        <v>502998.12881102966</v>
      </c>
      <c r="AR815" s="10">
        <f t="shared" ca="1" si="1543"/>
        <v>121090.0808527504</v>
      </c>
      <c r="AS815" s="10">
        <f t="shared" ca="1" si="1543"/>
        <v>340612.84032427327</v>
      </c>
      <c r="AT815" s="10">
        <f t="shared" ca="1" si="1543"/>
        <v>216106.30800953342</v>
      </c>
      <c r="AU815" s="10">
        <f t="shared" ca="1" si="1543"/>
        <v>137103.48933382597</v>
      </c>
      <c r="AV815" s="10">
        <f t="shared" ca="1" si="1543"/>
        <v>127336.74860206751</v>
      </c>
      <c r="AW815" s="10"/>
      <c r="AX815" s="10">
        <f ca="1">SUM(AQ815:AW815)</f>
        <v>1445247.5959334802</v>
      </c>
      <c r="AZ815" s="1122">
        <f t="shared" ref="AZ815:BE815" ca="1" si="1544">AZ768</f>
        <v>23946.140800851768</v>
      </c>
      <c r="BA815" s="1122">
        <f t="shared" ca="1" si="1544"/>
        <v>8031.4291993117567</v>
      </c>
      <c r="BB815" s="1122">
        <f t="shared" ca="1" si="1544"/>
        <v>24585.312246721402</v>
      </c>
      <c r="BC815" s="1122">
        <f t="shared" ca="1" si="1544"/>
        <v>15743.285172138345</v>
      </c>
      <c r="BD815" s="1122">
        <f t="shared" ca="1" si="1544"/>
        <v>9089.301279009911</v>
      </c>
      <c r="BE815" s="1122">
        <f t="shared" ca="1" si="1544"/>
        <v>8004.8370912759856</v>
      </c>
      <c r="BG815" s="1122">
        <f ca="1">SUM(AZ815:BF815)</f>
        <v>89400.305789309175</v>
      </c>
      <c r="BI815" s="1122">
        <f t="shared" ref="BI815:BN815" ca="1" si="1545">BI768</f>
        <v>9295.9989879160858</v>
      </c>
      <c r="BJ815" s="1122">
        <f t="shared" ca="1" si="1545"/>
        <v>3132.0928723002862</v>
      </c>
      <c r="BK815" s="1122">
        <f t="shared" ca="1" si="1545"/>
        <v>9603.5898323107576</v>
      </c>
      <c r="BL815" s="1122">
        <f t="shared" ca="1" si="1545"/>
        <v>6147.5179102602979</v>
      </c>
      <c r="BM815" s="1122">
        <f t="shared" ca="1" si="1545"/>
        <v>3555.5808636878601</v>
      </c>
      <c r="BN815" s="1122">
        <f t="shared" ca="1" si="1545"/>
        <v>3135.4630365289104</v>
      </c>
      <c r="BP815" s="1122">
        <f ca="1">SUM(BI815:BO815)</f>
        <v>34870.243503004196</v>
      </c>
    </row>
    <row r="816" spans="2:68" s="1122" customFormat="1" ht="13.2" customHeight="1">
      <c r="B816" s="1195" t="s">
        <v>1570</v>
      </c>
      <c r="G816" s="1122">
        <f t="shared" ca="1" si="1539"/>
        <v>893253.23712641816</v>
      </c>
      <c r="H816" s="1122">
        <f t="shared" ca="1" si="1539"/>
        <v>256925.32688375723</v>
      </c>
      <c r="I816" s="1122">
        <f t="shared" ca="1" si="1539"/>
        <v>764075.90208474826</v>
      </c>
      <c r="J816" s="1122">
        <f t="shared" ca="1" si="1539"/>
        <v>490631.07371462573</v>
      </c>
      <c r="K816" s="1122">
        <f t="shared" ca="1" si="1539"/>
        <v>289822.80556811328</v>
      </c>
      <c r="L816" s="1122">
        <f t="shared" ca="1" si="1539"/>
        <v>253304.93787497687</v>
      </c>
      <c r="N816" s="1127">
        <f t="shared" ca="1" si="1539"/>
        <v>2948013.2832526397</v>
      </c>
      <c r="O816" s="136">
        <f>ROW()</f>
        <v>816</v>
      </c>
      <c r="P816" s="1122">
        <f t="shared" ref="P816:U816" ca="1" si="1546">P801+P808+P812</f>
        <v>84801.609341472198</v>
      </c>
      <c r="Q816" s="1122">
        <f t="shared" ca="1" si="1546"/>
        <v>28775.789386356661</v>
      </c>
      <c r="R816" s="1122">
        <f t="shared" ca="1" si="1546"/>
        <v>81780.119607606219</v>
      </c>
      <c r="S816" s="1122">
        <f t="shared" ca="1" si="1546"/>
        <v>42890.572559470194</v>
      </c>
      <c r="T816" s="1122">
        <f t="shared" ca="1" si="1546"/>
        <v>29447.324315452417</v>
      </c>
      <c r="U816" s="1122">
        <f t="shared" ca="1" si="1546"/>
        <v>22759.810029712386</v>
      </c>
      <c r="W816" s="1122">
        <f ca="1">SUM(P816:V816)</f>
        <v>290455.22524007008</v>
      </c>
      <c r="Y816" s="1122">
        <f t="shared" ref="Y816:AD816" ca="1" si="1547">Y801+Y808+Y812</f>
        <v>191774.50809084385</v>
      </c>
      <c r="Z816" s="1122">
        <f t="shared" ca="1" si="1547"/>
        <v>68350.272088087673</v>
      </c>
      <c r="AA816" s="1122">
        <f t="shared" ca="1" si="1547"/>
        <v>234963.65318791286</v>
      </c>
      <c r="AB816" s="1122">
        <f t="shared" ca="1" si="1547"/>
        <v>165761.21057722633</v>
      </c>
      <c r="AC816" s="1122">
        <f t="shared" ca="1" si="1547"/>
        <v>85181.954662879507</v>
      </c>
      <c r="AD816" s="1122">
        <f t="shared" ca="1" si="1547"/>
        <v>70637.935105626297</v>
      </c>
      <c r="AF816" s="1122">
        <f ca="1">SUM(Y816:AE816)</f>
        <v>816669.53371257661</v>
      </c>
      <c r="AH816" s="1122">
        <f t="shared" ref="AH816:AM816" ca="1" si="1548">AH801+AH808+AH812</f>
        <v>80435.313478158394</v>
      </c>
      <c r="AI816" s="1122">
        <f t="shared" ca="1" si="1548"/>
        <v>27545.112495762885</v>
      </c>
      <c r="AJ816" s="1122">
        <f t="shared" ca="1" si="1548"/>
        <v>72528.320308498412</v>
      </c>
      <c r="AK816" s="1122">
        <f t="shared" ca="1" si="1548"/>
        <v>43980.828138761062</v>
      </c>
      <c r="AL816" s="1122">
        <f t="shared" ca="1" si="1548"/>
        <v>25444.589514866784</v>
      </c>
      <c r="AM816" s="1122">
        <f t="shared" ca="1" si="1548"/>
        <v>21429.631375787343</v>
      </c>
      <c r="AO816" s="1122">
        <f ca="1">SUM(AH816:AN816)</f>
        <v>271363.7953118349</v>
      </c>
      <c r="AQ816" s="10">
        <f t="shared" ref="AQ816:AV816" ca="1" si="1549">AQ815</f>
        <v>502998.12881102966</v>
      </c>
      <c r="AR816" s="10">
        <f t="shared" ca="1" si="1549"/>
        <v>121090.0808527504</v>
      </c>
      <c r="AS816" s="10">
        <f t="shared" ca="1" si="1549"/>
        <v>340612.84032427327</v>
      </c>
      <c r="AT816" s="10">
        <f t="shared" ca="1" si="1549"/>
        <v>216106.30800953342</v>
      </c>
      <c r="AU816" s="10">
        <f t="shared" ca="1" si="1549"/>
        <v>137103.48933382597</v>
      </c>
      <c r="AV816" s="10">
        <f t="shared" ca="1" si="1549"/>
        <v>127336.74860206751</v>
      </c>
      <c r="AW816" s="10"/>
      <c r="AX816" s="10">
        <f ca="1">SUM(AQ816:AW816)</f>
        <v>1445247.5959334802</v>
      </c>
      <c r="AZ816" s="1122">
        <f t="shared" ref="AZ816:BE816" ca="1" si="1550">AZ801+AZ808+AZ812</f>
        <v>23947.138860877509</v>
      </c>
      <c r="BA816" s="1122">
        <f t="shared" ca="1" si="1550"/>
        <v>8031.8016813655522</v>
      </c>
      <c r="BB816" s="1122">
        <f t="shared" ca="1" si="1550"/>
        <v>24586.658689896456</v>
      </c>
      <c r="BC816" s="1122">
        <f t="shared" ca="1" si="1550"/>
        <v>15744.135555053736</v>
      </c>
      <c r="BD816" s="1122">
        <f t="shared" ca="1" si="1550"/>
        <v>9089.7155048083714</v>
      </c>
      <c r="BE816" s="1122">
        <f t="shared" ca="1" si="1550"/>
        <v>8005.1925200726719</v>
      </c>
      <c r="BG816" s="1122">
        <f ca="1">SUM(AZ816:BF816)</f>
        <v>89404.642812074293</v>
      </c>
      <c r="BI816" s="1122">
        <f t="shared" ref="BI816:BN816" ca="1" si="1551">BI801+BI808+BI812</f>
        <v>9296.5385440365626</v>
      </c>
      <c r="BJ816" s="1122">
        <f t="shared" ca="1" si="1551"/>
        <v>3132.270379434055</v>
      </c>
      <c r="BK816" s="1122">
        <f t="shared" ca="1" si="1551"/>
        <v>9604.309966561048</v>
      </c>
      <c r="BL816" s="1122">
        <f t="shared" ca="1" si="1551"/>
        <v>6148.0188745810538</v>
      </c>
      <c r="BM816" s="1122">
        <f t="shared" ca="1" si="1551"/>
        <v>3555.7322362802993</v>
      </c>
      <c r="BN816" s="1122">
        <f t="shared" ca="1" si="1551"/>
        <v>3135.6202417106497</v>
      </c>
      <c r="BP816" s="1122">
        <f ca="1">SUM(BI816:BO816)</f>
        <v>34872.490242603664</v>
      </c>
    </row>
    <row r="817" spans="2:68" ht="13.2" customHeight="1">
      <c r="B817" s="308" t="s">
        <v>1818</v>
      </c>
      <c r="G817" s="10">
        <f t="shared" ref="G817:L817" ca="1" si="1552">G816/G$118</f>
        <v>89325.32371264181</v>
      </c>
      <c r="H817" s="10">
        <f t="shared" ca="1" si="1552"/>
        <v>128462.66344187861</v>
      </c>
      <c r="I817" s="10">
        <f t="shared" ca="1" si="1552"/>
        <v>152815.18041694965</v>
      </c>
      <c r="J817" s="10">
        <f t="shared" ca="1" si="1552"/>
        <v>163543.69123820859</v>
      </c>
      <c r="K817" s="10">
        <f t="shared" ca="1" si="1552"/>
        <v>144911.40278405664</v>
      </c>
      <c r="L817" s="10">
        <f t="shared" ca="1" si="1552"/>
        <v>126652.46893748843</v>
      </c>
      <c r="M817" s="10"/>
      <c r="N817" s="6"/>
      <c r="O817" s="136">
        <f>ROW()</f>
        <v>817</v>
      </c>
      <c r="P817" s="10"/>
      <c r="Q817" s="10"/>
      <c r="R817" s="10"/>
      <c r="S817" s="10"/>
      <c r="T817" s="10"/>
      <c r="U817" s="10"/>
      <c r="V817" s="10"/>
      <c r="W817" s="10"/>
      <c r="Y817" s="10"/>
      <c r="Z817" s="10"/>
      <c r="AA817" s="10"/>
      <c r="AB817" s="10"/>
      <c r="AC817" s="10"/>
      <c r="AD817" s="10"/>
      <c r="AE817" s="10"/>
      <c r="AF817" s="10"/>
      <c r="AH817" s="10"/>
      <c r="AI817" s="10"/>
      <c r="AJ817" s="10"/>
      <c r="AK817" s="10"/>
      <c r="AL817" s="10"/>
      <c r="AM817" s="10"/>
      <c r="AN817" s="10"/>
      <c r="AO817" s="10"/>
      <c r="AQ817" s="10"/>
      <c r="AR817" s="10"/>
      <c r="AS817" s="10"/>
      <c r="AT817" s="10"/>
      <c r="AU817" s="10"/>
      <c r="AV817" s="10"/>
      <c r="AW817" s="10"/>
      <c r="AX817" s="10"/>
      <c r="AZ817" s="10"/>
      <c r="BA817" s="10"/>
      <c r="BB817" s="10"/>
      <c r="BC817" s="10"/>
      <c r="BD817" s="10"/>
      <c r="BE817" s="10"/>
      <c r="BF817" s="10"/>
      <c r="BG817" s="10"/>
      <c r="BI817" s="10"/>
      <c r="BJ817" s="10"/>
      <c r="BK817" s="10"/>
      <c r="BL817" s="10"/>
      <c r="BM817" s="10"/>
      <c r="BN817" s="10"/>
      <c r="BO817" s="10"/>
      <c r="BP817" s="10"/>
    </row>
    <row r="818" spans="2:68" ht="13.2" customHeight="1">
      <c r="B818" s="280" t="s">
        <v>2709</v>
      </c>
      <c r="G818" s="612">
        <f t="shared" ref="G818:L818" ca="1" si="1553">G816/G815</f>
        <v>1.0000565674985402</v>
      </c>
      <c r="H818" s="612">
        <f t="shared" ca="1" si="1553"/>
        <v>1.0000886461727301</v>
      </c>
      <c r="I818" s="612">
        <f t="shared" ca="1" si="1553"/>
        <v>1.0001060814300446</v>
      </c>
      <c r="J818" s="612">
        <f t="shared" ca="1" si="1553"/>
        <v>1.0001000887113716</v>
      </c>
      <c r="K818" s="612">
        <f t="shared" ca="1" si="1553"/>
        <v>1.000093019086064</v>
      </c>
      <c r="L818" s="612">
        <f t="shared" ca="1" si="1553"/>
        <v>1.0000788950029822</v>
      </c>
      <c r="M818" s="612"/>
      <c r="N818" s="186"/>
      <c r="O818" s="136">
        <f>ROW()</f>
        <v>818</v>
      </c>
      <c r="P818" s="4147" t="s">
        <v>2680</v>
      </c>
      <c r="Q818" s="4147"/>
      <c r="R818" s="4147"/>
      <c r="S818" s="4147"/>
      <c r="T818" s="4147"/>
      <c r="U818" s="4147"/>
      <c r="V818" s="4147"/>
      <c r="W818" s="4147"/>
      <c r="Y818" s="4147" t="s">
        <v>2681</v>
      </c>
      <c r="Z818" s="4147"/>
      <c r="AA818" s="4147"/>
      <c r="AB818" s="4147"/>
      <c r="AC818" s="4147"/>
      <c r="AD818" s="4147"/>
      <c r="AE818" s="4147"/>
      <c r="AF818" s="4147"/>
      <c r="AH818" s="4263" t="s">
        <v>5482</v>
      </c>
      <c r="AI818" s="4264"/>
      <c r="AJ818" s="4264"/>
      <c r="AK818" s="4264"/>
      <c r="AL818" s="4264"/>
      <c r="AM818" s="4264"/>
      <c r="AN818" s="4264"/>
      <c r="AO818" s="4264"/>
      <c r="AQ818" s="4147" t="s">
        <v>713</v>
      </c>
      <c r="AR818" s="4147"/>
      <c r="AS818" s="4147"/>
      <c r="AT818" s="4147"/>
      <c r="AU818" s="4147"/>
      <c r="AV818" s="4147"/>
      <c r="AW818" s="4147"/>
      <c r="AX818" s="4147"/>
      <c r="AZ818" s="4147" t="s">
        <v>460</v>
      </c>
      <c r="BA818" s="4147"/>
      <c r="BB818" s="4147"/>
      <c r="BC818" s="4147"/>
      <c r="BD818" s="4147"/>
      <c r="BE818" s="4147"/>
      <c r="BF818" s="4147"/>
      <c r="BG818" s="4147"/>
      <c r="BI818" s="4147" t="s">
        <v>849</v>
      </c>
      <c r="BJ818" s="4147"/>
      <c r="BK818" s="4147"/>
      <c r="BL818" s="4147"/>
      <c r="BM818" s="4147"/>
      <c r="BN818" s="4147"/>
      <c r="BO818" s="4147"/>
      <c r="BP818" s="4147"/>
    </row>
    <row r="819" spans="2:68" ht="13.2" customHeight="1">
      <c r="G819" s="612"/>
      <c r="H819" s="612"/>
      <c r="I819" s="612"/>
      <c r="J819" s="612"/>
      <c r="K819" s="612"/>
      <c r="L819" s="612"/>
      <c r="M819" s="612"/>
      <c r="N819" s="186"/>
      <c r="O819" s="136">
        <f>ROW()</f>
        <v>819</v>
      </c>
      <c r="P819" s="10"/>
      <c r="Q819" s="10"/>
      <c r="R819" s="10"/>
      <c r="S819" s="10"/>
      <c r="T819" s="10"/>
      <c r="U819" s="10"/>
      <c r="V819" s="10"/>
      <c r="W819" s="10"/>
      <c r="Y819" s="10"/>
      <c r="Z819" s="10"/>
      <c r="AA819" s="10"/>
      <c r="AB819" s="10"/>
      <c r="AC819" s="10"/>
      <c r="AD819" s="10"/>
      <c r="AE819" s="10"/>
      <c r="AF819" s="10"/>
      <c r="AO819" s="10"/>
      <c r="AQ819" s="10"/>
      <c r="AR819" s="10"/>
      <c r="AS819" s="10"/>
      <c r="AT819" s="10"/>
      <c r="AU819" s="10"/>
      <c r="AV819" s="10"/>
      <c r="AW819" s="10"/>
      <c r="AX819" s="10"/>
      <c r="AZ819" s="10"/>
      <c r="BA819" s="10"/>
      <c r="BB819" s="10"/>
      <c r="BC819" s="10"/>
      <c r="BD819" s="10"/>
      <c r="BE819" s="10"/>
      <c r="BF819" s="10"/>
      <c r="BG819" s="10"/>
      <c r="BI819" s="10"/>
      <c r="BJ819" s="10"/>
      <c r="BK819" s="10"/>
      <c r="BL819" s="10"/>
      <c r="BM819" s="10"/>
      <c r="BN819" s="10"/>
      <c r="BO819" s="10"/>
      <c r="BP819" s="10"/>
    </row>
    <row r="820" spans="2:68" ht="13.2" customHeight="1">
      <c r="B820" s="308" t="s">
        <v>587</v>
      </c>
      <c r="C820" s="280"/>
      <c r="D820" s="280"/>
      <c r="E820" s="280"/>
      <c r="F820" s="280"/>
      <c r="G820" s="280"/>
      <c r="H820" s="280"/>
      <c r="I820" s="280"/>
      <c r="J820" s="280"/>
      <c r="K820" s="280"/>
      <c r="L820" s="280"/>
      <c r="M820" s="280"/>
      <c r="N820" s="280"/>
      <c r="O820" s="136">
        <f>ROW()</f>
        <v>820</v>
      </c>
    </row>
    <row r="821" spans="2:68" ht="13.2" customHeight="1">
      <c r="B821" s="280" t="s">
        <v>2034</v>
      </c>
      <c r="E821" s="280"/>
      <c r="F821" s="280"/>
      <c r="G821" s="21">
        <f t="shared" ref="G821:L821" ca="1" si="1554">KSC/(1+0.1*(G817*$G$401/V_sub_k)^KSE)</f>
        <v>20.158245689886321</v>
      </c>
      <c r="H821" s="21">
        <f t="shared" ca="1" si="1554"/>
        <v>15.817889213360234</v>
      </c>
      <c r="I821" s="21">
        <f t="shared" ca="1" si="1554"/>
        <v>12.341439826384882</v>
      </c>
      <c r="J821" s="21">
        <f t="shared" ca="1" si="1554"/>
        <v>10.855436794692126</v>
      </c>
      <c r="K821" s="21">
        <f t="shared" ca="1" si="1554"/>
        <v>13.473494729417123</v>
      </c>
      <c r="L821" s="21">
        <f t="shared" ca="1" si="1554"/>
        <v>16.067043378630764</v>
      </c>
      <c r="M821" s="21"/>
      <c r="O821" s="136">
        <f>ROW()</f>
        <v>821</v>
      </c>
      <c r="P821" s="21">
        <f t="shared" ref="P821:U822" ca="1" si="1555">G821</f>
        <v>20.158245689886321</v>
      </c>
      <c r="Q821" s="21">
        <f t="shared" ca="1" si="1555"/>
        <v>15.817889213360234</v>
      </c>
      <c r="R821" s="21">
        <f t="shared" ca="1" si="1555"/>
        <v>12.341439826384882</v>
      </c>
      <c r="S821" s="21">
        <f t="shared" ca="1" si="1555"/>
        <v>10.855436794692126</v>
      </c>
      <c r="T821" s="21">
        <f t="shared" ca="1" si="1555"/>
        <v>13.473494729417123</v>
      </c>
      <c r="U821" s="21">
        <f t="shared" ca="1" si="1555"/>
        <v>16.067043378630764</v>
      </c>
      <c r="V821" s="21"/>
      <c r="Y821" s="21">
        <f t="shared" ref="Y821:AD822" ca="1" si="1556">G821</f>
        <v>20.158245689886321</v>
      </c>
      <c r="Z821" s="21">
        <f t="shared" ca="1" si="1556"/>
        <v>15.817889213360234</v>
      </c>
      <c r="AA821" s="21">
        <f t="shared" ca="1" si="1556"/>
        <v>12.341439826384882</v>
      </c>
      <c r="AB821" s="21">
        <f t="shared" ca="1" si="1556"/>
        <v>10.855436794692126</v>
      </c>
      <c r="AC821" s="21">
        <f t="shared" ca="1" si="1556"/>
        <v>13.473494729417123</v>
      </c>
      <c r="AD821" s="21">
        <f t="shared" ca="1" si="1556"/>
        <v>16.067043378630764</v>
      </c>
      <c r="AE821" s="21"/>
      <c r="AH821" s="21">
        <f t="shared" ref="AH821:AM822" ca="1" si="1557">P821</f>
        <v>20.158245689886321</v>
      </c>
      <c r="AI821" s="21">
        <f t="shared" ca="1" si="1557"/>
        <v>15.817889213360234</v>
      </c>
      <c r="AJ821" s="21">
        <f t="shared" ca="1" si="1557"/>
        <v>12.341439826384882</v>
      </c>
      <c r="AK821" s="21">
        <f t="shared" ca="1" si="1557"/>
        <v>10.855436794692126</v>
      </c>
      <c r="AL821" s="21">
        <f t="shared" ca="1" si="1557"/>
        <v>13.473494729417123</v>
      </c>
      <c r="AM821" s="21">
        <f t="shared" ca="1" si="1557"/>
        <v>16.067043378630764</v>
      </c>
      <c r="AN821" s="21"/>
      <c r="AQ821" s="21">
        <f t="shared" ref="AQ821:AV821" ca="1" si="1558">G821*$AU$181</f>
        <v>19.150333405392004</v>
      </c>
      <c r="AR821" s="21">
        <f t="shared" ca="1" si="1558"/>
        <v>15.026994752692222</v>
      </c>
      <c r="AS821" s="21">
        <f t="shared" ca="1" si="1558"/>
        <v>11.724367835065637</v>
      </c>
      <c r="AT821" s="21">
        <f t="shared" ca="1" si="1558"/>
        <v>10.312664954957519</v>
      </c>
      <c r="AU821" s="21">
        <f t="shared" ca="1" si="1558"/>
        <v>12.799819992946267</v>
      </c>
      <c r="AV821" s="21">
        <f t="shared" ca="1" si="1558"/>
        <v>15.263691209699225</v>
      </c>
      <c r="AW821" s="21"/>
      <c r="AZ821" s="21">
        <f t="shared" ref="AZ821:BE822" ca="1" si="1559">G821</f>
        <v>20.158245689886321</v>
      </c>
      <c r="BA821" s="21">
        <f t="shared" ca="1" si="1559"/>
        <v>15.817889213360234</v>
      </c>
      <c r="BB821" s="21">
        <f t="shared" ca="1" si="1559"/>
        <v>12.341439826384882</v>
      </c>
      <c r="BC821" s="21">
        <f t="shared" ca="1" si="1559"/>
        <v>10.855436794692126</v>
      </c>
      <c r="BD821" s="21">
        <f t="shared" ca="1" si="1559"/>
        <v>13.473494729417123</v>
      </c>
      <c r="BE821" s="21">
        <f t="shared" ca="1" si="1559"/>
        <v>16.067043378630764</v>
      </c>
      <c r="BF821" s="21"/>
      <c r="BG821" s="21"/>
      <c r="BI821" s="21">
        <f t="shared" ref="BI821:BN822" ca="1" si="1560">G821</f>
        <v>20.158245689886321</v>
      </c>
      <c r="BJ821" s="21">
        <f t="shared" ca="1" si="1560"/>
        <v>15.817889213360234</v>
      </c>
      <c r="BK821" s="21">
        <f t="shared" ca="1" si="1560"/>
        <v>12.341439826384882</v>
      </c>
      <c r="BL821" s="21">
        <f t="shared" ca="1" si="1560"/>
        <v>10.855436794692126</v>
      </c>
      <c r="BM821" s="21">
        <f t="shared" ca="1" si="1560"/>
        <v>13.473494729417123</v>
      </c>
      <c r="BN821" s="21">
        <f t="shared" ca="1" si="1560"/>
        <v>16.067043378630764</v>
      </c>
      <c r="BO821" s="21"/>
      <c r="BP821" s="21"/>
    </row>
    <row r="822" spans="2:68" ht="13.2" customHeight="1">
      <c r="B822" s="280" t="s">
        <v>1428</v>
      </c>
      <c r="E822" s="280"/>
      <c r="F822" s="280"/>
      <c r="G822" s="21">
        <f ca="1">MIN('Speed-Vol., non-Cordon'!$X$57*(G774 / 'Speed-Vol., non-Cordon'!$X$57)^G793,'Speed-Vol., non-Cordon'!$X$32)</f>
        <v>54.485304002161804</v>
      </c>
      <c r="H822" s="21">
        <f ca="1">MIN('Speed-Vol., non-Cordon'!$X$57*(H774 / 'Speed-Vol., non-Cordon'!$X$57)^H793,'Speed-Vol., non-Cordon'!$X$32)</f>
        <v>31.461400940740393</v>
      </c>
      <c r="I822" s="21">
        <f ca="1">MIN('Speed-Vol., non-Cordon'!$X$57*(I774 / 'Speed-Vol., non-Cordon'!$X$57)^I793,'Speed-Vol., non-Cordon'!$X$32)</f>
        <v>23.428979584393691</v>
      </c>
      <c r="J822" s="21">
        <f ca="1">MIN('Speed-Vol., non-Cordon'!$X$57*(J774 / 'Speed-Vol., non-Cordon'!$X$57)^J793,'Speed-Vol., non-Cordon'!$X$32)</f>
        <v>21.005663786250548</v>
      </c>
      <c r="K822" s="21">
        <f ca="1">MIN('Speed-Vol., non-Cordon'!$X$57*(K774 / 'Speed-Vol., non-Cordon'!$X$57)^K793,'Speed-Vol., non-Cordon'!$X$32)</f>
        <v>27.008371385585534</v>
      </c>
      <c r="L822" s="21">
        <f ca="1">MIN('Speed-Vol., non-Cordon'!$X$57*(L774 / 'Speed-Vol., non-Cordon'!$X$57)^L793,'Speed-Vol., non-Cordon'!$X$32)</f>
        <v>33.110852676877116</v>
      </c>
      <c r="M822" s="21"/>
      <c r="O822" s="136">
        <f>ROW()</f>
        <v>822</v>
      </c>
      <c r="P822" s="21">
        <f t="shared" ca="1" si="1555"/>
        <v>54.485304002161804</v>
      </c>
      <c r="Q822" s="21">
        <f t="shared" ca="1" si="1555"/>
        <v>31.461400940740393</v>
      </c>
      <c r="R822" s="21">
        <f t="shared" ca="1" si="1555"/>
        <v>23.428979584393691</v>
      </c>
      <c r="S822" s="21">
        <f t="shared" ca="1" si="1555"/>
        <v>21.005663786250548</v>
      </c>
      <c r="T822" s="21">
        <f t="shared" ca="1" si="1555"/>
        <v>27.008371385585534</v>
      </c>
      <c r="U822" s="21">
        <f t="shared" ca="1" si="1555"/>
        <v>33.110852676877116</v>
      </c>
      <c r="V822" s="21"/>
      <c r="Y822" s="21">
        <f t="shared" ca="1" si="1556"/>
        <v>54.485304002161804</v>
      </c>
      <c r="Z822" s="21">
        <f t="shared" ca="1" si="1556"/>
        <v>31.461400940740393</v>
      </c>
      <c r="AA822" s="21">
        <f t="shared" ca="1" si="1556"/>
        <v>23.428979584393691</v>
      </c>
      <c r="AB822" s="21">
        <f t="shared" ca="1" si="1556"/>
        <v>21.005663786250548</v>
      </c>
      <c r="AC822" s="21">
        <f t="shared" ca="1" si="1556"/>
        <v>27.008371385585534</v>
      </c>
      <c r="AD822" s="21">
        <f t="shared" ca="1" si="1556"/>
        <v>33.110852676877116</v>
      </c>
      <c r="AE822" s="21"/>
      <c r="AH822" s="21">
        <f t="shared" ca="1" si="1557"/>
        <v>54.485304002161804</v>
      </c>
      <c r="AI822" s="21">
        <f t="shared" ca="1" si="1557"/>
        <v>31.461400940740393</v>
      </c>
      <c r="AJ822" s="21">
        <f t="shared" ca="1" si="1557"/>
        <v>23.428979584393691</v>
      </c>
      <c r="AK822" s="21">
        <f t="shared" ca="1" si="1557"/>
        <v>21.005663786250548</v>
      </c>
      <c r="AL822" s="21">
        <f t="shared" ca="1" si="1557"/>
        <v>27.008371385585534</v>
      </c>
      <c r="AM822" s="21">
        <f t="shared" ca="1" si="1557"/>
        <v>33.110852676877116</v>
      </c>
      <c r="AN822" s="21"/>
      <c r="AQ822" s="21">
        <f t="shared" ref="AQ822:AV822" ca="1" si="1561">G822*$AV$181</f>
        <v>53.940450962140183</v>
      </c>
      <c r="AR822" s="21">
        <f t="shared" ca="1" si="1561"/>
        <v>31.14678693133299</v>
      </c>
      <c r="AS822" s="21">
        <f t="shared" ca="1" si="1561"/>
        <v>23.194689788549752</v>
      </c>
      <c r="AT822" s="21">
        <f t="shared" ca="1" si="1561"/>
        <v>20.795607148388044</v>
      </c>
      <c r="AU822" s="21">
        <f t="shared" ca="1" si="1561"/>
        <v>26.73828767172968</v>
      </c>
      <c r="AV822" s="21">
        <f t="shared" ca="1" si="1561"/>
        <v>32.779744150108343</v>
      </c>
      <c r="AW822" s="21"/>
      <c r="AX822" s="4272" t="s">
        <v>1878</v>
      </c>
      <c r="AZ822" s="21">
        <f t="shared" ca="1" si="1559"/>
        <v>54.485304002161804</v>
      </c>
      <c r="BA822" s="21">
        <f t="shared" ca="1" si="1559"/>
        <v>31.461400940740393</v>
      </c>
      <c r="BB822" s="21">
        <f t="shared" ca="1" si="1559"/>
        <v>23.428979584393691</v>
      </c>
      <c r="BC822" s="21">
        <f t="shared" ca="1" si="1559"/>
        <v>21.005663786250548</v>
      </c>
      <c r="BD822" s="21">
        <f t="shared" ca="1" si="1559"/>
        <v>27.008371385585534</v>
      </c>
      <c r="BE822" s="21">
        <f t="shared" ca="1" si="1559"/>
        <v>33.110852676877116</v>
      </c>
      <c r="BF822" s="21"/>
      <c r="BG822" s="21"/>
      <c r="BI822" s="21">
        <f t="shared" ca="1" si="1560"/>
        <v>54.485304002161804</v>
      </c>
      <c r="BJ822" s="21">
        <f t="shared" ca="1" si="1560"/>
        <v>31.461400940740393</v>
      </c>
      <c r="BK822" s="21">
        <f t="shared" ca="1" si="1560"/>
        <v>23.428979584393691</v>
      </c>
      <c r="BL822" s="21">
        <f t="shared" ca="1" si="1560"/>
        <v>21.005663786250548</v>
      </c>
      <c r="BM822" s="21">
        <f t="shared" ca="1" si="1560"/>
        <v>27.008371385585534</v>
      </c>
      <c r="BN822" s="21">
        <f t="shared" ca="1" si="1560"/>
        <v>33.110852676877116</v>
      </c>
      <c r="BO822" s="21"/>
      <c r="BP822" s="21"/>
    </row>
    <row r="823" spans="2:68" ht="13.2" customHeight="1">
      <c r="B823" s="280"/>
      <c r="O823" s="136">
        <f>ROW()</f>
        <v>823</v>
      </c>
      <c r="AX823" s="4273"/>
    </row>
    <row r="824" spans="2:68" ht="13.2" customHeight="1">
      <c r="B824" s="308" t="s">
        <v>2606</v>
      </c>
      <c r="F824" s="606"/>
      <c r="O824" s="136">
        <f>ROW()</f>
        <v>824</v>
      </c>
      <c r="AX824" s="4340"/>
    </row>
    <row r="825" spans="2:68" ht="13.2" customHeight="1">
      <c r="B825" s="280" t="s">
        <v>2158</v>
      </c>
      <c r="C825" s="297"/>
      <c r="D825" s="297"/>
      <c r="E825" s="297"/>
      <c r="F825" s="297"/>
      <c r="G825" s="4286" t="s">
        <v>2351</v>
      </c>
      <c r="H825" s="3775"/>
      <c r="I825" s="3775"/>
      <c r="J825" s="3775"/>
      <c r="K825" s="3775"/>
      <c r="L825" s="3776"/>
      <c r="O825" s="136">
        <f>ROW()</f>
        <v>825</v>
      </c>
      <c r="P825" s="21">
        <f t="shared" ref="P825:U825" ca="1" si="1562">($I$85)*60/P821</f>
        <v>4.464674227338854</v>
      </c>
      <c r="Q825" s="21">
        <f t="shared" ca="1" si="1562"/>
        <v>5.689760421635996</v>
      </c>
      <c r="R825" s="21">
        <f t="shared" ca="1" si="1562"/>
        <v>7.2925040567461297</v>
      </c>
      <c r="S825" s="21">
        <f t="shared" ca="1" si="1562"/>
        <v>8.2907764746975818</v>
      </c>
      <c r="T825" s="21">
        <f t="shared" ca="1" si="1562"/>
        <v>6.6797814381075202</v>
      </c>
      <c r="U825" s="21">
        <f t="shared" ca="1" si="1562"/>
        <v>5.6015284131055738</v>
      </c>
      <c r="V825" s="21"/>
      <c r="W825" s="883">
        <f ca="1">SUMPRODUCT(P$476:V$476,P825:V825)/W$476</f>
        <v>6.2712548263197982</v>
      </c>
      <c r="Y825" s="21">
        <f t="shared" ref="Y825:AD825" ca="1" si="1563">($J$85)*60/Y821</f>
        <v>4.464674227338854</v>
      </c>
      <c r="Z825" s="21">
        <f t="shared" ca="1" si="1563"/>
        <v>5.689760421635996</v>
      </c>
      <c r="AA825" s="21">
        <f t="shared" ca="1" si="1563"/>
        <v>7.2925040567461297</v>
      </c>
      <c r="AB825" s="21">
        <f t="shared" ca="1" si="1563"/>
        <v>8.2907764746975818</v>
      </c>
      <c r="AC825" s="21">
        <f t="shared" ca="1" si="1563"/>
        <v>6.6797814381075202</v>
      </c>
      <c r="AD825" s="21">
        <f t="shared" ca="1" si="1563"/>
        <v>5.6015284131055738</v>
      </c>
      <c r="AE825" s="21"/>
      <c r="AF825" s="883">
        <f ca="1">SUMPRODUCT(Y$476:AE$476,Y825:AE825)/AF$476</f>
        <v>6.4963159854852313</v>
      </c>
      <c r="AH825" s="21">
        <f t="shared" ref="AH825:AM825" ca="1" si="1564">($K$85)*60/AH821</f>
        <v>4.167029278849598</v>
      </c>
      <c r="AI825" s="21">
        <f t="shared" ca="1" si="1564"/>
        <v>5.310443060193597</v>
      </c>
      <c r="AJ825" s="21">
        <f t="shared" ca="1" si="1564"/>
        <v>6.8063371196297222</v>
      </c>
      <c r="AK825" s="21">
        <f t="shared" ca="1" si="1564"/>
        <v>7.738058043051077</v>
      </c>
      <c r="AL825" s="21">
        <f t="shared" ca="1" si="1564"/>
        <v>6.2344626755670198</v>
      </c>
      <c r="AM825" s="21">
        <f t="shared" ca="1" si="1564"/>
        <v>5.2280931855652026</v>
      </c>
      <c r="AN825" s="21"/>
      <c r="AO825" s="883">
        <f ca="1">SUMPRODUCT(AH$476:AN$476,AH825:AN825)/AO$476</f>
        <v>5.8603690651966946</v>
      </c>
      <c r="AQ825" s="21">
        <f t="shared" ref="AQ825:AV825" ca="1" si="1565">($L$85)*60/AQ821</f>
        <v>6.2662094418790941</v>
      </c>
      <c r="AR825" s="21">
        <f t="shared" ca="1" si="1565"/>
        <v>7.9856286619452579</v>
      </c>
      <c r="AS825" s="21">
        <f t="shared" ca="1" si="1565"/>
        <v>10.235093412977024</v>
      </c>
      <c r="AT825" s="21">
        <f t="shared" ca="1" si="1565"/>
        <v>11.636177508347483</v>
      </c>
      <c r="AU825" s="21">
        <f t="shared" ca="1" si="1565"/>
        <v>9.3751318429579236</v>
      </c>
      <c r="AV825" s="21">
        <f t="shared" ca="1" si="1565"/>
        <v>7.8617942640078233</v>
      </c>
      <c r="AW825" s="21"/>
      <c r="AX825" s="613">
        <f ca="1">SUMPRODUCT(AQ$476:AW$476,AQ825:AW825)/AX$476</f>
        <v>8.5841251607599585</v>
      </c>
      <c r="AZ825" s="21">
        <f t="shared" ref="AZ825:BE825" ca="1" si="1566">($M$85)*60/AZ821</f>
        <v>8.929348454677708</v>
      </c>
      <c r="BA825" s="21">
        <f t="shared" ca="1" si="1566"/>
        <v>11.379520843271992</v>
      </c>
      <c r="BB825" s="21">
        <f t="shared" ca="1" si="1566"/>
        <v>14.585008113492259</v>
      </c>
      <c r="BC825" s="21">
        <f t="shared" ca="1" si="1566"/>
        <v>16.581552949395164</v>
      </c>
      <c r="BD825" s="21">
        <f t="shared" ca="1" si="1566"/>
        <v>13.35956287621504</v>
      </c>
      <c r="BE825" s="21">
        <f t="shared" ca="1" si="1566"/>
        <v>11.203056826211148</v>
      </c>
      <c r="BF825" s="21"/>
      <c r="BG825" s="883">
        <f ca="1">SUMPRODUCT(AZ$476:BF$476,AZ825:BF825)/BG$476</f>
        <v>12.713944201567461</v>
      </c>
      <c r="BI825" s="21">
        <f t="shared" ref="BI825:BN825" ca="1" si="1567">($N$85)*60/BI821</f>
        <v>5.9528989697851387</v>
      </c>
      <c r="BJ825" s="21">
        <f t="shared" ca="1" si="1567"/>
        <v>7.5863472288479947</v>
      </c>
      <c r="BK825" s="21">
        <f t="shared" ca="1" si="1567"/>
        <v>9.7233387423281723</v>
      </c>
      <c r="BL825" s="21">
        <f t="shared" ca="1" si="1567"/>
        <v>11.054368632930109</v>
      </c>
      <c r="BM825" s="21">
        <f t="shared" ca="1" si="1567"/>
        <v>8.9063752508100276</v>
      </c>
      <c r="BN825" s="21">
        <f t="shared" ca="1" si="1567"/>
        <v>7.4687045508074315</v>
      </c>
      <c r="BO825" s="21"/>
      <c r="BP825" s="883">
        <f ca="1">SUMPRODUCT(BI$476:BO$476,BI825:BO825)/BP$476</f>
        <v>8.485081454435127</v>
      </c>
    </row>
    <row r="826" spans="2:68" ht="13.2" customHeight="1">
      <c r="B826" s="280" t="s">
        <v>2159</v>
      </c>
      <c r="C826" s="297"/>
      <c r="D826" s="297"/>
      <c r="E826" s="297"/>
      <c r="F826" s="297"/>
      <c r="G826" s="3738"/>
      <c r="H826" s="3739"/>
      <c r="I826" s="3739"/>
      <c r="J826" s="3739"/>
      <c r="K826" s="3739"/>
      <c r="L826" s="3922"/>
      <c r="O826" s="136">
        <f>ROW()</f>
        <v>826</v>
      </c>
      <c r="P826" s="21">
        <f t="shared" ref="P826:U826" ca="1" si="1568">60*$I$85/(1/($P$135/$P821+$Q$135/$Q821+$R$135/$R821+$S$135/$S821+$T$135/$T821+$U$135/$U821))</f>
        <v>6.2423222576249708</v>
      </c>
      <c r="Q826" s="21">
        <f t="shared" ca="1" si="1568"/>
        <v>6.2423222576249708</v>
      </c>
      <c r="R826" s="21">
        <f t="shared" ca="1" si="1568"/>
        <v>6.2423222576249708</v>
      </c>
      <c r="S826" s="21">
        <f t="shared" ca="1" si="1568"/>
        <v>6.2423222576249708</v>
      </c>
      <c r="T826" s="21">
        <f t="shared" ca="1" si="1568"/>
        <v>6.2423222576249708</v>
      </c>
      <c r="U826" s="21">
        <f t="shared" ca="1" si="1568"/>
        <v>6.2423222576249708</v>
      </c>
      <c r="V826" s="21"/>
      <c r="W826" s="613">
        <f ca="1">SUMPRODUCT(P$383:V$383,P826:V826)/W$383</f>
        <v>6.2423222576249726</v>
      </c>
      <c r="Y826" s="21">
        <f t="shared" ref="Y826:AD826" ca="1" si="1569">60*$J$85/(1/($Y$135/$Y821+$Z$135/$Z821+$AA$135/$AA821+$AB$135/$AB821+$AC$135/$AC821+$AD$135/$AD821))</f>
        <v>6.2423222576249682</v>
      </c>
      <c r="Z826" s="21">
        <f t="shared" ca="1" si="1569"/>
        <v>6.2423222576249682</v>
      </c>
      <c r="AA826" s="21">
        <f t="shared" ca="1" si="1569"/>
        <v>6.2423222576249682</v>
      </c>
      <c r="AB826" s="21">
        <f t="shared" ca="1" si="1569"/>
        <v>6.2423222576249682</v>
      </c>
      <c r="AC826" s="21">
        <f t="shared" ca="1" si="1569"/>
        <v>6.2423222576249682</v>
      </c>
      <c r="AD826" s="21">
        <f t="shared" ca="1" si="1569"/>
        <v>6.2423222576249682</v>
      </c>
      <c r="AE826" s="21"/>
      <c r="AF826" s="613">
        <f ca="1">SUMPRODUCT(Y$383:AE$383,Y826:AE826)/AF$383</f>
        <v>6.2423222576249691</v>
      </c>
      <c r="AH826" s="21">
        <f t="shared" ref="AH826:AM826" ca="1" si="1570">AH825</f>
        <v>4.167029278849598</v>
      </c>
      <c r="AI826" s="21">
        <f t="shared" ca="1" si="1570"/>
        <v>5.310443060193597</v>
      </c>
      <c r="AJ826" s="21">
        <f t="shared" ca="1" si="1570"/>
        <v>6.8063371196297222</v>
      </c>
      <c r="AK826" s="21">
        <f t="shared" ca="1" si="1570"/>
        <v>7.738058043051077</v>
      </c>
      <c r="AL826" s="21">
        <f t="shared" ca="1" si="1570"/>
        <v>6.2344626755670198</v>
      </c>
      <c r="AM826" s="21">
        <f t="shared" ca="1" si="1570"/>
        <v>5.2280931855652026</v>
      </c>
      <c r="AN826" s="21"/>
      <c r="AO826" s="613">
        <f ca="1">SUMPRODUCT(AH$383:AN$383,AH826:AN826)/AO$383</f>
        <v>5.8689930760466309</v>
      </c>
      <c r="AQ826" s="21"/>
      <c r="AR826" s="21"/>
      <c r="AS826" s="21"/>
      <c r="AT826" s="21"/>
      <c r="AU826" s="21"/>
      <c r="AV826" s="21"/>
      <c r="AW826" s="21"/>
      <c r="AX826" s="613"/>
      <c r="AZ826" s="21">
        <f t="shared" ref="AZ826:BE826" ca="1" si="1571">60*$M$85/(1/($AZ$135/$AZ821+$BA$135/$BA821+$BB$135/$BB821+$BC$135/$BC821+$BD$135/$BD821+$BE$135/$BE821))</f>
        <v>12.484644515249936</v>
      </c>
      <c r="BA826" s="21">
        <f t="shared" ca="1" si="1571"/>
        <v>12.484644515249936</v>
      </c>
      <c r="BB826" s="21">
        <f t="shared" ca="1" si="1571"/>
        <v>12.484644515249936</v>
      </c>
      <c r="BC826" s="21">
        <f t="shared" ca="1" si="1571"/>
        <v>12.484644515249936</v>
      </c>
      <c r="BD826" s="21">
        <f t="shared" ca="1" si="1571"/>
        <v>12.484644515249936</v>
      </c>
      <c r="BE826" s="21">
        <f t="shared" ca="1" si="1571"/>
        <v>12.484644515249936</v>
      </c>
      <c r="BF826" s="21"/>
      <c r="BG826" s="613">
        <f ca="1">SUMPRODUCT(AZ$383:BF$383,AZ826:BF826)/BG$383</f>
        <v>12.484644515249936</v>
      </c>
      <c r="BI826" s="21">
        <f t="shared" ref="BI826:BN826" ca="1" si="1572">60*$N$85/(1/($BI$135/$BI821+$BJ$135/$BJ821+$BK$135/$BK821+$BL$135/$BL821+$BM$135/$BM821+$BN$135/$BN821))</f>
        <v>8.323096343499957</v>
      </c>
      <c r="BJ826" s="21">
        <f t="shared" ca="1" si="1572"/>
        <v>8.323096343499957</v>
      </c>
      <c r="BK826" s="21">
        <f t="shared" ca="1" si="1572"/>
        <v>8.323096343499957</v>
      </c>
      <c r="BL826" s="21">
        <f t="shared" ca="1" si="1572"/>
        <v>8.323096343499957</v>
      </c>
      <c r="BM826" s="21">
        <f t="shared" ca="1" si="1572"/>
        <v>8.323096343499957</v>
      </c>
      <c r="BN826" s="21">
        <f t="shared" ca="1" si="1572"/>
        <v>8.323096343499957</v>
      </c>
      <c r="BO826" s="21"/>
      <c r="BP826" s="613">
        <f ca="1">SUMPRODUCT(BI$383:BO$383,BI826:BO826)/BP$383</f>
        <v>8.323096343499957</v>
      </c>
    </row>
    <row r="827" spans="2:68" ht="13.2" customHeight="1">
      <c r="B827" s="280" t="s">
        <v>2160</v>
      </c>
      <c r="C827" s="297"/>
      <c r="D827" s="297"/>
      <c r="E827" s="297"/>
      <c r="F827" s="297"/>
      <c r="G827" s="3738"/>
      <c r="H827" s="3739"/>
      <c r="I827" s="3739"/>
      <c r="J827" s="3739"/>
      <c r="K827" s="3739"/>
      <c r="L827" s="3922"/>
      <c r="O827" s="136">
        <f>ROW()</f>
        <v>827</v>
      </c>
      <c r="P827" s="21">
        <f t="shared" ref="P827:U827" ca="1" si="1573">($I$79)*60/P822</f>
        <v>18.610587614288438</v>
      </c>
      <c r="Q827" s="21">
        <f t="shared" ca="1" si="1573"/>
        <v>32.230081735181301</v>
      </c>
      <c r="R827" s="21">
        <f t="shared" ca="1" si="1573"/>
        <v>43.279884220771265</v>
      </c>
      <c r="S827" s="21">
        <f t="shared" ca="1" si="1573"/>
        <v>48.272862697492954</v>
      </c>
      <c r="T827" s="21">
        <f t="shared" ca="1" si="1573"/>
        <v>37.544045486746754</v>
      </c>
      <c r="U827" s="21">
        <f t="shared" ca="1" si="1573"/>
        <v>30.624506524155436</v>
      </c>
      <c r="V827" s="21"/>
      <c r="W827" s="613">
        <f ca="1">SUMPRODUCT(P$476:V$476,P827:V827)/W$476</f>
        <v>34.233227832288485</v>
      </c>
      <c r="Y827" s="21">
        <f t="shared" ref="Y827:AD827" ca="1" si="1574">($J$79)*60/Y822</f>
        <v>18.610587614288438</v>
      </c>
      <c r="Z827" s="21">
        <f t="shared" ca="1" si="1574"/>
        <v>32.230081735181301</v>
      </c>
      <c r="AA827" s="21">
        <f t="shared" ca="1" si="1574"/>
        <v>43.279884220771265</v>
      </c>
      <c r="AB827" s="21">
        <f t="shared" ca="1" si="1574"/>
        <v>48.272862697492954</v>
      </c>
      <c r="AC827" s="21">
        <f t="shared" ca="1" si="1574"/>
        <v>37.544045486746754</v>
      </c>
      <c r="AD827" s="21">
        <f t="shared" ca="1" si="1574"/>
        <v>30.624506524155436</v>
      </c>
      <c r="AE827" s="21"/>
      <c r="AF827" s="613">
        <f ca="1">SUMPRODUCT(Y$476:AE$476,Y827:AE827)/AF$476</f>
        <v>35.960463711231839</v>
      </c>
      <c r="AH827" s="21">
        <f t="shared" ref="AH827:AM827" ca="1" si="1575">($K$79)*60/AH822</f>
        <v>27.915881421432655</v>
      </c>
      <c r="AI827" s="21">
        <f t="shared" ca="1" si="1575"/>
        <v>48.345122602771951</v>
      </c>
      <c r="AJ827" s="21">
        <f t="shared" ca="1" si="1575"/>
        <v>64.919826331156898</v>
      </c>
      <c r="AK827" s="21">
        <f t="shared" ca="1" si="1575"/>
        <v>72.409294046239438</v>
      </c>
      <c r="AL827" s="21">
        <f t="shared" ca="1" si="1575"/>
        <v>56.316068230120131</v>
      </c>
      <c r="AM827" s="21">
        <f t="shared" ca="1" si="1575"/>
        <v>45.936759786233154</v>
      </c>
      <c r="AN827" s="21"/>
      <c r="AO827" s="613">
        <f ca="1">SUMPRODUCT(AH$476:AN$476,AH827:AN827)/AO$476</f>
        <v>51.38864500315821</v>
      </c>
      <c r="AQ827" s="21">
        <f t="shared" ref="AQ827:AV827" ca="1" si="1576">($L$79)*60/AQ822</f>
        <v>6.6740265158828098</v>
      </c>
      <c r="AR827" s="21">
        <f t="shared" ca="1" si="1576"/>
        <v>11.558174549229276</v>
      </c>
      <c r="AS827" s="21">
        <f t="shared" ca="1" si="1576"/>
        <v>15.520793909376488</v>
      </c>
      <c r="AT827" s="21">
        <f t="shared" ca="1" si="1576"/>
        <v>17.311348374260145</v>
      </c>
      <c r="AU827" s="21">
        <f t="shared" ca="1" si="1576"/>
        <v>13.463838986990444</v>
      </c>
      <c r="AV827" s="21">
        <f t="shared" ca="1" si="1576"/>
        <v>10.982392002556558</v>
      </c>
      <c r="AW827" s="21"/>
      <c r="AX827" s="613">
        <f ca="1">SUMPRODUCT(AQ$476:AW$476,AQ827:AW827)/AX$476</f>
        <v>11.782533223737738</v>
      </c>
      <c r="AZ827" s="21">
        <f t="shared" ref="AZ827:BE827" ca="1" si="1577">($M$79)*60/AZ822</f>
        <v>14.020269313837467</v>
      </c>
      <c r="BA827" s="21">
        <f t="shared" ca="1" si="1577"/>
        <v>24.280502867480948</v>
      </c>
      <c r="BB827" s="21">
        <f t="shared" ca="1" si="1577"/>
        <v>32.604861556388755</v>
      </c>
      <c r="BC827" s="21">
        <f t="shared" ca="1" si="1577"/>
        <v>36.366317367063253</v>
      </c>
      <c r="BD827" s="21">
        <f t="shared" ca="1" si="1577"/>
        <v>28.283772644073991</v>
      </c>
      <c r="BE827" s="21">
        <f t="shared" ca="1" si="1577"/>
        <v>23.070944237267611</v>
      </c>
      <c r="BF827" s="21"/>
      <c r="BG827" s="613">
        <f ca="1">SUMPRODUCT(AZ$476:BF$476,AZ827:BF827)/BG$476</f>
        <v>26.272026652570393</v>
      </c>
      <c r="BI827" s="21">
        <f t="shared" ref="BI827:BN827" ca="1" si="1578">($N$79)*60/BI822</f>
        <v>19.208474482738122</v>
      </c>
      <c r="BJ827" s="21">
        <f t="shared" ca="1" si="1578"/>
        <v>33.265510762888638</v>
      </c>
      <c r="BK827" s="21">
        <f t="shared" ca="1" si="1578"/>
        <v>44.670301061975948</v>
      </c>
      <c r="BL827" s="21">
        <f t="shared" ca="1" si="1578"/>
        <v>49.823684805181102</v>
      </c>
      <c r="BM827" s="21">
        <f t="shared" ca="1" si="1578"/>
        <v>38.750191807874714</v>
      </c>
      <c r="BN827" s="21">
        <f t="shared" ca="1" si="1578"/>
        <v>31.608354572536594</v>
      </c>
      <c r="BO827" s="21"/>
      <c r="BP827" s="613">
        <f ca="1">SUMPRODUCT(BI$476:BO$476,BI827:BO827)/BP$476</f>
        <v>36.053195358478568</v>
      </c>
    </row>
    <row r="828" spans="2:68" ht="13.2" customHeight="1">
      <c r="B828" s="280" t="s">
        <v>1138</v>
      </c>
      <c r="C828" s="297"/>
      <c r="D828" s="297"/>
      <c r="E828" s="297"/>
      <c r="F828" s="297"/>
      <c r="G828" s="3738"/>
      <c r="H828" s="3739"/>
      <c r="I828" s="3739"/>
      <c r="J828" s="3739"/>
      <c r="K828" s="3739"/>
      <c r="L828" s="3922"/>
      <c r="O828" s="136">
        <f>ROW()</f>
        <v>828</v>
      </c>
      <c r="P828" s="21">
        <f t="shared" ref="P828:U828" ca="1" si="1579">60*$I$79/(1/($P$135/$P822+$Q$135/$Q822+$R$135/$R822+$S$135/$S822+$T$135/$T822+$U$135/$U822))</f>
        <v>33.925419644224057</v>
      </c>
      <c r="Q828" s="21">
        <f t="shared" ca="1" si="1579"/>
        <v>33.925419644224057</v>
      </c>
      <c r="R828" s="21">
        <f t="shared" ca="1" si="1579"/>
        <v>33.925419644224057</v>
      </c>
      <c r="S828" s="21">
        <f t="shared" ca="1" si="1579"/>
        <v>33.925419644224057</v>
      </c>
      <c r="T828" s="21">
        <f t="shared" ca="1" si="1579"/>
        <v>33.925419644224057</v>
      </c>
      <c r="U828" s="21">
        <f t="shared" ca="1" si="1579"/>
        <v>33.925419644224057</v>
      </c>
      <c r="V828" s="21"/>
      <c r="W828" s="613">
        <f ca="1">SUMPRODUCT(P$476:V$476,P828:V828)/W$476</f>
        <v>33.925419644224057</v>
      </c>
      <c r="Y828" s="21">
        <f t="shared" ref="Y828:AD828" ca="1" si="1580">60*$J$79/(1/($Y$135/$Y822+$Z$135/$Z822+$AA$135/$AA822+$AB$135/$AB822+$AC$135/$AC822+$AD$135/$AD822))</f>
        <v>33.925419644224057</v>
      </c>
      <c r="Z828" s="21">
        <f t="shared" ca="1" si="1580"/>
        <v>33.925419644224057</v>
      </c>
      <c r="AA828" s="21">
        <f t="shared" ca="1" si="1580"/>
        <v>33.925419644224057</v>
      </c>
      <c r="AB828" s="21">
        <f t="shared" ca="1" si="1580"/>
        <v>33.925419644224057</v>
      </c>
      <c r="AC828" s="21">
        <f t="shared" ca="1" si="1580"/>
        <v>33.925419644224057</v>
      </c>
      <c r="AD828" s="21">
        <f t="shared" ca="1" si="1580"/>
        <v>33.925419644224057</v>
      </c>
      <c r="AE828" s="21"/>
      <c r="AF828" s="613">
        <f ca="1">SUMPRODUCT(Y$476:AE$476,Y828:AE828)/AF$476</f>
        <v>33.925419644224064</v>
      </c>
      <c r="AH828" s="21">
        <f t="shared" ref="AH828:AM828" ca="1" si="1581">AH827</f>
        <v>27.915881421432655</v>
      </c>
      <c r="AI828" s="21">
        <f t="shared" ca="1" si="1581"/>
        <v>48.345122602771951</v>
      </c>
      <c r="AJ828" s="21">
        <f t="shared" ca="1" si="1581"/>
        <v>64.919826331156898</v>
      </c>
      <c r="AK828" s="21">
        <f t="shared" ca="1" si="1581"/>
        <v>72.409294046239438</v>
      </c>
      <c r="AL828" s="21">
        <f t="shared" ca="1" si="1581"/>
        <v>56.316068230120131</v>
      </c>
      <c r="AM828" s="21">
        <f t="shared" ca="1" si="1581"/>
        <v>45.936759786233154</v>
      </c>
      <c r="AN828" s="21"/>
      <c r="AO828" s="613">
        <f ca="1">SUMPRODUCT(AH$476:AN$476,AH828:AN828)/AO$476</f>
        <v>51.38864500315821</v>
      </c>
      <c r="AX828" s="613"/>
      <c r="AZ828" s="21">
        <f t="shared" ref="AZ828:BE828" ca="1" si="1582">60*$M$79/(1/($AZ$135/$AZ822+$BA$135/$BA822+$BB$135/$BB822+$BC$135/$BC822+$BD$135/$BD822+$BE$135/$BE822))</f>
        <v>25.557684144900076</v>
      </c>
      <c r="BA828" s="21">
        <f t="shared" ca="1" si="1582"/>
        <v>25.557684144900076</v>
      </c>
      <c r="BB828" s="21">
        <f t="shared" ca="1" si="1582"/>
        <v>25.557684144900076</v>
      </c>
      <c r="BC828" s="21">
        <f t="shared" ca="1" si="1582"/>
        <v>25.557684144900076</v>
      </c>
      <c r="BD828" s="21">
        <f t="shared" ca="1" si="1582"/>
        <v>25.557684144900076</v>
      </c>
      <c r="BE828" s="21">
        <f t="shared" ca="1" si="1582"/>
        <v>25.557684144900076</v>
      </c>
      <c r="BF828" s="21"/>
      <c r="BG828" s="613">
        <f ca="1">SUMPRODUCT(AZ$476:BF$476,AZ828:BF828)/BG$476</f>
        <v>25.55768414490008</v>
      </c>
      <c r="BI828" s="21">
        <f t="shared" ref="BI828:BN828" ca="1" si="1583">60*$N$79/(1/($BI$135/$BI822+$BJ$135/$BJ822+$BK$135/$BK822+$BL$135/$BL822+$BM$135/$BM822+$BN$135/$BN822))</f>
        <v>35.015313382794332</v>
      </c>
      <c r="BJ828" s="21">
        <f t="shared" ca="1" si="1583"/>
        <v>35.015313382794332</v>
      </c>
      <c r="BK828" s="21">
        <f t="shared" ca="1" si="1583"/>
        <v>35.015313382794332</v>
      </c>
      <c r="BL828" s="21">
        <f t="shared" ca="1" si="1583"/>
        <v>35.015313382794332</v>
      </c>
      <c r="BM828" s="21">
        <f t="shared" ca="1" si="1583"/>
        <v>35.015313382794332</v>
      </c>
      <c r="BN828" s="21">
        <f t="shared" ca="1" si="1583"/>
        <v>35.015313382794332</v>
      </c>
      <c r="BO828" s="21"/>
      <c r="BP828" s="613">
        <f ca="1">SUMPRODUCT(BI$476:BO$476,BI828:BO828)/BP$476</f>
        <v>35.015313382794332</v>
      </c>
    </row>
    <row r="829" spans="2:68" ht="13.2" customHeight="1">
      <c r="B829" s="308" t="s">
        <v>2243</v>
      </c>
      <c r="C829" s="297"/>
      <c r="D829" s="297"/>
      <c r="E829" s="297"/>
      <c r="F829" s="297"/>
      <c r="G829" s="3741"/>
      <c r="H829" s="3742"/>
      <c r="I829" s="3742"/>
      <c r="J829" s="3742"/>
      <c r="K829" s="3742"/>
      <c r="L829" s="3777"/>
      <c r="O829" s="136">
        <f>ROW()</f>
        <v>829</v>
      </c>
      <c r="P829" s="21">
        <f t="shared" ref="P829:U829" ca="1" si="1584">SUM(P825:P828)</f>
        <v>63.243003743476322</v>
      </c>
      <c r="Q829" s="21">
        <f t="shared" ca="1" si="1584"/>
        <v>78.087584058666323</v>
      </c>
      <c r="R829" s="21">
        <f t="shared" ca="1" si="1584"/>
        <v>90.740130179366417</v>
      </c>
      <c r="S829" s="21">
        <f t="shared" ca="1" si="1584"/>
        <v>96.731381074039575</v>
      </c>
      <c r="T829" s="21">
        <f t="shared" ca="1" si="1584"/>
        <v>84.391568826703292</v>
      </c>
      <c r="U829" s="21">
        <f t="shared" ca="1" si="1584"/>
        <v>76.393776839110046</v>
      </c>
      <c r="V829" s="21"/>
      <c r="W829" s="614">
        <f ca="1">SUM(W825:W828)</f>
        <v>80.672224560457323</v>
      </c>
      <c r="Y829" s="21">
        <f t="shared" ref="Y829:AD829" ca="1" si="1585">SUM(Y825:Y828)</f>
        <v>63.243003743476315</v>
      </c>
      <c r="Z829" s="21">
        <f t="shared" ca="1" si="1585"/>
        <v>78.087584058666323</v>
      </c>
      <c r="AA829" s="21">
        <f t="shared" ca="1" si="1585"/>
        <v>90.740130179366417</v>
      </c>
      <c r="AB829" s="21">
        <f t="shared" ca="1" si="1585"/>
        <v>96.731381074039561</v>
      </c>
      <c r="AC829" s="21">
        <f t="shared" ca="1" si="1585"/>
        <v>84.391568826703292</v>
      </c>
      <c r="AD829" s="21">
        <f t="shared" ca="1" si="1585"/>
        <v>76.393776839110046</v>
      </c>
      <c r="AE829" s="21"/>
      <c r="AF829" s="614">
        <f ca="1">SUM(AF825:AF828)</f>
        <v>82.624521598566105</v>
      </c>
      <c r="AH829" s="21">
        <f t="shared" ref="AH829:AO829" ca="1" si="1586">SUM(AH825:AH828)</f>
        <v>64.165821400564511</v>
      </c>
      <c r="AI829" s="21">
        <f t="shared" ca="1" si="1586"/>
        <v>107.3111313259311</v>
      </c>
      <c r="AJ829" s="21">
        <f t="shared" ca="1" si="1586"/>
        <v>143.45232690157326</v>
      </c>
      <c r="AK829" s="21">
        <f t="shared" ca="1" si="1586"/>
        <v>160.29470417858101</v>
      </c>
      <c r="AL829" s="21">
        <f t="shared" ca="1" si="1586"/>
        <v>125.10106181137431</v>
      </c>
      <c r="AM829" s="21">
        <f t="shared" ca="1" si="1586"/>
        <v>102.32970594359671</v>
      </c>
      <c r="AN829" s="21"/>
      <c r="AO829" s="614">
        <f t="shared" ca="1" si="1586"/>
        <v>114.50665214755975</v>
      </c>
      <c r="AQ829" s="21">
        <f t="shared" ref="AQ829:AX829" ca="1" si="1587">AQ825+AQ827</f>
        <v>12.940235957761903</v>
      </c>
      <c r="AR829" s="21">
        <f t="shared" ca="1" si="1587"/>
        <v>19.543803211174534</v>
      </c>
      <c r="AS829" s="21">
        <f t="shared" ca="1" si="1587"/>
        <v>25.755887322353512</v>
      </c>
      <c r="AT829" s="21">
        <f t="shared" ca="1" si="1587"/>
        <v>28.947525882607628</v>
      </c>
      <c r="AU829" s="21">
        <f t="shared" ca="1" si="1587"/>
        <v>22.838970829948366</v>
      </c>
      <c r="AV829" s="21">
        <f t="shared" ca="1" si="1587"/>
        <v>18.844186266564382</v>
      </c>
      <c r="AW829" s="21"/>
      <c r="AX829" s="614">
        <f t="shared" ca="1" si="1587"/>
        <v>20.366658384497697</v>
      </c>
      <c r="AZ829" s="21">
        <f t="shared" ref="AZ829:BE829" ca="1" si="1588">SUM(AZ825:AZ828)</f>
        <v>60.991946428665187</v>
      </c>
      <c r="BA829" s="21">
        <f t="shared" ca="1" si="1588"/>
        <v>73.702352370902958</v>
      </c>
      <c r="BB829" s="21">
        <f t="shared" ca="1" si="1588"/>
        <v>85.232198330031025</v>
      </c>
      <c r="BC829" s="21">
        <f t="shared" ca="1" si="1588"/>
        <v>90.990198976608426</v>
      </c>
      <c r="BD829" s="21">
        <f t="shared" ca="1" si="1588"/>
        <v>79.685664180439048</v>
      </c>
      <c r="BE829" s="21">
        <f t="shared" ca="1" si="1588"/>
        <v>72.316329723628769</v>
      </c>
      <c r="BF829" s="21"/>
      <c r="BG829" s="614">
        <f ca="1">SUM(BG825:BG828)</f>
        <v>77.028299514287866</v>
      </c>
      <c r="BI829" s="21">
        <f t="shared" ref="BI829:BN829" ca="1" si="1589">SUM(BI825:BI828)</f>
        <v>68.499783178817552</v>
      </c>
      <c r="BJ829" s="21">
        <f t="shared" ca="1" si="1589"/>
        <v>84.190267718030924</v>
      </c>
      <c r="BK829" s="21">
        <f t="shared" ca="1" si="1589"/>
        <v>97.732049530598402</v>
      </c>
      <c r="BL829" s="21">
        <f t="shared" ca="1" si="1589"/>
        <v>104.2164631644055</v>
      </c>
      <c r="BM829" s="21">
        <f t="shared" ca="1" si="1589"/>
        <v>90.994976784979031</v>
      </c>
      <c r="BN829" s="21">
        <f t="shared" ca="1" si="1589"/>
        <v>82.415468849638316</v>
      </c>
      <c r="BO829" s="21"/>
      <c r="BP829" s="614">
        <f ca="1">SUM(BP825:BP828)</f>
        <v>87.876686539207981</v>
      </c>
    </row>
    <row r="830" spans="2:68" ht="13.2" customHeight="1">
      <c r="B830" s="308"/>
      <c r="C830" s="297"/>
      <c r="D830" s="297"/>
      <c r="E830" s="297"/>
      <c r="F830" s="297"/>
      <c r="G830" s="280"/>
      <c r="O830" s="136">
        <f>ROW()</f>
        <v>830</v>
      </c>
      <c r="P830" s="21"/>
      <c r="Q830" s="21"/>
      <c r="R830" s="21"/>
      <c r="S830" s="21"/>
      <c r="T830" s="21"/>
      <c r="U830" s="21"/>
      <c r="V830" s="21"/>
      <c r="W830" s="634"/>
      <c r="Y830" s="21"/>
      <c r="Z830" s="21"/>
      <c r="AA830" s="21"/>
      <c r="AB830" s="21"/>
      <c r="AC830" s="21"/>
      <c r="AD830" s="21"/>
      <c r="AE830" s="21"/>
      <c r="AF830" s="634"/>
      <c r="AH830" s="21"/>
      <c r="AI830" s="21"/>
      <c r="AJ830" s="21"/>
      <c r="AK830" s="21"/>
      <c r="AL830" s="21"/>
      <c r="AM830" s="21"/>
      <c r="AN830" s="21"/>
      <c r="AO830" s="634"/>
      <c r="AQ830" s="21"/>
      <c r="AR830" s="21"/>
      <c r="AS830" s="21"/>
      <c r="AT830" s="21"/>
      <c r="AU830" s="21"/>
      <c r="AV830" s="21"/>
      <c r="AW830" s="21"/>
      <c r="AX830" s="634"/>
      <c r="AZ830" s="21"/>
      <c r="BA830" s="21"/>
      <c r="BB830" s="21"/>
      <c r="BC830" s="21"/>
      <c r="BD830" s="21"/>
      <c r="BE830" s="21"/>
      <c r="BF830" s="21"/>
      <c r="BG830" s="634"/>
      <c r="BI830" s="21"/>
      <c r="BJ830" s="21"/>
      <c r="BK830" s="21"/>
      <c r="BL830" s="21"/>
      <c r="BM830" s="21"/>
      <c r="BN830" s="21"/>
      <c r="BO830" s="21"/>
      <c r="BP830" s="634"/>
    </row>
    <row r="831" spans="2:68" ht="13.2" customHeight="1">
      <c r="B831" s="308" t="s">
        <v>1345</v>
      </c>
      <c r="G831" s="4285" t="s">
        <v>2351</v>
      </c>
      <c r="H831" s="3970"/>
      <c r="I831" s="3970"/>
      <c r="J831" s="3970"/>
      <c r="K831" s="3970"/>
      <c r="L831" s="3971"/>
      <c r="O831" s="136">
        <f>ROW()</f>
        <v>831</v>
      </c>
      <c r="P831" s="117">
        <f t="shared" ref="P831:W831" ca="1" si="1590">P829/P781</f>
        <v>1.0001851736271541</v>
      </c>
      <c r="Q831" s="117">
        <f t="shared" ca="1" si="1590"/>
        <v>1.0002885119694349</v>
      </c>
      <c r="R831" s="117">
        <f t="shared" ca="1" si="1590"/>
        <v>1.0003563442417864</v>
      </c>
      <c r="S831" s="117">
        <f t="shared" ca="1" si="1590"/>
        <v>1.0003077003121803</v>
      </c>
      <c r="T831" s="117">
        <f t="shared" ca="1" si="1590"/>
        <v>1.000367719054496</v>
      </c>
      <c r="U831" s="117">
        <f t="shared" ca="1" si="1590"/>
        <v>1.0002913483259124</v>
      </c>
      <c r="V831" s="117"/>
      <c r="W831" s="117">
        <f t="shared" ca="1" si="1590"/>
        <v>1.0002988444148455</v>
      </c>
      <c r="Y831" s="117">
        <f t="shared" ref="Y831:AF831" ca="1" si="1591">Y829/Y781</f>
        <v>1.0001851736271541</v>
      </c>
      <c r="Z831" s="117">
        <f t="shared" ca="1" si="1591"/>
        <v>1.0002885119694351</v>
      </c>
      <c r="AA831" s="117">
        <f t="shared" ca="1" si="1591"/>
        <v>1.0003563442417864</v>
      </c>
      <c r="AB831" s="117">
        <f t="shared" ca="1" si="1591"/>
        <v>1.0003077003121803</v>
      </c>
      <c r="AC831" s="117">
        <f t="shared" ca="1" si="1591"/>
        <v>1.000367719054496</v>
      </c>
      <c r="AD831" s="117">
        <f t="shared" ca="1" si="1591"/>
        <v>1.0002913483259124</v>
      </c>
      <c r="AE831" s="117"/>
      <c r="AF831" s="117">
        <f t="shared" ca="1" si="1591"/>
        <v>1.0003050003757652</v>
      </c>
      <c r="AH831" s="117">
        <f t="shared" ref="AH831:AO831" ca="1" si="1592">AH829/AH781</f>
        <v>0.99999143488654652</v>
      </c>
      <c r="AI831" s="117">
        <f t="shared" ca="1" si="1592"/>
        <v>1.0002921862202558</v>
      </c>
      <c r="AJ831" s="117">
        <f t="shared" ca="1" si="1592"/>
        <v>1.0004173880411855</v>
      </c>
      <c r="AK831" s="117">
        <f t="shared" ca="1" si="1592"/>
        <v>1.0003231353096989</v>
      </c>
      <c r="AL831" s="117">
        <f t="shared" ca="1" si="1592"/>
        <v>1.0004509703716862</v>
      </c>
      <c r="AM831" s="117">
        <f t="shared" ca="1" si="1592"/>
        <v>1.0002994348594652</v>
      </c>
      <c r="AN831" s="117"/>
      <c r="AO831" s="117">
        <f t="shared" ca="1" si="1592"/>
        <v>1.0003096593956806</v>
      </c>
      <c r="AQ831" s="117">
        <f t="shared" ref="AQ831:AX831" ca="1" si="1593">AQ829/AQ781</f>
        <v>1.000002636339504</v>
      </c>
      <c r="AR831" s="117">
        <f t="shared" ca="1" si="1593"/>
        <v>1.0002260071782645</v>
      </c>
      <c r="AS831" s="117">
        <f t="shared" ca="1" si="1593"/>
        <v>1.0003401360425788</v>
      </c>
      <c r="AT831" s="117">
        <f t="shared" ca="1" si="1593"/>
        <v>1.0002824502364194</v>
      </c>
      <c r="AU831" s="117">
        <f t="shared" ca="1" si="1593"/>
        <v>1.0003450411647989</v>
      </c>
      <c r="AV831" s="117">
        <f t="shared" ca="1" si="1593"/>
        <v>1.0002242190890842</v>
      </c>
      <c r="AW831" s="117"/>
      <c r="AX831" s="117">
        <f t="shared" ca="1" si="1593"/>
        <v>1.0002351242461807</v>
      </c>
      <c r="AZ831" s="117">
        <f t="shared" ref="AZ831:BG831" ca="1" si="1594">AZ829/AZ781</f>
        <v>1.0001634663016548</v>
      </c>
      <c r="BA831" s="117">
        <f t="shared" ca="1" si="1594"/>
        <v>1.0002540096672417</v>
      </c>
      <c r="BB831" s="117">
        <f t="shared" ca="1" si="1594"/>
        <v>1.0003178928830769</v>
      </c>
      <c r="BC831" s="117">
        <f t="shared" ca="1" si="1594"/>
        <v>1.0002809215133521</v>
      </c>
      <c r="BD831" s="117">
        <f t="shared" ca="1" si="1594"/>
        <v>1.0003215223510644</v>
      </c>
      <c r="BE831" s="117">
        <f t="shared" ca="1" si="1594"/>
        <v>1.0002544891171545</v>
      </c>
      <c r="BF831" s="117"/>
      <c r="BG831" s="117">
        <f t="shared" ca="1" si="1594"/>
        <v>1.0002671384544517</v>
      </c>
      <c r="BI831" s="117">
        <f t="shared" ref="BI831:BP831" ca="1" si="1595">BI829/BI781</f>
        <v>1.0001805036209839</v>
      </c>
      <c r="BJ831" s="117">
        <f t="shared" ca="1" si="1595"/>
        <v>1.0002812140378652</v>
      </c>
      <c r="BK831" s="117">
        <f t="shared" ca="1" si="1595"/>
        <v>1.0003482418732772</v>
      </c>
      <c r="BL831" s="117">
        <f t="shared" ca="1" si="1595"/>
        <v>1.000302051215693</v>
      </c>
      <c r="BM831" s="117">
        <f t="shared" ca="1" si="1595"/>
        <v>1.0003579442063788</v>
      </c>
      <c r="BN831" s="117">
        <f t="shared" ca="1" si="1595"/>
        <v>1.0002835337268143</v>
      </c>
      <c r="BO831" s="117"/>
      <c r="BP831" s="117">
        <f t="shared" ca="1" si="1595"/>
        <v>1.0002937974205681</v>
      </c>
    </row>
    <row r="832" spans="2:68" ht="13.2" customHeight="1">
      <c r="B832" s="280"/>
      <c r="G832" s="280"/>
      <c r="O832" s="136">
        <f>ROW()</f>
        <v>832</v>
      </c>
      <c r="P832" s="117"/>
      <c r="Q832" s="117"/>
      <c r="R832" s="117"/>
      <c r="S832" s="117"/>
      <c r="T832" s="117"/>
      <c r="U832" s="117"/>
      <c r="V832" s="117"/>
      <c r="W832" s="117"/>
      <c r="Y832" s="117"/>
      <c r="Z832" s="117"/>
      <c r="AA832" s="117"/>
      <c r="AB832" s="117"/>
      <c r="AC832" s="117"/>
      <c r="AD832" s="117"/>
      <c r="AE832" s="117"/>
      <c r="AF832" s="117"/>
      <c r="AH832" s="117"/>
      <c r="AI832" s="117"/>
      <c r="AJ832" s="117"/>
      <c r="AK832" s="117"/>
      <c r="AL832" s="117"/>
      <c r="AM832" s="117"/>
      <c r="AN832" s="117"/>
      <c r="AO832" s="117"/>
      <c r="AQ832" s="117"/>
      <c r="AR832" s="117"/>
      <c r="AS832" s="117"/>
      <c r="AT832" s="117"/>
      <c r="AU832" s="117"/>
      <c r="AV832" s="117"/>
      <c r="AW832" s="117"/>
      <c r="AX832" s="117"/>
      <c r="AZ832" s="117"/>
      <c r="BA832" s="117"/>
      <c r="BB832" s="117"/>
      <c r="BC832" s="117"/>
      <c r="BD832" s="117"/>
      <c r="BE832" s="117"/>
      <c r="BF832" s="117"/>
      <c r="BG832" s="117"/>
      <c r="BI832" s="117"/>
      <c r="BJ832" s="117"/>
      <c r="BK832" s="117"/>
      <c r="BL832" s="117"/>
      <c r="BM832" s="117"/>
      <c r="BN832" s="117"/>
      <c r="BO832" s="117"/>
      <c r="BP832" s="117"/>
    </row>
    <row r="833" spans="2:68" ht="13.2" customHeight="1">
      <c r="B833" s="308" t="s">
        <v>1571</v>
      </c>
      <c r="G833" s="280"/>
      <c r="O833" s="136">
        <f>ROW()</f>
        <v>833</v>
      </c>
      <c r="P833" s="117"/>
      <c r="Q833" s="117"/>
      <c r="R833" s="117"/>
      <c r="S833" s="117"/>
      <c r="T833" s="117"/>
      <c r="U833" s="117"/>
      <c r="V833" s="117"/>
      <c r="W833" s="117"/>
      <c r="Y833" s="117"/>
      <c r="Z833" s="117"/>
      <c r="AA833" s="117"/>
      <c r="AB833" s="117"/>
      <c r="AC833" s="117"/>
      <c r="AD833" s="117"/>
      <c r="AE833" s="117"/>
      <c r="AF833" s="117"/>
      <c r="AH833" s="117"/>
      <c r="AI833" s="117"/>
      <c r="AJ833" s="117"/>
      <c r="AK833" s="117"/>
      <c r="AL833" s="117"/>
      <c r="AM833" s="117"/>
      <c r="AN833" s="117"/>
      <c r="AO833" s="117"/>
      <c r="AQ833" s="117"/>
      <c r="AR833" s="117"/>
      <c r="AS833" s="117"/>
      <c r="AT833" s="117"/>
      <c r="AU833" s="117"/>
      <c r="AV833" s="117"/>
      <c r="AW833" s="117"/>
      <c r="AX833" s="117"/>
      <c r="AZ833" s="117"/>
      <c r="BA833" s="117"/>
      <c r="BB833" s="117"/>
      <c r="BC833" s="117"/>
      <c r="BD833" s="117"/>
      <c r="BE833" s="117"/>
      <c r="BF833" s="117"/>
      <c r="BG833" s="117"/>
      <c r="BI833" s="117"/>
      <c r="BJ833" s="117"/>
      <c r="BK833" s="117"/>
      <c r="BL833" s="117"/>
      <c r="BM833" s="117"/>
      <c r="BN833" s="117"/>
      <c r="BO833" s="117"/>
      <c r="BP833" s="117"/>
    </row>
    <row r="834" spans="2:68" ht="13.2" customHeight="1">
      <c r="B834" s="280" t="s">
        <v>2533</v>
      </c>
      <c r="G834" s="21">
        <f t="shared" ref="G834:L834" ca="1" si="1596">AVERAGE(G$821,G$773,G$725,G$677,G$629,G$581,G$533,G$481,G$403)</f>
        <v>20.156318599214668</v>
      </c>
      <c r="H834" s="21">
        <f t="shared" ca="1" si="1596"/>
        <v>15.825324148855328</v>
      </c>
      <c r="I834" s="21">
        <f t="shared" ca="1" si="1596"/>
        <v>12.341985986905662</v>
      </c>
      <c r="J834" s="21">
        <f t="shared" ca="1" si="1596"/>
        <v>10.850700684101376</v>
      </c>
      <c r="K834" s="21">
        <f t="shared" ca="1" si="1596"/>
        <v>13.491410213776625</v>
      </c>
      <c r="L834" s="21">
        <f t="shared" ca="1" si="1596"/>
        <v>16.078266252241601</v>
      </c>
      <c r="M834" s="21"/>
      <c r="O834" s="136">
        <f>ROW()</f>
        <v>834</v>
      </c>
      <c r="P834" s="21">
        <f t="shared" ref="P834:U835" ca="1" si="1597">G834</f>
        <v>20.156318599214668</v>
      </c>
      <c r="Q834" s="21">
        <f t="shared" ca="1" si="1597"/>
        <v>15.825324148855328</v>
      </c>
      <c r="R834" s="21">
        <f t="shared" ca="1" si="1597"/>
        <v>12.341985986905662</v>
      </c>
      <c r="S834" s="21">
        <f t="shared" ca="1" si="1597"/>
        <v>10.850700684101376</v>
      </c>
      <c r="T834" s="21">
        <f t="shared" ca="1" si="1597"/>
        <v>13.491410213776625</v>
      </c>
      <c r="U834" s="21">
        <f t="shared" ca="1" si="1597"/>
        <v>16.078266252241601</v>
      </c>
      <c r="V834" s="21"/>
      <c r="Y834" s="21">
        <f t="shared" ref="Y834:AD835" ca="1" si="1598">G834</f>
        <v>20.156318599214668</v>
      </c>
      <c r="Z834" s="21">
        <f t="shared" ca="1" si="1598"/>
        <v>15.825324148855328</v>
      </c>
      <c r="AA834" s="21">
        <f t="shared" ca="1" si="1598"/>
        <v>12.341985986905662</v>
      </c>
      <c r="AB834" s="21">
        <f t="shared" ca="1" si="1598"/>
        <v>10.850700684101376</v>
      </c>
      <c r="AC834" s="21">
        <f t="shared" ca="1" si="1598"/>
        <v>13.491410213776625</v>
      </c>
      <c r="AD834" s="21">
        <f t="shared" ca="1" si="1598"/>
        <v>16.078266252241601</v>
      </c>
      <c r="AE834" s="21"/>
      <c r="AH834" s="21">
        <f t="shared" ref="AH834:AM835" ca="1" si="1599">P834</f>
        <v>20.156318599214668</v>
      </c>
      <c r="AI834" s="21">
        <f t="shared" ca="1" si="1599"/>
        <v>15.825324148855328</v>
      </c>
      <c r="AJ834" s="21">
        <f t="shared" ca="1" si="1599"/>
        <v>12.341985986905662</v>
      </c>
      <c r="AK834" s="21">
        <f t="shared" ca="1" si="1599"/>
        <v>10.850700684101376</v>
      </c>
      <c r="AL834" s="21">
        <f t="shared" ca="1" si="1599"/>
        <v>13.491410213776625</v>
      </c>
      <c r="AM834" s="21">
        <f t="shared" ca="1" si="1599"/>
        <v>16.078266252241601</v>
      </c>
      <c r="AN834" s="21"/>
      <c r="AQ834" s="21">
        <f t="shared" ref="AQ834:AV834" ca="1" si="1600">G834*$AU$181</f>
        <v>19.148502669253933</v>
      </c>
      <c r="AR834" s="21">
        <f t="shared" ca="1" si="1600"/>
        <v>15.034057941412561</v>
      </c>
      <c r="AS834" s="21">
        <f t="shared" ca="1" si="1600"/>
        <v>11.724886687560378</v>
      </c>
      <c r="AT834" s="21">
        <f t="shared" ca="1" si="1600"/>
        <v>10.308165649896306</v>
      </c>
      <c r="AU834" s="21">
        <f t="shared" ca="1" si="1600"/>
        <v>12.816839703087792</v>
      </c>
      <c r="AV834" s="21">
        <f t="shared" ca="1" si="1600"/>
        <v>15.274352939629519</v>
      </c>
      <c r="AW834" s="21"/>
      <c r="AZ834" s="21">
        <f t="shared" ref="AZ834:BE835" ca="1" si="1601">G834</f>
        <v>20.156318599214668</v>
      </c>
      <c r="BA834" s="21">
        <f t="shared" ca="1" si="1601"/>
        <v>15.825324148855328</v>
      </c>
      <c r="BB834" s="21">
        <f t="shared" ca="1" si="1601"/>
        <v>12.341985986905662</v>
      </c>
      <c r="BC834" s="21">
        <f t="shared" ca="1" si="1601"/>
        <v>10.850700684101376</v>
      </c>
      <c r="BD834" s="21">
        <f t="shared" ca="1" si="1601"/>
        <v>13.491410213776625</v>
      </c>
      <c r="BE834" s="21">
        <f t="shared" ca="1" si="1601"/>
        <v>16.078266252241601</v>
      </c>
      <c r="BF834" s="21"/>
      <c r="BG834" s="21"/>
      <c r="BI834" s="21">
        <f t="shared" ref="BI834:BN835" ca="1" si="1602">G834</f>
        <v>20.156318599214668</v>
      </c>
      <c r="BJ834" s="21">
        <f t="shared" ca="1" si="1602"/>
        <v>15.825324148855328</v>
      </c>
      <c r="BK834" s="21">
        <f t="shared" ca="1" si="1602"/>
        <v>12.341985986905662</v>
      </c>
      <c r="BL834" s="21">
        <f t="shared" ca="1" si="1602"/>
        <v>10.850700684101376</v>
      </c>
      <c r="BM834" s="21">
        <f t="shared" ca="1" si="1602"/>
        <v>13.491410213776625</v>
      </c>
      <c r="BN834" s="21">
        <f t="shared" ca="1" si="1602"/>
        <v>16.078266252241601</v>
      </c>
      <c r="BO834" s="21"/>
      <c r="BP834" s="21"/>
    </row>
    <row r="835" spans="2:68" ht="13.2" customHeight="1">
      <c r="B835" s="280" t="s">
        <v>2534</v>
      </c>
      <c r="G835" s="21">
        <f t="shared" ref="G835:L835" ca="1" si="1603">AVERAGE(G$822,G$774,G$726,G$678,G$630,G$582,G$534,G$482,G$427)</f>
        <v>54.489795115914816</v>
      </c>
      <c r="H835" s="21">
        <f t="shared" ca="1" si="1603"/>
        <v>31.450534827322528</v>
      </c>
      <c r="I835" s="21">
        <f t="shared" ca="1" si="1603"/>
        <v>23.425279992414449</v>
      </c>
      <c r="J835" s="21">
        <f t="shared" ca="1" si="1603"/>
        <v>21.004330798148878</v>
      </c>
      <c r="K835" s="21">
        <f t="shared" ca="1" si="1603"/>
        <v>26.999859578401285</v>
      </c>
      <c r="L835" s="21">
        <f t="shared" ca="1" si="1603"/>
        <v>33.096917787113185</v>
      </c>
      <c r="M835" s="21"/>
      <c r="O835" s="136">
        <f>ROW()</f>
        <v>835</v>
      </c>
      <c r="P835" s="21">
        <f t="shared" ca="1" si="1597"/>
        <v>54.489795115914816</v>
      </c>
      <c r="Q835" s="21">
        <f t="shared" ca="1" si="1597"/>
        <v>31.450534827322528</v>
      </c>
      <c r="R835" s="21">
        <f t="shared" ca="1" si="1597"/>
        <v>23.425279992414449</v>
      </c>
      <c r="S835" s="21">
        <f t="shared" ca="1" si="1597"/>
        <v>21.004330798148878</v>
      </c>
      <c r="T835" s="21">
        <f t="shared" ca="1" si="1597"/>
        <v>26.999859578401285</v>
      </c>
      <c r="U835" s="21">
        <f t="shared" ca="1" si="1597"/>
        <v>33.096917787113185</v>
      </c>
      <c r="V835" s="21"/>
      <c r="Y835" s="21">
        <f t="shared" ca="1" si="1598"/>
        <v>54.489795115914816</v>
      </c>
      <c r="Z835" s="21">
        <f t="shared" ca="1" si="1598"/>
        <v>31.450534827322528</v>
      </c>
      <c r="AA835" s="21">
        <f t="shared" ca="1" si="1598"/>
        <v>23.425279992414449</v>
      </c>
      <c r="AB835" s="21">
        <f t="shared" ca="1" si="1598"/>
        <v>21.004330798148878</v>
      </c>
      <c r="AC835" s="21">
        <f t="shared" ca="1" si="1598"/>
        <v>26.999859578401285</v>
      </c>
      <c r="AD835" s="21">
        <f t="shared" ca="1" si="1598"/>
        <v>33.096917787113185</v>
      </c>
      <c r="AE835" s="21"/>
      <c r="AH835" s="21">
        <f t="shared" ca="1" si="1599"/>
        <v>54.489795115914816</v>
      </c>
      <c r="AI835" s="21">
        <f t="shared" ca="1" si="1599"/>
        <v>31.450534827322528</v>
      </c>
      <c r="AJ835" s="21">
        <f t="shared" ca="1" si="1599"/>
        <v>23.425279992414449</v>
      </c>
      <c r="AK835" s="21">
        <f t="shared" ca="1" si="1599"/>
        <v>21.004330798148878</v>
      </c>
      <c r="AL835" s="21">
        <f t="shared" ca="1" si="1599"/>
        <v>26.999859578401285</v>
      </c>
      <c r="AM835" s="21">
        <f t="shared" ca="1" si="1599"/>
        <v>33.096917787113185</v>
      </c>
      <c r="AN835" s="21"/>
      <c r="AQ835" s="21">
        <f t="shared" ref="AQ835:AV835" ca="1" si="1604">G835*$AV$181</f>
        <v>53.944897164755666</v>
      </c>
      <c r="AR835" s="21">
        <f t="shared" ca="1" si="1604"/>
        <v>31.136029479049302</v>
      </c>
      <c r="AS835" s="21">
        <f t="shared" ca="1" si="1604"/>
        <v>23.191027192490303</v>
      </c>
      <c r="AT835" s="21">
        <f t="shared" ca="1" si="1604"/>
        <v>20.794287490167388</v>
      </c>
      <c r="AU835" s="21">
        <f t="shared" ca="1" si="1604"/>
        <v>26.729860982617272</v>
      </c>
      <c r="AV835" s="21">
        <f t="shared" ca="1" si="1604"/>
        <v>32.765948609242052</v>
      </c>
      <c r="AW835" s="21"/>
      <c r="AZ835" s="21">
        <f t="shared" ca="1" si="1601"/>
        <v>54.489795115914816</v>
      </c>
      <c r="BA835" s="21">
        <f t="shared" ca="1" si="1601"/>
        <v>31.450534827322528</v>
      </c>
      <c r="BB835" s="21">
        <f t="shared" ca="1" si="1601"/>
        <v>23.425279992414449</v>
      </c>
      <c r="BC835" s="21">
        <f t="shared" ca="1" si="1601"/>
        <v>21.004330798148878</v>
      </c>
      <c r="BD835" s="21">
        <f t="shared" ca="1" si="1601"/>
        <v>26.999859578401285</v>
      </c>
      <c r="BE835" s="21">
        <f t="shared" ca="1" si="1601"/>
        <v>33.096917787113185</v>
      </c>
      <c r="BF835" s="21"/>
      <c r="BG835" s="21"/>
      <c r="BI835" s="21">
        <f t="shared" ca="1" si="1602"/>
        <v>54.489795115914816</v>
      </c>
      <c r="BJ835" s="21">
        <f t="shared" ca="1" si="1602"/>
        <v>31.450534827322528</v>
      </c>
      <c r="BK835" s="21">
        <f t="shared" ca="1" si="1602"/>
        <v>23.425279992414449</v>
      </c>
      <c r="BL835" s="21">
        <f t="shared" ca="1" si="1602"/>
        <v>21.004330798148878</v>
      </c>
      <c r="BM835" s="21">
        <f t="shared" ca="1" si="1602"/>
        <v>26.999859578401285</v>
      </c>
      <c r="BN835" s="21">
        <f t="shared" ca="1" si="1602"/>
        <v>33.096917787113185</v>
      </c>
      <c r="BO835" s="21"/>
      <c r="BP835" s="21"/>
    </row>
    <row r="836" spans="2:68" ht="13.2" customHeight="1">
      <c r="B836" s="280"/>
      <c r="G836" s="280"/>
      <c r="O836" s="136">
        <f>ROW()</f>
        <v>836</v>
      </c>
      <c r="P836" s="117"/>
      <c r="Q836" s="117"/>
      <c r="R836" s="117"/>
      <c r="S836" s="117"/>
      <c r="T836" s="117"/>
      <c r="U836" s="117"/>
      <c r="V836" s="117"/>
      <c r="W836" s="117"/>
      <c r="Y836" s="117"/>
      <c r="Z836" s="117"/>
      <c r="AA836" s="117"/>
      <c r="AB836" s="117"/>
      <c r="AC836" s="117"/>
      <c r="AD836" s="117"/>
      <c r="AE836" s="117"/>
      <c r="AF836" s="117"/>
      <c r="AH836" s="117"/>
      <c r="AI836" s="117"/>
      <c r="AJ836" s="117"/>
      <c r="AK836" s="117"/>
      <c r="AL836" s="117"/>
      <c r="AM836" s="117"/>
      <c r="AN836" s="117"/>
      <c r="AO836" s="117"/>
      <c r="AQ836" s="117"/>
      <c r="AR836" s="117"/>
      <c r="AS836" s="117"/>
      <c r="AT836" s="117"/>
      <c r="AU836" s="117"/>
      <c r="AV836" s="117"/>
      <c r="AW836" s="117"/>
      <c r="AX836" s="117"/>
      <c r="AZ836" s="117"/>
      <c r="BA836" s="117"/>
      <c r="BB836" s="117"/>
      <c r="BC836" s="117"/>
      <c r="BD836" s="117"/>
      <c r="BE836" s="117"/>
      <c r="BF836" s="117"/>
      <c r="BG836" s="117"/>
      <c r="BI836" s="117"/>
      <c r="BJ836" s="117"/>
      <c r="BK836" s="117"/>
      <c r="BL836" s="117"/>
      <c r="BM836" s="117"/>
      <c r="BN836" s="117"/>
      <c r="BO836" s="117"/>
      <c r="BP836" s="117"/>
    </row>
    <row r="837" spans="2:68" ht="13.2" customHeight="1">
      <c r="B837" s="6" t="s">
        <v>1643</v>
      </c>
      <c r="G837" s="948" t="s">
        <v>1472</v>
      </c>
      <c r="H837" s="948" t="s">
        <v>985</v>
      </c>
      <c r="I837" s="948" t="s">
        <v>987</v>
      </c>
      <c r="J837" s="948" t="s">
        <v>1367</v>
      </c>
      <c r="K837" s="948" t="s">
        <v>988</v>
      </c>
      <c r="L837" s="948" t="s">
        <v>986</v>
      </c>
      <c r="M837" s="948" t="s">
        <v>1638</v>
      </c>
      <c r="N837" s="948" t="s">
        <v>2684</v>
      </c>
      <c r="O837" s="136">
        <f>ROW()</f>
        <v>837</v>
      </c>
      <c r="P837" s="117">
        <f ca="1">P831^Elasticities!$G$52</f>
        <v>0.99981486065576985</v>
      </c>
      <c r="Q837" s="117">
        <f ca="1">Q831^Elasticities!$G$52</f>
        <v>0.99971157124571308</v>
      </c>
      <c r="R837" s="117">
        <f ca="1">R831^Elasticities!$G$52</f>
        <v>0.99964378269419929</v>
      </c>
      <c r="S837" s="117">
        <f ca="1">S831^Elasticities!$G$52</f>
        <v>0.99969239433817791</v>
      </c>
      <c r="T837" s="117">
        <f ca="1">T831^Elasticities!$G$52</f>
        <v>0.99963241611310338</v>
      </c>
      <c r="U837" s="117">
        <f ca="1">U831^Elasticities!$G$52</f>
        <v>0.99970873653321102</v>
      </c>
      <c r="V837" s="117"/>
      <c r="Y837" s="117">
        <f ca="1">Y831^Elasticities!$H$52</f>
        <v>0.99981486065576985</v>
      </c>
      <c r="Z837" s="117">
        <f ca="1">Z831^Elasticities!$H$52</f>
        <v>0.99971157124571286</v>
      </c>
      <c r="AA837" s="117">
        <f ca="1">AA831^Elasticities!$H$52</f>
        <v>0.99964378269419929</v>
      </c>
      <c r="AB837" s="117">
        <f ca="1">AB831^Elasticities!$H$52</f>
        <v>0.99969239433817791</v>
      </c>
      <c r="AC837" s="117">
        <f ca="1">AC831^Elasticities!$H$52</f>
        <v>0.99963241611310338</v>
      </c>
      <c r="AD837" s="117">
        <f ca="1">AD831^Elasticities!$H$52</f>
        <v>0.99970873653321102</v>
      </c>
      <c r="AE837" s="117"/>
      <c r="AH837" s="638">
        <f ca="1">AH831^Elasticities!$J$52</f>
        <v>1.0000085651868154</v>
      </c>
      <c r="AI837" s="117">
        <f ca="1">AI831^Elasticities!$J$52</f>
        <v>0.99970789912759395</v>
      </c>
      <c r="AJ837" s="117">
        <f ca="1">AJ831^Elasticities!$J$52</f>
        <v>0.99958278609890738</v>
      </c>
      <c r="AK837" s="117">
        <f ca="1">AK831^Elasticities!$J$52</f>
        <v>0.99967696907299974</v>
      </c>
      <c r="AL837" s="117">
        <f ca="1">AL831^Elasticities!$J$52</f>
        <v>0.99954923291091557</v>
      </c>
      <c r="AM837" s="117">
        <f ca="1">AM831^Elasticities!$J$52</f>
        <v>0.9997006547749302</v>
      </c>
      <c r="AN837" s="117"/>
      <c r="AQ837" s="117">
        <f ca="1">AQ831^Elasticities!$G$54</f>
        <v>0.99999789093340108</v>
      </c>
      <c r="AR837" s="117">
        <f ca="1">AR831^Elasticities!$G$54</f>
        <v>0.99981923102668846</v>
      </c>
      <c r="AS837" s="117">
        <f ca="1">AS831^Elasticities!$G$54</f>
        <v>0.99972797443812123</v>
      </c>
      <c r="AT837" s="117">
        <f ca="1">AT831^Elasticities!$G$54</f>
        <v>0.9997740972359842</v>
      </c>
      <c r="AU837" s="117">
        <f ca="1">AU831^Elasticities!$G$54</f>
        <v>0.9997240527590171</v>
      </c>
      <c r="AV837" s="117">
        <f ca="1">AV831^Elasticities!$G$54</f>
        <v>0.99982066091858313</v>
      </c>
      <c r="AW837" s="117"/>
      <c r="AZ837" s="117">
        <f ca="1">AZ831^(Elasticities!$J$64*Elasticities!$G$52)</f>
        <v>0.9999455171700784</v>
      </c>
      <c r="BA837" s="117">
        <f ca="1">BA831^(Elasticities!$J$64*Elasticities!$G$52)</f>
        <v>0.99991534444606756</v>
      </c>
      <c r="BB837" s="117">
        <f ca="1">BB831^(Elasticities!$J$64*Elasticities!$G$52)</f>
        <v>0.99989405815695331</v>
      </c>
      <c r="BC837" s="117">
        <f ca="1">BC831^(Elasticities!$J$64*Elasticities!$G$52)</f>
        <v>0.99990637702880658</v>
      </c>
      <c r="BD837" s="117">
        <f ca="1">BD831^(Elasticities!$J$64*Elasticities!$G$52)</f>
        <v>0.99989284884981799</v>
      </c>
      <c r="BE837" s="117">
        <f ca="1">BE831^(Elasticities!$J$64*Elasticities!$G$52)</f>
        <v>0.99991518468359164</v>
      </c>
      <c r="BF837" s="117"/>
      <c r="BI837" s="117">
        <f ca="1">BI831^Elasticities!$G$50</f>
        <v>0.99990976040575452</v>
      </c>
      <c r="BJ837" s="117">
        <f ca="1">BJ831^Elasticities!$G$50</f>
        <v>0.99985942262962024</v>
      </c>
      <c r="BK837" s="117">
        <f ca="1">BK831^Elasticities!$G$50</f>
        <v>0.99982592452731889</v>
      </c>
      <c r="BL837" s="117">
        <f ca="1">BL831^Elasticities!$G$50</f>
        <v>0.99984900859664527</v>
      </c>
      <c r="BM837" s="117">
        <f ca="1">BM831^Elasticities!$G$50</f>
        <v>0.99982107592900393</v>
      </c>
      <c r="BN837" s="117">
        <f ca="1">BN831^Elasticities!$G$50</f>
        <v>0.99985826327623695</v>
      </c>
      <c r="BO837" s="117"/>
    </row>
    <row r="838" spans="2:68" ht="13.2" customHeight="1">
      <c r="B838" s="6"/>
      <c r="G838" s="298" t="s">
        <v>1918</v>
      </c>
      <c r="H838" s="298" t="s">
        <v>1838</v>
      </c>
      <c r="I838" s="298" t="s">
        <v>1839</v>
      </c>
      <c r="J838" s="298" t="s">
        <v>1840</v>
      </c>
      <c r="K838" s="298" t="s">
        <v>1841</v>
      </c>
      <c r="L838" s="298" t="s">
        <v>1917</v>
      </c>
      <c r="M838" s="298"/>
      <c r="N838" s="298"/>
      <c r="O838" s="136">
        <f>ROW()</f>
        <v>838</v>
      </c>
      <c r="P838" s="309" t="s">
        <v>3311</v>
      </c>
      <c r="Y838" s="309" t="s">
        <v>3312</v>
      </c>
      <c r="AH838" s="309" t="s">
        <v>3313</v>
      </c>
      <c r="AQ838" s="215" t="s">
        <v>3304</v>
      </c>
      <c r="AZ838" s="309" t="s">
        <v>3309</v>
      </c>
      <c r="BI838" s="309" t="s">
        <v>3310</v>
      </c>
    </row>
    <row r="839" spans="2:68" ht="13.2" customHeight="1">
      <c r="B839" s="6" t="s">
        <v>1921</v>
      </c>
      <c r="O839" s="136">
        <f>ROW()</f>
        <v>839</v>
      </c>
      <c r="P839" s="117">
        <f ca="1">(P786/P834)^Elasticities!$G$52</f>
        <v>1.0000119510520542</v>
      </c>
      <c r="Q839" s="117">
        <f ca="1">(Q786/Q834)^Elasticities!$G$52</f>
        <v>0.99994127688299961</v>
      </c>
      <c r="R839" s="117">
        <f ca="1">(R786/R834)^Elasticities!$G$52</f>
        <v>0.99999446850065021</v>
      </c>
      <c r="S839" s="117">
        <f ca="1">(S786/S834)^Elasticities!$G$52</f>
        <v>1.0000545629395829</v>
      </c>
      <c r="T839" s="117">
        <f ca="1">(T786/T834)^Elasticities!$G$52</f>
        <v>0.99983403781755598</v>
      </c>
      <c r="U839" s="117">
        <f ca="1">(U786/U834)^Elasticities!$G$52</f>
        <v>0.9999127557170715</v>
      </c>
      <c r="V839" s="117"/>
      <c r="Y839" s="117">
        <f ca="1">(Y786/Y834)^Elasticities!$H$52</f>
        <v>1.0000119510520542</v>
      </c>
      <c r="Z839" s="117">
        <f ca="1">(Z786/Z834)^Elasticities!$H$52</f>
        <v>0.99994127688299961</v>
      </c>
      <c r="AA839" s="117">
        <f ca="1">(AA786/AA834)^Elasticities!$H$52</f>
        <v>0.99999446850065021</v>
      </c>
      <c r="AB839" s="117">
        <f ca="1">(AB786/AB834)^Elasticities!$H$52</f>
        <v>1.0000545629395829</v>
      </c>
      <c r="AC839" s="117">
        <f ca="1">(AC786/AC834)^Elasticities!$H$52</f>
        <v>0.99983403781755598</v>
      </c>
      <c r="AD839" s="117">
        <f ca="1">(AD786/AD834)^Elasticities!$H$52</f>
        <v>0.9999127557170715</v>
      </c>
      <c r="AE839" s="117"/>
      <c r="AH839" s="117">
        <f ca="1">(AH786/AH834)^Elasticities!$J$52</f>
        <v>1.0000119510520542</v>
      </c>
      <c r="AI839" s="117">
        <f ca="1">(AI786/AI834)^Elasticities!$J$52</f>
        <v>0.99994127688299961</v>
      </c>
      <c r="AJ839" s="117">
        <f ca="1">(AJ786/AJ834)^Elasticities!$J$52</f>
        <v>0.99999446850065021</v>
      </c>
      <c r="AK839" s="117">
        <f ca="1">(AK786/AK834)^Elasticities!$J$52</f>
        <v>1.0000545629395829</v>
      </c>
      <c r="AL839" s="117">
        <f ca="1">(AL786/AL834)^Elasticities!$J$52</f>
        <v>0.99983403781755598</v>
      </c>
      <c r="AM839" s="117">
        <f ca="1">(AM786/AM834)^Elasticities!$J$52</f>
        <v>0.9999127557170715</v>
      </c>
      <c r="AN839" s="117"/>
      <c r="AQ839" s="117">
        <f ca="1">(AQ786/AQ834)^Elasticities!$G$54</f>
        <v>1.0000095608302171</v>
      </c>
      <c r="AR839" s="117">
        <f ca="1">(AR786/AR834)^Elasticities!$G$54</f>
        <v>0.99995302123052099</v>
      </c>
      <c r="AS839" s="117">
        <f ca="1">(AS786/AS834)^Elasticities!$G$54</f>
        <v>0.99999557479807211</v>
      </c>
      <c r="AT839" s="117">
        <f ca="1">(AT786/AT834)^Elasticities!$G$54</f>
        <v>1.0000436501135024</v>
      </c>
      <c r="AU839" s="117">
        <f ca="1">(AU786/AU834)^Elasticities!$G$54</f>
        <v>0.9998672280504225</v>
      </c>
      <c r="AV839" s="117">
        <f ca="1">(AV786/AV834)^Elasticities!$G$54</f>
        <v>0.99993020396471077</v>
      </c>
      <c r="AW839" s="117"/>
      <c r="AZ839" s="117">
        <f ca="1">(AZ786/AZ834)^(Elasticities!$J$64*Elasticities!$G$52)</f>
        <v>1.0000039836681485</v>
      </c>
      <c r="BA839" s="117">
        <f ca="1">(BA786/BA834)^(Elasticities!$J$64*Elasticities!$G$52)</f>
        <v>0.99998042524449793</v>
      </c>
      <c r="BB839" s="117">
        <f ca="1">(BB786/BB834)^(Elasticities!$J$64*Elasticities!$G$52)</f>
        <v>0.99999815616348364</v>
      </c>
      <c r="BC839" s="117">
        <f ca="1">(BC786/BC834)^(Elasticities!$J$64*Elasticities!$G$52)</f>
        <v>1.0000181873157472</v>
      </c>
      <c r="BD839" s="117">
        <f ca="1">(BD786/BD834)^(Elasticities!$J$64*Elasticities!$G$52)</f>
        <v>0.99994467621185357</v>
      </c>
      <c r="BE839" s="117">
        <f ca="1">(BE786/BE834)^(Elasticities!$J$64*Elasticities!$G$52)</f>
        <v>0.99997091772658675</v>
      </c>
      <c r="BF839" s="117"/>
      <c r="BI839" s="117">
        <f ca="1">(BI786/BI834)^Elasticities!$G$50</f>
        <v>1.0000059755081738</v>
      </c>
      <c r="BJ839" s="117">
        <f ca="1">(BJ786/BJ834)^Elasticities!$G$50</f>
        <v>0.99997063801043662</v>
      </c>
      <c r="BK839" s="117">
        <f ca="1">(BK786/BK834)^Elasticities!$G$50</f>
        <v>0.99999723424650044</v>
      </c>
      <c r="BL839" s="117">
        <f ca="1">(BL786/BL834)^Elasticities!$G$50</f>
        <v>1.0000272810976623</v>
      </c>
      <c r="BM839" s="117">
        <f ca="1">(BM786/BM834)^Elasticities!$G$50</f>
        <v>0.99991701546556144</v>
      </c>
      <c r="BN839" s="117">
        <f ca="1">(BN786/BN834)^Elasticities!$G$50</f>
        <v>0.99995637690704853</v>
      </c>
      <c r="BO839" s="117"/>
    </row>
    <row r="840" spans="2:68" ht="13.2" customHeight="1">
      <c r="O840" s="136">
        <f>ROW()</f>
        <v>840</v>
      </c>
      <c r="P840" s="309" t="s">
        <v>529</v>
      </c>
      <c r="Y840" s="309" t="s">
        <v>530</v>
      </c>
      <c r="AH840" s="309" t="s">
        <v>2922</v>
      </c>
      <c r="AQ840" s="215" t="s">
        <v>3299</v>
      </c>
      <c r="AZ840" s="309" t="s">
        <v>2398</v>
      </c>
      <c r="BI840" s="309" t="s">
        <v>2878</v>
      </c>
    </row>
    <row r="841" spans="2:68" ht="13.2" customHeight="1">
      <c r="B841" s="6" t="s">
        <v>2164</v>
      </c>
      <c r="G841" s="633">
        <f t="shared" ref="G841:L841" ca="1" si="1605">($I$76*$I$79*P841+$J$76*$J$79*Y841+$K$76*$K$79*AH841+$L$76*$L$79*AQ841+$M$76*$M$79*AZ841+$N$76*$N$79*BI841)/SUMPRODUCT($I$76:$N$76,$I$79:$N$79)</f>
        <v>1.0000081536569498</v>
      </c>
      <c r="H841" s="633">
        <f t="shared" ca="1" si="1605"/>
        <v>0.99975953794453831</v>
      </c>
      <c r="I841" s="633">
        <f t="shared" ca="1" si="1605"/>
        <v>0.99965357485315531</v>
      </c>
      <c r="J841" s="633">
        <f t="shared" ca="1" si="1605"/>
        <v>0.99973510164185675</v>
      </c>
      <c r="K841" s="633">
        <f t="shared" ca="1" si="1605"/>
        <v>0.99962287051614807</v>
      </c>
      <c r="L841" s="633">
        <f t="shared" ca="1" si="1605"/>
        <v>0.99975295889253368</v>
      </c>
      <c r="M841" s="633"/>
      <c r="O841" s="136">
        <f>ROW()</f>
        <v>841</v>
      </c>
      <c r="P841" s="117">
        <f ca="1">(P787/P835)^Elasticities!$G$52</f>
        <v>0.99998969745740085</v>
      </c>
      <c r="Q841" s="117">
        <f ca="1">(Q787/Q835)^Elasticities!$G$52</f>
        <v>1.0000431891809476</v>
      </c>
      <c r="R841" s="117">
        <f ca="1">(R787/R835)^Elasticities!$G$52</f>
        <v>1.0000197418398904</v>
      </c>
      <c r="S841" s="117">
        <f ca="1">(S787/S835)^Elasticities!$G$52</f>
        <v>1.0000079328799432</v>
      </c>
      <c r="T841" s="117">
        <f ca="1">(T787/T835)^Elasticities!$G$52</f>
        <v>1.0000394082726392</v>
      </c>
      <c r="U841" s="117">
        <f ca="1">(U787/U835)^Elasticities!$G$52</f>
        <v>1.0000526318767542</v>
      </c>
      <c r="V841" s="117"/>
      <c r="Y841" s="117">
        <f ca="1">(Y774/Y822)^Elasticities!$H$52</f>
        <v>1.0000126708761166</v>
      </c>
      <c r="Z841" s="117">
        <f ca="1">(Z774/Z822)^Elasticities!$H$52</f>
        <v>0.99968675595434942</v>
      </c>
      <c r="AA841" s="117">
        <f ca="1">(AA774/AA822)^Elasticities!$H$52</f>
        <v>0.99955857033010109</v>
      </c>
      <c r="AB841" s="117">
        <f ca="1">(AB774/AB822)^Elasticities!$H$52</f>
        <v>0.9996641159822528</v>
      </c>
      <c r="AC841" s="117">
        <f ca="1">(AC774/AC822)^Elasticities!$H$52</f>
        <v>0.99951529128936323</v>
      </c>
      <c r="AD841" s="117">
        <f ca="1">(AD774/AD822)^Elasticities!$H$52</f>
        <v>0.99967627010706561</v>
      </c>
      <c r="AE841" s="117"/>
      <c r="AH841" s="117">
        <f ca="1">(AH774/AH822)^Elasticities!$J$52</f>
        <v>1.0000126708761166</v>
      </c>
      <c r="AI841" s="117">
        <f ca="1">(AI774/AI822)^Elasticities!$J$52</f>
        <v>0.99968675595434942</v>
      </c>
      <c r="AJ841" s="117">
        <f ca="1">(AJ774/AJ822)^Elasticities!$J$52</f>
        <v>0.99955857033010109</v>
      </c>
      <c r="AK841" s="117">
        <f ca="1">(AK774/AK822)^Elasticities!$J$52</f>
        <v>0.9996641159822528</v>
      </c>
      <c r="AL841" s="117">
        <f ca="1">(AL774/AL822)^Elasticities!$J$52</f>
        <v>0.99951529128936323</v>
      </c>
      <c r="AM841" s="117">
        <f ca="1">(AM774/AM822)^Elasticities!$J$52</f>
        <v>0.99967627010706561</v>
      </c>
      <c r="AN841" s="117"/>
      <c r="AQ841" s="117">
        <f ca="1">(AQ787/AQ835)^Elasticities!$G$54</f>
        <v>0.99999175795742923</v>
      </c>
      <c r="AR841" s="117">
        <f ca="1">(AR787/AR835)^Elasticities!$G$54</f>
        <v>1.000034551195536</v>
      </c>
      <c r="AS841" s="117">
        <f ca="1">(AS787/AS835)^Elasticities!$G$54</f>
        <v>1.0000157934407334</v>
      </c>
      <c r="AT841" s="117">
        <f ca="1">(AT787/AT835)^Elasticities!$G$54</f>
        <v>1.0000063462989202</v>
      </c>
      <c r="AU841" s="117">
        <f ca="1">(AU787/AU835)^Elasticities!$G$54</f>
        <v>1.0000315264938724</v>
      </c>
      <c r="AV841" s="117">
        <f ca="1">(AV787/AV835)^Elasticities!$G$54</f>
        <v>1.000042105279799</v>
      </c>
      <c r="AW841" s="117"/>
      <c r="AZ841" s="117">
        <f ca="1">(AZ774/AZ822)^(Elasticities!$J$64*Elasticities!$G$52)</f>
        <v>1.0000042236075333</v>
      </c>
      <c r="BA841" s="117">
        <f ca="1">(BA774/BA822)^(Elasticities!$J$64*Elasticities!$G$52)</f>
        <v>0.99989557441379306</v>
      </c>
      <c r="BB841" s="117">
        <f ca="1">(BB774/BB822)^(Elasticities!$J$64*Elasticities!$G$52)</f>
        <v>0.99985283512026102</v>
      </c>
      <c r="BC841" s="117">
        <f ca="1">(BC774/BC822)^(Elasticities!$J$64*Elasticities!$G$52)</f>
        <v>0.99988802612306982</v>
      </c>
      <c r="BD841" s="117">
        <f ca="1">(BD774/BD822)^(Elasticities!$J$64*Elasticities!$G$52)</f>
        <v>0.99983840431802995</v>
      </c>
      <c r="BE841" s="117">
        <f ca="1">(BE774/BE822)^(Elasticities!$J$64*Elasticities!$G$52)</f>
        <v>0.99989207838903349</v>
      </c>
      <c r="BF841" s="117"/>
      <c r="BI841" s="117">
        <f ca="1">(BI774/BI822)^Elasticities!$G$50</f>
        <v>1.0000063354179896</v>
      </c>
      <c r="BJ841" s="117">
        <f ca="1">(BJ774/BJ822)^Elasticities!$G$50</f>
        <v>0.99984336571002419</v>
      </c>
      <c r="BK841" s="117">
        <f ca="1">(BK774/BK822)^Elasticities!$G$50</f>
        <v>0.99977926080215396</v>
      </c>
      <c r="BL841" s="117">
        <f ca="1">(BL774/BL822)^Elasticities!$G$50</f>
        <v>0.99983204388649838</v>
      </c>
      <c r="BM841" s="117">
        <f ca="1">(BM774/BM822)^Elasticities!$G$50</f>
        <v>0.99975761626974535</v>
      </c>
      <c r="BN841" s="117">
        <f ca="1">(BN774/BN822)^Elasticities!$G$50</f>
        <v>0.99983812195128141</v>
      </c>
      <c r="BO841" s="117"/>
    </row>
    <row r="842" spans="2:68" ht="13.2" customHeight="1" collapsed="1">
      <c r="O842" s="136">
        <f>ROW()</f>
        <v>842</v>
      </c>
      <c r="P842" s="309" t="s">
        <v>2879</v>
      </c>
      <c r="Y842" s="309" t="s">
        <v>2842</v>
      </c>
      <c r="AH842" s="309" t="s">
        <v>2808</v>
      </c>
      <c r="AQ842" s="215" t="s">
        <v>3300</v>
      </c>
      <c r="AZ842" s="309" t="s">
        <v>2903</v>
      </c>
      <c r="BI842" s="309" t="s">
        <v>91</v>
      </c>
    </row>
    <row r="843" spans="2:68" ht="13.2" customHeight="1">
      <c r="B843" s="24" t="s">
        <v>323</v>
      </c>
      <c r="I843" s="54"/>
      <c r="O843" s="136">
        <f>ROW()</f>
        <v>843</v>
      </c>
      <c r="P843" s="880" t="s">
        <v>1472</v>
      </c>
      <c r="Q843" s="880" t="s">
        <v>985</v>
      </c>
      <c r="R843" s="880" t="s">
        <v>987</v>
      </c>
      <c r="S843" s="880" t="s">
        <v>1367</v>
      </c>
      <c r="T843" s="880" t="s">
        <v>988</v>
      </c>
      <c r="U843" s="880" t="s">
        <v>986</v>
      </c>
      <c r="V843" s="880" t="s">
        <v>1638</v>
      </c>
      <c r="W843" s="880" t="s">
        <v>2684</v>
      </c>
      <c r="Y843" s="880" t="s">
        <v>1472</v>
      </c>
      <c r="Z843" s="880" t="s">
        <v>985</v>
      </c>
      <c r="AA843" s="880" t="s">
        <v>987</v>
      </c>
      <c r="AB843" s="880" t="s">
        <v>1367</v>
      </c>
      <c r="AC843" s="880" t="s">
        <v>988</v>
      </c>
      <c r="AD843" s="880" t="s">
        <v>986</v>
      </c>
      <c r="AE843" s="880" t="s">
        <v>1638</v>
      </c>
      <c r="AF843" s="880" t="s">
        <v>2684</v>
      </c>
      <c r="AH843" s="880" t="s">
        <v>1472</v>
      </c>
      <c r="AI843" s="880" t="s">
        <v>985</v>
      </c>
      <c r="AJ843" s="880" t="s">
        <v>987</v>
      </c>
      <c r="AK843" s="880" t="s">
        <v>1367</v>
      </c>
      <c r="AL843" s="880" t="s">
        <v>988</v>
      </c>
      <c r="AM843" s="880" t="s">
        <v>986</v>
      </c>
      <c r="AN843" s="880" t="s">
        <v>1638</v>
      </c>
      <c r="AO843" s="880" t="s">
        <v>2684</v>
      </c>
      <c r="AQ843" s="880" t="s">
        <v>1472</v>
      </c>
      <c r="AR843" s="880" t="s">
        <v>985</v>
      </c>
      <c r="AS843" s="880" t="s">
        <v>987</v>
      </c>
      <c r="AT843" s="880" t="s">
        <v>1367</v>
      </c>
      <c r="AU843" s="880" t="s">
        <v>988</v>
      </c>
      <c r="AV843" s="880" t="s">
        <v>986</v>
      </c>
      <c r="AW843" s="880" t="s">
        <v>1638</v>
      </c>
      <c r="AX843" s="880" t="s">
        <v>2684</v>
      </c>
      <c r="AZ843" s="880" t="s">
        <v>1472</v>
      </c>
      <c r="BA843" s="880" t="s">
        <v>985</v>
      </c>
      <c r="BB843" s="880" t="s">
        <v>987</v>
      </c>
      <c r="BC843" s="880" t="s">
        <v>1367</v>
      </c>
      <c r="BD843" s="880" t="s">
        <v>988</v>
      </c>
      <c r="BE843" s="880" t="s">
        <v>986</v>
      </c>
      <c r="BF843" s="880" t="s">
        <v>1638</v>
      </c>
      <c r="BG843" s="880" t="s">
        <v>2684</v>
      </c>
      <c r="BI843" s="880" t="s">
        <v>1472</v>
      </c>
      <c r="BJ843" s="880" t="s">
        <v>985</v>
      </c>
      <c r="BK843" s="880" t="s">
        <v>987</v>
      </c>
      <c r="BL843" s="880" t="s">
        <v>1367</v>
      </c>
      <c r="BM843" s="880" t="s">
        <v>988</v>
      </c>
      <c r="BN843" s="880" t="s">
        <v>986</v>
      </c>
      <c r="BO843" s="880" t="s">
        <v>1638</v>
      </c>
      <c r="BP843" s="880" t="s">
        <v>2684</v>
      </c>
    </row>
    <row r="844" spans="2:68" ht="13.2" customHeight="1">
      <c r="O844" s="136">
        <f>ROW()</f>
        <v>844</v>
      </c>
      <c r="P844" s="298" t="s">
        <v>989</v>
      </c>
      <c r="Q844" s="298" t="s">
        <v>990</v>
      </c>
      <c r="R844" s="298" t="s">
        <v>991</v>
      </c>
      <c r="S844" s="298" t="s">
        <v>992</v>
      </c>
      <c r="T844" s="298" t="s">
        <v>993</v>
      </c>
      <c r="U844" s="298" t="s">
        <v>994</v>
      </c>
      <c r="V844" s="298"/>
      <c r="W844" s="298"/>
      <c r="Y844" s="298" t="s">
        <v>989</v>
      </c>
      <c r="Z844" s="298" t="s">
        <v>990</v>
      </c>
      <c r="AA844" s="298" t="s">
        <v>991</v>
      </c>
      <c r="AB844" s="298" t="s">
        <v>992</v>
      </c>
      <c r="AC844" s="298" t="s">
        <v>993</v>
      </c>
      <c r="AD844" s="298" t="s">
        <v>994</v>
      </c>
      <c r="AE844" s="298"/>
      <c r="AF844" s="298"/>
      <c r="AH844" s="298" t="s">
        <v>989</v>
      </c>
      <c r="AI844" s="298" t="s">
        <v>990</v>
      </c>
      <c r="AJ844" s="298" t="s">
        <v>991</v>
      </c>
      <c r="AK844" s="298" t="s">
        <v>992</v>
      </c>
      <c r="AL844" s="298" t="s">
        <v>993</v>
      </c>
      <c r="AM844" s="298" t="s">
        <v>994</v>
      </c>
      <c r="AN844" s="298"/>
      <c r="AO844" s="298"/>
      <c r="AQ844" s="298" t="s">
        <v>989</v>
      </c>
      <c r="AR844" s="298" t="s">
        <v>990</v>
      </c>
      <c r="AS844" s="298" t="s">
        <v>991</v>
      </c>
      <c r="AT844" s="298" t="s">
        <v>992</v>
      </c>
      <c r="AU844" s="298" t="s">
        <v>993</v>
      </c>
      <c r="AV844" s="298" t="s">
        <v>994</v>
      </c>
      <c r="AW844" s="298"/>
      <c r="AX844" s="298"/>
      <c r="AZ844" s="298" t="s">
        <v>989</v>
      </c>
      <c r="BA844" s="298" t="s">
        <v>990</v>
      </c>
      <c r="BB844" s="298" t="s">
        <v>991</v>
      </c>
      <c r="BC844" s="298" t="s">
        <v>992</v>
      </c>
      <c r="BD844" s="298" t="s">
        <v>993</v>
      </c>
      <c r="BE844" s="298" t="s">
        <v>994</v>
      </c>
      <c r="BF844" s="298"/>
      <c r="BG844" s="298"/>
      <c r="BI844" s="298" t="s">
        <v>989</v>
      </c>
      <c r="BJ844" s="298" t="s">
        <v>990</v>
      </c>
      <c r="BK844" s="298" t="s">
        <v>991</v>
      </c>
      <c r="BL844" s="298" t="s">
        <v>992</v>
      </c>
      <c r="BM844" s="298" t="s">
        <v>993</v>
      </c>
      <c r="BN844" s="298" t="s">
        <v>994</v>
      </c>
      <c r="BO844" s="298"/>
      <c r="BP844" s="298"/>
    </row>
    <row r="845" spans="2:68" ht="13.2" customHeight="1">
      <c r="B845" s="308" t="s">
        <v>112</v>
      </c>
      <c r="O845" s="136">
        <f>ROW()</f>
        <v>845</v>
      </c>
    </row>
    <row r="846" spans="2:68" ht="13.2" customHeight="1">
      <c r="B846" s="280" t="s">
        <v>1846</v>
      </c>
      <c r="G846" s="1122">
        <f t="shared" ref="G846:L846" ca="1" si="1606">P846+Y846+AH846+AQ846+AZ846+BI846</f>
        <v>108801.91046435013</v>
      </c>
      <c r="H846" s="1122">
        <f t="shared" ca="1" si="1606"/>
        <v>46462.87317630231</v>
      </c>
      <c r="I846" s="1122">
        <f t="shared" ca="1" si="1606"/>
        <v>151119.16384475183</v>
      </c>
      <c r="J846" s="1122">
        <f t="shared" ca="1" si="1606"/>
        <v>99626.237723664861</v>
      </c>
      <c r="K846" s="1122">
        <f t="shared" ca="1" si="1606"/>
        <v>54812.833570448624</v>
      </c>
      <c r="L846" s="1122">
        <f t="shared" ca="1" si="1606"/>
        <v>36562.935076575261</v>
      </c>
      <c r="N846" s="186">
        <f ca="1">SUM(G846:M846)</f>
        <v>497385.95385609299</v>
      </c>
      <c r="O846" s="136">
        <f>ROW()</f>
        <v>846</v>
      </c>
      <c r="P846" s="10">
        <f t="shared" ref="P846:U846" ca="1" si="1607">P800</f>
        <v>24182.58297769797</v>
      </c>
      <c r="Q846" s="10">
        <f t="shared" ca="1" si="1607"/>
        <v>9361.5925693195932</v>
      </c>
      <c r="R846" s="10">
        <f t="shared" ca="1" si="1607"/>
        <v>25083.893993631493</v>
      </c>
      <c r="S846" s="10">
        <f t="shared" ca="1" si="1607"/>
        <v>9863.8195491273673</v>
      </c>
      <c r="T846" s="10">
        <f t="shared" ca="1" si="1607"/>
        <v>8991.0306274127797</v>
      </c>
      <c r="U846" s="10">
        <f t="shared" ca="1" si="1607"/>
        <v>4813.1389901466509</v>
      </c>
      <c r="V846" s="10"/>
      <c r="W846" s="10">
        <f ca="1">SUM(P846:V846)</f>
        <v>82296.058707335847</v>
      </c>
      <c r="Y846" s="10">
        <f t="shared" ref="Y846:AD846" ca="1" si="1608">Y800</f>
        <v>36332.157130066858</v>
      </c>
      <c r="Z846" s="10">
        <f t="shared" ca="1" si="1608"/>
        <v>17701.04360184594</v>
      </c>
      <c r="AA846" s="10">
        <f t="shared" ca="1" si="1608"/>
        <v>73049.542346249946</v>
      </c>
      <c r="AB846" s="10">
        <f t="shared" ca="1" si="1608"/>
        <v>57309.697292914992</v>
      </c>
      <c r="AC846" s="10">
        <f t="shared" ca="1" si="1608"/>
        <v>26552.019436146762</v>
      </c>
      <c r="AD846" s="10">
        <f t="shared" ca="1" si="1608"/>
        <v>17711.668978905156</v>
      </c>
      <c r="AE846" s="10"/>
      <c r="AF846" s="10">
        <f ca="1">SUM(Y846:AE846)</f>
        <v>228656.12878612967</v>
      </c>
      <c r="AH846" s="10">
        <f t="shared" ref="AH846:AM846" ca="1" si="1609">AH800</f>
        <v>28015.826457873656</v>
      </c>
      <c r="AI846" s="10">
        <f t="shared" ca="1" si="1609"/>
        <v>11164.702450566767</v>
      </c>
      <c r="AJ846" s="10">
        <f t="shared" ca="1" si="1609"/>
        <v>26739.004430237943</v>
      </c>
      <c r="AK846" s="10">
        <f t="shared" ca="1" si="1609"/>
        <v>15510.855320638842</v>
      </c>
      <c r="AL846" s="10">
        <f t="shared" ca="1" si="1609"/>
        <v>9214.5706714729986</v>
      </c>
      <c r="AM846" s="10">
        <f t="shared" ca="1" si="1609"/>
        <v>6270.6818520079496</v>
      </c>
      <c r="AN846" s="10"/>
      <c r="AO846" s="10">
        <f ca="1">SUM(AH846:AN846)</f>
        <v>96915.641182798165</v>
      </c>
      <c r="AQ846" s="10">
        <f t="shared" ref="AQ846:AV846" ca="1" si="1610">AQ800</f>
        <v>16063.417052874969</v>
      </c>
      <c r="AR846" s="10">
        <f t="shared" ca="1" si="1610"/>
        <v>6580.3039547416147</v>
      </c>
      <c r="AS846" s="10">
        <f t="shared" ca="1" si="1610"/>
        <v>21013.495952133315</v>
      </c>
      <c r="AT846" s="10">
        <f t="shared" ca="1" si="1610"/>
        <v>13564.375536569334</v>
      </c>
      <c r="AU846" s="10">
        <f t="shared" ca="1" si="1610"/>
        <v>8063.8623615436009</v>
      </c>
      <c r="AV846" s="10">
        <f t="shared" ca="1" si="1610"/>
        <v>6227.2646854543091</v>
      </c>
      <c r="AW846" s="10"/>
      <c r="AX846" s="10">
        <f ca="1">SUM(AQ846:AW846)</f>
        <v>71512.719543317144</v>
      </c>
      <c r="AZ846" s="10">
        <f t="shared" ref="AZ846:BE846" ca="1" si="1611">AZ800</f>
        <v>2865.4740394060145</v>
      </c>
      <c r="BA846" s="10">
        <f t="shared" ca="1" si="1611"/>
        <v>1128.5607555675006</v>
      </c>
      <c r="BB846" s="10">
        <f t="shared" ca="1" si="1611"/>
        <v>3571.8975634224557</v>
      </c>
      <c r="BC846" s="10">
        <f t="shared" ca="1" si="1611"/>
        <v>2306.1473100662333</v>
      </c>
      <c r="BD846" s="10">
        <f t="shared" ca="1" si="1611"/>
        <v>1358.3825176170526</v>
      </c>
      <c r="BE846" s="10">
        <f t="shared" ca="1" si="1611"/>
        <v>1050.1057072114734</v>
      </c>
      <c r="BF846" s="10"/>
      <c r="BG846" s="10">
        <f ca="1">SUM(AZ846:BF846)</f>
        <v>12280.567893290729</v>
      </c>
      <c r="BI846" s="10">
        <f t="shared" ref="BI846:BN846" ca="1" si="1612">BI800</f>
        <v>1342.452806430666</v>
      </c>
      <c r="BJ846" s="10">
        <f t="shared" ca="1" si="1612"/>
        <v>526.66984426089994</v>
      </c>
      <c r="BK846" s="10">
        <f t="shared" ca="1" si="1612"/>
        <v>1661.3295590767016</v>
      </c>
      <c r="BL846" s="10">
        <f t="shared" ca="1" si="1612"/>
        <v>1071.3427143480965</v>
      </c>
      <c r="BM846" s="10">
        <f t="shared" ca="1" si="1612"/>
        <v>632.96795625543598</v>
      </c>
      <c r="BN846" s="10">
        <f t="shared" ca="1" si="1612"/>
        <v>490.07486284972128</v>
      </c>
      <c r="BO846" s="10"/>
      <c r="BP846" s="10">
        <f ca="1">SUM(BI846:BO846)</f>
        <v>5724.8377432215211</v>
      </c>
    </row>
    <row r="847" spans="2:68" ht="13.2" customHeight="1">
      <c r="B847" s="309" t="str">
        <f>CONCATENATE("Above row repeats figures in Row ",O800,".")</f>
        <v>Above row repeats figures in Row 800.</v>
      </c>
      <c r="G847" s="1126" t="s">
        <v>1009</v>
      </c>
      <c r="H847" s="1122"/>
      <c r="I847" s="1122"/>
      <c r="J847" s="1122"/>
      <c r="K847" s="1122"/>
      <c r="L847" s="1122"/>
      <c r="O847" s="136">
        <f>ROW()</f>
        <v>847</v>
      </c>
      <c r="AQ847" s="265" t="str">
        <f>CONCATENATE("Row ",O848, " figures are set equal to ",O846, " figures, since rebound effects are presumed accounted for by taxi time-elasticity.")</f>
        <v>Row 848 figures are set equal to 846 figures, since rebound effects are presumed accounted for by taxi time-elasticity.</v>
      </c>
    </row>
    <row r="848" spans="2:68" ht="13.2" customHeight="1">
      <c r="B848" s="280" t="s">
        <v>1300</v>
      </c>
      <c r="G848" s="1122">
        <f t="shared" ref="G848:L849" ca="1" si="1613">P848+Y848+AH848+AQ848+AZ848+BI848</f>
        <v>108790.66950430644</v>
      </c>
      <c r="H848" s="1122">
        <f t="shared" ca="1" si="1613"/>
        <v>46451.636737740104</v>
      </c>
      <c r="I848" s="1122">
        <f t="shared" ca="1" si="1613"/>
        <v>151072.38352196093</v>
      </c>
      <c r="J848" s="1122">
        <f t="shared" ca="1" si="1613"/>
        <v>99600.186611683865</v>
      </c>
      <c r="K848" s="1122">
        <f t="shared" ca="1" si="1613"/>
        <v>54795.356087302665</v>
      </c>
      <c r="L848" s="1122">
        <f t="shared" ca="1" si="1613"/>
        <v>36554.338797593831</v>
      </c>
      <c r="N848" s="617">
        <f ca="1">SUM(G848:M848)</f>
        <v>497264.57126058784</v>
      </c>
      <c r="O848" s="136">
        <f>ROW()</f>
        <v>848</v>
      </c>
      <c r="P848" s="10">
        <f t="shared" ref="P848:U848" ca="1" si="1614">P846*P837</f>
        <v>24178.105830143686</v>
      </c>
      <c r="Q848" s="10">
        <f t="shared" ca="1" si="1614"/>
        <v>9358.892416836683</v>
      </c>
      <c r="R848" s="10">
        <f t="shared" ca="1" si="1614"/>
        <v>25074.95867649409</v>
      </c>
      <c r="S848" s="10">
        <f t="shared" ca="1" si="1614"/>
        <v>9860.7853823868645</v>
      </c>
      <c r="T848" s="10">
        <f t="shared" ca="1" si="1614"/>
        <v>8987.7256694275493</v>
      </c>
      <c r="U848" s="10">
        <f t="shared" ca="1" si="1614"/>
        <v>4811.7370985982434</v>
      </c>
      <c r="V848" s="10"/>
      <c r="W848" s="10">
        <f ca="1">SUM(P848:V848)</f>
        <v>82272.205073887104</v>
      </c>
      <c r="Y848" s="10">
        <f t="shared" ref="Y848:AD848" ca="1" si="1615">Y846*Y837</f>
        <v>36325.430618321334</v>
      </c>
      <c r="Z848" s="10">
        <f t="shared" ca="1" si="1615"/>
        <v>17695.938111890278</v>
      </c>
      <c r="AA848" s="10">
        <f t="shared" ca="1" si="1615"/>
        <v>73023.520835085394</v>
      </c>
      <c r="AB848" s="10">
        <f t="shared" ca="1" si="1615"/>
        <v>57292.068505550385</v>
      </c>
      <c r="AC848" s="10">
        <f t="shared" ca="1" si="1615"/>
        <v>26542.259341637469</v>
      </c>
      <c r="AD848" s="10">
        <f t="shared" ca="1" si="1615"/>
        <v>17706.510216795741</v>
      </c>
      <c r="AE848" s="10"/>
      <c r="AF848" s="10">
        <f ca="1">SUM(Y848:AE848)</f>
        <v>228585.72762928059</v>
      </c>
      <c r="AH848" s="10">
        <f t="shared" ref="AH848:AM848" ca="1" si="1616">AH846*AH837</f>
        <v>28016.066418661056</v>
      </c>
      <c r="AI848" s="10">
        <f t="shared" ca="1" si="1616"/>
        <v>11161.441231240802</v>
      </c>
      <c r="AJ848" s="10">
        <f t="shared" ca="1" si="1616"/>
        <v>26727.848545888271</v>
      </c>
      <c r="AK848" s="10">
        <f t="shared" ca="1" si="1616"/>
        <v>15505.84483466605</v>
      </c>
      <c r="AL848" s="10">
        <f t="shared" ca="1" si="1616"/>
        <v>9210.4170462742568</v>
      </c>
      <c r="AM848" s="10">
        <f t="shared" ca="1" si="1616"/>
        <v>6268.8047533376193</v>
      </c>
      <c r="AN848" s="10"/>
      <c r="AO848" s="10">
        <f ca="1">SUM(AH848:AN848)</f>
        <v>96890.42283006807</v>
      </c>
      <c r="AQ848" s="10">
        <f ca="1">AQ846</f>
        <v>16063.417052874969</v>
      </c>
      <c r="AR848" s="10">
        <f t="shared" ref="AR848:AV848" ca="1" si="1617">AR846</f>
        <v>6580.3039547416147</v>
      </c>
      <c r="AS848" s="10">
        <f t="shared" ca="1" si="1617"/>
        <v>21013.495952133315</v>
      </c>
      <c r="AT848" s="10">
        <f t="shared" ca="1" si="1617"/>
        <v>13564.375536569334</v>
      </c>
      <c r="AU848" s="10">
        <f t="shared" ca="1" si="1617"/>
        <v>8063.8623615436009</v>
      </c>
      <c r="AV848" s="10">
        <f t="shared" ca="1" si="1617"/>
        <v>6227.2646854543091</v>
      </c>
      <c r="AW848" s="10"/>
      <c r="AX848" s="10">
        <f ca="1">SUM(AQ848:AW848)</f>
        <v>71512.719543317144</v>
      </c>
      <c r="AZ848" s="10">
        <f t="shared" ref="AZ848:BE848" ca="1" si="1618">AZ846*AZ837</f>
        <v>2865.3179202712809</v>
      </c>
      <c r="BA848" s="10">
        <f t="shared" ca="1" si="1618"/>
        <v>1128.4652166315916</v>
      </c>
      <c r="BB848" s="10">
        <f t="shared" ca="1" si="1618"/>
        <v>3571.5191500114129</v>
      </c>
      <c r="BC848" s="10">
        <f t="shared" ca="1" si="1618"/>
        <v>2305.9314017030551</v>
      </c>
      <c r="BD848" s="10">
        <f t="shared" ca="1" si="1618"/>
        <v>1358.2369653679027</v>
      </c>
      <c r="BE848" s="10">
        <f t="shared" ca="1" si="1618"/>
        <v>1050.0166421636541</v>
      </c>
      <c r="BF848" s="10"/>
      <c r="BG848" s="10">
        <f ca="1">SUM(AZ848:BF848)</f>
        <v>12279.487296148898</v>
      </c>
      <c r="BI848" s="10">
        <f t="shared" ref="BI848:BN848" ca="1" si="1619">BI846*BI837</f>
        <v>1342.33166403412</v>
      </c>
      <c r="BJ848" s="10">
        <f t="shared" ca="1" si="1619"/>
        <v>526.59580639913543</v>
      </c>
      <c r="BK848" s="10">
        <f t="shared" ca="1" si="1619"/>
        <v>1661.0403623484262</v>
      </c>
      <c r="BL848" s="10">
        <f t="shared" ca="1" si="1619"/>
        <v>1071.1809508081833</v>
      </c>
      <c r="BM848" s="10">
        <f t="shared" ca="1" si="1619"/>
        <v>632.85470305189267</v>
      </c>
      <c r="BN848" s="10">
        <f t="shared" ca="1" si="1619"/>
        <v>490.00540124426232</v>
      </c>
      <c r="BO848" s="10"/>
      <c r="BP848" s="10">
        <f ca="1">SUM(BI848:BO848)</f>
        <v>5724.0088878860206</v>
      </c>
    </row>
    <row r="849" spans="2:68" ht="13.2" customHeight="1">
      <c r="B849" s="280" t="s">
        <v>112</v>
      </c>
      <c r="G849" s="1122">
        <f t="shared" ca="1" si="1613"/>
        <v>173385.24885345504</v>
      </c>
      <c r="H849" s="1122">
        <f t="shared" ca="1" si="1613"/>
        <v>73807.458689003848</v>
      </c>
      <c r="I849" s="1122">
        <f t="shared" ca="1" si="1613"/>
        <v>240630.33731061057</v>
      </c>
      <c r="J849" s="1122">
        <f t="shared" ca="1" si="1613"/>
        <v>158626.3707803025</v>
      </c>
      <c r="K849" s="1122">
        <f t="shared" ca="1" si="1613"/>
        <v>87657.706406676167</v>
      </c>
      <c r="L849" s="1122">
        <f t="shared" ca="1" si="1613"/>
        <v>59138.287727651747</v>
      </c>
      <c r="N849" s="186">
        <f ca="1">SUM(G849:M849)</f>
        <v>793245.40976770001</v>
      </c>
      <c r="O849" s="136">
        <f>ROW()</f>
        <v>849</v>
      </c>
      <c r="P849" s="10">
        <f t="shared" ref="P849:U849" ca="1" si="1620">P848*$I$85</f>
        <v>36267.158745215529</v>
      </c>
      <c r="Q849" s="10">
        <f t="shared" ca="1" si="1620"/>
        <v>14038.338625255024</v>
      </c>
      <c r="R849" s="10">
        <f t="shared" ca="1" si="1620"/>
        <v>37612.438014741136</v>
      </c>
      <c r="S849" s="10">
        <f t="shared" ca="1" si="1620"/>
        <v>14791.178073580297</v>
      </c>
      <c r="T849" s="10">
        <f t="shared" ca="1" si="1620"/>
        <v>13481.588504141324</v>
      </c>
      <c r="U849" s="10">
        <f t="shared" ca="1" si="1620"/>
        <v>7217.6056478973651</v>
      </c>
      <c r="V849" s="10"/>
      <c r="W849" s="10">
        <f ca="1">SUM(P849:V849)</f>
        <v>123408.30761083067</v>
      </c>
      <c r="Y849" s="10">
        <f t="shared" ref="Y849:AD849" ca="1" si="1621">Y848*$J$85</f>
        <v>54488.145927482001</v>
      </c>
      <c r="Z849" s="10">
        <f t="shared" ca="1" si="1621"/>
        <v>26543.907167835416</v>
      </c>
      <c r="AA849" s="10">
        <f t="shared" ca="1" si="1621"/>
        <v>109535.28125262809</v>
      </c>
      <c r="AB849" s="10">
        <f t="shared" ca="1" si="1621"/>
        <v>85938.102758325578</v>
      </c>
      <c r="AC849" s="10">
        <f t="shared" ca="1" si="1621"/>
        <v>39813.389012456202</v>
      </c>
      <c r="AD849" s="10">
        <f t="shared" ca="1" si="1621"/>
        <v>26559.765325193614</v>
      </c>
      <c r="AE849" s="10"/>
      <c r="AF849" s="10">
        <f ca="1">SUM(Y849:AE849)</f>
        <v>342878.59144392097</v>
      </c>
      <c r="AH849" s="10">
        <f t="shared" ref="AH849:AM849" ca="1" si="1622">AH848*$K$85</f>
        <v>39222.492986125479</v>
      </c>
      <c r="AI849" s="10">
        <f t="shared" ca="1" si="1622"/>
        <v>15626.017723737124</v>
      </c>
      <c r="AJ849" s="10">
        <f t="shared" ca="1" si="1622"/>
        <v>37418.987964243584</v>
      </c>
      <c r="AK849" s="10">
        <f t="shared" ca="1" si="1622"/>
        <v>21708.182768532472</v>
      </c>
      <c r="AL849" s="10">
        <f t="shared" ca="1" si="1622"/>
        <v>12894.583864783961</v>
      </c>
      <c r="AM849" s="10">
        <f t="shared" ca="1" si="1622"/>
        <v>8776.3266546726682</v>
      </c>
      <c r="AN849" s="10"/>
      <c r="AO849" s="10">
        <f ca="1">SUM(AH849:AN849)</f>
        <v>135646.59196209529</v>
      </c>
      <c r="AQ849" s="10">
        <f ca="1">AQ848*$L$85</f>
        <v>32126.834105749938</v>
      </c>
      <c r="AR849" s="10">
        <f t="shared" ref="AR849" ca="1" si="1623">AR848*$L$85</f>
        <v>13160.607909483229</v>
      </c>
      <c r="AS849" s="10">
        <f t="shared" ref="AS849" ca="1" si="1624">AS848*$L$85</f>
        <v>42026.99190426663</v>
      </c>
      <c r="AT849" s="10">
        <f t="shared" ref="AT849" ca="1" si="1625">AT848*$L$85</f>
        <v>27128.751073138668</v>
      </c>
      <c r="AU849" s="10">
        <f t="shared" ref="AU849" ca="1" si="1626">AU848*$L$85</f>
        <v>16127.724723087202</v>
      </c>
      <c r="AV849" s="10">
        <f t="shared" ref="AV849" ca="1" si="1627">AV848*$L$85</f>
        <v>12454.529370908618</v>
      </c>
      <c r="AW849" s="10"/>
      <c r="AX849" s="10">
        <f ca="1">SUM(AQ849:AW849)</f>
        <v>143025.43908663429</v>
      </c>
      <c r="AZ849" s="10">
        <f t="shared" ref="AZ849:BE849" ca="1" si="1628">AZ848*$M$85</f>
        <v>8595.9537608138417</v>
      </c>
      <c r="BA849" s="10">
        <f t="shared" ca="1" si="1628"/>
        <v>3385.3956498947746</v>
      </c>
      <c r="BB849" s="10">
        <f t="shared" ca="1" si="1628"/>
        <v>10714.557450034239</v>
      </c>
      <c r="BC849" s="10">
        <f t="shared" ca="1" si="1628"/>
        <v>6917.794205109165</v>
      </c>
      <c r="BD849" s="10">
        <f t="shared" ca="1" si="1628"/>
        <v>4074.7108961037084</v>
      </c>
      <c r="BE849" s="10">
        <f t="shared" ca="1" si="1628"/>
        <v>3150.0499264909622</v>
      </c>
      <c r="BF849" s="10"/>
      <c r="BG849" s="10">
        <f ca="1">SUM(AZ849:BF849)</f>
        <v>36838.461888446691</v>
      </c>
      <c r="BI849" s="10">
        <f t="shared" ref="BI849:BN849" ca="1" si="1629">BI848*$N$85</f>
        <v>2684.6633280682399</v>
      </c>
      <c r="BJ849" s="10">
        <f t="shared" ca="1" si="1629"/>
        <v>1053.1916127982709</v>
      </c>
      <c r="BK849" s="10">
        <f t="shared" ca="1" si="1629"/>
        <v>3322.0807246968525</v>
      </c>
      <c r="BL849" s="10">
        <f t="shared" ca="1" si="1629"/>
        <v>2142.3619016163666</v>
      </c>
      <c r="BM849" s="10">
        <f t="shared" ca="1" si="1629"/>
        <v>1265.7094061037853</v>
      </c>
      <c r="BN849" s="10">
        <f t="shared" ca="1" si="1629"/>
        <v>980.01080248852463</v>
      </c>
      <c r="BO849" s="10"/>
      <c r="BP849" s="10">
        <f ca="1">SUM(BI849:BO849)</f>
        <v>11448.017775772041</v>
      </c>
    </row>
    <row r="850" spans="2:68" ht="13.2" customHeight="1">
      <c r="G850" s="1122"/>
      <c r="H850" s="1122"/>
      <c r="I850" s="1128"/>
      <c r="J850" s="3454"/>
      <c r="K850" s="3454"/>
      <c r="L850" s="3454"/>
      <c r="M850" s="3455" t="s">
        <v>6039</v>
      </c>
      <c r="N850" s="756">
        <f ca="1">(W850*W848+AF850*AF848+AO850*AO848+BG850*BG848+BP850*BP848)/(W848+AF848+AO848+BG848+BP848)</f>
        <v>5.16006529897997</v>
      </c>
      <c r="O850" s="136">
        <f>ROW()</f>
        <v>850</v>
      </c>
      <c r="V850" s="1816" t="s">
        <v>6039</v>
      </c>
      <c r="W850" s="591">
        <f ca="1">SUMPRODUCT(P848:V848,P$291:V$291)/W848</f>
        <v>4.3014541081995485</v>
      </c>
      <c r="AE850" s="1816" t="s">
        <v>6039</v>
      </c>
      <c r="AF850" s="591">
        <f ca="1">SUMPRODUCT(Y848:AE848,Y$291:AE$291)/AF848</f>
        <v>4.3014541081995468</v>
      </c>
      <c r="AN850" s="1816" t="s">
        <v>6039</v>
      </c>
      <c r="AO850" s="591">
        <f ca="1">SUMPRODUCT(AH848:AN848,AH$291:AN$291)/AO848</f>
        <v>7.31247198393923</v>
      </c>
      <c r="BF850" s="1816" t="s">
        <v>6039</v>
      </c>
      <c r="BG850" s="591">
        <f ca="1">SUMPRODUCT(AZ848:BF848,AZ$291:BF$291)/BG848</f>
        <v>8.7086713781619096</v>
      </c>
      <c r="BO850" s="1816" t="s">
        <v>6039</v>
      </c>
      <c r="BP850" s="591">
        <f ca="1">SUMPRODUCT(BI848:BO848,BI$291:BO$291)/BP848</f>
        <v>7.7427731485038827</v>
      </c>
    </row>
    <row r="851" spans="2:68" ht="13.2" customHeight="1">
      <c r="B851" s="308" t="s">
        <v>1010</v>
      </c>
      <c r="G851" s="1122"/>
      <c r="H851" s="1122"/>
      <c r="I851" s="1129"/>
      <c r="J851" s="1130"/>
      <c r="K851" s="1130"/>
      <c r="L851" s="1130"/>
      <c r="M851" s="1130"/>
      <c r="N851" s="3456" t="s">
        <v>6040</v>
      </c>
      <c r="O851" s="136">
        <f>ROW()</f>
        <v>851</v>
      </c>
      <c r="P851" s="10"/>
      <c r="Q851" s="10"/>
      <c r="R851" s="10"/>
      <c r="S851" s="10"/>
      <c r="T851" s="10"/>
      <c r="U851" s="10"/>
      <c r="V851" s="10"/>
      <c r="W851" s="10"/>
      <c r="Y851" s="10"/>
      <c r="Z851" s="10"/>
      <c r="AA851" s="10"/>
      <c r="AB851" s="10"/>
      <c r="AC851" s="10"/>
      <c r="AD851" s="10"/>
      <c r="AE851" s="10"/>
      <c r="AF851" s="10"/>
      <c r="AH851" s="10"/>
      <c r="AI851" s="10"/>
      <c r="AJ851" s="10"/>
      <c r="AK851" s="10"/>
      <c r="AL851" s="10"/>
      <c r="AM851" s="10"/>
      <c r="AN851" s="10"/>
      <c r="AO851" s="10"/>
      <c r="AQ851" s="10"/>
      <c r="AR851" s="10"/>
      <c r="AS851" s="10"/>
      <c r="AT851" s="10"/>
      <c r="AU851" s="10"/>
      <c r="AV851" s="10"/>
      <c r="AW851" s="10"/>
      <c r="AX851" s="10"/>
      <c r="AZ851" s="10"/>
      <c r="BA851" s="10"/>
      <c r="BB851" s="10"/>
      <c r="BC851" s="10"/>
      <c r="BD851" s="10"/>
      <c r="BE851" s="10"/>
      <c r="BF851" s="10"/>
      <c r="BG851" s="10"/>
      <c r="BI851" s="10"/>
      <c r="BJ851" s="10"/>
      <c r="BK851" s="10"/>
      <c r="BL851" s="10"/>
      <c r="BM851" s="10"/>
      <c r="BN851" s="10"/>
      <c r="BO851" s="10"/>
      <c r="BP851" s="10"/>
    </row>
    <row r="852" spans="2:68" ht="13.2" customHeight="1">
      <c r="B852" s="280" t="s">
        <v>1301</v>
      </c>
      <c r="G852" s="1122">
        <f t="shared" ref="G852:L854" ca="1" si="1630">P852+Y852+AH852+AQ852+AZ852+BI852</f>
        <v>145421.72152346204</v>
      </c>
      <c r="H852" s="1122">
        <f t="shared" ca="1" si="1630"/>
        <v>43977.17941029949</v>
      </c>
      <c r="I852" s="1122">
        <f t="shared" ca="1" si="1630"/>
        <v>131164.32512421254</v>
      </c>
      <c r="J852" s="1122">
        <f t="shared" ca="1" si="1630"/>
        <v>83450.899234476805</v>
      </c>
      <c r="K852" s="1122">
        <f t="shared" ca="1" si="1630"/>
        <v>47437.095668432557</v>
      </c>
      <c r="L852" s="1122">
        <f t="shared" ca="1" si="1630"/>
        <v>45934.732895209665</v>
      </c>
      <c r="N852" s="186">
        <f ca="1">SUM(G852:M852)</f>
        <v>497385.95385609305</v>
      </c>
      <c r="O852" s="136">
        <f>ROW()</f>
        <v>852</v>
      </c>
      <c r="P852" s="10">
        <f t="shared" ref="P852:W852" ca="1" si="1631">P$135*$W846</f>
        <v>24997.294408913956</v>
      </c>
      <c r="Q852" s="10">
        <f t="shared" ca="1" si="1631"/>
        <v>7226.5998658680965</v>
      </c>
      <c r="R852" s="10">
        <f t="shared" ca="1" si="1631"/>
        <v>21285.627679408288</v>
      </c>
      <c r="S852" s="10">
        <f t="shared" ca="1" si="1631"/>
        <v>13504.923516443854</v>
      </c>
      <c r="T852" s="10">
        <f t="shared" ca="1" si="1631"/>
        <v>7608.512718462146</v>
      </c>
      <c r="U852" s="10">
        <f t="shared" ca="1" si="1631"/>
        <v>7673.1005182395147</v>
      </c>
      <c r="V852" s="10"/>
      <c r="W852" s="10">
        <f t="shared" ca="1" si="1631"/>
        <v>82296.058707335847</v>
      </c>
      <c r="Y852" s="10">
        <f t="shared" ref="Y852:AD852" ca="1" si="1632">Y$135*$AF846</f>
        <v>69453.92840738708</v>
      </c>
      <c r="Z852" s="10">
        <f t="shared" ca="1" si="1632"/>
        <v>20078.802989728927</v>
      </c>
      <c r="AA852" s="10">
        <f t="shared" ca="1" si="1632"/>
        <v>59141.218916265505</v>
      </c>
      <c r="AB852" s="10">
        <f t="shared" ca="1" si="1632"/>
        <v>37522.860503009179</v>
      </c>
      <c r="AC852" s="10">
        <f t="shared" ca="1" si="1632"/>
        <v>21139.931745826201</v>
      </c>
      <c r="AD852" s="10">
        <f t="shared" ca="1" si="1632"/>
        <v>21319.386223912774</v>
      </c>
      <c r="AE852" s="10"/>
      <c r="AF852" s="10">
        <f ca="1">SUM(Y852:AE852)</f>
        <v>228656.12878612964</v>
      </c>
      <c r="AH852" s="10">
        <f t="shared" ref="AH852:AM852" ca="1" si="1633">AH$135*$AO846</f>
        <v>29437.968883668051</v>
      </c>
      <c r="AI852" s="10">
        <f t="shared" ca="1" si="1633"/>
        <v>8510.3779035495772</v>
      </c>
      <c r="AJ852" s="10">
        <f t="shared" ca="1" si="1633"/>
        <v>25066.938647260919</v>
      </c>
      <c r="AK852" s="10">
        <f t="shared" ca="1" si="1633"/>
        <v>15904.021921333348</v>
      </c>
      <c r="AL852" s="10">
        <f t="shared" ca="1" si="1633"/>
        <v>8960.1361248604171</v>
      </c>
      <c r="AM852" s="10">
        <f t="shared" ca="1" si="1633"/>
        <v>9036.1977021258645</v>
      </c>
      <c r="AN852" s="10"/>
      <c r="AO852" s="10">
        <f ca="1">SUM(AH852:AN852)</f>
        <v>96915.641182798179</v>
      </c>
      <c r="AQ852" s="10">
        <f t="shared" ref="AQ852:AV852" ca="1" si="1634">AQ846</f>
        <v>16063.417052874969</v>
      </c>
      <c r="AR852" s="10">
        <f t="shared" ca="1" si="1634"/>
        <v>6580.3039547416147</v>
      </c>
      <c r="AS852" s="10">
        <f t="shared" ca="1" si="1634"/>
        <v>21013.495952133315</v>
      </c>
      <c r="AT852" s="10">
        <f t="shared" ca="1" si="1634"/>
        <v>13564.375536569334</v>
      </c>
      <c r="AU852" s="10">
        <f t="shared" ca="1" si="1634"/>
        <v>8063.8623615436009</v>
      </c>
      <c r="AV852" s="10">
        <f t="shared" ca="1" si="1634"/>
        <v>6227.2646854543091</v>
      </c>
      <c r="AW852" s="10"/>
      <c r="AX852" s="10">
        <f ca="1">SUM(AQ852:AW852)</f>
        <v>71512.719543317144</v>
      </c>
      <c r="AZ852" s="10">
        <f t="shared" ref="AZ852:BE852" ca="1" si="1635">AZ$135*$BG846</f>
        <v>3730.2025875739823</v>
      </c>
      <c r="BA852" s="10">
        <f t="shared" ca="1" si="1635"/>
        <v>1078.3839674029002</v>
      </c>
      <c r="BB852" s="10">
        <f t="shared" ca="1" si="1635"/>
        <v>3176.3318921247528</v>
      </c>
      <c r="BC852" s="10">
        <f t="shared" ca="1" si="1635"/>
        <v>2015.2621248507448</v>
      </c>
      <c r="BD852" s="10">
        <f t="shared" ca="1" si="1635"/>
        <v>1135.3746275787498</v>
      </c>
      <c r="BE852" s="10">
        <f t="shared" ca="1" si="1635"/>
        <v>1145.0126937595978</v>
      </c>
      <c r="BF852" s="10"/>
      <c r="BG852" s="10">
        <f ca="1">SUM(AZ852:BF852)</f>
        <v>12280.567893290727</v>
      </c>
      <c r="BI852" s="10">
        <f t="shared" ref="BI852:BN852" ca="1" si="1636">BI$135*$BP846</f>
        <v>1738.9101830439727</v>
      </c>
      <c r="BJ852" s="10">
        <f t="shared" ca="1" si="1636"/>
        <v>502.71072900838016</v>
      </c>
      <c r="BK852" s="10">
        <f t="shared" ca="1" si="1636"/>
        <v>1480.7120370197633</v>
      </c>
      <c r="BL852" s="10">
        <f t="shared" ca="1" si="1636"/>
        <v>939.45563227034552</v>
      </c>
      <c r="BM852" s="10">
        <f t="shared" ca="1" si="1636"/>
        <v>529.27809016144738</v>
      </c>
      <c r="BN852" s="10">
        <f t="shared" ca="1" si="1636"/>
        <v>533.77107171761202</v>
      </c>
      <c r="BO852" s="10"/>
      <c r="BP852" s="10">
        <f ca="1">SUM(BI852:BO852)</f>
        <v>5724.837743221522</v>
      </c>
    </row>
    <row r="853" spans="2:68" ht="13.2" customHeight="1">
      <c r="B853" s="309"/>
      <c r="G853" s="1122"/>
      <c r="H853" s="1122"/>
      <c r="I853" s="1122"/>
      <c r="J853" s="1122"/>
      <c r="K853" s="1122"/>
      <c r="L853" s="1122"/>
      <c r="O853" s="136">
        <f>ROW()</f>
        <v>853</v>
      </c>
    </row>
    <row r="854" spans="2:68" ht="13.2" customHeight="1">
      <c r="B854" s="280" t="s">
        <v>1047</v>
      </c>
      <c r="G854" s="1122">
        <f t="shared" ca="1" si="1630"/>
        <v>145384.85175687025</v>
      </c>
      <c r="H854" s="1122">
        <f t="shared" ca="1" si="1630"/>
        <v>43966.520534744879</v>
      </c>
      <c r="I854" s="1122">
        <f t="shared" ca="1" si="1630"/>
        <v>131132.92988153303</v>
      </c>
      <c r="J854" s="1122">
        <f t="shared" ca="1" si="1630"/>
        <v>83430.98014364457</v>
      </c>
      <c r="K854" s="1122">
        <f t="shared" ca="1" si="1630"/>
        <v>47425.873490405946</v>
      </c>
      <c r="L854" s="1122">
        <f t="shared" ca="1" si="1630"/>
        <v>45923.415453389178</v>
      </c>
      <c r="M854" s="10"/>
      <c r="N854" s="186">
        <f ca="1">SUM(G854:M854)</f>
        <v>497264.57126058784</v>
      </c>
      <c r="O854" s="136">
        <f>ROW()</f>
        <v>854</v>
      </c>
      <c r="P854" s="10">
        <f t="shared" ref="P854:U854" ca="1" si="1637">P852*$W848/$W846</f>
        <v>24990.04890642688</v>
      </c>
      <c r="Q854" s="10">
        <f t="shared" ca="1" si="1637"/>
        <v>7224.5052252864107</v>
      </c>
      <c r="R854" s="10">
        <f t="shared" ca="1" si="1637"/>
        <v>21279.45800897247</v>
      </c>
      <c r="S854" s="10">
        <f t="shared" ca="1" si="1637"/>
        <v>13501.009094533807</v>
      </c>
      <c r="T854" s="10">
        <f t="shared" ca="1" si="1637"/>
        <v>7606.3073798793857</v>
      </c>
      <c r="U854" s="10">
        <f t="shared" ca="1" si="1637"/>
        <v>7670.8764587881578</v>
      </c>
      <c r="V854" s="10"/>
      <c r="W854" s="10">
        <f ca="1">SUM(P854:V854)</f>
        <v>82272.205073887118</v>
      </c>
      <c r="Y854" s="10">
        <f t="shared" ref="Y854:AD854" ca="1" si="1638">Y852*$AF848/$AF846</f>
        <v>69432.544170132867</v>
      </c>
      <c r="Z854" s="10">
        <f t="shared" ca="1" si="1638"/>
        <v>20072.620907638557</v>
      </c>
      <c r="AA854" s="10">
        <f t="shared" ca="1" si="1638"/>
        <v>59123.009869120026</v>
      </c>
      <c r="AB854" s="10">
        <f t="shared" ca="1" si="1638"/>
        <v>37511.307553163824</v>
      </c>
      <c r="AC854" s="10">
        <f t="shared" ca="1" si="1638"/>
        <v>21133.422951775861</v>
      </c>
      <c r="AD854" s="10">
        <f t="shared" ca="1" si="1638"/>
        <v>21312.822177449452</v>
      </c>
      <c r="AE854" s="10"/>
      <c r="AF854" s="10">
        <f ca="1">SUM(Y854:AE854)</f>
        <v>228585.72762928056</v>
      </c>
      <c r="AH854" s="10">
        <f t="shared" ref="AH854:AM854" ca="1" si="1639">AH852*$AO848/$AO846</f>
        <v>29430.308849911835</v>
      </c>
      <c r="AI854" s="10">
        <f t="shared" ca="1" si="1639"/>
        <v>8508.1634239339146</v>
      </c>
      <c r="AJ854" s="10">
        <f t="shared" ca="1" si="1639"/>
        <v>25060.415996293999</v>
      </c>
      <c r="AK854" s="10">
        <f t="shared" ca="1" si="1639"/>
        <v>15899.883546662917</v>
      </c>
      <c r="AL854" s="10">
        <f t="shared" ca="1" si="1639"/>
        <v>8957.8046139654907</v>
      </c>
      <c r="AM854" s="10">
        <f t="shared" ca="1" si="1639"/>
        <v>9033.8463992999223</v>
      </c>
      <c r="AN854" s="10"/>
      <c r="AO854" s="10">
        <f ca="1">SUM(AH854:AN854)</f>
        <v>96890.422830068084</v>
      </c>
      <c r="AQ854" s="10">
        <f t="shared" ref="AQ854:AV854" ca="1" si="1640">AQ852*$AX848/$AX846</f>
        <v>16063.417052874971</v>
      </c>
      <c r="AR854" s="10">
        <f t="shared" ca="1" si="1640"/>
        <v>6580.3039547416147</v>
      </c>
      <c r="AS854" s="10">
        <f t="shared" ca="1" si="1640"/>
        <v>21013.495952133315</v>
      </c>
      <c r="AT854" s="10">
        <f t="shared" ca="1" si="1640"/>
        <v>13564.375536569334</v>
      </c>
      <c r="AU854" s="10">
        <f t="shared" ca="1" si="1640"/>
        <v>8063.8623615436018</v>
      </c>
      <c r="AV854" s="10">
        <f t="shared" ca="1" si="1640"/>
        <v>6227.2646854543091</v>
      </c>
      <c r="AW854" s="10"/>
      <c r="AX854" s="10">
        <f ca="1">SUM(AQ854:AW854)</f>
        <v>71512.719543317144</v>
      </c>
      <c r="AZ854" s="10">
        <f t="shared" ref="AZ854:BE854" ca="1" si="1641">AZ852*$BG848/$BG846</f>
        <v>3729.874357944082</v>
      </c>
      <c r="BA854" s="10">
        <f t="shared" ca="1" si="1641"/>
        <v>1078.2890777656214</v>
      </c>
      <c r="BB854" s="10">
        <f t="shared" ca="1" si="1641"/>
        <v>3176.0523989291646</v>
      </c>
      <c r="BC854" s="10">
        <f t="shared" ca="1" si="1641"/>
        <v>2015.0847970177754</v>
      </c>
      <c r="BD854" s="10">
        <f t="shared" ca="1" si="1641"/>
        <v>1135.2747231941864</v>
      </c>
      <c r="BE854" s="10">
        <f t="shared" ca="1" si="1641"/>
        <v>1144.9119412980679</v>
      </c>
      <c r="BF854" s="10"/>
      <c r="BG854" s="10">
        <f ca="1">SUM(AZ854:BF854)</f>
        <v>12279.487296148896</v>
      </c>
      <c r="BI854" s="10">
        <f t="shared" ref="BI854:BN854" ca="1" si="1642">BI852*$BP848/$BP846</f>
        <v>1738.6584195796056</v>
      </c>
      <c r="BJ854" s="10">
        <f t="shared" ca="1" si="1642"/>
        <v>502.63794537875759</v>
      </c>
      <c r="BK854" s="10">
        <f t="shared" ca="1" si="1642"/>
        <v>1480.4976560840457</v>
      </c>
      <c r="BL854" s="10">
        <f t="shared" ca="1" si="1642"/>
        <v>939.319615696916</v>
      </c>
      <c r="BM854" s="10">
        <f t="shared" ca="1" si="1642"/>
        <v>529.20146004743003</v>
      </c>
      <c r="BN854" s="10">
        <f t="shared" ca="1" si="1642"/>
        <v>533.69379109926558</v>
      </c>
      <c r="BO854" s="10"/>
      <c r="BP854" s="10">
        <f ca="1">SUM(BI854:BO854)</f>
        <v>5724.0088878860206</v>
      </c>
    </row>
    <row r="855" spans="2:68" ht="13.2" customHeight="1">
      <c r="B855" s="309"/>
      <c r="C855" s="309"/>
      <c r="D855" s="309"/>
      <c r="E855" s="309"/>
      <c r="F855" s="309"/>
      <c r="G855" s="1122"/>
      <c r="H855" s="1122"/>
      <c r="I855" s="1122"/>
      <c r="J855" s="1122"/>
      <c r="K855" s="1122"/>
      <c r="L855" s="1122"/>
      <c r="M855" s="10"/>
      <c r="N855" s="186"/>
      <c r="O855" s="136">
        <f>ROW()</f>
        <v>855</v>
      </c>
      <c r="AQ855" s="10"/>
      <c r="AR855" s="10"/>
      <c r="AS855" s="10"/>
      <c r="AT855" s="10"/>
      <c r="AU855" s="10"/>
      <c r="AV855" s="10"/>
    </row>
    <row r="856" spans="2:68" ht="13.2" customHeight="1">
      <c r="B856" s="280" t="s">
        <v>1010</v>
      </c>
      <c r="G856" s="1122">
        <f t="shared" ref="G856:L856" ca="1" si="1643">P856+Y856+AH856+AQ856+AZ856+BI856</f>
        <v>221598.3874970201</v>
      </c>
      <c r="H856" s="1122">
        <f t="shared" ca="1" si="1643"/>
        <v>66967.717049061743</v>
      </c>
      <c r="I856" s="1122">
        <f t="shared" ca="1" si="1643"/>
        <v>199697.68064910593</v>
      </c>
      <c r="J856" s="1122">
        <f t="shared" ca="1" si="1643"/>
        <v>127048.76886417568</v>
      </c>
      <c r="K856" s="1122">
        <f t="shared" ca="1" si="1643"/>
        <v>72210.542589027376</v>
      </c>
      <c r="L856" s="1122">
        <f t="shared" ca="1" si="1643"/>
        <v>69965.953347650502</v>
      </c>
      <c r="N856" s="186">
        <f ca="1">SUM(G856:M856)</f>
        <v>757489.04999604134</v>
      </c>
      <c r="O856" s="136">
        <f>ROW()</f>
        <v>856</v>
      </c>
      <c r="P856" s="10">
        <f t="shared" ref="P856:U856" ca="1" si="1644">P854*$I$85</f>
        <v>37485.073359640322</v>
      </c>
      <c r="Q856" s="10">
        <f t="shared" ca="1" si="1644"/>
        <v>10836.757837929616</v>
      </c>
      <c r="R856" s="10">
        <f t="shared" ca="1" si="1644"/>
        <v>31919.187013458704</v>
      </c>
      <c r="S856" s="10">
        <f t="shared" ca="1" si="1644"/>
        <v>20251.51364180071</v>
      </c>
      <c r="T856" s="10">
        <f t="shared" ca="1" si="1644"/>
        <v>11409.461069819079</v>
      </c>
      <c r="U856" s="10">
        <f t="shared" ca="1" si="1644"/>
        <v>11506.314688182236</v>
      </c>
      <c r="V856" s="10"/>
      <c r="W856" s="10">
        <f ca="1">SUM(P856:V856)</f>
        <v>123408.30761083067</v>
      </c>
      <c r="Y856" s="10">
        <f t="shared" ref="Y856:AD856" ca="1" si="1645">Y854*$J$85</f>
        <v>104148.8162551993</v>
      </c>
      <c r="Z856" s="10">
        <f t="shared" ca="1" si="1645"/>
        <v>30108.931361457835</v>
      </c>
      <c r="AA856" s="10">
        <f t="shared" ca="1" si="1645"/>
        <v>88684.514803680038</v>
      </c>
      <c r="AB856" s="10">
        <f t="shared" ca="1" si="1645"/>
        <v>56266.96132974574</v>
      </c>
      <c r="AC856" s="10">
        <f t="shared" ca="1" si="1645"/>
        <v>31700.13442766379</v>
      </c>
      <c r="AD856" s="10">
        <f t="shared" ca="1" si="1645"/>
        <v>31969.233266174178</v>
      </c>
      <c r="AE856" s="10"/>
      <c r="AF856" s="10">
        <f ca="1">SUM(Y856:AE856)</f>
        <v>342878.59144392086</v>
      </c>
      <c r="AH856" s="10">
        <f t="shared" ref="AH856:AM856" ca="1" si="1646">AH854*$K$85</f>
        <v>41202.432389876572</v>
      </c>
      <c r="AI856" s="10">
        <f t="shared" ca="1" si="1646"/>
        <v>11911.428793507481</v>
      </c>
      <c r="AJ856" s="10">
        <f t="shared" ca="1" si="1646"/>
        <v>35084.582394811601</v>
      </c>
      <c r="AK856" s="10">
        <f t="shared" ca="1" si="1646"/>
        <v>22259.836965328086</v>
      </c>
      <c r="AL856" s="10">
        <f t="shared" ca="1" si="1646"/>
        <v>12540.926459551689</v>
      </c>
      <c r="AM856" s="10">
        <f t="shared" ca="1" si="1646"/>
        <v>12647.384959019892</v>
      </c>
      <c r="AN856" s="10"/>
      <c r="AO856" s="10">
        <f ca="1">SUM(AH856:AN856)</f>
        <v>135646.59196209532</v>
      </c>
      <c r="AQ856" s="10">
        <f ca="1">AQ854*$L$85*Taxis!$L$130</f>
        <v>24095.125579312458</v>
      </c>
      <c r="AR856" s="10">
        <f ca="1">AR854*$L$85*Taxis!$L$130</f>
        <v>9870.4559321124216</v>
      </c>
      <c r="AS856" s="10">
        <f ca="1">AS854*$L$85*Taxis!$L$130</f>
        <v>31520.243928199972</v>
      </c>
      <c r="AT856" s="10">
        <f ca="1">AT854*$L$85*Taxis!$L$130</f>
        <v>20346.563304854</v>
      </c>
      <c r="AU856" s="10">
        <f ca="1">AU854*$L$85*Taxis!$L$130</f>
        <v>12095.793542315403</v>
      </c>
      <c r="AV856" s="10">
        <f ca="1">AV854*$L$85*Taxis!$L$130</f>
        <v>9340.8970281814636</v>
      </c>
      <c r="AW856" s="10"/>
      <c r="AX856" s="10">
        <f ca="1">SUM(AQ856:AW856)</f>
        <v>107269.07931497572</v>
      </c>
      <c r="AZ856" s="10">
        <f t="shared" ref="AZ856:BE856" ca="1" si="1647">AZ854*$M$85</f>
        <v>11189.623073832247</v>
      </c>
      <c r="BA856" s="10">
        <f t="shared" ca="1" si="1647"/>
        <v>3234.8672332968645</v>
      </c>
      <c r="BB856" s="10">
        <f t="shared" ca="1" si="1647"/>
        <v>9528.1571967874934</v>
      </c>
      <c r="BC856" s="10">
        <f t="shared" ca="1" si="1647"/>
        <v>6045.2543910533259</v>
      </c>
      <c r="BD856" s="10">
        <f t="shared" ca="1" si="1647"/>
        <v>3405.8241695825591</v>
      </c>
      <c r="BE856" s="10">
        <f t="shared" ca="1" si="1647"/>
        <v>3434.7358238942033</v>
      </c>
      <c r="BF856" s="10"/>
      <c r="BG856" s="10">
        <f ca="1">SUM(AZ856:BF856)</f>
        <v>36838.461888446691</v>
      </c>
      <c r="BI856" s="10">
        <f t="shared" ref="BI856:BN856" ca="1" si="1648">BI854*$N$85</f>
        <v>3477.3168391592112</v>
      </c>
      <c r="BJ856" s="10">
        <f t="shared" ca="1" si="1648"/>
        <v>1005.2758907575152</v>
      </c>
      <c r="BK856" s="10">
        <f t="shared" ca="1" si="1648"/>
        <v>2960.9953121680915</v>
      </c>
      <c r="BL856" s="10">
        <f t="shared" ca="1" si="1648"/>
        <v>1878.639231393832</v>
      </c>
      <c r="BM856" s="10">
        <f t="shared" ca="1" si="1648"/>
        <v>1058.4029200948601</v>
      </c>
      <c r="BN856" s="10">
        <f t="shared" ca="1" si="1648"/>
        <v>1067.3875821985312</v>
      </c>
      <c r="BO856" s="10"/>
      <c r="BP856" s="10">
        <f ca="1">SUM(BI856:BO856)</f>
        <v>11448.017775772041</v>
      </c>
    </row>
    <row r="857" spans="2:68" ht="13.2" customHeight="1">
      <c r="G857" s="10"/>
      <c r="H857" s="10"/>
      <c r="I857" s="10"/>
      <c r="J857" s="10"/>
      <c r="K857" s="10"/>
      <c r="L857" s="10"/>
      <c r="M857" s="10"/>
      <c r="N857" s="186"/>
      <c r="O857" s="136">
        <f>ROW()</f>
        <v>857</v>
      </c>
      <c r="AQ857" s="265" t="str">
        <f>CONCATENATE("Taxicab outbound cordon VMT is attenuated with factor from 'Taxis' worksheet, Cell L",Taxis!O$130, ", to reflect shorter cordon leg for last trip in shift.")</f>
        <v>Taxicab outbound cordon VMT is attenuated with factor from 'Taxis' worksheet, Cell L130, to reflect shorter cordon leg for last trip in shift.</v>
      </c>
      <c r="AR857" s="10"/>
      <c r="AS857" s="10"/>
      <c r="AT857" s="10"/>
      <c r="AU857" s="10"/>
      <c r="AV857" s="10"/>
    </row>
    <row r="858" spans="2:68" ht="13.2" customHeight="1">
      <c r="B858" s="308" t="s">
        <v>1431</v>
      </c>
      <c r="O858" s="136">
        <f>ROW()</f>
        <v>858</v>
      </c>
      <c r="AQ858" s="265" t="str">
        <f>CONCATENATE("Row ",O860, " figures are set equal to ",O859, " figures, since rebound effects are presumed accounted for by taxi time-elasticity.")</f>
        <v>Row 860 figures are set equal to 859 figures, since rebound effects are presumed accounted for by taxi time-elasticity.</v>
      </c>
    </row>
    <row r="859" spans="2:68" s="1122" customFormat="1" ht="13.2" customHeight="1">
      <c r="B859" s="1123" t="s">
        <v>1112</v>
      </c>
      <c r="G859" s="1122">
        <f t="shared" ref="G859:L861" ca="1" si="1649">P859+Y859+AH859+AQ859+AZ859+BI859</f>
        <v>490077.81652324117</v>
      </c>
      <c r="H859" s="1122">
        <f t="shared" ca="1" si="1649"/>
        <v>115622.04457461425</v>
      </c>
      <c r="I859" s="1122">
        <f t="shared" ca="1" si="1649"/>
        <v>324018.55491233902</v>
      </c>
      <c r="J859" s="1122">
        <f t="shared" ca="1" si="1649"/>
        <v>205268.34955337425</v>
      </c>
      <c r="K859" s="1122">
        <f t="shared" ca="1" si="1649"/>
        <v>130145.96936809691</v>
      </c>
      <c r="L859" s="1122">
        <f t="shared" ca="1" si="1649"/>
        <v>123891.37472417029</v>
      </c>
      <c r="N859" s="1127">
        <f ca="1">SUM(G859:M859)</f>
        <v>1389024.1096558359</v>
      </c>
      <c r="O859" s="136">
        <f>ROW()</f>
        <v>859</v>
      </c>
      <c r="P859" s="1122">
        <f t="shared" ref="P859:U859" ca="1" si="1650">P812</f>
        <v>11031.793261554316</v>
      </c>
      <c r="Q859" s="1122">
        <f t="shared" ca="1" si="1650"/>
        <v>3893.5007335751252</v>
      </c>
      <c r="R859" s="1122">
        <f t="shared" ca="1" si="1650"/>
        <v>12225.837098046561</v>
      </c>
      <c r="S859" s="1122">
        <f t="shared" ca="1" si="1650"/>
        <v>7837.4579611133595</v>
      </c>
      <c r="T859" s="1122">
        <f t="shared" ca="1" si="1650"/>
        <v>4548.0092966400243</v>
      </c>
      <c r="U859" s="1122">
        <f t="shared" ca="1" si="1650"/>
        <v>4030.450767133138</v>
      </c>
      <c r="W859" s="1122">
        <f ca="1">SUM(P859:V859)</f>
        <v>43567.049118062525</v>
      </c>
      <c r="Y859" s="1122">
        <f t="shared" ref="Y859:AD859" ca="1" si="1651">Y812</f>
        <v>33095.379784662953</v>
      </c>
      <c r="Z859" s="1122">
        <f t="shared" ca="1" si="1651"/>
        <v>11680.502200725372</v>
      </c>
      <c r="AA859" s="1122">
        <f t="shared" ca="1" si="1651"/>
        <v>36677.511294139687</v>
      </c>
      <c r="AB859" s="1122">
        <f t="shared" ca="1" si="1651"/>
        <v>23512.373883340078</v>
      </c>
      <c r="AC859" s="1122">
        <f t="shared" ca="1" si="1651"/>
        <v>13644.027889920068</v>
      </c>
      <c r="AD859" s="1122">
        <f t="shared" ca="1" si="1651"/>
        <v>12091.352301399413</v>
      </c>
      <c r="AF859" s="1122">
        <f ca="1">SUM(Y859:AE859)</f>
        <v>130701.14735418756</v>
      </c>
      <c r="AH859" s="1122">
        <f t="shared" ref="AH859:AM859" ca="1" si="1652">AH812</f>
        <v>0</v>
      </c>
      <c r="AI859" s="1122">
        <f t="shared" ca="1" si="1652"/>
        <v>0</v>
      </c>
      <c r="AJ859" s="1122">
        <f t="shared" ca="1" si="1652"/>
        <v>0</v>
      </c>
      <c r="AK859" s="1122">
        <f t="shared" ca="1" si="1652"/>
        <v>0</v>
      </c>
      <c r="AL859" s="1122">
        <f t="shared" ca="1" si="1652"/>
        <v>0</v>
      </c>
      <c r="AM859" s="1122">
        <f t="shared" ca="1" si="1652"/>
        <v>0</v>
      </c>
      <c r="AO859" s="1122">
        <f ca="1">SUM(AH859:AN859)</f>
        <v>0</v>
      </c>
      <c r="AQ859" s="1122">
        <f t="shared" ref="AQ859:AV859" si="1653">AQ812</f>
        <v>438656.72193199908</v>
      </c>
      <c r="AR859" s="1122">
        <f t="shared" si="1653"/>
        <v>97563.564894963914</v>
      </c>
      <c r="AS859" s="1122">
        <f t="shared" si="1653"/>
        <v>267453.00942252984</v>
      </c>
      <c r="AT859" s="1122">
        <f t="shared" si="1653"/>
        <v>169012.18827727382</v>
      </c>
      <c r="AU859" s="1122">
        <f t="shared" si="1653"/>
        <v>109114.24796886933</v>
      </c>
      <c r="AV859" s="1122">
        <f t="shared" si="1653"/>
        <v>105261.8059659023</v>
      </c>
      <c r="AX859" s="1122">
        <f>SUM(AQ859:AW859)</f>
        <v>1187061.5384615383</v>
      </c>
      <c r="AZ859" s="1122">
        <f t="shared" ref="AZ859:BE859" ca="1" si="1654">AZ812</f>
        <v>4160.1089799375177</v>
      </c>
      <c r="BA859" s="1122">
        <f t="shared" ca="1" si="1654"/>
        <v>1410.9675124543496</v>
      </c>
      <c r="BB859" s="1122">
        <f t="shared" ca="1" si="1654"/>
        <v>4341.97032325483</v>
      </c>
      <c r="BC859" s="1122">
        <f t="shared" ca="1" si="1654"/>
        <v>2779.9072503028005</v>
      </c>
      <c r="BD859" s="1122">
        <f t="shared" ca="1" si="1654"/>
        <v>1608.4440692209653</v>
      </c>
      <c r="BE859" s="1122">
        <f t="shared" ca="1" si="1654"/>
        <v>1419.8373171594587</v>
      </c>
      <c r="BG859" s="1122">
        <f ca="1">SUM(AZ859:BF859)</f>
        <v>15721.23545232992</v>
      </c>
      <c r="BI859" s="1122">
        <f t="shared" ref="BI859:BN859" ca="1" si="1655">BI812</f>
        <v>3133.8125650872848</v>
      </c>
      <c r="BJ859" s="1122">
        <f t="shared" ca="1" si="1655"/>
        <v>1073.5092328954947</v>
      </c>
      <c r="BK859" s="1122">
        <f t="shared" ca="1" si="1655"/>
        <v>3320.2267743681182</v>
      </c>
      <c r="BL859" s="1122">
        <f t="shared" ca="1" si="1655"/>
        <v>2126.4221813441704</v>
      </c>
      <c r="BM859" s="1122">
        <f t="shared" ca="1" si="1655"/>
        <v>1231.2401434465323</v>
      </c>
      <c r="BN859" s="1122">
        <f t="shared" ca="1" si="1655"/>
        <v>1087.9283725759833</v>
      </c>
      <c r="BP859" s="1122">
        <f ca="1">SUM(BI859:BO859)</f>
        <v>11973.139269717583</v>
      </c>
    </row>
    <row r="860" spans="2:68" s="1122" customFormat="1" ht="13.2" customHeight="1">
      <c r="B860" s="1123" t="s">
        <v>114</v>
      </c>
      <c r="G860" s="1122">
        <f t="shared" ca="1" si="1649"/>
        <v>490078.37918799947</v>
      </c>
      <c r="H860" s="1122">
        <f t="shared" ca="1" si="1649"/>
        <v>115621.07088090682</v>
      </c>
      <c r="I860" s="1122">
        <f t="shared" ca="1" si="1649"/>
        <v>324018.26721468696</v>
      </c>
      <c r="J860" s="1122">
        <f t="shared" ca="1" si="1649"/>
        <v>205270.16866253721</v>
      </c>
      <c r="K860" s="1122">
        <f t="shared" ca="1" si="1649"/>
        <v>130142.75901879331</v>
      </c>
      <c r="L860" s="1122">
        <f t="shared" ca="1" si="1649"/>
        <v>123889.87943812448</v>
      </c>
      <c r="N860" s="1127">
        <f ca="1">SUM(G860:M860)</f>
        <v>1389020.5244030482</v>
      </c>
      <c r="O860" s="136">
        <f>ROW()</f>
        <v>860</v>
      </c>
      <c r="P860" s="1122">
        <f t="shared" ref="P860:U860" ca="1" si="1656">P859*P839</f>
        <v>11031.925103089836</v>
      </c>
      <c r="Q860" s="1122">
        <f t="shared" ca="1" si="1656"/>
        <v>3893.2720950760063</v>
      </c>
      <c r="R860" s="1122">
        <f t="shared" ca="1" si="1656"/>
        <v>12225.769470836602</v>
      </c>
      <c r="S860" s="1122">
        <f t="shared" ca="1" si="1656"/>
        <v>7837.8855958585755</v>
      </c>
      <c r="T860" s="1122">
        <f t="shared" ca="1" si="1656"/>
        <v>4547.2544990913784</v>
      </c>
      <c r="U860" s="1122">
        <f t="shared" ca="1" si="1656"/>
        <v>4030.0991333460806</v>
      </c>
      <c r="W860" s="1122">
        <f ca="1">SUM(P860:V860)</f>
        <v>43566.205897298481</v>
      </c>
      <c r="Y860" s="1122">
        <f t="shared" ref="Y860:AD860" ca="1" si="1657">Y859*Y839</f>
        <v>33095.775309269513</v>
      </c>
      <c r="Z860" s="1122">
        <f t="shared" ca="1" si="1657"/>
        <v>11679.816285228015</v>
      </c>
      <c r="AA860" s="1122">
        <f t="shared" ca="1" si="1657"/>
        <v>36677.30841250981</v>
      </c>
      <c r="AB860" s="1122">
        <f t="shared" ca="1" si="1657"/>
        <v>23513.656787575728</v>
      </c>
      <c r="AC860" s="1122">
        <f t="shared" ca="1" si="1657"/>
        <v>13641.763497274129</v>
      </c>
      <c r="AD860" s="1122">
        <f t="shared" ca="1" si="1657"/>
        <v>12090.297400038242</v>
      </c>
      <c r="AF860" s="1122">
        <f ca="1">SUM(Y860:AE860)</f>
        <v>130698.61769189544</v>
      </c>
      <c r="AH860" s="1122">
        <f t="shared" ref="AH860:AM860" ca="1" si="1658">AH859*AH839</f>
        <v>0</v>
      </c>
      <c r="AI860" s="1122">
        <f t="shared" ca="1" si="1658"/>
        <v>0</v>
      </c>
      <c r="AJ860" s="1122">
        <f t="shared" ca="1" si="1658"/>
        <v>0</v>
      </c>
      <c r="AK860" s="1122">
        <f t="shared" ca="1" si="1658"/>
        <v>0</v>
      </c>
      <c r="AL860" s="1122">
        <f t="shared" ca="1" si="1658"/>
        <v>0</v>
      </c>
      <c r="AM860" s="1122">
        <f t="shared" ca="1" si="1658"/>
        <v>0</v>
      </c>
      <c r="AO860" s="1122">
        <f ca="1">SUM(AH860:AN860)</f>
        <v>0</v>
      </c>
      <c r="AQ860" s="1122">
        <f t="shared" ref="AQ860:AV860" si="1659">AQ859</f>
        <v>438656.72193199908</v>
      </c>
      <c r="AR860" s="1122">
        <f t="shared" si="1659"/>
        <v>97563.564894963914</v>
      </c>
      <c r="AS860" s="1122">
        <f t="shared" si="1659"/>
        <v>267453.00942252984</v>
      </c>
      <c r="AT860" s="1122">
        <f t="shared" si="1659"/>
        <v>169012.18827727382</v>
      </c>
      <c r="AU860" s="1122">
        <f t="shared" si="1659"/>
        <v>109114.24796886933</v>
      </c>
      <c r="AV860" s="1122">
        <f t="shared" si="1659"/>
        <v>105261.8059659023</v>
      </c>
      <c r="AX860" s="1122">
        <f>SUM(AQ860:AW860)</f>
        <v>1187061.5384615383</v>
      </c>
      <c r="AZ860" s="1122">
        <f t="shared" ref="AZ860:BE860" ca="1" si="1660">AZ859*AZ839</f>
        <v>4160.1255524311555</v>
      </c>
      <c r="BA860" s="1122">
        <f t="shared" ca="1" si="1660"/>
        <v>1410.9398931102719</v>
      </c>
      <c r="BB860" s="1122">
        <f t="shared" ca="1" si="1660"/>
        <v>4341.9623173713953</v>
      </c>
      <c r="BC860" s="1122">
        <f t="shared" ca="1" si="1660"/>
        <v>2779.9578093537098</v>
      </c>
      <c r="BD860" s="1122">
        <f t="shared" ca="1" si="1660"/>
        <v>1608.3550840020343</v>
      </c>
      <c r="BE860" s="1122">
        <f t="shared" ca="1" si="1660"/>
        <v>1419.7960250623987</v>
      </c>
      <c r="BG860" s="1122">
        <f ca="1">SUM(AZ860:BF860)</f>
        <v>15721.136681330965</v>
      </c>
      <c r="BI860" s="1122">
        <f t="shared" ref="BI860:BN860" ca="1" si="1661">BI859*BI839</f>
        <v>3133.8312912098827</v>
      </c>
      <c r="BJ860" s="1122">
        <f t="shared" ca="1" si="1661"/>
        <v>1073.4777125286023</v>
      </c>
      <c r="BK860" s="1122">
        <f t="shared" ca="1" si="1661"/>
        <v>3320.2175914392978</v>
      </c>
      <c r="BL860" s="1122">
        <f t="shared" ca="1" si="1661"/>
        <v>2126.480192475371</v>
      </c>
      <c r="BM860" s="1122">
        <f t="shared" ca="1" si="1661"/>
        <v>1231.1379695564463</v>
      </c>
      <c r="BN860" s="1122">
        <f t="shared" ca="1" si="1661"/>
        <v>1087.880913775462</v>
      </c>
      <c r="BP860" s="1122">
        <f ca="1">SUM(BI860:BO860)</f>
        <v>11973.025670985062</v>
      </c>
    </row>
    <row r="861" spans="2:68" s="1122" customFormat="1" ht="13.2" customHeight="1">
      <c r="B861" s="1123" t="s">
        <v>1880</v>
      </c>
      <c r="G861" s="1122">
        <f t="shared" ca="1" si="1649"/>
        <v>0.5626647583153499</v>
      </c>
      <c r="H861" s="1122">
        <f t="shared" ca="1" si="1649"/>
        <v>-0.97369370744627304</v>
      </c>
      <c r="I861" s="1122">
        <f t="shared" ca="1" si="1649"/>
        <v>-0.287697652091083</v>
      </c>
      <c r="J861" s="1122">
        <f t="shared" ca="1" si="1649"/>
        <v>1.8191091629755647</v>
      </c>
      <c r="K861" s="1122">
        <f t="shared" ca="1" si="1649"/>
        <v>-3.2103493036015607</v>
      </c>
      <c r="L861" s="1122">
        <f t="shared" ca="1" si="1649"/>
        <v>-1.4952860458095074</v>
      </c>
      <c r="N861" s="1127">
        <f ca="1">W861+AF861+AO861+AX861+BG861+BP861</f>
        <v>-3.585252787635909</v>
      </c>
      <c r="O861" s="136">
        <f>ROW()</f>
        <v>861</v>
      </c>
      <c r="P861" s="1122">
        <f t="shared" ref="P861:W861" ca="1" si="1662">P860-P859</f>
        <v>0.13184153551992495</v>
      </c>
      <c r="Q861" s="1122">
        <f t="shared" ca="1" si="1662"/>
        <v>-0.22863849911891521</v>
      </c>
      <c r="R861" s="1122">
        <f t="shared" ca="1" si="1662"/>
        <v>-6.7627209959027823E-2</v>
      </c>
      <c r="S861" s="1122">
        <f t="shared" ca="1" si="1662"/>
        <v>0.42763474521598255</v>
      </c>
      <c r="T861" s="1122">
        <f t="shared" ca="1" si="1662"/>
        <v>-0.75479754864591087</v>
      </c>
      <c r="U861" s="1122">
        <f t="shared" ca="1" si="1662"/>
        <v>-0.35163378705738069</v>
      </c>
      <c r="W861" s="1131">
        <f t="shared" ca="1" si="1662"/>
        <v>-0.8432207640435081</v>
      </c>
      <c r="Y861" s="1122">
        <f t="shared" ref="Y861:AF861" ca="1" si="1663">Y860-Y859</f>
        <v>0.39552460655977484</v>
      </c>
      <c r="Z861" s="1122">
        <f t="shared" ca="1" si="1663"/>
        <v>-0.68591549735720037</v>
      </c>
      <c r="AA861" s="1122">
        <f t="shared" ca="1" si="1663"/>
        <v>-0.20288162987708347</v>
      </c>
      <c r="AB861" s="1122">
        <f t="shared" ca="1" si="1663"/>
        <v>1.2829042356497666</v>
      </c>
      <c r="AC861" s="1122">
        <f t="shared" ca="1" si="1663"/>
        <v>-2.2643926459386421</v>
      </c>
      <c r="AD861" s="1122">
        <f t="shared" ca="1" si="1663"/>
        <v>-1.0549013611707778</v>
      </c>
      <c r="AF861" s="1131">
        <f t="shared" ca="1" si="1663"/>
        <v>-2.5296622921159724</v>
      </c>
      <c r="AH861" s="1122">
        <f t="shared" ref="AH861:AO861" ca="1" si="1664">AH860-AH859</f>
        <v>0</v>
      </c>
      <c r="AI861" s="1122">
        <f t="shared" ca="1" si="1664"/>
        <v>0</v>
      </c>
      <c r="AJ861" s="1122">
        <f t="shared" ca="1" si="1664"/>
        <v>0</v>
      </c>
      <c r="AK861" s="1122">
        <f t="shared" ca="1" si="1664"/>
        <v>0</v>
      </c>
      <c r="AL861" s="1122">
        <f t="shared" ca="1" si="1664"/>
        <v>0</v>
      </c>
      <c r="AM861" s="1122">
        <f t="shared" ca="1" si="1664"/>
        <v>0</v>
      </c>
      <c r="AO861" s="1131">
        <f t="shared" ca="1" si="1664"/>
        <v>0</v>
      </c>
      <c r="AQ861" s="10">
        <f t="shared" ref="AQ861:AX861" si="1665">AQ860-AQ859</f>
        <v>0</v>
      </c>
      <c r="AR861" s="10">
        <f t="shared" si="1665"/>
        <v>0</v>
      </c>
      <c r="AS861" s="10">
        <f t="shared" si="1665"/>
        <v>0</v>
      </c>
      <c r="AT861" s="10">
        <f t="shared" si="1665"/>
        <v>0</v>
      </c>
      <c r="AU861" s="10">
        <f t="shared" si="1665"/>
        <v>0</v>
      </c>
      <c r="AV861" s="10">
        <f t="shared" si="1665"/>
        <v>0</v>
      </c>
      <c r="AW861" s="10"/>
      <c r="AX861" s="138">
        <f t="shared" si="1665"/>
        <v>0</v>
      </c>
      <c r="AZ861" s="1122">
        <f t="shared" ref="AZ861:BG861" ca="1" si="1666">AZ860-AZ859</f>
        <v>1.657249363779556E-2</v>
      </c>
      <c r="BA861" s="1122">
        <f t="shared" ca="1" si="1666"/>
        <v>-2.7619344077720598E-2</v>
      </c>
      <c r="BB861" s="1122">
        <f t="shared" ca="1" si="1666"/>
        <v>-8.0058834346345975E-3</v>
      </c>
      <c r="BC861" s="1122">
        <f t="shared" ca="1" si="1666"/>
        <v>5.055905090921442E-2</v>
      </c>
      <c r="BD861" s="1122">
        <f t="shared" ca="1" si="1666"/>
        <v>-8.8985218930929477E-2</v>
      </c>
      <c r="BE861" s="1122">
        <f t="shared" ca="1" si="1666"/>
        <v>-4.129209706002257E-2</v>
      </c>
      <c r="BG861" s="1131">
        <f t="shared" ca="1" si="1666"/>
        <v>-9.877099895493302E-2</v>
      </c>
      <c r="BI861" s="1122">
        <f t="shared" ref="BI861:BP861" ca="1" si="1667">BI860-BI859</f>
        <v>1.8726122597854555E-2</v>
      </c>
      <c r="BJ861" s="1122">
        <f t="shared" ca="1" si="1667"/>
        <v>-3.1520366892436869E-2</v>
      </c>
      <c r="BK861" s="1122">
        <f t="shared" ca="1" si="1667"/>
        <v>-9.1829288203371107E-3</v>
      </c>
      <c r="BL861" s="1122">
        <f t="shared" ca="1" si="1667"/>
        <v>5.8011131200601085E-2</v>
      </c>
      <c r="BM861" s="1122">
        <f t="shared" ca="1" si="1667"/>
        <v>-0.10217389008607825</v>
      </c>
      <c r="BN861" s="1122">
        <f t="shared" ca="1" si="1667"/>
        <v>-4.7458800521326339E-2</v>
      </c>
      <c r="BP861" s="1131">
        <f t="shared" ca="1" si="1667"/>
        <v>-0.11359873252149555</v>
      </c>
    </row>
    <row r="862" spans="2:68" ht="13.2" customHeight="1">
      <c r="O862" s="136">
        <f>ROW()</f>
        <v>862</v>
      </c>
    </row>
    <row r="863" spans="2:68" s="1122" customFormat="1" ht="13.2" customHeight="1">
      <c r="B863" s="1195" t="s">
        <v>1815</v>
      </c>
      <c r="G863" s="1122">
        <f t="shared" ref="G863:N864" ca="1" si="1668">P863+Y863+AH863+AQ863+AZ863+BI863</f>
        <v>893253.23712641816</v>
      </c>
      <c r="H863" s="1122">
        <f t="shared" ca="1" si="1668"/>
        <v>256925.32688375723</v>
      </c>
      <c r="I863" s="1122">
        <f t="shared" ca="1" si="1668"/>
        <v>764075.90208474826</v>
      </c>
      <c r="J863" s="1122">
        <f t="shared" ca="1" si="1668"/>
        <v>490631.07371462573</v>
      </c>
      <c r="K863" s="1122">
        <f t="shared" ca="1" si="1668"/>
        <v>289822.80556811328</v>
      </c>
      <c r="L863" s="1122">
        <f t="shared" ca="1" si="1668"/>
        <v>253304.93787497687</v>
      </c>
      <c r="N863" s="1127">
        <f t="shared" ca="1" si="1668"/>
        <v>2948013.2832526397</v>
      </c>
      <c r="O863" s="136">
        <f>ROW()</f>
        <v>863</v>
      </c>
      <c r="P863" s="1122">
        <f t="shared" ref="P863:U863" ca="1" si="1669">P816</f>
        <v>84801.609341472198</v>
      </c>
      <c r="Q863" s="1122">
        <f t="shared" ca="1" si="1669"/>
        <v>28775.789386356661</v>
      </c>
      <c r="R863" s="1122">
        <f t="shared" ca="1" si="1669"/>
        <v>81780.119607606219</v>
      </c>
      <c r="S863" s="1122">
        <f t="shared" ca="1" si="1669"/>
        <v>42890.572559470194</v>
      </c>
      <c r="T863" s="1122">
        <f t="shared" ca="1" si="1669"/>
        <v>29447.324315452417</v>
      </c>
      <c r="U863" s="1122">
        <f t="shared" ca="1" si="1669"/>
        <v>22759.810029712386</v>
      </c>
      <c r="W863" s="1122">
        <f ca="1">SUM(P863:V863)</f>
        <v>290455.22524007008</v>
      </c>
      <c r="Y863" s="1122">
        <f t="shared" ref="Y863:AD863" ca="1" si="1670">Y816</f>
        <v>191774.50809084385</v>
      </c>
      <c r="Z863" s="1122">
        <f t="shared" ca="1" si="1670"/>
        <v>68350.272088087673</v>
      </c>
      <c r="AA863" s="1122">
        <f t="shared" ca="1" si="1670"/>
        <v>234963.65318791286</v>
      </c>
      <c r="AB863" s="1122">
        <f t="shared" ca="1" si="1670"/>
        <v>165761.21057722633</v>
      </c>
      <c r="AC863" s="1122">
        <f t="shared" ca="1" si="1670"/>
        <v>85181.954662879507</v>
      </c>
      <c r="AD863" s="1122">
        <f t="shared" ca="1" si="1670"/>
        <v>70637.935105626297</v>
      </c>
      <c r="AF863" s="1122">
        <f ca="1">SUM(Y863:AE863)</f>
        <v>816669.53371257661</v>
      </c>
      <c r="AH863" s="1122">
        <f t="shared" ref="AH863:AM863" ca="1" si="1671">AH816</f>
        <v>80435.313478158394</v>
      </c>
      <c r="AI863" s="1122">
        <f t="shared" ca="1" si="1671"/>
        <v>27545.112495762885</v>
      </c>
      <c r="AJ863" s="1122">
        <f t="shared" ca="1" si="1671"/>
        <v>72528.320308498412</v>
      </c>
      <c r="AK863" s="1122">
        <f t="shared" ca="1" si="1671"/>
        <v>43980.828138761062</v>
      </c>
      <c r="AL863" s="1122">
        <f t="shared" ca="1" si="1671"/>
        <v>25444.589514866784</v>
      </c>
      <c r="AM863" s="1122">
        <f t="shared" ca="1" si="1671"/>
        <v>21429.631375787343</v>
      </c>
      <c r="AO863" s="1122">
        <f ca="1">SUM(AH863:AN863)</f>
        <v>271363.7953118349</v>
      </c>
      <c r="AQ863" s="10">
        <f t="shared" ref="AQ863:AV863" ca="1" si="1672">AQ816</f>
        <v>502998.12881102966</v>
      </c>
      <c r="AR863" s="10">
        <f t="shared" ca="1" si="1672"/>
        <v>121090.0808527504</v>
      </c>
      <c r="AS863" s="10">
        <f t="shared" ca="1" si="1672"/>
        <v>340612.84032427327</v>
      </c>
      <c r="AT863" s="10">
        <f t="shared" ca="1" si="1672"/>
        <v>216106.30800953342</v>
      </c>
      <c r="AU863" s="10">
        <f t="shared" ca="1" si="1672"/>
        <v>137103.48933382597</v>
      </c>
      <c r="AV863" s="10">
        <f t="shared" ca="1" si="1672"/>
        <v>127336.74860206751</v>
      </c>
      <c r="AW863" s="10"/>
      <c r="AX863" s="10">
        <f ca="1">SUM(AQ863:AW863)</f>
        <v>1445247.5959334802</v>
      </c>
      <c r="AZ863" s="1122">
        <f t="shared" ref="AZ863:BE863" ca="1" si="1673">AZ816</f>
        <v>23947.138860877509</v>
      </c>
      <c r="BA863" s="1122">
        <f t="shared" ca="1" si="1673"/>
        <v>8031.8016813655522</v>
      </c>
      <c r="BB863" s="1122">
        <f t="shared" ca="1" si="1673"/>
        <v>24586.658689896456</v>
      </c>
      <c r="BC863" s="1122">
        <f t="shared" ca="1" si="1673"/>
        <v>15744.135555053736</v>
      </c>
      <c r="BD863" s="1122">
        <f t="shared" ca="1" si="1673"/>
        <v>9089.7155048083714</v>
      </c>
      <c r="BE863" s="1122">
        <f t="shared" ca="1" si="1673"/>
        <v>8005.1925200726719</v>
      </c>
      <c r="BG863" s="1122">
        <f ca="1">SUM(AZ863:BF863)</f>
        <v>89404.642812074293</v>
      </c>
      <c r="BI863" s="1122">
        <f t="shared" ref="BI863:BN863" ca="1" si="1674">BI816</f>
        <v>9296.5385440365626</v>
      </c>
      <c r="BJ863" s="1122">
        <f t="shared" ca="1" si="1674"/>
        <v>3132.270379434055</v>
      </c>
      <c r="BK863" s="1122">
        <f t="shared" ca="1" si="1674"/>
        <v>9604.309966561048</v>
      </c>
      <c r="BL863" s="1122">
        <f t="shared" ca="1" si="1674"/>
        <v>6148.0188745810538</v>
      </c>
      <c r="BM863" s="1122">
        <f t="shared" ca="1" si="1674"/>
        <v>3555.7322362802993</v>
      </c>
      <c r="BN863" s="1122">
        <f t="shared" ca="1" si="1674"/>
        <v>3135.6202417106497</v>
      </c>
      <c r="BP863" s="1122">
        <f ca="1">SUM(BI863:BO863)</f>
        <v>34872.490242603664</v>
      </c>
    </row>
    <row r="864" spans="2:68" s="1122" customFormat="1" ht="13.2" customHeight="1">
      <c r="B864" s="1195" t="s">
        <v>317</v>
      </c>
      <c r="G864" s="1122">
        <f t="shared" ca="1" si="1668"/>
        <v>893181.46273244277</v>
      </c>
      <c r="H864" s="1122">
        <f t="shared" ca="1" si="1668"/>
        <v>256891.6987351632</v>
      </c>
      <c r="I864" s="1122">
        <f t="shared" ca="1" si="1668"/>
        <v>763958.88024368021</v>
      </c>
      <c r="J864" s="1122">
        <f t="shared" ca="1" si="1668"/>
        <v>490564.11366128235</v>
      </c>
      <c r="K864" s="1122">
        <f t="shared" ca="1" si="1668"/>
        <v>289776.7311140509</v>
      </c>
      <c r="L864" s="1122">
        <f t="shared" ca="1" si="1668"/>
        <v>253273.63675050187</v>
      </c>
      <c r="N864" s="1127">
        <f t="shared" ca="1" si="1668"/>
        <v>2947646.5232371213</v>
      </c>
      <c r="O864" s="136">
        <f>ROW()</f>
        <v>864</v>
      </c>
      <c r="P864" s="1122">
        <f t="shared" ref="P864:U864" ca="1" si="1675">P849+P856+P860</f>
        <v>84784.157207945682</v>
      </c>
      <c r="Q864" s="1122">
        <f t="shared" ca="1" si="1675"/>
        <v>28768.368558260645</v>
      </c>
      <c r="R864" s="1122">
        <f t="shared" ca="1" si="1675"/>
        <v>81757.39449903644</v>
      </c>
      <c r="S864" s="1122">
        <f t="shared" ca="1" si="1675"/>
        <v>42880.577311239584</v>
      </c>
      <c r="T864" s="1122">
        <f t="shared" ca="1" si="1675"/>
        <v>29438.304073051779</v>
      </c>
      <c r="U864" s="1122">
        <f t="shared" ca="1" si="1675"/>
        <v>22754.019469425682</v>
      </c>
      <c r="W864" s="1122">
        <f ca="1">SUM(P864:V864)</f>
        <v>290382.82111895975</v>
      </c>
      <c r="Y864" s="1122">
        <f t="shared" ref="Y864:AD864" ca="1" si="1676">Y849+Y856+Y860</f>
        <v>191732.73749195083</v>
      </c>
      <c r="Z864" s="1122">
        <f t="shared" ca="1" si="1676"/>
        <v>68332.654814521258</v>
      </c>
      <c r="AA864" s="1122">
        <f t="shared" ca="1" si="1676"/>
        <v>234897.10446881794</v>
      </c>
      <c r="AB864" s="1122">
        <f t="shared" ca="1" si="1676"/>
        <v>165718.72087564704</v>
      </c>
      <c r="AC864" s="1122">
        <f t="shared" ca="1" si="1676"/>
        <v>85155.286937394121</v>
      </c>
      <c r="AD864" s="1122">
        <f t="shared" ca="1" si="1676"/>
        <v>70619.295991406034</v>
      </c>
      <c r="AF864" s="1122">
        <f ca="1">SUM(Y864:AE864)</f>
        <v>816455.80057973717</v>
      </c>
      <c r="AH864" s="1122">
        <f t="shared" ref="AH864:AM864" ca="1" si="1677">AH849+AH856+AH860</f>
        <v>80424.925376002051</v>
      </c>
      <c r="AI864" s="1122">
        <f t="shared" ca="1" si="1677"/>
        <v>27537.446517244607</v>
      </c>
      <c r="AJ864" s="1122">
        <f t="shared" ca="1" si="1677"/>
        <v>72503.570359055186</v>
      </c>
      <c r="AK864" s="1122">
        <f t="shared" ca="1" si="1677"/>
        <v>43968.019733860558</v>
      </c>
      <c r="AL864" s="1122">
        <f t="shared" ca="1" si="1677"/>
        <v>25435.51032433565</v>
      </c>
      <c r="AM864" s="1122">
        <f t="shared" ca="1" si="1677"/>
        <v>21423.711613692562</v>
      </c>
      <c r="AO864" s="1122">
        <f ca="1">SUM(AH864:AN864)</f>
        <v>271293.18392419064</v>
      </c>
      <c r="AQ864" s="10">
        <f t="shared" ref="AQ864:AV864" ca="1" si="1678">AQ863</f>
        <v>502998.12881102966</v>
      </c>
      <c r="AR864" s="10">
        <f t="shared" ca="1" si="1678"/>
        <v>121090.0808527504</v>
      </c>
      <c r="AS864" s="10">
        <f t="shared" ca="1" si="1678"/>
        <v>340612.84032427327</v>
      </c>
      <c r="AT864" s="10">
        <f t="shared" ca="1" si="1678"/>
        <v>216106.30800953342</v>
      </c>
      <c r="AU864" s="10">
        <f t="shared" ca="1" si="1678"/>
        <v>137103.48933382597</v>
      </c>
      <c r="AV864" s="10">
        <f t="shared" ca="1" si="1678"/>
        <v>127336.74860206751</v>
      </c>
      <c r="AW864" s="10"/>
      <c r="AX864" s="10">
        <f ca="1">SUM(AQ864:AW864)</f>
        <v>1445247.5959334802</v>
      </c>
      <c r="AZ864" s="1122">
        <f t="shared" ref="AZ864:BE864" ca="1" si="1679">AZ849+AZ856+AZ860</f>
        <v>23945.702387077246</v>
      </c>
      <c r="BA864" s="1122">
        <f t="shared" ca="1" si="1679"/>
        <v>8031.2027763019105</v>
      </c>
      <c r="BB864" s="1122">
        <f t="shared" ca="1" si="1679"/>
        <v>24584.676964193128</v>
      </c>
      <c r="BC864" s="1122">
        <f t="shared" ca="1" si="1679"/>
        <v>15743.0064055162</v>
      </c>
      <c r="BD864" s="1122">
        <f t="shared" ca="1" si="1679"/>
        <v>9088.8901496883009</v>
      </c>
      <c r="BE864" s="1122">
        <f t="shared" ca="1" si="1679"/>
        <v>8004.5817754475647</v>
      </c>
      <c r="BG864" s="1122">
        <f ca="1">SUM(AZ864:BF864)</f>
        <v>89398.060458224354</v>
      </c>
      <c r="BI864" s="1122">
        <f t="shared" ref="BI864:BN864" ca="1" si="1680">BI849+BI856+BI860</f>
        <v>9295.8114584373343</v>
      </c>
      <c r="BJ864" s="1122">
        <f t="shared" ca="1" si="1680"/>
        <v>3131.9452160843884</v>
      </c>
      <c r="BK864" s="1122">
        <f t="shared" ca="1" si="1680"/>
        <v>9603.2936283042418</v>
      </c>
      <c r="BL864" s="1122">
        <f t="shared" ca="1" si="1680"/>
        <v>6147.4813254855699</v>
      </c>
      <c r="BM864" s="1122">
        <f t="shared" ca="1" si="1680"/>
        <v>3555.2502957550914</v>
      </c>
      <c r="BN864" s="1122">
        <f t="shared" ca="1" si="1680"/>
        <v>3135.2792984625175</v>
      </c>
      <c r="BP864" s="1122">
        <f ca="1">SUM(BI864:BO864)</f>
        <v>34869.061222529141</v>
      </c>
    </row>
    <row r="865" spans="2:68" ht="13.2" customHeight="1">
      <c r="B865" s="308" t="s">
        <v>2033</v>
      </c>
      <c r="G865" s="10">
        <f t="shared" ref="G865:L865" ca="1" si="1681">G864/G$118</f>
        <v>89318.146273244274</v>
      </c>
      <c r="H865" s="10">
        <f t="shared" ca="1" si="1681"/>
        <v>128445.8493675816</v>
      </c>
      <c r="I865" s="10">
        <f t="shared" ca="1" si="1681"/>
        <v>152791.77604873604</v>
      </c>
      <c r="J865" s="10">
        <f t="shared" ca="1" si="1681"/>
        <v>163521.37122042745</v>
      </c>
      <c r="K865" s="10">
        <f t="shared" ca="1" si="1681"/>
        <v>144888.36555702545</v>
      </c>
      <c r="L865" s="10">
        <f t="shared" ca="1" si="1681"/>
        <v>126636.81837525094</v>
      </c>
      <c r="M865" s="10"/>
      <c r="N865" s="6"/>
      <c r="O865" s="136">
        <f>ROW()</f>
        <v>865</v>
      </c>
      <c r="P865" s="10"/>
      <c r="Q865" s="10"/>
      <c r="R865" s="10"/>
      <c r="S865" s="10"/>
      <c r="T865" s="10"/>
      <c r="U865" s="10"/>
      <c r="V865" s="10"/>
      <c r="W865" s="10"/>
      <c r="Y865" s="10"/>
      <c r="Z865" s="10"/>
      <c r="AA865" s="10"/>
      <c r="AB865" s="10"/>
      <c r="AC865" s="10"/>
      <c r="AD865" s="10"/>
      <c r="AE865" s="10"/>
      <c r="AF865" s="10"/>
      <c r="AH865" s="10"/>
      <c r="AI865" s="10"/>
      <c r="AJ865" s="10"/>
      <c r="AK865" s="10"/>
      <c r="AL865" s="10"/>
      <c r="AM865" s="10"/>
      <c r="AN865" s="10"/>
      <c r="AO865" s="10"/>
      <c r="AQ865" s="10"/>
      <c r="AR865" s="10"/>
      <c r="AS865" s="10"/>
      <c r="AT865" s="10"/>
      <c r="AU865" s="10"/>
      <c r="AV865" s="10"/>
      <c r="AW865" s="10"/>
      <c r="AX865" s="10"/>
      <c r="AZ865" s="10"/>
      <c r="BA865" s="10"/>
      <c r="BB865" s="10"/>
      <c r="BC865" s="10"/>
      <c r="BD865" s="10"/>
      <c r="BE865" s="10"/>
      <c r="BF865" s="10"/>
      <c r="BG865" s="10"/>
      <c r="BI865" s="10"/>
      <c r="BJ865" s="10"/>
      <c r="BK865" s="10"/>
      <c r="BL865" s="10"/>
      <c r="BM865" s="10"/>
      <c r="BN865" s="10"/>
      <c r="BO865" s="10"/>
      <c r="BP865" s="10"/>
    </row>
    <row r="866" spans="2:68" ht="13.2" customHeight="1">
      <c r="B866" s="280" t="s">
        <v>2709</v>
      </c>
      <c r="G866" s="612">
        <f t="shared" ref="G866:L866" ca="1" si="1682">G864/G863</f>
        <v>0.99991964832480618</v>
      </c>
      <c r="H866" s="612">
        <f t="shared" ca="1" si="1682"/>
        <v>0.99986911314270999</v>
      </c>
      <c r="I866" s="612">
        <f t="shared" ca="1" si="1682"/>
        <v>0.99984684526661716</v>
      </c>
      <c r="J866" s="612">
        <f t="shared" ca="1" si="1682"/>
        <v>0.99986352259991118</v>
      </c>
      <c r="K866" s="612">
        <f t="shared" ca="1" si="1682"/>
        <v>0.9998410254363107</v>
      </c>
      <c r="L866" s="612">
        <f t="shared" ca="1" si="1682"/>
        <v>0.99987642907896868</v>
      </c>
      <c r="M866" s="612"/>
      <c r="N866" s="186"/>
      <c r="O866" s="136">
        <f>ROW()</f>
        <v>866</v>
      </c>
      <c r="P866" s="10"/>
      <c r="Q866" s="10"/>
      <c r="R866" s="10"/>
      <c r="S866" s="10"/>
      <c r="T866" s="10"/>
      <c r="U866" s="10"/>
      <c r="V866" s="10"/>
      <c r="W866" s="10"/>
      <c r="Y866" s="10"/>
      <c r="Z866" s="10"/>
      <c r="AA866" s="10"/>
      <c r="AB866" s="10"/>
      <c r="AC866" s="10"/>
      <c r="AD866" s="10"/>
      <c r="AE866" s="10"/>
      <c r="AF866" s="10"/>
      <c r="AH866" s="10"/>
      <c r="AI866" s="10"/>
      <c r="AJ866" s="10"/>
      <c r="AK866" s="10"/>
      <c r="AL866" s="10"/>
      <c r="AM866" s="10"/>
      <c r="AN866" s="10"/>
      <c r="AO866" s="10"/>
      <c r="AQ866" s="10"/>
      <c r="AR866" s="10"/>
      <c r="AS866" s="10"/>
      <c r="AT866" s="10"/>
      <c r="AU866" s="10"/>
      <c r="AV866" s="10"/>
      <c r="AW866" s="10"/>
      <c r="AX866" s="10"/>
      <c r="AZ866" s="10"/>
      <c r="BA866" s="10"/>
      <c r="BB866" s="10"/>
      <c r="BC866" s="10"/>
      <c r="BD866" s="10"/>
      <c r="BE866" s="10"/>
      <c r="BF866" s="10"/>
      <c r="BG866" s="10"/>
      <c r="BI866" s="10"/>
      <c r="BJ866" s="10"/>
      <c r="BK866" s="10"/>
      <c r="BL866" s="10"/>
      <c r="BM866" s="10"/>
      <c r="BN866" s="10"/>
      <c r="BO866" s="10"/>
      <c r="BP866" s="10"/>
    </row>
    <row r="867" spans="2:68" ht="13.2" customHeight="1">
      <c r="F867" s="927"/>
      <c r="G867" s="612"/>
      <c r="H867" s="612"/>
      <c r="I867" s="612"/>
      <c r="J867" s="612"/>
      <c r="K867" s="612"/>
      <c r="L867" s="612"/>
      <c r="M867" s="612"/>
      <c r="N867" s="186"/>
      <c r="O867" s="136">
        <f>ROW()</f>
        <v>867</v>
      </c>
      <c r="P867" s="10"/>
      <c r="Q867" s="10"/>
      <c r="R867" s="10"/>
      <c r="S867" s="10"/>
      <c r="T867" s="10"/>
      <c r="U867" s="10"/>
      <c r="V867" s="10"/>
      <c r="W867" s="10"/>
      <c r="Y867" s="10"/>
      <c r="Z867" s="10"/>
      <c r="AA867" s="10"/>
      <c r="AB867" s="10"/>
      <c r="AC867" s="10"/>
      <c r="AD867" s="10"/>
      <c r="AE867" s="10"/>
      <c r="AF867" s="10"/>
      <c r="AO867" s="10"/>
      <c r="AQ867" s="10"/>
      <c r="AR867" s="10"/>
      <c r="AS867" s="10"/>
      <c r="AT867" s="10"/>
      <c r="AU867" s="10"/>
      <c r="AV867" s="10"/>
      <c r="AW867" s="10"/>
      <c r="AX867" s="10"/>
      <c r="AZ867" s="10"/>
      <c r="BA867" s="10"/>
      <c r="BB867" s="10"/>
      <c r="BC867" s="10"/>
      <c r="BD867" s="10"/>
      <c r="BE867" s="10"/>
      <c r="BF867" s="10"/>
      <c r="BG867" s="10"/>
      <c r="BI867" s="10"/>
      <c r="BJ867" s="10"/>
      <c r="BK867" s="10"/>
      <c r="BL867" s="10"/>
      <c r="BM867" s="10"/>
      <c r="BN867" s="10"/>
      <c r="BO867" s="10"/>
      <c r="BP867" s="10"/>
    </row>
    <row r="868" spans="2:68" ht="13.2" customHeight="1">
      <c r="B868" s="308" t="s">
        <v>587</v>
      </c>
      <c r="C868" s="280"/>
      <c r="D868" s="280"/>
      <c r="E868" s="280"/>
      <c r="F868" s="280"/>
      <c r="G868" s="280"/>
      <c r="H868" s="280"/>
      <c r="I868" s="280"/>
      <c r="J868" s="280"/>
      <c r="K868" s="280"/>
      <c r="L868" s="280"/>
      <c r="M868" s="280"/>
      <c r="N868" s="280"/>
      <c r="O868" s="136">
        <f>ROW()</f>
        <v>868</v>
      </c>
    </row>
    <row r="869" spans="2:68" ht="13.2" customHeight="1">
      <c r="B869" s="280" t="s">
        <v>2034</v>
      </c>
      <c r="E869" s="280"/>
      <c r="F869" s="280"/>
      <c r="G869" s="21">
        <f t="shared" ref="G869:L869" ca="1" si="1683">KSC/(1+0.1*($G$401*G865/$I$181)^KSE)</f>
        <v>20.158788035353126</v>
      </c>
      <c r="H869" s="21">
        <f t="shared" ca="1" si="1683"/>
        <v>15.82021621818007</v>
      </c>
      <c r="I869" s="21">
        <f t="shared" ca="1" si="1683"/>
        <v>12.344759252267739</v>
      </c>
      <c r="J869" s="21">
        <f t="shared" ca="1" si="1683"/>
        <v>10.858438994482485</v>
      </c>
      <c r="K869" s="21">
        <f t="shared" ca="1" si="1683"/>
        <v>13.47681535363655</v>
      </c>
      <c r="L869" s="21">
        <f t="shared" ca="1" si="1683"/>
        <v>16.069184977442493</v>
      </c>
      <c r="M869" s="21"/>
      <c r="O869" s="136">
        <f>ROW()</f>
        <v>869</v>
      </c>
      <c r="P869" s="21">
        <f t="shared" ref="P869:U870" ca="1" si="1684">G869</f>
        <v>20.158788035353126</v>
      </c>
      <c r="Q869" s="21">
        <f t="shared" ca="1" si="1684"/>
        <v>15.82021621818007</v>
      </c>
      <c r="R869" s="21">
        <f t="shared" ca="1" si="1684"/>
        <v>12.344759252267739</v>
      </c>
      <c r="S869" s="21">
        <f t="shared" ca="1" si="1684"/>
        <v>10.858438994482485</v>
      </c>
      <c r="T869" s="21">
        <f t="shared" ca="1" si="1684"/>
        <v>13.47681535363655</v>
      </c>
      <c r="U869" s="21">
        <f t="shared" ca="1" si="1684"/>
        <v>16.069184977442493</v>
      </c>
      <c r="V869" s="21"/>
      <c r="Y869" s="21">
        <f t="shared" ref="Y869:AD870" ca="1" si="1685">G869</f>
        <v>20.158788035353126</v>
      </c>
      <c r="Z869" s="21">
        <f t="shared" ca="1" si="1685"/>
        <v>15.82021621818007</v>
      </c>
      <c r="AA869" s="21">
        <f t="shared" ca="1" si="1685"/>
        <v>12.344759252267739</v>
      </c>
      <c r="AB869" s="21">
        <f t="shared" ca="1" si="1685"/>
        <v>10.858438994482485</v>
      </c>
      <c r="AC869" s="21">
        <f t="shared" ca="1" si="1685"/>
        <v>13.47681535363655</v>
      </c>
      <c r="AD869" s="21">
        <f t="shared" ca="1" si="1685"/>
        <v>16.069184977442493</v>
      </c>
      <c r="AE869" s="21"/>
      <c r="AH869" s="21">
        <f t="shared" ref="AH869:AM870" ca="1" si="1686">P869</f>
        <v>20.158788035353126</v>
      </c>
      <c r="AI869" s="21">
        <f t="shared" ca="1" si="1686"/>
        <v>15.82021621818007</v>
      </c>
      <c r="AJ869" s="21">
        <f t="shared" ca="1" si="1686"/>
        <v>12.344759252267739</v>
      </c>
      <c r="AK869" s="21">
        <f t="shared" ca="1" si="1686"/>
        <v>10.858438994482485</v>
      </c>
      <c r="AL869" s="21">
        <f t="shared" ca="1" si="1686"/>
        <v>13.47681535363655</v>
      </c>
      <c r="AM869" s="21">
        <f t="shared" ca="1" si="1686"/>
        <v>16.069184977442493</v>
      </c>
      <c r="AN869" s="21"/>
      <c r="AQ869" s="21">
        <f t="shared" ref="AQ869:AV869" ca="1" si="1687">G869*$AU$181</f>
        <v>19.150848633585468</v>
      </c>
      <c r="AR869" s="21">
        <f t="shared" ca="1" si="1687"/>
        <v>15.029205407271066</v>
      </c>
      <c r="AS869" s="21">
        <f t="shared" ca="1" si="1687"/>
        <v>11.727521289654351</v>
      </c>
      <c r="AT869" s="21">
        <f t="shared" ca="1" si="1687"/>
        <v>10.31551704475836</v>
      </c>
      <c r="AU869" s="21">
        <f t="shared" ca="1" si="1687"/>
        <v>12.802974585954722</v>
      </c>
      <c r="AV869" s="21">
        <f t="shared" ca="1" si="1687"/>
        <v>15.265725728570368</v>
      </c>
      <c r="AW869" s="21"/>
      <c r="AZ869" s="21">
        <f t="shared" ref="AZ869:BE870" ca="1" si="1688">G869</f>
        <v>20.158788035353126</v>
      </c>
      <c r="BA869" s="21">
        <f t="shared" ca="1" si="1688"/>
        <v>15.82021621818007</v>
      </c>
      <c r="BB869" s="21">
        <f t="shared" ca="1" si="1688"/>
        <v>12.344759252267739</v>
      </c>
      <c r="BC869" s="21">
        <f t="shared" ca="1" si="1688"/>
        <v>10.858438994482485</v>
      </c>
      <c r="BD869" s="21">
        <f t="shared" ca="1" si="1688"/>
        <v>13.47681535363655</v>
      </c>
      <c r="BE869" s="21">
        <f t="shared" ca="1" si="1688"/>
        <v>16.069184977442493</v>
      </c>
      <c r="BF869" s="21"/>
      <c r="BG869" s="21"/>
      <c r="BI869" s="21">
        <f t="shared" ref="BI869:BN870" ca="1" si="1689">G869</f>
        <v>20.158788035353126</v>
      </c>
      <c r="BJ869" s="21">
        <f t="shared" ca="1" si="1689"/>
        <v>15.82021621818007</v>
      </c>
      <c r="BK869" s="21">
        <f t="shared" ca="1" si="1689"/>
        <v>12.344759252267739</v>
      </c>
      <c r="BL869" s="21">
        <f t="shared" ca="1" si="1689"/>
        <v>10.858438994482485</v>
      </c>
      <c r="BM869" s="21">
        <f t="shared" ca="1" si="1689"/>
        <v>13.47681535363655</v>
      </c>
      <c r="BN869" s="21">
        <f t="shared" ca="1" si="1689"/>
        <v>16.069184977442493</v>
      </c>
      <c r="BO869" s="21"/>
      <c r="BP869" s="21"/>
    </row>
    <row r="870" spans="2:68" ht="13.2" customHeight="1">
      <c r="B870" s="280" t="s">
        <v>1428</v>
      </c>
      <c r="E870" s="280"/>
      <c r="F870" s="280"/>
      <c r="G870" s="21">
        <f ca="1">MIN('Speed-Vol., non-Cordon'!$X$57*(G822 / 'Speed-Vol., non-Cordon'!$X$57)^G841,'Speed-Vol., non-Cordon'!$X$32)</f>
        <v>54.484915530600617</v>
      </c>
      <c r="H870" s="21">
        <f ca="1">MIN('Speed-Vol., non-Cordon'!$X$57*(H822 / 'Speed-Vol., non-Cordon'!$X$57)^H841,'Speed-Vol., non-Cordon'!$X$32)</f>
        <v>31.472172763726586</v>
      </c>
      <c r="I870" s="21">
        <f ca="1">MIN('Speed-Vol., non-Cordon'!$X$57*(I822 / 'Speed-Vol., non-Cordon'!$X$57)^I841,'Speed-Vol., non-Cordon'!$X$32)</f>
        <v>23.442930898207145</v>
      </c>
      <c r="J870" s="21">
        <f ca="1">MIN('Speed-Vol., non-Cordon'!$X$57*(J822 / 'Speed-Vol., non-Cordon'!$X$57)^J841,'Speed-Vol., non-Cordon'!$X$32)</f>
        <v>21.015835554139219</v>
      </c>
      <c r="K870" s="21">
        <f ca="1">MIN('Speed-Vol., non-Cordon'!$X$57*(K822 / 'Speed-Vol., non-Cordon'!$X$57)^K841,'Speed-Vol., non-Cordon'!$X$32)</f>
        <v>27.024431009255988</v>
      </c>
      <c r="L870" s="21">
        <f ca="1">MIN('Speed-Vol., non-Cordon'!$X$57*(L822 / 'Speed-Vol., non-Cordon'!$X$57)^L841,'Speed-Vol., non-Cordon'!$X$32)</f>
        <v>33.122081339665172</v>
      </c>
      <c r="M870" s="21"/>
      <c r="O870" s="136">
        <f>ROW()</f>
        <v>870</v>
      </c>
      <c r="P870" s="21">
        <f t="shared" ca="1" si="1684"/>
        <v>54.484915530600617</v>
      </c>
      <c r="Q870" s="21">
        <f t="shared" ca="1" si="1684"/>
        <v>31.472172763726586</v>
      </c>
      <c r="R870" s="21">
        <f t="shared" ca="1" si="1684"/>
        <v>23.442930898207145</v>
      </c>
      <c r="S870" s="21">
        <f t="shared" ca="1" si="1684"/>
        <v>21.015835554139219</v>
      </c>
      <c r="T870" s="21">
        <f t="shared" ca="1" si="1684"/>
        <v>27.024431009255988</v>
      </c>
      <c r="U870" s="21">
        <f t="shared" ca="1" si="1684"/>
        <v>33.122081339665172</v>
      </c>
      <c r="V870" s="21"/>
      <c r="Y870" s="21">
        <f t="shared" ca="1" si="1685"/>
        <v>54.484915530600617</v>
      </c>
      <c r="Z870" s="21">
        <f t="shared" ca="1" si="1685"/>
        <v>31.472172763726586</v>
      </c>
      <c r="AA870" s="21">
        <f t="shared" ca="1" si="1685"/>
        <v>23.442930898207145</v>
      </c>
      <c r="AB870" s="21">
        <f t="shared" ca="1" si="1685"/>
        <v>21.015835554139219</v>
      </c>
      <c r="AC870" s="21">
        <f t="shared" ca="1" si="1685"/>
        <v>27.024431009255988</v>
      </c>
      <c r="AD870" s="21">
        <f t="shared" ca="1" si="1685"/>
        <v>33.122081339665172</v>
      </c>
      <c r="AE870" s="21"/>
      <c r="AH870" s="21">
        <f t="shared" ca="1" si="1686"/>
        <v>54.484915530600617</v>
      </c>
      <c r="AI870" s="21">
        <f t="shared" ca="1" si="1686"/>
        <v>31.472172763726586</v>
      </c>
      <c r="AJ870" s="21">
        <f t="shared" ca="1" si="1686"/>
        <v>23.442930898207145</v>
      </c>
      <c r="AK870" s="21">
        <f t="shared" ca="1" si="1686"/>
        <v>21.015835554139219</v>
      </c>
      <c r="AL870" s="21">
        <f t="shared" ca="1" si="1686"/>
        <v>27.024431009255988</v>
      </c>
      <c r="AM870" s="21">
        <f t="shared" ca="1" si="1686"/>
        <v>33.122081339665172</v>
      </c>
      <c r="AN870" s="21"/>
      <c r="AQ870" s="21">
        <f t="shared" ref="AQ870:AV870" ca="1" si="1690">G870*$AV$181</f>
        <v>53.940066375294613</v>
      </c>
      <c r="AR870" s="21">
        <f t="shared" ca="1" si="1690"/>
        <v>31.15745103608932</v>
      </c>
      <c r="AS870" s="21">
        <f t="shared" ca="1" si="1690"/>
        <v>23.208501589225072</v>
      </c>
      <c r="AT870" s="21">
        <f t="shared" ca="1" si="1690"/>
        <v>20.805677198597827</v>
      </c>
      <c r="AU870" s="21">
        <f t="shared" ca="1" si="1690"/>
        <v>26.754186699163427</v>
      </c>
      <c r="AV870" s="21">
        <f t="shared" ca="1" si="1690"/>
        <v>32.790860526268517</v>
      </c>
      <c r="AW870" s="21"/>
      <c r="AX870" s="4272" t="s">
        <v>1878</v>
      </c>
      <c r="AZ870" s="21">
        <f t="shared" ca="1" si="1688"/>
        <v>54.484915530600617</v>
      </c>
      <c r="BA870" s="21">
        <f t="shared" ca="1" si="1688"/>
        <v>31.472172763726586</v>
      </c>
      <c r="BB870" s="21">
        <f t="shared" ca="1" si="1688"/>
        <v>23.442930898207145</v>
      </c>
      <c r="BC870" s="21">
        <f t="shared" ca="1" si="1688"/>
        <v>21.015835554139219</v>
      </c>
      <c r="BD870" s="21">
        <f t="shared" ca="1" si="1688"/>
        <v>27.024431009255988</v>
      </c>
      <c r="BE870" s="21">
        <f t="shared" ca="1" si="1688"/>
        <v>33.122081339665172</v>
      </c>
      <c r="BF870" s="21"/>
      <c r="BG870" s="21"/>
      <c r="BI870" s="21">
        <f t="shared" ca="1" si="1689"/>
        <v>54.484915530600617</v>
      </c>
      <c r="BJ870" s="21">
        <f t="shared" ca="1" si="1689"/>
        <v>31.472172763726586</v>
      </c>
      <c r="BK870" s="21">
        <f t="shared" ca="1" si="1689"/>
        <v>23.442930898207145</v>
      </c>
      <c r="BL870" s="21">
        <f t="shared" ca="1" si="1689"/>
        <v>21.015835554139219</v>
      </c>
      <c r="BM870" s="21">
        <f t="shared" ca="1" si="1689"/>
        <v>27.024431009255988</v>
      </c>
      <c r="BN870" s="21">
        <f t="shared" ca="1" si="1689"/>
        <v>33.122081339665172</v>
      </c>
      <c r="BO870" s="21"/>
      <c r="BP870" s="21"/>
    </row>
    <row r="871" spans="2:68" ht="13.2" customHeight="1">
      <c r="B871" s="280"/>
      <c r="O871" s="136">
        <f>ROW()</f>
        <v>871</v>
      </c>
      <c r="AX871" s="4273"/>
    </row>
    <row r="872" spans="2:68" ht="13.2" customHeight="1">
      <c r="B872" s="308" t="s">
        <v>2606</v>
      </c>
      <c r="F872" s="606"/>
      <c r="O872" s="136">
        <f>ROW()</f>
        <v>872</v>
      </c>
      <c r="AX872" s="4340"/>
    </row>
    <row r="873" spans="2:68" ht="13.2" customHeight="1">
      <c r="B873" s="280" t="s">
        <v>2158</v>
      </c>
      <c r="C873" s="297"/>
      <c r="D873" s="297"/>
      <c r="E873" s="297"/>
      <c r="F873" s="297"/>
      <c r="G873" s="4286" t="s">
        <v>2351</v>
      </c>
      <c r="H873" s="3775"/>
      <c r="I873" s="3775"/>
      <c r="J873" s="3775"/>
      <c r="K873" s="3775"/>
      <c r="L873" s="3776"/>
      <c r="O873" s="136">
        <f>ROW()</f>
        <v>873</v>
      </c>
      <c r="P873" s="21">
        <f t="shared" ref="P873:U873" ca="1" si="1691">($I$85)*60/P869</f>
        <v>4.4645541111977591</v>
      </c>
      <c r="Q873" s="21">
        <f t="shared" ca="1" si="1691"/>
        <v>5.6889235114609225</v>
      </c>
      <c r="R873" s="21">
        <f t="shared" ca="1" si="1691"/>
        <v>7.2905431495933755</v>
      </c>
      <c r="S873" s="21">
        <f t="shared" ca="1" si="1691"/>
        <v>8.2884841960922593</v>
      </c>
      <c r="T873" s="21">
        <f t="shared" ca="1" si="1691"/>
        <v>6.6781355712286015</v>
      </c>
      <c r="U873" s="21">
        <f t="shared" ca="1" si="1691"/>
        <v>5.6007818770111664</v>
      </c>
      <c r="V873" s="21"/>
      <c r="W873" s="883">
        <f ca="1">SUMPRODUCT(P$476:V$476,P873:V873)/W$476</f>
        <v>6.2700143945351998</v>
      </c>
      <c r="Y873" s="21">
        <f t="shared" ref="Y873:AD873" ca="1" si="1692">($J$85)*60/Y869</f>
        <v>4.4645541111977591</v>
      </c>
      <c r="Z873" s="21">
        <f t="shared" ca="1" si="1692"/>
        <v>5.6889235114609225</v>
      </c>
      <c r="AA873" s="21">
        <f t="shared" ca="1" si="1692"/>
        <v>7.2905431495933755</v>
      </c>
      <c r="AB873" s="21">
        <f t="shared" ca="1" si="1692"/>
        <v>8.2884841960922593</v>
      </c>
      <c r="AC873" s="21">
        <f t="shared" ca="1" si="1692"/>
        <v>6.6781355712286015</v>
      </c>
      <c r="AD873" s="21">
        <f t="shared" ca="1" si="1692"/>
        <v>5.6007818770111664</v>
      </c>
      <c r="AE873" s="21"/>
      <c r="AF873" s="883">
        <f ca="1">SUMPRODUCT(Y$476:AE$476,Y873:AE873)/AF$476</f>
        <v>6.4949461652171818</v>
      </c>
      <c r="AH873" s="21">
        <f t="shared" ref="AH873:AM873" ca="1" si="1693">($K$85)*60/AH869</f>
        <v>4.1669171704512431</v>
      </c>
      <c r="AI873" s="21">
        <f t="shared" ca="1" si="1693"/>
        <v>5.3096619440301955</v>
      </c>
      <c r="AJ873" s="21">
        <f t="shared" ca="1" si="1693"/>
        <v>6.8045069396204845</v>
      </c>
      <c r="AK873" s="21">
        <f t="shared" ca="1" si="1693"/>
        <v>7.7359185830194432</v>
      </c>
      <c r="AL873" s="21">
        <f t="shared" ca="1" si="1693"/>
        <v>6.2329265331466956</v>
      </c>
      <c r="AM873" s="21">
        <f t="shared" ca="1" si="1693"/>
        <v>5.2273964185437558</v>
      </c>
      <c r="AN873" s="21"/>
      <c r="AO873" s="883">
        <f ca="1">SUMPRODUCT(AH$476:AN$476,AH873:AN873)/AO$476</f>
        <v>5.8592119768863311</v>
      </c>
      <c r="AQ873" s="21">
        <f t="shared" ref="AQ873:AV873" ca="1" si="1694">($L$85)*60/AQ869</f>
        <v>6.2660408578214168</v>
      </c>
      <c r="AR873" s="21">
        <f t="shared" ca="1" si="1694"/>
        <v>7.9844540511732252</v>
      </c>
      <c r="AS873" s="21">
        <f t="shared" ca="1" si="1694"/>
        <v>10.232341262587193</v>
      </c>
      <c r="AT873" s="21">
        <f t="shared" ca="1" si="1694"/>
        <v>11.632960275217206</v>
      </c>
      <c r="AU873" s="21">
        <f t="shared" ca="1" si="1694"/>
        <v>9.3728218543559318</v>
      </c>
      <c r="AV873" s="21">
        <f t="shared" ca="1" si="1694"/>
        <v>7.8607464940507592</v>
      </c>
      <c r="AW873" s="21"/>
      <c r="AX873" s="613">
        <f ca="1">SUMPRODUCT(AQ$476:AW$476,AQ873:AW873)/AX$476</f>
        <v>8.5825269291228636</v>
      </c>
      <c r="AZ873" s="21">
        <f t="shared" ref="AZ873:BE873" ca="1" si="1695">($M$85)*60/AZ869</f>
        <v>8.9291082223955183</v>
      </c>
      <c r="BA873" s="21">
        <f t="shared" ca="1" si="1695"/>
        <v>11.377847022921845</v>
      </c>
      <c r="BB873" s="21">
        <f t="shared" ca="1" si="1695"/>
        <v>14.581086299186751</v>
      </c>
      <c r="BC873" s="21">
        <f t="shared" ca="1" si="1695"/>
        <v>16.576968392184519</v>
      </c>
      <c r="BD873" s="21">
        <f t="shared" ca="1" si="1695"/>
        <v>13.356271142457203</v>
      </c>
      <c r="BE873" s="21">
        <f t="shared" ca="1" si="1695"/>
        <v>11.201563754022333</v>
      </c>
      <c r="BF873" s="21"/>
      <c r="BG873" s="883">
        <f ca="1">SUMPRODUCT(AZ$476:BF$476,AZ873:BF873)/BG$476</f>
        <v>12.711370575275334</v>
      </c>
      <c r="BI873" s="21">
        <f t="shared" ref="BI873:BN873" ca="1" si="1696">($N$85)*60/BI869</f>
        <v>5.9527388149303455</v>
      </c>
      <c r="BJ873" s="21">
        <f t="shared" ca="1" si="1696"/>
        <v>7.5852313486145633</v>
      </c>
      <c r="BK873" s="21">
        <f t="shared" ca="1" si="1696"/>
        <v>9.7207241994578339</v>
      </c>
      <c r="BL873" s="21">
        <f t="shared" ca="1" si="1696"/>
        <v>11.051312261456346</v>
      </c>
      <c r="BM873" s="21">
        <f t="shared" ca="1" si="1696"/>
        <v>8.9041807616381341</v>
      </c>
      <c r="BN873" s="21">
        <f t="shared" ca="1" si="1696"/>
        <v>7.4677091693482218</v>
      </c>
      <c r="BO873" s="21"/>
      <c r="BP873" s="883">
        <f ca="1">SUMPRODUCT(BI$476:BO$476,BI873:BO873)/BP$476</f>
        <v>8.4833600454580864</v>
      </c>
    </row>
    <row r="874" spans="2:68" ht="13.2" customHeight="1">
      <c r="B874" s="280" t="s">
        <v>2159</v>
      </c>
      <c r="C874" s="297"/>
      <c r="D874" s="297"/>
      <c r="E874" s="297"/>
      <c r="F874" s="297"/>
      <c r="G874" s="3738"/>
      <c r="H874" s="3739"/>
      <c r="I874" s="3739"/>
      <c r="J874" s="3739"/>
      <c r="K874" s="3739"/>
      <c r="L874" s="3922"/>
      <c r="O874" s="136">
        <f>ROW()</f>
        <v>874</v>
      </c>
      <c r="P874" s="21">
        <f t="shared" ref="P874:U874" ca="1" si="1697">60*$I$85/(1/($P$135/$P869+$Q$135/$Q869+$R$135/$R869+$S$135/$S869+$T$135/$T869+$U$135/$U869))</f>
        <v>6.2411071614532148</v>
      </c>
      <c r="Q874" s="21">
        <f t="shared" ca="1" si="1697"/>
        <v>6.2411071614532148</v>
      </c>
      <c r="R874" s="21">
        <f t="shared" ca="1" si="1697"/>
        <v>6.2411071614532148</v>
      </c>
      <c r="S874" s="21">
        <f t="shared" ca="1" si="1697"/>
        <v>6.2411071614532148</v>
      </c>
      <c r="T874" s="21">
        <f t="shared" ca="1" si="1697"/>
        <v>6.2411071614532148</v>
      </c>
      <c r="U874" s="21">
        <f t="shared" ca="1" si="1697"/>
        <v>6.2411071614532148</v>
      </c>
      <c r="V874" s="21"/>
      <c r="W874" s="613">
        <f ca="1">SUMPRODUCT(P$383:V$383,P874:V874)/W$383</f>
        <v>6.2411071614532156</v>
      </c>
      <c r="Y874" s="21">
        <f t="shared" ref="Y874:AD874" ca="1" si="1698">60*$J$85/(1/($Y$135/$Y869+$Z$135/$Z869+$AA$135/$AA869+$AB$135/$AB869+$AC$135/$AC869+$AD$135/$AD869))</f>
        <v>6.2411071614532121</v>
      </c>
      <c r="Z874" s="21">
        <f t="shared" ca="1" si="1698"/>
        <v>6.2411071614532121</v>
      </c>
      <c r="AA874" s="21">
        <f t="shared" ca="1" si="1698"/>
        <v>6.2411071614532121</v>
      </c>
      <c r="AB874" s="21">
        <f t="shared" ca="1" si="1698"/>
        <v>6.2411071614532121</v>
      </c>
      <c r="AC874" s="21">
        <f t="shared" ca="1" si="1698"/>
        <v>6.2411071614532121</v>
      </c>
      <c r="AD874" s="21">
        <f t="shared" ca="1" si="1698"/>
        <v>6.2411071614532121</v>
      </c>
      <c r="AE874" s="21"/>
      <c r="AF874" s="613">
        <f ca="1">SUMPRODUCT(Y$383:AE$383,Y874:AE874)/AF$383</f>
        <v>6.2411071614532121</v>
      </c>
      <c r="AH874" s="21">
        <f t="shared" ref="AH874:AM874" ca="1" si="1699">AH873</f>
        <v>4.1669171704512431</v>
      </c>
      <c r="AI874" s="21">
        <f t="shared" ca="1" si="1699"/>
        <v>5.3096619440301955</v>
      </c>
      <c r="AJ874" s="21">
        <f t="shared" ca="1" si="1699"/>
        <v>6.8045069396204845</v>
      </c>
      <c r="AK874" s="21">
        <f t="shared" ca="1" si="1699"/>
        <v>7.7359185830194432</v>
      </c>
      <c r="AL874" s="21">
        <f t="shared" ca="1" si="1699"/>
        <v>6.2329265331466956</v>
      </c>
      <c r="AM874" s="21">
        <f t="shared" ca="1" si="1699"/>
        <v>5.2273964185437558</v>
      </c>
      <c r="AN874" s="21"/>
      <c r="AO874" s="613">
        <f ca="1">SUMPRODUCT(AH$383:AN$383,AH874:AN874)/AO$383</f>
        <v>5.8678319068796823</v>
      </c>
      <c r="AQ874" s="21"/>
      <c r="AR874" s="21"/>
      <c r="AS874" s="21"/>
      <c r="AT874" s="21"/>
      <c r="AU874" s="21"/>
      <c r="AV874" s="21"/>
      <c r="AW874" s="21"/>
      <c r="AX874" s="613"/>
      <c r="AZ874" s="21">
        <f t="shared" ref="AZ874:BE874" ca="1" si="1700">60*$M$85/(1/($AZ$135/$AZ869+$BA$135/$BA869+$BB$135/$BB869+$BC$135/$BC869+$BD$135/$BD869+$BE$135/$BE869))</f>
        <v>12.482214322906424</v>
      </c>
      <c r="BA874" s="21">
        <f t="shared" ca="1" si="1700"/>
        <v>12.482214322906424</v>
      </c>
      <c r="BB874" s="21">
        <f t="shared" ca="1" si="1700"/>
        <v>12.482214322906424</v>
      </c>
      <c r="BC874" s="21">
        <f t="shared" ca="1" si="1700"/>
        <v>12.482214322906424</v>
      </c>
      <c r="BD874" s="21">
        <f t="shared" ca="1" si="1700"/>
        <v>12.482214322906424</v>
      </c>
      <c r="BE874" s="21">
        <f t="shared" ca="1" si="1700"/>
        <v>12.482214322906424</v>
      </c>
      <c r="BF874" s="21"/>
      <c r="BG874" s="613">
        <f ca="1">SUMPRODUCT(AZ$383:BF$383,AZ874:BF874)/BG$383</f>
        <v>12.482214322906424</v>
      </c>
      <c r="BI874" s="21">
        <f t="shared" ref="BI874:BN874" ca="1" si="1701">60*$N$85/(1/($BI$135/$BI869+$BJ$135/$BJ869+$BK$135/$BK869+$BL$135/$BL869+$BM$135/$BM869+$BN$135/$BN869))</f>
        <v>8.3214762152709518</v>
      </c>
      <c r="BJ874" s="21">
        <f t="shared" ca="1" si="1701"/>
        <v>8.3214762152709518</v>
      </c>
      <c r="BK874" s="21">
        <f t="shared" ca="1" si="1701"/>
        <v>8.3214762152709518</v>
      </c>
      <c r="BL874" s="21">
        <f t="shared" ca="1" si="1701"/>
        <v>8.3214762152709518</v>
      </c>
      <c r="BM874" s="21">
        <f t="shared" ca="1" si="1701"/>
        <v>8.3214762152709518</v>
      </c>
      <c r="BN874" s="21">
        <f t="shared" ca="1" si="1701"/>
        <v>8.3214762152709518</v>
      </c>
      <c r="BO874" s="21"/>
      <c r="BP874" s="613">
        <f ca="1">SUMPRODUCT(BI$383:BO$383,BI874:BO874)/BP$383</f>
        <v>8.32147621527095</v>
      </c>
    </row>
    <row r="875" spans="2:68" ht="13.2" customHeight="1">
      <c r="B875" s="280" t="s">
        <v>2160</v>
      </c>
      <c r="C875" s="297"/>
      <c r="D875" s="297"/>
      <c r="E875" s="297"/>
      <c r="F875" s="297"/>
      <c r="G875" s="3738"/>
      <c r="H875" s="3739"/>
      <c r="I875" s="3739"/>
      <c r="J875" s="3739"/>
      <c r="K875" s="3739"/>
      <c r="L875" s="3922"/>
      <c r="O875" s="136">
        <f>ROW()</f>
        <v>875</v>
      </c>
      <c r="P875" s="21">
        <f t="shared" ref="P875:U875" ca="1" si="1702">($I$79)*60/P870</f>
        <v>18.61072030576744</v>
      </c>
      <c r="Q875" s="21">
        <f t="shared" ca="1" si="1702"/>
        <v>32.219050506486404</v>
      </c>
      <c r="R875" s="21">
        <f t="shared" ca="1" si="1702"/>
        <v>43.25412757587069</v>
      </c>
      <c r="S875" s="21">
        <f t="shared" ca="1" si="1702"/>
        <v>48.249498394255255</v>
      </c>
      <c r="T875" s="21">
        <f t="shared" ca="1" si="1702"/>
        <v>37.521734443773191</v>
      </c>
      <c r="U875" s="21">
        <f t="shared" ca="1" si="1702"/>
        <v>30.614124560133188</v>
      </c>
      <c r="V875" s="21"/>
      <c r="W875" s="613">
        <f ca="1">SUMPRODUCT(P$476:V$476,P875:V875)/W$476</f>
        <v>34.218311183356846</v>
      </c>
      <c r="Y875" s="21">
        <f t="shared" ref="Y875:AD875" ca="1" si="1703">($J$79)*60/Y870</f>
        <v>18.61072030576744</v>
      </c>
      <c r="Z875" s="21">
        <f t="shared" ca="1" si="1703"/>
        <v>32.219050506486404</v>
      </c>
      <c r="AA875" s="21">
        <f t="shared" ca="1" si="1703"/>
        <v>43.25412757587069</v>
      </c>
      <c r="AB875" s="21">
        <f t="shared" ca="1" si="1703"/>
        <v>48.249498394255255</v>
      </c>
      <c r="AC875" s="21">
        <f t="shared" ca="1" si="1703"/>
        <v>37.521734443773191</v>
      </c>
      <c r="AD875" s="21">
        <f t="shared" ca="1" si="1703"/>
        <v>30.614124560133188</v>
      </c>
      <c r="AE875" s="21"/>
      <c r="AF875" s="613">
        <f ca="1">SUMPRODUCT(Y$476:AE$476,Y875:AE875)/AF$476</f>
        <v>35.944119354131836</v>
      </c>
      <c r="AH875" s="21">
        <f t="shared" ref="AH875:AM875" ca="1" si="1704">($K$79)*60/AH870</f>
        <v>27.916080458651162</v>
      </c>
      <c r="AI875" s="21">
        <f t="shared" ca="1" si="1704"/>
        <v>48.32857575972961</v>
      </c>
      <c r="AJ875" s="21">
        <f t="shared" ca="1" si="1704"/>
        <v>64.881191363806039</v>
      </c>
      <c r="AK875" s="21">
        <f t="shared" ca="1" si="1704"/>
        <v>72.374247591382883</v>
      </c>
      <c r="AL875" s="21">
        <f t="shared" ca="1" si="1704"/>
        <v>56.282601665659783</v>
      </c>
      <c r="AM875" s="21">
        <f t="shared" ca="1" si="1704"/>
        <v>45.92118684019978</v>
      </c>
      <c r="AN875" s="21"/>
      <c r="AO875" s="613">
        <f ca="1">SUMPRODUCT(AH$476:AN$476,AH875:AN875)/AO$476</f>
        <v>51.366444806587559</v>
      </c>
      <c r="AQ875" s="21">
        <f t="shared" ref="AQ875:AV875" ca="1" si="1705">($L$79)*60/AQ870</f>
        <v>6.674074100970806</v>
      </c>
      <c r="AR875" s="21">
        <f t="shared" ca="1" si="1705"/>
        <v>11.554218590699737</v>
      </c>
      <c r="AS875" s="21">
        <f t="shared" ca="1" si="1705"/>
        <v>15.511557203121459</v>
      </c>
      <c r="AT875" s="21">
        <f t="shared" ca="1" si="1705"/>
        <v>17.302969596407166</v>
      </c>
      <c r="AU875" s="21">
        <f t="shared" ca="1" si="1705"/>
        <v>13.455837923537283</v>
      </c>
      <c r="AV875" s="21">
        <f t="shared" ca="1" si="1705"/>
        <v>10.978668879751011</v>
      </c>
      <c r="AW875" s="21"/>
      <c r="AX875" s="613">
        <f ca="1">SUMPRODUCT(AQ$476:AW$476,AQ875:AW875)/AX$476</f>
        <v>11.77770152312233</v>
      </c>
      <c r="AZ875" s="21">
        <f t="shared" ref="AZ875:BE875" ca="1" si="1706">($M$79)*60/AZ870</f>
        <v>14.020369276842926</v>
      </c>
      <c r="BA875" s="21">
        <f t="shared" ca="1" si="1706"/>
        <v>24.272192501340427</v>
      </c>
      <c r="BB875" s="21">
        <f t="shared" ca="1" si="1706"/>
        <v>32.585457811294233</v>
      </c>
      <c r="BC875" s="21">
        <f t="shared" ca="1" si="1706"/>
        <v>36.348715890392455</v>
      </c>
      <c r="BD875" s="21">
        <f t="shared" ca="1" si="1706"/>
        <v>28.266964640068693</v>
      </c>
      <c r="BE875" s="21">
        <f t="shared" ca="1" si="1706"/>
        <v>23.063122994079848</v>
      </c>
      <c r="BF875" s="21"/>
      <c r="BG875" s="613">
        <f ca="1">SUMPRODUCT(AZ$476:BF$476,AZ875:BF875)/BG$476</f>
        <v>26.260439387703634</v>
      </c>
      <c r="BI875" s="21">
        <f t="shared" ref="BI875:BN875" ca="1" si="1707">($N$79)*60/BI870</f>
        <v>19.208611437085903</v>
      </c>
      <c r="BJ875" s="21">
        <f t="shared" ca="1" si="1707"/>
        <v>33.25412514308497</v>
      </c>
      <c r="BK875" s="21">
        <f t="shared" ca="1" si="1707"/>
        <v>44.643716954768401</v>
      </c>
      <c r="BL875" s="21">
        <f t="shared" ca="1" si="1707"/>
        <v>49.799569896407142</v>
      </c>
      <c r="BM875" s="21">
        <f t="shared" ca="1" si="1707"/>
        <v>38.727163996581325</v>
      </c>
      <c r="BN875" s="21">
        <f t="shared" ca="1" si="1707"/>
        <v>31.597639075791669</v>
      </c>
      <c r="BO875" s="21"/>
      <c r="BP875" s="613">
        <f ca="1">SUMPRODUCT(BI$476:BO$476,BI875:BO875)/BP$476</f>
        <v>36.037262629868913</v>
      </c>
    </row>
    <row r="876" spans="2:68" ht="13.2" customHeight="1">
      <c r="B876" s="280" t="s">
        <v>1138</v>
      </c>
      <c r="C876" s="297"/>
      <c r="D876" s="297"/>
      <c r="E876" s="297"/>
      <c r="F876" s="297"/>
      <c r="G876" s="3738"/>
      <c r="H876" s="3739"/>
      <c r="I876" s="3739"/>
      <c r="J876" s="3739"/>
      <c r="K876" s="3739"/>
      <c r="L876" s="3922"/>
      <c r="O876" s="136">
        <f>ROW()</f>
        <v>876</v>
      </c>
      <c r="P876" s="21">
        <f t="shared" ref="P876:U876" ca="1" si="1708">60*$I$79/(1/($P$135/$P870+$Q$135/$Q870+$R$135/$R870+$S$135/$S870+$T$135/$T870+$U$135/$U870))</f>
        <v>33.910964559057931</v>
      </c>
      <c r="Q876" s="21">
        <f t="shared" ca="1" si="1708"/>
        <v>33.910964559057931</v>
      </c>
      <c r="R876" s="21">
        <f t="shared" ca="1" si="1708"/>
        <v>33.910964559057931</v>
      </c>
      <c r="S876" s="21">
        <f t="shared" ca="1" si="1708"/>
        <v>33.910964559057931</v>
      </c>
      <c r="T876" s="21">
        <f t="shared" ca="1" si="1708"/>
        <v>33.910964559057931</v>
      </c>
      <c r="U876" s="21">
        <f t="shared" ca="1" si="1708"/>
        <v>33.910964559057931</v>
      </c>
      <c r="V876" s="21"/>
      <c r="W876" s="613">
        <f ca="1">SUMPRODUCT(P$476:V$476,P876:V876)/W$476</f>
        <v>33.910964559057931</v>
      </c>
      <c r="Y876" s="21">
        <f t="shared" ref="Y876:AD876" ca="1" si="1709">60*$J$79/(1/($Y$135/$Y870+$Z$135/$Z870+$AA$135/$AA870+$AB$135/$AB870+$AC$135/$AC870+$AD$135/$AD870))</f>
        <v>33.910964559057923</v>
      </c>
      <c r="Z876" s="21">
        <f t="shared" ca="1" si="1709"/>
        <v>33.910964559057923</v>
      </c>
      <c r="AA876" s="21">
        <f t="shared" ca="1" si="1709"/>
        <v>33.910964559057923</v>
      </c>
      <c r="AB876" s="21">
        <f t="shared" ca="1" si="1709"/>
        <v>33.910964559057923</v>
      </c>
      <c r="AC876" s="21">
        <f t="shared" ca="1" si="1709"/>
        <v>33.910964559057923</v>
      </c>
      <c r="AD876" s="21">
        <f t="shared" ca="1" si="1709"/>
        <v>33.910964559057923</v>
      </c>
      <c r="AE876" s="21"/>
      <c r="AF876" s="613">
        <f ca="1">SUMPRODUCT(Y$476:AE$476,Y876:AE876)/AF$476</f>
        <v>33.910964559057931</v>
      </c>
      <c r="AH876" s="21">
        <f t="shared" ref="AH876:AM876" ca="1" si="1710">AH875</f>
        <v>27.916080458651162</v>
      </c>
      <c r="AI876" s="21">
        <f t="shared" ca="1" si="1710"/>
        <v>48.32857575972961</v>
      </c>
      <c r="AJ876" s="21">
        <f t="shared" ca="1" si="1710"/>
        <v>64.881191363806039</v>
      </c>
      <c r="AK876" s="21">
        <f t="shared" ca="1" si="1710"/>
        <v>72.374247591382883</v>
      </c>
      <c r="AL876" s="21">
        <f t="shared" ca="1" si="1710"/>
        <v>56.282601665659783</v>
      </c>
      <c r="AM876" s="21">
        <f t="shared" ca="1" si="1710"/>
        <v>45.92118684019978</v>
      </c>
      <c r="AN876" s="21"/>
      <c r="AO876" s="613">
        <f ca="1">SUMPRODUCT(AH$476:AN$476,AH876:AN876)/AO$476</f>
        <v>51.366444806587559</v>
      </c>
      <c r="AX876" s="613"/>
      <c r="AZ876" s="21">
        <f t="shared" ref="AZ876:BE876" ca="1" si="1711">60*$M$79/(1/($AZ$135/$AZ870+$BA$135/$BA870+$BB$135/$BB870+$BC$135/$BC870+$BD$135/$BD870+$BE$135/$BE870))</f>
        <v>25.546794419589741</v>
      </c>
      <c r="BA876" s="21">
        <f t="shared" ca="1" si="1711"/>
        <v>25.546794419589741</v>
      </c>
      <c r="BB876" s="21">
        <f t="shared" ca="1" si="1711"/>
        <v>25.546794419589741</v>
      </c>
      <c r="BC876" s="21">
        <f t="shared" ca="1" si="1711"/>
        <v>25.546794419589741</v>
      </c>
      <c r="BD876" s="21">
        <f t="shared" ca="1" si="1711"/>
        <v>25.546794419589741</v>
      </c>
      <c r="BE876" s="21">
        <f t="shared" ca="1" si="1711"/>
        <v>25.546794419589741</v>
      </c>
      <c r="BF876" s="21"/>
      <c r="BG876" s="613">
        <f ca="1">SUMPRODUCT(AZ$476:BF$476,AZ876:BF876)/BG$476</f>
        <v>25.546794419589745</v>
      </c>
      <c r="BI876" s="21">
        <f t="shared" ref="BI876:BN876" ca="1" si="1712">60*$N$79/(1/($BI$135/$BI870+$BJ$135/$BJ870+$BK$135/$BK870+$BL$135/$BL870+$BM$135/$BM870+$BN$135/$BN870))</f>
        <v>35.000393911130466</v>
      </c>
      <c r="BJ876" s="21">
        <f t="shared" ca="1" si="1712"/>
        <v>35.000393911130466</v>
      </c>
      <c r="BK876" s="21">
        <f t="shared" ca="1" si="1712"/>
        <v>35.000393911130466</v>
      </c>
      <c r="BL876" s="21">
        <f t="shared" ca="1" si="1712"/>
        <v>35.000393911130466</v>
      </c>
      <c r="BM876" s="21">
        <f t="shared" ca="1" si="1712"/>
        <v>35.000393911130466</v>
      </c>
      <c r="BN876" s="21">
        <f t="shared" ca="1" si="1712"/>
        <v>35.000393911130466</v>
      </c>
      <c r="BO876" s="21"/>
      <c r="BP876" s="613">
        <f ca="1">SUMPRODUCT(BI$476:BO$476,BI876:BO876)/BP$476</f>
        <v>35.000393911130466</v>
      </c>
    </row>
    <row r="877" spans="2:68" ht="13.2" customHeight="1">
      <c r="B877" s="308" t="s">
        <v>2243</v>
      </c>
      <c r="C877" s="297"/>
      <c r="D877" s="297"/>
      <c r="E877" s="297"/>
      <c r="F877" s="297"/>
      <c r="G877" s="3738"/>
      <c r="H877" s="3739"/>
      <c r="I877" s="3739"/>
      <c r="J877" s="3739"/>
      <c r="K877" s="3739"/>
      <c r="L877" s="3922"/>
      <c r="O877" s="136">
        <f>ROW()</f>
        <v>877</v>
      </c>
      <c r="P877" s="21">
        <f t="shared" ref="P877:U877" ca="1" si="1713">SUM(P873:P876)</f>
        <v>63.227346137476346</v>
      </c>
      <c r="Q877" s="21">
        <f t="shared" ca="1" si="1713"/>
        <v>78.06004573845847</v>
      </c>
      <c r="R877" s="21">
        <f t="shared" ca="1" si="1713"/>
        <v>90.696742445975218</v>
      </c>
      <c r="S877" s="21">
        <f t="shared" ca="1" si="1713"/>
        <v>96.690054310858656</v>
      </c>
      <c r="T877" s="21">
        <f t="shared" ca="1" si="1713"/>
        <v>84.351941735512938</v>
      </c>
      <c r="U877" s="21">
        <f t="shared" ca="1" si="1713"/>
        <v>76.366978157655495</v>
      </c>
      <c r="V877" s="21"/>
      <c r="W877" s="614">
        <f ca="1">SUM(W873:W876)</f>
        <v>80.640397298403201</v>
      </c>
      <c r="Y877" s="21">
        <f t="shared" ref="Y877:AF877" ca="1" si="1714">SUM(Y873:Y876)</f>
        <v>63.227346137476331</v>
      </c>
      <c r="Z877" s="21">
        <f t="shared" ca="1" si="1714"/>
        <v>78.060045738458456</v>
      </c>
      <c r="AA877" s="21">
        <f t="shared" ca="1" si="1714"/>
        <v>90.69674244597519</v>
      </c>
      <c r="AB877" s="21">
        <f t="shared" ca="1" si="1714"/>
        <v>96.690054310858642</v>
      </c>
      <c r="AC877" s="21">
        <f t="shared" ca="1" si="1714"/>
        <v>84.351941735512924</v>
      </c>
      <c r="AD877" s="21">
        <f t="shared" ca="1" si="1714"/>
        <v>76.366978157655495</v>
      </c>
      <c r="AE877" s="21"/>
      <c r="AF877" s="614">
        <f t="shared" ca="1" si="1714"/>
        <v>82.59113723986016</v>
      </c>
      <c r="AH877" s="21">
        <f t="shared" ref="AH877:AO877" ca="1" si="1715">SUM(AH873:AH876)</f>
        <v>64.165995258204816</v>
      </c>
      <c r="AI877" s="21">
        <f t="shared" ca="1" si="1715"/>
        <v>107.27647540751961</v>
      </c>
      <c r="AJ877" s="21">
        <f t="shared" ca="1" si="1715"/>
        <v>143.37139660685304</v>
      </c>
      <c r="AK877" s="21">
        <f t="shared" ca="1" si="1715"/>
        <v>160.22033234880465</v>
      </c>
      <c r="AL877" s="21">
        <f t="shared" ca="1" si="1715"/>
        <v>125.03105639761296</v>
      </c>
      <c r="AM877" s="21">
        <f t="shared" ca="1" si="1715"/>
        <v>102.29716651748707</v>
      </c>
      <c r="AN877" s="21"/>
      <c r="AO877" s="614">
        <f t="shared" ca="1" si="1715"/>
        <v>114.45993349694113</v>
      </c>
      <c r="AQ877" s="21">
        <f t="shared" ref="AQ877:AX877" ca="1" si="1716">AQ873+AQ875</f>
        <v>12.940114958792222</v>
      </c>
      <c r="AR877" s="21">
        <f t="shared" ca="1" si="1716"/>
        <v>19.538672641872964</v>
      </c>
      <c r="AS877" s="21">
        <f t="shared" ca="1" si="1716"/>
        <v>25.743898465708654</v>
      </c>
      <c r="AT877" s="21">
        <f t="shared" ca="1" si="1716"/>
        <v>28.935929871624374</v>
      </c>
      <c r="AU877" s="21">
        <f t="shared" ca="1" si="1716"/>
        <v>22.828659777893215</v>
      </c>
      <c r="AV877" s="21">
        <f t="shared" ca="1" si="1716"/>
        <v>18.839415373801771</v>
      </c>
      <c r="AW877" s="21"/>
      <c r="AX877" s="614">
        <f t="shared" ca="1" si="1716"/>
        <v>20.360228452245195</v>
      </c>
      <c r="AZ877" s="21">
        <f t="shared" ref="AZ877:BE877" ca="1" si="1717">SUM(AZ873:AZ876)</f>
        <v>60.978486241734615</v>
      </c>
      <c r="BA877" s="21">
        <f t="shared" ca="1" si="1717"/>
        <v>73.679048266758443</v>
      </c>
      <c r="BB877" s="21">
        <f t="shared" ca="1" si="1717"/>
        <v>85.195552852977144</v>
      </c>
      <c r="BC877" s="21">
        <f t="shared" ca="1" si="1717"/>
        <v>90.954693025073141</v>
      </c>
      <c r="BD877" s="21">
        <f t="shared" ca="1" si="1717"/>
        <v>79.652244525022056</v>
      </c>
      <c r="BE877" s="21">
        <f t="shared" ca="1" si="1717"/>
        <v>72.293695490598353</v>
      </c>
      <c r="BF877" s="21"/>
      <c r="BG877" s="614">
        <f ca="1">SUM(BG873:BG876)</f>
        <v>77.00081870547514</v>
      </c>
      <c r="BI877" s="21">
        <f t="shared" ref="BI877:BN877" ca="1" si="1718">SUM(BI873:BI876)</f>
        <v>68.483220378417656</v>
      </c>
      <c r="BJ877" s="21">
        <f t="shared" ca="1" si="1718"/>
        <v>84.161226618100955</v>
      </c>
      <c r="BK877" s="21">
        <f t="shared" ca="1" si="1718"/>
        <v>97.686311280627649</v>
      </c>
      <c r="BL877" s="21">
        <f t="shared" ca="1" si="1718"/>
        <v>104.1727522842649</v>
      </c>
      <c r="BM877" s="21">
        <f t="shared" ca="1" si="1718"/>
        <v>90.953214884620877</v>
      </c>
      <c r="BN877" s="21">
        <f t="shared" ca="1" si="1718"/>
        <v>82.387218371541309</v>
      </c>
      <c r="BO877" s="21"/>
      <c r="BP877" s="614">
        <f ca="1">SUM(BP873:BP876)</f>
        <v>87.842492801728412</v>
      </c>
    </row>
    <row r="878" spans="2:68" ht="13.2" customHeight="1">
      <c r="B878" s="280" t="s">
        <v>92</v>
      </c>
      <c r="G878" s="3741"/>
      <c r="H878" s="3742"/>
      <c r="I878" s="3742"/>
      <c r="J878" s="3742"/>
      <c r="K878" s="3742"/>
      <c r="L878" s="3777"/>
      <c r="O878" s="136">
        <f>ROW()</f>
        <v>878</v>
      </c>
      <c r="P878" s="117">
        <f t="shared" ref="P878:W878" ca="1" si="1719">P877/P829</f>
        <v>0.99975242153166088</v>
      </c>
      <c r="Q878" s="117">
        <f t="shared" ca="1" si="1719"/>
        <v>0.99964734060427374</v>
      </c>
      <c r="R878" s="117">
        <f t="shared" ca="1" si="1719"/>
        <v>0.9995218462514277</v>
      </c>
      <c r="S878" s="117">
        <f t="shared" ca="1" si="1719"/>
        <v>0.99957276777482085</v>
      </c>
      <c r="T878" s="117">
        <f t="shared" ca="1" si="1719"/>
        <v>0.99953043779442319</v>
      </c>
      <c r="U878" s="117">
        <f t="shared" ca="1" si="1719"/>
        <v>0.99964920334399765</v>
      </c>
      <c r="V878" s="117"/>
      <c r="W878" s="117">
        <f t="shared" ca="1" si="1719"/>
        <v>0.99960547434724245</v>
      </c>
      <c r="Y878" s="117">
        <f t="shared" ref="Y878:AF878" ca="1" si="1720">Y877/Y829</f>
        <v>0.99975242153166077</v>
      </c>
      <c r="Z878" s="117">
        <f t="shared" ca="1" si="1720"/>
        <v>0.99964734060427352</v>
      </c>
      <c r="AA878" s="117">
        <f t="shared" ca="1" si="1720"/>
        <v>0.99952184625142737</v>
      </c>
      <c r="AB878" s="117">
        <f t="shared" ca="1" si="1720"/>
        <v>0.99957276777482085</v>
      </c>
      <c r="AC878" s="117">
        <f t="shared" ca="1" si="1720"/>
        <v>0.99953043779442297</v>
      </c>
      <c r="AD878" s="117">
        <f t="shared" ca="1" si="1720"/>
        <v>0.99964920334399765</v>
      </c>
      <c r="AE878" s="117"/>
      <c r="AF878" s="117">
        <f t="shared" ca="1" si="1720"/>
        <v>0.99959595095910936</v>
      </c>
      <c r="AH878" s="117">
        <f t="shared" ref="AH878:AO878" ca="1" si="1721">AH877/AH829</f>
        <v>1.0000027095054114</v>
      </c>
      <c r="AI878" s="117">
        <f t="shared" ca="1" si="1721"/>
        <v>0.99967705197044066</v>
      </c>
      <c r="AJ878" s="117">
        <f t="shared" ca="1" si="1721"/>
        <v>0.99943583839685124</v>
      </c>
      <c r="AK878" s="117">
        <f t="shared" ca="1" si="1721"/>
        <v>0.99953603064956209</v>
      </c>
      <c r="AL878" s="117">
        <f t="shared" ca="1" si="1721"/>
        <v>0.99944040911605603</v>
      </c>
      <c r="AM878" s="117">
        <f t="shared" ca="1" si="1721"/>
        <v>0.9996820138804311</v>
      </c>
      <c r="AN878" s="117"/>
      <c r="AO878" s="117">
        <f t="shared" ca="1" si="1721"/>
        <v>0.99959200055418251</v>
      </c>
      <c r="AQ878" s="117">
        <f t="shared" ref="AQ878:AX878" ca="1" si="1722">AQ877/AQ829</f>
        <v>0.99999064940005145</v>
      </c>
      <c r="AR878" s="117">
        <f t="shared" ca="1" si="1722"/>
        <v>0.99973748357747294</v>
      </c>
      <c r="AS878" s="117">
        <f t="shared" ca="1" si="1722"/>
        <v>0.99953451975873286</v>
      </c>
      <c r="AT878" s="117">
        <f t="shared" ca="1" si="1722"/>
        <v>0.99959941270869646</v>
      </c>
      <c r="AU878" s="117">
        <f t="shared" ca="1" si="1722"/>
        <v>0.99954853254413589</v>
      </c>
      <c r="AV878" s="117">
        <f t="shared" ca="1" si="1722"/>
        <v>0.99974682415599569</v>
      </c>
      <c r="AW878" s="117"/>
      <c r="AX878" s="117">
        <f t="shared" ca="1" si="1722"/>
        <v>0.99968429125038027</v>
      </c>
      <c r="AZ878" s="117">
        <f t="shared" ref="AZ878:BG878" ca="1" si="1723">AZ877/AZ829</f>
        <v>0.99977931206136672</v>
      </c>
      <c r="BA878" s="117">
        <f t="shared" ca="1" si="1723"/>
        <v>0.9996838078650836</v>
      </c>
      <c r="BB878" s="117">
        <f t="shared" ca="1" si="1723"/>
        <v>0.99957005125091358</v>
      </c>
      <c r="BC878" s="117">
        <f t="shared" ca="1" si="1723"/>
        <v>0.9996097826806114</v>
      </c>
      <c r="BD878" s="117">
        <f t="shared" ca="1" si="1723"/>
        <v>0.99958060642700652</v>
      </c>
      <c r="BE878" s="117">
        <f t="shared" ca="1" si="1723"/>
        <v>0.99968701076068267</v>
      </c>
      <c r="BF878" s="117"/>
      <c r="BG878" s="117">
        <f t="shared" ca="1" si="1723"/>
        <v>0.99964323749860751</v>
      </c>
      <c r="BI878" s="117">
        <f t="shared" ref="BI878:BP878" ca="1" si="1724">BI877/BI829</f>
        <v>0.99975820652808989</v>
      </c>
      <c r="BJ878" s="117">
        <f t="shared" ca="1" si="1724"/>
        <v>0.99965505395436882</v>
      </c>
      <c r="BK878" s="117">
        <f t="shared" ca="1" si="1724"/>
        <v>0.99953200357313254</v>
      </c>
      <c r="BL878" s="117">
        <f t="shared" ca="1" si="1724"/>
        <v>0.99958057605474826</v>
      </c>
      <c r="BM878" s="117">
        <f t="shared" ca="1" si="1724"/>
        <v>0.99954105268407467</v>
      </c>
      <c r="BN878" s="117">
        <f t="shared" ca="1" si="1724"/>
        <v>0.99965721874192637</v>
      </c>
      <c r="BO878" s="117"/>
      <c r="BP878" s="117">
        <f t="shared" ca="1" si="1724"/>
        <v>0.99961088954504085</v>
      </c>
    </row>
    <row r="879" spans="2:68" ht="13.2" customHeight="1">
      <c r="B879" s="280"/>
      <c r="G879" s="280"/>
      <c r="O879" s="136">
        <f>ROW()</f>
        <v>879</v>
      </c>
      <c r="P879" s="117"/>
      <c r="Q879" s="117"/>
      <c r="R879" s="117"/>
      <c r="S879" s="117"/>
      <c r="T879" s="117"/>
      <c r="U879" s="117"/>
      <c r="V879" s="117"/>
      <c r="W879" s="117"/>
      <c r="Y879" s="117"/>
      <c r="Z879" s="117"/>
      <c r="AA879" s="117"/>
      <c r="AB879" s="117"/>
      <c r="AC879" s="117"/>
      <c r="AD879" s="117"/>
      <c r="AE879" s="117"/>
      <c r="AF879" s="117"/>
      <c r="AH879" s="117"/>
      <c r="AI879" s="117"/>
      <c r="AJ879" s="117"/>
      <c r="AK879" s="117"/>
      <c r="AL879" s="117"/>
      <c r="AM879" s="117"/>
      <c r="AN879" s="117"/>
      <c r="AO879" s="117"/>
      <c r="AQ879" s="117"/>
      <c r="AR879" s="117"/>
      <c r="AS879" s="117"/>
      <c r="AT879" s="117"/>
      <c r="AU879" s="117"/>
      <c r="AV879" s="117"/>
      <c r="AW879" s="117"/>
      <c r="AX879" s="117"/>
      <c r="AZ879" s="117"/>
      <c r="BA879" s="117"/>
      <c r="BB879" s="117"/>
      <c r="BC879" s="117"/>
      <c r="BD879" s="117"/>
      <c r="BE879" s="117"/>
      <c r="BF879" s="117"/>
      <c r="BG879" s="117"/>
      <c r="BI879" s="117"/>
      <c r="BJ879" s="117"/>
      <c r="BK879" s="117"/>
      <c r="BL879" s="117"/>
      <c r="BM879" s="117"/>
      <c r="BN879" s="117"/>
      <c r="BO879" s="117"/>
      <c r="BP879" s="117"/>
    </row>
    <row r="880" spans="2:68" ht="13.2" customHeight="1">
      <c r="B880" s="655"/>
      <c r="G880" s="880"/>
      <c r="H880" s="880"/>
      <c r="I880" s="880"/>
      <c r="J880" s="880"/>
      <c r="K880" s="880"/>
      <c r="L880" s="880"/>
      <c r="M880" s="880"/>
      <c r="O880" s="136">
        <f>ROW()</f>
        <v>880</v>
      </c>
    </row>
    <row r="881" spans="2:68" ht="13.2" customHeight="1">
      <c r="B881" s="24" t="s">
        <v>1881</v>
      </c>
      <c r="G881" s="298" t="s">
        <v>1918</v>
      </c>
      <c r="H881" s="298" t="s">
        <v>1838</v>
      </c>
      <c r="I881" s="298" t="s">
        <v>1839</v>
      </c>
      <c r="J881" s="298" t="s">
        <v>1840</v>
      </c>
      <c r="K881" s="298" t="s">
        <v>1841</v>
      </c>
      <c r="L881" s="298" t="s">
        <v>1917</v>
      </c>
      <c r="M881" s="298"/>
      <c r="N881" s="34" t="s">
        <v>228</v>
      </c>
      <c r="O881" s="136">
        <f>ROW()</f>
        <v>881</v>
      </c>
      <c r="P881" s="4147" t="s">
        <v>2680</v>
      </c>
      <c r="Q881" s="4147"/>
      <c r="R881" s="4147"/>
      <c r="S881" s="4147"/>
      <c r="T881" s="4147"/>
      <c r="U881" s="4147"/>
      <c r="V881" s="4147"/>
      <c r="W881" s="4147"/>
      <c r="Y881" s="4147" t="s">
        <v>2681</v>
      </c>
      <c r="Z881" s="4147"/>
      <c r="AA881" s="4147"/>
      <c r="AB881" s="4147"/>
      <c r="AC881" s="4147"/>
      <c r="AD881" s="4147"/>
      <c r="AE881" s="4147"/>
      <c r="AF881" s="4147"/>
      <c r="AH881" s="4263" t="s">
        <v>5482</v>
      </c>
      <c r="AI881" s="4264"/>
      <c r="AJ881" s="4264"/>
      <c r="AK881" s="4264"/>
      <c r="AL881" s="4264"/>
      <c r="AM881" s="4264"/>
      <c r="AN881" s="4264"/>
      <c r="AO881" s="4264"/>
      <c r="AQ881" s="4147" t="s">
        <v>713</v>
      </c>
      <c r="AR881" s="4147"/>
      <c r="AS881" s="4147"/>
      <c r="AT881" s="4147"/>
      <c r="AU881" s="4147"/>
      <c r="AV881" s="4147"/>
      <c r="AW881" s="4147"/>
      <c r="AX881" s="4147"/>
      <c r="AZ881" s="4147" t="s">
        <v>460</v>
      </c>
      <c r="BA881" s="4147"/>
      <c r="BB881" s="4147"/>
      <c r="BC881" s="4147"/>
      <c r="BD881" s="4147"/>
      <c r="BE881" s="4147"/>
      <c r="BF881" s="4147"/>
      <c r="BG881" s="4147"/>
      <c r="BI881" s="4147" t="s">
        <v>849</v>
      </c>
      <c r="BJ881" s="4147"/>
      <c r="BK881" s="4147"/>
      <c r="BL881" s="4147"/>
      <c r="BM881" s="4147"/>
      <c r="BN881" s="4147"/>
      <c r="BO881" s="4147"/>
      <c r="BP881" s="4147"/>
    </row>
    <row r="882" spans="2:68" ht="13.2" customHeight="1">
      <c r="O882" s="136">
        <f>ROW()</f>
        <v>882</v>
      </c>
    </row>
    <row r="883" spans="2:68" s="1122" customFormat="1" ht="13.2" customHeight="1">
      <c r="B883" s="308" t="s">
        <v>2809</v>
      </c>
      <c r="G883" s="1122">
        <f t="shared" ref="G883:L883" ca="1" si="1725">G864</f>
        <v>893181.46273244277</v>
      </c>
      <c r="H883" s="1122">
        <f t="shared" ca="1" si="1725"/>
        <v>256891.6987351632</v>
      </c>
      <c r="I883" s="1122">
        <f t="shared" ca="1" si="1725"/>
        <v>763958.88024368021</v>
      </c>
      <c r="J883" s="1122">
        <f t="shared" ca="1" si="1725"/>
        <v>490564.11366128235</v>
      </c>
      <c r="K883" s="1122">
        <f t="shared" ca="1" si="1725"/>
        <v>289776.7311140509</v>
      </c>
      <c r="L883" s="1122">
        <f t="shared" ca="1" si="1725"/>
        <v>253273.63675050187</v>
      </c>
      <c r="N883" s="1127">
        <f ca="1">W883+AF883+AO883+AX883+BG883+BP883</f>
        <v>2947646.5232371213</v>
      </c>
      <c r="O883" s="136">
        <f>ROW()</f>
        <v>883</v>
      </c>
      <c r="P883" s="1122">
        <f t="shared" ref="P883:W883" ca="1" si="1726">P864</f>
        <v>84784.157207945682</v>
      </c>
      <c r="Q883" s="1122">
        <f t="shared" ca="1" si="1726"/>
        <v>28768.368558260645</v>
      </c>
      <c r="R883" s="1122">
        <f t="shared" ca="1" si="1726"/>
        <v>81757.39449903644</v>
      </c>
      <c r="S883" s="1122">
        <f t="shared" ca="1" si="1726"/>
        <v>42880.577311239584</v>
      </c>
      <c r="T883" s="1122">
        <f t="shared" ca="1" si="1726"/>
        <v>29438.304073051779</v>
      </c>
      <c r="U883" s="1122">
        <f t="shared" ca="1" si="1726"/>
        <v>22754.019469425682</v>
      </c>
      <c r="W883" s="1122">
        <f t="shared" ca="1" si="1726"/>
        <v>290382.82111895975</v>
      </c>
      <c r="Y883" s="1122">
        <f t="shared" ref="Y883:AF883" ca="1" si="1727">Y864</f>
        <v>191732.73749195083</v>
      </c>
      <c r="Z883" s="1122">
        <f t="shared" ca="1" si="1727"/>
        <v>68332.654814521258</v>
      </c>
      <c r="AA883" s="1122">
        <f t="shared" ca="1" si="1727"/>
        <v>234897.10446881794</v>
      </c>
      <c r="AB883" s="1122">
        <f t="shared" ca="1" si="1727"/>
        <v>165718.72087564704</v>
      </c>
      <c r="AC883" s="1122">
        <f t="shared" ca="1" si="1727"/>
        <v>85155.286937394121</v>
      </c>
      <c r="AD883" s="1122">
        <f t="shared" ca="1" si="1727"/>
        <v>70619.295991406034</v>
      </c>
      <c r="AF883" s="1122">
        <f t="shared" ca="1" si="1727"/>
        <v>816455.80057973717</v>
      </c>
      <c r="AH883" s="1122">
        <f t="shared" ref="AH883:AO883" ca="1" si="1728">AH864</f>
        <v>80424.925376002051</v>
      </c>
      <c r="AI883" s="1122">
        <f t="shared" ca="1" si="1728"/>
        <v>27537.446517244607</v>
      </c>
      <c r="AJ883" s="1122">
        <f t="shared" ca="1" si="1728"/>
        <v>72503.570359055186</v>
      </c>
      <c r="AK883" s="1122">
        <f t="shared" ca="1" si="1728"/>
        <v>43968.019733860558</v>
      </c>
      <c r="AL883" s="1122">
        <f t="shared" ca="1" si="1728"/>
        <v>25435.51032433565</v>
      </c>
      <c r="AM883" s="1122">
        <f t="shared" ca="1" si="1728"/>
        <v>21423.711613692562</v>
      </c>
      <c r="AO883" s="1122">
        <f t="shared" ca="1" si="1728"/>
        <v>271293.18392419064</v>
      </c>
      <c r="AQ883" s="1122">
        <f t="shared" ref="AQ883:AX883" ca="1" si="1729">AQ864</f>
        <v>502998.12881102966</v>
      </c>
      <c r="AR883" s="1122">
        <f t="shared" ca="1" si="1729"/>
        <v>121090.0808527504</v>
      </c>
      <c r="AS883" s="1122">
        <f t="shared" ca="1" si="1729"/>
        <v>340612.84032427327</v>
      </c>
      <c r="AT883" s="1122">
        <f t="shared" ca="1" si="1729"/>
        <v>216106.30800953342</v>
      </c>
      <c r="AU883" s="1122">
        <f t="shared" ca="1" si="1729"/>
        <v>137103.48933382597</v>
      </c>
      <c r="AV883" s="1122">
        <f t="shared" ca="1" si="1729"/>
        <v>127336.74860206751</v>
      </c>
      <c r="AX883" s="1122">
        <f t="shared" ca="1" si="1729"/>
        <v>1445247.5959334802</v>
      </c>
      <c r="AZ883" s="1122">
        <f t="shared" ref="AZ883:BG883" ca="1" si="1730">AZ864</f>
        <v>23945.702387077246</v>
      </c>
      <c r="BA883" s="1122">
        <f t="shared" ca="1" si="1730"/>
        <v>8031.2027763019105</v>
      </c>
      <c r="BB883" s="1122">
        <f t="shared" ca="1" si="1730"/>
        <v>24584.676964193128</v>
      </c>
      <c r="BC883" s="1122">
        <f t="shared" ca="1" si="1730"/>
        <v>15743.0064055162</v>
      </c>
      <c r="BD883" s="1122">
        <f t="shared" ca="1" si="1730"/>
        <v>9088.8901496883009</v>
      </c>
      <c r="BE883" s="1122">
        <f t="shared" ca="1" si="1730"/>
        <v>8004.5817754475647</v>
      </c>
      <c r="BG883" s="1122">
        <f t="shared" ca="1" si="1730"/>
        <v>89398.060458224354</v>
      </c>
      <c r="BI883" s="1122">
        <f t="shared" ref="BI883:BP883" ca="1" si="1731">BI864</f>
        <v>9295.8114584373343</v>
      </c>
      <c r="BJ883" s="1122">
        <f t="shared" ca="1" si="1731"/>
        <v>3131.9452160843884</v>
      </c>
      <c r="BK883" s="1122">
        <f t="shared" ca="1" si="1731"/>
        <v>9603.2936283042418</v>
      </c>
      <c r="BL883" s="1122">
        <f t="shared" ca="1" si="1731"/>
        <v>6147.4813254855699</v>
      </c>
      <c r="BM883" s="1122">
        <f t="shared" ca="1" si="1731"/>
        <v>3555.2502957550914</v>
      </c>
      <c r="BN883" s="1122">
        <f t="shared" ca="1" si="1731"/>
        <v>3135.2792984625175</v>
      </c>
      <c r="BP883" s="1122">
        <f t="shared" ca="1" si="1731"/>
        <v>34869.061222529141</v>
      </c>
    </row>
    <row r="884" spans="2:68" ht="13.2" customHeight="1">
      <c r="B884" s="323" t="s">
        <v>2810</v>
      </c>
      <c r="G884" s="117">
        <f t="shared" ref="G884:L884" ca="1" si="1732">G883/G147</f>
        <v>0.92428513334541396</v>
      </c>
      <c r="H884" s="117">
        <f t="shared" ca="1" si="1732"/>
        <v>0.93048369811804621</v>
      </c>
      <c r="I884" s="117">
        <f t="shared" ca="1" si="1732"/>
        <v>0.93796508274300039</v>
      </c>
      <c r="J884" s="117">
        <f t="shared" ca="1" si="1732"/>
        <v>0.94413938594475488</v>
      </c>
      <c r="K884" s="117">
        <f t="shared" ca="1" si="1732"/>
        <v>0.92860532330323964</v>
      </c>
      <c r="L884" s="117">
        <f t="shared" ca="1" si="1732"/>
        <v>0.90019005435682331</v>
      </c>
      <c r="M884" s="117"/>
      <c r="N884" s="635">
        <f ca="1">N883/N147</f>
        <v>0.92988096886178129</v>
      </c>
      <c r="O884" s="136">
        <f>ROW()</f>
        <v>884</v>
      </c>
      <c r="P884" s="117">
        <f t="shared" ref="P884:U884" ca="1" si="1733">P883/P147</f>
        <v>0.88728271217991561</v>
      </c>
      <c r="Q884" s="117">
        <f t="shared" ca="1" si="1733"/>
        <v>0.92663993321280214</v>
      </c>
      <c r="R884" s="117">
        <f t="shared" ca="1" si="1733"/>
        <v>0.94191400112474533</v>
      </c>
      <c r="S884" s="117">
        <f t="shared" ca="1" si="1733"/>
        <v>0.94893606978890821</v>
      </c>
      <c r="T884" s="117">
        <f t="shared" ca="1" si="1733"/>
        <v>0.91743951991722339</v>
      </c>
      <c r="U884" s="117">
        <f t="shared" ca="1" si="1733"/>
        <v>0.87847676450607448</v>
      </c>
      <c r="V884" s="117"/>
      <c r="W884" s="635">
        <f ca="1">W883/W147</f>
        <v>0.91725769743899854</v>
      </c>
      <c r="Y884" s="117">
        <f t="shared" ref="Y884:AD884" ca="1" si="1734">Y883/Y147</f>
        <v>0.82210824843633501</v>
      </c>
      <c r="Z884" s="117">
        <f t="shared" ca="1" si="1734"/>
        <v>0.8617097239547129</v>
      </c>
      <c r="AA884" s="117">
        <f t="shared" ca="1" si="1734"/>
        <v>0.88334435079238205</v>
      </c>
      <c r="AB884" s="117">
        <f t="shared" ca="1" si="1734"/>
        <v>0.89994148838022492</v>
      </c>
      <c r="AC884" s="117">
        <f t="shared" ca="1" si="1734"/>
        <v>0.86572172773330835</v>
      </c>
      <c r="AD884" s="117">
        <f t="shared" ca="1" si="1734"/>
        <v>0.79538285026383382</v>
      </c>
      <c r="AE884" s="117"/>
      <c r="AF884" s="635">
        <f ca="1">AF883/AF147</f>
        <v>0.8596701930858891</v>
      </c>
      <c r="AH884" s="117">
        <f t="shared" ref="AH884:AM884" ca="1" si="1735">AH883/AH147</f>
        <v>0.72453904523390833</v>
      </c>
      <c r="AI884" s="117">
        <f t="shared" ca="1" si="1735"/>
        <v>0.76605437525722953</v>
      </c>
      <c r="AJ884" s="117">
        <f t="shared" ca="1" si="1735"/>
        <v>0.77034637617523138</v>
      </c>
      <c r="AK884" s="117">
        <f t="shared" ca="1" si="1735"/>
        <v>0.77382584437841706</v>
      </c>
      <c r="AL884" s="117">
        <f t="shared" ca="1" si="1735"/>
        <v>0.73232124823998246</v>
      </c>
      <c r="AM884" s="117">
        <f t="shared" ca="1" si="1735"/>
        <v>0.69508985038969273</v>
      </c>
      <c r="AN884" s="117"/>
      <c r="AO884" s="635">
        <f ca="1">AO883/AO147</f>
        <v>0.74645934383719614</v>
      </c>
      <c r="AQ884" s="117">
        <f t="shared" ref="AQ884:AV884" ca="1" si="1736">AQ883/AQ147</f>
        <v>1.0211038135958268</v>
      </c>
      <c r="AR884" s="117">
        <f t="shared" ca="1" si="1736"/>
        <v>1.0218748143917595</v>
      </c>
      <c r="AS884" s="117">
        <f t="shared" ca="1" si="1736"/>
        <v>1.0221131730233122</v>
      </c>
      <c r="AT884" s="117">
        <f t="shared" ca="1" si="1736"/>
        <v>1.0221496033217718</v>
      </c>
      <c r="AU884" s="117">
        <f t="shared" ca="1" si="1736"/>
        <v>1.0219894185927845</v>
      </c>
      <c r="AV884" s="117">
        <f t="shared" ca="1" si="1736"/>
        <v>1.0216315572054893</v>
      </c>
      <c r="AW884" s="117"/>
      <c r="AX884" s="635">
        <f ca="1">AX883/AX147</f>
        <v>1.0216929816325389</v>
      </c>
      <c r="AZ884" s="117">
        <f t="shared" ref="AZ884:BE884" ca="1" si="1737">AZ883/AZ147</f>
        <v>0.96910085271269941</v>
      </c>
      <c r="BA884" s="117">
        <f t="shared" ca="1" si="1737"/>
        <v>0.97757615561498579</v>
      </c>
      <c r="BB884" s="117">
        <f t="shared" ca="1" si="1737"/>
        <v>0.98231082944574599</v>
      </c>
      <c r="BC884" s="117">
        <f t="shared" ca="1" si="1737"/>
        <v>0.98311704213317963</v>
      </c>
      <c r="BD884" s="117">
        <f t="shared" ca="1" si="1737"/>
        <v>0.98239915536792255</v>
      </c>
      <c r="BE884" s="117">
        <f t="shared" ca="1" si="1737"/>
        <v>0.98204858895508274</v>
      </c>
      <c r="BF884" s="117"/>
      <c r="BG884" s="635">
        <f ca="1">BG883/BG147</f>
        <v>0.97843950243219047</v>
      </c>
      <c r="BI884" s="117">
        <f t="shared" ref="BI884:BN884" ca="1" si="1738">BI883/BI147</f>
        <v>1.0038967871219171</v>
      </c>
      <c r="BJ884" s="117">
        <f t="shared" ca="1" si="1738"/>
        <v>1.0172894204164522</v>
      </c>
      <c r="BK884" s="117">
        <f t="shared" ca="1" si="1738"/>
        <v>1.0239175720982701</v>
      </c>
      <c r="BL884" s="117">
        <f t="shared" ca="1" si="1738"/>
        <v>1.0244131225640221</v>
      </c>
      <c r="BM884" s="117">
        <f t="shared" ca="1" si="1738"/>
        <v>1.0254338974351489</v>
      </c>
      <c r="BN884" s="117">
        <f t="shared" ca="1" si="1738"/>
        <v>1.0264337596296649</v>
      </c>
      <c r="BO884" s="117"/>
      <c r="BP884" s="635">
        <f ca="1">BP883/BP147</f>
        <v>1.0183721151439584</v>
      </c>
    </row>
    <row r="885" spans="2:68" ht="13.2" customHeight="1">
      <c r="B885" s="323" t="s">
        <v>1829</v>
      </c>
      <c r="G885" s="1122">
        <f t="shared" ref="G885:L885" ca="1" si="1739">G883/G118</f>
        <v>89318.146273244274</v>
      </c>
      <c r="H885" s="1122">
        <f t="shared" ca="1" si="1739"/>
        <v>128445.8493675816</v>
      </c>
      <c r="I885" s="1122">
        <f t="shared" ca="1" si="1739"/>
        <v>152791.77604873604</v>
      </c>
      <c r="J885" s="1122">
        <f t="shared" ca="1" si="1739"/>
        <v>163521.37122042745</v>
      </c>
      <c r="K885" s="1122">
        <f t="shared" ca="1" si="1739"/>
        <v>144888.36555702545</v>
      </c>
      <c r="L885" s="1122">
        <f t="shared" ca="1" si="1739"/>
        <v>126636.81837525094</v>
      </c>
      <c r="N885" s="635"/>
      <c r="O885" s="136">
        <f>ROW()</f>
        <v>885</v>
      </c>
      <c r="P885" s="117"/>
      <c r="Q885" s="117"/>
      <c r="R885" s="117"/>
      <c r="S885" s="117"/>
      <c r="T885" s="117"/>
      <c r="U885" s="117"/>
      <c r="V885" s="117"/>
      <c r="W885" s="635"/>
      <c r="Y885" s="117"/>
      <c r="Z885" s="117"/>
      <c r="AA885" s="117"/>
      <c r="AB885" s="117"/>
      <c r="AC885" s="117"/>
      <c r="AD885" s="117"/>
      <c r="AE885" s="117"/>
      <c r="AF885" s="635"/>
      <c r="AH885" s="117"/>
      <c r="AI885" s="117"/>
      <c r="AJ885" s="117"/>
      <c r="AK885" s="117"/>
      <c r="AL885" s="117"/>
      <c r="AM885" s="117"/>
      <c r="AN885" s="117"/>
      <c r="AO885" s="635"/>
      <c r="AQ885" s="117"/>
      <c r="AR885" s="117"/>
      <c r="AS885" s="117"/>
      <c r="AT885" s="117"/>
      <c r="AU885" s="117"/>
      <c r="AV885" s="117"/>
      <c r="AW885" s="117"/>
      <c r="AX885" s="635"/>
      <c r="AZ885" s="117"/>
      <c r="BA885" s="117"/>
      <c r="BB885" s="117"/>
      <c r="BC885" s="117"/>
      <c r="BD885" s="117"/>
      <c r="BE885" s="117"/>
      <c r="BF885" s="117"/>
      <c r="BG885" s="635"/>
      <c r="BI885" s="117"/>
      <c r="BJ885" s="117"/>
      <c r="BK885" s="117"/>
      <c r="BL885" s="117"/>
      <c r="BM885" s="117"/>
      <c r="BN885" s="117"/>
      <c r="BO885" s="117"/>
      <c r="BP885" s="635"/>
    </row>
    <row r="886" spans="2:68" ht="13.2" customHeight="1">
      <c r="B886" s="323"/>
      <c r="G886" s="117"/>
      <c r="H886" s="117"/>
      <c r="I886" s="117"/>
      <c r="J886" s="117"/>
      <c r="K886" s="117"/>
      <c r="L886" s="117"/>
      <c r="M886" s="117"/>
      <c r="N886" s="635"/>
      <c r="O886" s="136">
        <f>ROW()</f>
        <v>886</v>
      </c>
      <c r="P886" s="117"/>
      <c r="Q886" s="117"/>
      <c r="R886" s="117"/>
      <c r="S886" s="117"/>
      <c r="T886" s="117"/>
      <c r="U886" s="117"/>
      <c r="V886" s="117"/>
      <c r="W886" s="635"/>
      <c r="Y886" s="117"/>
      <c r="Z886" s="117"/>
      <c r="AA886" s="117"/>
      <c r="AB886" s="117"/>
      <c r="AC886" s="117"/>
      <c r="AD886" s="117"/>
      <c r="AE886" s="117"/>
      <c r="AF886" s="635"/>
      <c r="AH886" s="117"/>
      <c r="AI886" s="117"/>
      <c r="AJ886" s="117"/>
      <c r="AK886" s="117"/>
      <c r="AL886" s="117"/>
      <c r="AM886" s="117"/>
      <c r="AN886" s="117"/>
      <c r="AO886" s="635"/>
      <c r="AQ886" s="117"/>
      <c r="AR886" s="117"/>
      <c r="AS886" s="117"/>
      <c r="AT886" s="117"/>
      <c r="AU886" s="117"/>
      <c r="AV886" s="117"/>
      <c r="AW886" s="117"/>
      <c r="AX886" s="635"/>
      <c r="AZ886" s="117"/>
      <c r="BA886" s="117"/>
      <c r="BB886" s="117"/>
      <c r="BC886" s="117"/>
      <c r="BD886" s="117"/>
      <c r="BE886" s="117"/>
      <c r="BF886" s="117"/>
      <c r="BG886" s="635"/>
      <c r="BI886" s="117"/>
      <c r="BJ886" s="117"/>
      <c r="BK886" s="117"/>
      <c r="BL886" s="117"/>
      <c r="BM886" s="117"/>
      <c r="BN886" s="117"/>
      <c r="BO886" s="117"/>
      <c r="BP886" s="635"/>
    </row>
    <row r="887" spans="2:68" ht="13.2" customHeight="1">
      <c r="B887" s="308" t="s">
        <v>1430</v>
      </c>
      <c r="O887" s="136">
        <f>ROW()</f>
        <v>887</v>
      </c>
      <c r="P887" s="309"/>
      <c r="Y887" s="309"/>
      <c r="AH887" s="309"/>
      <c r="AQ887" s="309"/>
      <c r="AZ887" s="309"/>
      <c r="BI887" s="309"/>
    </row>
    <row r="888" spans="2:68" s="1122" customFormat="1" ht="13.2" customHeight="1">
      <c r="B888" s="323" t="s">
        <v>1432</v>
      </c>
      <c r="G888" s="1122">
        <f t="shared" ref="G888:L888" ca="1" si="1740">G860</f>
        <v>490078.37918799947</v>
      </c>
      <c r="H888" s="1122">
        <f t="shared" ca="1" si="1740"/>
        <v>115621.07088090682</v>
      </c>
      <c r="I888" s="1122">
        <f t="shared" ca="1" si="1740"/>
        <v>324018.26721468696</v>
      </c>
      <c r="J888" s="1122">
        <f t="shared" ca="1" si="1740"/>
        <v>205270.16866253721</v>
      </c>
      <c r="K888" s="1122">
        <f t="shared" ca="1" si="1740"/>
        <v>130142.75901879331</v>
      </c>
      <c r="L888" s="1122">
        <f t="shared" ca="1" si="1740"/>
        <v>123889.87943812448</v>
      </c>
      <c r="N888" s="1127">
        <f ca="1">SUM(G888:M888)</f>
        <v>1389020.5244030482</v>
      </c>
      <c r="O888" s="136">
        <f>ROW()</f>
        <v>888</v>
      </c>
      <c r="P888" s="1122">
        <f t="shared" ref="P888:U888" ca="1" si="1741">P860</f>
        <v>11031.925103089836</v>
      </c>
      <c r="Q888" s="1122">
        <f t="shared" ca="1" si="1741"/>
        <v>3893.2720950760063</v>
      </c>
      <c r="R888" s="1122">
        <f t="shared" ca="1" si="1741"/>
        <v>12225.769470836602</v>
      </c>
      <c r="S888" s="1122">
        <f t="shared" ca="1" si="1741"/>
        <v>7837.8855958585755</v>
      </c>
      <c r="T888" s="1122">
        <f t="shared" ca="1" si="1741"/>
        <v>4547.2544990913784</v>
      </c>
      <c r="U888" s="1122">
        <f t="shared" ca="1" si="1741"/>
        <v>4030.0991333460806</v>
      </c>
      <c r="W888" s="1127">
        <f ca="1">SUM(P888:V888)</f>
        <v>43566.205897298481</v>
      </c>
      <c r="Y888" s="1122">
        <f t="shared" ref="Y888:AD888" ca="1" si="1742">Y860</f>
        <v>33095.775309269513</v>
      </c>
      <c r="Z888" s="1122">
        <f t="shared" ca="1" si="1742"/>
        <v>11679.816285228015</v>
      </c>
      <c r="AA888" s="1122">
        <f t="shared" ca="1" si="1742"/>
        <v>36677.30841250981</v>
      </c>
      <c r="AB888" s="1122">
        <f t="shared" ca="1" si="1742"/>
        <v>23513.656787575728</v>
      </c>
      <c r="AC888" s="1122">
        <f t="shared" ca="1" si="1742"/>
        <v>13641.763497274129</v>
      </c>
      <c r="AD888" s="1122">
        <f t="shared" ca="1" si="1742"/>
        <v>12090.297400038242</v>
      </c>
      <c r="AF888" s="1127">
        <f ca="1">SUM(Y888:AE888)</f>
        <v>130698.61769189544</v>
      </c>
      <c r="AH888" s="1122">
        <f t="shared" ref="AH888:AM888" ca="1" si="1743">AH860</f>
        <v>0</v>
      </c>
      <c r="AI888" s="1122">
        <f t="shared" ca="1" si="1743"/>
        <v>0</v>
      </c>
      <c r="AJ888" s="1122">
        <f t="shared" ca="1" si="1743"/>
        <v>0</v>
      </c>
      <c r="AK888" s="1122">
        <f t="shared" ca="1" si="1743"/>
        <v>0</v>
      </c>
      <c r="AL888" s="1122">
        <f t="shared" ca="1" si="1743"/>
        <v>0</v>
      </c>
      <c r="AM888" s="1122">
        <f t="shared" ca="1" si="1743"/>
        <v>0</v>
      </c>
      <c r="AO888" s="1127">
        <f ca="1">SUM(AH888:AN888)</f>
        <v>0</v>
      </c>
      <c r="AQ888" s="1122">
        <f t="shared" ref="AQ888:AV888" si="1744">AQ860</f>
        <v>438656.72193199908</v>
      </c>
      <c r="AR888" s="1122">
        <f t="shared" si="1744"/>
        <v>97563.564894963914</v>
      </c>
      <c r="AS888" s="1122">
        <f t="shared" si="1744"/>
        <v>267453.00942252984</v>
      </c>
      <c r="AT888" s="1122">
        <f t="shared" si="1744"/>
        <v>169012.18827727382</v>
      </c>
      <c r="AU888" s="1122">
        <f t="shared" si="1744"/>
        <v>109114.24796886933</v>
      </c>
      <c r="AV888" s="1122">
        <f t="shared" si="1744"/>
        <v>105261.8059659023</v>
      </c>
      <c r="AX888" s="1127">
        <f>SUM(AQ888:AW888)</f>
        <v>1187061.5384615383</v>
      </c>
      <c r="AZ888" s="1122">
        <f t="shared" ref="AZ888:BE888" ca="1" si="1745">AZ860</f>
        <v>4160.1255524311555</v>
      </c>
      <c r="BA888" s="1122">
        <f t="shared" ca="1" si="1745"/>
        <v>1410.9398931102719</v>
      </c>
      <c r="BB888" s="1122">
        <f t="shared" ca="1" si="1745"/>
        <v>4341.9623173713953</v>
      </c>
      <c r="BC888" s="1122">
        <f t="shared" ca="1" si="1745"/>
        <v>2779.9578093537098</v>
      </c>
      <c r="BD888" s="1122">
        <f t="shared" ca="1" si="1745"/>
        <v>1608.3550840020343</v>
      </c>
      <c r="BE888" s="1122">
        <f t="shared" ca="1" si="1745"/>
        <v>1419.7960250623987</v>
      </c>
      <c r="BG888" s="1127">
        <f ca="1">SUM(AZ888:BF888)</f>
        <v>15721.136681330965</v>
      </c>
      <c r="BI888" s="1122">
        <f t="shared" ref="BI888:BN888" ca="1" si="1746">BI860</f>
        <v>3133.8312912098827</v>
      </c>
      <c r="BJ888" s="1122">
        <f t="shared" ca="1" si="1746"/>
        <v>1073.4777125286023</v>
      </c>
      <c r="BK888" s="1122">
        <f t="shared" ca="1" si="1746"/>
        <v>3320.2175914392978</v>
      </c>
      <c r="BL888" s="1122">
        <f t="shared" ca="1" si="1746"/>
        <v>2126.480192475371</v>
      </c>
      <c r="BM888" s="1122">
        <f t="shared" ca="1" si="1746"/>
        <v>1231.1379695564463</v>
      </c>
      <c r="BN888" s="1122">
        <f t="shared" ca="1" si="1746"/>
        <v>1087.880913775462</v>
      </c>
      <c r="BP888" s="1127">
        <f ca="1">SUM(BI888:BO888)</f>
        <v>11973.025670985062</v>
      </c>
    </row>
    <row r="889" spans="2:68" ht="13.2" customHeight="1">
      <c r="B889" s="323" t="s">
        <v>2810</v>
      </c>
      <c r="G889" s="117">
        <f t="shared" ref="G889:L889" ca="1" si="1747">G888/G143</f>
        <v>1.0028853010951257</v>
      </c>
      <c r="H889" s="117">
        <f t="shared" ca="1" si="1747"/>
        <v>1.0125174707158624</v>
      </c>
      <c r="I889" s="117">
        <f t="shared" ca="1" si="1747"/>
        <v>1.0185770596232475</v>
      </c>
      <c r="J889" s="117">
        <f t="shared" ca="1" si="1747"/>
        <v>1.0190978451446688</v>
      </c>
      <c r="K889" s="117">
        <f t="shared" ca="1" si="1747"/>
        <v>1.0180139767749559</v>
      </c>
      <c r="L889" s="117">
        <f t="shared" ca="1" si="1747"/>
        <v>1.0174980614498232</v>
      </c>
      <c r="M889" s="117"/>
      <c r="N889" s="635">
        <f ca="1">N888/N143</f>
        <v>1.012411944158774</v>
      </c>
      <c r="O889" s="136">
        <f>ROW()</f>
        <v>889</v>
      </c>
      <c r="P889" s="117">
        <f t="shared" ref="P889:U889" ca="1" si="1748">P888/P143</f>
        <v>1.0308542130471696</v>
      </c>
      <c r="Q889" s="117">
        <f t="shared" ca="1" si="1748"/>
        <v>1.0941813697726273</v>
      </c>
      <c r="R889" s="117">
        <f t="shared" ca="1" si="1748"/>
        <v>1.1278859287950977</v>
      </c>
      <c r="S889" s="117">
        <f t="shared" ca="1" si="1748"/>
        <v>1.1301107934787271</v>
      </c>
      <c r="T889" s="117">
        <f t="shared" ca="1" si="1748"/>
        <v>1.1348303381339062</v>
      </c>
      <c r="U889" s="117">
        <f t="shared" ca="1" si="1748"/>
        <v>1.1416017074080969</v>
      </c>
      <c r="V889" s="117"/>
      <c r="W889" s="635">
        <f ca="1">W888/W143</f>
        <v>1.1009311791523237</v>
      </c>
      <c r="Y889" s="117">
        <f t="shared" ref="Y889:AD889" ca="1" si="1749">Y888/Y143</f>
        <v>1.0308542130471698</v>
      </c>
      <c r="Z889" s="117">
        <f t="shared" ca="1" si="1749"/>
        <v>1.094181369772627</v>
      </c>
      <c r="AA889" s="117">
        <f t="shared" ca="1" si="1749"/>
        <v>1.1278859287950982</v>
      </c>
      <c r="AB889" s="117">
        <f t="shared" ca="1" si="1749"/>
        <v>1.1301107934787273</v>
      </c>
      <c r="AC889" s="117">
        <f t="shared" ca="1" si="1749"/>
        <v>1.1348303381339058</v>
      </c>
      <c r="AD889" s="117">
        <f t="shared" ca="1" si="1749"/>
        <v>1.1416017074080969</v>
      </c>
      <c r="AE889" s="117"/>
      <c r="AF889" s="635">
        <f ca="1">AF888/AF143</f>
        <v>1.1009311791523237</v>
      </c>
      <c r="AH889" s="309"/>
      <c r="AQ889" s="117">
        <f t="shared" ref="AQ889:AV889" si="1750">AQ888/AQ143</f>
        <v>1</v>
      </c>
      <c r="AR889" s="117">
        <f t="shared" si="1750"/>
        <v>1</v>
      </c>
      <c r="AS889" s="117">
        <f t="shared" si="1750"/>
        <v>1</v>
      </c>
      <c r="AT889" s="117">
        <f t="shared" si="1750"/>
        <v>1</v>
      </c>
      <c r="AU889" s="117">
        <f t="shared" si="1750"/>
        <v>1</v>
      </c>
      <c r="AV889" s="117">
        <f t="shared" si="1750"/>
        <v>1</v>
      </c>
      <c r="AW889" s="117"/>
      <c r="AX889" s="635">
        <f>AX888/AX143</f>
        <v>1</v>
      </c>
      <c r="AZ889" s="117">
        <f t="shared" ref="AZ889:BE889" ca="1" si="1751">AZ888/AZ143</f>
        <v>1.0101807385099653</v>
      </c>
      <c r="BA889" s="117">
        <f t="shared" ca="1" si="1751"/>
        <v>1.0304567584177065</v>
      </c>
      <c r="BB889" s="117">
        <f t="shared" ca="1" si="1751"/>
        <v>1.0409304816031577</v>
      </c>
      <c r="BC889" s="117">
        <f t="shared" ca="1" si="1751"/>
        <v>1.0416144775864009</v>
      </c>
      <c r="BD889" s="117">
        <f t="shared" ca="1" si="1751"/>
        <v>1.0430624531925867</v>
      </c>
      <c r="BE889" s="117">
        <f t="shared" ca="1" si="1751"/>
        <v>1.0451329417059543</v>
      </c>
      <c r="BF889" s="117"/>
      <c r="BG889" s="635">
        <f ca="1">BG888/BG143</f>
        <v>1.0323835488134336</v>
      </c>
      <c r="BI889" s="117">
        <f t="shared" ref="BI889:BN889" ca="1" si="1752">BI888/BI143</f>
        <v>1.0153099098537204</v>
      </c>
      <c r="BJ889" s="117">
        <f t="shared" ca="1" si="1752"/>
        <v>1.0460312470345361</v>
      </c>
      <c r="BK889" s="117">
        <f t="shared" ca="1" si="1752"/>
        <v>1.0620197403038694</v>
      </c>
      <c r="BL889" s="117">
        <f t="shared" ca="1" si="1752"/>
        <v>1.0630666928649055</v>
      </c>
      <c r="BM889" s="117">
        <f t="shared" ca="1" si="1752"/>
        <v>1.0652841583980799</v>
      </c>
      <c r="BN889" s="117">
        <f t="shared" ca="1" si="1752"/>
        <v>1.0684576301417368</v>
      </c>
      <c r="BO889" s="117"/>
      <c r="BP889" s="635">
        <f ca="1">BP888/BP143</f>
        <v>1.0490384641634105</v>
      </c>
    </row>
    <row r="890" spans="2:68" ht="13.2" customHeight="1">
      <c r="B890" s="323"/>
      <c r="G890" s="117"/>
      <c r="H890" s="117"/>
      <c r="I890" s="117"/>
      <c r="J890" s="117"/>
      <c r="K890" s="117"/>
      <c r="L890" s="117"/>
      <c r="M890" s="117"/>
      <c r="N890" s="635"/>
      <c r="O890" s="136">
        <f>ROW()</f>
        <v>890</v>
      </c>
      <c r="P890" s="117"/>
      <c r="Q890" s="117"/>
      <c r="R890" s="117"/>
      <c r="S890" s="117"/>
      <c r="T890" s="117"/>
      <c r="U890" s="117"/>
      <c r="V890" s="117"/>
      <c r="W890" s="635"/>
      <c r="Y890" s="117"/>
      <c r="Z890" s="117"/>
      <c r="AA890" s="117"/>
      <c r="AB890" s="117"/>
      <c r="AC890" s="117"/>
      <c r="AD890" s="117"/>
      <c r="AE890" s="117"/>
      <c r="AF890" s="635"/>
      <c r="AH890" s="309"/>
      <c r="AQ890" s="117"/>
      <c r="AR890" s="117"/>
      <c r="AS890" s="117"/>
      <c r="AT890" s="117"/>
      <c r="AU890" s="117"/>
      <c r="AV890" s="117"/>
      <c r="AW890" s="117"/>
      <c r="AX890" s="635"/>
      <c r="AZ890" s="117"/>
      <c r="BA890" s="117"/>
      <c r="BB890" s="117"/>
      <c r="BC890" s="117"/>
      <c r="BD890" s="117"/>
      <c r="BE890" s="117"/>
      <c r="BF890" s="117"/>
      <c r="BG890" s="635"/>
      <c r="BI890" s="117"/>
      <c r="BJ890" s="117"/>
      <c r="BK890" s="117"/>
      <c r="BL890" s="117"/>
      <c r="BM890" s="117"/>
      <c r="BN890" s="117"/>
      <c r="BO890" s="117"/>
      <c r="BP890" s="635"/>
    </row>
    <row r="891" spans="2:68" s="1122" customFormat="1" ht="13.2" customHeight="1">
      <c r="B891" s="308" t="s">
        <v>1584</v>
      </c>
      <c r="G891" s="1133">
        <f t="shared" ref="G891:L891" ca="1" si="1753">G848-G122</f>
        <v>-29304.276723796254</v>
      </c>
      <c r="H891" s="1133">
        <f t="shared" ca="1" si="1753"/>
        <v>-7143.1762872566396</v>
      </c>
      <c r="I891" s="1133">
        <f t="shared" ca="1" si="1753"/>
        <v>-17410.610026842187</v>
      </c>
      <c r="J891" s="1133">
        <f t="shared" ca="1" si="1753"/>
        <v>-9015.4218247232347</v>
      </c>
      <c r="K891" s="1133">
        <f t="shared" ca="1" si="1753"/>
        <v>-9327.5356799331785</v>
      </c>
      <c r="L891" s="1133">
        <f t="shared" ca="1" si="1753"/>
        <v>-13071.074863527225</v>
      </c>
      <c r="M891" s="1133"/>
      <c r="N891" s="1133">
        <f ca="1">N848-N122</f>
        <v>-85272.095406078792</v>
      </c>
      <c r="O891" s="136">
        <f>ROW()</f>
        <v>891</v>
      </c>
      <c r="P891" s="1133">
        <f t="shared" ref="P891:U891" ca="1" si="1754">P848-P122</f>
        <v>-4344.0262623449635</v>
      </c>
      <c r="Q891" s="1133">
        <f t="shared" ca="1" si="1754"/>
        <v>-858.12459755119198</v>
      </c>
      <c r="R891" s="1133">
        <f t="shared" ca="1" si="1754"/>
        <v>-1682.6512098131316</v>
      </c>
      <c r="S891" s="1133">
        <f t="shared" ca="1" si="1754"/>
        <v>-488.58716913832541</v>
      </c>
      <c r="T891" s="1133">
        <f t="shared" ca="1" si="1754"/>
        <v>-1195.9450177424478</v>
      </c>
      <c r="U891" s="1133">
        <f t="shared" ca="1" si="1754"/>
        <v>-1493.4606695228067</v>
      </c>
      <c r="V891" s="1133"/>
      <c r="W891" s="1133">
        <f ca="1">W848-W122</f>
        <v>-10062.794926112882</v>
      </c>
      <c r="Y891" s="1133">
        <f t="shared" ref="Y891:AD891" ca="1" si="1755">Y848-Y122</f>
        <v>-13611.815089332486</v>
      </c>
      <c r="Z891" s="1133">
        <f t="shared" ca="1" si="1755"/>
        <v>-3729.267592492557</v>
      </c>
      <c r="AA891" s="1133">
        <f t="shared" ca="1" si="1755"/>
        <v>-10929.504225112745</v>
      </c>
      <c r="AB891" s="1133">
        <f t="shared" ca="1" si="1755"/>
        <v>-6142.5241470139154</v>
      </c>
      <c r="AC891" s="1133">
        <f t="shared" ca="1" si="1755"/>
        <v>-5409.3971791601798</v>
      </c>
      <c r="AD891" s="1133">
        <f t="shared" ca="1" si="1755"/>
        <v>-8596.7641376074171</v>
      </c>
      <c r="AE891" s="1133"/>
      <c r="AF891" s="1133">
        <f ca="1">AF848-AF122</f>
        <v>-48419.272370719293</v>
      </c>
      <c r="AH891" s="1133">
        <f t="shared" ref="AH891:AM891" ca="1" si="1756">AH848-AH122</f>
        <v>-11844.184217510421</v>
      </c>
      <c r="AI891" s="1133">
        <f t="shared" ca="1" si="1756"/>
        <v>-3117.0445995845821</v>
      </c>
      <c r="AJ891" s="1133">
        <f t="shared" ca="1" si="1756"/>
        <v>-6927.0174273532175</v>
      </c>
      <c r="AK891" s="1133">
        <f t="shared" ca="1" si="1756"/>
        <v>-3778.7622904582695</v>
      </c>
      <c r="AL891" s="1133">
        <f t="shared" ca="1" si="1756"/>
        <v>-3598.278257551101</v>
      </c>
      <c r="AM891" s="1133">
        <f t="shared" ca="1" si="1756"/>
        <v>-3644.2903774743791</v>
      </c>
      <c r="AN891" s="1133"/>
      <c r="AO891" s="1133">
        <f ca="1">AO848-AO122</f>
        <v>-32909.577169931945</v>
      </c>
      <c r="AQ891" s="1133">
        <f t="shared" ref="AQ891:AV891" ca="1" si="1757">AQ848-AQ122</f>
        <v>650.38308109828176</v>
      </c>
      <c r="AR891" s="1133">
        <f t="shared" ca="1" si="1757"/>
        <v>599.04821828880722</v>
      </c>
      <c r="AS891" s="1133">
        <f t="shared" ca="1" si="1757"/>
        <v>2216.1376937457972</v>
      </c>
      <c r="AT891" s="1133">
        <f t="shared" ca="1" si="1757"/>
        <v>1446.8966569071199</v>
      </c>
      <c r="AU891" s="1133">
        <f t="shared" ca="1" si="1757"/>
        <v>909.78144379567129</v>
      </c>
      <c r="AV891" s="1133">
        <f t="shared" ca="1" si="1757"/>
        <v>690.47244948146727</v>
      </c>
      <c r="AW891" s="1133"/>
      <c r="AX891" s="1133">
        <f ca="1">AX848-AX122</f>
        <v>6512.7195433171437</v>
      </c>
      <c r="AZ891" s="1133">
        <f t="shared" ref="AZ891:BE891" ca="1" si="1758">AZ848-AZ122</f>
        <v>-143.78055821865973</v>
      </c>
      <c r="BA891" s="1133">
        <f t="shared" ca="1" si="1758"/>
        <v>-39.25994176204108</v>
      </c>
      <c r="BB891" s="1133">
        <f t="shared" ca="1" si="1758"/>
        <v>-98.30356227993434</v>
      </c>
      <c r="BC891" s="1133">
        <f t="shared" ca="1" si="1758"/>
        <v>-59.773321110998495</v>
      </c>
      <c r="BD891" s="1133">
        <f t="shared" ca="1" si="1758"/>
        <v>-38.45975534319291</v>
      </c>
      <c r="BE891" s="1133">
        <f t="shared" ca="1" si="1758"/>
        <v>-30.935565136274363</v>
      </c>
      <c r="BF891" s="1133"/>
      <c r="BG891" s="1133">
        <f ca="1">BG848-BG122</f>
        <v>-410.51270385110001</v>
      </c>
      <c r="BI891" s="1133">
        <f t="shared" ref="BI891:BN891" ca="1" si="1759">BI848-BI122</f>
        <v>-10.853677488017865</v>
      </c>
      <c r="BJ891" s="1133">
        <f t="shared" ca="1" si="1759"/>
        <v>1.4722258449196488</v>
      </c>
      <c r="BK891" s="1133">
        <f t="shared" ca="1" si="1759"/>
        <v>10.728703971019513</v>
      </c>
      <c r="BL891" s="1133">
        <f t="shared" ca="1" si="1759"/>
        <v>7.3284460911725091</v>
      </c>
      <c r="BM891" s="1133">
        <f t="shared" ca="1" si="1759"/>
        <v>4.7630860680743581</v>
      </c>
      <c r="BN891" s="1133">
        <f t="shared" ca="1" si="1759"/>
        <v>3.9034367321850709</v>
      </c>
      <c r="BO891" s="1133"/>
      <c r="BP891" s="1133">
        <f ca="1">BP848-BP122</f>
        <v>17.342221219354542</v>
      </c>
    </row>
    <row r="892" spans="2:68" ht="13.2" customHeight="1">
      <c r="B892" s="309" t="str">
        <f>CONCATENATE("Equilibrium entries in Row ",O848, " less baseline entries in Row ",O122, ".")</f>
        <v>Equilibrium entries in Row 848 less baseline entries in Row 122.</v>
      </c>
      <c r="G892" s="929"/>
      <c r="H892" s="929"/>
      <c r="I892" s="929"/>
      <c r="J892" s="929"/>
      <c r="K892" s="929"/>
      <c r="L892" s="929"/>
      <c r="M892" s="929"/>
      <c r="N892" s="929"/>
      <c r="O892" s="136">
        <f>ROW()</f>
        <v>892</v>
      </c>
      <c r="P892" s="929"/>
      <c r="Q892" s="929"/>
      <c r="R892" s="929"/>
      <c r="S892" s="929"/>
      <c r="T892" s="929"/>
      <c r="U892" s="929"/>
      <c r="V892" s="929"/>
      <c r="W892" s="929"/>
      <c r="Y892" s="929"/>
      <c r="Z892" s="929"/>
      <c r="AA892" s="929"/>
      <c r="AB892" s="929"/>
      <c r="AC892" s="929"/>
      <c r="AD892" s="929"/>
      <c r="AE892" s="929"/>
      <c r="AF892" s="929"/>
      <c r="AH892" s="929"/>
      <c r="AI892" s="929"/>
      <c r="AJ892" s="929"/>
      <c r="AK892" s="929"/>
      <c r="AL892" s="929"/>
      <c r="AM892" s="929"/>
      <c r="AN892" s="929"/>
      <c r="AO892" s="929"/>
      <c r="AQ892" s="929"/>
      <c r="AR892" s="929"/>
      <c r="AS892" s="929"/>
      <c r="AT892" s="929"/>
      <c r="AU892" s="929"/>
      <c r="AV892" s="929"/>
      <c r="AW892" s="929"/>
      <c r="AX892" s="929"/>
      <c r="AZ892" s="929"/>
      <c r="BA892" s="929"/>
      <c r="BB892" s="929"/>
      <c r="BC892" s="929"/>
      <c r="BD892" s="929"/>
      <c r="BE892" s="929"/>
      <c r="BF892" s="929"/>
      <c r="BG892" s="929"/>
      <c r="BI892" s="929"/>
      <c r="BJ892" s="929"/>
      <c r="BK892" s="929"/>
      <c r="BL892" s="929"/>
      <c r="BM892" s="929"/>
      <c r="BN892" s="929"/>
      <c r="BO892" s="929"/>
      <c r="BP892" s="929"/>
    </row>
    <row r="893" spans="2:68" ht="13.2" customHeight="1">
      <c r="B893" s="308" t="s">
        <v>1856</v>
      </c>
      <c r="G893" s="930">
        <f t="shared" ref="G893:L893" ca="1" si="1760">G891/G122</f>
        <v>-0.21220383166949491</v>
      </c>
      <c r="H893" s="930">
        <f t="shared" ca="1" si="1760"/>
        <v>-0.13328111218384223</v>
      </c>
      <c r="I893" s="930">
        <f t="shared" ca="1" si="1760"/>
        <v>-0.10333749217127362</v>
      </c>
      <c r="J893" s="930">
        <f t="shared" ca="1" si="1760"/>
        <v>-8.3003004397859043E-2</v>
      </c>
      <c r="K893" s="930">
        <f t="shared" ca="1" si="1760"/>
        <v>-0.14546342847094063</v>
      </c>
      <c r="L893" s="930">
        <f t="shared" ca="1" si="1760"/>
        <v>-0.26339477898937363</v>
      </c>
      <c r="M893" s="930"/>
      <c r="N893" s="839">
        <f ca="1">N891/N122</f>
        <v>-0.14638064912551221</v>
      </c>
      <c r="O893" s="136">
        <f>ROW()</f>
        <v>893</v>
      </c>
      <c r="P893" s="930">
        <f t="shared" ref="P893:U893" ca="1" si="1761">P891/P122</f>
        <v>-0.15230370044772951</v>
      </c>
      <c r="Q893" s="930">
        <f t="shared" ca="1" si="1761"/>
        <v>-8.3989739504471625E-2</v>
      </c>
      <c r="R893" s="930">
        <f t="shared" ca="1" si="1761"/>
        <v>-6.2884959342882171E-2</v>
      </c>
      <c r="S893" s="930">
        <f t="shared" ca="1" si="1761"/>
        <v>-4.720935174628748E-2</v>
      </c>
      <c r="T893" s="930">
        <f t="shared" ca="1" si="1761"/>
        <v>-0.11743751879655452</v>
      </c>
      <c r="U893" s="930">
        <f t="shared" ca="1" si="1761"/>
        <v>-0.23686182804189157</v>
      </c>
      <c r="V893" s="930"/>
      <c r="W893" s="930">
        <f ca="1">W891/W122</f>
        <v>-0.10898137137719048</v>
      </c>
      <c r="Y893" s="930">
        <f t="shared" ref="Y893:AD893" ca="1" si="1762">Y891/Y122</f>
        <v>-0.27257841109258896</v>
      </c>
      <c r="Z893" s="930">
        <f t="shared" ca="1" si="1762"/>
        <v>-0.17405982672687625</v>
      </c>
      <c r="AA893" s="930">
        <f t="shared" ca="1" si="1762"/>
        <v>-0.13018594883598053</v>
      </c>
      <c r="AB893" s="930">
        <f t="shared" ca="1" si="1762"/>
        <v>-9.683240468898334E-2</v>
      </c>
      <c r="AC893" s="930">
        <f t="shared" ca="1" si="1762"/>
        <v>-0.16929942820457994</v>
      </c>
      <c r="AD893" s="930">
        <f t="shared" ca="1" si="1762"/>
        <v>-0.32683247042847052</v>
      </c>
      <c r="AE893" s="930"/>
      <c r="AF893" s="930">
        <f ca="1">AF891/AF122</f>
        <v>-0.17479566206645841</v>
      </c>
      <c r="AH893" s="930">
        <f t="shared" ref="AH893:AM893" ca="1" si="1763">AH891/AH122</f>
        <v>-0.2971427431708703</v>
      </c>
      <c r="AI893" s="930">
        <f t="shared" ca="1" si="1763"/>
        <v>-0.21830358180244086</v>
      </c>
      <c r="AJ893" s="930">
        <f t="shared" ca="1" si="1763"/>
        <v>-0.20582513782288694</v>
      </c>
      <c r="AK893" s="930">
        <f t="shared" ca="1" si="1763"/>
        <v>-0.19594707146173762</v>
      </c>
      <c r="AL893" s="930">
        <f t="shared" ca="1" si="1763"/>
        <v>-0.28092465096554087</v>
      </c>
      <c r="AM893" s="930">
        <f t="shared" ca="1" si="1763"/>
        <v>-0.3676238681647625</v>
      </c>
      <c r="AN893" s="930"/>
      <c r="AO893" s="930">
        <f ca="1">AO891/AO122</f>
        <v>-0.25354065616280386</v>
      </c>
      <c r="AQ893" s="930">
        <f t="shared" ref="AQ893:AV893" ca="1" si="1764">AQ891/AQ122</f>
        <v>4.2196953713929362E-2</v>
      </c>
      <c r="AR893" s="930">
        <f t="shared" ca="1" si="1764"/>
        <v>0.10015425600980467</v>
      </c>
      <c r="AS893" s="930">
        <f t="shared" ca="1" si="1764"/>
        <v>0.11789623112369742</v>
      </c>
      <c r="AT893" s="930">
        <f t="shared" ca="1" si="1764"/>
        <v>0.11940575026176183</v>
      </c>
      <c r="AU893" s="930">
        <f t="shared" ca="1" si="1764"/>
        <v>0.12716957695273962</v>
      </c>
      <c r="AV893" s="930">
        <f t="shared" ca="1" si="1764"/>
        <v>0.124706223396903</v>
      </c>
      <c r="AW893" s="930"/>
      <c r="AX893" s="930">
        <f ca="1">AX891/AX122</f>
        <v>0.10019568528180221</v>
      </c>
      <c r="AZ893" s="930">
        <f t="shared" ref="AZ893:BE893" ca="1" si="1765">AZ891/AZ122</f>
        <v>-4.7781938426559339E-2</v>
      </c>
      <c r="BA893" s="930">
        <f t="shared" ca="1" si="1765"/>
        <v>-3.3620875151862406E-2</v>
      </c>
      <c r="BB893" s="930">
        <f t="shared" ca="1" si="1765"/>
        <v>-2.6787005800221888E-2</v>
      </c>
      <c r="BC893" s="930">
        <f t="shared" ca="1" si="1765"/>
        <v>-2.5266602604528312E-2</v>
      </c>
      <c r="BD893" s="930">
        <f t="shared" ca="1" si="1765"/>
        <v>-2.7536225132405279E-2</v>
      </c>
      <c r="BE893" s="930">
        <f t="shared" ca="1" si="1765"/>
        <v>-2.8618809349163731E-2</v>
      </c>
      <c r="BF893" s="930"/>
      <c r="BG893" s="930">
        <f ca="1">BG891/BG122</f>
        <v>-3.2349306844058318E-2</v>
      </c>
      <c r="BI893" s="930">
        <f t="shared" ref="BI893:BN893" ca="1" si="1766">BI891/BI122</f>
        <v>-8.0208358419025204E-3</v>
      </c>
      <c r="BJ893" s="930">
        <f t="shared" ca="1" si="1766"/>
        <v>2.8035797656731786E-3</v>
      </c>
      <c r="BK893" s="930">
        <f t="shared" ca="1" si="1766"/>
        <v>6.5010168937229829E-3</v>
      </c>
      <c r="BL893" s="930">
        <f t="shared" ca="1" si="1766"/>
        <v>6.8885922237142318E-3</v>
      </c>
      <c r="BM893" s="930">
        <f t="shared" ca="1" si="1766"/>
        <v>7.5834256329472246E-3</v>
      </c>
      <c r="BN893" s="930">
        <f t="shared" ca="1" si="1766"/>
        <v>8.0300780847555892E-3</v>
      </c>
      <c r="BO893" s="930"/>
      <c r="BP893" s="930">
        <f ca="1">BP891/BP122</f>
        <v>3.0389406342326889E-3</v>
      </c>
    </row>
    <row r="894" spans="2:68" ht="13.2" customHeight="1">
      <c r="B894" s="308" t="s">
        <v>874</v>
      </c>
      <c r="G894" s="12"/>
      <c r="H894" s="12"/>
      <c r="I894" s="12"/>
      <c r="J894" s="12"/>
      <c r="K894" s="12"/>
      <c r="L894" s="12"/>
      <c r="M894" s="12"/>
      <c r="N894" s="839">
        <f ca="1">(SUM(I891:K891)+2/3*L891)/(SUM(I122:K122)+2/3*L122)</f>
        <v>-0.11880045743636425</v>
      </c>
      <c r="O894" s="136">
        <f>ROW()</f>
        <v>894</v>
      </c>
      <c r="P894" s="930"/>
      <c r="Q894" s="930"/>
      <c r="R894" s="930"/>
      <c r="S894" s="930"/>
      <c r="T894" s="930"/>
      <c r="U894" s="930"/>
      <c r="V894" s="930"/>
      <c r="W894" s="930"/>
      <c r="Y894" s="930"/>
      <c r="Z894" s="930"/>
      <c r="AA894" s="930"/>
      <c r="AB894" s="930"/>
      <c r="AC894" s="930"/>
      <c r="AD894" s="930"/>
      <c r="AE894" s="930"/>
      <c r="AF894" s="930"/>
      <c r="AH894" s="930"/>
      <c r="AI894" s="930"/>
      <c r="AJ894" s="930"/>
      <c r="AK894" s="930"/>
      <c r="AL894" s="930"/>
      <c r="AM894" s="930"/>
      <c r="AN894" s="930"/>
      <c r="AO894" s="930"/>
      <c r="AQ894" s="930"/>
      <c r="AR894" s="930"/>
      <c r="AS894" s="930"/>
      <c r="AT894" s="930"/>
      <c r="AU894" s="930"/>
      <c r="AV894" s="930"/>
      <c r="AW894" s="930"/>
      <c r="AX894" s="930"/>
      <c r="AZ894" s="930"/>
      <c r="BA894" s="930"/>
      <c r="BB894" s="930"/>
      <c r="BC894" s="930"/>
      <c r="BD894" s="930"/>
      <c r="BE894" s="930"/>
      <c r="BF894" s="930"/>
      <c r="BG894" s="930"/>
      <c r="BI894" s="930"/>
      <c r="BJ894" s="930"/>
      <c r="BK894" s="930"/>
      <c r="BL894" s="930"/>
      <c r="BM894" s="930"/>
      <c r="BN894" s="930"/>
      <c r="BO894" s="930"/>
      <c r="BP894" s="930"/>
    </row>
    <row r="895" spans="2:68" ht="13.2" customHeight="1">
      <c r="B895" s="308"/>
      <c r="G895" s="930"/>
      <c r="H895" s="930"/>
      <c r="I895" s="930"/>
      <c r="J895" s="930"/>
      <c r="K895" s="930"/>
      <c r="L895" s="930"/>
      <c r="M895" s="930"/>
      <c r="N895" s="930"/>
      <c r="O895" s="136">
        <f>ROW()</f>
        <v>895</v>
      </c>
      <c r="P895" s="930"/>
      <c r="Q895" s="930"/>
      <c r="R895" s="930"/>
      <c r="S895" s="930"/>
      <c r="T895" s="930"/>
      <c r="U895" s="930"/>
      <c r="V895" s="930"/>
      <c r="W895" s="930"/>
      <c r="Y895" s="930"/>
      <c r="Z895" s="930"/>
      <c r="AA895" s="930"/>
      <c r="AB895" s="930"/>
      <c r="AC895" s="930"/>
      <c r="AD895" s="930"/>
      <c r="AE895" s="930"/>
      <c r="AF895" s="930"/>
      <c r="AH895" s="930"/>
      <c r="AI895" s="930"/>
      <c r="AJ895" s="930"/>
      <c r="AK895" s="930"/>
      <c r="AL895" s="930"/>
      <c r="AM895" s="930"/>
      <c r="AN895" s="930"/>
      <c r="AO895" s="930"/>
      <c r="AQ895" s="930"/>
      <c r="AR895" s="930"/>
      <c r="AS895" s="930"/>
      <c r="AT895" s="930"/>
      <c r="AU895" s="930"/>
      <c r="AV895" s="930"/>
      <c r="AW895" s="930"/>
      <c r="AX895" s="930"/>
      <c r="AZ895" s="930"/>
      <c r="BA895" s="930"/>
      <c r="BB895" s="930"/>
      <c r="BC895" s="930"/>
      <c r="BD895" s="930"/>
      <c r="BE895" s="930"/>
      <c r="BF895" s="930"/>
      <c r="BG895" s="930"/>
      <c r="BI895" s="930"/>
      <c r="BJ895" s="930"/>
      <c r="BK895" s="930"/>
      <c r="BL895" s="930"/>
      <c r="BM895" s="930"/>
      <c r="BN895" s="930"/>
      <c r="BO895" s="930"/>
      <c r="BP895" s="930"/>
    </row>
    <row r="896" spans="2:68" ht="13.2" customHeight="1">
      <c r="B896" s="308" t="s">
        <v>1447</v>
      </c>
      <c r="G896" s="12"/>
      <c r="H896" s="12"/>
      <c r="I896" s="12"/>
      <c r="J896" s="12"/>
      <c r="K896" s="12"/>
      <c r="L896" s="12"/>
      <c r="M896" s="12"/>
      <c r="N896" s="12"/>
      <c r="O896" s="136">
        <f>ROW()</f>
        <v>896</v>
      </c>
      <c r="P896" s="12"/>
      <c r="Q896" s="12"/>
      <c r="R896" s="12"/>
      <c r="S896" s="12"/>
      <c r="T896" s="12"/>
      <c r="U896" s="12"/>
      <c r="V896" s="12"/>
      <c r="W896" s="12"/>
      <c r="Y896" s="12"/>
      <c r="Z896" s="12"/>
      <c r="AA896" s="12"/>
      <c r="AB896" s="12"/>
      <c r="AC896" s="12"/>
      <c r="AD896" s="12"/>
      <c r="AE896" s="12"/>
      <c r="AF896" s="12"/>
      <c r="AH896" s="12"/>
      <c r="AI896" s="12"/>
      <c r="AJ896" s="12"/>
      <c r="AK896" s="12"/>
      <c r="AL896" s="12"/>
      <c r="AM896" s="12"/>
      <c r="AN896" s="12"/>
      <c r="AO896" s="12"/>
      <c r="AQ896" s="12"/>
      <c r="AR896" s="12"/>
      <c r="AS896" s="12"/>
      <c r="AT896" s="12"/>
      <c r="AU896" s="12"/>
      <c r="AV896" s="12"/>
      <c r="AW896" s="12"/>
      <c r="AX896" s="12"/>
      <c r="AZ896" s="12"/>
      <c r="BA896" s="12"/>
      <c r="BB896" s="12"/>
      <c r="BC896" s="12"/>
      <c r="BD896" s="12"/>
      <c r="BE896" s="12"/>
      <c r="BF896" s="12"/>
      <c r="BG896" s="12"/>
      <c r="BI896" s="12"/>
      <c r="BJ896" s="12"/>
      <c r="BK896" s="12"/>
      <c r="BL896" s="12"/>
      <c r="BM896" s="12"/>
      <c r="BN896" s="12"/>
      <c r="BO896" s="12"/>
      <c r="BP896" s="12"/>
    </row>
    <row r="897" spans="2:68" ht="13.2" customHeight="1">
      <c r="B897" s="269" t="s">
        <v>2620</v>
      </c>
      <c r="G897" s="12"/>
      <c r="H897" s="12"/>
      <c r="I897" s="12"/>
      <c r="J897" s="12"/>
      <c r="K897" s="12"/>
      <c r="L897" s="12"/>
      <c r="M897" s="12"/>
      <c r="N897" s="12"/>
      <c r="O897" s="136">
        <f>ROW()</f>
        <v>897</v>
      </c>
      <c r="P897" s="12"/>
      <c r="Q897" s="12"/>
      <c r="R897" s="12"/>
      <c r="S897" s="12"/>
      <c r="T897" s="12"/>
      <c r="U897" s="12"/>
      <c r="V897" s="12"/>
      <c r="W897" s="12"/>
      <c r="Y897" s="12"/>
      <c r="Z897" s="12"/>
      <c r="AA897" s="12"/>
      <c r="AB897" s="12"/>
      <c r="AC897" s="12"/>
      <c r="AD897" s="12"/>
      <c r="AE897" s="12"/>
      <c r="AF897" s="12"/>
      <c r="AH897" s="12"/>
      <c r="AI897" s="12"/>
      <c r="AJ897" s="12"/>
      <c r="AK897" s="12"/>
      <c r="AL897" s="12"/>
      <c r="AM897" s="12"/>
      <c r="AN897" s="12"/>
      <c r="AO897" s="12"/>
      <c r="AQ897" s="12"/>
      <c r="AR897" s="12"/>
      <c r="AS897" s="12"/>
      <c r="AT897" s="12"/>
      <c r="AU897" s="12"/>
      <c r="AV897" s="12"/>
      <c r="AW897" s="12"/>
      <c r="AX897" s="12"/>
      <c r="AZ897" s="12"/>
      <c r="BA897" s="12"/>
      <c r="BB897" s="12"/>
      <c r="BC897" s="12"/>
      <c r="BD897" s="12"/>
      <c r="BE897" s="12"/>
      <c r="BF897" s="12"/>
      <c r="BG897" s="12"/>
      <c r="BI897" s="12"/>
      <c r="BJ897" s="12"/>
      <c r="BK897" s="12"/>
      <c r="BL897" s="12"/>
      <c r="BM897" s="12"/>
      <c r="BN897" s="12"/>
      <c r="BO897" s="12"/>
      <c r="BP897" s="12"/>
    </row>
    <row r="898" spans="2:68" ht="13.2" customHeight="1">
      <c r="B898" s="323" t="str">
        <f>CONCATENATE("Change in # of cordon entries, factor multiple from baseline (shown in column blocks to right; calc'd as 'Final' entries in Row ",O848, " divided by baseline entries in Row ",O347, ").")</f>
        <v>Change in # of cordon entries, factor multiple from baseline (shown in column blocks to right; calc'd as 'Final' entries in Row 848 divided by baseline entries in Row 347).</v>
      </c>
      <c r="G898" s="12"/>
      <c r="H898" s="12"/>
      <c r="I898" s="12"/>
      <c r="J898" s="12"/>
      <c r="K898" s="12"/>
      <c r="L898" s="12"/>
      <c r="M898" s="12"/>
      <c r="N898" s="12"/>
      <c r="O898" s="136">
        <f>ROW()</f>
        <v>898</v>
      </c>
      <c r="P898" s="117">
        <f t="shared" ref="P898:U898" ca="1" si="1767">P848/P347</f>
        <v>0.84769629955227055</v>
      </c>
      <c r="Q898" s="117">
        <f t="shared" ca="1" si="1767"/>
        <v>0.91601026049552836</v>
      </c>
      <c r="R898" s="117">
        <f t="shared" ca="1" si="1767"/>
        <v>0.93711504065711781</v>
      </c>
      <c r="S898" s="117">
        <f t="shared" ca="1" si="1767"/>
        <v>0.95279064825371251</v>
      </c>
      <c r="T898" s="117">
        <f t="shared" ca="1" si="1767"/>
        <v>0.88256248120344549</v>
      </c>
      <c r="U898" s="117">
        <f t="shared" ca="1" si="1767"/>
        <v>0.7631381719581084</v>
      </c>
      <c r="V898" s="117"/>
      <c r="W898" s="12"/>
      <c r="Y898" s="117">
        <f t="shared" ref="Y898:AD898" ca="1" si="1768">Y848/Y347</f>
        <v>0.72742158890741104</v>
      </c>
      <c r="Z898" s="117">
        <f t="shared" ca="1" si="1768"/>
        <v>0.82594017327312375</v>
      </c>
      <c r="AA898" s="117">
        <f t="shared" ca="1" si="1768"/>
        <v>0.86981405116401944</v>
      </c>
      <c r="AB898" s="117">
        <f t="shared" ca="1" si="1768"/>
        <v>0.90316759531101665</v>
      </c>
      <c r="AC898" s="117">
        <f t="shared" ca="1" si="1768"/>
        <v>0.83070057179542012</v>
      </c>
      <c r="AD898" s="117">
        <f t="shared" ca="1" si="1768"/>
        <v>0.67316752957152948</v>
      </c>
      <c r="AE898" s="117"/>
      <c r="AF898" s="12"/>
      <c r="AH898" s="117">
        <f t="shared" ref="AH898:AM898" ca="1" si="1769">AH848/AH347</f>
        <v>0.7028572568291297</v>
      </c>
      <c r="AI898" s="117">
        <f t="shared" ca="1" si="1769"/>
        <v>0.78169641819755908</v>
      </c>
      <c r="AJ898" s="117">
        <f t="shared" ca="1" si="1769"/>
        <v>0.79417486217711308</v>
      </c>
      <c r="AK898" s="117">
        <f t="shared" ca="1" si="1769"/>
        <v>0.80405292853826238</v>
      </c>
      <c r="AL898" s="117">
        <f t="shared" ca="1" si="1769"/>
        <v>0.71907534903445913</v>
      </c>
      <c r="AM898" s="117">
        <f t="shared" ca="1" si="1769"/>
        <v>0.63237613183523755</v>
      </c>
      <c r="AN898" s="117"/>
      <c r="AO898" s="12"/>
      <c r="AQ898" s="117">
        <f t="shared" ref="AQ898:AV898" ca="1" si="1770">AQ848/AQ347</f>
        <v>1.0421969537139293</v>
      </c>
      <c r="AR898" s="117">
        <f t="shared" ca="1" si="1770"/>
        <v>1.1001542560098048</v>
      </c>
      <c r="AS898" s="117">
        <f t="shared" ca="1" si="1770"/>
        <v>1.1178962311236975</v>
      </c>
      <c r="AT898" s="117">
        <f t="shared" ca="1" si="1770"/>
        <v>1.1194057502617618</v>
      </c>
      <c r="AU898" s="117">
        <f t="shared" ca="1" si="1770"/>
        <v>1.1271695769527397</v>
      </c>
      <c r="AV898" s="117">
        <f t="shared" ca="1" si="1770"/>
        <v>1.124706223396903</v>
      </c>
      <c r="AW898" s="117"/>
      <c r="AX898" s="12"/>
      <c r="AZ898" s="117">
        <f t="shared" ref="AZ898:BE898" ca="1" si="1771">AZ848/AZ347</f>
        <v>0.95221806157344069</v>
      </c>
      <c r="BA898" s="117">
        <f t="shared" ca="1" si="1771"/>
        <v>0.96637912484813759</v>
      </c>
      <c r="BB898" s="117">
        <f t="shared" ca="1" si="1771"/>
        <v>0.97321299419977814</v>
      </c>
      <c r="BC898" s="117">
        <f t="shared" ca="1" si="1771"/>
        <v>0.97473339739547171</v>
      </c>
      <c r="BD898" s="117">
        <f t="shared" ca="1" si="1771"/>
        <v>0.97246377486759472</v>
      </c>
      <c r="BE898" s="117">
        <f t="shared" ca="1" si="1771"/>
        <v>0.97138119065083628</v>
      </c>
      <c r="BF898" s="117"/>
      <c r="BG898" s="12"/>
      <c r="BI898" s="117">
        <f t="shared" ref="BI898:BN898" ca="1" si="1772">BI848/BI347</f>
        <v>0.9919791641580975</v>
      </c>
      <c r="BJ898" s="117">
        <f t="shared" ca="1" si="1772"/>
        <v>1.0028035797656731</v>
      </c>
      <c r="BK898" s="117">
        <f t="shared" ca="1" si="1772"/>
        <v>1.006501016893723</v>
      </c>
      <c r="BL898" s="117">
        <f t="shared" ca="1" si="1772"/>
        <v>1.0068885922237143</v>
      </c>
      <c r="BM898" s="117">
        <f t="shared" ca="1" si="1772"/>
        <v>1.0075834256329472</v>
      </c>
      <c r="BN898" s="117">
        <f t="shared" ca="1" si="1772"/>
        <v>1.0080300780847555</v>
      </c>
      <c r="BO898" s="117"/>
      <c r="BP898" s="12"/>
    </row>
    <row r="899" spans="2:68" s="1122" customFormat="1" ht="13.2" customHeight="1">
      <c r="B899" s="1194" t="s">
        <v>2428</v>
      </c>
      <c r="G899" s="1122">
        <f t="shared" ref="G899:L899" ca="1" si="1773">P899+Y899+AH899+AQ899+AZ899+BI899</f>
        <v>1888998.0626341596</v>
      </c>
      <c r="H899" s="1122">
        <f t="shared" ca="1" si="1773"/>
        <v>803206.19130625215</v>
      </c>
      <c r="I899" s="1122">
        <f t="shared" ca="1" si="1773"/>
        <v>2535949.1813495364</v>
      </c>
      <c r="J899" s="1122">
        <f t="shared" ca="1" si="1773"/>
        <v>1657390.8596027796</v>
      </c>
      <c r="K899" s="1122">
        <f t="shared" ca="1" si="1773"/>
        <v>910658.36054774479</v>
      </c>
      <c r="L899" s="1122">
        <f t="shared" ca="1" si="1773"/>
        <v>598753.64172263467</v>
      </c>
      <c r="N899" s="1131">
        <f ca="1">SUM(G899:M899)</f>
        <v>8394956.2971631084</v>
      </c>
      <c r="O899" s="136">
        <f>ROW()</f>
        <v>899</v>
      </c>
      <c r="P899" s="1122">
        <f t="shared" ref="P899:U899" ca="1" si="1774">P898*P156</f>
        <v>408611.4085190022</v>
      </c>
      <c r="Q899" s="1122">
        <f t="shared" ca="1" si="1774"/>
        <v>158165.83149593728</v>
      </c>
      <c r="R899" s="1122">
        <f t="shared" ca="1" si="1774"/>
        <v>423768.27429484105</v>
      </c>
      <c r="S899" s="1122">
        <f t="shared" ca="1" si="1774"/>
        <v>166647.85209010475</v>
      </c>
      <c r="T899" s="1122">
        <f t="shared" ca="1" si="1774"/>
        <v>151893.09166595526</v>
      </c>
      <c r="U899" s="1122">
        <f t="shared" ca="1" si="1774"/>
        <v>81318.639561504504</v>
      </c>
      <c r="W899" s="1131">
        <f ca="1">SUM(P899:V899)</f>
        <v>1390405.097627345</v>
      </c>
      <c r="Y899" s="1122">
        <f t="shared" ref="Y899:AD899" ca="1" si="1775">Y898*Y156</f>
        <v>613901.9108563211</v>
      </c>
      <c r="Z899" s="1122">
        <f t="shared" ca="1" si="1775"/>
        <v>299062.39338028443</v>
      </c>
      <c r="AA899" s="1122">
        <f t="shared" ca="1" si="1775"/>
        <v>1234101.7908127678</v>
      </c>
      <c r="AB899" s="1122">
        <f t="shared" ca="1" si="1775"/>
        <v>968239.32252930268</v>
      </c>
      <c r="AC899" s="1122">
        <f t="shared" ca="1" si="1775"/>
        <v>448565.74171090382</v>
      </c>
      <c r="AD899" s="1122">
        <f t="shared" ca="1" si="1775"/>
        <v>299241.06257409055</v>
      </c>
      <c r="AF899" s="1131">
        <f ca="1">SUM(Y899:AE899)</f>
        <v>3863112.2218636703</v>
      </c>
      <c r="AH899" s="1122">
        <f t="shared" ref="AH899:AM899" ca="1" si="1776">AH898*AH156</f>
        <v>710209.75180479919</v>
      </c>
      <c r="AI899" s="1122">
        <f t="shared" ca="1" si="1776"/>
        <v>282943.5184856414</v>
      </c>
      <c r="AJ899" s="1122">
        <f t="shared" ca="1" si="1776"/>
        <v>677553.31524370296</v>
      </c>
      <c r="AK899" s="1122">
        <f t="shared" ca="1" si="1776"/>
        <v>393074.53255524545</v>
      </c>
      <c r="AL899" s="1122">
        <f t="shared" ca="1" si="1776"/>
        <v>233484.8835201239</v>
      </c>
      <c r="AM899" s="1122">
        <f t="shared" ca="1" si="1776"/>
        <v>158914.75275112639</v>
      </c>
      <c r="AO899" s="1131">
        <f ca="1">SUM(AH899:AN899)</f>
        <v>2456180.7543606395</v>
      </c>
      <c r="AQ899" s="1122">
        <f t="shared" ref="AQ899:AV899" ca="1" si="1777">AQ898*AQ156</f>
        <v>96380.502317249804</v>
      </c>
      <c r="AR899" s="1122">
        <f t="shared" ca="1" si="1777"/>
        <v>39481.823728449694</v>
      </c>
      <c r="AS899" s="1122">
        <f t="shared" ca="1" si="1777"/>
        <v>126080.9757127999</v>
      </c>
      <c r="AT899" s="1122">
        <f t="shared" ca="1" si="1777"/>
        <v>81386.253219416001</v>
      </c>
      <c r="AU899" s="1122">
        <f t="shared" ca="1" si="1777"/>
        <v>48383.174169261605</v>
      </c>
      <c r="AV899" s="1122">
        <f t="shared" ca="1" si="1777"/>
        <v>37363.588112725854</v>
      </c>
      <c r="AX899" s="1131">
        <f ca="1">SUM(AQ899:AW899)</f>
        <v>429076.31725990289</v>
      </c>
      <c r="AZ899" s="1122">
        <f t="shared" ref="AZ899:BE899" ca="1" si="1778">AZ898*AZ156</f>
        <v>36480.207505070204</v>
      </c>
      <c r="BA899" s="1122">
        <f t="shared" ca="1" si="1778"/>
        <v>14367.217324727762</v>
      </c>
      <c r="BB899" s="1122">
        <f t="shared" ca="1" si="1778"/>
        <v>45471.31010453905</v>
      </c>
      <c r="BC899" s="1122">
        <f t="shared" ca="1" si="1778"/>
        <v>29358.29753182171</v>
      </c>
      <c r="BD899" s="1122">
        <f t="shared" ca="1" si="1778"/>
        <v>17292.589414645758</v>
      </c>
      <c r="BE899" s="1122">
        <f t="shared" ca="1" si="1778"/>
        <v>13368.438007842617</v>
      </c>
      <c r="BG899" s="1131">
        <f ca="1">SUM(AZ899:BF899)</f>
        <v>156338.05988864708</v>
      </c>
      <c r="BI899" s="1122">
        <f t="shared" ref="BI899:BN899" ca="1" si="1779">BI898*BI156</f>
        <v>23414.281631717298</v>
      </c>
      <c r="BJ899" s="1122">
        <f t="shared" ca="1" si="1779"/>
        <v>9185.4068912116709</v>
      </c>
      <c r="BK899" s="1122">
        <f t="shared" ca="1" si="1779"/>
        <v>28973.51518088545</v>
      </c>
      <c r="BL899" s="1122">
        <f t="shared" ca="1" si="1779"/>
        <v>18684.601676889299</v>
      </c>
      <c r="BM899" s="1122">
        <f t="shared" ca="1" si="1779"/>
        <v>11038.88006685447</v>
      </c>
      <c r="BN899" s="1122">
        <f t="shared" ca="1" si="1779"/>
        <v>8547.160715344764</v>
      </c>
      <c r="BP899" s="1131">
        <f ca="1">SUM(BI899:BO899)</f>
        <v>99843.846162902963</v>
      </c>
    </row>
    <row r="900" spans="2:68" ht="13.2" customHeight="1">
      <c r="B900" s="319" t="str">
        <f>CONCATENATE("Respective figures in column-blocks at right are products of factor multiple in Row ",O898, " and VMT in Row ",O156, ".")</f>
        <v>Respective figures in column-blocks at right are products of factor multiple in Row 898 and VMT in Row 156.</v>
      </c>
      <c r="N900" s="138"/>
      <c r="O900" s="136">
        <f>ROW()</f>
        <v>900</v>
      </c>
      <c r="W900" s="138"/>
      <c r="AF900" s="138"/>
      <c r="AO900" s="138"/>
      <c r="AX900" s="138"/>
      <c r="BG900" s="138"/>
      <c r="BP900" s="138"/>
    </row>
    <row r="901" spans="2:68" ht="13.2" customHeight="1">
      <c r="B901" s="323" t="str">
        <f>CONCATENATE("Change in # of cordon exits, factor multiple from baseline (shown in column blocks to right, and calculated as Final' exits in Row ",O854, " divided by baseline exits in Row ",O133, ").")</f>
        <v>Change in # of cordon exits, factor multiple from baseline (shown in column blocks to right, and calculated as Final' exits in Row 854 divided by baseline exits in Row 133).</v>
      </c>
      <c r="N901" s="138"/>
      <c r="O901" s="136">
        <f>ROW()</f>
        <v>901</v>
      </c>
      <c r="P901" s="117">
        <f t="shared" ref="P901:U901" ca="1" si="1780">P854/P133</f>
        <v>0.89101862862280956</v>
      </c>
      <c r="Q901" s="117">
        <f t="shared" ca="1" si="1780"/>
        <v>0.89101862862280945</v>
      </c>
      <c r="R901" s="117">
        <f t="shared" ca="1" si="1780"/>
        <v>0.89101862862280945</v>
      </c>
      <c r="S901" s="117">
        <f t="shared" ca="1" si="1780"/>
        <v>0.89101862862280956</v>
      </c>
      <c r="T901" s="117">
        <f t="shared" ca="1" si="1780"/>
        <v>0.89101862862280934</v>
      </c>
      <c r="U901" s="117">
        <f t="shared" ca="1" si="1780"/>
        <v>0.89101862862280945</v>
      </c>
      <c r="V901" s="117"/>
      <c r="W901" s="138"/>
      <c r="Y901" s="117">
        <f t="shared" ref="Y901:AD901" ca="1" si="1781">Y854/Y133</f>
        <v>0.82520433793354131</v>
      </c>
      <c r="Z901" s="117">
        <f t="shared" ca="1" si="1781"/>
        <v>0.82520433793354109</v>
      </c>
      <c r="AA901" s="117">
        <f t="shared" ca="1" si="1781"/>
        <v>0.82520433793354131</v>
      </c>
      <c r="AB901" s="117">
        <f t="shared" ca="1" si="1781"/>
        <v>0.82520433793354131</v>
      </c>
      <c r="AC901" s="117">
        <f t="shared" ca="1" si="1781"/>
        <v>0.8252043379335412</v>
      </c>
      <c r="AD901" s="117">
        <f t="shared" ca="1" si="1781"/>
        <v>0.82520433793354142</v>
      </c>
      <c r="AE901" s="117"/>
      <c r="AF901" s="138"/>
      <c r="AH901" s="117">
        <f t="shared" ref="AH901:AM901" ca="1" si="1782">AH854/AH133</f>
        <v>0.74645934383719614</v>
      </c>
      <c r="AI901" s="117">
        <f t="shared" ca="1" si="1782"/>
        <v>0.74645934383719592</v>
      </c>
      <c r="AJ901" s="117">
        <f t="shared" ca="1" si="1782"/>
        <v>0.74645934383719581</v>
      </c>
      <c r="AK901" s="117">
        <f t="shared" ca="1" si="1782"/>
        <v>0.74645934383719592</v>
      </c>
      <c r="AL901" s="117">
        <f t="shared" ca="1" si="1782"/>
        <v>0.74645934383719592</v>
      </c>
      <c r="AM901" s="117">
        <f t="shared" ca="1" si="1782"/>
        <v>0.74645934383719592</v>
      </c>
      <c r="AN901" s="117"/>
      <c r="AO901" s="138"/>
      <c r="AQ901" s="117">
        <f t="shared" ref="AQ901:AV901" ca="1" si="1783">AQ854/AQ133</f>
        <v>1.0421969537139295</v>
      </c>
      <c r="AR901" s="117">
        <f t="shared" ca="1" si="1783"/>
        <v>1.1001542560098048</v>
      </c>
      <c r="AS901" s="117">
        <f t="shared" ca="1" si="1783"/>
        <v>1.1178962311236975</v>
      </c>
      <c r="AT901" s="117">
        <f t="shared" ca="1" si="1783"/>
        <v>1.1194057502617618</v>
      </c>
      <c r="AU901" s="117">
        <f t="shared" ca="1" si="1783"/>
        <v>1.1271695769527397</v>
      </c>
      <c r="AV901" s="117">
        <f t="shared" ca="1" si="1783"/>
        <v>1.124706223396903</v>
      </c>
      <c r="AW901" s="117"/>
      <c r="AX901" s="138"/>
      <c r="AZ901" s="117">
        <f t="shared" ref="AZ901:BE901" ca="1" si="1784">AZ854/AZ133</f>
        <v>0.96765069315594154</v>
      </c>
      <c r="BA901" s="117">
        <f t="shared" ca="1" si="1784"/>
        <v>0.96765069315594154</v>
      </c>
      <c r="BB901" s="117">
        <f t="shared" ca="1" si="1784"/>
        <v>0.96765069315594154</v>
      </c>
      <c r="BC901" s="117">
        <f t="shared" ca="1" si="1784"/>
        <v>0.96765069315594154</v>
      </c>
      <c r="BD901" s="117">
        <f t="shared" ca="1" si="1784"/>
        <v>0.96765069315594154</v>
      </c>
      <c r="BE901" s="117">
        <f t="shared" ca="1" si="1784"/>
        <v>0.96765069315594165</v>
      </c>
      <c r="BF901" s="117"/>
      <c r="BG901" s="138"/>
      <c r="BI901" s="117">
        <f t="shared" ref="BI901:BN901" ca="1" si="1785">BI854/BI133</f>
        <v>1.0030389406342324</v>
      </c>
      <c r="BJ901" s="117">
        <f t="shared" ca="1" si="1785"/>
        <v>1.0030389406342324</v>
      </c>
      <c r="BK901" s="117">
        <f t="shared" ca="1" si="1785"/>
        <v>1.0030389406342326</v>
      </c>
      <c r="BL901" s="117">
        <f t="shared" ca="1" si="1785"/>
        <v>1.0030389406342324</v>
      </c>
      <c r="BM901" s="117">
        <f t="shared" ca="1" si="1785"/>
        <v>1.0030389406342324</v>
      </c>
      <c r="BN901" s="117">
        <f t="shared" ca="1" si="1785"/>
        <v>1.0030389406342322</v>
      </c>
      <c r="BO901" s="117"/>
      <c r="BP901" s="138"/>
    </row>
    <row r="902" spans="2:68" s="1122" customFormat="1" ht="13.2" customHeight="1">
      <c r="B902" s="1194" t="s">
        <v>2429</v>
      </c>
      <c r="G902" s="1122">
        <f t="shared" ref="G902:L902" ca="1" si="1786">P902+Y902+AH902+AQ902+AZ902+BI902</f>
        <v>2516003.6314375759</v>
      </c>
      <c r="H902" s="1122">
        <f t="shared" ca="1" si="1786"/>
        <v>738983.45355751459</v>
      </c>
      <c r="I902" s="1122">
        <f t="shared" ca="1" si="1786"/>
        <v>2186431.8364273184</v>
      </c>
      <c r="J902" s="1122">
        <f t="shared" ca="1" si="1786"/>
        <v>1388600.7366291126</v>
      </c>
      <c r="K902" s="1122">
        <f t="shared" ca="1" si="1786"/>
        <v>784852.21160366177</v>
      </c>
      <c r="L902" s="1122">
        <f t="shared" ca="1" si="1786"/>
        <v>780084.42750792485</v>
      </c>
      <c r="N902" s="1131">
        <f ca="1">SUM(G902:M902)</f>
        <v>8394956.2971631084</v>
      </c>
      <c r="O902" s="136">
        <f>ROW()</f>
        <v>902</v>
      </c>
      <c r="P902" s="1122">
        <f t="shared" ref="P902:U902" ca="1" si="1787">P901*P157</f>
        <v>422333.29419392132</v>
      </c>
      <c r="Q902" s="1122">
        <f t="shared" ca="1" si="1787"/>
        <v>122094.56260534648</v>
      </c>
      <c r="R902" s="1122">
        <f t="shared" ca="1" si="1787"/>
        <v>359624.09010249289</v>
      </c>
      <c r="S902" s="1122">
        <f t="shared" ca="1" si="1787"/>
        <v>228167.84661714471</v>
      </c>
      <c r="T902" s="1122">
        <f t="shared" ca="1" si="1787"/>
        <v>128547.04144135704</v>
      </c>
      <c r="U902" s="1122">
        <f t="shared" ca="1" si="1787"/>
        <v>129638.26266708245</v>
      </c>
      <c r="W902" s="1131">
        <f ca="1">SUM(P902:V902)</f>
        <v>1390405.097627345</v>
      </c>
      <c r="Y902" s="1122">
        <f t="shared" ref="Y902:AD902" ca="1" si="1788">Y901*Y157</f>
        <v>1173414.0742756117</v>
      </c>
      <c r="Z902" s="1122">
        <f t="shared" ca="1" si="1788"/>
        <v>339228.47221193672</v>
      </c>
      <c r="AA902" s="1122">
        <f t="shared" ca="1" si="1788"/>
        <v>999182.33910552913</v>
      </c>
      <c r="AB902" s="1122">
        <f t="shared" ca="1" si="1788"/>
        <v>633943.30070217373</v>
      </c>
      <c r="AC902" s="1122">
        <f t="shared" ca="1" si="1788"/>
        <v>357156.08905917441</v>
      </c>
      <c r="AD902" s="1122">
        <f t="shared" ca="1" si="1788"/>
        <v>360187.9465092445</v>
      </c>
      <c r="AF902" s="1131">
        <f ca="1">SUM(Y902:AE902)</f>
        <v>3863112.2218636703</v>
      </c>
      <c r="AH902" s="1122">
        <f t="shared" ref="AH902:AM902" ca="1" si="1789">AH901*AH157</f>
        <v>746060.92202551989</v>
      </c>
      <c r="AI902" s="1122">
        <f t="shared" ca="1" si="1789"/>
        <v>215682.69232835303</v>
      </c>
      <c r="AJ902" s="1122">
        <f t="shared" ca="1" si="1789"/>
        <v>635283.75321804325</v>
      </c>
      <c r="AK902" s="1122">
        <f t="shared" ca="1" si="1789"/>
        <v>403063.44861743657</v>
      </c>
      <c r="AL902" s="1122">
        <f t="shared" ca="1" si="1789"/>
        <v>227081.13610705687</v>
      </c>
      <c r="AM902" s="1122">
        <f t="shared" ca="1" si="1789"/>
        <v>229008.8020642302</v>
      </c>
      <c r="AO902" s="1131">
        <f ca="1">SUM(AH902:AN902)</f>
        <v>2456180.75436064</v>
      </c>
      <c r="AQ902" s="1122">
        <f t="shared" ref="AQ902:AV902" ca="1" si="1790">AQ901*AQ157</f>
        <v>96380.502317249819</v>
      </c>
      <c r="AR902" s="1122">
        <f t="shared" ca="1" si="1790"/>
        <v>39481.823728449694</v>
      </c>
      <c r="AS902" s="1122">
        <f t="shared" ca="1" si="1790"/>
        <v>126080.9757127999</v>
      </c>
      <c r="AT902" s="1122">
        <f t="shared" ca="1" si="1790"/>
        <v>81386.253219416001</v>
      </c>
      <c r="AU902" s="1122">
        <f t="shared" ca="1" si="1790"/>
        <v>48383.174169261605</v>
      </c>
      <c r="AV902" s="1122">
        <f t="shared" ca="1" si="1790"/>
        <v>37363.588112725854</v>
      </c>
      <c r="AX902" s="1131">
        <f ca="1">SUM(AQ902:AW902)</f>
        <v>429076.31725990289</v>
      </c>
      <c r="AZ902" s="1122">
        <f t="shared" ref="AZ902:BE902" ca="1" si="1791">AZ901*AZ157</f>
        <v>47487.4322262844</v>
      </c>
      <c r="BA902" s="1122">
        <f t="shared" ca="1" si="1791"/>
        <v>13728.392590940277</v>
      </c>
      <c r="BB902" s="1122">
        <f t="shared" ca="1" si="1791"/>
        <v>40436.368243891884</v>
      </c>
      <c r="BC902" s="1122">
        <f t="shared" ca="1" si="1791"/>
        <v>25655.342122929564</v>
      </c>
      <c r="BD902" s="1122">
        <f t="shared" ca="1" si="1791"/>
        <v>14453.913537616794</v>
      </c>
      <c r="BE902" s="1122">
        <f t="shared" ca="1" si="1791"/>
        <v>14576.611166984194</v>
      </c>
      <c r="BG902" s="1131">
        <f ca="1">SUM(AZ902:BF902)</f>
        <v>156338.05988864711</v>
      </c>
      <c r="BI902" s="1122">
        <f t="shared" ref="BI902:BN902" ca="1" si="1792">BI901*BI157</f>
        <v>30327.406398988605</v>
      </c>
      <c r="BJ902" s="1122">
        <f t="shared" ca="1" si="1792"/>
        <v>8767.5100924884537</v>
      </c>
      <c r="BK902" s="1122">
        <f t="shared" ca="1" si="1792"/>
        <v>25824.310044561436</v>
      </c>
      <c r="BL902" s="1122">
        <f t="shared" ca="1" si="1792"/>
        <v>16384.545350011955</v>
      </c>
      <c r="BM902" s="1122">
        <f t="shared" ca="1" si="1792"/>
        <v>9230.8572891949316</v>
      </c>
      <c r="BN902" s="1122">
        <f t="shared" ca="1" si="1792"/>
        <v>9309.2169876575845</v>
      </c>
      <c r="BP902" s="1131">
        <f ca="1">SUM(BI902:BO902)</f>
        <v>99843.846162902948</v>
      </c>
    </row>
    <row r="903" spans="2:68" ht="13.2" customHeight="1">
      <c r="B903" s="319" t="str">
        <f>CONCATENATE("Respective figures in column-blocks at right are products of factor multiple in Row ",O901, " and VMT in Row ",O157, ".")</f>
        <v>Respective figures in column-blocks at right are products of factor multiple in Row 901 and VMT in Row 157.</v>
      </c>
      <c r="G903" s="12"/>
      <c r="H903" s="12"/>
      <c r="I903" s="12"/>
      <c r="J903" s="12"/>
      <c r="K903" s="12"/>
      <c r="L903" s="12"/>
      <c r="M903" s="12"/>
      <c r="N903" s="12"/>
      <c r="O903" s="136">
        <f>ROW()</f>
        <v>903</v>
      </c>
      <c r="P903" s="12"/>
      <c r="Q903" s="12"/>
      <c r="R903" s="12"/>
      <c r="S903" s="12"/>
      <c r="T903" s="12"/>
      <c r="U903" s="12"/>
      <c r="V903" s="12"/>
      <c r="W903" s="12"/>
      <c r="Y903" s="12"/>
      <c r="Z903" s="12"/>
      <c r="AA903" s="12"/>
      <c r="AB903" s="12"/>
      <c r="AC903" s="12"/>
      <c r="AD903" s="12"/>
      <c r="AE903" s="12"/>
      <c r="AF903" s="12"/>
      <c r="AH903" s="12"/>
      <c r="AI903" s="12"/>
      <c r="AJ903" s="12"/>
      <c r="AK903" s="12"/>
      <c r="AL903" s="12"/>
      <c r="AM903" s="12"/>
      <c r="AN903" s="12"/>
      <c r="AO903" s="12"/>
      <c r="AQ903" s="12"/>
      <c r="AR903" s="12"/>
      <c r="AS903" s="12"/>
      <c r="AT903" s="12"/>
      <c r="AU903" s="12"/>
      <c r="AV903" s="12"/>
      <c r="AW903" s="12"/>
      <c r="AX903" s="12"/>
      <c r="AZ903" s="12"/>
      <c r="BA903" s="12"/>
      <c r="BB903" s="12"/>
      <c r="BC903" s="12"/>
      <c r="BD903" s="12"/>
      <c r="BE903" s="12"/>
      <c r="BF903" s="12"/>
      <c r="BG903" s="12"/>
      <c r="BI903" s="12"/>
      <c r="BJ903" s="12"/>
      <c r="BK903" s="12"/>
      <c r="BL903" s="12"/>
      <c r="BM903" s="12"/>
      <c r="BN903" s="12"/>
      <c r="BO903" s="12"/>
      <c r="BP903" s="12"/>
    </row>
    <row r="904" spans="2:68" s="1122" customFormat="1" ht="13.2" customHeight="1">
      <c r="B904" s="323" t="s">
        <v>5814</v>
      </c>
      <c r="G904" s="1122">
        <f t="shared" ref="G904:L904" ca="1" si="1793">G899+G902</f>
        <v>4405001.6940717353</v>
      </c>
      <c r="H904" s="1122">
        <f t="shared" ca="1" si="1793"/>
        <v>1542189.6448637666</v>
      </c>
      <c r="I904" s="1122">
        <f t="shared" ca="1" si="1793"/>
        <v>4722381.0177768543</v>
      </c>
      <c r="J904" s="1122">
        <f t="shared" ca="1" si="1793"/>
        <v>3045991.5962318922</v>
      </c>
      <c r="K904" s="1122">
        <f t="shared" ca="1" si="1793"/>
        <v>1695510.5721514067</v>
      </c>
      <c r="L904" s="1122">
        <f t="shared" ca="1" si="1793"/>
        <v>1378838.0692305595</v>
      </c>
      <c r="N904" s="1127">
        <f ca="1">SUM(G904:M904)</f>
        <v>16789912.594326217</v>
      </c>
      <c r="O904" s="136">
        <f>ROW()</f>
        <v>904</v>
      </c>
      <c r="P904" s="1122">
        <f t="shared" ref="P904:U904" ca="1" si="1794">P899+P902</f>
        <v>830944.70271292352</v>
      </c>
      <c r="Q904" s="1122">
        <f t="shared" ca="1" si="1794"/>
        <v>280260.39410128375</v>
      </c>
      <c r="R904" s="1122">
        <f t="shared" ca="1" si="1794"/>
        <v>783392.36439733393</v>
      </c>
      <c r="S904" s="1122">
        <f t="shared" ca="1" si="1794"/>
        <v>394815.69870724948</v>
      </c>
      <c r="T904" s="1122">
        <f t="shared" ca="1" si="1794"/>
        <v>280440.13310731231</v>
      </c>
      <c r="U904" s="1122">
        <f t="shared" ca="1" si="1794"/>
        <v>210956.90222858696</v>
      </c>
      <c r="W904" s="1131">
        <f ca="1">SUM(P904:V904)</f>
        <v>2780810.19525469</v>
      </c>
      <c r="Y904" s="1122">
        <f t="shared" ref="Y904:AD904" ca="1" si="1795">Y899+Y902</f>
        <v>1787315.9851319329</v>
      </c>
      <c r="Z904" s="1122">
        <f t="shared" ca="1" si="1795"/>
        <v>638290.86559222115</v>
      </c>
      <c r="AA904" s="1122">
        <f t="shared" ca="1" si="1795"/>
        <v>2233284.1299182968</v>
      </c>
      <c r="AB904" s="1122">
        <f t="shared" ca="1" si="1795"/>
        <v>1602182.6232314764</v>
      </c>
      <c r="AC904" s="1122">
        <f t="shared" ca="1" si="1795"/>
        <v>805721.83077007823</v>
      </c>
      <c r="AD904" s="1122">
        <f t="shared" ca="1" si="1795"/>
        <v>659429.00908333506</v>
      </c>
      <c r="AF904" s="1131">
        <f ca="1">SUM(Y904:AE904)</f>
        <v>7726224.4437273405</v>
      </c>
      <c r="AH904" s="1122">
        <f t="shared" ref="AH904:AM904" ca="1" si="1796">AH899+AH902</f>
        <v>1456270.6738303192</v>
      </c>
      <c r="AI904" s="1122">
        <f t="shared" ca="1" si="1796"/>
        <v>498626.2108139944</v>
      </c>
      <c r="AJ904" s="1122">
        <f t="shared" ca="1" si="1796"/>
        <v>1312837.0684617462</v>
      </c>
      <c r="AK904" s="1122">
        <f t="shared" ca="1" si="1796"/>
        <v>796137.98117268202</v>
      </c>
      <c r="AL904" s="1122">
        <f t="shared" ca="1" si="1796"/>
        <v>460566.01962718077</v>
      </c>
      <c r="AM904" s="1122">
        <f t="shared" ca="1" si="1796"/>
        <v>387923.55481535662</v>
      </c>
      <c r="AO904" s="1131">
        <f ca="1">SUM(AH904:AN904)</f>
        <v>4912361.508721279</v>
      </c>
      <c r="AQ904" s="1122">
        <f t="shared" ref="AQ904:AV904" ca="1" si="1797">AQ899+AQ902</f>
        <v>192761.00463449961</v>
      </c>
      <c r="AR904" s="1122">
        <f t="shared" ca="1" si="1797"/>
        <v>78963.647456899387</v>
      </c>
      <c r="AS904" s="1122">
        <f t="shared" ca="1" si="1797"/>
        <v>252161.95142559981</v>
      </c>
      <c r="AT904" s="1122">
        <f t="shared" ca="1" si="1797"/>
        <v>162772.506438832</v>
      </c>
      <c r="AU904" s="1122">
        <f t="shared" ca="1" si="1797"/>
        <v>96766.34833852321</v>
      </c>
      <c r="AV904" s="1122">
        <f t="shared" ca="1" si="1797"/>
        <v>74727.176225451709</v>
      </c>
      <c r="AX904" s="1131">
        <f ca="1">SUM(AQ904:AW904)</f>
        <v>858152.63451980578</v>
      </c>
      <c r="AZ904" s="1122">
        <f t="shared" ref="AZ904:BE904" ca="1" si="1798">AZ899+AZ902</f>
        <v>83967.639731354604</v>
      </c>
      <c r="BA904" s="1122">
        <f t="shared" ca="1" si="1798"/>
        <v>28095.609915668039</v>
      </c>
      <c r="BB904" s="1122">
        <f t="shared" ca="1" si="1798"/>
        <v>85907.678348430927</v>
      </c>
      <c r="BC904" s="1122">
        <f t="shared" ca="1" si="1798"/>
        <v>55013.63965475127</v>
      </c>
      <c r="BD904" s="1122">
        <f t="shared" ca="1" si="1798"/>
        <v>31746.502952262552</v>
      </c>
      <c r="BE904" s="1122">
        <f t="shared" ca="1" si="1798"/>
        <v>27945.04917482681</v>
      </c>
      <c r="BG904" s="1131">
        <f ca="1">SUM(AZ904:BF904)</f>
        <v>312676.11977729423</v>
      </c>
      <c r="BI904" s="1122">
        <f t="shared" ref="BI904:BN904" ca="1" si="1799">BI899+BI902</f>
        <v>53741.688030705904</v>
      </c>
      <c r="BJ904" s="1122">
        <f t="shared" ca="1" si="1799"/>
        <v>17952.916983700125</v>
      </c>
      <c r="BK904" s="1122">
        <f t="shared" ca="1" si="1799"/>
        <v>54797.825225446883</v>
      </c>
      <c r="BL904" s="1122">
        <f t="shared" ca="1" si="1799"/>
        <v>35069.14702690125</v>
      </c>
      <c r="BM904" s="1122">
        <f t="shared" ca="1" si="1799"/>
        <v>20269.737356049402</v>
      </c>
      <c r="BN904" s="1122">
        <f t="shared" ca="1" si="1799"/>
        <v>17856.377703002348</v>
      </c>
      <c r="BP904" s="1131">
        <f ca="1">SUM(BI904:BO904)</f>
        <v>199687.69232580595</v>
      </c>
    </row>
    <row r="905" spans="2:68" ht="13.2" customHeight="1">
      <c r="B905" s="2153" t="s">
        <v>3590</v>
      </c>
      <c r="O905" s="136">
        <f>ROW()</f>
        <v>905</v>
      </c>
    </row>
    <row r="906" spans="2:68" s="86" customFormat="1" ht="13.2" customHeight="1">
      <c r="B906" s="1066" t="s">
        <v>276</v>
      </c>
      <c r="G906" s="4285" t="s">
        <v>2351</v>
      </c>
      <c r="H906" s="3970"/>
      <c r="I906" s="3970"/>
      <c r="J906" s="3970"/>
      <c r="K906" s="3970"/>
      <c r="L906" s="3971"/>
      <c r="M906" s="1019"/>
      <c r="N906" s="1067"/>
      <c r="O906" s="136">
        <f>ROW()</f>
        <v>906</v>
      </c>
      <c r="P906" s="1019">
        <f t="shared" ref="P906:U906" ca="1" si="1800">P$425*P$444*P$503*P$553*P$601*P$649*P$697*P$745*P$793*P$841</f>
        <v>0.92962534155437104</v>
      </c>
      <c r="Q906" s="1019">
        <f t="shared" ca="1" si="1800"/>
        <v>0.96935962170827872</v>
      </c>
      <c r="R906" s="1019">
        <f t="shared" ca="1" si="1800"/>
        <v>0.97591028997553642</v>
      </c>
      <c r="S906" s="1019">
        <f t="shared" ca="1" si="1800"/>
        <v>0.97884294562951413</v>
      </c>
      <c r="T906" s="1019">
        <f t="shared" ca="1" si="1800"/>
        <v>0.96860955218864564</v>
      </c>
      <c r="U906" s="1019">
        <f t="shared" ca="1" si="1800"/>
        <v>0.95871619568917621</v>
      </c>
      <c r="V906" s="1019"/>
      <c r="Y906" s="1019">
        <f t="shared" ref="Y906:AD906" ca="1" si="1801">Y$425*Y$444*Y$503*Y$553*Y$601*Y$649*Y$697*Y$745*Y$793*Y$841</f>
        <v>0.92968693913431566</v>
      </c>
      <c r="Z906" s="1019">
        <f t="shared" ca="1" si="1801"/>
        <v>0.96883598508673341</v>
      </c>
      <c r="AA906" s="1019">
        <f t="shared" ca="1" si="1801"/>
        <v>0.97537172613100709</v>
      </c>
      <c r="AB906" s="1019">
        <f t="shared" ca="1" si="1801"/>
        <v>0.97846598348336955</v>
      </c>
      <c r="AC906" s="1019">
        <f t="shared" ca="1" si="1801"/>
        <v>0.96793625399448946</v>
      </c>
      <c r="AD906" s="1019">
        <f t="shared" ca="1" si="1801"/>
        <v>0.95814123697239917</v>
      </c>
      <c r="AE906" s="1019"/>
      <c r="AH906" s="1019">
        <f t="shared" ref="AH906:AM906" ca="1" si="1802">AH$425*AH$444*AH$503*AH$553*AH$601*AH$649*AH$697*AH$745*AH$793*AH$841</f>
        <v>0.92968693913431566</v>
      </c>
      <c r="AI906" s="1019">
        <f t="shared" ca="1" si="1802"/>
        <v>0.96883598508673341</v>
      </c>
      <c r="AJ906" s="1019">
        <f t="shared" ca="1" si="1802"/>
        <v>0.97537172613100709</v>
      </c>
      <c r="AK906" s="1019">
        <f t="shared" ca="1" si="1802"/>
        <v>0.97846598348336955</v>
      </c>
      <c r="AL906" s="1019">
        <f t="shared" ca="1" si="1802"/>
        <v>0.96793625399448946</v>
      </c>
      <c r="AM906" s="1019">
        <f t="shared" ca="1" si="1802"/>
        <v>0.95814123697239917</v>
      </c>
      <c r="AN906" s="1019"/>
      <c r="AQ906" s="1019">
        <f t="shared" ref="AQ906:AV906" ca="1" si="1803">AQ$425*AQ$444*AQ$503*AQ$553*AQ$601*AQ$649*AQ$697*AQ$745*AQ$793*AQ$841</f>
        <v>0.92757941027970892</v>
      </c>
      <c r="AR906" s="1019">
        <f t="shared" ca="1" si="1803"/>
        <v>0.96041433109910479</v>
      </c>
      <c r="AS906" s="1019">
        <f t="shared" ca="1" si="1803"/>
        <v>0.96736383020232075</v>
      </c>
      <c r="AT906" s="1019">
        <f t="shared" ca="1" si="1803"/>
        <v>0.9708413439979322</v>
      </c>
      <c r="AU906" s="1019">
        <f t="shared" ca="1" si="1803"/>
        <v>0.9584379167581123</v>
      </c>
      <c r="AV906" s="1019">
        <f t="shared" ca="1" si="1803"/>
        <v>0.94712951705995108</v>
      </c>
      <c r="AW906" s="1019"/>
      <c r="AZ906" s="1019">
        <f t="shared" ref="AZ906:BE906" ca="1" si="1804">AZ$425*AZ$444*AZ$503*AZ$553*AZ$601*AZ$649*AZ$697*AZ$745*AZ$793*AZ$841</f>
        <v>0.92284344589459133</v>
      </c>
      <c r="BA906" s="1019">
        <f t="shared" ca="1" si="1804"/>
        <v>0.93969242430442246</v>
      </c>
      <c r="BB906" s="1019">
        <f t="shared" ca="1" si="1804"/>
        <v>0.94753765623499819</v>
      </c>
      <c r="BC906" s="1019">
        <f t="shared" ca="1" si="1804"/>
        <v>0.95230210854460018</v>
      </c>
      <c r="BD906" s="1019">
        <f t="shared" ca="1" si="1804"/>
        <v>0.93490083328521789</v>
      </c>
      <c r="BE906" s="1019">
        <f t="shared" ca="1" si="1804"/>
        <v>0.92045150387524</v>
      </c>
      <c r="BF906" s="1019"/>
      <c r="BI906" s="1019">
        <f t="shared" ref="BI906:BN906" ca="1" si="1805">BI$425*BI$444*BI$503*BI$553*BI$601*BI$649*BI$697*BI$745*BI$793*BI$841</f>
        <v>0.92454958196058423</v>
      </c>
      <c r="BJ906" s="1019">
        <f t="shared" ca="1" si="1805"/>
        <v>0.94689507901351111</v>
      </c>
      <c r="BK906" s="1019">
        <f t="shared" ca="1" si="1805"/>
        <v>0.954420808403599</v>
      </c>
      <c r="BL906" s="1019">
        <f t="shared" ca="1" si="1805"/>
        <v>0.95877674653490264</v>
      </c>
      <c r="BM906" s="1019">
        <f t="shared" ca="1" si="1805"/>
        <v>0.94305245354273426</v>
      </c>
      <c r="BN906" s="1019">
        <f t="shared" ca="1" si="1805"/>
        <v>0.92973261595055345</v>
      </c>
      <c r="BO906" s="1019"/>
    </row>
    <row r="907" spans="2:68" s="86" customFormat="1" ht="13.2" customHeight="1">
      <c r="B907" s="319" t="str">
        <f>CONCATENATE("Product of nine preceding rebound effects for non-cordon travel and the 'initial' ratio of post-pricing cordon travel to pre-pricing cordon travel in Row ",O425, ".")</f>
        <v>Product of nine preceding rebound effects for non-cordon travel and the 'initial' ratio of post-pricing cordon travel to pre-pricing cordon travel in Row 425.</v>
      </c>
      <c r="G907" s="1019"/>
      <c r="H907" s="1019"/>
      <c r="I907" s="1019"/>
      <c r="J907" s="1019"/>
      <c r="K907" s="1019"/>
      <c r="L907" s="1019"/>
      <c r="M907" s="1019"/>
      <c r="N907" s="1067"/>
      <c r="O907" s="136">
        <f>ROW()</f>
        <v>907</v>
      </c>
      <c r="P907" s="1019"/>
      <c r="Q907" s="1019"/>
      <c r="R907" s="1019"/>
      <c r="S907" s="1019"/>
      <c r="T907" s="1019"/>
      <c r="U907" s="1019"/>
      <c r="V907" s="1019"/>
      <c r="Y907" s="1019"/>
      <c r="Z907" s="1019"/>
      <c r="AA907" s="1019"/>
      <c r="AB907" s="1019"/>
      <c r="AC907" s="1019"/>
      <c r="AD907" s="1019"/>
      <c r="AE907" s="1019"/>
      <c r="AH907" s="1019"/>
      <c r="AI907" s="1019"/>
      <c r="AJ907" s="1019"/>
      <c r="AK907" s="1019"/>
      <c r="AL907" s="1019"/>
      <c r="AM907" s="1019"/>
      <c r="AN907" s="1019"/>
      <c r="AQ907" s="1019"/>
      <c r="AR907" s="1019"/>
      <c r="AS907" s="1019"/>
      <c r="AT907" s="1019"/>
      <c r="AU907" s="1019"/>
      <c r="AV907" s="1019"/>
      <c r="AW907" s="1019"/>
      <c r="AZ907" s="1019"/>
      <c r="BA907" s="1019"/>
      <c r="BB907" s="1019"/>
      <c r="BC907" s="1019"/>
      <c r="BD907" s="1019"/>
      <c r="BE907" s="1019"/>
      <c r="BF907" s="1019"/>
      <c r="BI907" s="1019"/>
      <c r="BJ907" s="1019"/>
      <c r="BK907" s="1019"/>
      <c r="BL907" s="1019"/>
      <c r="BM907" s="1019"/>
      <c r="BN907" s="1019"/>
      <c r="BO907" s="1019"/>
    </row>
    <row r="908" spans="2:68" s="1134" customFormat="1" ht="13.2" customHeight="1">
      <c r="B908" s="1196" t="s">
        <v>277</v>
      </c>
      <c r="G908" s="1134">
        <f t="shared" ref="G908:L908" ca="1" si="1806">P908+Y908+AH908+AQ908+AZ908+BI908</f>
        <v>14936597.63728958</v>
      </c>
      <c r="H908" s="1134">
        <f t="shared" ca="1" si="1806"/>
        <v>5167103.6473087361</v>
      </c>
      <c r="I908" s="1134">
        <f t="shared" ca="1" si="1806"/>
        <v>15589975.388119776</v>
      </c>
      <c r="J908" s="1134">
        <f t="shared" ca="1" si="1806"/>
        <v>9948838.0786630753</v>
      </c>
      <c r="K908" s="1134">
        <f t="shared" ca="1" si="1806"/>
        <v>5719926.2363056801</v>
      </c>
      <c r="L908" s="1134">
        <f t="shared" ca="1" si="1806"/>
        <v>4981557.0775527442</v>
      </c>
      <c r="N908" s="1134">
        <f ca="1">SUM(G908:M908)</f>
        <v>56343998.065239586</v>
      </c>
      <c r="O908" s="136">
        <f>ROW()</f>
        <v>908</v>
      </c>
      <c r="P908" s="1134">
        <f t="shared" ref="P908:U908" ca="1" si="1807">P906*P167</f>
        <v>2624361.1551716398</v>
      </c>
      <c r="Q908" s="1134">
        <f t="shared" ca="1" si="1807"/>
        <v>886485.87479341915</v>
      </c>
      <c r="R908" s="1134">
        <f t="shared" ca="1" si="1807"/>
        <v>2466271.3328829585</v>
      </c>
      <c r="S908" s="1134">
        <f t="shared" ca="1" si="1807"/>
        <v>1245722.6419857992</v>
      </c>
      <c r="T908" s="1134">
        <f t="shared" ca="1" si="1807"/>
        <v>904900.87167429703</v>
      </c>
      <c r="U908" s="1134">
        <f t="shared" ca="1" si="1807"/>
        <v>713562.94019978121</v>
      </c>
      <c r="W908" s="1191">
        <f ca="1">SUM(P908:V908)</f>
        <v>8841304.8167078942</v>
      </c>
      <c r="Y908" s="1134">
        <f t="shared" ref="Y908:AD908" ca="1" si="1808">Y906*Y167</f>
        <v>6220572.801913307</v>
      </c>
      <c r="Z908" s="1134">
        <f t="shared" ca="1" si="1808"/>
        <v>2211958.6515542055</v>
      </c>
      <c r="AA908" s="1134">
        <f t="shared" ca="1" si="1808"/>
        <v>7573865.7988703195</v>
      </c>
      <c r="AB908" s="1134">
        <f t="shared" ca="1" si="1808"/>
        <v>5317153.5773445824</v>
      </c>
      <c r="AC908" s="1134">
        <f t="shared" ca="1" si="1808"/>
        <v>2780472.7437858358</v>
      </c>
      <c r="AD908" s="1134">
        <f t="shared" ca="1" si="1808"/>
        <v>2492650.6612017015</v>
      </c>
      <c r="AF908" s="1191">
        <f ca="1">SUM(Y908:AE908)</f>
        <v>26596674.23466995</v>
      </c>
      <c r="AH908" s="1134">
        <f t="shared" ref="AH908:AM908" ca="1" si="1809">AH906*AH167</f>
        <v>5517825.6921372944</v>
      </c>
      <c r="AI908" s="1134">
        <f t="shared" ca="1" si="1809"/>
        <v>1862158.7657120293</v>
      </c>
      <c r="AJ908" s="1134">
        <f t="shared" ca="1" si="1809"/>
        <v>4908467.1279593948</v>
      </c>
      <c r="AK908" s="1134">
        <f t="shared" ca="1" si="1809"/>
        <v>2972636.3406697814</v>
      </c>
      <c r="AL908" s="1134">
        <f t="shared" ca="1" si="1809"/>
        <v>1797578.8596391156</v>
      </c>
      <c r="AM908" s="1134">
        <f t="shared" ca="1" si="1809"/>
        <v>1579012.8840631784</v>
      </c>
      <c r="AO908" s="1191">
        <f ca="1">SUM(AH908:AN908)</f>
        <v>18637679.67018079</v>
      </c>
      <c r="AQ908" s="1134">
        <f t="shared" ref="AQ908:AV908" ca="1" si="1810">AQ906*AQ167</f>
        <v>188717.93110053494</v>
      </c>
      <c r="AR908" s="1134">
        <f t="shared" ca="1" si="1810"/>
        <v>75827.185199805681</v>
      </c>
      <c r="AS908" s="1134">
        <f t="shared" ca="1" si="1810"/>
        <v>240027.27516925047</v>
      </c>
      <c r="AT908" s="1134">
        <f t="shared" ca="1" si="1810"/>
        <v>155286.77315445122</v>
      </c>
      <c r="AU908" s="1134">
        <f t="shared" ca="1" si="1810"/>
        <v>90508.999826853818</v>
      </c>
      <c r="AV908" s="1134">
        <f t="shared" ca="1" si="1810"/>
        <v>69221.583506040828</v>
      </c>
      <c r="AX908" s="1191">
        <f ca="1">SUM(AQ908:AW908)</f>
        <v>819589.74795693706</v>
      </c>
      <c r="AZ908" s="1134">
        <f t="shared" ref="AZ908:BE908" ca="1" si="1811">AZ906*AZ167</f>
        <v>238132.98623450039</v>
      </c>
      <c r="BA908" s="1134">
        <f t="shared" ca="1" si="1811"/>
        <v>80621.084917344546</v>
      </c>
      <c r="BB908" s="1134">
        <f t="shared" ca="1" si="1811"/>
        <v>247653.7871981629</v>
      </c>
      <c r="BC908" s="1134">
        <f t="shared" ca="1" si="1811"/>
        <v>159253.91394106761</v>
      </c>
      <c r="BD908" s="1134">
        <f t="shared" ca="1" si="1811"/>
        <v>90327.781138016799</v>
      </c>
      <c r="BE908" s="1134">
        <f t="shared" ca="1" si="1811"/>
        <v>78350.09052752456</v>
      </c>
      <c r="BG908" s="1191">
        <f ca="1">SUM(AZ908:BF908)</f>
        <v>894339.64395661687</v>
      </c>
      <c r="BI908" s="1134">
        <f t="shared" ref="BI908:BN908" ca="1" si="1812">BI906*BI167</f>
        <v>146987.07073230523</v>
      </c>
      <c r="BJ908" s="1134">
        <f t="shared" ca="1" si="1812"/>
        <v>50052.085131932421</v>
      </c>
      <c r="BK908" s="1134">
        <f t="shared" ca="1" si="1812"/>
        <v>153690.06603969092</v>
      </c>
      <c r="BL908" s="1134">
        <f t="shared" ca="1" si="1812"/>
        <v>98784.831567395871</v>
      </c>
      <c r="BM908" s="1134">
        <f t="shared" ca="1" si="1812"/>
        <v>56136.980241560253</v>
      </c>
      <c r="BN908" s="1134">
        <f t="shared" ca="1" si="1812"/>
        <v>48758.918054517708</v>
      </c>
      <c r="BP908" s="1191">
        <f ca="1">SUM(BI908:BO908)</f>
        <v>554409.95176740247</v>
      </c>
    </row>
    <row r="909" spans="2:68" ht="13.2" customHeight="1">
      <c r="B909" s="319" t="str">
        <f>CONCATENATE("Each entry is product of foregoing factor, in Row ",O906, ", and the pre-pricing volume of non-cordon VMT in Row ",O167, ".")</f>
        <v>Each entry is product of foregoing factor, in Row 906, and the pre-pricing volume of non-cordon VMT in Row 167.</v>
      </c>
      <c r="O909" s="136">
        <f>ROW()</f>
        <v>909</v>
      </c>
    </row>
    <row r="910" spans="2:68" ht="13.2" customHeight="1">
      <c r="B910" s="269" t="s">
        <v>1558</v>
      </c>
      <c r="G910" s="509"/>
      <c r="H910" s="509"/>
      <c r="I910" s="509"/>
      <c r="J910" s="509"/>
      <c r="K910" s="509"/>
      <c r="L910" s="509"/>
      <c r="M910" s="509"/>
      <c r="N910" s="509"/>
      <c r="O910" s="136">
        <f>ROW()</f>
        <v>910</v>
      </c>
      <c r="W910" s="138"/>
      <c r="AF910" s="138"/>
      <c r="AO910" s="138"/>
      <c r="AX910" s="138"/>
      <c r="BG910" s="138"/>
      <c r="BP910" s="138"/>
    </row>
    <row r="911" spans="2:68" s="1122" customFormat="1" ht="13.2" customHeight="1">
      <c r="B911" s="1194" t="s">
        <v>1807</v>
      </c>
      <c r="G911" s="1134">
        <f t="shared" ref="G911:L911" ca="1" si="1813">P911+Y911+AH911+AQ911+AZ911+BI911</f>
        <v>10531595.943217846</v>
      </c>
      <c r="H911" s="1134">
        <f t="shared" ca="1" si="1813"/>
        <v>3624914.0024449695</v>
      </c>
      <c r="I911" s="1134">
        <f t="shared" ca="1" si="1813"/>
        <v>10867594.370342923</v>
      </c>
      <c r="J911" s="1134">
        <f t="shared" ca="1" si="1813"/>
        <v>6902846.4824311854</v>
      </c>
      <c r="K911" s="1134">
        <f t="shared" ca="1" si="1813"/>
        <v>4024415.6641542725</v>
      </c>
      <c r="L911" s="1134">
        <f t="shared" ca="1" si="1813"/>
        <v>3602719.008322184</v>
      </c>
      <c r="M911" s="1134"/>
      <c r="N911" s="1131">
        <f ca="1">SUM(G911:M911)</f>
        <v>39554085.47091338</v>
      </c>
      <c r="O911" s="136">
        <f>ROW()</f>
        <v>911</v>
      </c>
      <c r="P911" s="1122">
        <f t="shared" ref="P911:U911" ca="1" si="1814">P908-P904</f>
        <v>1793416.4524587162</v>
      </c>
      <c r="Q911" s="1122">
        <f t="shared" ca="1" si="1814"/>
        <v>606225.4806921354</v>
      </c>
      <c r="R911" s="1122">
        <f t="shared" ca="1" si="1814"/>
        <v>1682878.9684856245</v>
      </c>
      <c r="S911" s="1122">
        <f t="shared" ca="1" si="1814"/>
        <v>850906.9432785497</v>
      </c>
      <c r="T911" s="1122">
        <f t="shared" ca="1" si="1814"/>
        <v>624460.73856698466</v>
      </c>
      <c r="U911" s="1122">
        <f t="shared" ca="1" si="1814"/>
        <v>502606.03797119425</v>
      </c>
      <c r="W911" s="1131">
        <f ca="1">SUM(P911:V911)</f>
        <v>6060494.6214532042</v>
      </c>
      <c r="Y911" s="1122">
        <f t="shared" ref="Y911:AD911" ca="1" si="1815">Y908-Y904</f>
        <v>4433256.8167813737</v>
      </c>
      <c r="Z911" s="1122">
        <f t="shared" ca="1" si="1815"/>
        <v>1573667.7859619842</v>
      </c>
      <c r="AA911" s="1122">
        <f t="shared" ca="1" si="1815"/>
        <v>5340581.6689520227</v>
      </c>
      <c r="AB911" s="1122">
        <f t="shared" ca="1" si="1815"/>
        <v>3714970.9541131062</v>
      </c>
      <c r="AC911" s="1122">
        <f t="shared" ca="1" si="1815"/>
        <v>1974750.9130157577</v>
      </c>
      <c r="AD911" s="1122">
        <f t="shared" ca="1" si="1815"/>
        <v>1833221.6521183664</v>
      </c>
      <c r="AF911" s="1131">
        <f ca="1">SUM(Y911:AE911)</f>
        <v>18870449.790942609</v>
      </c>
      <c r="AH911" s="1122">
        <f t="shared" ref="AH911:AM911" ca="1" si="1816">AH908-AH904</f>
        <v>4061555.0183069753</v>
      </c>
      <c r="AI911" s="1122">
        <f t="shared" ca="1" si="1816"/>
        <v>1363532.5548980348</v>
      </c>
      <c r="AJ911" s="1122">
        <f t="shared" ca="1" si="1816"/>
        <v>3595630.0594976489</v>
      </c>
      <c r="AK911" s="1122">
        <f t="shared" ca="1" si="1816"/>
        <v>2176498.3594970992</v>
      </c>
      <c r="AL911" s="1122">
        <f t="shared" ca="1" si="1816"/>
        <v>1337012.8400119347</v>
      </c>
      <c r="AM911" s="1122">
        <f t="shared" ca="1" si="1816"/>
        <v>1191089.3292478218</v>
      </c>
      <c r="AO911" s="1131">
        <f ca="1">SUM(AH911:AN911)</f>
        <v>13725318.161459517</v>
      </c>
      <c r="AQ911" s="1122">
        <f t="shared" ref="AQ911:AV911" ca="1" si="1817">AQ908-AQ904</f>
        <v>-4043.0735339646635</v>
      </c>
      <c r="AR911" s="1122">
        <f t="shared" ca="1" si="1817"/>
        <v>-3136.4622570937063</v>
      </c>
      <c r="AS911" s="1122">
        <f t="shared" ca="1" si="1817"/>
        <v>-12134.676256349339</v>
      </c>
      <c r="AT911" s="1122">
        <f t="shared" ca="1" si="1817"/>
        <v>-7485.7332843807817</v>
      </c>
      <c r="AU911" s="1122">
        <f t="shared" ca="1" si="1817"/>
        <v>-6257.3485116693919</v>
      </c>
      <c r="AV911" s="1122">
        <f t="shared" ca="1" si="1817"/>
        <v>-5505.5927194108808</v>
      </c>
      <c r="AX911" s="1131">
        <f ca="1">SUM(AQ911:AW911)</f>
        <v>-38562.886562868764</v>
      </c>
      <c r="AZ911" s="1122">
        <f t="shared" ref="AZ911:BE911" ca="1" si="1818">AZ908-AZ904</f>
        <v>154165.34650314579</v>
      </c>
      <c r="BA911" s="1122">
        <f t="shared" ca="1" si="1818"/>
        <v>52525.475001676503</v>
      </c>
      <c r="BB911" s="1122">
        <f t="shared" ca="1" si="1818"/>
        <v>161746.10884973197</v>
      </c>
      <c r="BC911" s="1122">
        <f t="shared" ca="1" si="1818"/>
        <v>104240.27428631634</v>
      </c>
      <c r="BD911" s="1122">
        <f t="shared" ca="1" si="1818"/>
        <v>58581.278185754243</v>
      </c>
      <c r="BE911" s="1122">
        <f t="shared" ca="1" si="1818"/>
        <v>50405.04135269775</v>
      </c>
      <c r="BG911" s="1131">
        <f ca="1">SUM(AZ911:BF911)</f>
        <v>581663.52417932265</v>
      </c>
      <c r="BI911" s="1122">
        <f t="shared" ref="BI911:BN911" ca="1" si="1819">BI908-BI904</f>
        <v>93245.38270159933</v>
      </c>
      <c r="BJ911" s="1122">
        <f t="shared" ca="1" si="1819"/>
        <v>32099.168148232297</v>
      </c>
      <c r="BK911" s="1122">
        <f t="shared" ca="1" si="1819"/>
        <v>98892.24081424404</v>
      </c>
      <c r="BL911" s="1122">
        <f t="shared" ca="1" si="1819"/>
        <v>63715.684540494622</v>
      </c>
      <c r="BM911" s="1122">
        <f t="shared" ca="1" si="1819"/>
        <v>35867.242885510852</v>
      </c>
      <c r="BN911" s="1122">
        <f t="shared" ca="1" si="1819"/>
        <v>30902.540351515359</v>
      </c>
      <c r="BP911" s="1131">
        <f ca="1">SUM(BI911:BO911)</f>
        <v>354722.25944159651</v>
      </c>
    </row>
    <row r="912" spans="2:68" ht="13.2" customHeight="1">
      <c r="B912" s="319" t="str">
        <f>CONCATENATE("Row ",O908, " figure, less Row ",O904, " figure.")</f>
        <v>Row 908 figure, less Row 904 figure.</v>
      </c>
      <c r="O912" s="136">
        <f>ROW()</f>
        <v>912</v>
      </c>
    </row>
    <row r="913" spans="2:68" ht="13.2" customHeight="1">
      <c r="B913" s="323" t="s">
        <v>561</v>
      </c>
      <c r="G913" s="509">
        <f t="shared" ref="G913:L913" ca="1" si="1820">G908/G167</f>
        <v>0.92948871907464437</v>
      </c>
      <c r="H913" s="509">
        <f t="shared" ca="1" si="1820"/>
        <v>0.96811535649271707</v>
      </c>
      <c r="I913" s="509">
        <f t="shared" ca="1" si="1820"/>
        <v>0.97466685659790686</v>
      </c>
      <c r="J913" s="509">
        <f t="shared" ca="1" si="1820"/>
        <v>0.97776389182877399</v>
      </c>
      <c r="K913" s="509">
        <f t="shared" ca="1" si="1820"/>
        <v>0.96710084956700038</v>
      </c>
      <c r="L913" s="509">
        <f t="shared" ca="1" si="1820"/>
        <v>0.95716613062016864</v>
      </c>
      <c r="M913" s="509"/>
      <c r="N913" s="509"/>
      <c r="O913" s="136">
        <f>ROW()</f>
        <v>913</v>
      </c>
      <c r="W913" s="138"/>
      <c r="AF913" s="138"/>
      <c r="AO913" s="138"/>
      <c r="AX913" s="138"/>
      <c r="BG913" s="138"/>
      <c r="BP913" s="138"/>
    </row>
    <row r="914" spans="2:68" ht="13.2" customHeight="1">
      <c r="B914" s="319" t="str">
        <f>CONCATENATE("Row ",O908, " figure divided by Row ",O167, " figure.")</f>
        <v>Row 908 figure divided by Row 167 figure.</v>
      </c>
      <c r="F914" s="200"/>
      <c r="G914" s="509"/>
      <c r="H914" s="509"/>
      <c r="I914" s="509"/>
      <c r="N914" s="509"/>
      <c r="O914" s="136">
        <f>ROW()</f>
        <v>914</v>
      </c>
      <c r="W914" s="138"/>
      <c r="AF914" s="138"/>
      <c r="AO914" s="138"/>
      <c r="AX914" s="138"/>
      <c r="BG914" s="138"/>
      <c r="BP914" s="138"/>
    </row>
    <row r="915" spans="2:68" ht="13.2" customHeight="1">
      <c r="B915" s="319"/>
      <c r="G915" s="509"/>
      <c r="H915" s="509"/>
      <c r="I915" s="509"/>
      <c r="J915" s="509"/>
      <c r="K915" s="509"/>
      <c r="L915" s="509"/>
      <c r="M915" s="509"/>
      <c r="N915" s="509"/>
      <c r="O915" s="136">
        <f>ROW()</f>
        <v>915</v>
      </c>
      <c r="W915" s="138"/>
      <c r="AF915" s="138"/>
      <c r="AO915" s="138"/>
      <c r="AX915" s="138"/>
      <c r="BG915" s="138"/>
      <c r="BP915" s="138"/>
    </row>
    <row r="916" spans="2:68" ht="13.2" customHeight="1">
      <c r="C916" s="160"/>
      <c r="D916" s="160"/>
      <c r="E916" s="160"/>
      <c r="F916" s="160"/>
      <c r="G916" s="948" t="s">
        <v>1472</v>
      </c>
      <c r="H916" s="948" t="s">
        <v>985</v>
      </c>
      <c r="I916" s="948" t="s">
        <v>987</v>
      </c>
      <c r="J916" s="948" t="s">
        <v>1367</v>
      </c>
      <c r="K916" s="948" t="s">
        <v>988</v>
      </c>
      <c r="L916" s="948" t="s">
        <v>986</v>
      </c>
      <c r="M916" s="948" t="s">
        <v>1638</v>
      </c>
      <c r="N916" s="948" t="s">
        <v>2684</v>
      </c>
      <c r="O916" s="136">
        <f>ROW()</f>
        <v>916</v>
      </c>
      <c r="P916" s="309"/>
      <c r="Y916" s="309"/>
      <c r="AH916" s="309"/>
      <c r="AQ916" s="309"/>
      <c r="AZ916" s="309"/>
      <c r="BI916" s="309"/>
    </row>
    <row r="917" spans="2:68" ht="13.2" customHeight="1">
      <c r="B917" s="308"/>
      <c r="G917" s="298" t="s">
        <v>1918</v>
      </c>
      <c r="H917" s="298" t="s">
        <v>1838</v>
      </c>
      <c r="I917" s="298" t="s">
        <v>1839</v>
      </c>
      <c r="J917" s="298" t="s">
        <v>1840</v>
      </c>
      <c r="K917" s="298" t="s">
        <v>1841</v>
      </c>
      <c r="L917" s="298" t="s">
        <v>1917</v>
      </c>
      <c r="M917" s="298"/>
      <c r="N917" s="298"/>
      <c r="O917" s="136">
        <f>ROW()</f>
        <v>917</v>
      </c>
      <c r="P917" s="309"/>
      <c r="Y917" s="309"/>
      <c r="AH917" s="309"/>
      <c r="AQ917" s="309"/>
      <c r="AZ917" s="309"/>
      <c r="BI917" s="309"/>
    </row>
    <row r="918" spans="2:68" ht="13.2" customHeight="1">
      <c r="B918" s="308" t="s">
        <v>2532</v>
      </c>
      <c r="O918" s="136">
        <f>ROW()</f>
        <v>918</v>
      </c>
      <c r="P918" s="309"/>
      <c r="Y918" s="309"/>
      <c r="AH918" s="309"/>
      <c r="AQ918" s="309"/>
      <c r="AZ918" s="309"/>
      <c r="BI918" s="309"/>
    </row>
    <row r="919" spans="2:68" ht="13.2" customHeight="1">
      <c r="B919" s="323" t="s">
        <v>2308</v>
      </c>
      <c r="G919" s="21">
        <f t="shared" ref="G919:L919" ca="1" si="1821">G869</f>
        <v>20.158788035353126</v>
      </c>
      <c r="H919" s="21">
        <f t="shared" ca="1" si="1821"/>
        <v>15.82021621818007</v>
      </c>
      <c r="I919" s="21">
        <f t="shared" ca="1" si="1821"/>
        <v>12.344759252267739</v>
      </c>
      <c r="J919" s="21">
        <f t="shared" ca="1" si="1821"/>
        <v>10.858438994482485</v>
      </c>
      <c r="K919" s="21">
        <f t="shared" ca="1" si="1821"/>
        <v>13.47681535363655</v>
      </c>
      <c r="L919" s="21">
        <f t="shared" ca="1" si="1821"/>
        <v>16.069184977442493</v>
      </c>
      <c r="M919" s="21"/>
      <c r="O919" s="136">
        <f>ROW()</f>
        <v>919</v>
      </c>
      <c r="P919" s="309"/>
      <c r="Y919" s="309"/>
      <c r="AH919" s="309"/>
      <c r="AQ919" s="309"/>
      <c r="AZ919" s="309"/>
      <c r="BI919" s="309"/>
    </row>
    <row r="920" spans="2:68" ht="13.2" customHeight="1">
      <c r="B920" s="325" t="s">
        <v>2810</v>
      </c>
      <c r="G920" s="117">
        <f t="shared" ref="G920:L920" ca="1" si="1822">G919/G184</f>
        <v>1.030980507371932</v>
      </c>
      <c r="H920" s="117">
        <f t="shared" ca="1" si="1822"/>
        <v>1.093828201488023</v>
      </c>
      <c r="I920" s="117">
        <f t="shared" ca="1" si="1822"/>
        <v>1.1281393666925335</v>
      </c>
      <c r="J920" s="117">
        <f t="shared" ca="1" si="1822"/>
        <v>1.1309167458627787</v>
      </c>
      <c r="K920" s="117">
        <f t="shared" ca="1" si="1822"/>
        <v>1.1336026910751227</v>
      </c>
      <c r="L920" s="117">
        <f t="shared" ca="1" si="1822"/>
        <v>1.1409569115915914</v>
      </c>
      <c r="M920" s="117"/>
      <c r="O920" s="136">
        <f>ROW()</f>
        <v>920</v>
      </c>
      <c r="P920" s="309"/>
      <c r="Y920" s="309"/>
      <c r="AH920" s="309"/>
      <c r="AQ920" s="309"/>
      <c r="AZ920" s="309"/>
      <c r="BI920" s="309"/>
    </row>
    <row r="921" spans="2:68" ht="13.2" customHeight="1">
      <c r="B921" s="325" t="s">
        <v>531</v>
      </c>
      <c r="G921" s="39">
        <f t="shared" ref="G921:L921" ca="1" si="1823">G920-1</f>
        <v>3.0980507371932031E-2</v>
      </c>
      <c r="H921" s="39">
        <f t="shared" ca="1" si="1823"/>
        <v>9.3828201488022955E-2</v>
      </c>
      <c r="I921" s="39">
        <f t="shared" ca="1" si="1823"/>
        <v>0.12813936669253345</v>
      </c>
      <c r="J921" s="39">
        <f t="shared" ca="1" si="1823"/>
        <v>0.13091674586277868</v>
      </c>
      <c r="K921" s="39">
        <f t="shared" ca="1" si="1823"/>
        <v>0.13360269107512268</v>
      </c>
      <c r="L921" s="39">
        <f t="shared" ca="1" si="1823"/>
        <v>0.14095691159159141</v>
      </c>
      <c r="M921" s="39"/>
      <c r="O921" s="136">
        <f>ROW()</f>
        <v>921</v>
      </c>
      <c r="P921" s="309"/>
      <c r="Y921" s="309"/>
      <c r="AH921" s="309"/>
      <c r="AQ921" s="309"/>
      <c r="AZ921" s="309"/>
      <c r="BI921" s="309"/>
    </row>
    <row r="922" spans="2:68" ht="13.2" customHeight="1">
      <c r="B922" s="323" t="s">
        <v>1076</v>
      </c>
      <c r="G922" s="21">
        <f t="shared" ref="G922:L922" ca="1" si="1824">G870</f>
        <v>54.484915530600617</v>
      </c>
      <c r="H922" s="21">
        <f t="shared" ca="1" si="1824"/>
        <v>31.472172763726586</v>
      </c>
      <c r="I922" s="21">
        <f t="shared" ca="1" si="1824"/>
        <v>23.442930898207145</v>
      </c>
      <c r="J922" s="21">
        <f t="shared" ca="1" si="1824"/>
        <v>21.015835554139219</v>
      </c>
      <c r="K922" s="21">
        <f t="shared" ca="1" si="1824"/>
        <v>27.024431009255988</v>
      </c>
      <c r="L922" s="21">
        <f t="shared" ca="1" si="1824"/>
        <v>33.122081339665172</v>
      </c>
      <c r="M922" s="21"/>
      <c r="O922" s="136">
        <f>ROW()</f>
        <v>922</v>
      </c>
      <c r="P922" s="309"/>
      <c r="Y922" s="309"/>
      <c r="AH922" s="309"/>
      <c r="AQ922" s="309"/>
      <c r="AZ922" s="309"/>
      <c r="BI922" s="309"/>
    </row>
    <row r="923" spans="2:68" ht="13.2" customHeight="1">
      <c r="B923" s="325" t="s">
        <v>2810</v>
      </c>
      <c r="G923" s="117">
        <f t="shared" ref="G923:L923" ca="1" si="1825">G922/G200</f>
        <v>1.0109865495792723</v>
      </c>
      <c r="H923" s="117">
        <f t="shared" ca="1" si="1825"/>
        <v>1.048166219350336</v>
      </c>
      <c r="I923" s="117">
        <f t="shared" ca="1" si="1825"/>
        <v>1.0457488066867529</v>
      </c>
      <c r="J923" s="117">
        <f t="shared" ca="1" si="1825"/>
        <v>1.0424652201061759</v>
      </c>
      <c r="K923" s="117">
        <f t="shared" ca="1" si="1825"/>
        <v>1.0551613113953404</v>
      </c>
      <c r="L923" s="117">
        <f t="shared" ca="1" si="1825"/>
        <v>1.0634902942213169</v>
      </c>
      <c r="M923" s="117"/>
      <c r="O923" s="136">
        <f>ROW()</f>
        <v>923</v>
      </c>
      <c r="P923" s="309"/>
      <c r="Y923" s="309"/>
      <c r="AH923" s="309"/>
      <c r="AQ923" s="309"/>
      <c r="AZ923" s="309"/>
      <c r="BI923" s="309"/>
    </row>
    <row r="924" spans="2:68" ht="13.2" customHeight="1">
      <c r="B924" s="325" t="s">
        <v>531</v>
      </c>
      <c r="G924" s="39">
        <f t="shared" ref="G924:L924" ca="1" si="1826">G923-1</f>
        <v>1.0986549579272253E-2</v>
      </c>
      <c r="H924" s="39">
        <f t="shared" ca="1" si="1826"/>
        <v>4.8166219350336048E-2</v>
      </c>
      <c r="I924" s="39">
        <f t="shared" ca="1" si="1826"/>
        <v>4.5748806686752852E-2</v>
      </c>
      <c r="J924" s="39">
        <f t="shared" ca="1" si="1826"/>
        <v>4.2465220106175927E-2</v>
      </c>
      <c r="K924" s="39">
        <f t="shared" ca="1" si="1826"/>
        <v>5.5161311395340418E-2</v>
      </c>
      <c r="L924" s="39">
        <f t="shared" ca="1" si="1826"/>
        <v>6.3490294221316912E-2</v>
      </c>
      <c r="M924" s="927"/>
      <c r="O924" s="136">
        <f>ROW()</f>
        <v>924</v>
      </c>
      <c r="P924" s="309"/>
      <c r="Y924" s="309"/>
      <c r="AH924" s="309"/>
      <c r="AQ924" s="309"/>
      <c r="AZ924" s="309"/>
      <c r="BI924" s="309"/>
    </row>
    <row r="925" spans="2:68" ht="13.2" customHeight="1">
      <c r="B925" s="323" t="s">
        <v>2115</v>
      </c>
      <c r="G925" s="117">
        <f t="shared" ref="G925:L925" ca="1" si="1827">1/G919</f>
        <v>4.9606156791086216E-2</v>
      </c>
      <c r="H925" s="117">
        <f t="shared" ca="1" si="1827"/>
        <v>6.321026123845469E-2</v>
      </c>
      <c r="I925" s="117">
        <f t="shared" ca="1" si="1827"/>
        <v>8.1006034995481951E-2</v>
      </c>
      <c r="J925" s="117">
        <f t="shared" ca="1" si="1827"/>
        <v>9.2094268845469549E-2</v>
      </c>
      <c r="K925" s="117">
        <f t="shared" ca="1" si="1827"/>
        <v>7.4201506346984455E-2</v>
      </c>
      <c r="L925" s="117">
        <f t="shared" ca="1" si="1827"/>
        <v>6.2230909744568512E-2</v>
      </c>
      <c r="M925" s="117"/>
      <c r="O925" s="136">
        <f>ROW()</f>
        <v>925</v>
      </c>
      <c r="P925" s="309"/>
      <c r="Y925" s="309"/>
      <c r="AH925" s="309"/>
      <c r="AQ925" s="309"/>
      <c r="AZ925" s="309"/>
      <c r="BI925" s="309"/>
    </row>
    <row r="926" spans="2:68" ht="13.2" customHeight="1">
      <c r="B926" s="323" t="s">
        <v>1623</v>
      </c>
      <c r="G926" s="117">
        <f t="shared" ref="G926:L926" ca="1" si="1828">1/G922</f>
        <v>1.8353703777669716E-2</v>
      </c>
      <c r="H926" s="117">
        <f t="shared" ca="1" si="1828"/>
        <v>3.1774101124424275E-2</v>
      </c>
      <c r="I926" s="117">
        <f t="shared" ca="1" si="1828"/>
        <v>4.265678230858401E-2</v>
      </c>
      <c r="J926" s="117">
        <f t="shared" ca="1" si="1828"/>
        <v>4.7583166390119704E-2</v>
      </c>
      <c r="K926" s="117">
        <f t="shared" ca="1" si="1828"/>
        <v>3.7003554289727528E-2</v>
      </c>
      <c r="L926" s="117">
        <f t="shared" ca="1" si="1828"/>
        <v>3.0191339419315275E-2</v>
      </c>
      <c r="M926" s="117"/>
      <c r="O926" s="136">
        <f>ROW()</f>
        <v>926</v>
      </c>
      <c r="P926" s="309"/>
      <c r="Y926" s="309"/>
      <c r="AH926" s="309"/>
      <c r="AQ926" s="309"/>
      <c r="AZ926" s="309"/>
      <c r="BI926" s="309"/>
    </row>
    <row r="927" spans="2:68" ht="13.2" customHeight="1">
      <c r="B927" s="323"/>
      <c r="G927" s="21"/>
      <c r="H927" s="21"/>
      <c r="I927" s="21"/>
      <c r="J927" s="21"/>
      <c r="K927" s="21"/>
      <c r="L927" s="21"/>
      <c r="M927" s="21"/>
      <c r="O927" s="136">
        <f>ROW()</f>
        <v>927</v>
      </c>
      <c r="P927" s="309"/>
      <c r="Y927" s="309"/>
      <c r="AH927" s="309"/>
      <c r="AQ927" s="309"/>
      <c r="AZ927" s="309"/>
      <c r="BI927" s="309"/>
    </row>
    <row r="928" spans="2:68" ht="13.2" customHeight="1" thickBot="1">
      <c r="B928" s="24" t="s">
        <v>1448</v>
      </c>
      <c r="G928" s="21"/>
      <c r="H928" s="21"/>
      <c r="I928" s="21"/>
      <c r="J928" s="200"/>
      <c r="O928" s="136">
        <f>ROW()</f>
        <v>928</v>
      </c>
      <c r="P928" s="309"/>
      <c r="Y928" s="309"/>
      <c r="AH928" s="309"/>
      <c r="AQ928" s="309"/>
      <c r="AZ928" s="309"/>
      <c r="BI928" s="309"/>
    </row>
    <row r="929" spans="2:61" ht="13.2" customHeight="1">
      <c r="J929" s="4280" t="s">
        <v>286</v>
      </c>
      <c r="K929" s="4281"/>
      <c r="L929" s="4281"/>
      <c r="M929" s="4282"/>
      <c r="O929" s="136">
        <f>ROW()</f>
        <v>929</v>
      </c>
      <c r="P929" s="309"/>
      <c r="Y929" s="309"/>
      <c r="AH929" s="309"/>
      <c r="AQ929" s="309"/>
      <c r="AZ929" s="309"/>
      <c r="BI929" s="309"/>
    </row>
    <row r="930" spans="2:61" ht="13.2" customHeight="1">
      <c r="B930" s="6" t="s">
        <v>762</v>
      </c>
      <c r="J930" s="4283"/>
      <c r="K930" s="4277"/>
      <c r="L930" s="4277"/>
      <c r="M930" s="4284"/>
      <c r="O930" s="136">
        <f>ROW()</f>
        <v>930</v>
      </c>
      <c r="P930" s="309"/>
      <c r="Y930" s="309"/>
      <c r="AH930" s="309"/>
      <c r="AQ930" s="309"/>
      <c r="AZ930" s="309"/>
      <c r="BI930" s="309"/>
    </row>
    <row r="931" spans="2:61" ht="13.2" customHeight="1">
      <c r="G931" s="8"/>
      <c r="H931" s="8" t="s">
        <v>2307</v>
      </c>
      <c r="J931" s="885"/>
      <c r="K931" s="3797" t="s">
        <v>1809</v>
      </c>
      <c r="L931" s="4278" t="s">
        <v>1810</v>
      </c>
      <c r="M931" s="4279"/>
      <c r="O931" s="136">
        <f>ROW()</f>
        <v>931</v>
      </c>
      <c r="P931" s="309"/>
      <c r="Y931" s="309"/>
      <c r="AH931" s="309"/>
      <c r="AQ931" s="309"/>
      <c r="AZ931" s="309"/>
      <c r="BI931" s="309"/>
    </row>
    <row r="932" spans="2:61" ht="13.2" customHeight="1">
      <c r="B932" s="281" t="s">
        <v>2308</v>
      </c>
      <c r="J932" s="789" t="s">
        <v>2916</v>
      </c>
      <c r="K932" s="4277"/>
      <c r="L932" s="762" t="s">
        <v>1233</v>
      </c>
      <c r="M932" s="1059" t="s">
        <v>1724</v>
      </c>
      <c r="O932" s="136">
        <f>ROW()</f>
        <v>932</v>
      </c>
      <c r="P932" s="309"/>
      <c r="Y932" s="309"/>
      <c r="AH932" s="309"/>
      <c r="AQ932" s="309"/>
      <c r="AZ932" s="309"/>
      <c r="BI932" s="309"/>
    </row>
    <row r="933" spans="2:61" ht="13.2" customHeight="1">
      <c r="B933" s="214" t="s">
        <v>2304</v>
      </c>
      <c r="G933" s="91"/>
      <c r="H933" s="91">
        <f>K188</f>
        <v>13.029668388108686</v>
      </c>
      <c r="J933" s="790" t="s">
        <v>2881</v>
      </c>
      <c r="K933" s="1063">
        <f>N347</f>
        <v>582536.66666666663</v>
      </c>
      <c r="L933" s="113"/>
      <c r="M933" s="992"/>
      <c r="O933" s="136">
        <f>ROW()</f>
        <v>933</v>
      </c>
      <c r="P933" s="309"/>
      <c r="Y933" s="309"/>
      <c r="AH933" s="309"/>
      <c r="AQ933" s="309"/>
      <c r="AZ933" s="309"/>
      <c r="BI933" s="309"/>
    </row>
    <row r="934" spans="2:61" ht="13.2" customHeight="1">
      <c r="B934" s="214" t="s">
        <v>2305</v>
      </c>
      <c r="G934" s="91"/>
      <c r="H934" s="91">
        <f ca="1">$N$883/SUMPRODUCT(G925:M925,G883:M883)</f>
        <v>14.387730733094925</v>
      </c>
      <c r="J934" s="790" t="s">
        <v>2285</v>
      </c>
      <c r="K934" s="1064">
        <f ca="1">N368</f>
        <v>472602.71159789292</v>
      </c>
      <c r="L934" s="1058">
        <f ca="1">K934-K933</f>
        <v>-109933.95506877371</v>
      </c>
      <c r="M934" s="1060">
        <f t="shared" ref="M934:M943" ca="1" si="1829">K934-$K$934</f>
        <v>0</v>
      </c>
      <c r="O934" s="136">
        <f>ROW()</f>
        <v>934</v>
      </c>
      <c r="P934" s="309"/>
      <c r="Y934" s="309"/>
      <c r="AH934" s="309"/>
      <c r="AQ934" s="309"/>
      <c r="AZ934" s="309"/>
      <c r="BI934" s="309"/>
    </row>
    <row r="935" spans="2:61" ht="13.2" customHeight="1">
      <c r="B935" s="214" t="s">
        <v>2303</v>
      </c>
      <c r="G935" s="509"/>
      <c r="H935" s="509">
        <f ca="1">H934/H933</f>
        <v>1.1042284657240895</v>
      </c>
      <c r="J935" s="790" t="s">
        <v>891</v>
      </c>
      <c r="K935" s="1063">
        <f ca="1">N458</f>
        <v>522306.18080802797</v>
      </c>
      <c r="L935" s="1058">
        <f t="shared" ref="L935:L943" ca="1" si="1830">K935-K934</f>
        <v>49703.469210135052</v>
      </c>
      <c r="M935" s="1060">
        <f t="shared" ca="1" si="1829"/>
        <v>49703.469210135052</v>
      </c>
      <c r="O935" s="136">
        <f>ROW()</f>
        <v>935</v>
      </c>
      <c r="P935" s="309"/>
      <c r="Y935" s="309"/>
      <c r="AH935" s="309"/>
      <c r="AQ935" s="309"/>
      <c r="AZ935" s="309"/>
      <c r="BI935" s="309"/>
    </row>
    <row r="936" spans="2:61" ht="13.2" customHeight="1">
      <c r="B936" s="830" t="s">
        <v>531</v>
      </c>
      <c r="C936" s="89"/>
      <c r="D936" s="89"/>
      <c r="E936" s="89"/>
      <c r="F936" s="89"/>
      <c r="G936" s="831"/>
      <c r="H936" s="831">
        <f ca="1">ROUND(H935-1,2)</f>
        <v>0.1</v>
      </c>
      <c r="J936" s="790" t="s">
        <v>890</v>
      </c>
      <c r="K936" s="1064">
        <f ca="1">N511</f>
        <v>488618.44844648876</v>
      </c>
      <c r="L936" s="1058">
        <f t="shared" ca="1" si="1830"/>
        <v>-33687.732361539209</v>
      </c>
      <c r="M936" s="1060">
        <f t="shared" ca="1" si="1829"/>
        <v>16015.736848595843</v>
      </c>
      <c r="O936" s="136">
        <f>ROW()</f>
        <v>936</v>
      </c>
      <c r="P936" s="309"/>
      <c r="Y936" s="309"/>
      <c r="AH936" s="309"/>
      <c r="AQ936" s="309"/>
      <c r="AZ936" s="309"/>
      <c r="BI936" s="309"/>
    </row>
    <row r="937" spans="2:61" ht="13.2" customHeight="1">
      <c r="B937" s="281" t="s">
        <v>2309</v>
      </c>
      <c r="J937" s="790" t="s">
        <v>443</v>
      </c>
      <c r="K937" s="1063">
        <f ca="1">N560</f>
        <v>507718.55413188622</v>
      </c>
      <c r="L937" s="1058">
        <f t="shared" ca="1" si="1830"/>
        <v>19100.105685397459</v>
      </c>
      <c r="M937" s="1060">
        <f t="shared" ca="1" si="1829"/>
        <v>35115.842533993302</v>
      </c>
      <c r="O937" s="136">
        <f>ROW()</f>
        <v>937</v>
      </c>
      <c r="P937" s="309"/>
      <c r="Y937" s="309"/>
      <c r="AH937" s="309"/>
      <c r="AQ937" s="309"/>
      <c r="AZ937" s="309"/>
      <c r="BI937" s="309"/>
    </row>
    <row r="938" spans="2:61" ht="13.2" customHeight="1">
      <c r="B938" s="214" t="s">
        <v>2304</v>
      </c>
      <c r="G938" s="91"/>
      <c r="H938" s="91">
        <f>K204</f>
        <v>28.700001284590645</v>
      </c>
      <c r="J938" s="790" t="s">
        <v>1005</v>
      </c>
      <c r="K938" s="1064">
        <f ca="1">N608</f>
        <v>497053.14880678366</v>
      </c>
      <c r="L938" s="1058">
        <f t="shared" ca="1" si="1830"/>
        <v>-10665.405325102562</v>
      </c>
      <c r="M938" s="1060">
        <f t="shared" ca="1" si="1829"/>
        <v>24450.43720889074</v>
      </c>
      <c r="O938" s="136">
        <f>ROW()</f>
        <v>938</v>
      </c>
      <c r="P938" s="309"/>
      <c r="Y938" s="309"/>
      <c r="AH938" s="309"/>
      <c r="AQ938" s="309"/>
      <c r="AZ938" s="309"/>
      <c r="BI938" s="309"/>
    </row>
    <row r="939" spans="2:61" ht="13.2" customHeight="1">
      <c r="B939" s="214" t="s">
        <v>2305</v>
      </c>
      <c r="G939" s="91"/>
      <c r="H939" s="91">
        <f ca="1">$N$883/SUMPRODUCT(G926:M926,G883:M883)</f>
        <v>29.817653244264481</v>
      </c>
      <c r="J939" s="790" t="s">
        <v>1006</v>
      </c>
      <c r="K939" s="1063">
        <f ca="1">N656</f>
        <v>497564.22063023492</v>
      </c>
      <c r="L939" s="1058">
        <f t="shared" ca="1" si="1830"/>
        <v>511.07182345126057</v>
      </c>
      <c r="M939" s="1060">
        <f t="shared" ca="1" si="1829"/>
        <v>24961.509032342001</v>
      </c>
      <c r="O939" s="136">
        <f>ROW()</f>
        <v>939</v>
      </c>
      <c r="P939" s="309"/>
      <c r="Y939" s="309"/>
      <c r="AH939" s="309"/>
      <c r="AQ939" s="309"/>
      <c r="AZ939" s="309"/>
      <c r="BI939" s="309"/>
    </row>
    <row r="940" spans="2:61" ht="13.2" customHeight="1">
      <c r="B940" s="214" t="s">
        <v>2303</v>
      </c>
      <c r="G940" s="509"/>
      <c r="H940" s="509">
        <f ca="1">H939/H938</f>
        <v>1.0389425752490791</v>
      </c>
      <c r="J940" s="790" t="s">
        <v>1007</v>
      </c>
      <c r="K940" s="1064">
        <f ca="1">N704</f>
        <v>497345.57565733464</v>
      </c>
      <c r="L940" s="1058">
        <f t="shared" ca="1" si="1830"/>
        <v>-218.64497290027793</v>
      </c>
      <c r="M940" s="1060">
        <f t="shared" ca="1" si="1829"/>
        <v>24742.864059441723</v>
      </c>
      <c r="O940" s="136">
        <f>ROW()</f>
        <v>940</v>
      </c>
      <c r="P940" s="309"/>
      <c r="Y940" s="309"/>
      <c r="AH940" s="309"/>
      <c r="AQ940" s="309"/>
      <c r="AZ940" s="309"/>
      <c r="BI940" s="309"/>
    </row>
    <row r="941" spans="2:61" ht="13.2" customHeight="1">
      <c r="B941" s="830" t="s">
        <v>531</v>
      </c>
      <c r="C941" s="86"/>
      <c r="D941" s="86"/>
      <c r="E941" s="86"/>
      <c r="F941" s="86"/>
      <c r="G941" s="831"/>
      <c r="H941" s="831">
        <f ca="1">ROUND(H940-1,2)</f>
        <v>0.04</v>
      </c>
      <c r="J941" s="790" t="s">
        <v>2286</v>
      </c>
      <c r="K941" s="1063">
        <f ca="1">N752</f>
        <v>497301.80001951003</v>
      </c>
      <c r="L941" s="1058">
        <f t="shared" ca="1" si="1830"/>
        <v>-43.775637824612204</v>
      </c>
      <c r="M941" s="1060">
        <f t="shared" ca="1" si="1829"/>
        <v>24699.088421617111</v>
      </c>
      <c r="O941" s="136">
        <f>ROW()</f>
        <v>941</v>
      </c>
      <c r="P941" s="309"/>
      <c r="Y941" s="309"/>
      <c r="AH941" s="309"/>
      <c r="AQ941" s="309"/>
      <c r="AZ941" s="309"/>
      <c r="BI941" s="309"/>
    </row>
    <row r="942" spans="2:61" ht="13.2" customHeight="1">
      <c r="J942" s="790" t="s">
        <v>1008</v>
      </c>
      <c r="K942" s="1064">
        <f ca="1">N800</f>
        <v>497385.95385609299</v>
      </c>
      <c r="L942" s="1058">
        <f t="shared" ca="1" si="1830"/>
        <v>84.153836582961958</v>
      </c>
      <c r="M942" s="1060">
        <f t="shared" ca="1" si="1829"/>
        <v>24783.242258200073</v>
      </c>
      <c r="O942" s="136">
        <f>ROW()</f>
        <v>942</v>
      </c>
      <c r="P942" s="309"/>
      <c r="Y942" s="309"/>
      <c r="AH942" s="309"/>
      <c r="AQ942" s="309"/>
      <c r="AZ942" s="309"/>
      <c r="BI942" s="309"/>
    </row>
    <row r="943" spans="2:61" ht="13.2" customHeight="1" thickBot="1">
      <c r="B943" s="6" t="s">
        <v>2490</v>
      </c>
      <c r="J943" s="791" t="s">
        <v>2882</v>
      </c>
      <c r="K943" s="1065">
        <f ca="1">N848</f>
        <v>497264.57126058784</v>
      </c>
      <c r="L943" s="1061">
        <f t="shared" ca="1" si="1830"/>
        <v>-121.38259550515795</v>
      </c>
      <c r="M943" s="1062">
        <f t="shared" ca="1" si="1829"/>
        <v>24661.859662694915</v>
      </c>
      <c r="O943" s="136">
        <f>ROW()</f>
        <v>943</v>
      </c>
      <c r="P943" s="309"/>
      <c r="Y943" s="309"/>
      <c r="AH943" s="309"/>
      <c r="AQ943" s="309"/>
      <c r="AZ943" s="309"/>
      <c r="BI943" s="309"/>
    </row>
    <row r="944" spans="2:61" ht="13.2" customHeight="1">
      <c r="G944" s="8"/>
      <c r="H944" s="8" t="s">
        <v>2307</v>
      </c>
      <c r="J944" s="622"/>
      <c r="K944" s="623"/>
      <c r="L944" s="10"/>
      <c r="O944" s="136">
        <f>ROW()</f>
        <v>944</v>
      </c>
      <c r="P944" s="309"/>
      <c r="Y944" s="309"/>
      <c r="AH944" s="309"/>
      <c r="AQ944" s="309"/>
      <c r="AZ944" s="309"/>
      <c r="BI944" s="309"/>
    </row>
    <row r="945" spans="1:61" ht="13.2" customHeight="1">
      <c r="B945" s="281" t="s">
        <v>2308</v>
      </c>
      <c r="J945" s="622"/>
      <c r="K945" s="624"/>
      <c r="L945" s="10"/>
      <c r="O945" s="136">
        <f>ROW()</f>
        <v>945</v>
      </c>
      <c r="P945" s="309"/>
      <c r="Y945" s="309"/>
      <c r="AH945" s="309"/>
      <c r="AQ945" s="309"/>
      <c r="AZ945" s="309"/>
      <c r="BI945" s="309"/>
    </row>
    <row r="946" spans="1:61" ht="13.2" customHeight="1">
      <c r="A946" s="1122"/>
      <c r="B946" s="214" t="s">
        <v>2491</v>
      </c>
      <c r="G946" s="1"/>
      <c r="H946" s="10">
        <f>N147</f>
        <v>3169918.1098901094</v>
      </c>
      <c r="J946" s="622"/>
      <c r="K946" s="623"/>
      <c r="L946" s="10"/>
      <c r="O946" s="136">
        <f>ROW()</f>
        <v>946</v>
      </c>
      <c r="P946" s="309"/>
      <c r="Y946" s="309"/>
      <c r="AH946" s="309"/>
      <c r="AQ946" s="309"/>
      <c r="AZ946" s="309"/>
      <c r="BI946" s="309"/>
    </row>
    <row r="947" spans="1:61" ht="13.2" customHeight="1">
      <c r="B947" s="214" t="s">
        <v>2492</v>
      </c>
      <c r="D947" s="625"/>
      <c r="G947" s="1"/>
      <c r="H947" s="10">
        <f ca="1">N883</f>
        <v>2947646.5232371213</v>
      </c>
      <c r="J947" s="622"/>
      <c r="K947" s="624"/>
      <c r="L947" s="10"/>
      <c r="O947" s="136">
        <f>ROW()</f>
        <v>947</v>
      </c>
      <c r="P947" s="309"/>
      <c r="Y947" s="309"/>
      <c r="AH947" s="309"/>
      <c r="AQ947" s="309"/>
      <c r="AZ947" s="309"/>
      <c r="BI947" s="309"/>
    </row>
    <row r="948" spans="1:61" ht="13.2" customHeight="1">
      <c r="B948" s="214" t="s">
        <v>2303</v>
      </c>
      <c r="G948" s="636"/>
      <c r="H948" s="636">
        <f ca="1">H947/H946</f>
        <v>0.92988096886178129</v>
      </c>
      <c r="J948" s="622"/>
      <c r="K948" s="623"/>
      <c r="L948" s="10"/>
      <c r="O948" s="136">
        <f>ROW()</f>
        <v>948</v>
      </c>
      <c r="P948" s="309"/>
      <c r="Y948" s="309"/>
      <c r="AH948" s="309"/>
      <c r="AQ948" s="309"/>
      <c r="AZ948" s="309"/>
      <c r="BI948" s="309"/>
    </row>
    <row r="949" spans="1:61" ht="13.2" customHeight="1">
      <c r="B949" s="281" t="s">
        <v>2309</v>
      </c>
      <c r="O949" s="136">
        <f>ROW()</f>
        <v>949</v>
      </c>
      <c r="P949" s="309"/>
      <c r="Y949" s="309"/>
      <c r="AH949" s="309"/>
      <c r="AQ949" s="309"/>
      <c r="AZ949" s="309"/>
      <c r="BI949" s="309"/>
    </row>
    <row r="950" spans="1:61" ht="13.2" customHeight="1">
      <c r="B950" s="214" t="s">
        <v>2491</v>
      </c>
      <c r="H950" s="10">
        <f>N158</f>
        <v>20366830.067346875</v>
      </c>
      <c r="O950" s="136">
        <f>ROW()</f>
        <v>950</v>
      </c>
      <c r="P950" s="309"/>
      <c r="Y950" s="309"/>
      <c r="AH950" s="309"/>
      <c r="AQ950" s="309"/>
      <c r="AZ950" s="309"/>
      <c r="BI950" s="309"/>
    </row>
    <row r="951" spans="1:61" ht="13.2" customHeight="1">
      <c r="B951" s="214" t="s">
        <v>2492</v>
      </c>
      <c r="H951" s="10">
        <f ca="1">N904</f>
        <v>16789912.594326217</v>
      </c>
      <c r="O951" s="136">
        <f>ROW()</f>
        <v>951</v>
      </c>
      <c r="P951" s="309"/>
      <c r="Y951" s="309"/>
      <c r="AH951" s="309"/>
      <c r="AQ951" s="309"/>
      <c r="AZ951" s="309"/>
      <c r="BI951" s="309"/>
    </row>
    <row r="952" spans="1:61" ht="13.2" customHeight="1">
      <c r="B952" s="214" t="s">
        <v>2303</v>
      </c>
      <c r="H952" s="636">
        <f ca="1">H951/H950</f>
        <v>0.82437534652212019</v>
      </c>
      <c r="O952" s="136">
        <f>ROW()</f>
        <v>952</v>
      </c>
      <c r="P952" s="309"/>
      <c r="Y952" s="309"/>
      <c r="AH952" s="309"/>
      <c r="AQ952" s="309"/>
      <c r="AZ952" s="309"/>
      <c r="BI952" s="309"/>
    </row>
    <row r="953" spans="1:61" ht="13.2" customHeight="1">
      <c r="B953" s="214"/>
      <c r="H953" s="636"/>
      <c r="O953" s="136">
        <f>ROW()</f>
        <v>953</v>
      </c>
      <c r="P953" s="309"/>
      <c r="Y953" s="309"/>
      <c r="AH953" s="309"/>
      <c r="AQ953" s="309"/>
      <c r="AZ953" s="309"/>
      <c r="BI953" s="309"/>
    </row>
    <row r="954" spans="1:61" ht="13.2" customHeight="1">
      <c r="B954" s="214"/>
      <c r="H954" s="636"/>
      <c r="O954" s="136">
        <f>ROW()</f>
        <v>954</v>
      </c>
      <c r="P954" s="309"/>
      <c r="Y954" s="309"/>
      <c r="AH954" s="309"/>
      <c r="AQ954" s="309"/>
      <c r="AZ954" s="309"/>
      <c r="BI954" s="309"/>
    </row>
    <row r="955" spans="1:61" ht="13.2" customHeight="1">
      <c r="B955" s="214"/>
      <c r="O955" s="136">
        <f>ROW()</f>
        <v>955</v>
      </c>
      <c r="P955" s="309"/>
      <c r="Y955" s="309"/>
      <c r="AH955" s="309"/>
      <c r="AQ955" s="309"/>
      <c r="AZ955" s="309"/>
      <c r="BI955" s="309"/>
    </row>
    <row r="956" spans="1:61" ht="13.2" customHeight="1">
      <c r="B956" s="214"/>
      <c r="G956" s="948" t="s">
        <v>1472</v>
      </c>
      <c r="H956" s="948" t="s">
        <v>985</v>
      </c>
      <c r="I956" s="948" t="s">
        <v>987</v>
      </c>
      <c r="J956" s="948" t="s">
        <v>1367</v>
      </c>
      <c r="K956" s="948" t="s">
        <v>988</v>
      </c>
      <c r="L956" s="948" t="s">
        <v>986</v>
      </c>
      <c r="M956" s="948" t="s">
        <v>1638</v>
      </c>
      <c r="N956" s="948" t="s">
        <v>2684</v>
      </c>
      <c r="O956" s="136">
        <f>ROW()</f>
        <v>956</v>
      </c>
      <c r="P956" s="309"/>
      <c r="Y956" s="309"/>
      <c r="AH956" s="309"/>
      <c r="AQ956" s="309"/>
      <c r="AZ956" s="309"/>
      <c r="BI956" s="309"/>
    </row>
    <row r="957" spans="1:61" ht="13.2" customHeight="1">
      <c r="B957" s="24" t="s">
        <v>5525</v>
      </c>
      <c r="G957" s="298" t="s">
        <v>1918</v>
      </c>
      <c r="H957" s="298" t="s">
        <v>1838</v>
      </c>
      <c r="I957" s="298" t="s">
        <v>1839</v>
      </c>
      <c r="J957" s="298" t="s">
        <v>1840</v>
      </c>
      <c r="K957" s="298" t="s">
        <v>1841</v>
      </c>
      <c r="L957" s="298" t="s">
        <v>1917</v>
      </c>
      <c r="M957" s="298"/>
      <c r="N957" s="298"/>
      <c r="O957" s="136">
        <f>ROW()</f>
        <v>957</v>
      </c>
      <c r="P957" s="309"/>
      <c r="Y957" s="309"/>
      <c r="AH957" s="309"/>
      <c r="AQ957" s="309"/>
      <c r="AZ957" s="309"/>
      <c r="BI957" s="309"/>
    </row>
    <row r="958" spans="1:61" ht="13.2" customHeight="1">
      <c r="B958" s="214"/>
      <c r="O958" s="136">
        <f>ROW()</f>
        <v>958</v>
      </c>
      <c r="P958" s="309"/>
      <c r="Y958" s="309"/>
      <c r="AH958" s="309"/>
      <c r="AQ958" s="309"/>
      <c r="AZ958" s="309"/>
      <c r="BI958" s="309"/>
    </row>
    <row r="959" spans="1:61" ht="13.2" customHeight="1">
      <c r="B959" s="968" t="s">
        <v>2906</v>
      </c>
      <c r="O959" s="136">
        <f>ROW()</f>
        <v>959</v>
      </c>
      <c r="P959" s="309"/>
      <c r="Y959" s="309"/>
      <c r="AH959" s="309"/>
      <c r="AQ959" s="309"/>
      <c r="AZ959" s="309"/>
      <c r="BI959" s="309"/>
    </row>
    <row r="960" spans="1:61" s="1122" customFormat="1" ht="13.2" customHeight="1">
      <c r="B960" s="1190" t="str">
        <f>CONCATENATE("Motor v. hrs spent in cordon, before (calculated in Row ",O190, ")")</f>
        <v>Motor v. hrs spent in cordon, before (calculated in Row 190)</v>
      </c>
      <c r="G960" s="1122">
        <f t="shared" ref="G960:L960" si="1831">G190</f>
        <v>49421.937732922459</v>
      </c>
      <c r="H960" s="1122">
        <f t="shared" si="1831"/>
        <v>19088.772555852971</v>
      </c>
      <c r="I960" s="1122">
        <f t="shared" si="1831"/>
        <v>74432.643210556475</v>
      </c>
      <c r="J960" s="1122">
        <f t="shared" si="1831"/>
        <v>54115.652459925266</v>
      </c>
      <c r="K960" s="1122">
        <f t="shared" si="1831"/>
        <v>26248.587026322533</v>
      </c>
      <c r="L960" s="1122">
        <f t="shared" si="1831"/>
        <v>19977.041394147356</v>
      </c>
      <c r="N960" s="1122">
        <f>N190</f>
        <v>243284.63437972707</v>
      </c>
      <c r="O960" s="136">
        <f>ROW()</f>
        <v>960</v>
      </c>
      <c r="P960" s="1126"/>
      <c r="Y960" s="1126"/>
      <c r="AH960" s="1126"/>
      <c r="AQ960" s="1126"/>
      <c r="AZ960" s="1126"/>
      <c r="BI960" s="1126"/>
    </row>
    <row r="961" spans="2:61" s="1122" customFormat="1" ht="13.2" customHeight="1">
      <c r="B961" s="1190" t="str">
        <f>CONCATENATE("Above, normalized to reflect VMT change (via factor in Row ",O884,")")</f>
        <v>Above, normalized to reflect VMT change (via factor in Row 884)</v>
      </c>
      <c r="G961" s="1133">
        <f t="shared" ref="G961:L961" ca="1" si="1832">G884*G960</f>
        <v>45679.96230766298</v>
      </c>
      <c r="H961" s="1133">
        <f t="shared" ca="1" si="1832"/>
        <v>17761.791680304341</v>
      </c>
      <c r="I961" s="1133">
        <f t="shared" ca="1" si="1832"/>
        <v>69815.220347769835</v>
      </c>
      <c r="J961" s="1133">
        <f t="shared" ca="1" si="1832"/>
        <v>51092.718883513604</v>
      </c>
      <c r="K961" s="1133">
        <f t="shared" ca="1" si="1832"/>
        <v>24374.577641831456</v>
      </c>
      <c r="L961" s="1133">
        <f t="shared" ca="1" si="1832"/>
        <v>17983.133978486017</v>
      </c>
      <c r="M961" s="1133"/>
      <c r="N961" s="1122">
        <f ca="1">SUM(G961:M961)</f>
        <v>226707.40483956825</v>
      </c>
      <c r="O961" s="136">
        <f>ROW()</f>
        <v>961</v>
      </c>
      <c r="P961" s="1126"/>
      <c r="Y961" s="1126"/>
      <c r="AH961" s="1126"/>
      <c r="AQ961" s="1126"/>
      <c r="AZ961" s="1126"/>
      <c r="BI961" s="1126"/>
    </row>
    <row r="962" spans="2:61" s="1122" customFormat="1" ht="13.2" customHeight="1">
      <c r="B962" s="1190" t="str">
        <f>CONCATENATE("M.V. hours in cordon, after (Row ",O883, " fig. divided by Row ",O919, " fig.)")</f>
        <v>M.V. hours in cordon, after (Row 883 fig. divided by Row 919 fig.)</v>
      </c>
      <c r="G962" s="1122">
        <f t="shared" ref="G962:L962" ca="1" si="1833">G883/G919</f>
        <v>44307.299683197285</v>
      </c>
      <c r="H962" s="1122">
        <f t="shared" ca="1" si="1833"/>
        <v>16238.191387040068</v>
      </c>
      <c r="I962" s="1122">
        <f t="shared" ca="1" si="1833"/>
        <v>61885.279788128762</v>
      </c>
      <c r="J962" s="1122">
        <f t="shared" ca="1" si="1833"/>
        <v>45178.143369461613</v>
      </c>
      <c r="K962" s="1122">
        <f t="shared" ca="1" si="1833"/>
        <v>21501.869952967656</v>
      </c>
      <c r="L962" s="1122">
        <f t="shared" ca="1" si="1833"/>
        <v>15761.448829299112</v>
      </c>
      <c r="N962" s="1122">
        <f ca="1">SUM(G962:M962)</f>
        <v>204872.2330100945</v>
      </c>
      <c r="O962" s="136">
        <f>ROW()</f>
        <v>962</v>
      </c>
      <c r="P962" s="1126"/>
      <c r="Y962" s="1126"/>
      <c r="AH962" s="1126"/>
      <c r="AQ962" s="1126"/>
      <c r="AZ962" s="1126"/>
      <c r="BI962" s="1126"/>
    </row>
    <row r="963" spans="2:61" s="1122" customFormat="1" ht="13.2" customHeight="1">
      <c r="B963" s="1190" t="str">
        <f>CONCATENATE("Saved m.v. hours in cordon (Row ",O960, " less Row ",O961,")")</f>
        <v>Saved m.v. hours in cordon (Row 960 less Row 961)</v>
      </c>
      <c r="G963" s="1122">
        <f t="shared" ref="G963:L963" ca="1" si="1834">G961-G962</f>
        <v>1372.6626244656945</v>
      </c>
      <c r="H963" s="1122">
        <f t="shared" ca="1" si="1834"/>
        <v>1523.6002932642732</v>
      </c>
      <c r="I963" s="1122">
        <f t="shared" ca="1" si="1834"/>
        <v>7929.9405596410725</v>
      </c>
      <c r="J963" s="1122">
        <f t="shared" ca="1" si="1834"/>
        <v>5914.5755140519905</v>
      </c>
      <c r="K963" s="1122">
        <f t="shared" ca="1" si="1834"/>
        <v>2872.7076888638003</v>
      </c>
      <c r="L963" s="1122">
        <f t="shared" ca="1" si="1834"/>
        <v>2221.6851491869056</v>
      </c>
      <c r="N963" s="1127">
        <f ca="1">SUM(G963:M963)</f>
        <v>21835.171829473737</v>
      </c>
      <c r="O963" s="136">
        <f>ROW()</f>
        <v>963</v>
      </c>
      <c r="P963" s="1126"/>
      <c r="Y963" s="1126"/>
      <c r="AH963" s="1126"/>
      <c r="AQ963" s="1126"/>
      <c r="AZ963" s="1126"/>
      <c r="BI963" s="1126"/>
    </row>
    <row r="964" spans="2:61" ht="13.2" customHeight="1">
      <c r="B964" s="281"/>
      <c r="O964" s="136">
        <f>ROW()</f>
        <v>964</v>
      </c>
      <c r="P964" s="309"/>
      <c r="Y964" s="309"/>
      <c r="AH964" s="309"/>
      <c r="AQ964" s="309"/>
      <c r="AZ964" s="309"/>
      <c r="BI964" s="309"/>
    </row>
    <row r="965" spans="2:61" ht="13.2" customHeight="1">
      <c r="B965" s="968" t="s">
        <v>2573</v>
      </c>
      <c r="O965" s="136">
        <f>ROW()</f>
        <v>965</v>
      </c>
      <c r="P965" s="309"/>
      <c r="Y965" s="309"/>
      <c r="AH965" s="309"/>
      <c r="AQ965" s="309"/>
      <c r="AZ965" s="309"/>
      <c r="BI965" s="309"/>
    </row>
    <row r="966" spans="2:61" s="1122" customFormat="1" ht="13.2" customHeight="1">
      <c r="B966" s="281" t="str">
        <f>CONCATENATE("Motor v. hrs outside cordon, before (Row ",O167, " div by Row ",O200, ")")</f>
        <v>Motor v. hrs outside cordon, before (Row 167 div by Row 200)</v>
      </c>
      <c r="G966" s="1122">
        <f t="shared" ref="G966:L966" si="1835">G167/G200</f>
        <v>298178.72583384137</v>
      </c>
      <c r="H966" s="1122">
        <f t="shared" si="1835"/>
        <v>177755.68386963112</v>
      </c>
      <c r="I966" s="1122">
        <f t="shared" si="1835"/>
        <v>713517.61893712031</v>
      </c>
      <c r="J966" s="1122">
        <f t="shared" si="1835"/>
        <v>504723.21473134006</v>
      </c>
      <c r="K966" s="1122">
        <f t="shared" si="1835"/>
        <v>230930.32330323366</v>
      </c>
      <c r="L966" s="1122">
        <f t="shared" si="1835"/>
        <v>167106.63709901768</v>
      </c>
      <c r="N966" s="1122">
        <f>SUM(G966:M966)</f>
        <v>2092212.2037741842</v>
      </c>
      <c r="O966" s="136">
        <f>ROW()</f>
        <v>966</v>
      </c>
      <c r="P966" s="1126"/>
      <c r="Y966" s="1126"/>
      <c r="AH966" s="1126"/>
      <c r="AQ966" s="1126"/>
      <c r="AZ966" s="1126"/>
      <c r="BI966" s="1126"/>
    </row>
    <row r="967" spans="2:61" s="1122" customFormat="1" ht="13.2" customHeight="1">
      <c r="B967" s="281" t="str">
        <f>CONCATENATE("Above, normalized to reflect VMT change (via factor in Row ",O913,")")</f>
        <v>Above, normalized to reflect VMT change (via factor in Row 913)</v>
      </c>
      <c r="G967" s="1122">
        <f t="shared" ref="G967:L967" ca="1" si="1836">G913*G966</f>
        <v>277153.76193060679</v>
      </c>
      <c r="H967" s="1122">
        <f t="shared" ca="1" si="1836"/>
        <v>172088.00725805465</v>
      </c>
      <c r="I967" s="1122">
        <f t="shared" ca="1" si="1836"/>
        <v>695441.97477666615</v>
      </c>
      <c r="J967" s="1122">
        <f t="shared" ca="1" si="1836"/>
        <v>493500.13473204506</v>
      </c>
      <c r="K967" s="1122">
        <f t="shared" ca="1" si="1836"/>
        <v>223332.91185733932</v>
      </c>
      <c r="L967" s="1122">
        <f t="shared" ca="1" si="1836"/>
        <v>159948.81323301548</v>
      </c>
      <c r="N967" s="1122">
        <f ca="1">SUM(G967:M967)</f>
        <v>2021465.6037877277</v>
      </c>
      <c r="O967" s="136">
        <f>ROW()</f>
        <v>967</v>
      </c>
      <c r="P967" s="1126"/>
      <c r="Y967" s="1126"/>
      <c r="AH967" s="1126"/>
      <c r="AQ967" s="1126"/>
      <c r="AZ967" s="1126"/>
      <c r="BI967" s="1126"/>
    </row>
    <row r="968" spans="2:61" s="1122" customFormat="1" ht="13.2" customHeight="1">
      <c r="B968" s="281" t="str">
        <f>CONCATENATE("M.V. hrs outside cordon, after (Row ",O908, " fig. div. by Row ",O922, " fig.)")</f>
        <v>M.V. hrs outside cordon, after (Row 908 fig. div. by Row 922 fig.)</v>
      </c>
      <c r="G968" s="1122">
        <f t="shared" ref="G968:L968" ca="1" si="1837">G908/G922</f>
        <v>274141.88848105434</v>
      </c>
      <c r="H968" s="1122">
        <f t="shared" ca="1" si="1837"/>
        <v>164180.0738099693</v>
      </c>
      <c r="I968" s="1122">
        <f t="shared" ca="1" si="1837"/>
        <v>665018.18632720783</v>
      </c>
      <c r="J968" s="1122">
        <f t="shared" ca="1" si="1837"/>
        <v>473397.21768538392</v>
      </c>
      <c r="K968" s="1122">
        <f t="shared" ca="1" si="1837"/>
        <v>211657.60101837409</v>
      </c>
      <c r="L968" s="1122">
        <f t="shared" ca="1" si="1837"/>
        <v>150399.88056508717</v>
      </c>
      <c r="N968" s="1122">
        <f ca="1">SUM(G968:M968)</f>
        <v>1938794.8478870767</v>
      </c>
      <c r="O968" s="136">
        <f>ROW()</f>
        <v>968</v>
      </c>
      <c r="P968" s="1126"/>
      <c r="Y968" s="1126"/>
      <c r="AH968" s="1126"/>
      <c r="AQ968" s="1126"/>
      <c r="AZ968" s="1126"/>
      <c r="BI968" s="1126"/>
    </row>
    <row r="969" spans="2:61" s="1122" customFormat="1" ht="13.2" customHeight="1">
      <c r="B969" s="281" t="str">
        <f>CONCATENATE("Saved m.v. hours outside cordon (Row ",O967, " less Row ",O968,")")</f>
        <v>Saved m.v. hours outside cordon (Row 967 less Row 968)</v>
      </c>
      <c r="G969" s="1122">
        <f t="shared" ref="G969:L969" ca="1" si="1838">G967-G968</f>
        <v>3011.873449552455</v>
      </c>
      <c r="H969" s="1122">
        <f t="shared" ca="1" si="1838"/>
        <v>7907.9334480853577</v>
      </c>
      <c r="I969" s="1122">
        <f t="shared" ca="1" si="1838"/>
        <v>30423.788449458312</v>
      </c>
      <c r="J969" s="1122">
        <f t="shared" ca="1" si="1838"/>
        <v>20102.917046661139</v>
      </c>
      <c r="K969" s="1122">
        <f t="shared" ca="1" si="1838"/>
        <v>11675.310838965233</v>
      </c>
      <c r="L969" s="1122">
        <f t="shared" ca="1" si="1838"/>
        <v>9548.9326679283113</v>
      </c>
      <c r="N969" s="1127">
        <f ca="1">SUM(G969:M969)</f>
        <v>82670.755900650809</v>
      </c>
      <c r="O969" s="136">
        <f>ROW()</f>
        <v>969</v>
      </c>
      <c r="P969" s="1126"/>
      <c r="Y969" s="1126"/>
      <c r="AH969" s="1126"/>
      <c r="AQ969" s="1126"/>
      <c r="AZ969" s="1126"/>
      <c r="BI969" s="1126"/>
    </row>
    <row r="970" spans="2:61" ht="13.2" customHeight="1">
      <c r="B970" s="281" t="str">
        <f>CONCATENATE("% time saving (Row ",O969, " divided by Row ",O967, ").")</f>
        <v>% time saving (Row 969 divided by Row 967).</v>
      </c>
      <c r="G970" s="39">
        <f t="shared" ref="G970:N970" ca="1" si="1839">G969/G967</f>
        <v>1.0867157019887616E-2</v>
      </c>
      <c r="H970" s="39">
        <f t="shared" ca="1" si="1839"/>
        <v>4.5952844559510833E-2</v>
      </c>
      <c r="I970" s="576">
        <f t="shared" ca="1" si="1839"/>
        <v>4.374741466997098E-2</v>
      </c>
      <c r="J970" s="39">
        <f t="shared" ca="1" si="1839"/>
        <v>4.07353830968585E-2</v>
      </c>
      <c r="K970" s="39">
        <f t="shared" ca="1" si="1839"/>
        <v>5.2277609877863382E-2</v>
      </c>
      <c r="L970" s="39">
        <f t="shared" ca="1" si="1839"/>
        <v>5.969992821401747E-2</v>
      </c>
      <c r="M970" s="39"/>
      <c r="N970" s="12">
        <f t="shared" ca="1" si="1839"/>
        <v>4.0896444513201818E-2</v>
      </c>
      <c r="O970" s="136">
        <f>ROW()</f>
        <v>970</v>
      </c>
      <c r="P970" s="309"/>
      <c r="Y970" s="309"/>
      <c r="AH970" s="309"/>
      <c r="AQ970" s="309"/>
      <c r="AZ970" s="309"/>
      <c r="BI970" s="309"/>
    </row>
    <row r="971" spans="2:61" s="1122" customFormat="1" ht="13.2" customHeight="1">
      <c r="B971" s="281" t="s">
        <v>1936</v>
      </c>
      <c r="G971" s="1122">
        <f t="shared" ref="G971:L971" ca="1" si="1840">G908/G922</f>
        <v>274141.88848105434</v>
      </c>
      <c r="H971" s="1122">
        <f t="shared" ca="1" si="1840"/>
        <v>164180.0738099693</v>
      </c>
      <c r="I971" s="1122">
        <f t="shared" ca="1" si="1840"/>
        <v>665018.18632720783</v>
      </c>
      <c r="J971" s="1122">
        <f t="shared" ca="1" si="1840"/>
        <v>473397.21768538392</v>
      </c>
      <c r="K971" s="1122">
        <f t="shared" ca="1" si="1840"/>
        <v>211657.60101837409</v>
      </c>
      <c r="L971" s="1122">
        <f t="shared" ca="1" si="1840"/>
        <v>150399.88056508717</v>
      </c>
      <c r="N971" s="1122">
        <f ca="1">SUM(G971:M971)</f>
        <v>1938794.8478870767</v>
      </c>
      <c r="O971" s="136">
        <f>ROW()</f>
        <v>971</v>
      </c>
      <c r="P971" s="1126"/>
      <c r="Y971" s="1126"/>
      <c r="AH971" s="1126"/>
      <c r="AQ971" s="1126"/>
      <c r="AZ971" s="1126"/>
      <c r="BI971" s="1126"/>
    </row>
    <row r="972" spans="2:61" s="1122" customFormat="1" ht="13.2" customHeight="1">
      <c r="B972" s="281" t="str">
        <f>CONCATENATE("Saved m.v. hours outside cordon (Row ",O967, " less Row ",O971,")")</f>
        <v>Saved m.v. hours outside cordon (Row 967 less Row 971)</v>
      </c>
      <c r="G972" s="1122">
        <f t="shared" ref="G972:L972" ca="1" si="1841">G967-G971</f>
        <v>3011.873449552455</v>
      </c>
      <c r="H972" s="1122">
        <f t="shared" ca="1" si="1841"/>
        <v>7907.9334480853577</v>
      </c>
      <c r="I972" s="1122">
        <f t="shared" ca="1" si="1841"/>
        <v>30423.788449458312</v>
      </c>
      <c r="J972" s="1122">
        <f t="shared" ca="1" si="1841"/>
        <v>20102.917046661139</v>
      </c>
      <c r="K972" s="1122">
        <f t="shared" ca="1" si="1841"/>
        <v>11675.310838965233</v>
      </c>
      <c r="L972" s="1122">
        <f t="shared" ca="1" si="1841"/>
        <v>9548.9326679283113</v>
      </c>
      <c r="N972" s="1127">
        <f ca="1">SUM(G972:M972)</f>
        <v>82670.755900650809</v>
      </c>
      <c r="O972" s="136">
        <f>ROW()</f>
        <v>972</v>
      </c>
      <c r="P972" s="1126"/>
      <c r="Y972" s="1126"/>
      <c r="AH972" s="1126"/>
      <c r="AQ972" s="1126"/>
      <c r="AZ972" s="1126"/>
      <c r="BI972" s="1126"/>
    </row>
    <row r="973" spans="2:61" ht="13.2" customHeight="1">
      <c r="B973" s="281"/>
      <c r="G973" s="39"/>
      <c r="H973" s="39"/>
      <c r="I973" s="576"/>
      <c r="J973" s="39"/>
      <c r="K973" s="39"/>
      <c r="L973" s="39"/>
      <c r="M973" s="39"/>
      <c r="N973" s="12"/>
      <c r="O973" s="136">
        <f>ROW()</f>
        <v>973</v>
      </c>
      <c r="P973" s="309"/>
      <c r="Y973" s="309"/>
      <c r="AH973" s="309"/>
      <c r="AQ973" s="309"/>
      <c r="AZ973" s="309"/>
      <c r="BI973" s="309"/>
    </row>
    <row r="974" spans="2:61" ht="13.2" customHeight="1">
      <c r="B974" s="281"/>
      <c r="O974" s="136">
        <f>ROW()</f>
        <v>974</v>
      </c>
      <c r="P974" s="309"/>
      <c r="Y974" s="309"/>
      <c r="AH974" s="309"/>
      <c r="AQ974" s="309"/>
      <c r="AZ974" s="309"/>
      <c r="BI974" s="309"/>
    </row>
    <row r="975" spans="2:61" ht="13.2" customHeight="1">
      <c r="B975" s="24" t="s">
        <v>1039</v>
      </c>
      <c r="O975" s="136">
        <f>ROW()</f>
        <v>975</v>
      </c>
    </row>
    <row r="976" spans="2:61" ht="13.2" customHeight="1">
      <c r="O976" s="136">
        <f>ROW()</f>
        <v>976</v>
      </c>
    </row>
    <row r="977" spans="2:68" ht="13.2" customHeight="1">
      <c r="B977" s="1" t="s">
        <v>2312</v>
      </c>
      <c r="G977" s="2452">
        <f t="shared" ref="G977:L977" ca="1" si="1842">P977+Y977+AH977+AQ977+AZ977+BI977</f>
        <v>108801.91046435013</v>
      </c>
      <c r="H977" s="2452">
        <f t="shared" ca="1" si="1842"/>
        <v>46462.87317630231</v>
      </c>
      <c r="I977" s="2452">
        <f t="shared" ca="1" si="1842"/>
        <v>151119.16384475183</v>
      </c>
      <c r="J977" s="2452">
        <f t="shared" ca="1" si="1842"/>
        <v>99626.237723664861</v>
      </c>
      <c r="K977" s="2452">
        <f t="shared" ca="1" si="1842"/>
        <v>54812.833570448624</v>
      </c>
      <c r="L977" s="2452">
        <f t="shared" ca="1" si="1842"/>
        <v>36562.935076575261</v>
      </c>
      <c r="M977" s="2452"/>
      <c r="N977" s="1122">
        <f ca="1">SUM(G977:M977)</f>
        <v>497385.95385609299</v>
      </c>
      <c r="O977" s="39">
        <f>ROW()</f>
        <v>977</v>
      </c>
      <c r="P977" s="2452">
        <f t="shared" ref="P977" ca="1" si="1843">P846</f>
        <v>24182.58297769797</v>
      </c>
      <c r="Q977" s="2452">
        <f t="shared" ref="Q977:U977" ca="1" si="1844">Q846</f>
        <v>9361.5925693195932</v>
      </c>
      <c r="R977" s="2452">
        <f t="shared" ca="1" si="1844"/>
        <v>25083.893993631493</v>
      </c>
      <c r="S977" s="2452">
        <f t="shared" ca="1" si="1844"/>
        <v>9863.8195491273673</v>
      </c>
      <c r="T977" s="2452">
        <f t="shared" ca="1" si="1844"/>
        <v>8991.0306274127797</v>
      </c>
      <c r="U977" s="2452">
        <f t="shared" ca="1" si="1844"/>
        <v>4813.1389901466509</v>
      </c>
      <c r="V977" s="618"/>
      <c r="W977" s="342">
        <f ca="1">SUM(P977:V977)</f>
        <v>82296.058707335847</v>
      </c>
      <c r="Y977" s="2452">
        <f t="shared" ref="Y977:AD977" ca="1" si="1845">Y846</f>
        <v>36332.157130066858</v>
      </c>
      <c r="Z977" s="2452">
        <f t="shared" ca="1" si="1845"/>
        <v>17701.04360184594</v>
      </c>
      <c r="AA977" s="2452">
        <f t="shared" ca="1" si="1845"/>
        <v>73049.542346249946</v>
      </c>
      <c r="AB977" s="2452">
        <f t="shared" ca="1" si="1845"/>
        <v>57309.697292914992</v>
      </c>
      <c r="AC977" s="2452">
        <f t="shared" ca="1" si="1845"/>
        <v>26552.019436146762</v>
      </c>
      <c r="AD977" s="2452">
        <f t="shared" ca="1" si="1845"/>
        <v>17711.668978905156</v>
      </c>
      <c r="AE977" s="618"/>
      <c r="AF977" s="342">
        <f ca="1">SUM(Y977:AE977)</f>
        <v>228656.12878612967</v>
      </c>
      <c r="AH977" s="2452">
        <f t="shared" ref="AH977:AM977" ca="1" si="1846">AH846</f>
        <v>28015.826457873656</v>
      </c>
      <c r="AI977" s="2452">
        <f t="shared" ca="1" si="1846"/>
        <v>11164.702450566767</v>
      </c>
      <c r="AJ977" s="2452">
        <f t="shared" ca="1" si="1846"/>
        <v>26739.004430237943</v>
      </c>
      <c r="AK977" s="2452">
        <f t="shared" ca="1" si="1846"/>
        <v>15510.855320638842</v>
      </c>
      <c r="AL977" s="2452">
        <f t="shared" ca="1" si="1846"/>
        <v>9214.5706714729986</v>
      </c>
      <c r="AM977" s="2452">
        <f t="shared" ca="1" si="1846"/>
        <v>6270.6818520079496</v>
      </c>
      <c r="AN977" s="618"/>
      <c r="AO977" s="342">
        <f ca="1">SUM(AH977:AN977)</f>
        <v>96915.641182798165</v>
      </c>
      <c r="AQ977" s="618">
        <f t="shared" ref="AQ977:AV977" ca="1" si="1847">AQ846</f>
        <v>16063.417052874969</v>
      </c>
      <c r="AR977" s="618">
        <f t="shared" ca="1" si="1847"/>
        <v>6580.3039547416147</v>
      </c>
      <c r="AS977" s="618">
        <f t="shared" ca="1" si="1847"/>
        <v>21013.495952133315</v>
      </c>
      <c r="AT977" s="618">
        <f t="shared" ca="1" si="1847"/>
        <v>13564.375536569334</v>
      </c>
      <c r="AU977" s="618">
        <f t="shared" ca="1" si="1847"/>
        <v>8063.8623615436009</v>
      </c>
      <c r="AV977" s="618">
        <f t="shared" ca="1" si="1847"/>
        <v>6227.2646854543091</v>
      </c>
      <c r="AW977" s="618"/>
      <c r="AX977" s="342">
        <f ca="1">SUM(AQ977:AW977)</f>
        <v>71512.719543317144</v>
      </c>
      <c r="AZ977" s="2452">
        <f t="shared" ref="AZ977:BE977" ca="1" si="1848">AZ846</f>
        <v>2865.4740394060145</v>
      </c>
      <c r="BA977" s="2452">
        <f t="shared" ca="1" si="1848"/>
        <v>1128.5607555675006</v>
      </c>
      <c r="BB977" s="2452">
        <f t="shared" ca="1" si="1848"/>
        <v>3571.8975634224557</v>
      </c>
      <c r="BC977" s="2452">
        <f t="shared" ca="1" si="1848"/>
        <v>2306.1473100662333</v>
      </c>
      <c r="BD977" s="2452">
        <f t="shared" ca="1" si="1848"/>
        <v>1358.3825176170526</v>
      </c>
      <c r="BE977" s="2452">
        <f t="shared" ca="1" si="1848"/>
        <v>1050.1057072114734</v>
      </c>
      <c r="BF977" s="618"/>
      <c r="BG977" s="342">
        <f ca="1">SUM(AZ977:BF977)</f>
        <v>12280.567893290729</v>
      </c>
      <c r="BI977" s="2452">
        <f t="shared" ref="BI977:BN977" ca="1" si="1849">BI846</f>
        <v>1342.452806430666</v>
      </c>
      <c r="BJ977" s="2452">
        <f t="shared" ca="1" si="1849"/>
        <v>526.66984426089994</v>
      </c>
      <c r="BK977" s="2452">
        <f t="shared" ca="1" si="1849"/>
        <v>1661.3295590767016</v>
      </c>
      <c r="BL977" s="2452">
        <f t="shared" ca="1" si="1849"/>
        <v>1071.3427143480965</v>
      </c>
      <c r="BM977" s="2452">
        <f t="shared" ca="1" si="1849"/>
        <v>632.96795625543598</v>
      </c>
      <c r="BN977" s="2452">
        <f t="shared" ca="1" si="1849"/>
        <v>490.07486284972128</v>
      </c>
      <c r="BO977" s="618"/>
      <c r="BP977" s="342">
        <f ca="1">SUM(BI977:BO977)</f>
        <v>5724.8377432215211</v>
      </c>
    </row>
    <row r="978" spans="2:68" ht="13.2" customHeight="1">
      <c r="B978" s="215" t="str">
        <f>CONCATENATE("Copied from Row ",O846, ".")</f>
        <v>Copied from Row 846.</v>
      </c>
      <c r="N978" s="618"/>
      <c r="O978" s="39">
        <f>ROW()</f>
        <v>978</v>
      </c>
      <c r="P978" s="619">
        <f t="shared" ref="P978:U978" si="1850">P293</f>
        <v>6.2660972780297861</v>
      </c>
      <c r="Q978" s="619">
        <f t="shared" si="1850"/>
        <v>6.2660972780297861</v>
      </c>
      <c r="R978" s="619">
        <f t="shared" si="1850"/>
        <v>6.4591976796691339</v>
      </c>
      <c r="S978" s="619">
        <f t="shared" si="1850"/>
        <v>6.2660972780297861</v>
      </c>
      <c r="T978" s="619">
        <f t="shared" si="1850"/>
        <v>6.2660972780297861</v>
      </c>
      <c r="U978" s="619">
        <f t="shared" si="1850"/>
        <v>6.3626474788494605</v>
      </c>
      <c r="V978" s="619"/>
      <c r="Y978" s="619">
        <f t="shared" ref="Y978:AD978" si="1851">Y293</f>
        <v>6.2660972780297861</v>
      </c>
      <c r="Z978" s="619">
        <f t="shared" si="1851"/>
        <v>6.2660972780297861</v>
      </c>
      <c r="AA978" s="619">
        <f t="shared" si="1851"/>
        <v>6.4591976796691339</v>
      </c>
      <c r="AB978" s="619">
        <f t="shared" si="1851"/>
        <v>6.2660972780297861</v>
      </c>
      <c r="AC978" s="619">
        <f t="shared" si="1851"/>
        <v>6.2660972780297861</v>
      </c>
      <c r="AD978" s="619">
        <f t="shared" si="1851"/>
        <v>6.3626474788494605</v>
      </c>
      <c r="AE978" s="619"/>
      <c r="AH978" s="619">
        <f t="shared" ref="AH978:AM978" si="1852">AH293</f>
        <v>10.652365372650639</v>
      </c>
      <c r="AI978" s="619">
        <f t="shared" si="1852"/>
        <v>10.652365372650639</v>
      </c>
      <c r="AJ978" s="619">
        <f t="shared" si="1852"/>
        <v>10.980636055437529</v>
      </c>
      <c r="AK978" s="619">
        <f t="shared" si="1852"/>
        <v>10.652365372650639</v>
      </c>
      <c r="AL978" s="619">
        <f t="shared" si="1852"/>
        <v>10.652365372650639</v>
      </c>
      <c r="AM978" s="619">
        <f t="shared" si="1852"/>
        <v>10.816500714044084</v>
      </c>
      <c r="AN978" s="619"/>
      <c r="AQ978" s="619">
        <f t="shared" ref="AQ978:AV978" si="1853">AQ293</f>
        <v>0</v>
      </c>
      <c r="AR978" s="619">
        <f t="shared" si="1853"/>
        <v>0</v>
      </c>
      <c r="AS978" s="619">
        <f t="shared" si="1853"/>
        <v>0</v>
      </c>
      <c r="AT978" s="619">
        <f t="shared" si="1853"/>
        <v>0</v>
      </c>
      <c r="AU978" s="619">
        <f t="shared" si="1853"/>
        <v>0</v>
      </c>
      <c r="AV978" s="619">
        <f t="shared" si="1853"/>
        <v>0</v>
      </c>
      <c r="AW978" s="619"/>
      <c r="AZ978" s="619">
        <f t="shared" ref="AZ978:BE978" si="1854">AZ293</f>
        <v>12.637957717822388</v>
      </c>
      <c r="BA978" s="619">
        <f t="shared" si="1854"/>
        <v>12.637957717822388</v>
      </c>
      <c r="BB978" s="619">
        <f t="shared" si="1854"/>
        <v>13.024158521101084</v>
      </c>
      <c r="BC978" s="619">
        <f t="shared" si="1854"/>
        <v>12.637957717822388</v>
      </c>
      <c r="BD978" s="619">
        <f t="shared" si="1854"/>
        <v>12.637957717822388</v>
      </c>
      <c r="BE978" s="619">
        <f t="shared" si="1854"/>
        <v>12.831058119461737</v>
      </c>
      <c r="BF978" s="619"/>
      <c r="BI978" s="619">
        <f t="shared" ref="BI978:BN978" si="1855">BI293</f>
        <v>11.672059488164363</v>
      </c>
      <c r="BJ978" s="619">
        <f t="shared" si="1855"/>
        <v>11.672059488164363</v>
      </c>
      <c r="BK978" s="619">
        <f t="shared" si="1855"/>
        <v>12.058260291443059</v>
      </c>
      <c r="BL978" s="619">
        <f t="shared" si="1855"/>
        <v>11.672059488164363</v>
      </c>
      <c r="BM978" s="619">
        <f t="shared" si="1855"/>
        <v>11.672059488164363</v>
      </c>
      <c r="BN978" s="619">
        <f t="shared" si="1855"/>
        <v>11.86515988980371</v>
      </c>
      <c r="BO978" s="619"/>
    </row>
    <row r="979" spans="2:68" ht="13.2" customHeight="1">
      <c r="B979" s="281" t="s">
        <v>4359</v>
      </c>
      <c r="G979" s="2452">
        <f t="shared" ref="G979:L979" ca="1" si="1856">P979+Y979+AH979+AQ979+AZ979+BI979</f>
        <v>3067.0478064081503</v>
      </c>
      <c r="H979" s="2452">
        <f t="shared" ca="1" si="1856"/>
        <v>1190.3389322135986</v>
      </c>
      <c r="I979" s="2452">
        <f t="shared" ca="1" si="1856"/>
        <v>3742.1408822603903</v>
      </c>
      <c r="J979" s="2452">
        <f t="shared" ca="1" si="1856"/>
        <v>2412.4532389186224</v>
      </c>
      <c r="K979" s="2452">
        <f t="shared" ca="1" si="1856"/>
        <v>1424.2202712371982</v>
      </c>
      <c r="L979" s="2452">
        <f t="shared" ca="1" si="1856"/>
        <v>1102.2155356287055</v>
      </c>
      <c r="M979" s="2452"/>
      <c r="N979" s="1122">
        <f ca="1">SUM(G979:M979)</f>
        <v>12938.416666666666</v>
      </c>
      <c r="O979" s="39">
        <f>ROW()</f>
        <v>979</v>
      </c>
      <c r="P979" s="2452">
        <f t="shared" ref="P979:U979" si="1857">$K$319*P122</f>
        <v>713.05330231221626</v>
      </c>
      <c r="Q979" s="2452">
        <f t="shared" si="1857"/>
        <v>255.42542535969687</v>
      </c>
      <c r="R979" s="2452">
        <f t="shared" si="1857"/>
        <v>668.94024715768057</v>
      </c>
      <c r="S979" s="2452">
        <f t="shared" si="1857"/>
        <v>258.73431378812978</v>
      </c>
      <c r="T979" s="2452">
        <f t="shared" si="1857"/>
        <v>254.59176717924993</v>
      </c>
      <c r="U979" s="2452">
        <f t="shared" si="1857"/>
        <v>157.62994420302627</v>
      </c>
      <c r="V979" s="620"/>
      <c r="W979" s="342">
        <f>SUM(P979:V979)</f>
        <v>2308.3749999999995</v>
      </c>
      <c r="Y979" s="2452">
        <f t="shared" ref="Y979:AD979" si="1858">$K$319*Y122</f>
        <v>1248.4311426913455</v>
      </c>
      <c r="Z979" s="2452">
        <f t="shared" si="1858"/>
        <v>535.63014260957095</v>
      </c>
      <c r="AA979" s="2452">
        <f t="shared" si="1858"/>
        <v>2098.8256265049536</v>
      </c>
      <c r="AB979" s="2452">
        <f t="shared" si="1858"/>
        <v>1585.8648163141077</v>
      </c>
      <c r="AC979" s="2452">
        <f t="shared" si="1858"/>
        <v>798.79141301994127</v>
      </c>
      <c r="AD979" s="2452">
        <f t="shared" si="1858"/>
        <v>657.58185886007902</v>
      </c>
      <c r="AE979" s="620"/>
      <c r="AF979" s="342">
        <f>SUM(Y979:AE979)</f>
        <v>6925.1249999999982</v>
      </c>
      <c r="AH979" s="2452">
        <f t="shared" ref="AH979:AM979" si="1859">$K$319*AH122</f>
        <v>996.50626590428692</v>
      </c>
      <c r="AI979" s="2452">
        <f t="shared" si="1859"/>
        <v>356.96214577063461</v>
      </c>
      <c r="AJ979" s="2452">
        <f t="shared" si="1859"/>
        <v>841.37164933103725</v>
      </c>
      <c r="AK979" s="2452">
        <f t="shared" si="1859"/>
        <v>482.11517812810803</v>
      </c>
      <c r="AL979" s="2452">
        <f t="shared" si="1859"/>
        <v>320.21738259563398</v>
      </c>
      <c r="AM979" s="2452">
        <f t="shared" si="1859"/>
        <v>247.82737827029996</v>
      </c>
      <c r="AN979" s="620"/>
      <c r="AO979" s="342">
        <f>SUM(AH979:AN979)</f>
        <v>3245.0000000000005</v>
      </c>
      <c r="AQ979" s="620">
        <f t="shared" ref="AQ979:AV979" ca="1" si="1860">AQ977*AQ978/1000</f>
        <v>0</v>
      </c>
      <c r="AR979" s="620">
        <f t="shared" ca="1" si="1860"/>
        <v>0</v>
      </c>
      <c r="AS979" s="620">
        <f t="shared" ca="1" si="1860"/>
        <v>0</v>
      </c>
      <c r="AT979" s="620">
        <f t="shared" ca="1" si="1860"/>
        <v>0</v>
      </c>
      <c r="AU979" s="620">
        <f t="shared" ca="1" si="1860"/>
        <v>0</v>
      </c>
      <c r="AV979" s="620">
        <f t="shared" ca="1" si="1860"/>
        <v>0</v>
      </c>
      <c r="AW979" s="620"/>
      <c r="AX979" s="620">
        <f ca="1">SUM(AQ979:AW979)</f>
        <v>0</v>
      </c>
      <c r="AZ979" s="2452">
        <f t="shared" ref="AZ979:BE979" si="1861">$K$319*AZ122</f>
        <v>75.227461962248512</v>
      </c>
      <c r="BA979" s="2452">
        <f t="shared" si="1861"/>
        <v>29.19312895984082</v>
      </c>
      <c r="BB979" s="2452">
        <f t="shared" si="1861"/>
        <v>91.745567807283692</v>
      </c>
      <c r="BC979" s="2452">
        <f t="shared" si="1861"/>
        <v>59.142618070351347</v>
      </c>
      <c r="BD979" s="2452">
        <f t="shared" si="1861"/>
        <v>34.917418017777393</v>
      </c>
      <c r="BE979" s="2452">
        <f t="shared" si="1861"/>
        <v>27.023805182498212</v>
      </c>
      <c r="BF979" s="620"/>
      <c r="BG979" s="342">
        <f>SUM(AZ979:BF979)</f>
        <v>317.25</v>
      </c>
      <c r="BI979" s="2452">
        <f t="shared" ref="BI979:BN979" si="1862">$K$319*BI122</f>
        <v>33.82963353805345</v>
      </c>
      <c r="BJ979" s="2452">
        <f t="shared" si="1862"/>
        <v>13.128089513855395</v>
      </c>
      <c r="BK979" s="2452">
        <f t="shared" si="1862"/>
        <v>41.257791459435168</v>
      </c>
      <c r="BL979" s="2452">
        <f t="shared" si="1862"/>
        <v>26.596312617925271</v>
      </c>
      <c r="BM979" s="2452">
        <f t="shared" si="1862"/>
        <v>15.702290424595459</v>
      </c>
      <c r="BN979" s="2452">
        <f t="shared" si="1862"/>
        <v>12.152549112801932</v>
      </c>
      <c r="BO979" s="620"/>
      <c r="BP979" s="342">
        <f>SUM(BI979:BO979)</f>
        <v>142.66666666666666</v>
      </c>
    </row>
    <row r="980" spans="2:68" ht="13.2" customHeight="1">
      <c r="B980" s="215" t="str">
        <f>CONCATENATE("Calculated as product of (i) assumed percentage of exempt vehicles, from Row ",O319, "; and (ii) baseline volume of vehicles crossing into cordon, copied from Row ",O122, ".")</f>
        <v>Calculated as product of (i) assumed percentage of exempt vehicles, from Row 319; and (ii) baseline volume of vehicles crossing into cordon, copied from Row 122.</v>
      </c>
      <c r="N980" s="618"/>
      <c r="O980" s="39">
        <f>ROW()</f>
        <v>980</v>
      </c>
      <c r="P980" s="2452"/>
      <c r="Y980" s="2452"/>
      <c r="AH980" s="2452"/>
      <c r="AQ980" s="309"/>
      <c r="AZ980" s="2452"/>
      <c r="BI980" s="2452"/>
    </row>
    <row r="981" spans="2:68" s="6" customFormat="1" ht="13.2" customHeight="1">
      <c r="B981" s="312" t="s">
        <v>4360</v>
      </c>
      <c r="C981"/>
      <c r="D981"/>
      <c r="E981"/>
      <c r="F981"/>
      <c r="G981" s="2452">
        <f t="shared" ref="G981:L981" ca="1" si="1863">P981+Y981+AH981+AQ981+AZ981+BI981</f>
        <v>89671.445605067012</v>
      </c>
      <c r="H981" s="2452">
        <f t="shared" ca="1" si="1863"/>
        <v>38692.230289347099</v>
      </c>
      <c r="I981" s="2452">
        <f t="shared" ca="1" si="1863"/>
        <v>126363.52701035814</v>
      </c>
      <c r="J981" s="2452">
        <f t="shared" ca="1" si="1863"/>
        <v>83649.408948176919</v>
      </c>
      <c r="K981" s="2452">
        <f t="shared" ca="1" si="1863"/>
        <v>45324.750937667828</v>
      </c>
      <c r="L981" s="2452">
        <f t="shared" ca="1" si="1863"/>
        <v>29233.454855492248</v>
      </c>
      <c r="M981" s="2452"/>
      <c r="N981" s="1122">
        <f ca="1">SUM(G981:M981)</f>
        <v>412934.81764610921</v>
      </c>
      <c r="O981" s="39">
        <f>ROW()</f>
        <v>981</v>
      </c>
      <c r="P981" s="2452">
        <f t="shared" ref="P981:U981" ca="1" si="1864">P977-P979</f>
        <v>23469.529675385755</v>
      </c>
      <c r="Q981" s="2452">
        <f t="shared" ca="1" si="1864"/>
        <v>9106.1671439598958</v>
      </c>
      <c r="R981" s="2452">
        <f t="shared" ca="1" si="1864"/>
        <v>24414.953746473813</v>
      </c>
      <c r="S981" s="2452">
        <f t="shared" ca="1" si="1864"/>
        <v>9605.0852353392384</v>
      </c>
      <c r="T981" s="2452">
        <f t="shared" ca="1" si="1864"/>
        <v>8736.4388602335293</v>
      </c>
      <c r="U981" s="2452">
        <f t="shared" ca="1" si="1864"/>
        <v>4655.5090459436251</v>
      </c>
      <c r="W981" s="342">
        <f ca="1">SUM(P981:V981)</f>
        <v>79987.683707335847</v>
      </c>
      <c r="Y981" s="2452">
        <f t="shared" ref="Y981:AD981" ca="1" si="1865">Y977-Y979</f>
        <v>35083.72598737551</v>
      </c>
      <c r="Z981" s="2452">
        <f t="shared" ca="1" si="1865"/>
        <v>17165.41345923637</v>
      </c>
      <c r="AA981" s="2452">
        <f t="shared" ca="1" si="1865"/>
        <v>70950.716719744989</v>
      </c>
      <c r="AB981" s="2452">
        <f t="shared" ca="1" si="1865"/>
        <v>55723.832476600888</v>
      </c>
      <c r="AC981" s="2452">
        <f t="shared" ca="1" si="1865"/>
        <v>25753.22802312682</v>
      </c>
      <c r="AD981" s="2452">
        <f t="shared" ca="1" si="1865"/>
        <v>17054.087120045078</v>
      </c>
      <c r="AF981" s="342">
        <f ca="1">SUM(Y981:AE981)</f>
        <v>221731.00378612964</v>
      </c>
      <c r="AH981" s="2452">
        <f t="shared" ref="AH981:AM981" ca="1" si="1866">AH977-AH979</f>
        <v>27019.320191969367</v>
      </c>
      <c r="AI981" s="2452">
        <f t="shared" ca="1" si="1866"/>
        <v>10807.740304796132</v>
      </c>
      <c r="AJ981" s="2452">
        <f t="shared" ca="1" si="1866"/>
        <v>25897.632780906904</v>
      </c>
      <c r="AK981" s="2452">
        <f t="shared" ca="1" si="1866"/>
        <v>15028.740142510735</v>
      </c>
      <c r="AL981" s="2452">
        <f t="shared" ca="1" si="1866"/>
        <v>8894.3532888773643</v>
      </c>
      <c r="AM981" s="2452">
        <f t="shared" ca="1" si="1866"/>
        <v>6022.8544737376496</v>
      </c>
      <c r="AO981" s="342">
        <f ca="1">SUM(AH981:AN981)</f>
        <v>93670.64118279815</v>
      </c>
      <c r="AQ981" s="322"/>
      <c r="AZ981" s="2452">
        <f t="shared" ref="AZ981:BE981" ca="1" si="1867">AZ977-AZ979</f>
        <v>2790.246577443766</v>
      </c>
      <c r="BA981" s="2452">
        <f t="shared" ca="1" si="1867"/>
        <v>1099.3676266076598</v>
      </c>
      <c r="BB981" s="2452">
        <f t="shared" ca="1" si="1867"/>
        <v>3480.1519956151719</v>
      </c>
      <c r="BC981" s="2452">
        <f t="shared" ca="1" si="1867"/>
        <v>2247.0046919958818</v>
      </c>
      <c r="BD981" s="2452">
        <f t="shared" ca="1" si="1867"/>
        <v>1323.4650995992752</v>
      </c>
      <c r="BE981" s="2452">
        <f t="shared" ca="1" si="1867"/>
        <v>1023.0819020289752</v>
      </c>
      <c r="BG981" s="342">
        <f ca="1">SUM(AZ981:BF981)</f>
        <v>11963.317893290729</v>
      </c>
      <c r="BI981" s="2452">
        <f t="shared" ref="BI981:BN981" ca="1" si="1868">BI977-BI979</f>
        <v>1308.6231728926125</v>
      </c>
      <c r="BJ981" s="2452">
        <f t="shared" ca="1" si="1868"/>
        <v>513.54175474704459</v>
      </c>
      <c r="BK981" s="2452">
        <f t="shared" ca="1" si="1868"/>
        <v>1620.0717676172665</v>
      </c>
      <c r="BL981" s="2452">
        <f t="shared" ca="1" si="1868"/>
        <v>1044.7464017301711</v>
      </c>
      <c r="BM981" s="2452">
        <f t="shared" ca="1" si="1868"/>
        <v>617.26566583084048</v>
      </c>
      <c r="BN981" s="2452">
        <f t="shared" ca="1" si="1868"/>
        <v>477.92231373691936</v>
      </c>
      <c r="BP981" s="342">
        <f ca="1">SUM(BI981:BO981)</f>
        <v>5582.1710765548542</v>
      </c>
    </row>
    <row r="982" spans="2:68" ht="13.2" customHeight="1">
      <c r="B982" s="215" t="str">
        <f>CONCATENATE("Difference between Rows ",O977, " and ",O979, ", except that medallion taxis pay no toll in any event.")</f>
        <v>Difference between Rows 977 and 979, except that medallion taxis pay no toll in any event.</v>
      </c>
      <c r="N982" s="618"/>
      <c r="O982" s="39">
        <f>ROW()</f>
        <v>982</v>
      </c>
      <c r="P982" s="2452"/>
      <c r="Y982" s="2452"/>
      <c r="AH982" s="2452"/>
      <c r="AQ982" s="309"/>
      <c r="AZ982" s="2452"/>
      <c r="BI982" s="2452"/>
    </row>
    <row r="983" spans="2:68" ht="13.2" customHeight="1">
      <c r="B983" s="312" t="s">
        <v>5404</v>
      </c>
      <c r="G983" s="2452">
        <f t="shared" ref="G983:L983" ca="1" si="1869">P981+Y981+AH981</f>
        <v>85572.575854730632</v>
      </c>
      <c r="H983" s="2452">
        <f t="shared" ca="1" si="1869"/>
        <v>37079.320907992398</v>
      </c>
      <c r="I983" s="2452">
        <f t="shared" ca="1" si="1869"/>
        <v>121263.3032471257</v>
      </c>
      <c r="J983" s="2452">
        <f t="shared" ca="1" si="1869"/>
        <v>80357.657854450867</v>
      </c>
      <c r="K983" s="2452">
        <f t="shared" ca="1" si="1869"/>
        <v>43384.02017223771</v>
      </c>
      <c r="L983" s="2452">
        <f t="shared" ca="1" si="1869"/>
        <v>27732.450639726354</v>
      </c>
      <c r="M983" s="2452"/>
      <c r="N983" s="1122">
        <f ca="1">SUM(G983:M983)</f>
        <v>395389.32867626369</v>
      </c>
      <c r="O983" s="39">
        <f>ROW()</f>
        <v>983</v>
      </c>
      <c r="P983" s="2452"/>
      <c r="Y983" s="2452"/>
      <c r="AH983" s="2452"/>
      <c r="AQ983" s="309"/>
      <c r="AZ983" s="2452"/>
      <c r="BI983" s="2452"/>
    </row>
    <row r="984" spans="2:68" ht="13.2" customHeight="1">
      <c r="B984" s="215" t="str">
        <f>CONCATENATE("Same note as Row ",O982, ", except only first 3 column-blocks are summed.")</f>
        <v>Same note as Row 982, except only first 3 column-blocks are summed.</v>
      </c>
      <c r="N984" s="618"/>
      <c r="O984" s="39">
        <f>ROW()</f>
        <v>984</v>
      </c>
      <c r="P984" s="2452"/>
      <c r="Y984" s="2452"/>
      <c r="AH984" s="2452"/>
      <c r="AQ984" s="309"/>
      <c r="AZ984" s="2452"/>
      <c r="BI984" s="2452"/>
    </row>
    <row r="985" spans="2:68" ht="13.2" customHeight="1">
      <c r="B985" t="s">
        <v>2354</v>
      </c>
      <c r="N985" s="26"/>
      <c r="O985" s="39">
        <f>ROW()</f>
        <v>985</v>
      </c>
      <c r="P985" s="619">
        <f t="shared" ref="P985:U985" si="1870">P293</f>
        <v>6.2660972780297861</v>
      </c>
      <c r="Q985" s="619">
        <f t="shared" si="1870"/>
        <v>6.2660972780297861</v>
      </c>
      <c r="R985" s="619">
        <f t="shared" si="1870"/>
        <v>6.4591976796691339</v>
      </c>
      <c r="S985" s="619">
        <f t="shared" si="1870"/>
        <v>6.2660972780297861</v>
      </c>
      <c r="T985" s="619">
        <f t="shared" si="1870"/>
        <v>6.2660972780297861</v>
      </c>
      <c r="U985" s="619">
        <f t="shared" si="1870"/>
        <v>6.3626474788494605</v>
      </c>
      <c r="Y985" s="619">
        <f t="shared" ref="Y985:AD985" si="1871">Y293</f>
        <v>6.2660972780297861</v>
      </c>
      <c r="Z985" s="619">
        <f t="shared" si="1871"/>
        <v>6.2660972780297861</v>
      </c>
      <c r="AA985" s="619">
        <f t="shared" si="1871"/>
        <v>6.4591976796691339</v>
      </c>
      <c r="AB985" s="619">
        <f t="shared" si="1871"/>
        <v>6.2660972780297861</v>
      </c>
      <c r="AC985" s="619">
        <f t="shared" si="1871"/>
        <v>6.2660972780297861</v>
      </c>
      <c r="AD985" s="619">
        <f t="shared" si="1871"/>
        <v>6.3626474788494605</v>
      </c>
      <c r="AH985" s="619">
        <f t="shared" ref="AH985:AM985" si="1872">AH293</f>
        <v>10.652365372650639</v>
      </c>
      <c r="AI985" s="619">
        <f t="shared" si="1872"/>
        <v>10.652365372650639</v>
      </c>
      <c r="AJ985" s="619">
        <f t="shared" si="1872"/>
        <v>10.980636055437529</v>
      </c>
      <c r="AK985" s="619">
        <f t="shared" si="1872"/>
        <v>10.652365372650639</v>
      </c>
      <c r="AL985" s="619">
        <f t="shared" si="1872"/>
        <v>10.652365372650639</v>
      </c>
      <c r="AM985" s="619">
        <f t="shared" si="1872"/>
        <v>10.816500714044084</v>
      </c>
      <c r="AQ985" s="309"/>
      <c r="AZ985" s="619">
        <f t="shared" ref="AZ985:BE985" si="1873">AZ293</f>
        <v>12.637957717822388</v>
      </c>
      <c r="BA985" s="619">
        <f t="shared" si="1873"/>
        <v>12.637957717822388</v>
      </c>
      <c r="BB985" s="619">
        <f t="shared" si="1873"/>
        <v>13.024158521101084</v>
      </c>
      <c r="BC985" s="619">
        <f t="shared" si="1873"/>
        <v>12.637957717822388</v>
      </c>
      <c r="BD985" s="619">
        <f t="shared" si="1873"/>
        <v>12.637957717822388</v>
      </c>
      <c r="BE985" s="619">
        <f t="shared" si="1873"/>
        <v>12.831058119461737</v>
      </c>
      <c r="BI985" s="619">
        <f t="shared" ref="BI985:BN985" si="1874">BI293</f>
        <v>11.672059488164363</v>
      </c>
      <c r="BJ985" s="619">
        <f t="shared" si="1874"/>
        <v>11.672059488164363</v>
      </c>
      <c r="BK985" s="619">
        <f t="shared" si="1874"/>
        <v>12.058260291443059</v>
      </c>
      <c r="BL985" s="619">
        <f t="shared" si="1874"/>
        <v>11.672059488164363</v>
      </c>
      <c r="BM985" s="619">
        <f t="shared" si="1874"/>
        <v>11.672059488164363</v>
      </c>
      <c r="BN985" s="619">
        <f t="shared" si="1874"/>
        <v>11.86515988980371</v>
      </c>
    </row>
    <row r="986" spans="2:68" ht="13.2" customHeight="1">
      <c r="B986" s="215" t="str">
        <f>CONCATENATE("Copied from Row ",O293, ".")</f>
        <v>Copied from Row 293.</v>
      </c>
      <c r="N986" s="26"/>
      <c r="O986" s="39">
        <f>ROW()</f>
        <v>986</v>
      </c>
      <c r="P986" s="619"/>
      <c r="Y986" s="619"/>
      <c r="AH986" s="619"/>
      <c r="AQ986" s="309"/>
      <c r="AZ986" s="619"/>
      <c r="BI986" s="619"/>
    </row>
    <row r="987" spans="2:68" ht="13.2" customHeight="1">
      <c r="B987" t="s">
        <v>2355</v>
      </c>
      <c r="G987" s="620">
        <f t="shared" ref="G987:L987" ca="1" si="1875">P987+Y987+AH987+AQ987+AZ987+BI987</f>
        <v>705.25741252333114</v>
      </c>
      <c r="H987" s="620">
        <f t="shared" ca="1" si="1875"/>
        <v>299.63612977911339</v>
      </c>
      <c r="I987" s="620">
        <f t="shared" ca="1" si="1875"/>
        <v>965.21949599316451</v>
      </c>
      <c r="J987" s="620">
        <f t="shared" ca="1" si="1875"/>
        <v>610.04087698029866</v>
      </c>
      <c r="K987" s="620">
        <f t="shared" ca="1" si="1875"/>
        <v>334.79216630586507</v>
      </c>
      <c r="L987" s="620">
        <f t="shared" ca="1" si="1875"/>
        <v>222.07456504143155</v>
      </c>
      <c r="M987" s="620"/>
      <c r="N987" s="958">
        <f ca="1">SUM(G987:M987)</f>
        <v>3137.0206466232044</v>
      </c>
      <c r="O987" s="39">
        <f>ROW()</f>
        <v>987</v>
      </c>
      <c r="P987" s="620">
        <f t="shared" ref="P987:U987" ca="1" si="1876">P981*P985/1000</f>
        <v>147.06235601557395</v>
      </c>
      <c r="Q987" s="620">
        <f t="shared" ca="1" si="1876"/>
        <v>57.060129154051374</v>
      </c>
      <c r="R987" s="620">
        <f t="shared" ca="1" si="1876"/>
        <v>157.7010125884529</v>
      </c>
      <c r="S987" s="620">
        <f t="shared" ca="1" si="1876"/>
        <v>60.186398448403288</v>
      </c>
      <c r="T987" s="620">
        <f t="shared" ca="1" si="1876"/>
        <v>54.743375761782971</v>
      </c>
      <c r="U987" s="620">
        <f t="shared" ca="1" si="1876"/>
        <v>29.621362893934062</v>
      </c>
      <c r="W987" s="620">
        <f ca="1">SUM(P987:V987)</f>
        <v>506.37463486219855</v>
      </c>
      <c r="Y987" s="620">
        <f t="shared" ref="Y987:AD987" ca="1" si="1877">Y981*Y985/1000</f>
        <v>219.83803991263656</v>
      </c>
      <c r="Z987" s="620">
        <f t="shared" ca="1" si="1877"/>
        <v>107.56015055317688</v>
      </c>
      <c r="AA987" s="620">
        <f t="shared" ca="1" si="1877"/>
        <v>458.28470480703891</v>
      </c>
      <c r="AB987" s="620">
        <f t="shared" ca="1" si="1877"/>
        <v>349.17095500301662</v>
      </c>
      <c r="AC987" s="620">
        <f t="shared" ca="1" si="1877"/>
        <v>161.37223201619537</v>
      </c>
      <c r="AD987" s="620">
        <f t="shared" ca="1" si="1877"/>
        <v>108.50914441843388</v>
      </c>
      <c r="AF987" s="620">
        <f ca="1">SUM(Y987:AE987)</f>
        <v>1404.7352267104982</v>
      </c>
      <c r="AH987" s="620">
        <f t="shared" ref="AH987:AM987" ca="1" si="1878">AH981*AH985/1000</f>
        <v>287.8196708054947</v>
      </c>
      <c r="AI987" s="620">
        <f t="shared" ca="1" si="1878"/>
        <v>115.12799857941098</v>
      </c>
      <c r="AJ987" s="620">
        <f t="shared" ca="1" si="1878"/>
        <v>284.37248026450726</v>
      </c>
      <c r="AK987" s="620">
        <f t="shared" ca="1" si="1878"/>
        <v>160.09163108864598</v>
      </c>
      <c r="AL987" s="620">
        <f t="shared" ca="1" si="1878"/>
        <v>94.745900986558553</v>
      </c>
      <c r="AM987" s="620">
        <f t="shared" ca="1" si="1878"/>
        <v>65.146209715766886</v>
      </c>
      <c r="AO987" s="620">
        <f ca="1">SUM(AH987:AN987)</f>
        <v>1007.3038914403844</v>
      </c>
      <c r="AQ987" s="309"/>
      <c r="AZ987" s="620">
        <f t="shared" ref="AZ987:BE987" ca="1" si="1879">AZ981*AZ985/1000</f>
        <v>35.263018268032944</v>
      </c>
      <c r="BA987" s="620">
        <f t="shared" ca="1" si="1879"/>
        <v>13.893761581410356</v>
      </c>
      <c r="BB987" s="620">
        <f t="shared" ca="1" si="1879"/>
        <v>45.326051268418283</v>
      </c>
      <c r="BC987" s="620">
        <f t="shared" ca="1" si="1879"/>
        <v>28.397550289192473</v>
      </c>
      <c r="BD987" s="620">
        <f t="shared" ca="1" si="1879"/>
        <v>16.725895969749235</v>
      </c>
      <c r="BE987" s="620">
        <f t="shared" ca="1" si="1879"/>
        <v>13.127223345903239</v>
      </c>
      <c r="BG987" s="620">
        <f ca="1">SUM(AZ987:BF987)</f>
        <v>152.73350072270654</v>
      </c>
      <c r="BI987" s="620">
        <f t="shared" ref="BI987:BN987" ca="1" si="1880">BI981*BI985/1000</f>
        <v>15.274327521592971</v>
      </c>
      <c r="BJ987" s="620">
        <f t="shared" ca="1" si="1880"/>
        <v>5.9940899110638179</v>
      </c>
      <c r="BK987" s="620">
        <f t="shared" ca="1" si="1880"/>
        <v>19.535247064747249</v>
      </c>
      <c r="BL987" s="620">
        <f t="shared" ca="1" si="1880"/>
        <v>12.194342151040221</v>
      </c>
      <c r="BM987" s="620">
        <f t="shared" ca="1" si="1880"/>
        <v>7.2047615715789544</v>
      </c>
      <c r="BN987" s="620">
        <f t="shared" ca="1" si="1880"/>
        <v>5.6706246673934801</v>
      </c>
      <c r="BP987" s="620">
        <f ca="1">SUM(BI987:BO987)</f>
        <v>65.873392887416699</v>
      </c>
    </row>
    <row r="988" spans="2:68" ht="13.2" customHeight="1">
      <c r="B988" s="215" t="str">
        <f>CONCATENATE("Product of Rows ",O981, " (toll-paying vehicles) and ",O985, " (toll per trip).")</f>
        <v>Product of Rows 981 (toll-paying vehicles) and 985 (toll per trip).</v>
      </c>
      <c r="G988" s="620"/>
      <c r="H988" s="620"/>
      <c r="I988" s="620"/>
      <c r="J988" s="620"/>
      <c r="K988" s="620"/>
      <c r="L988" s="620"/>
      <c r="M988" s="620"/>
      <c r="N988" s="958"/>
      <c r="O988" s="39">
        <f>ROW()</f>
        <v>988</v>
      </c>
      <c r="P988" s="620"/>
      <c r="Y988" s="309"/>
      <c r="AH988" s="309"/>
      <c r="AI988" s="309"/>
      <c r="AJ988" s="309"/>
      <c r="AK988" s="309"/>
      <c r="AL988" s="309"/>
      <c r="AM988" s="309"/>
      <c r="AN988" s="309"/>
      <c r="AO988" s="309"/>
      <c r="AQ988" s="309"/>
      <c r="AZ988" s="309"/>
      <c r="BI988" s="309"/>
    </row>
    <row r="989" spans="2:68" ht="13.2" customHeight="1">
      <c r="B989" s="1" t="s">
        <v>5403</v>
      </c>
      <c r="G989" s="620">
        <f t="shared" ref="G989:L989" ca="1" si="1881">P987+Y987+AH987</f>
        <v>654.72006673370515</v>
      </c>
      <c r="H989" s="620">
        <f t="shared" ca="1" si="1881"/>
        <v>279.74827828663922</v>
      </c>
      <c r="I989" s="620">
        <f t="shared" ca="1" si="1881"/>
        <v>900.35819765999895</v>
      </c>
      <c r="J989" s="620">
        <f t="shared" ca="1" si="1881"/>
        <v>569.44898454006591</v>
      </c>
      <c r="K989" s="620">
        <f t="shared" ca="1" si="1881"/>
        <v>310.86150876453689</v>
      </c>
      <c r="L989" s="620">
        <f t="shared" ca="1" si="1881"/>
        <v>203.27671702813484</v>
      </c>
      <c r="M989" s="620"/>
      <c r="N989" s="958">
        <f ca="1">SUM(G989:M989)</f>
        <v>2918.4137530130811</v>
      </c>
      <c r="O989" s="39">
        <f>ROW()</f>
        <v>989</v>
      </c>
      <c r="P989" s="620"/>
      <c r="Y989" s="309"/>
      <c r="AH989" s="309"/>
      <c r="AI989" s="309"/>
      <c r="AJ989" s="309"/>
      <c r="AK989" s="309"/>
      <c r="AL989" s="309"/>
      <c r="AM989" s="309"/>
      <c r="AN989" s="309"/>
      <c r="AO989" s="309"/>
      <c r="AQ989" s="309"/>
      <c r="AZ989" s="309"/>
      <c r="BI989" s="309"/>
    </row>
    <row r="990" spans="2:68" ht="13.2" customHeight="1">
      <c r="B990" s="215" t="str">
        <f>CONCATENATE("Same as Row ",O988, ", except only first 3 column-blocks are summed.")</f>
        <v>Same as Row 988, except only first 3 column-blocks are summed.</v>
      </c>
      <c r="G990" s="620"/>
      <c r="H990" s="620"/>
      <c r="I990" s="620"/>
      <c r="J990" s="620"/>
      <c r="K990" s="620"/>
      <c r="L990" s="620"/>
      <c r="M990" s="620"/>
      <c r="N990" s="958"/>
      <c r="O990" s="39">
        <f>ROW()</f>
        <v>990</v>
      </c>
      <c r="P990" s="620"/>
      <c r="Y990" s="309"/>
      <c r="AH990" s="309"/>
      <c r="AI990" s="309"/>
      <c r="AJ990" s="309"/>
      <c r="AK990" s="309"/>
      <c r="AL990" s="309"/>
      <c r="AM990" s="309"/>
      <c r="AN990" s="309"/>
      <c r="AO990" s="309"/>
      <c r="AQ990" s="309"/>
      <c r="AZ990" s="309"/>
      <c r="BI990" s="309"/>
    </row>
    <row r="991" spans="2:68" ht="13.2" customHeight="1">
      <c r="B991" s="1" t="s">
        <v>1888</v>
      </c>
      <c r="N991" s="2453">
        <f>wkend_per_yr</f>
        <v>115</v>
      </c>
      <c r="O991" s="39">
        <f>ROW()</f>
        <v>991</v>
      </c>
      <c r="P991" s="309"/>
      <c r="Y991" s="309"/>
      <c r="AH991" s="309"/>
      <c r="AI991" s="309"/>
      <c r="AJ991" s="309"/>
      <c r="AK991" s="309"/>
      <c r="AL991" s="309"/>
      <c r="AM991" s="309"/>
      <c r="AN991" s="309"/>
      <c r="AO991" s="309"/>
      <c r="AQ991" s="309"/>
      <c r="AZ991" s="309"/>
      <c r="BI991" s="309"/>
    </row>
    <row r="992" spans="2:68" ht="13.2" customHeight="1">
      <c r="B992" s="6" t="s">
        <v>1889</v>
      </c>
      <c r="C992" s="6"/>
      <c r="D992" s="6"/>
      <c r="E992" s="6"/>
      <c r="F992" s="6"/>
      <c r="G992" s="6"/>
      <c r="H992" s="6"/>
      <c r="I992" s="6"/>
      <c r="J992" s="6"/>
      <c r="K992" s="6"/>
      <c r="L992" s="6"/>
      <c r="M992" s="6"/>
      <c r="N992" s="668">
        <f ca="1">N987*N991/1000</f>
        <v>360.7573743616685</v>
      </c>
      <c r="O992" s="39">
        <f>ROW()</f>
        <v>992</v>
      </c>
      <c r="P992" s="322"/>
      <c r="Y992" s="309"/>
      <c r="AH992" s="309"/>
      <c r="AI992" s="309"/>
      <c r="AJ992" s="309"/>
      <c r="AK992" s="309"/>
      <c r="AL992" s="309"/>
      <c r="AM992" s="309"/>
      <c r="AN992" s="309"/>
      <c r="AO992" s="309"/>
      <c r="AQ992" s="309"/>
      <c r="AZ992" s="309"/>
      <c r="BI992" s="309"/>
    </row>
    <row r="993" spans="2:61" ht="13.2" customHeight="1">
      <c r="O993" s="136">
        <f>ROW()</f>
        <v>993</v>
      </c>
      <c r="P993" s="309"/>
      <c r="Y993" s="309"/>
      <c r="AH993" s="309"/>
      <c r="AI993" s="309"/>
      <c r="AJ993" s="309"/>
      <c r="AK993" s="309"/>
      <c r="AL993" s="309"/>
      <c r="AM993" s="309"/>
      <c r="AN993" s="309"/>
      <c r="AO993" s="309"/>
      <c r="AQ993" s="309"/>
      <c r="AZ993" s="309"/>
      <c r="BI993" s="309"/>
    </row>
    <row r="994" spans="2:61" ht="13.2" customHeight="1">
      <c r="B994" s="6" t="s">
        <v>764</v>
      </c>
      <c r="N994" s="591">
        <f ca="1">(W977*W256+AF977*AF256+AO977*AO256+BG977*BG256+BP977*BP256)/(W977+AF977+AO977+BG977+BP977)</f>
        <v>2.4367419748672994</v>
      </c>
      <c r="O994" s="136">
        <f>ROW()</f>
        <v>994</v>
      </c>
    </row>
  </sheetData>
  <customSheetViews>
    <customSheetView guid="{BD5E6263-A0AD-4076-921A-D4EBD62848EF}" showPageBreaks="1" printArea="1" showRuler="0">
      <pageMargins left="0.56000000000000005" right="0.25" top="1" bottom="1" header="0.5" footer="0.5"/>
      <printOptions gridLines="1"/>
      <pageSetup orientation="landscape" r:id="rId1"/>
      <headerFooter alignWithMargins="0"/>
    </customSheetView>
    <customSheetView guid="{1D5AE30A-CA7C-4B32-AEA4-9F37A560AAA8}" showPageBreaks="1" printArea="1" showRuler="0">
      <pageMargins left="0.56000000000000005" right="0.25" top="1" bottom="1" header="0.5" footer="0.5"/>
      <printOptions gridLines="1"/>
      <pageSetup orientation="landscape" r:id="rId2"/>
      <headerFooter alignWithMargins="0"/>
    </customSheetView>
  </customSheetViews>
  <mergeCells count="277">
    <mergeCell ref="D472:F473"/>
    <mergeCell ref="H259:K261"/>
    <mergeCell ref="B446:N451"/>
    <mergeCell ref="G267:K268"/>
    <mergeCell ref="H280:L281"/>
    <mergeCell ref="Y397:AF397"/>
    <mergeCell ref="P453:W453"/>
    <mergeCell ref="W428:W430"/>
    <mergeCell ref="Y453:AF453"/>
    <mergeCell ref="AF428:AF430"/>
    <mergeCell ref="P262:W262"/>
    <mergeCell ref="Y262:AF262"/>
    <mergeCell ref="P397:W397"/>
    <mergeCell ref="B263:K264"/>
    <mergeCell ref="L264:L265"/>
    <mergeCell ref="N266:N268"/>
    <mergeCell ref="P265:U265"/>
    <mergeCell ref="Y265:AD265"/>
    <mergeCell ref="N281:N283"/>
    <mergeCell ref="E382:F383"/>
    <mergeCell ref="I335:J336"/>
    <mergeCell ref="H339:J340"/>
    <mergeCell ref="B380:N381"/>
    <mergeCell ref="I297:L299"/>
    <mergeCell ref="B210:L212"/>
    <mergeCell ref="B177:L179"/>
    <mergeCell ref="I198:K198"/>
    <mergeCell ref="B104:L105"/>
    <mergeCell ref="M161:N165"/>
    <mergeCell ref="B114:E116"/>
    <mergeCell ref="I37:J37"/>
    <mergeCell ref="L38:N38"/>
    <mergeCell ref="E85:H87"/>
    <mergeCell ref="M119:N121"/>
    <mergeCell ref="H77:H78"/>
    <mergeCell ref="L77:L78"/>
    <mergeCell ref="M77:N77"/>
    <mergeCell ref="I49:J49"/>
    <mergeCell ref="I57:J57"/>
    <mergeCell ref="G113:N113"/>
    <mergeCell ref="I43:J43"/>
    <mergeCell ref="I45:J45"/>
    <mergeCell ref="B203:F205"/>
    <mergeCell ref="B46:N48"/>
    <mergeCell ref="I51:J51"/>
    <mergeCell ref="I53:J53"/>
    <mergeCell ref="I55:J55"/>
    <mergeCell ref="AQ2:AX4"/>
    <mergeCell ref="AQ33:AX33"/>
    <mergeCell ref="AQ60:AX60"/>
    <mergeCell ref="AQ84:AX84"/>
    <mergeCell ref="G591:L591"/>
    <mergeCell ref="AF210:AF212"/>
    <mergeCell ref="G431:L436"/>
    <mergeCell ref="B360:L362"/>
    <mergeCell ref="G485:L489"/>
    <mergeCell ref="G244:L246"/>
    <mergeCell ref="G239:L242"/>
    <mergeCell ref="G229:L230"/>
    <mergeCell ref="Y237:AF238"/>
    <mergeCell ref="Y5:AE6"/>
    <mergeCell ref="Y8:AE12"/>
    <mergeCell ref="Y14:AE18"/>
    <mergeCell ref="P151:W151"/>
    <mergeCell ref="Y33:AF33"/>
    <mergeCell ref="Y60:AF60"/>
    <mergeCell ref="AF534:AF536"/>
    <mergeCell ref="AO534:AO536"/>
    <mergeCell ref="AH578:AO578"/>
    <mergeCell ref="AX534:AX536"/>
    <mergeCell ref="G213:L217"/>
    <mergeCell ref="K931:K932"/>
    <mergeCell ref="L931:M931"/>
    <mergeCell ref="G537:L541"/>
    <mergeCell ref="G585:L589"/>
    <mergeCell ref="I555:M556"/>
    <mergeCell ref="G639:L639"/>
    <mergeCell ref="G633:L637"/>
    <mergeCell ref="J929:M930"/>
    <mergeCell ref="G825:L829"/>
    <mergeCell ref="G777:L781"/>
    <mergeCell ref="G543:L543"/>
    <mergeCell ref="G687:L687"/>
    <mergeCell ref="G906:L906"/>
    <mergeCell ref="G729:L733"/>
    <mergeCell ref="G681:L685"/>
    <mergeCell ref="G831:L831"/>
    <mergeCell ref="G873:L878"/>
    <mergeCell ref="Y881:AF881"/>
    <mergeCell ref="AF582:AF584"/>
    <mergeCell ref="W482:W484"/>
    <mergeCell ref="W534:W536"/>
    <mergeCell ref="W582:W584"/>
    <mergeCell ref="Y578:AF578"/>
    <mergeCell ref="P578:W578"/>
    <mergeCell ref="AF482:AF484"/>
    <mergeCell ref="P674:W674"/>
    <mergeCell ref="W726:W728"/>
    <mergeCell ref="P881:W881"/>
    <mergeCell ref="AF630:AF632"/>
    <mergeCell ref="W630:W632"/>
    <mergeCell ref="P626:W626"/>
    <mergeCell ref="Y626:AF626"/>
    <mergeCell ref="AF678:AF680"/>
    <mergeCell ref="Y674:AF674"/>
    <mergeCell ref="W678:W680"/>
    <mergeCell ref="AO726:AO728"/>
    <mergeCell ref="AH818:AO818"/>
    <mergeCell ref="G783:L783"/>
    <mergeCell ref="BG726:BG728"/>
    <mergeCell ref="BP726:BP728"/>
    <mergeCell ref="AX774:AX776"/>
    <mergeCell ref="AX726:AX728"/>
    <mergeCell ref="Y722:AF722"/>
    <mergeCell ref="AF726:AF728"/>
    <mergeCell ref="Y770:AF770"/>
    <mergeCell ref="P818:W818"/>
    <mergeCell ref="Y818:AF818"/>
    <mergeCell ref="P722:W722"/>
    <mergeCell ref="G735:L735"/>
    <mergeCell ref="P770:W770"/>
    <mergeCell ref="BI674:BP674"/>
    <mergeCell ref="BP678:BP680"/>
    <mergeCell ref="AZ722:BG722"/>
    <mergeCell ref="BG678:BG680"/>
    <mergeCell ref="AQ722:AX722"/>
    <mergeCell ref="AO678:AO680"/>
    <mergeCell ref="AO582:AO584"/>
    <mergeCell ref="AH626:AO626"/>
    <mergeCell ref="AO630:AO632"/>
    <mergeCell ref="AH674:AO674"/>
    <mergeCell ref="AQ674:AX674"/>
    <mergeCell ref="AX678:AX680"/>
    <mergeCell ref="AX582:AX584"/>
    <mergeCell ref="BI722:BP722"/>
    <mergeCell ref="AQ626:AX626"/>
    <mergeCell ref="AX630:AX632"/>
    <mergeCell ref="AH722:AO722"/>
    <mergeCell ref="AZ626:BG626"/>
    <mergeCell ref="BP582:BP584"/>
    <mergeCell ref="BP630:BP632"/>
    <mergeCell ref="BI626:BP626"/>
    <mergeCell ref="BP482:BP484"/>
    <mergeCell ref="BG534:BG536"/>
    <mergeCell ref="BP534:BP536"/>
    <mergeCell ref="BG482:BG484"/>
    <mergeCell ref="AZ578:BG578"/>
    <mergeCell ref="BG428:BG430"/>
    <mergeCell ref="BP428:BP430"/>
    <mergeCell ref="BI453:BP453"/>
    <mergeCell ref="BI578:BP578"/>
    <mergeCell ref="BI33:BP33"/>
    <mergeCell ref="BI84:BP84"/>
    <mergeCell ref="BI223:BP223"/>
    <mergeCell ref="BP210:BP212"/>
    <mergeCell ref="BI397:BP397"/>
    <mergeCell ref="BI262:BP262"/>
    <mergeCell ref="AZ453:BG453"/>
    <mergeCell ref="AS180:AT181"/>
    <mergeCell ref="BG210:BG212"/>
    <mergeCell ref="AX210:AX212"/>
    <mergeCell ref="BI113:BP113"/>
    <mergeCell ref="BI151:BP151"/>
    <mergeCell ref="AQ363:AX364"/>
    <mergeCell ref="AQ453:AX453"/>
    <mergeCell ref="AX428:AX430"/>
    <mergeCell ref="AV316:AX324"/>
    <mergeCell ref="AV309:AX310"/>
    <mergeCell ref="BI881:BP881"/>
    <mergeCell ref="AH770:AO770"/>
    <mergeCell ref="AQ770:AX770"/>
    <mergeCell ref="AZ770:BG770"/>
    <mergeCell ref="BI770:BP770"/>
    <mergeCell ref="BI818:BP818"/>
    <mergeCell ref="AZ881:BG881"/>
    <mergeCell ref="AZ818:BG818"/>
    <mergeCell ref="AQ881:AX881"/>
    <mergeCell ref="AQ818:AX818"/>
    <mergeCell ref="AX822:AX824"/>
    <mergeCell ref="AX870:AX872"/>
    <mergeCell ref="AH881:AO881"/>
    <mergeCell ref="AQ578:AX578"/>
    <mergeCell ref="BG582:BG584"/>
    <mergeCell ref="BG630:BG632"/>
    <mergeCell ref="AZ674:BG674"/>
    <mergeCell ref="AQ262:AX262"/>
    <mergeCell ref="AZ397:BG397"/>
    <mergeCell ref="AQ240:AW240"/>
    <mergeCell ref="AQ223:AX223"/>
    <mergeCell ref="AH262:AO262"/>
    <mergeCell ref="AQ397:AX397"/>
    <mergeCell ref="AZ223:BG223"/>
    <mergeCell ref="AZ262:BG262"/>
    <mergeCell ref="AQ252:AW252"/>
    <mergeCell ref="AH239:AN242"/>
    <mergeCell ref="AH397:AO397"/>
    <mergeCell ref="AH453:AO453"/>
    <mergeCell ref="AH265:AN266"/>
    <mergeCell ref="AO428:AO430"/>
    <mergeCell ref="AO482:AO484"/>
    <mergeCell ref="AQ327:AW329"/>
    <mergeCell ref="AX330:AX331"/>
    <mergeCell ref="AQ348:AX354"/>
    <mergeCell ref="AX482:AX484"/>
    <mergeCell ref="AV313:AX314"/>
    <mergeCell ref="P237:W238"/>
    <mergeCell ref="P120:W120"/>
    <mergeCell ref="Y151:AF151"/>
    <mergeCell ref="H293:M295"/>
    <mergeCell ref="N293:N295"/>
    <mergeCell ref="AH60:AO60"/>
    <mergeCell ref="Y84:AF84"/>
    <mergeCell ref="Y120:AF120"/>
    <mergeCell ref="K59:K60"/>
    <mergeCell ref="L59:N60"/>
    <mergeCell ref="L67:L70"/>
    <mergeCell ref="M67:M70"/>
    <mergeCell ref="N67:N70"/>
    <mergeCell ref="D70:H71"/>
    <mergeCell ref="B72:E74"/>
    <mergeCell ref="M74:N74"/>
    <mergeCell ref="G254:L257"/>
    <mergeCell ref="H283:L283"/>
    <mergeCell ref="H284:N286"/>
    <mergeCell ref="I67:I70"/>
    <mergeCell ref="J67:J70"/>
    <mergeCell ref="K67:K70"/>
    <mergeCell ref="C254:F256"/>
    <mergeCell ref="B195:L197"/>
    <mergeCell ref="B222:L226"/>
    <mergeCell ref="AH33:AO33"/>
    <mergeCell ref="AZ33:BG33"/>
    <mergeCell ref="P33:W33"/>
    <mergeCell ref="P223:W223"/>
    <mergeCell ref="Y223:AF223"/>
    <mergeCell ref="AH120:AO120"/>
    <mergeCell ref="AO210:AO212"/>
    <mergeCell ref="AH223:AO223"/>
    <mergeCell ref="W210:W212"/>
    <mergeCell ref="AZ60:BG60"/>
    <mergeCell ref="AZ84:BG84"/>
    <mergeCell ref="AQ113:AX113"/>
    <mergeCell ref="AZ151:BG151"/>
    <mergeCell ref="AH84:AO84"/>
    <mergeCell ref="P60:W60"/>
    <mergeCell ref="AZ113:BG113"/>
    <mergeCell ref="AQ120:AX120"/>
    <mergeCell ref="AQ151:AX151"/>
    <mergeCell ref="AH151:AO151"/>
    <mergeCell ref="P84:W84"/>
    <mergeCell ref="Y113:AF113"/>
    <mergeCell ref="P113:W113"/>
    <mergeCell ref="AH113:AO113"/>
    <mergeCell ref="AQ6:AX8"/>
    <mergeCell ref="M297:M298"/>
    <mergeCell ref="L304:M307"/>
    <mergeCell ref="N305:N311"/>
    <mergeCell ref="K57:K58"/>
    <mergeCell ref="I2:M3"/>
    <mergeCell ref="N6:N18"/>
    <mergeCell ref="B6:L13"/>
    <mergeCell ref="B15:L21"/>
    <mergeCell ref="I27:L27"/>
    <mergeCell ref="M28:N29"/>
    <mergeCell ref="I30:J30"/>
    <mergeCell ref="B28:L29"/>
    <mergeCell ref="I32:J32"/>
    <mergeCell ref="I35:J35"/>
    <mergeCell ref="B33:H34"/>
    <mergeCell ref="I33:N33"/>
    <mergeCell ref="I34:N34"/>
    <mergeCell ref="I38:J38"/>
    <mergeCell ref="I42:J42"/>
    <mergeCell ref="L42:N42"/>
    <mergeCell ref="B219:L220"/>
    <mergeCell ref="G233:L235"/>
    <mergeCell ref="G248:L251"/>
  </mergeCells>
  <phoneticPr fontId="6" type="noConversion"/>
  <printOptions gridLines="1"/>
  <pageMargins left="0.56000000000000005" right="0.25" top="1" bottom="1" header="0.5" footer="0.5"/>
  <pageSetup orientation="landscape" r:id="rId3"/>
  <headerFooter alignWithMargins="0"/>
  <drawing r:id="rId4"/>
</worksheet>
</file>

<file path=xl/worksheets/sheet14.xml><?xml version="1.0" encoding="utf-8"?>
<worksheet xmlns="http://schemas.openxmlformats.org/spreadsheetml/2006/main" xmlns:r="http://schemas.openxmlformats.org/officeDocument/2006/relationships">
  <sheetPr codeName="Sheet52"/>
  <dimension ref="B1:O261"/>
  <sheetViews>
    <sheetView zoomScaleNormal="100" workbookViewId="0"/>
  </sheetViews>
  <sheetFormatPr defaultColWidth="13.75" defaultRowHeight="15" customHeight="1"/>
  <cols>
    <col min="1" max="1" width="2.75" customWidth="1"/>
    <col min="2" max="2" width="23.375" customWidth="1"/>
    <col min="11" max="11" width="2.75" customWidth="1"/>
    <col min="12" max="14" width="13.75" customWidth="1"/>
    <col min="15" max="15" width="1.75" customWidth="1"/>
  </cols>
  <sheetData>
    <row r="1" spans="2:15" ht="15" customHeight="1">
      <c r="O1" s="21">
        <f>ROW()</f>
        <v>1</v>
      </c>
    </row>
    <row r="2" spans="2:15" ht="15" customHeight="1">
      <c r="B2" s="115" t="s">
        <v>4704</v>
      </c>
      <c r="I2" s="2274">
        <f>'Title Page'!K1</f>
        <v>40914</v>
      </c>
      <c r="J2" s="2274"/>
      <c r="K2" s="2274"/>
      <c r="L2" s="2274"/>
      <c r="M2" s="2274"/>
      <c r="O2" s="21">
        <f>ROW()</f>
        <v>2</v>
      </c>
    </row>
    <row r="3" spans="2:15" ht="15" customHeight="1">
      <c r="O3" s="21">
        <f>ROW()</f>
        <v>3</v>
      </c>
    </row>
    <row r="4" spans="2:15" ht="15" customHeight="1">
      <c r="O4" s="21">
        <f>ROW()</f>
        <v>4</v>
      </c>
    </row>
    <row r="5" spans="2:15" ht="15" customHeight="1">
      <c r="B5" s="24" t="s">
        <v>4719</v>
      </c>
      <c r="O5" s="21">
        <f>ROW()</f>
        <v>5</v>
      </c>
    </row>
    <row r="6" spans="2:15" ht="15" customHeight="1">
      <c r="O6" s="21">
        <f>ROW()</f>
        <v>6</v>
      </c>
    </row>
    <row r="7" spans="2:15" ht="15" customHeight="1">
      <c r="B7" s="4499" t="s">
        <v>4720</v>
      </c>
      <c r="C7" s="4499"/>
      <c r="D7" s="4499"/>
      <c r="E7" s="4499"/>
      <c r="F7" s="4499"/>
      <c r="G7" s="4499"/>
      <c r="H7" s="4499"/>
      <c r="I7" s="4499"/>
      <c r="J7" s="2805"/>
      <c r="K7" s="2805"/>
      <c r="L7" s="2805"/>
      <c r="M7" s="2805"/>
      <c r="O7" s="21">
        <f>ROW()</f>
        <v>7</v>
      </c>
    </row>
    <row r="8" spans="2:15" ht="15" customHeight="1">
      <c r="B8" s="4499"/>
      <c r="C8" s="4499"/>
      <c r="D8" s="4499"/>
      <c r="E8" s="4499"/>
      <c r="F8" s="4499"/>
      <c r="G8" s="4499"/>
      <c r="H8" s="4499"/>
      <c r="I8" s="4499"/>
      <c r="J8" s="2805"/>
      <c r="K8" s="2805"/>
      <c r="L8" s="2805"/>
      <c r="M8" s="2805"/>
      <c r="O8" s="21">
        <f>ROW()</f>
        <v>8</v>
      </c>
    </row>
    <row r="9" spans="2:15" ht="15" customHeight="1">
      <c r="O9" s="21">
        <f>ROW()</f>
        <v>9</v>
      </c>
    </row>
    <row r="10" spans="2:15" ht="15" customHeight="1">
      <c r="B10" s="4499" t="s">
        <v>4721</v>
      </c>
      <c r="C10" s="4499"/>
      <c r="D10" s="4499"/>
      <c r="E10" s="4499"/>
      <c r="F10" s="4499"/>
      <c r="G10" s="4499"/>
      <c r="H10" s="4499"/>
      <c r="I10" s="4499"/>
      <c r="J10" s="2805"/>
      <c r="K10" s="2805"/>
      <c r="L10" s="2805"/>
      <c r="M10" s="2805"/>
      <c r="O10" s="21">
        <f>ROW()</f>
        <v>10</v>
      </c>
    </row>
    <row r="11" spans="2:15" ht="15" customHeight="1">
      <c r="B11" s="4499"/>
      <c r="C11" s="4499"/>
      <c r="D11" s="4499"/>
      <c r="E11" s="4499"/>
      <c r="F11" s="4499"/>
      <c r="G11" s="4499"/>
      <c r="H11" s="4499"/>
      <c r="I11" s="4499"/>
      <c r="J11" s="2805"/>
      <c r="K11" s="2805"/>
      <c r="L11" s="2805"/>
      <c r="M11" s="2805"/>
      <c r="O11" s="21">
        <f>ROW()</f>
        <v>11</v>
      </c>
    </row>
    <row r="12" spans="2:15" ht="15" customHeight="1">
      <c r="B12" s="1"/>
      <c r="O12" s="21">
        <f>ROW()</f>
        <v>12</v>
      </c>
    </row>
    <row r="13" spans="2:15" ht="15" customHeight="1">
      <c r="B13" s="2373" t="s">
        <v>4705</v>
      </c>
      <c r="C13" s="2370"/>
      <c r="D13" s="2370"/>
      <c r="E13" s="2370"/>
      <c r="F13" s="2370"/>
      <c r="G13" s="2370"/>
      <c r="H13" s="2370"/>
      <c r="I13" s="2370"/>
      <c r="J13" s="2370"/>
      <c r="K13" s="2370"/>
      <c r="L13" s="2370"/>
      <c r="M13" s="2370"/>
      <c r="N13" s="2370"/>
      <c r="O13" s="21">
        <f>ROW()</f>
        <v>13</v>
      </c>
    </row>
    <row r="14" spans="2:15" ht="15" customHeight="1">
      <c r="B14" s="2370"/>
      <c r="C14" s="2370"/>
      <c r="D14" s="2370"/>
      <c r="E14" s="2370"/>
      <c r="F14" s="2370"/>
      <c r="G14" s="2370"/>
      <c r="H14" s="2370"/>
      <c r="I14" s="2370"/>
      <c r="J14" s="2370"/>
      <c r="K14" s="2370"/>
      <c r="L14" s="2370"/>
      <c r="M14" s="2370"/>
      <c r="N14" s="2370"/>
      <c r="O14" s="21">
        <f>ROW()</f>
        <v>14</v>
      </c>
    </row>
    <row r="15" spans="2:15" ht="15" customHeight="1">
      <c r="B15" s="4503" t="s">
        <v>5382</v>
      </c>
      <c r="C15" s="4503"/>
      <c r="D15" s="4503"/>
      <c r="E15" s="4503"/>
      <c r="F15" s="4503"/>
      <c r="G15" s="4503"/>
      <c r="H15" s="4503"/>
      <c r="I15" s="4503"/>
      <c r="J15" s="2804"/>
      <c r="K15" s="2804"/>
      <c r="L15" s="2804"/>
      <c r="M15" s="2804"/>
      <c r="N15" s="2370"/>
      <c r="O15" s="21">
        <f>ROW()</f>
        <v>15</v>
      </c>
    </row>
    <row r="16" spans="2:15" ht="15" customHeight="1">
      <c r="B16" s="4503"/>
      <c r="C16" s="4503"/>
      <c r="D16" s="4503"/>
      <c r="E16" s="4503"/>
      <c r="F16" s="4503"/>
      <c r="G16" s="4503"/>
      <c r="H16" s="4503"/>
      <c r="I16" s="4503"/>
      <c r="J16" s="2804"/>
      <c r="K16" s="2804"/>
      <c r="L16" s="2804"/>
      <c r="M16" s="2804"/>
      <c r="N16" s="2370"/>
      <c r="O16" s="21">
        <f>ROW()</f>
        <v>16</v>
      </c>
    </row>
    <row r="17" spans="2:15" ht="15" customHeight="1">
      <c r="C17" s="191"/>
      <c r="D17" s="191"/>
      <c r="E17" s="191"/>
      <c r="F17" s="191"/>
      <c r="G17" s="191"/>
      <c r="H17" s="191"/>
      <c r="I17" s="191"/>
      <c r="J17" s="191"/>
      <c r="K17" s="191"/>
      <c r="L17" s="191"/>
      <c r="M17" s="191"/>
      <c r="N17" s="191"/>
      <c r="O17" s="21">
        <f>ROW()</f>
        <v>17</v>
      </c>
    </row>
    <row r="18" spans="2:15" ht="15" customHeight="1">
      <c r="B18" s="4503" t="s">
        <v>5528</v>
      </c>
      <c r="C18" s="3779"/>
      <c r="D18" s="3779"/>
      <c r="E18" s="3779"/>
      <c r="F18" s="3779"/>
      <c r="G18" s="3779"/>
      <c r="H18" s="3779"/>
      <c r="I18" s="3779"/>
      <c r="J18" s="2803"/>
      <c r="K18" s="2803"/>
      <c r="L18" s="2803"/>
      <c r="M18" s="2803"/>
      <c r="N18" s="191"/>
      <c r="O18" s="21">
        <f>ROW()</f>
        <v>18</v>
      </c>
    </row>
    <row r="19" spans="2:15" ht="15" customHeight="1">
      <c r="B19" s="3779"/>
      <c r="C19" s="3779"/>
      <c r="D19" s="3779"/>
      <c r="E19" s="3779"/>
      <c r="F19" s="3779"/>
      <c r="G19" s="3779"/>
      <c r="H19" s="3779"/>
      <c r="I19" s="3779"/>
      <c r="J19" s="2803"/>
      <c r="K19" s="2803"/>
      <c r="L19" s="2803"/>
      <c r="M19" s="2803"/>
      <c r="N19" s="191"/>
      <c r="O19" s="21">
        <f>ROW()</f>
        <v>19</v>
      </c>
    </row>
    <row r="20" spans="2:15" ht="15" customHeight="1">
      <c r="B20" s="3779"/>
      <c r="C20" s="3779"/>
      <c r="D20" s="3779"/>
      <c r="E20" s="3779"/>
      <c r="F20" s="3779"/>
      <c r="G20" s="3779"/>
      <c r="H20" s="3779"/>
      <c r="I20" s="3779"/>
      <c r="J20" s="2803"/>
      <c r="K20" s="2803"/>
      <c r="L20" s="2803"/>
      <c r="M20" s="2803"/>
      <c r="N20" s="191"/>
      <c r="O20" s="21">
        <f>ROW()</f>
        <v>20</v>
      </c>
    </row>
    <row r="21" spans="2:15" ht="15" customHeight="1">
      <c r="B21" s="3779"/>
      <c r="C21" s="3779"/>
      <c r="D21" s="3779"/>
      <c r="E21" s="3779"/>
      <c r="F21" s="3779"/>
      <c r="G21" s="3779"/>
      <c r="H21" s="3779"/>
      <c r="I21" s="3779"/>
      <c r="J21" s="2803"/>
      <c r="K21" s="2803"/>
      <c r="L21" s="2803"/>
      <c r="M21" s="2803"/>
      <c r="N21" s="2370"/>
      <c r="O21" s="21">
        <f>ROW()</f>
        <v>21</v>
      </c>
    </row>
    <row r="22" spans="2:15" ht="15" customHeight="1">
      <c r="B22" s="3779"/>
      <c r="C22" s="3779"/>
      <c r="D22" s="3779"/>
      <c r="E22" s="3779"/>
      <c r="F22" s="3779"/>
      <c r="G22" s="3779"/>
      <c r="H22" s="3779"/>
      <c r="I22" s="3779"/>
      <c r="J22" s="2803"/>
      <c r="K22" s="2803"/>
      <c r="L22" s="2803"/>
      <c r="M22" s="2803"/>
      <c r="N22" s="2370"/>
      <c r="O22" s="21">
        <f>ROW()</f>
        <v>22</v>
      </c>
    </row>
    <row r="23" spans="2:15" ht="15" customHeight="1">
      <c r="B23" s="2781"/>
      <c r="C23" s="2781"/>
      <c r="D23" s="2781"/>
      <c r="E23" s="2781"/>
      <c r="F23" s="2781"/>
      <c r="G23" s="2781"/>
      <c r="H23" s="2781"/>
      <c r="I23" s="2781"/>
      <c r="J23" s="2803"/>
      <c r="K23" s="2803"/>
      <c r="L23" s="2803"/>
      <c r="M23" s="2803"/>
      <c r="N23" s="2370"/>
      <c r="O23" s="21">
        <f>ROW()</f>
        <v>23</v>
      </c>
    </row>
    <row r="24" spans="2:15" ht="15" customHeight="1">
      <c r="B24" s="2370" t="s">
        <v>4706</v>
      </c>
      <c r="C24" s="2370"/>
      <c r="D24" s="2370"/>
      <c r="E24" s="2370"/>
      <c r="F24" s="2370"/>
      <c r="G24" s="2370"/>
      <c r="H24" s="2370"/>
      <c r="I24" s="2370"/>
      <c r="J24" s="2370"/>
      <c r="K24" s="2370"/>
      <c r="L24" s="2370"/>
      <c r="M24" s="2370"/>
      <c r="N24" s="2370"/>
      <c r="O24" s="21">
        <f>ROW()</f>
        <v>24</v>
      </c>
    </row>
    <row r="25" spans="2:15" ht="15" customHeight="1">
      <c r="B25" s="2375"/>
      <c r="C25" s="2375"/>
      <c r="D25" s="2375"/>
      <c r="E25" s="2375"/>
      <c r="F25" s="2375"/>
      <c r="G25" s="2375"/>
      <c r="H25" s="2375"/>
      <c r="I25" s="2375"/>
      <c r="J25" s="2375"/>
      <c r="K25" s="2375"/>
      <c r="L25" s="2375"/>
      <c r="M25" s="2375"/>
      <c r="N25" s="2370"/>
      <c r="O25" s="21">
        <f>ROW()</f>
        <v>25</v>
      </c>
    </row>
    <row r="26" spans="2:15" ht="15" customHeight="1">
      <c r="B26" s="2375" t="s">
        <v>4697</v>
      </c>
      <c r="C26" s="2370"/>
      <c r="D26" s="2370"/>
      <c r="E26" s="2370"/>
      <c r="F26" s="2370"/>
      <c r="G26" s="2370"/>
      <c r="H26" s="2370"/>
      <c r="I26" s="2370"/>
      <c r="J26" s="2370"/>
      <c r="K26" s="2370"/>
      <c r="L26" s="2370"/>
      <c r="M26" s="2370"/>
      <c r="N26" s="2370"/>
      <c r="O26" s="21">
        <f>ROW()</f>
        <v>26</v>
      </c>
    </row>
    <row r="27" spans="2:15" ht="15" customHeight="1">
      <c r="B27" s="2370"/>
      <c r="C27" s="2370"/>
      <c r="D27" s="2370"/>
      <c r="E27" s="2370"/>
      <c r="F27" s="2370"/>
      <c r="G27" s="2370"/>
      <c r="H27" s="2370"/>
      <c r="I27" s="2370"/>
      <c r="J27" s="2370"/>
      <c r="K27" s="2370"/>
      <c r="L27" s="2370"/>
      <c r="M27" s="2370"/>
      <c r="N27" s="2370"/>
      <c r="O27" s="21">
        <f>ROW()</f>
        <v>27</v>
      </c>
    </row>
    <row r="28" spans="2:15" ht="15" customHeight="1">
      <c r="B28" s="4504" t="s">
        <v>4707</v>
      </c>
      <c r="C28" s="4055" t="s">
        <v>4714</v>
      </c>
      <c r="D28" s="2375"/>
      <c r="E28" s="4055" t="s">
        <v>4708</v>
      </c>
      <c r="F28" s="2375"/>
      <c r="G28" s="2370"/>
      <c r="H28" s="2370"/>
      <c r="I28" s="2370"/>
      <c r="J28" s="2370"/>
      <c r="K28" s="2370"/>
      <c r="L28" s="2370"/>
      <c r="M28" s="2370"/>
      <c r="N28" s="2370"/>
      <c r="O28" s="21">
        <f>ROW()</f>
        <v>28</v>
      </c>
    </row>
    <row r="29" spans="2:15" ht="15" customHeight="1">
      <c r="B29" s="4504"/>
      <c r="C29" s="4055"/>
      <c r="D29" s="2375"/>
      <c r="E29" s="4055"/>
      <c r="F29" s="2388"/>
      <c r="G29" s="2370"/>
      <c r="H29" s="2370"/>
      <c r="I29" s="2370"/>
      <c r="J29" s="2370"/>
      <c r="K29" s="2370"/>
      <c r="L29" s="2370"/>
      <c r="M29" s="2370"/>
      <c r="N29" s="2370"/>
      <c r="O29" s="21">
        <f>ROW()</f>
        <v>29</v>
      </c>
    </row>
    <row r="30" spans="2:15" ht="15" customHeight="1">
      <c r="B30" s="2783"/>
      <c r="C30" s="2784"/>
      <c r="D30" s="2101"/>
      <c r="E30" s="2784"/>
      <c r="F30" s="2785"/>
      <c r="G30" s="2370"/>
      <c r="H30" s="2370"/>
      <c r="I30" s="2370"/>
      <c r="J30" s="2370"/>
      <c r="K30" s="2370"/>
      <c r="L30" s="2370"/>
      <c r="M30" s="2370"/>
      <c r="N30" s="2370"/>
      <c r="O30" s="21">
        <f>ROW()</f>
        <v>30</v>
      </c>
    </row>
    <row r="31" spans="2:15" ht="15" customHeight="1">
      <c r="B31" s="2375" t="s">
        <v>1485</v>
      </c>
      <c r="C31" s="2370"/>
      <c r="D31" s="2370"/>
      <c r="E31" s="2370"/>
      <c r="F31" s="2370"/>
      <c r="G31" s="2370"/>
      <c r="H31" s="2370"/>
      <c r="I31" s="2370"/>
      <c r="J31" s="2370"/>
      <c r="K31" s="2370"/>
      <c r="L31" s="2370"/>
      <c r="M31" s="2370"/>
      <c r="N31" s="2370"/>
      <c r="O31" s="21">
        <f>ROW()</f>
        <v>31</v>
      </c>
    </row>
    <row r="32" spans="2:15" ht="15" customHeight="1">
      <c r="B32" s="2789" t="s">
        <v>4698</v>
      </c>
      <c r="C32" s="2786">
        <v>5.4</v>
      </c>
      <c r="D32" s="2786"/>
      <c r="E32" s="2790">
        <v>750</v>
      </c>
      <c r="F32" s="2371"/>
      <c r="G32" s="3066" t="s">
        <v>5383</v>
      </c>
      <c r="H32" s="2370"/>
      <c r="I32" s="2370"/>
      <c r="J32" s="2370"/>
      <c r="K32" s="2370"/>
      <c r="L32" s="2370"/>
      <c r="M32" s="2370"/>
      <c r="N32" s="2370"/>
      <c r="O32" s="21">
        <f>ROW()</f>
        <v>32</v>
      </c>
    </row>
    <row r="33" spans="2:15" ht="15" customHeight="1">
      <c r="B33" s="2789" t="s">
        <v>4699</v>
      </c>
      <c r="C33" s="2786">
        <v>9.3000000000000007</v>
      </c>
      <c r="D33" s="2786"/>
      <c r="E33" s="2790">
        <v>750</v>
      </c>
      <c r="F33" s="2371"/>
      <c r="G33" s="2370"/>
      <c r="H33" s="2370"/>
      <c r="I33" s="2370"/>
      <c r="J33" s="2370"/>
      <c r="K33" s="2370"/>
      <c r="L33" s="2370"/>
      <c r="M33" s="2370"/>
      <c r="N33" s="2370"/>
      <c r="O33" s="21">
        <f>ROW()</f>
        <v>33</v>
      </c>
    </row>
    <row r="34" spans="2:15" ht="15" customHeight="1">
      <c r="B34" s="2789">
        <v>4</v>
      </c>
      <c r="C34" s="2786">
        <v>4.9000000000000004</v>
      </c>
      <c r="D34" s="2786"/>
      <c r="E34" s="2790">
        <v>750</v>
      </c>
      <c r="F34" s="2371"/>
      <c r="G34" s="2370"/>
      <c r="H34" s="2370"/>
      <c r="I34" s="2370"/>
      <c r="J34" s="2370"/>
      <c r="K34" s="2370"/>
      <c r="L34" s="2370"/>
      <c r="M34" s="2370"/>
      <c r="N34" s="2370"/>
      <c r="O34" s="21">
        <f>ROW()</f>
        <v>34</v>
      </c>
    </row>
    <row r="35" spans="2:15" ht="15" customHeight="1">
      <c r="B35" s="2789">
        <v>5</v>
      </c>
      <c r="C35" s="2786">
        <v>7.7</v>
      </c>
      <c r="D35" s="2786"/>
      <c r="E35" s="2790">
        <v>750</v>
      </c>
      <c r="F35" s="2371"/>
      <c r="G35" s="2370"/>
      <c r="H35" s="2370"/>
      <c r="I35" s="2370"/>
      <c r="J35" s="2370"/>
      <c r="K35" s="2370"/>
      <c r="L35" s="2370"/>
      <c r="M35" s="2370"/>
      <c r="N35" s="2370"/>
      <c r="O35" s="21">
        <f>ROW()</f>
        <v>35</v>
      </c>
    </row>
    <row r="36" spans="2:15" ht="15" customHeight="1">
      <c r="B36" s="2789">
        <v>7</v>
      </c>
      <c r="C36" s="2787">
        <v>9.6999999999999993</v>
      </c>
      <c r="D36" s="2787"/>
      <c r="E36" s="2790">
        <v>750</v>
      </c>
      <c r="F36" s="2371"/>
      <c r="G36" s="2370"/>
      <c r="H36" s="2370"/>
      <c r="I36" s="2370"/>
      <c r="J36" s="2370"/>
      <c r="K36" s="2370"/>
      <c r="L36" s="2370"/>
      <c r="M36" s="2370"/>
      <c r="N36" s="2370"/>
      <c r="O36" s="21">
        <f>ROW()</f>
        <v>36</v>
      </c>
    </row>
    <row r="37" spans="2:15" ht="15" customHeight="1">
      <c r="B37" s="2789">
        <v>8</v>
      </c>
      <c r="C37" s="2787">
        <v>9.9</v>
      </c>
      <c r="D37" s="2787"/>
      <c r="E37" s="2791">
        <v>3250</v>
      </c>
      <c r="F37" s="2371"/>
      <c r="G37" s="2370"/>
      <c r="H37" s="2370"/>
      <c r="I37" s="2370"/>
      <c r="J37" s="2370"/>
      <c r="K37" s="2370"/>
      <c r="L37" s="2370"/>
      <c r="M37" s="2370"/>
      <c r="N37" s="2370"/>
      <c r="O37" s="21">
        <f>ROW()</f>
        <v>37</v>
      </c>
    </row>
    <row r="38" spans="2:15" ht="15" customHeight="1">
      <c r="B38" s="2789">
        <v>9</v>
      </c>
      <c r="C38" s="2787">
        <v>8.1</v>
      </c>
      <c r="D38" s="2787"/>
      <c r="E38" s="2791">
        <v>3250</v>
      </c>
      <c r="F38" s="2371"/>
      <c r="G38" s="2370"/>
      <c r="H38" s="2370"/>
      <c r="I38" s="2370"/>
      <c r="J38" s="2370"/>
      <c r="K38" s="2370"/>
      <c r="L38" s="2370"/>
      <c r="M38" s="2370"/>
      <c r="N38" s="2370"/>
      <c r="O38" s="21">
        <f>ROW()</f>
        <v>38</v>
      </c>
    </row>
    <row r="39" spans="2:15" ht="15" customHeight="1">
      <c r="B39" s="2789">
        <v>10</v>
      </c>
      <c r="C39" s="2787">
        <v>10.199999999999999</v>
      </c>
      <c r="D39" s="2787"/>
      <c r="E39" s="2791">
        <v>3250</v>
      </c>
      <c r="F39" s="2371"/>
      <c r="G39" s="2370"/>
      <c r="H39" s="2370"/>
      <c r="I39" s="2370"/>
      <c r="J39" s="2370"/>
      <c r="K39" s="2370"/>
      <c r="L39" s="2370"/>
      <c r="M39" s="2370"/>
      <c r="N39" s="2370"/>
      <c r="O39" s="21">
        <f>ROW()</f>
        <v>39</v>
      </c>
    </row>
    <row r="40" spans="2:15" ht="15" customHeight="1">
      <c r="B40" s="2789">
        <v>11</v>
      </c>
      <c r="C40" s="2787">
        <v>12.2</v>
      </c>
      <c r="D40" s="2787"/>
      <c r="E40" s="2791">
        <v>2000</v>
      </c>
      <c r="F40" s="2371"/>
      <c r="G40" s="2370"/>
      <c r="H40" s="2370"/>
      <c r="I40" s="2370"/>
      <c r="J40" s="2370"/>
      <c r="K40" s="2370"/>
      <c r="L40" s="2370"/>
      <c r="M40" s="2370"/>
      <c r="N40" s="2370"/>
      <c r="O40" s="21">
        <f>ROW()</f>
        <v>40</v>
      </c>
    </row>
    <row r="41" spans="2:15" ht="15" customHeight="1">
      <c r="B41" s="2789">
        <v>12</v>
      </c>
      <c r="C41" s="2787">
        <v>12.8</v>
      </c>
      <c r="D41" s="2787"/>
      <c r="E41" s="2791">
        <v>2000</v>
      </c>
      <c r="F41" s="2371"/>
      <c r="G41" s="2370"/>
      <c r="H41" s="2370"/>
      <c r="I41" s="2370"/>
      <c r="J41" s="2370"/>
      <c r="K41" s="2370"/>
      <c r="L41" s="2370"/>
      <c r="M41" s="2370"/>
      <c r="N41" s="2370"/>
      <c r="O41" s="21">
        <f>ROW()</f>
        <v>41</v>
      </c>
    </row>
    <row r="42" spans="2:15" ht="15" customHeight="1">
      <c r="B42" s="2402" t="s">
        <v>4709</v>
      </c>
      <c r="C42" s="3041">
        <f>SUMPRODUCT(C32:C41,E32:E41)/E42</f>
        <v>9.68</v>
      </c>
      <c r="D42" s="2792" t="s">
        <v>4710</v>
      </c>
      <c r="E42" s="2793">
        <f>SUM(E32:E41)</f>
        <v>17500</v>
      </c>
      <c r="F42" s="2371"/>
      <c r="G42" s="2370"/>
      <c r="H42" s="2370"/>
      <c r="I42" s="2370"/>
      <c r="J42" s="2370"/>
      <c r="K42" s="2370"/>
      <c r="L42" s="2370"/>
      <c r="M42" s="2370"/>
      <c r="N42" s="2370"/>
      <c r="O42" s="21">
        <f>ROW()</f>
        <v>42</v>
      </c>
    </row>
    <row r="43" spans="2:15" ht="15" customHeight="1">
      <c r="B43" s="2370"/>
      <c r="C43" s="2787"/>
      <c r="D43" s="2787"/>
      <c r="E43" s="2791"/>
      <c r="F43" s="2371"/>
      <c r="G43" s="2370"/>
      <c r="H43" s="2370"/>
      <c r="I43" s="2370"/>
      <c r="J43" s="2370"/>
      <c r="K43" s="2370"/>
      <c r="L43" s="2370"/>
      <c r="M43" s="2370"/>
      <c r="N43" s="2370"/>
      <c r="O43" s="21">
        <f>ROW()</f>
        <v>43</v>
      </c>
    </row>
    <row r="44" spans="2:15" ht="15" customHeight="1">
      <c r="B44" s="2375" t="s">
        <v>4711</v>
      </c>
      <c r="C44" s="2370"/>
      <c r="D44" s="2370"/>
      <c r="E44" s="2790"/>
      <c r="F44" s="2371"/>
      <c r="G44" s="2370"/>
      <c r="H44" s="2370"/>
      <c r="I44" s="2370"/>
      <c r="J44" s="2370"/>
      <c r="K44" s="2370"/>
      <c r="L44" s="2370"/>
      <c r="M44" s="2370"/>
      <c r="N44" s="2370"/>
      <c r="O44" s="21">
        <f>ROW()</f>
        <v>44</v>
      </c>
    </row>
    <row r="45" spans="2:15" ht="15" customHeight="1">
      <c r="B45" s="2789">
        <v>7</v>
      </c>
      <c r="C45" s="2787">
        <v>1.4</v>
      </c>
      <c r="D45" s="2787"/>
      <c r="E45" s="2791">
        <v>3250</v>
      </c>
      <c r="F45" s="2371"/>
      <c r="G45" s="2370"/>
      <c r="H45" s="2370"/>
      <c r="I45" s="2370"/>
      <c r="J45" s="2370"/>
      <c r="K45" s="2370"/>
      <c r="L45" s="2370"/>
      <c r="M45" s="2370"/>
      <c r="N45" s="2370"/>
      <c r="O45" s="21">
        <f>ROW()</f>
        <v>45</v>
      </c>
    </row>
    <row r="46" spans="2:15" ht="15" customHeight="1">
      <c r="B46" s="2789">
        <v>8</v>
      </c>
      <c r="C46" s="2787">
        <v>1</v>
      </c>
      <c r="D46" s="2787"/>
      <c r="E46" s="2790">
        <f>6100</f>
        <v>6100</v>
      </c>
      <c r="F46" s="2371"/>
      <c r="G46" s="2370"/>
      <c r="H46" s="2370"/>
      <c r="I46" s="2370"/>
      <c r="J46" s="2370"/>
      <c r="K46" s="2370"/>
      <c r="L46" s="2370"/>
      <c r="M46" s="2370"/>
      <c r="N46" s="2370"/>
      <c r="O46" s="21">
        <f>ROW()</f>
        <v>46</v>
      </c>
    </row>
    <row r="47" spans="2:15" ht="15" customHeight="1">
      <c r="B47" s="2789">
        <v>9</v>
      </c>
      <c r="C47" s="2787">
        <v>4.3</v>
      </c>
      <c r="D47" s="2787"/>
      <c r="E47" s="2791">
        <v>750</v>
      </c>
      <c r="F47" s="2371"/>
      <c r="G47" s="2370"/>
      <c r="H47" s="2370"/>
      <c r="I47" s="2370"/>
      <c r="J47" s="2370"/>
      <c r="K47" s="2370"/>
      <c r="L47" s="2370"/>
      <c r="M47" s="2370"/>
      <c r="N47" s="2370"/>
      <c r="O47" s="21">
        <f>ROW()</f>
        <v>47</v>
      </c>
    </row>
    <row r="48" spans="2:15" ht="15" customHeight="1">
      <c r="B48" s="2789">
        <v>10</v>
      </c>
      <c r="C48" s="2787">
        <v>4.5</v>
      </c>
      <c r="D48" s="2787"/>
      <c r="E48" s="2791">
        <v>750</v>
      </c>
      <c r="F48" s="2371"/>
      <c r="G48" s="2370"/>
      <c r="H48" s="2370"/>
      <c r="I48" s="2370"/>
      <c r="J48" s="2370"/>
      <c r="K48" s="2370"/>
      <c r="L48" s="2370"/>
      <c r="M48" s="2370"/>
      <c r="N48" s="2370"/>
      <c r="O48" s="21">
        <f>ROW()</f>
        <v>48</v>
      </c>
    </row>
    <row r="49" spans="2:15" ht="15" customHeight="1">
      <c r="B49" s="2789">
        <v>11</v>
      </c>
      <c r="C49" s="2787">
        <v>2.8</v>
      </c>
      <c r="D49" s="2787"/>
      <c r="E49" s="2790">
        <v>750</v>
      </c>
      <c r="F49" s="2371"/>
      <c r="G49" s="2370"/>
      <c r="H49" s="2370"/>
      <c r="I49" s="2370"/>
      <c r="J49" s="2370"/>
      <c r="K49" s="2370"/>
      <c r="L49" s="2370"/>
      <c r="M49" s="2370"/>
      <c r="N49" s="2370"/>
      <c r="O49" s="21">
        <f>ROW()</f>
        <v>49</v>
      </c>
    </row>
    <row r="50" spans="2:15" ht="15" customHeight="1">
      <c r="B50" s="2789">
        <v>12</v>
      </c>
      <c r="C50" s="2787">
        <v>6.8</v>
      </c>
      <c r="D50" s="2787"/>
      <c r="E50" s="2791">
        <v>3250</v>
      </c>
      <c r="F50" s="2371"/>
      <c r="G50" s="2370"/>
      <c r="H50" s="2370"/>
      <c r="I50" s="2370"/>
      <c r="J50" s="2370"/>
      <c r="K50" s="2370"/>
      <c r="L50" s="2370"/>
      <c r="M50" s="2370"/>
      <c r="N50" s="2370"/>
      <c r="O50" s="21">
        <f>ROW()</f>
        <v>50</v>
      </c>
    </row>
    <row r="51" spans="2:15" ht="15" customHeight="1">
      <c r="B51" s="2402" t="s">
        <v>4709</v>
      </c>
      <c r="C51" s="3041">
        <f>SUMPRODUCT(C45:C50,E45:E50)/E51</f>
        <v>2.7912457912457911</v>
      </c>
      <c r="D51" s="2792" t="s">
        <v>4710</v>
      </c>
      <c r="E51" s="2793">
        <f>SUM(E45:E50)</f>
        <v>14850</v>
      </c>
      <c r="F51" s="2371"/>
      <c r="G51" s="2370"/>
      <c r="H51" s="2370"/>
      <c r="I51" s="2370"/>
      <c r="J51" s="2370"/>
      <c r="K51" s="2370"/>
      <c r="L51" s="2370"/>
      <c r="M51" s="2370"/>
      <c r="N51" s="2370"/>
      <c r="O51" s="21">
        <f>ROW()</f>
        <v>51</v>
      </c>
    </row>
    <row r="52" spans="2:15" ht="15" customHeight="1">
      <c r="B52" s="2370"/>
      <c r="C52" s="2787"/>
      <c r="D52" s="2787"/>
      <c r="E52" s="2791"/>
      <c r="F52" s="2371"/>
      <c r="G52" s="2370"/>
      <c r="H52" s="2370"/>
      <c r="I52" s="2370"/>
      <c r="J52" s="2370"/>
      <c r="K52" s="2370"/>
      <c r="L52" s="2370"/>
      <c r="M52" s="2370"/>
      <c r="N52" s="2370"/>
      <c r="O52" s="21">
        <f>ROW()</f>
        <v>52</v>
      </c>
    </row>
    <row r="53" spans="2:15" ht="15" customHeight="1">
      <c r="B53" s="2375" t="s">
        <v>1484</v>
      </c>
      <c r="C53" s="2370"/>
      <c r="D53" s="2370"/>
      <c r="E53" s="2790"/>
      <c r="F53" s="2371"/>
      <c r="G53" s="2370"/>
      <c r="H53" s="2370"/>
      <c r="I53" s="2370"/>
      <c r="J53" s="2370"/>
      <c r="K53" s="2370"/>
      <c r="L53" s="2370"/>
      <c r="M53" s="2370"/>
      <c r="N53" s="2370"/>
      <c r="O53" s="21">
        <f>ROW()</f>
        <v>53</v>
      </c>
    </row>
    <row r="54" spans="2:15" ht="15" customHeight="1">
      <c r="B54" s="2789">
        <v>1</v>
      </c>
      <c r="C54" s="2787">
        <v>3.3</v>
      </c>
      <c r="D54" s="2787"/>
      <c r="E54" s="2791">
        <v>3250</v>
      </c>
      <c r="F54" s="2371"/>
      <c r="G54" s="2370"/>
      <c r="H54" s="2370"/>
      <c r="I54" s="2370"/>
      <c r="J54" s="2370"/>
      <c r="K54" s="2370"/>
      <c r="L54" s="2370"/>
      <c r="M54" s="2370"/>
      <c r="N54" s="2370"/>
      <c r="O54" s="21">
        <f>ROW()</f>
        <v>54</v>
      </c>
    </row>
    <row r="55" spans="2:15" ht="15" customHeight="1">
      <c r="B55" s="2789">
        <v>2</v>
      </c>
      <c r="C55" s="2787">
        <v>2.2000000000000002</v>
      </c>
      <c r="D55" s="2787"/>
      <c r="E55" s="2791">
        <v>2000</v>
      </c>
      <c r="F55" s="2371"/>
      <c r="G55" s="2370"/>
      <c r="H55" s="2370"/>
      <c r="I55" s="2370"/>
      <c r="J55" s="2370"/>
      <c r="K55" s="2370"/>
      <c r="L55" s="2370"/>
      <c r="M55" s="2370"/>
      <c r="N55" s="2370"/>
      <c r="O55" s="21">
        <f>ROW()</f>
        <v>55</v>
      </c>
    </row>
    <row r="56" spans="2:15" ht="15" customHeight="1">
      <c r="B56" s="2789">
        <v>3</v>
      </c>
      <c r="C56" s="2787">
        <v>5.2</v>
      </c>
      <c r="D56" s="2787"/>
      <c r="E56" s="2791">
        <v>3250</v>
      </c>
      <c r="F56" s="2371"/>
      <c r="G56" s="2370"/>
      <c r="H56" s="2370"/>
      <c r="I56" s="2370"/>
      <c r="J56" s="2370"/>
      <c r="K56" s="2370"/>
      <c r="L56" s="2370"/>
      <c r="M56" s="2370"/>
      <c r="N56" s="2370"/>
      <c r="O56" s="21">
        <f>ROW()</f>
        <v>56</v>
      </c>
    </row>
    <row r="57" spans="2:15" ht="15" customHeight="1">
      <c r="B57" s="2789">
        <v>4</v>
      </c>
      <c r="C57" s="2787">
        <v>5.8</v>
      </c>
      <c r="D57" s="2787"/>
      <c r="E57" s="2791">
        <v>2000</v>
      </c>
      <c r="F57" s="2371"/>
      <c r="G57" s="2370"/>
      <c r="H57" s="2370"/>
      <c r="I57" s="2370"/>
      <c r="J57" s="2370"/>
      <c r="K57" s="2370"/>
      <c r="L57" s="2370"/>
      <c r="M57" s="2370"/>
      <c r="N57" s="2370"/>
      <c r="O57" s="21">
        <f>ROW()</f>
        <v>57</v>
      </c>
    </row>
    <row r="58" spans="2:15" ht="15" customHeight="1">
      <c r="B58" s="2789">
        <v>5</v>
      </c>
      <c r="C58" s="2787">
        <v>6.4</v>
      </c>
      <c r="D58" s="2787"/>
      <c r="E58" s="2791">
        <v>4500</v>
      </c>
      <c r="F58" s="2371"/>
      <c r="G58" s="2370"/>
      <c r="H58" s="2370"/>
      <c r="I58" s="2370"/>
      <c r="J58" s="2370"/>
      <c r="K58" s="2370"/>
      <c r="L58" s="2370"/>
      <c r="M58" s="2370"/>
      <c r="N58" s="2370"/>
      <c r="O58" s="21">
        <f>ROW()</f>
        <v>58</v>
      </c>
    </row>
    <row r="59" spans="2:15" ht="15" customHeight="1">
      <c r="B59" s="2789">
        <v>6</v>
      </c>
      <c r="C59" s="2787">
        <v>7.1</v>
      </c>
      <c r="D59" s="2787"/>
      <c r="E59" s="2791">
        <v>2000</v>
      </c>
      <c r="F59" s="2371"/>
      <c r="G59" s="2370"/>
      <c r="H59" s="2370"/>
      <c r="I59" s="2370"/>
      <c r="J59" s="2370"/>
      <c r="K59" s="2370"/>
      <c r="L59" s="2370"/>
      <c r="M59" s="2370"/>
      <c r="N59" s="2370"/>
      <c r="O59" s="21">
        <f>ROW()</f>
        <v>59</v>
      </c>
    </row>
    <row r="60" spans="2:15" ht="15" customHeight="1">
      <c r="B60" s="2789">
        <v>7</v>
      </c>
      <c r="C60" s="2787">
        <v>8.8000000000000007</v>
      </c>
      <c r="D60" s="2787"/>
      <c r="E60" s="2791">
        <v>6100</v>
      </c>
      <c r="F60" s="2371"/>
      <c r="G60" s="2370"/>
      <c r="H60" s="2370"/>
      <c r="I60" s="2370"/>
      <c r="J60" s="2370"/>
      <c r="K60" s="2370"/>
      <c r="L60" s="2370"/>
      <c r="M60" s="2370"/>
      <c r="N60" s="2370"/>
      <c r="O60" s="21">
        <f>ROW()</f>
        <v>60</v>
      </c>
    </row>
    <row r="61" spans="2:15" ht="15" customHeight="1">
      <c r="B61" s="2789">
        <v>8</v>
      </c>
      <c r="C61" s="2787">
        <v>9.6999999999999993</v>
      </c>
      <c r="D61" s="2787"/>
      <c r="E61" s="2791">
        <v>4500</v>
      </c>
      <c r="F61" s="2371"/>
      <c r="G61" s="2370"/>
      <c r="H61" s="2370"/>
      <c r="I61" s="2370"/>
      <c r="J61" s="2370"/>
      <c r="K61" s="2370"/>
      <c r="L61" s="2370"/>
      <c r="M61" s="2370"/>
      <c r="N61" s="2370"/>
      <c r="O61" s="21">
        <f>ROW()</f>
        <v>61</v>
      </c>
    </row>
    <row r="62" spans="2:15" ht="15" customHeight="1">
      <c r="B62" s="2789">
        <v>9</v>
      </c>
      <c r="C62" s="2787">
        <v>11.1</v>
      </c>
      <c r="D62" s="2787"/>
      <c r="E62" s="2791">
        <v>2000</v>
      </c>
      <c r="F62" s="2371"/>
      <c r="G62" s="2370"/>
      <c r="H62" s="2370"/>
      <c r="I62" s="2370"/>
      <c r="J62" s="2370"/>
      <c r="K62" s="2370"/>
      <c r="L62" s="2370"/>
      <c r="M62" s="2370"/>
      <c r="N62" s="2370"/>
      <c r="O62" s="21">
        <f>ROW()</f>
        <v>62</v>
      </c>
    </row>
    <row r="63" spans="2:15" ht="15" customHeight="1">
      <c r="B63" s="2789">
        <v>10</v>
      </c>
      <c r="C63" s="2787">
        <v>11.8</v>
      </c>
      <c r="D63" s="2787"/>
      <c r="E63" s="2791">
        <v>3250</v>
      </c>
      <c r="F63" s="2371"/>
      <c r="G63" s="2370"/>
      <c r="H63" s="2370"/>
      <c r="I63" s="2370"/>
      <c r="J63" s="2370"/>
      <c r="K63" s="2370"/>
      <c r="L63" s="2370"/>
      <c r="M63" s="2370"/>
      <c r="N63" s="2370"/>
      <c r="O63" s="21">
        <f>ROW()</f>
        <v>63</v>
      </c>
    </row>
    <row r="64" spans="2:15" ht="15" customHeight="1">
      <c r="B64" s="2789">
        <v>11</v>
      </c>
      <c r="C64" s="2787">
        <v>12.6</v>
      </c>
      <c r="D64" s="2787"/>
      <c r="E64" s="2791">
        <v>4500</v>
      </c>
      <c r="F64" s="2371"/>
      <c r="G64" s="2370"/>
      <c r="H64" s="2370"/>
      <c r="I64" s="2370"/>
      <c r="J64" s="2370"/>
      <c r="K64" s="2370"/>
      <c r="L64" s="2370"/>
      <c r="M64" s="2370"/>
      <c r="N64" s="2370"/>
      <c r="O64" s="21">
        <f>ROW()</f>
        <v>64</v>
      </c>
    </row>
    <row r="65" spans="2:15" ht="15" customHeight="1">
      <c r="B65" s="2789">
        <v>12</v>
      </c>
      <c r="C65" s="2787">
        <v>12.8</v>
      </c>
      <c r="D65" s="2787"/>
      <c r="E65" s="2791">
        <v>3250</v>
      </c>
      <c r="F65" s="2371"/>
      <c r="G65" s="2370"/>
      <c r="H65" s="2370"/>
      <c r="I65" s="2370"/>
      <c r="J65" s="2370"/>
      <c r="K65" s="2370"/>
      <c r="L65" s="2370"/>
      <c r="M65" s="2370"/>
      <c r="N65" s="2370"/>
      <c r="O65" s="21">
        <f>ROW()</f>
        <v>65</v>
      </c>
    </row>
    <row r="66" spans="2:15" ht="15" customHeight="1">
      <c r="B66" s="2789">
        <v>13</v>
      </c>
      <c r="C66" s="2787">
        <v>15.7</v>
      </c>
      <c r="D66" s="2787"/>
      <c r="E66" s="2791">
        <v>6100</v>
      </c>
      <c r="F66" s="2371"/>
      <c r="G66" s="2370"/>
      <c r="H66" s="2370"/>
      <c r="I66" s="2370"/>
      <c r="J66" s="2370"/>
      <c r="K66" s="2370"/>
      <c r="L66" s="2370"/>
      <c r="M66" s="2370"/>
      <c r="N66" s="2370"/>
      <c r="O66" s="21">
        <f>ROW()</f>
        <v>66</v>
      </c>
    </row>
    <row r="67" spans="2:15" ht="15" customHeight="1">
      <c r="B67" s="2789">
        <v>14</v>
      </c>
      <c r="C67" s="2787">
        <v>16.5</v>
      </c>
      <c r="D67" s="2787"/>
      <c r="E67" s="2791">
        <v>2000</v>
      </c>
      <c r="F67" s="2371"/>
      <c r="G67" s="2370"/>
      <c r="H67" s="2370"/>
      <c r="I67" s="2370"/>
      <c r="J67" s="2370"/>
      <c r="K67" s="2370"/>
      <c r="L67" s="2370"/>
      <c r="M67" s="2370"/>
      <c r="N67" s="2370"/>
      <c r="O67" s="21">
        <f>ROW()</f>
        <v>67</v>
      </c>
    </row>
    <row r="68" spans="2:15" ht="15" customHeight="1">
      <c r="B68" s="2402" t="s">
        <v>4709</v>
      </c>
      <c r="C68" s="3041">
        <f>SUMPRODUCT(C54:C67,E54:E67)/E68</f>
        <v>9.6832648870636557</v>
      </c>
      <c r="D68" s="2792" t="s">
        <v>4710</v>
      </c>
      <c r="E68" s="2793">
        <f>SUM(E54:E67)</f>
        <v>48700</v>
      </c>
      <c r="F68" s="2371"/>
      <c r="G68" s="2370"/>
      <c r="H68" s="2370"/>
      <c r="I68" s="2370"/>
      <c r="J68" s="2370"/>
      <c r="K68" s="2370"/>
      <c r="L68" s="2370"/>
      <c r="M68" s="2370"/>
      <c r="N68" s="2370"/>
      <c r="O68" s="21">
        <f>ROW()</f>
        <v>68</v>
      </c>
    </row>
    <row r="69" spans="2:15" ht="15" customHeight="1">
      <c r="C69" s="2370"/>
      <c r="D69" s="2370"/>
      <c r="E69" s="2790"/>
      <c r="F69" s="2371"/>
      <c r="G69" s="2370"/>
      <c r="H69" s="2370"/>
      <c r="I69" s="2370"/>
      <c r="J69" s="2370"/>
      <c r="K69" s="2370"/>
      <c r="L69" s="2370"/>
      <c r="M69" s="2370"/>
      <c r="N69" s="2370"/>
      <c r="O69" s="21">
        <f>ROW()</f>
        <v>69</v>
      </c>
    </row>
    <row r="70" spans="2:15" ht="15" customHeight="1">
      <c r="B70" s="2375" t="s">
        <v>1486</v>
      </c>
      <c r="C70" s="2370"/>
      <c r="D70" s="2370"/>
      <c r="E70" s="2790"/>
      <c r="F70" s="2371"/>
      <c r="G70" s="2370"/>
      <c r="H70" s="2370"/>
      <c r="I70" s="2370"/>
      <c r="J70" s="2370"/>
      <c r="K70" s="2370"/>
      <c r="L70" s="2370"/>
      <c r="M70" s="2370"/>
      <c r="N70" s="2370"/>
      <c r="O70" s="21">
        <f>ROW()</f>
        <v>70</v>
      </c>
    </row>
    <row r="71" spans="2:15" ht="15" customHeight="1">
      <c r="B71" s="2789">
        <v>1</v>
      </c>
      <c r="C71" s="2787">
        <v>2.4</v>
      </c>
      <c r="D71" s="2787"/>
      <c r="E71" s="2791">
        <v>750</v>
      </c>
      <c r="F71" s="2371"/>
      <c r="G71" s="2370"/>
      <c r="H71" s="2370"/>
      <c r="I71" s="2370"/>
      <c r="J71" s="2370"/>
      <c r="K71" s="2370"/>
      <c r="L71" s="2370"/>
      <c r="M71" s="2370"/>
      <c r="N71" s="2370"/>
      <c r="O71" s="21">
        <f>ROW()</f>
        <v>71</v>
      </c>
    </row>
    <row r="72" spans="2:15" ht="15" customHeight="1">
      <c r="B72" s="2789">
        <v>2</v>
      </c>
      <c r="C72" s="2787">
        <v>2.1</v>
      </c>
      <c r="D72" s="2787"/>
      <c r="E72" s="2791">
        <v>2000</v>
      </c>
      <c r="F72" s="2371"/>
      <c r="G72" s="2370"/>
      <c r="H72" s="2370"/>
      <c r="I72" s="2370"/>
      <c r="J72" s="2370"/>
      <c r="K72" s="2370"/>
      <c r="L72" s="2370"/>
      <c r="M72" s="2370"/>
      <c r="N72" s="2370"/>
      <c r="O72" s="21">
        <f>ROW()</f>
        <v>72</v>
      </c>
    </row>
    <row r="73" spans="2:15" ht="15" customHeight="1">
      <c r="B73" s="2789">
        <v>3</v>
      </c>
      <c r="C73" s="2787">
        <v>3.7</v>
      </c>
      <c r="D73" s="2787"/>
      <c r="E73" s="2791">
        <v>750</v>
      </c>
      <c r="F73" s="2371"/>
      <c r="G73" s="2370"/>
      <c r="H73" s="2370"/>
      <c r="I73" s="2370"/>
      <c r="J73" s="2370"/>
      <c r="K73" s="2370"/>
      <c r="L73" s="2370"/>
      <c r="M73" s="2370"/>
      <c r="N73" s="2370"/>
      <c r="O73" s="21">
        <f>ROW()</f>
        <v>73</v>
      </c>
    </row>
    <row r="74" spans="2:15" ht="15" customHeight="1">
      <c r="B74" s="2789">
        <v>4</v>
      </c>
      <c r="C74" s="2787">
        <v>4.0999999999999996</v>
      </c>
      <c r="D74" s="2787"/>
      <c r="E74" s="2791">
        <v>750</v>
      </c>
      <c r="F74" s="2371"/>
      <c r="G74" s="2370"/>
      <c r="H74" s="2370"/>
      <c r="I74" s="2370"/>
      <c r="J74" s="2370"/>
      <c r="K74" s="2370"/>
      <c r="L74" s="2370"/>
      <c r="M74" s="2370"/>
      <c r="N74" s="2370"/>
      <c r="O74" s="21">
        <f>ROW()</f>
        <v>74</v>
      </c>
    </row>
    <row r="75" spans="2:15" ht="15" customHeight="1">
      <c r="B75" s="2789">
        <v>5</v>
      </c>
      <c r="C75" s="2787">
        <v>7.7</v>
      </c>
      <c r="D75" s="2787"/>
      <c r="E75" s="2791">
        <v>750</v>
      </c>
      <c r="F75" s="2371"/>
      <c r="G75" s="2370"/>
      <c r="H75" s="2370"/>
      <c r="I75" s="2370"/>
      <c r="J75" s="2370"/>
      <c r="K75" s="2370"/>
      <c r="L75" s="2370"/>
      <c r="M75" s="2370"/>
      <c r="N75" s="2370"/>
      <c r="O75" s="21">
        <f>ROW()</f>
        <v>75</v>
      </c>
    </row>
    <row r="76" spans="2:15" ht="15" customHeight="1">
      <c r="B76" s="2789">
        <v>6</v>
      </c>
      <c r="C76" s="2787">
        <v>3.2</v>
      </c>
      <c r="D76" s="2787"/>
      <c r="E76" s="2791">
        <v>2000</v>
      </c>
      <c r="F76" s="2371"/>
      <c r="G76" s="2370"/>
      <c r="H76" s="2370"/>
      <c r="I76" s="2370"/>
      <c r="J76" s="2370"/>
      <c r="K76" s="2370"/>
      <c r="L76" s="2370"/>
      <c r="M76" s="2370"/>
      <c r="N76" s="2370"/>
      <c r="O76" s="21">
        <f>ROW()</f>
        <v>76</v>
      </c>
    </row>
    <row r="77" spans="2:15" ht="15" customHeight="1">
      <c r="B77" s="2789">
        <v>7</v>
      </c>
      <c r="C77" s="2787">
        <v>7.4</v>
      </c>
      <c r="D77" s="2787"/>
      <c r="E77" s="2791">
        <v>2000</v>
      </c>
      <c r="F77" s="2371"/>
      <c r="G77" s="2370"/>
      <c r="H77" s="2370"/>
      <c r="I77" s="2370"/>
      <c r="J77" s="2370"/>
      <c r="K77" s="2370"/>
      <c r="L77" s="2370"/>
      <c r="M77" s="2370"/>
      <c r="N77" s="2370"/>
      <c r="O77" s="21">
        <f>ROW()</f>
        <v>77</v>
      </c>
    </row>
    <row r="78" spans="2:15" ht="15" customHeight="1">
      <c r="B78" s="2789">
        <v>8</v>
      </c>
      <c r="C78" s="2787">
        <v>4.8</v>
      </c>
      <c r="D78" s="2787"/>
      <c r="E78" s="2791">
        <v>750</v>
      </c>
      <c r="F78" s="2371"/>
      <c r="G78" s="2370"/>
      <c r="H78" s="2370"/>
      <c r="I78" s="2370"/>
      <c r="J78" s="2370"/>
      <c r="K78" s="2370"/>
      <c r="L78" s="2370"/>
      <c r="M78" s="2370"/>
      <c r="N78" s="2370"/>
      <c r="O78" s="21">
        <f>ROW()</f>
        <v>78</v>
      </c>
    </row>
    <row r="79" spans="2:15" ht="15" customHeight="1">
      <c r="B79" s="2789">
        <v>9</v>
      </c>
      <c r="C79" s="2787">
        <v>4.7</v>
      </c>
      <c r="D79" s="2787"/>
      <c r="E79" s="2791">
        <v>750</v>
      </c>
      <c r="F79" s="2371"/>
      <c r="G79" s="2370"/>
      <c r="H79" s="2370"/>
      <c r="I79" s="2370"/>
      <c r="J79" s="2370"/>
      <c r="K79" s="2370"/>
      <c r="L79" s="2370"/>
      <c r="M79" s="2370"/>
      <c r="N79" s="2370"/>
      <c r="O79" s="21">
        <f>ROW()</f>
        <v>79</v>
      </c>
    </row>
    <row r="80" spans="2:15" ht="15" customHeight="1">
      <c r="B80" s="2789">
        <v>10</v>
      </c>
      <c r="C80" s="2787">
        <v>7.8</v>
      </c>
      <c r="D80" s="2787"/>
      <c r="E80" s="2791">
        <v>3250</v>
      </c>
      <c r="F80" s="2371"/>
      <c r="G80" s="2370"/>
      <c r="H80" s="2370"/>
      <c r="I80" s="2370"/>
      <c r="J80" s="2370"/>
      <c r="K80" s="2370"/>
      <c r="L80" s="2370"/>
      <c r="M80" s="2370"/>
      <c r="N80" s="2370"/>
      <c r="O80" s="21">
        <f>ROW()</f>
        <v>80</v>
      </c>
    </row>
    <row r="81" spans="2:15" ht="15" customHeight="1">
      <c r="B81" s="2789">
        <v>11</v>
      </c>
      <c r="C81" s="2787">
        <v>9.1999999999999993</v>
      </c>
      <c r="D81" s="2787"/>
      <c r="E81" s="2791">
        <v>3250</v>
      </c>
      <c r="F81" s="2371"/>
      <c r="G81" s="2370"/>
      <c r="H81" s="2370"/>
      <c r="I81" s="2370"/>
      <c r="J81" s="2370"/>
      <c r="K81" s="2370"/>
      <c r="L81" s="2370"/>
      <c r="M81" s="2370"/>
      <c r="N81" s="2370"/>
      <c r="O81" s="21">
        <f>ROW()</f>
        <v>81</v>
      </c>
    </row>
    <row r="82" spans="2:15" ht="15" customHeight="1">
      <c r="B82" s="2789">
        <v>12</v>
      </c>
      <c r="C82" s="2787">
        <v>7.4</v>
      </c>
      <c r="D82" s="2787"/>
      <c r="E82" s="2791">
        <v>2000</v>
      </c>
      <c r="F82" s="2371"/>
      <c r="G82" s="2370"/>
      <c r="H82" s="2370"/>
      <c r="I82" s="2370"/>
      <c r="J82" s="2370"/>
      <c r="K82" s="2370"/>
      <c r="L82" s="2370"/>
      <c r="M82" s="2370"/>
      <c r="N82" s="2370"/>
      <c r="O82" s="21">
        <f>ROW()</f>
        <v>82</v>
      </c>
    </row>
    <row r="83" spans="2:15" ht="15" customHeight="1">
      <c r="B83" s="2789">
        <v>13</v>
      </c>
      <c r="C83" s="2787">
        <v>10.8</v>
      </c>
      <c r="D83" s="2787"/>
      <c r="E83" s="2791">
        <v>750</v>
      </c>
      <c r="F83" s="2371"/>
      <c r="G83" s="2370"/>
      <c r="H83" s="2370"/>
      <c r="I83" s="2370"/>
      <c r="J83" s="2370"/>
      <c r="K83" s="2370"/>
      <c r="L83" s="2370"/>
      <c r="M83" s="2370"/>
      <c r="N83" s="2370"/>
      <c r="O83" s="21">
        <f>ROW()</f>
        <v>83</v>
      </c>
    </row>
    <row r="84" spans="2:15" ht="15" customHeight="1">
      <c r="B84" s="2789">
        <v>14</v>
      </c>
      <c r="C84" s="2787">
        <v>7.6</v>
      </c>
      <c r="D84" s="2787"/>
      <c r="E84" s="2791">
        <v>2000</v>
      </c>
      <c r="F84" s="2371"/>
      <c r="G84" s="2370"/>
      <c r="H84" s="2370"/>
      <c r="I84" s="2370"/>
      <c r="J84" s="2370"/>
      <c r="K84" s="2370"/>
      <c r="L84" s="2370"/>
      <c r="M84" s="2370"/>
      <c r="N84" s="2370"/>
      <c r="O84" s="21">
        <f>ROW()</f>
        <v>84</v>
      </c>
    </row>
    <row r="85" spans="2:15" ht="15" customHeight="1">
      <c r="B85" s="2789">
        <v>15</v>
      </c>
      <c r="C85" s="2787">
        <v>9.8000000000000007</v>
      </c>
      <c r="D85" s="2787"/>
      <c r="E85" s="2791">
        <v>3250</v>
      </c>
      <c r="F85" s="2371"/>
      <c r="G85" s="2370"/>
      <c r="H85" s="2370"/>
      <c r="I85" s="2370"/>
      <c r="J85" s="2370"/>
      <c r="K85" s="2370"/>
      <c r="L85" s="2370"/>
      <c r="M85" s="2370"/>
      <c r="N85" s="2370"/>
      <c r="O85" s="21">
        <f>ROW()</f>
        <v>85</v>
      </c>
    </row>
    <row r="86" spans="2:15" ht="15" customHeight="1">
      <c r="B86" s="2789">
        <v>16</v>
      </c>
      <c r="C86" s="2787">
        <v>8.1</v>
      </c>
      <c r="D86" s="2787"/>
      <c r="E86" s="2791">
        <v>750</v>
      </c>
      <c r="F86" s="2371"/>
      <c r="G86" s="2370"/>
      <c r="H86" s="2370"/>
      <c r="I86" s="2370"/>
      <c r="J86" s="2370"/>
      <c r="K86" s="2370"/>
      <c r="L86" s="2370"/>
      <c r="M86" s="2370"/>
      <c r="N86" s="2370"/>
      <c r="O86" s="21">
        <f>ROW()</f>
        <v>86</v>
      </c>
    </row>
    <row r="87" spans="2:15" ht="15" customHeight="1">
      <c r="B87" s="2789">
        <v>17</v>
      </c>
      <c r="C87" s="2787">
        <v>8.1</v>
      </c>
      <c r="D87" s="2787"/>
      <c r="E87" s="2791">
        <v>2000</v>
      </c>
      <c r="F87" s="2371"/>
      <c r="G87" s="2370"/>
      <c r="H87" s="2370"/>
      <c r="I87" s="2370"/>
      <c r="J87" s="2370"/>
      <c r="K87" s="2370"/>
      <c r="L87" s="2370"/>
      <c r="M87" s="2370"/>
      <c r="N87" s="2370"/>
      <c r="O87" s="21">
        <f>ROW()</f>
        <v>87</v>
      </c>
    </row>
    <row r="88" spans="2:15" ht="15" customHeight="1">
      <c r="B88" s="2789">
        <v>18</v>
      </c>
      <c r="C88" s="2787">
        <v>9.6999999999999993</v>
      </c>
      <c r="D88" s="2787"/>
      <c r="E88" s="2791">
        <v>4500</v>
      </c>
      <c r="F88" s="2371"/>
      <c r="G88" s="2370"/>
      <c r="H88" s="2370"/>
      <c r="I88" s="2370"/>
      <c r="J88" s="2370"/>
      <c r="K88" s="2370"/>
      <c r="L88" s="2370"/>
      <c r="M88" s="2370"/>
      <c r="N88" s="2370"/>
      <c r="O88" s="21">
        <f>ROW()</f>
        <v>88</v>
      </c>
    </row>
    <row r="89" spans="2:15" ht="15" customHeight="1">
      <c r="B89" s="2402" t="s">
        <v>4709</v>
      </c>
      <c r="C89" s="3041">
        <f>SUMPRODUCT(C71:C88,E71:E88)/E89</f>
        <v>7.351162790697674</v>
      </c>
      <c r="D89" s="2792" t="s">
        <v>4710</v>
      </c>
      <c r="E89" s="2793">
        <f>SUM(E71:E88)</f>
        <v>32250</v>
      </c>
      <c r="F89" s="2371"/>
      <c r="G89" s="2370"/>
      <c r="H89" s="2370"/>
      <c r="I89" s="2370"/>
      <c r="J89" s="2370"/>
      <c r="K89" s="2370"/>
      <c r="L89" s="2370"/>
      <c r="M89" s="2370"/>
      <c r="N89" s="2370"/>
      <c r="O89" s="21">
        <f>ROW()</f>
        <v>89</v>
      </c>
    </row>
    <row r="90" spans="2:15" ht="15" customHeight="1">
      <c r="C90" s="2370"/>
      <c r="D90" s="2370"/>
      <c r="E90" s="2790"/>
      <c r="F90" s="2371"/>
      <c r="G90" s="2370"/>
      <c r="H90" s="2370"/>
      <c r="I90" s="2370"/>
      <c r="J90" s="2370"/>
      <c r="K90" s="2370"/>
      <c r="L90" s="2370"/>
      <c r="M90" s="2370"/>
      <c r="N90" s="2370"/>
      <c r="O90" s="21">
        <f>ROW()</f>
        <v>90</v>
      </c>
    </row>
    <row r="91" spans="2:15" ht="15" customHeight="1">
      <c r="B91" s="2375" t="s">
        <v>1487</v>
      </c>
      <c r="C91" s="2370"/>
      <c r="D91" s="2370"/>
      <c r="E91" s="2790"/>
      <c r="F91" s="2371"/>
      <c r="G91" s="2370"/>
      <c r="H91" s="2370"/>
      <c r="I91" s="2370"/>
      <c r="J91" s="2370"/>
      <c r="K91" s="2370"/>
      <c r="L91" s="2370"/>
      <c r="M91" s="2370"/>
      <c r="N91" s="2370"/>
      <c r="O91" s="21">
        <f>ROW()</f>
        <v>91</v>
      </c>
    </row>
    <row r="92" spans="2:15" ht="15" customHeight="1">
      <c r="B92" s="2789">
        <v>1</v>
      </c>
      <c r="C92" s="2787">
        <v>14.3</v>
      </c>
      <c r="D92" s="2787"/>
      <c r="E92" s="2791">
        <v>4500</v>
      </c>
      <c r="F92" s="2371"/>
      <c r="G92" s="2370"/>
      <c r="H92" s="2370"/>
      <c r="I92" s="2370"/>
      <c r="J92" s="2370"/>
      <c r="K92" s="2370"/>
      <c r="L92" s="2370"/>
      <c r="M92" s="2370"/>
      <c r="N92" s="2370"/>
      <c r="O92" s="21">
        <f>ROW()</f>
        <v>92</v>
      </c>
    </row>
    <row r="93" spans="2:15" ht="15" customHeight="1">
      <c r="B93" s="2789">
        <v>2</v>
      </c>
      <c r="C93" s="2787">
        <v>16.2</v>
      </c>
      <c r="D93" s="2787"/>
      <c r="E93" s="2791">
        <v>4500</v>
      </c>
      <c r="F93" s="2371"/>
      <c r="G93" s="2370"/>
      <c r="H93" s="2370"/>
      <c r="I93" s="2370"/>
      <c r="J93" s="2370"/>
      <c r="K93" s="2370"/>
      <c r="L93" s="2370"/>
      <c r="M93" s="2370"/>
      <c r="N93" s="2370"/>
      <c r="O93" s="21">
        <f>ROW()</f>
        <v>93</v>
      </c>
    </row>
    <row r="94" spans="2:15" ht="15" customHeight="1">
      <c r="B94" s="2789">
        <v>3</v>
      </c>
      <c r="C94" s="2787">
        <v>21.5</v>
      </c>
      <c r="D94" s="2787"/>
      <c r="E94" s="2791">
        <v>6100</v>
      </c>
      <c r="F94" s="2371"/>
      <c r="G94" s="2370"/>
      <c r="H94" s="2370"/>
      <c r="I94" s="2370"/>
      <c r="J94" s="2370"/>
      <c r="K94" s="2370"/>
      <c r="L94" s="2370"/>
      <c r="M94" s="2370"/>
      <c r="N94" s="2370"/>
      <c r="O94" s="21">
        <f>ROW()</f>
        <v>94</v>
      </c>
    </row>
    <row r="95" spans="2:15" ht="15" customHeight="1">
      <c r="B95" s="2402" t="s">
        <v>4709</v>
      </c>
      <c r="C95" s="3041">
        <f>SUMPRODUCT(C92:C94,E92:E94)/E95</f>
        <v>17.774834437086092</v>
      </c>
      <c r="D95" s="2792" t="s">
        <v>4710</v>
      </c>
      <c r="E95" s="2793">
        <f>SUM(E92:E94)</f>
        <v>15100</v>
      </c>
      <c r="F95" s="2371"/>
      <c r="G95" s="2370"/>
      <c r="H95" s="2370"/>
      <c r="I95" s="2370"/>
      <c r="J95" s="2370"/>
      <c r="K95" s="2370"/>
      <c r="L95" s="2370"/>
      <c r="M95" s="2370"/>
      <c r="N95" s="2370"/>
      <c r="O95" s="21">
        <f>ROW()</f>
        <v>95</v>
      </c>
    </row>
    <row r="96" spans="2:15" ht="15" customHeight="1">
      <c r="C96" s="2370"/>
      <c r="D96" s="2370"/>
      <c r="E96" s="2790"/>
      <c r="F96" s="2371"/>
      <c r="G96" s="2370"/>
      <c r="H96" s="2370"/>
      <c r="I96" s="2370"/>
      <c r="J96" s="2370"/>
      <c r="K96" s="2370"/>
      <c r="L96" s="2370"/>
      <c r="M96" s="2370"/>
      <c r="N96" s="2370"/>
      <c r="O96" s="21">
        <f>ROW()</f>
        <v>96</v>
      </c>
    </row>
    <row r="97" spans="2:15" ht="15" customHeight="1">
      <c r="B97" s="2795" t="s">
        <v>4712</v>
      </c>
      <c r="C97" s="2796">
        <f>(C42*E42+C51*E51+C68*E68+C89*E89+C95*E95)/E97</f>
        <v>9.2515576323987538</v>
      </c>
      <c r="D97" s="2797"/>
      <c r="E97" s="2798">
        <f>E95+E89+E68+E51+E42</f>
        <v>128400</v>
      </c>
      <c r="F97" s="2371"/>
      <c r="G97" s="2370"/>
      <c r="H97" s="2370"/>
      <c r="I97" s="2370"/>
      <c r="J97" s="2370"/>
      <c r="K97" s="2370"/>
      <c r="L97" s="2370"/>
      <c r="M97" s="2370"/>
      <c r="N97" s="2370"/>
      <c r="O97" s="21">
        <f>ROW()</f>
        <v>97</v>
      </c>
    </row>
    <row r="98" spans="2:15" ht="15" customHeight="1">
      <c r="C98" s="2370"/>
      <c r="D98" s="2370"/>
      <c r="E98" s="2790"/>
      <c r="F98" s="2371"/>
      <c r="G98" s="2370"/>
      <c r="H98" s="2370"/>
      <c r="I98" s="2370"/>
      <c r="J98" s="2370"/>
      <c r="K98" s="2370"/>
      <c r="L98" s="2370"/>
      <c r="M98" s="2370"/>
      <c r="N98" s="2370"/>
      <c r="O98" s="21">
        <f>ROW()</f>
        <v>98</v>
      </c>
    </row>
    <row r="99" spans="2:15" ht="15" customHeight="1">
      <c r="B99" s="2402" t="s">
        <v>5335</v>
      </c>
      <c r="C99" s="2370"/>
      <c r="D99" s="2370"/>
      <c r="E99" s="2790"/>
      <c r="F99" s="2371"/>
      <c r="G99" s="2370"/>
      <c r="H99" s="2370"/>
      <c r="I99" s="2370"/>
      <c r="J99" s="2370"/>
      <c r="K99" s="2370"/>
      <c r="L99" s="2370"/>
      <c r="M99" s="2370"/>
      <c r="N99" s="2370"/>
      <c r="O99" s="21">
        <f>ROW()</f>
        <v>99</v>
      </c>
    </row>
    <row r="100" spans="2:15" ht="15" customHeight="1">
      <c r="C100" s="2370"/>
      <c r="D100" s="2370"/>
      <c r="E100" s="2790"/>
      <c r="F100" s="2371"/>
      <c r="G100" s="2370"/>
      <c r="H100" s="2370"/>
      <c r="I100" s="2370"/>
      <c r="J100" s="2370"/>
      <c r="K100" s="2370"/>
      <c r="L100" s="2370"/>
      <c r="M100" s="2370"/>
      <c r="N100" s="2370"/>
      <c r="O100" s="21">
        <f>ROW()</f>
        <v>100</v>
      </c>
    </row>
    <row r="101" spans="2:15" ht="15" customHeight="1">
      <c r="B101" s="2402" t="s">
        <v>2144</v>
      </c>
      <c r="C101" s="2787"/>
      <c r="D101" s="2370"/>
      <c r="E101" s="2791"/>
      <c r="F101" s="2371"/>
      <c r="G101" s="2370"/>
      <c r="H101" s="2370"/>
      <c r="I101" s="2370"/>
      <c r="J101" s="2370"/>
      <c r="K101" s="2370"/>
      <c r="L101" s="2370"/>
      <c r="M101" s="2370"/>
      <c r="N101" s="2370"/>
      <c r="O101" s="21">
        <f>ROW()</f>
        <v>101</v>
      </c>
    </row>
    <row r="102" spans="2:15" ht="15" customHeight="1">
      <c r="B102" s="2789">
        <v>4</v>
      </c>
      <c r="C102" s="2787">
        <v>18.399999999999999</v>
      </c>
      <c r="D102" s="2370"/>
      <c r="E102" s="2791">
        <v>3250</v>
      </c>
      <c r="F102" t="s">
        <v>5341</v>
      </c>
      <c r="G102" s="2370"/>
      <c r="H102" s="2370"/>
      <c r="I102" s="2370"/>
      <c r="J102" s="2370"/>
      <c r="K102" s="2370"/>
      <c r="L102" s="2370"/>
      <c r="M102" s="2370"/>
      <c r="N102" s="2370"/>
      <c r="O102" s="21">
        <f>ROW()</f>
        <v>102</v>
      </c>
    </row>
    <row r="103" spans="2:15" ht="15" customHeight="1">
      <c r="B103" s="2789">
        <v>5</v>
      </c>
      <c r="C103" s="2787">
        <v>25.2</v>
      </c>
      <c r="D103" s="2370"/>
      <c r="E103" s="2791">
        <v>2000</v>
      </c>
      <c r="F103" s="1" t="s">
        <v>5349</v>
      </c>
      <c r="G103" s="2370"/>
      <c r="H103" s="2370"/>
      <c r="I103" s="2370"/>
      <c r="J103" s="2370"/>
      <c r="K103" s="2370"/>
      <c r="L103" s="2370"/>
      <c r="M103" s="2370"/>
      <c r="N103" s="2370"/>
      <c r="O103" s="21">
        <f>ROW()</f>
        <v>103</v>
      </c>
    </row>
    <row r="104" spans="2:15" ht="15" customHeight="1">
      <c r="B104" s="2789">
        <v>7</v>
      </c>
      <c r="C104" s="2787">
        <v>21.8</v>
      </c>
      <c r="D104" s="2370"/>
      <c r="E104" s="2791">
        <v>2000</v>
      </c>
      <c r="F104" s="2789" t="s">
        <v>5350</v>
      </c>
      <c r="G104" s="2370"/>
      <c r="H104" s="2370"/>
      <c r="I104" s="2370"/>
      <c r="J104" s="2370"/>
      <c r="K104" s="2370"/>
      <c r="L104" s="2370"/>
      <c r="M104" s="2370"/>
      <c r="N104" s="2370"/>
      <c r="O104" s="21">
        <f>ROW()</f>
        <v>104</v>
      </c>
    </row>
    <row r="105" spans="2:15" ht="15" customHeight="1">
      <c r="B105" s="2789">
        <v>8</v>
      </c>
      <c r="C105" s="2787">
        <v>27.1</v>
      </c>
      <c r="D105" s="2370"/>
      <c r="E105" s="2791">
        <v>750</v>
      </c>
      <c r="F105" s="2789" t="s">
        <v>5351</v>
      </c>
      <c r="G105" s="2370"/>
      <c r="H105" s="2370"/>
      <c r="I105" s="2370"/>
      <c r="J105" s="2370"/>
      <c r="K105" s="2370"/>
      <c r="L105" s="2370"/>
      <c r="M105" s="2370"/>
      <c r="N105" s="2370"/>
      <c r="O105" s="21">
        <f>ROW()</f>
        <v>105</v>
      </c>
    </row>
    <row r="106" spans="2:15" ht="15" customHeight="1">
      <c r="B106" s="2789">
        <v>10</v>
      </c>
      <c r="C106" s="2787">
        <v>17.899999999999999</v>
      </c>
      <c r="D106" s="2370"/>
      <c r="E106" s="2791">
        <v>2000</v>
      </c>
      <c r="F106" s="2789" t="s">
        <v>5352</v>
      </c>
      <c r="G106" s="2370"/>
      <c r="H106" s="2370"/>
      <c r="I106" s="2370"/>
      <c r="J106" s="2370"/>
      <c r="K106" s="2370"/>
      <c r="L106" s="2370"/>
      <c r="M106" s="2370"/>
      <c r="N106" s="2370"/>
      <c r="O106" s="21">
        <f>ROW()</f>
        <v>106</v>
      </c>
    </row>
    <row r="107" spans="2:15" ht="15" customHeight="1">
      <c r="B107" s="2789">
        <v>11</v>
      </c>
      <c r="C107" s="2787">
        <v>24.1</v>
      </c>
      <c r="D107" s="2370"/>
      <c r="E107" s="2791">
        <v>750</v>
      </c>
      <c r="F107" s="2789" t="s">
        <v>5375</v>
      </c>
      <c r="G107" s="2370"/>
      <c r="H107" s="2370"/>
      <c r="I107" s="2370"/>
      <c r="J107" s="2370"/>
      <c r="K107" s="2370"/>
      <c r="L107" s="2370"/>
      <c r="M107" s="2370"/>
      <c r="N107" s="2370"/>
      <c r="O107" s="21">
        <f>ROW()</f>
        <v>107</v>
      </c>
    </row>
    <row r="108" spans="2:15" ht="15" customHeight="1">
      <c r="B108" s="2789">
        <v>12</v>
      </c>
      <c r="C108" s="2787">
        <v>28.7</v>
      </c>
      <c r="D108" s="2370"/>
      <c r="E108" s="2791">
        <v>750</v>
      </c>
      <c r="F108" s="2789" t="s">
        <v>5345</v>
      </c>
      <c r="G108" s="2370"/>
      <c r="H108" s="2370"/>
      <c r="I108" s="2370"/>
      <c r="J108" s="2370"/>
      <c r="K108" s="2370"/>
      <c r="L108" s="2370"/>
      <c r="M108" s="2370"/>
      <c r="N108" s="2370"/>
      <c r="O108" s="21">
        <f>ROW()</f>
        <v>108</v>
      </c>
    </row>
    <row r="109" spans="2:15" ht="15" customHeight="1">
      <c r="B109" s="2789">
        <v>13</v>
      </c>
      <c r="C109" s="2787">
        <v>32.1</v>
      </c>
      <c r="D109" s="2370"/>
      <c r="E109" s="2791">
        <v>750</v>
      </c>
      <c r="F109" s="2789" t="s">
        <v>5346</v>
      </c>
      <c r="G109" s="2370"/>
      <c r="H109" s="2370"/>
      <c r="I109" s="2370"/>
      <c r="J109" s="2370"/>
      <c r="K109" s="2370"/>
      <c r="L109" s="2370"/>
      <c r="M109" s="2370"/>
      <c r="N109" s="2370"/>
      <c r="O109" s="21">
        <f>ROW()</f>
        <v>109</v>
      </c>
    </row>
    <row r="110" spans="2:15" ht="15" customHeight="1">
      <c r="B110" s="2789">
        <v>15</v>
      </c>
      <c r="C110" s="2787">
        <v>20.100000000000001</v>
      </c>
      <c r="D110" s="2370"/>
      <c r="E110" s="2791">
        <v>2000</v>
      </c>
      <c r="F110" s="2789" t="s">
        <v>5376</v>
      </c>
      <c r="G110" s="2370"/>
      <c r="H110" s="2370"/>
      <c r="I110" s="2370"/>
      <c r="J110" s="2370"/>
      <c r="K110" s="2370"/>
      <c r="L110" s="2370"/>
      <c r="M110" s="2370"/>
      <c r="N110" s="2370"/>
      <c r="O110" s="21">
        <f>ROW()</f>
        <v>110</v>
      </c>
    </row>
    <row r="111" spans="2:15" ht="15" customHeight="1">
      <c r="B111" s="2789">
        <v>16</v>
      </c>
      <c r="C111" s="2787">
        <v>24.2</v>
      </c>
      <c r="D111" s="2370"/>
      <c r="E111" s="2791">
        <v>2000</v>
      </c>
      <c r="F111" s="2789" t="s">
        <v>5342</v>
      </c>
      <c r="G111" s="2370"/>
      <c r="H111" s="2370"/>
      <c r="I111" s="2370"/>
      <c r="J111" s="2370"/>
      <c r="K111" s="2370"/>
      <c r="L111" s="2370"/>
      <c r="M111" s="2370"/>
      <c r="N111" s="2370"/>
      <c r="O111" s="21">
        <f>ROW()</f>
        <v>111</v>
      </c>
    </row>
    <row r="112" spans="2:15" ht="15" customHeight="1">
      <c r="B112" s="2789">
        <v>17</v>
      </c>
      <c r="C112" s="2787">
        <v>29.2</v>
      </c>
      <c r="D112" s="2370"/>
      <c r="E112" s="2791">
        <v>750</v>
      </c>
      <c r="F112" s="2789" t="s">
        <v>5347</v>
      </c>
      <c r="G112" s="2370"/>
      <c r="H112" s="2370"/>
      <c r="I112" s="2370"/>
      <c r="J112" s="2370"/>
      <c r="K112" s="2370"/>
      <c r="L112" s="2370"/>
      <c r="M112" s="2370"/>
      <c r="N112" s="2370"/>
      <c r="O112" s="21">
        <f>ROW()</f>
        <v>112</v>
      </c>
    </row>
    <row r="113" spans="2:15" ht="15" customHeight="1">
      <c r="B113" s="2402" t="s">
        <v>4709</v>
      </c>
      <c r="C113" s="3041">
        <f>SUMPRODUCT(C102:C112,E102:E112)/E113</f>
        <v>22.594117647058823</v>
      </c>
      <c r="D113" s="2792" t="s">
        <v>4710</v>
      </c>
      <c r="E113" s="2793">
        <f>SUM(E102:E112)</f>
        <v>17000</v>
      </c>
      <c r="F113" s="2371"/>
      <c r="G113" s="2370"/>
      <c r="H113" s="2370"/>
      <c r="I113" s="2370"/>
      <c r="J113" s="2370"/>
      <c r="K113" s="2370"/>
      <c r="L113" s="2370"/>
      <c r="M113" s="2370"/>
      <c r="N113" s="2370"/>
      <c r="O113" s="21">
        <f>ROW()</f>
        <v>113</v>
      </c>
    </row>
    <row r="114" spans="2:15" ht="15" customHeight="1">
      <c r="B114" s="2402"/>
      <c r="C114" s="2794"/>
      <c r="D114" s="2792"/>
      <c r="E114" s="2793"/>
      <c r="F114" s="2371"/>
      <c r="G114" s="2370"/>
      <c r="H114" s="2370"/>
      <c r="I114" s="2370"/>
      <c r="J114" s="2370"/>
      <c r="K114" s="2370"/>
      <c r="L114" s="2370"/>
      <c r="M114" s="2370"/>
      <c r="N114" s="2370"/>
      <c r="O114" s="21">
        <f>ROW()</f>
        <v>114</v>
      </c>
    </row>
    <row r="115" spans="2:15" ht="15" customHeight="1">
      <c r="B115" s="2402" t="s">
        <v>2145</v>
      </c>
      <c r="C115" s="2794"/>
      <c r="D115" s="2792"/>
      <c r="E115" s="2793"/>
      <c r="G115" s="2370"/>
      <c r="H115" s="2370"/>
      <c r="I115" s="2370"/>
      <c r="J115" s="2370"/>
      <c r="K115" s="2370"/>
      <c r="L115" s="2370"/>
      <c r="M115" s="2370"/>
      <c r="N115" s="2370"/>
      <c r="O115" s="21">
        <f>ROW()</f>
        <v>115</v>
      </c>
    </row>
    <row r="116" spans="2:15" ht="15" customHeight="1">
      <c r="B116" s="2789">
        <v>6</v>
      </c>
      <c r="C116" s="2787">
        <v>34.4</v>
      </c>
      <c r="D116" s="2370"/>
      <c r="E116" s="2791">
        <v>2000</v>
      </c>
      <c r="F116" s="2789" t="s">
        <v>5348</v>
      </c>
      <c r="G116" s="2370"/>
      <c r="H116" s="2370"/>
      <c r="I116" s="2370"/>
      <c r="J116" s="2370"/>
      <c r="K116" s="2370"/>
      <c r="L116" s="2370"/>
      <c r="M116" s="2370"/>
      <c r="N116" s="2370"/>
      <c r="O116" s="21">
        <f>ROW()</f>
        <v>116</v>
      </c>
    </row>
    <row r="117" spans="2:15" ht="15" customHeight="1">
      <c r="B117" s="2789">
        <v>9</v>
      </c>
      <c r="C117" s="2787">
        <v>36.6</v>
      </c>
      <c r="D117" s="2370"/>
      <c r="E117" s="2791">
        <v>750</v>
      </c>
      <c r="F117" s="2789" t="s">
        <v>5343</v>
      </c>
      <c r="G117" s="2370"/>
      <c r="H117" s="2370"/>
      <c r="I117" s="2370"/>
      <c r="J117" s="2370"/>
      <c r="K117" s="2370"/>
      <c r="L117" s="2370"/>
      <c r="M117" s="2370"/>
      <c r="N117" s="2370"/>
      <c r="O117" s="21">
        <f>ROW()</f>
        <v>117</v>
      </c>
    </row>
    <row r="118" spans="2:15" ht="15" customHeight="1">
      <c r="B118" s="2789">
        <v>14</v>
      </c>
      <c r="C118" s="2787">
        <v>42.4</v>
      </c>
      <c r="D118" s="2370"/>
      <c r="E118" s="2791">
        <v>750</v>
      </c>
      <c r="F118" s="2789" t="s">
        <v>5344</v>
      </c>
      <c r="M118" s="2370"/>
      <c r="N118" s="2370"/>
      <c r="O118" s="21">
        <f>ROW()</f>
        <v>118</v>
      </c>
    </row>
    <row r="119" spans="2:15" ht="15" customHeight="1">
      <c r="B119" s="3035" t="s">
        <v>5330</v>
      </c>
      <c r="C119" s="3036">
        <v>50</v>
      </c>
      <c r="D119" s="3037"/>
      <c r="E119" s="3038">
        <f>ROUND(E113*Incidence!N70/Incidence!M70-SUM(E116:E118),-2)</f>
        <v>4300</v>
      </c>
      <c r="F119" s="2"/>
      <c r="M119" s="2370"/>
      <c r="N119" s="2370"/>
      <c r="O119" s="21">
        <f>ROW()</f>
        <v>119</v>
      </c>
    </row>
    <row r="120" spans="2:15" ht="15" customHeight="1">
      <c r="B120" s="2402" t="s">
        <v>4709</v>
      </c>
      <c r="C120" s="3041">
        <f>SUMPRODUCT(C116:C119,E116:E119)/E120</f>
        <v>43.980769230769234</v>
      </c>
      <c r="D120" s="2792" t="s">
        <v>4710</v>
      </c>
      <c r="E120" s="2793">
        <f>SUM(E116:E119)</f>
        <v>7800</v>
      </c>
      <c r="F120" s="4505" t="str">
        <f>CONCATENATE("'Off the map' denotes districts too far from CBD to be included in Schaller's map. CBD auto commuters were estimated as number necessary to equate ratio of Suffolk's total to Nassau's with the ratio in 'Incidence' tab (Row ",Incidence!AA70, "). Distance is Komanoff est.")</f>
        <v>'Off the map' denotes districts too far from CBD to be included in Schaller's map. CBD auto commuters were estimated as number necessary to equate ratio of Suffolk's total to Nassau's with the ratio in 'Incidence' tab (Row 70). Distance is Komanoff est.</v>
      </c>
      <c r="G120" s="4506"/>
      <c r="H120" s="4506"/>
      <c r="I120" s="4506"/>
      <c r="J120" s="4506"/>
      <c r="K120" s="4506"/>
      <c r="L120" s="4507"/>
      <c r="M120" s="2370"/>
      <c r="N120" s="2370"/>
      <c r="O120" s="21">
        <f>ROW()</f>
        <v>120</v>
      </c>
    </row>
    <row r="121" spans="2:15" ht="15" customHeight="1">
      <c r="B121" s="2789"/>
      <c r="C121" s="2787"/>
      <c r="D121" s="2370"/>
      <c r="E121" s="2791"/>
      <c r="F121" s="4508"/>
      <c r="G121" s="4509"/>
      <c r="H121" s="4509"/>
      <c r="I121" s="4509"/>
      <c r="J121" s="4509"/>
      <c r="K121" s="4509"/>
      <c r="L121" s="4510"/>
      <c r="M121" s="2370"/>
      <c r="N121" s="2370"/>
      <c r="O121" s="21">
        <f>ROW()</f>
        <v>121</v>
      </c>
    </row>
    <row r="122" spans="2:15" ht="15" customHeight="1">
      <c r="B122" s="2402" t="s">
        <v>4702</v>
      </c>
      <c r="C122" s="2787"/>
      <c r="D122" s="2370"/>
      <c r="E122" s="2791"/>
      <c r="F122" s="2371"/>
      <c r="G122" s="2370"/>
      <c r="H122" s="2370"/>
      <c r="I122" s="2370"/>
      <c r="J122" s="2370"/>
      <c r="K122" s="2370"/>
      <c r="L122" s="2370"/>
      <c r="M122" s="2370"/>
      <c r="N122" s="2370"/>
      <c r="O122" s="21">
        <f>ROW()</f>
        <v>122</v>
      </c>
    </row>
    <row r="123" spans="2:15" ht="15" customHeight="1">
      <c r="B123" s="2789">
        <v>40</v>
      </c>
      <c r="C123" s="2787">
        <v>32.1</v>
      </c>
      <c r="D123" s="2370" t="s">
        <v>4701</v>
      </c>
      <c r="E123" s="2791">
        <v>3250</v>
      </c>
      <c r="F123" s="2789" t="s">
        <v>5353</v>
      </c>
      <c r="G123" s="2370"/>
      <c r="H123" s="2370"/>
      <c r="I123" s="2370"/>
      <c r="J123" s="2370"/>
      <c r="K123" s="2370"/>
      <c r="L123" s="2370"/>
      <c r="M123" s="2370"/>
      <c r="N123" s="2370"/>
      <c r="O123" s="21">
        <f>ROW()</f>
        <v>123</v>
      </c>
    </row>
    <row r="124" spans="2:15" ht="15" customHeight="1">
      <c r="B124" s="2789">
        <v>41</v>
      </c>
      <c r="C124" s="2787">
        <v>28.2</v>
      </c>
      <c r="D124" s="2370"/>
      <c r="E124" s="2791">
        <v>4500</v>
      </c>
      <c r="F124" s="2789" t="s">
        <v>5377</v>
      </c>
      <c r="G124" s="2370"/>
      <c r="H124" s="2370"/>
      <c r="I124" s="2370"/>
      <c r="J124" s="2370"/>
      <c r="K124" s="2370"/>
      <c r="L124" s="2370"/>
      <c r="M124" s="2370"/>
      <c r="N124" s="2370"/>
      <c r="O124" s="21">
        <f>ROW()</f>
        <v>124</v>
      </c>
    </row>
    <row r="125" spans="2:15" ht="15" customHeight="1">
      <c r="B125" s="2402" t="s">
        <v>4709</v>
      </c>
      <c r="C125" s="3041">
        <f>SUMPRODUCT(C123:C124,E123:E124)/E125</f>
        <v>29.835483870967742</v>
      </c>
      <c r="D125" s="2792" t="s">
        <v>4710</v>
      </c>
      <c r="E125" s="2793">
        <f>SUM(E123:E124)</f>
        <v>7750</v>
      </c>
      <c r="F125" s="2789"/>
      <c r="G125" s="2370"/>
      <c r="H125" s="2370"/>
      <c r="I125" s="2370"/>
      <c r="J125" s="2370"/>
      <c r="K125" s="2370"/>
      <c r="L125" s="2370"/>
      <c r="M125" s="2370"/>
      <c r="N125" s="2370"/>
      <c r="O125" s="21">
        <f>ROW()</f>
        <v>125</v>
      </c>
    </row>
    <row r="126" spans="2:15" ht="15" customHeight="1">
      <c r="C126" s="2787"/>
      <c r="D126" s="2370"/>
      <c r="E126" s="2791"/>
      <c r="F126" s="2789"/>
      <c r="G126" s="2370"/>
      <c r="H126" s="2370"/>
      <c r="I126" s="2370"/>
      <c r="J126" s="2370"/>
      <c r="K126" s="2370"/>
      <c r="L126" s="2370"/>
      <c r="M126" s="2370"/>
      <c r="N126" s="2370"/>
      <c r="O126" s="21">
        <f>ROW()</f>
        <v>126</v>
      </c>
    </row>
    <row r="127" spans="2:15" ht="15" customHeight="1">
      <c r="B127" s="2402" t="s">
        <v>4703</v>
      </c>
      <c r="C127" s="2787"/>
      <c r="D127" s="2370"/>
      <c r="E127" s="2791"/>
      <c r="F127" s="2789"/>
      <c r="G127" s="2370"/>
      <c r="H127" s="2370"/>
      <c r="I127" s="2370"/>
      <c r="J127" s="2370"/>
      <c r="K127" s="2370"/>
      <c r="L127" s="2370"/>
      <c r="M127" s="2370"/>
      <c r="N127" s="2370"/>
      <c r="O127" s="21">
        <f>ROW()</f>
        <v>127</v>
      </c>
    </row>
    <row r="128" spans="2:15" ht="15" customHeight="1">
      <c r="B128" s="2789">
        <v>42</v>
      </c>
      <c r="C128" s="2787">
        <v>31.7</v>
      </c>
      <c r="D128" s="2370"/>
      <c r="E128" s="2791">
        <v>2000</v>
      </c>
      <c r="F128" s="2789" t="s">
        <v>5354</v>
      </c>
      <c r="G128" s="2370"/>
      <c r="H128" s="2370"/>
      <c r="I128" s="2370"/>
      <c r="J128" s="2370"/>
      <c r="K128" s="2370"/>
      <c r="L128" s="2370"/>
      <c r="M128" s="2370"/>
      <c r="N128" s="2370"/>
      <c r="O128" s="21">
        <f>ROW()</f>
        <v>128</v>
      </c>
    </row>
    <row r="129" spans="2:15" ht="15" customHeight="1">
      <c r="B129" s="2789">
        <v>43</v>
      </c>
      <c r="C129" s="2787">
        <v>42.4</v>
      </c>
      <c r="D129" s="2370" t="s">
        <v>4701</v>
      </c>
      <c r="E129" s="2791">
        <v>2000</v>
      </c>
      <c r="F129" s="2789" t="s">
        <v>5355</v>
      </c>
      <c r="G129" s="2370"/>
      <c r="H129" s="2370"/>
      <c r="I129" s="2370"/>
      <c r="J129" s="2370"/>
      <c r="K129" s="2370"/>
      <c r="L129" s="2370"/>
      <c r="M129" s="2370"/>
      <c r="N129" s="2370"/>
      <c r="O129" s="21">
        <f>ROW()</f>
        <v>129</v>
      </c>
    </row>
    <row r="130" spans="2:15" ht="15" customHeight="1">
      <c r="B130" s="2789">
        <v>44</v>
      </c>
      <c r="C130" s="2787">
        <v>20.7</v>
      </c>
      <c r="D130" s="2370"/>
      <c r="E130" s="2791">
        <v>3250</v>
      </c>
      <c r="F130" s="2789" t="s">
        <v>5356</v>
      </c>
      <c r="G130" s="2370"/>
      <c r="H130" s="2370"/>
      <c r="I130" s="2370"/>
      <c r="J130" s="2370"/>
      <c r="K130" s="2370"/>
      <c r="L130" s="2370"/>
      <c r="M130" s="2370"/>
      <c r="N130" s="2370"/>
      <c r="O130" s="21">
        <f>ROW()</f>
        <v>130</v>
      </c>
    </row>
    <row r="131" spans="2:15" ht="15" customHeight="1">
      <c r="B131" s="2789">
        <v>45</v>
      </c>
      <c r="C131" s="2787">
        <v>22.9</v>
      </c>
      <c r="D131" s="2370"/>
      <c r="E131" s="2791">
        <v>2000</v>
      </c>
      <c r="F131" s="2789" t="s">
        <v>5357</v>
      </c>
      <c r="G131" s="2370"/>
      <c r="H131" s="2370"/>
      <c r="I131" s="2370"/>
      <c r="J131" s="2370"/>
      <c r="K131" s="2370"/>
      <c r="L131" s="2370"/>
      <c r="M131" s="2370"/>
      <c r="N131" s="2370"/>
      <c r="O131" s="21">
        <f>ROW()</f>
        <v>131</v>
      </c>
    </row>
    <row r="132" spans="2:15" ht="15" customHeight="1">
      <c r="B132" s="2789">
        <v>46</v>
      </c>
      <c r="C132" s="2787">
        <v>15.3</v>
      </c>
      <c r="D132" s="2370"/>
      <c r="E132" s="2791">
        <v>3250</v>
      </c>
      <c r="F132" s="2789" t="s">
        <v>5358</v>
      </c>
      <c r="G132" s="2370"/>
      <c r="H132" s="2370"/>
      <c r="I132" s="2370"/>
      <c r="J132" s="2370"/>
      <c r="K132" s="2370"/>
      <c r="L132" s="2370"/>
      <c r="M132" s="2370"/>
      <c r="N132" s="2370"/>
      <c r="O132" s="21">
        <f>ROW()</f>
        <v>132</v>
      </c>
    </row>
    <row r="133" spans="2:15" ht="15" customHeight="1">
      <c r="B133" s="2789">
        <v>47</v>
      </c>
      <c r="C133" s="2787">
        <v>18.5</v>
      </c>
      <c r="D133" s="2370"/>
      <c r="E133" s="2791">
        <v>3250</v>
      </c>
      <c r="F133" s="2789" t="s">
        <v>5359</v>
      </c>
      <c r="G133" s="2370"/>
      <c r="H133" s="2370"/>
      <c r="I133" s="2370"/>
      <c r="J133" s="2370"/>
      <c r="K133" s="2370"/>
      <c r="L133" s="2370"/>
      <c r="M133" s="2370"/>
      <c r="N133" s="2370"/>
      <c r="O133" s="21">
        <f>ROW()</f>
        <v>133</v>
      </c>
    </row>
    <row r="134" spans="2:15" ht="15" customHeight="1">
      <c r="B134" s="2402" t="s">
        <v>4709</v>
      </c>
      <c r="C134" s="3041">
        <f>SUMPRODUCT(C128:C133,E128:E133)/E134</f>
        <v>23.563492063492063</v>
      </c>
      <c r="D134" s="2792" t="s">
        <v>4710</v>
      </c>
      <c r="E134" s="2793">
        <f>SUM(E128:E133)</f>
        <v>15750</v>
      </c>
      <c r="F134" s="2787"/>
      <c r="G134" s="2370"/>
      <c r="H134" s="2370"/>
      <c r="I134" s="2370"/>
      <c r="J134" s="2370"/>
      <c r="K134" s="2370"/>
      <c r="L134" s="2370"/>
      <c r="M134" s="2370"/>
      <c r="N134" s="2370"/>
      <c r="O134" s="21">
        <f>ROW()</f>
        <v>134</v>
      </c>
    </row>
    <row r="135" spans="2:15" ht="15" customHeight="1">
      <c r="B135" s="2402"/>
      <c r="C135" s="2794"/>
      <c r="D135" s="2792"/>
      <c r="E135" s="2793"/>
      <c r="F135" s="2787"/>
      <c r="G135" s="2370"/>
      <c r="H135" s="2370"/>
      <c r="I135" s="2370"/>
      <c r="J135" s="2370"/>
      <c r="K135" s="2370"/>
      <c r="L135" s="2370"/>
      <c r="M135" s="2370"/>
      <c r="N135" s="2370"/>
      <c r="O135" s="21">
        <f>ROW()</f>
        <v>135</v>
      </c>
    </row>
    <row r="136" spans="2:15" ht="15" customHeight="1">
      <c r="B136" s="2402" t="s">
        <v>5331</v>
      </c>
      <c r="C136" s="3039">
        <v>50</v>
      </c>
      <c r="D136" s="2792"/>
      <c r="E136" s="2793">
        <f>ROUND(Incidence!Q70/(Incidence!O70+Incidence!P70)*(E125+E134),-2)</f>
        <v>1200</v>
      </c>
      <c r="F136" s="3040" t="str">
        <f>CONCATENATE("Putnam auto commuters are prorated from sum of Westchester + Rockland, using ratios of commuters in 'Incidence' tab, Row ",Incidence!AA$70, ". Distance is Komanoff est.")</f>
        <v>Putnam auto commuters are prorated from sum of Westchester + Rockland, using ratios of commuters in 'Incidence' tab, Row 70. Distance is Komanoff est.</v>
      </c>
      <c r="G136" s="2370"/>
      <c r="H136" s="2370"/>
      <c r="I136" s="2370"/>
      <c r="J136" s="2370"/>
      <c r="K136" s="2370"/>
      <c r="L136" s="2370"/>
      <c r="M136" s="2370"/>
      <c r="N136" s="2370"/>
      <c r="O136" s="21">
        <f>ROW()</f>
        <v>136</v>
      </c>
    </row>
    <row r="137" spans="2:15" ht="15" customHeight="1">
      <c r="B137" s="2402"/>
      <c r="C137" s="2794"/>
      <c r="D137" s="2792"/>
      <c r="E137" s="2793"/>
      <c r="F137" s="2787"/>
      <c r="G137" s="2370"/>
      <c r="H137" s="2370"/>
      <c r="I137" s="2370"/>
      <c r="J137" s="2370"/>
      <c r="K137" s="2370"/>
      <c r="L137" s="2370"/>
      <c r="M137" s="2370"/>
      <c r="N137" s="2370"/>
      <c r="O137" s="21">
        <f>ROW()</f>
        <v>137</v>
      </c>
    </row>
    <row r="138" spans="2:15" ht="15" customHeight="1">
      <c r="B138" s="2402" t="s">
        <v>5332</v>
      </c>
      <c r="C138" s="3039">
        <v>60</v>
      </c>
      <c r="D138" s="2792"/>
      <c r="E138" s="2793">
        <f>ROUND(Incidence!S70/(Incidence!O70+Incidence!P70)*(E125+E134),-2)</f>
        <v>2500</v>
      </c>
      <c r="F138" s="3040" t="str">
        <f>CONCATENATE("Orange auto commuters are prorated from sum of Westchester + Rockland, using ratios of commuters in 'Incidence' tab, Row ",Incidence!AA$70, ". Distance is Komanoff est.")</f>
        <v>Orange auto commuters are prorated from sum of Westchester + Rockland, using ratios of commuters in 'Incidence' tab, Row 70. Distance is Komanoff est.</v>
      </c>
      <c r="G138" s="2370"/>
      <c r="H138" s="2370"/>
      <c r="I138" s="2370"/>
      <c r="J138" s="2370"/>
      <c r="K138" s="2370"/>
      <c r="L138" s="2370"/>
      <c r="M138" s="2370"/>
      <c r="N138" s="2370"/>
      <c r="O138" s="21">
        <f>ROW()</f>
        <v>138</v>
      </c>
    </row>
    <row r="139" spans="2:15" ht="15" customHeight="1">
      <c r="B139" s="2789">
        <v>39</v>
      </c>
      <c r="C139" s="3063">
        <v>36</v>
      </c>
      <c r="D139" s="3064"/>
      <c r="E139" s="3065">
        <v>2000</v>
      </c>
      <c r="F139" s="3040"/>
      <c r="G139" s="2370"/>
      <c r="H139" s="2370"/>
      <c r="I139" s="2370"/>
      <c r="J139" s="2370"/>
      <c r="K139" s="2370"/>
      <c r="L139" s="2370"/>
      <c r="M139" s="2370"/>
      <c r="N139" s="2370"/>
      <c r="O139" s="21">
        <f>ROW()</f>
        <v>139</v>
      </c>
    </row>
    <row r="140" spans="2:15" ht="15" customHeight="1">
      <c r="B140" s="2402"/>
      <c r="C140" s="2794"/>
      <c r="D140" s="2792"/>
      <c r="E140" s="2793"/>
      <c r="F140" s="2787"/>
      <c r="G140" s="2370"/>
      <c r="H140" s="2370"/>
      <c r="I140" s="2370"/>
      <c r="J140" s="2370"/>
      <c r="K140" s="2370"/>
      <c r="L140" s="2370"/>
      <c r="M140" s="2370"/>
      <c r="N140" s="2370"/>
      <c r="O140" s="21">
        <f>ROW()</f>
        <v>140</v>
      </c>
    </row>
    <row r="141" spans="2:15" ht="15" customHeight="1">
      <c r="B141" s="2402" t="s">
        <v>5333</v>
      </c>
      <c r="C141" s="3039">
        <v>75</v>
      </c>
      <c r="D141" s="2792"/>
      <c r="E141" s="2793">
        <f>ROUND(Incidence!R70/(Incidence!O70+Incidence!P70)*(E125+E134),-2)</f>
        <v>1800</v>
      </c>
      <c r="F141" s="3040" t="str">
        <f>CONCATENATE("Dutchess auto commuters are prorated from sum of Westchester + Rockland, using ratios of commuters in 'Incidence' tab, Row ",Incidence!AA$70, ". Distance is Komanoff est.")</f>
        <v>Dutchess auto commuters are prorated from sum of Westchester + Rockland, using ratios of commuters in 'Incidence' tab, Row 70. Distance is Komanoff est.</v>
      </c>
      <c r="G141" s="2370"/>
      <c r="H141" s="2370"/>
      <c r="I141" s="2370"/>
      <c r="J141" s="2370"/>
      <c r="K141" s="2370"/>
      <c r="L141" s="2370"/>
      <c r="M141" s="2370"/>
      <c r="N141" s="2370"/>
      <c r="O141" s="21">
        <f>ROW()</f>
        <v>141</v>
      </c>
    </row>
    <row r="142" spans="2:15" ht="15" customHeight="1" thickBot="1">
      <c r="B142" s="2402"/>
      <c r="C142" s="3039"/>
      <c r="D142" s="2792"/>
      <c r="E142" s="2793"/>
      <c r="F142" s="3040"/>
      <c r="G142" s="2370"/>
      <c r="H142" s="2370"/>
      <c r="I142" s="2370"/>
      <c r="J142" s="2370"/>
      <c r="K142" s="2370"/>
      <c r="L142" s="2370"/>
      <c r="M142" s="2370"/>
      <c r="N142" s="2370"/>
      <c r="O142" s="21">
        <f>ROW()</f>
        <v>142</v>
      </c>
    </row>
    <row r="143" spans="2:15" ht="15" customHeight="1" thickBot="1">
      <c r="B143" s="3042" t="s">
        <v>5334</v>
      </c>
      <c r="C143" s="3043">
        <f>(C113*E113+C120+E120+C125*E125+C134*E134+C136*E136+C138*E138+C141*E141)/E143</f>
        <v>24.893940162996856</v>
      </c>
      <c r="D143" s="3044"/>
      <c r="E143" s="3045">
        <f>E113+E120+E125+E134+E136+E138+E141</f>
        <v>53800</v>
      </c>
      <c r="F143" s="3040"/>
      <c r="G143" s="2370"/>
      <c r="H143" s="2370"/>
      <c r="I143" s="2370"/>
      <c r="J143" s="2370"/>
      <c r="K143" s="2370"/>
      <c r="L143" s="2370"/>
      <c r="M143" s="2370"/>
      <c r="N143" s="2370"/>
      <c r="O143" s="21">
        <f>ROW()</f>
        <v>143</v>
      </c>
    </row>
    <row r="144" spans="2:15" ht="15" customHeight="1" thickBot="1">
      <c r="B144" s="2402"/>
      <c r="C144" s="2794"/>
      <c r="D144" s="2792"/>
      <c r="E144" s="2793"/>
      <c r="F144" s="2787"/>
      <c r="G144" s="2370"/>
      <c r="H144" s="2370"/>
      <c r="I144" s="2370"/>
      <c r="J144" s="2370"/>
      <c r="K144" s="2370"/>
      <c r="L144" s="2370"/>
      <c r="M144" s="2370"/>
      <c r="N144" s="2370"/>
      <c r="O144" s="21">
        <f>ROW()</f>
        <v>144</v>
      </c>
    </row>
    <row r="145" spans="2:15" ht="15" customHeight="1" thickBot="1">
      <c r="B145" s="2799" t="s">
        <v>5313</v>
      </c>
      <c r="C145" s="3046">
        <f>(C97*E97+C143*E143)/E145</f>
        <v>13.870438972388754</v>
      </c>
      <c r="D145" s="2801"/>
      <c r="E145" s="2802">
        <f>E97+E143</f>
        <v>182200</v>
      </c>
      <c r="F145" s="2787"/>
      <c r="G145" s="2370"/>
      <c r="H145" s="2370"/>
      <c r="I145" s="2370"/>
      <c r="J145" s="2370"/>
      <c r="K145" s="2370"/>
      <c r="L145" s="2370"/>
      <c r="M145" s="2370"/>
      <c r="N145" s="2370"/>
      <c r="O145" s="21">
        <f>ROW()</f>
        <v>145</v>
      </c>
    </row>
    <row r="146" spans="2:15" ht="15" customHeight="1">
      <c r="B146" s="2402"/>
      <c r="C146" s="2794"/>
      <c r="D146" s="2792"/>
      <c r="E146" s="2793"/>
      <c r="F146" s="2787"/>
      <c r="G146" s="2370"/>
      <c r="H146" s="2370"/>
      <c r="I146" s="2370"/>
      <c r="J146" s="2370"/>
      <c r="K146" s="2370"/>
      <c r="L146" s="2370"/>
      <c r="M146" s="2370"/>
      <c r="N146" s="2370"/>
      <c r="O146" s="21">
        <f>ROW()</f>
        <v>146</v>
      </c>
    </row>
    <row r="147" spans="2:15" ht="15" customHeight="1">
      <c r="B147" s="2402" t="s">
        <v>5384</v>
      </c>
      <c r="C147" s="2794"/>
      <c r="D147" s="2792"/>
      <c r="E147" s="2793"/>
      <c r="F147" s="2787"/>
      <c r="G147" s="2370"/>
      <c r="H147" s="2370"/>
      <c r="I147" s="2370"/>
      <c r="J147" s="2370"/>
      <c r="K147" s="2370"/>
      <c r="L147" s="2370"/>
      <c r="M147" s="2370"/>
      <c r="N147" s="2370"/>
      <c r="O147" s="21">
        <f>ROW()</f>
        <v>147</v>
      </c>
    </row>
    <row r="148" spans="2:15" ht="15" customHeight="1">
      <c r="B148" s="2402"/>
      <c r="C148" s="2794"/>
      <c r="D148" s="2792"/>
      <c r="E148" s="2793"/>
      <c r="F148" s="2787"/>
      <c r="G148" s="2370"/>
      <c r="H148" s="2370"/>
      <c r="I148" s="2370"/>
      <c r="J148" s="2370"/>
      <c r="K148" s="2370"/>
      <c r="L148" s="2370"/>
      <c r="M148" s="2370"/>
      <c r="N148" s="2370"/>
      <c r="O148" s="21">
        <f>ROW()</f>
        <v>148</v>
      </c>
    </row>
    <row r="149" spans="2:15" ht="15" customHeight="1">
      <c r="B149" s="2402" t="s">
        <v>1915</v>
      </c>
      <c r="C149" s="2787"/>
      <c r="D149" s="2370"/>
      <c r="E149" s="2791"/>
      <c r="F149" s="2371"/>
      <c r="G149" s="2370"/>
      <c r="H149" s="2370"/>
      <c r="I149" s="2370"/>
      <c r="J149" s="2370"/>
      <c r="K149" s="2370"/>
      <c r="L149" s="2370"/>
      <c r="M149" s="2370"/>
      <c r="N149" s="2370"/>
      <c r="O149" s="21">
        <f>ROW()</f>
        <v>149</v>
      </c>
    </row>
    <row r="150" spans="2:15" ht="15" customHeight="1">
      <c r="B150" s="2789">
        <v>18</v>
      </c>
      <c r="C150" s="2787">
        <v>36.799999999999997</v>
      </c>
      <c r="D150" s="2370"/>
      <c r="E150" s="2791">
        <v>2000</v>
      </c>
      <c r="F150" s="2789" t="s">
        <v>5378</v>
      </c>
      <c r="G150" s="2370"/>
      <c r="H150" s="2370"/>
      <c r="I150" s="2370"/>
      <c r="J150" s="2370"/>
      <c r="K150" s="2370"/>
      <c r="L150" s="2370"/>
      <c r="M150" s="2370"/>
      <c r="N150" s="2370"/>
      <c r="O150" s="21">
        <f>ROW()</f>
        <v>150</v>
      </c>
    </row>
    <row r="151" spans="2:15" ht="15" customHeight="1">
      <c r="B151" s="2789">
        <v>19</v>
      </c>
      <c r="C151" s="2787">
        <v>28.5</v>
      </c>
      <c r="D151" s="2370"/>
      <c r="E151" s="2791">
        <v>3250</v>
      </c>
      <c r="F151" s="2789" t="s">
        <v>5379</v>
      </c>
      <c r="G151" s="2370"/>
      <c r="H151" s="2370"/>
      <c r="I151" s="2370"/>
      <c r="J151" s="2370"/>
      <c r="K151" s="2370"/>
      <c r="L151" s="2370"/>
      <c r="M151" s="2370"/>
      <c r="N151" s="2370"/>
      <c r="O151" s="21">
        <f>ROW()</f>
        <v>151</v>
      </c>
    </row>
    <row r="152" spans="2:15" ht="15" customHeight="1">
      <c r="B152" s="2789">
        <v>20</v>
      </c>
      <c r="C152" s="2787">
        <v>23.2</v>
      </c>
      <c r="D152" s="2370"/>
      <c r="E152" s="2791">
        <v>3250</v>
      </c>
      <c r="F152" s="2789" t="s">
        <v>5380</v>
      </c>
      <c r="G152" s="2370"/>
      <c r="H152" s="2370"/>
      <c r="I152" s="2370"/>
      <c r="J152" s="2370"/>
      <c r="K152" s="2370"/>
      <c r="L152" s="2370"/>
      <c r="M152" s="2370"/>
      <c r="N152" s="2370"/>
      <c r="O152" s="21">
        <f>ROW()</f>
        <v>152</v>
      </c>
    </row>
    <row r="153" spans="2:15" ht="15" customHeight="1">
      <c r="B153" s="2789">
        <v>21</v>
      </c>
      <c r="C153" s="2787">
        <v>16.399999999999999</v>
      </c>
      <c r="D153" s="2370"/>
      <c r="E153" s="2791">
        <v>6100</v>
      </c>
      <c r="F153" s="2789" t="s">
        <v>5381</v>
      </c>
      <c r="G153" s="2370"/>
      <c r="H153" s="2370"/>
      <c r="I153" s="2370"/>
      <c r="J153" s="2370"/>
      <c r="K153" s="2370"/>
      <c r="L153" s="2370"/>
      <c r="M153" s="2370"/>
      <c r="N153" s="2370"/>
      <c r="O153" s="21">
        <f>ROW()</f>
        <v>153</v>
      </c>
    </row>
    <row r="154" spans="2:15" ht="15" customHeight="1">
      <c r="B154" s="2789">
        <v>22</v>
      </c>
      <c r="C154" s="2787">
        <v>43.8</v>
      </c>
      <c r="D154" s="2370" t="s">
        <v>4701</v>
      </c>
      <c r="E154" s="2791">
        <v>750</v>
      </c>
      <c r="F154" s="2789" t="s">
        <v>5360</v>
      </c>
      <c r="G154" s="2370"/>
      <c r="H154" s="2370"/>
      <c r="I154" s="2370"/>
      <c r="J154" s="2370"/>
      <c r="K154" s="2370"/>
      <c r="L154" s="2370"/>
      <c r="M154" s="2370"/>
      <c r="N154" s="2370"/>
      <c r="O154" s="21">
        <f>ROW()</f>
        <v>154</v>
      </c>
    </row>
    <row r="155" spans="2:15" ht="15" customHeight="1">
      <c r="B155" s="2789">
        <v>23</v>
      </c>
      <c r="C155" s="2787">
        <v>17.399999999999999</v>
      </c>
      <c r="D155" s="2370"/>
      <c r="E155" s="2791">
        <v>3250</v>
      </c>
      <c r="F155" s="2789" t="s">
        <v>5361</v>
      </c>
      <c r="G155" s="2370"/>
      <c r="H155" s="2370"/>
      <c r="I155" s="2370"/>
      <c r="J155" s="2370"/>
      <c r="K155" s="2370"/>
      <c r="L155" s="2370"/>
      <c r="M155" s="2370"/>
      <c r="N155" s="2370"/>
      <c r="O155" s="21">
        <f>ROW()</f>
        <v>155</v>
      </c>
    </row>
    <row r="156" spans="2:15" ht="15" customHeight="1">
      <c r="B156" s="2789">
        <v>24</v>
      </c>
      <c r="C156" s="2787">
        <v>13.3</v>
      </c>
      <c r="D156" s="2370"/>
      <c r="E156" s="2791">
        <v>3250</v>
      </c>
      <c r="F156" s="2786" t="s">
        <v>1201</v>
      </c>
      <c r="G156" s="2370"/>
      <c r="H156" s="2370"/>
      <c r="I156" s="2370"/>
      <c r="J156" s="2370"/>
      <c r="K156" s="2370"/>
      <c r="L156" s="2370"/>
      <c r="M156" s="2370"/>
      <c r="N156" s="2370"/>
      <c r="O156" s="21">
        <f>ROW()</f>
        <v>156</v>
      </c>
    </row>
    <row r="157" spans="2:15" ht="15" customHeight="1">
      <c r="B157" s="2789">
        <v>25</v>
      </c>
      <c r="C157" s="2787">
        <v>33.5</v>
      </c>
      <c r="D157" s="2370" t="s">
        <v>4701</v>
      </c>
      <c r="E157" s="2791">
        <v>750</v>
      </c>
      <c r="F157" s="2786" t="s">
        <v>5362</v>
      </c>
      <c r="G157" s="2370"/>
      <c r="H157" s="2370"/>
      <c r="I157" s="2370"/>
      <c r="J157" s="2370"/>
      <c r="K157" s="2370"/>
      <c r="L157" s="2370"/>
      <c r="M157" s="2370"/>
      <c r="N157" s="2370"/>
      <c r="O157" s="21">
        <f>ROW()</f>
        <v>157</v>
      </c>
    </row>
    <row r="158" spans="2:15" ht="15" customHeight="1">
      <c r="B158" s="2789">
        <v>26</v>
      </c>
      <c r="C158" s="2787">
        <v>18.899999999999999</v>
      </c>
      <c r="D158" s="2370"/>
      <c r="E158" s="2791">
        <v>2000</v>
      </c>
      <c r="F158" s="2786" t="s">
        <v>5363</v>
      </c>
      <c r="G158" s="2370"/>
      <c r="H158" s="2370"/>
      <c r="I158" s="2370"/>
      <c r="J158" s="2370"/>
      <c r="K158" s="2370"/>
      <c r="L158" s="2370"/>
      <c r="M158" s="2370"/>
      <c r="N158" s="2370"/>
      <c r="O158" s="21">
        <f>ROW()</f>
        <v>158</v>
      </c>
    </row>
    <row r="159" spans="2:15" ht="15" customHeight="1">
      <c r="B159" s="2789">
        <v>27</v>
      </c>
      <c r="C159" s="2787">
        <v>14.3</v>
      </c>
      <c r="D159" s="2370"/>
      <c r="E159" s="2791">
        <v>750</v>
      </c>
      <c r="F159" s="2786" t="s">
        <v>5364</v>
      </c>
      <c r="G159" s="2370"/>
      <c r="H159" s="2370"/>
      <c r="I159" s="2370"/>
      <c r="J159" s="2370"/>
      <c r="K159" s="2370"/>
      <c r="L159" s="2370"/>
      <c r="M159" s="2370"/>
      <c r="N159" s="2370"/>
      <c r="O159" s="21">
        <f>ROW()</f>
        <v>159</v>
      </c>
    </row>
    <row r="160" spans="2:15" ht="15" customHeight="1">
      <c r="B160" s="2789">
        <v>28</v>
      </c>
      <c r="C160" s="2787">
        <v>10.6</v>
      </c>
      <c r="D160" s="2370"/>
      <c r="E160" s="2791">
        <v>750</v>
      </c>
      <c r="F160" s="2786" t="s">
        <v>5365</v>
      </c>
      <c r="G160" s="2370"/>
      <c r="H160" s="2370"/>
      <c r="I160" s="2370"/>
      <c r="J160" s="2370"/>
      <c r="K160" s="2370"/>
      <c r="L160" s="2370"/>
      <c r="M160" s="2370"/>
      <c r="N160" s="2370"/>
      <c r="O160" s="21">
        <f>ROW()</f>
        <v>160</v>
      </c>
    </row>
    <row r="161" spans="2:15" ht="15" customHeight="1">
      <c r="B161" s="2789">
        <v>29</v>
      </c>
      <c r="C161" s="2787">
        <v>7.8</v>
      </c>
      <c r="D161" s="2370"/>
      <c r="E161" s="2791">
        <v>4500</v>
      </c>
      <c r="F161" s="2786" t="s">
        <v>5366</v>
      </c>
      <c r="G161" s="2370"/>
      <c r="H161" s="2370"/>
      <c r="I161" s="2370"/>
      <c r="J161" s="2370"/>
      <c r="K161" s="2370"/>
      <c r="L161" s="2370"/>
      <c r="M161" s="2370"/>
      <c r="N161" s="2370"/>
      <c r="O161" s="21">
        <f>ROW()</f>
        <v>161</v>
      </c>
    </row>
    <row r="162" spans="2:15" ht="15" customHeight="1">
      <c r="B162" s="2789">
        <v>30</v>
      </c>
      <c r="C162" s="2787">
        <v>14.3</v>
      </c>
      <c r="D162" s="2370"/>
      <c r="E162" s="2791">
        <v>2000</v>
      </c>
      <c r="F162" s="2786" t="s">
        <v>5367</v>
      </c>
      <c r="G162" s="2370"/>
      <c r="H162" s="2370"/>
      <c r="I162" s="2370"/>
      <c r="J162" s="2370"/>
      <c r="K162" s="2370"/>
      <c r="L162" s="2370"/>
      <c r="M162" s="2370"/>
      <c r="N162" s="2370"/>
      <c r="O162" s="21">
        <f>ROW()</f>
        <v>162</v>
      </c>
    </row>
    <row r="163" spans="2:15" ht="15" customHeight="1">
      <c r="B163" s="2789">
        <v>31</v>
      </c>
      <c r="C163" s="2787">
        <v>10.5</v>
      </c>
      <c r="D163" s="2370"/>
      <c r="E163" s="2791">
        <v>750</v>
      </c>
      <c r="F163" s="2786" t="s">
        <v>1475</v>
      </c>
      <c r="G163" s="2370"/>
      <c r="H163" s="2370"/>
      <c r="I163" s="2370"/>
      <c r="J163" s="2370"/>
      <c r="K163" s="2370"/>
      <c r="L163" s="2370"/>
      <c r="M163" s="2370"/>
      <c r="N163" s="2370"/>
      <c r="O163" s="21">
        <f>ROW()</f>
        <v>163</v>
      </c>
    </row>
    <row r="164" spans="2:15" ht="15" customHeight="1">
      <c r="B164" s="2789">
        <v>32</v>
      </c>
      <c r="C164" s="2787">
        <v>5.4</v>
      </c>
      <c r="D164" s="2370"/>
      <c r="E164" s="2791">
        <v>2000</v>
      </c>
      <c r="F164" s="2789" t="s">
        <v>5368</v>
      </c>
      <c r="G164" s="2370"/>
      <c r="H164" s="2370"/>
      <c r="I164" s="2370"/>
      <c r="J164" s="2370"/>
      <c r="K164" s="2370"/>
      <c r="L164" s="2370"/>
      <c r="M164" s="2370"/>
      <c r="N164" s="2370"/>
      <c r="O164" s="21">
        <f>ROW()</f>
        <v>164</v>
      </c>
    </row>
    <row r="165" spans="2:15" ht="15" customHeight="1">
      <c r="B165" s="2789">
        <v>33</v>
      </c>
      <c r="C165" s="2787">
        <v>24.2</v>
      </c>
      <c r="D165" s="2370"/>
      <c r="E165" s="2791">
        <v>750</v>
      </c>
      <c r="F165" s="2789" t="s">
        <v>5369</v>
      </c>
      <c r="G165" s="2370"/>
      <c r="H165" s="2370"/>
      <c r="I165" s="2370"/>
      <c r="J165" s="2370"/>
      <c r="K165" s="2370"/>
      <c r="L165" s="2370"/>
      <c r="M165" s="2370"/>
      <c r="N165" s="2370"/>
      <c r="O165" s="21">
        <f>ROW()</f>
        <v>165</v>
      </c>
    </row>
    <row r="166" spans="2:15" ht="15" customHeight="1">
      <c r="B166" s="2789">
        <v>34</v>
      </c>
      <c r="C166" s="2787">
        <v>19.5</v>
      </c>
      <c r="D166" s="2370"/>
      <c r="E166" s="2791">
        <v>750</v>
      </c>
      <c r="F166" s="2789" t="s">
        <v>5370</v>
      </c>
      <c r="G166" s="2370"/>
      <c r="H166" s="2370"/>
      <c r="I166" s="2370"/>
      <c r="J166" s="2370"/>
      <c r="K166" s="2370"/>
      <c r="L166" s="2370"/>
      <c r="M166" s="2370"/>
      <c r="N166" s="2370"/>
      <c r="O166" s="21">
        <f>ROW()</f>
        <v>166</v>
      </c>
    </row>
    <row r="167" spans="2:15" ht="15" customHeight="1">
      <c r="B167" s="2789">
        <v>35</v>
      </c>
      <c r="C167" s="2787">
        <v>8.1</v>
      </c>
      <c r="D167" s="2370"/>
      <c r="E167" s="2791">
        <v>750</v>
      </c>
      <c r="F167" s="2789" t="s">
        <v>5371</v>
      </c>
      <c r="G167" s="2370"/>
      <c r="H167" s="2370"/>
      <c r="I167" s="2370"/>
      <c r="J167" s="2370"/>
      <c r="K167" s="2370"/>
      <c r="L167" s="2370"/>
      <c r="M167" s="2370"/>
      <c r="N167" s="2370"/>
      <c r="O167" s="21">
        <f>ROW()</f>
        <v>167</v>
      </c>
    </row>
    <row r="168" spans="2:15" ht="15" customHeight="1">
      <c r="B168" s="2789">
        <v>36</v>
      </c>
      <c r="C168" s="2787">
        <v>5.7</v>
      </c>
      <c r="D168" s="2370"/>
      <c r="E168" s="2791">
        <v>2000</v>
      </c>
      <c r="F168" s="2789" t="s">
        <v>5372</v>
      </c>
      <c r="G168" s="2370"/>
      <c r="H168" s="2370"/>
      <c r="I168" s="2370"/>
      <c r="J168" s="2370"/>
      <c r="K168" s="2370"/>
      <c r="L168" s="2370"/>
      <c r="M168" s="2370"/>
      <c r="N168" s="2370"/>
      <c r="O168" s="21">
        <f>ROW()</f>
        <v>168</v>
      </c>
    </row>
    <row r="169" spans="2:15" ht="15" customHeight="1">
      <c r="B169" s="2789">
        <v>37</v>
      </c>
      <c r="C169" s="2787">
        <v>26.3</v>
      </c>
      <c r="D169" s="2370"/>
      <c r="E169" s="2791">
        <v>750</v>
      </c>
      <c r="F169" s="2789" t="s">
        <v>5373</v>
      </c>
      <c r="G169" s="2370"/>
      <c r="H169" s="2370"/>
      <c r="I169" s="2370"/>
      <c r="J169" s="2370"/>
      <c r="K169" s="2370"/>
      <c r="L169" s="2370"/>
      <c r="M169" s="2370"/>
      <c r="N169" s="2370"/>
      <c r="O169" s="21">
        <f>ROW()</f>
        <v>169</v>
      </c>
    </row>
    <row r="170" spans="2:15" ht="15" customHeight="1">
      <c r="B170" s="2789">
        <v>38</v>
      </c>
      <c r="C170" s="2787">
        <v>8.6999999999999993</v>
      </c>
      <c r="D170" s="2370"/>
      <c r="E170" s="2791">
        <v>750</v>
      </c>
      <c r="F170" s="2789" t="s">
        <v>5374</v>
      </c>
      <c r="G170" s="2371"/>
      <c r="H170" s="2371"/>
      <c r="I170" s="2371"/>
      <c r="J170" s="2371"/>
      <c r="K170" s="2371"/>
      <c r="L170" s="2371"/>
      <c r="M170" s="2370"/>
      <c r="N170" s="2370"/>
      <c r="O170" s="21">
        <f>ROW()</f>
        <v>170</v>
      </c>
    </row>
    <row r="171" spans="2:15" ht="15" customHeight="1">
      <c r="B171" s="3035" t="s">
        <v>5330</v>
      </c>
      <c r="C171" s="3036">
        <v>45</v>
      </c>
      <c r="D171" s="3037"/>
      <c r="E171" s="3047">
        <v>4000</v>
      </c>
      <c r="F171" s="3051" t="s">
        <v>5337</v>
      </c>
      <c r="G171" s="3052"/>
      <c r="H171" s="3052"/>
      <c r="I171" s="3052"/>
      <c r="J171" s="3052"/>
      <c r="K171" s="3052"/>
      <c r="L171" s="3053"/>
      <c r="M171" s="2370"/>
      <c r="N171" s="2370"/>
      <c r="O171" s="21">
        <f>ROW()</f>
        <v>171</v>
      </c>
    </row>
    <row r="172" spans="2:15" ht="15" customHeight="1">
      <c r="B172" s="2402" t="s">
        <v>4709</v>
      </c>
      <c r="C172" s="2794">
        <f>SUMPRODUCT(C150:C171,E150:E171)/E172</f>
        <v>19.839578713968958</v>
      </c>
      <c r="D172" s="2792" t="s">
        <v>4710</v>
      </c>
      <c r="E172" s="2793">
        <f>SUM(E150:E171)</f>
        <v>45100</v>
      </c>
      <c r="F172" s="3048">
        <f>E172/E145</f>
        <v>0.24753018660812295</v>
      </c>
      <c r="G172" s="3049" t="s">
        <v>5318</v>
      </c>
      <c r="H172" s="3050"/>
      <c r="I172" s="2370"/>
      <c r="J172" s="2370"/>
      <c r="K172" s="2370"/>
      <c r="L172" s="2370"/>
      <c r="M172" s="2370"/>
      <c r="N172" s="2370"/>
      <c r="O172" s="21">
        <f>ROW()</f>
        <v>172</v>
      </c>
    </row>
    <row r="173" spans="2:15" ht="15" customHeight="1">
      <c r="B173" s="2402"/>
      <c r="C173" s="2794"/>
      <c r="D173" s="2792"/>
      <c r="E173" s="2793"/>
      <c r="F173" s="2787"/>
      <c r="G173" s="2370"/>
      <c r="H173" s="2370"/>
      <c r="I173" s="2370"/>
      <c r="J173" s="2370"/>
      <c r="K173" s="2370"/>
      <c r="L173" s="2370"/>
      <c r="M173" s="2370"/>
      <c r="N173" s="2370"/>
      <c r="O173" s="21">
        <f>ROW()</f>
        <v>173</v>
      </c>
    </row>
    <row r="174" spans="2:15" ht="15" customHeight="1">
      <c r="B174" s="2402" t="s">
        <v>1914</v>
      </c>
      <c r="C174" s="2370"/>
      <c r="D174" s="2370" t="s">
        <v>4700</v>
      </c>
      <c r="E174" s="2790"/>
      <c r="F174" s="2371"/>
      <c r="G174" s="2370"/>
      <c r="H174" s="2370"/>
      <c r="I174" s="2370"/>
      <c r="J174" s="2370"/>
      <c r="K174" s="2370"/>
      <c r="L174" s="2370"/>
      <c r="M174" s="2370"/>
      <c r="N174" s="2370"/>
      <c r="O174" s="21">
        <f>ROW()</f>
        <v>174</v>
      </c>
    </row>
    <row r="175" spans="2:15" ht="15" customHeight="1">
      <c r="B175" s="2789">
        <v>1</v>
      </c>
      <c r="C175" s="2787">
        <v>45.6</v>
      </c>
      <c r="D175" s="2370" t="s">
        <v>4701</v>
      </c>
      <c r="E175" s="2791">
        <v>2000</v>
      </c>
      <c r="F175" s="2371"/>
      <c r="G175" s="2370"/>
      <c r="H175" s="2370"/>
      <c r="I175" s="2370"/>
      <c r="J175" s="2370"/>
      <c r="K175" s="2370"/>
      <c r="L175" s="2370"/>
      <c r="M175" s="2370"/>
      <c r="N175" s="2370"/>
      <c r="O175" s="21">
        <f>ROW()</f>
        <v>175</v>
      </c>
    </row>
    <row r="176" spans="2:15" ht="15" customHeight="1">
      <c r="B176" s="2789">
        <v>2</v>
      </c>
      <c r="C176" s="2787">
        <v>32.1</v>
      </c>
      <c r="D176" s="2370"/>
      <c r="E176" s="2791">
        <v>2000</v>
      </c>
      <c r="F176" s="2371"/>
      <c r="G176" s="2370"/>
      <c r="H176" s="2370"/>
      <c r="I176" s="2370"/>
      <c r="J176" s="2370"/>
      <c r="K176" s="2370"/>
      <c r="L176" s="2370"/>
      <c r="M176" s="2370"/>
      <c r="N176" s="2370"/>
      <c r="O176" s="21">
        <f>ROW()</f>
        <v>176</v>
      </c>
    </row>
    <row r="177" spans="2:15" ht="15" customHeight="1">
      <c r="B177" s="2789">
        <v>3</v>
      </c>
      <c r="C177" s="2787">
        <v>27.6</v>
      </c>
      <c r="D177" s="2370"/>
      <c r="E177" s="2791">
        <v>750</v>
      </c>
      <c r="F177" s="2371"/>
      <c r="G177" s="2370"/>
      <c r="H177" s="2370"/>
      <c r="I177" s="2370"/>
      <c r="J177" s="2370"/>
      <c r="K177" s="2370"/>
      <c r="L177" s="2370"/>
      <c r="M177" s="2370"/>
      <c r="N177" s="2370"/>
      <c r="O177" s="21">
        <f>ROW()</f>
        <v>177</v>
      </c>
    </row>
    <row r="178" spans="2:15" ht="15" customHeight="1">
      <c r="B178" s="3035" t="s">
        <v>5330</v>
      </c>
      <c r="C178" s="3036">
        <v>50</v>
      </c>
      <c r="D178" s="3037"/>
      <c r="E178" s="3047">
        <v>1000</v>
      </c>
      <c r="F178" s="3051" t="s">
        <v>5336</v>
      </c>
      <c r="G178" s="3052"/>
      <c r="H178" s="3052"/>
      <c r="I178" s="3052"/>
      <c r="J178" s="3052"/>
      <c r="K178" s="3052"/>
      <c r="L178" s="3053"/>
      <c r="M178" s="2370"/>
      <c r="N178" s="2370"/>
      <c r="O178" s="21">
        <f>ROW()</f>
        <v>178</v>
      </c>
    </row>
    <row r="179" spans="2:15" ht="15" customHeight="1">
      <c r="B179" s="2402" t="s">
        <v>4709</v>
      </c>
      <c r="C179" s="2794">
        <f>SUMPRODUCT(C175:C178,E175:E178)/E179</f>
        <v>39.321739130434786</v>
      </c>
      <c r="D179" s="2792" t="s">
        <v>4710</v>
      </c>
      <c r="E179" s="2793">
        <f>SUM(E175:E178)</f>
        <v>5750</v>
      </c>
      <c r="F179" s="3029">
        <f>E179/E172</f>
        <v>0.12749445676274945</v>
      </c>
      <c r="G179" s="3030" t="s">
        <v>5320</v>
      </c>
      <c r="H179" s="2370"/>
      <c r="I179" s="2370"/>
      <c r="J179" s="2370"/>
      <c r="K179" s="2370"/>
      <c r="L179" s="2370"/>
      <c r="M179" s="2370"/>
      <c r="N179" s="2370"/>
      <c r="O179" s="21">
        <f>ROW()</f>
        <v>179</v>
      </c>
    </row>
    <row r="180" spans="2:15" ht="15" customHeight="1">
      <c r="H180" s="2370"/>
      <c r="I180" s="2370"/>
      <c r="J180" s="2370"/>
      <c r="K180" s="2370"/>
      <c r="L180" s="2370"/>
      <c r="M180" s="2370"/>
      <c r="N180" s="2370"/>
      <c r="O180" s="21">
        <f>ROW()</f>
        <v>180</v>
      </c>
    </row>
    <row r="181" spans="2:15" ht="15" customHeight="1">
      <c r="B181" s="3054" t="s">
        <v>5339</v>
      </c>
      <c r="C181" s="3055">
        <v>75</v>
      </c>
      <c r="D181" s="3056"/>
      <c r="E181" s="3057">
        <v>5000</v>
      </c>
      <c r="F181" s="3062" t="s">
        <v>5340</v>
      </c>
      <c r="G181" s="3058"/>
      <c r="H181" s="3059"/>
      <c r="I181" s="3059"/>
      <c r="J181" s="3059"/>
      <c r="K181" s="3059"/>
      <c r="L181" s="3060"/>
      <c r="M181" s="2370"/>
      <c r="N181" s="2370"/>
      <c r="O181" s="21">
        <f>ROW()</f>
        <v>181</v>
      </c>
    </row>
    <row r="182" spans="2:15" ht="15" customHeight="1">
      <c r="H182" s="2370"/>
      <c r="I182" s="2370"/>
      <c r="J182" s="2370"/>
      <c r="K182" s="2370"/>
      <c r="L182" s="2370"/>
      <c r="M182" s="2370"/>
      <c r="N182" s="2370"/>
      <c r="O182" s="21">
        <f>ROW()</f>
        <v>182</v>
      </c>
    </row>
    <row r="183" spans="2:15" ht="15" customHeight="1">
      <c r="B183" s="2795" t="s">
        <v>5338</v>
      </c>
      <c r="C183" s="3061">
        <f>(C172*E172+C179*E179+C181*E181)/E183</f>
        <v>26.783616830796777</v>
      </c>
      <c r="D183" s="2797"/>
      <c r="E183" s="2798">
        <f>E172+E179+E181</f>
        <v>55850</v>
      </c>
      <c r="F183" s="2371"/>
      <c r="G183" s="2370"/>
      <c r="H183" s="2370"/>
      <c r="I183" s="2370"/>
      <c r="J183" s="2370"/>
      <c r="K183" s="2370"/>
      <c r="L183" s="2370"/>
      <c r="M183" s="2370"/>
      <c r="N183" s="2370"/>
      <c r="O183" s="21">
        <f>ROW()</f>
        <v>183</v>
      </c>
    </row>
    <row r="184" spans="2:15" ht="15" customHeight="1" thickBot="1">
      <c r="B184" s="2402"/>
      <c r="C184" s="2794"/>
      <c r="D184" s="2792"/>
      <c r="E184" s="2793"/>
      <c r="F184" s="2787"/>
      <c r="G184" s="2370"/>
      <c r="H184" s="2370"/>
      <c r="I184" s="2370"/>
      <c r="J184" s="2370"/>
      <c r="K184" s="2370"/>
      <c r="L184" s="2370"/>
      <c r="M184" s="2370"/>
      <c r="N184" s="2370"/>
      <c r="O184" s="21">
        <f>ROW()</f>
        <v>184</v>
      </c>
    </row>
    <row r="185" spans="2:15" ht="15" customHeight="1" thickBot="1">
      <c r="B185" s="2799" t="s">
        <v>4713</v>
      </c>
      <c r="C185" s="2800">
        <f>(C145*E145+C183*E183)/E185</f>
        <v>16.900058730389546</v>
      </c>
      <c r="D185" s="2801"/>
      <c r="E185" s="2802">
        <f>E145+E183</f>
        <v>238050</v>
      </c>
      <c r="F185" s="2370"/>
      <c r="G185" s="2370"/>
      <c r="H185" s="2370"/>
      <c r="I185" s="2370"/>
      <c r="J185" s="2370"/>
      <c r="K185" s="2370"/>
      <c r="L185" s="2370"/>
      <c r="M185" s="2370"/>
      <c r="N185" s="2370"/>
      <c r="O185" s="21">
        <f>ROW()</f>
        <v>185</v>
      </c>
    </row>
    <row r="186" spans="2:15" ht="15" customHeight="1">
      <c r="B186" s="2370"/>
      <c r="F186" s="2370"/>
      <c r="G186" s="2370"/>
      <c r="H186" s="2370"/>
      <c r="I186" s="2370"/>
      <c r="J186" s="2370"/>
      <c r="K186" s="2370"/>
      <c r="L186" s="2370"/>
      <c r="M186" s="2370"/>
      <c r="N186" s="2370"/>
      <c r="O186" s="21">
        <f>ROW()</f>
        <v>186</v>
      </c>
    </row>
    <row r="187" spans="2:15" ht="15" customHeight="1">
      <c r="F187" s="2370"/>
      <c r="G187" s="2370"/>
      <c r="H187" s="2370"/>
      <c r="I187" s="2370"/>
      <c r="J187" s="2370"/>
      <c r="K187" s="2370"/>
      <c r="L187" s="2370"/>
      <c r="M187" s="2370"/>
      <c r="N187" s="2370"/>
      <c r="O187" s="21">
        <f>ROW()</f>
        <v>187</v>
      </c>
    </row>
    <row r="188" spans="2:15" ht="15" customHeight="1">
      <c r="B188" s="2370"/>
      <c r="F188" s="2370"/>
      <c r="G188" s="2370"/>
      <c r="H188" s="2370"/>
      <c r="I188" s="2370"/>
      <c r="J188" s="2370"/>
      <c r="K188" s="2370"/>
      <c r="L188" s="2370"/>
      <c r="M188" s="2370"/>
      <c r="N188" s="2370"/>
      <c r="O188" s="21">
        <f>ROW()</f>
        <v>188</v>
      </c>
    </row>
    <row r="189" spans="2:15" ht="15" customHeight="1">
      <c r="B189" s="2370" t="s">
        <v>5308</v>
      </c>
      <c r="D189" s="2787"/>
      <c r="E189" s="2787"/>
      <c r="F189" s="2370"/>
      <c r="G189" s="2370"/>
      <c r="H189" s="2370"/>
      <c r="I189" s="2370"/>
      <c r="J189" s="2370"/>
      <c r="K189" s="2370"/>
      <c r="L189" s="2370"/>
      <c r="M189" s="2370"/>
      <c r="N189" s="2370"/>
      <c r="O189" s="21">
        <f>ROW()</f>
        <v>189</v>
      </c>
    </row>
    <row r="190" spans="2:15" ht="15" customHeight="1">
      <c r="B190" s="2370"/>
      <c r="C190" s="2788"/>
      <c r="D190" s="2787"/>
      <c r="E190" s="2787"/>
      <c r="F190" s="2370"/>
      <c r="G190" s="2370"/>
      <c r="H190" s="2370"/>
      <c r="I190" s="2370"/>
      <c r="J190" s="2370"/>
      <c r="K190" s="2370"/>
      <c r="L190" s="2370"/>
      <c r="M190" s="2370"/>
      <c r="N190" s="2370"/>
      <c r="O190" s="21">
        <f>ROW()</f>
        <v>190</v>
      </c>
    </row>
    <row r="191" spans="2:15" ht="15" customHeight="1">
      <c r="B191" s="2370"/>
      <c r="C191" s="2787"/>
      <c r="D191" s="2787"/>
      <c r="E191" s="2787"/>
      <c r="F191" s="2370"/>
      <c r="G191" s="2370"/>
      <c r="H191" s="2370"/>
      <c r="I191" s="2370"/>
      <c r="J191" s="2370"/>
      <c r="K191" s="2370"/>
      <c r="L191" s="2370"/>
      <c r="M191" s="2370"/>
      <c r="N191" s="2370"/>
      <c r="O191" s="21">
        <f>ROW()</f>
        <v>191</v>
      </c>
    </row>
    <row r="192" spans="2:15" ht="15" customHeight="1">
      <c r="B192" s="2373" t="s">
        <v>4722</v>
      </c>
      <c r="C192" s="2787"/>
      <c r="E192" s="2787"/>
      <c r="F192" s="2370"/>
      <c r="G192" s="2370"/>
      <c r="H192" s="2370"/>
      <c r="I192" s="2370"/>
      <c r="J192" s="2370"/>
      <c r="K192" s="2370"/>
      <c r="L192" s="2370"/>
      <c r="M192" s="2370"/>
      <c r="N192" s="2370"/>
      <c r="O192" s="21">
        <f>ROW()</f>
        <v>192</v>
      </c>
    </row>
    <row r="193" spans="2:15" ht="15" customHeight="1">
      <c r="O193" s="21">
        <f>ROW()</f>
        <v>193</v>
      </c>
    </row>
    <row r="194" spans="2:15" ht="15" customHeight="1">
      <c r="B194" s="3787" t="s">
        <v>4723</v>
      </c>
      <c r="C194" s="3787"/>
      <c r="D194" s="3787"/>
      <c r="E194" s="3787"/>
      <c r="F194" s="3787"/>
      <c r="G194" s="3787"/>
      <c r="H194" s="3787"/>
      <c r="I194" s="3787"/>
      <c r="O194" s="21">
        <f>ROW()</f>
        <v>194</v>
      </c>
    </row>
    <row r="195" spans="2:15" ht="15" customHeight="1">
      <c r="B195" s="3787"/>
      <c r="C195" s="3787"/>
      <c r="D195" s="3787"/>
      <c r="E195" s="3787"/>
      <c r="F195" s="3787"/>
      <c r="G195" s="3787"/>
      <c r="H195" s="3787"/>
      <c r="I195" s="3787"/>
      <c r="O195" s="21">
        <f>ROW()</f>
        <v>195</v>
      </c>
    </row>
    <row r="196" spans="2:15" ht="15" customHeight="1">
      <c r="B196" s="2803"/>
      <c r="C196" s="2803"/>
      <c r="D196" s="2803"/>
      <c r="E196" s="2803"/>
      <c r="F196" s="2803"/>
      <c r="G196" s="2803"/>
      <c r="H196" s="2803"/>
      <c r="I196" s="2803"/>
      <c r="O196" s="21">
        <f>ROW()</f>
        <v>196</v>
      </c>
    </row>
    <row r="197" spans="2:15" ht="15" customHeight="1">
      <c r="B197" s="3787" t="str">
        <f>CONCATENATE("Each cell in the array returns the mean distance from that cell to a randomly selected cell in the array (including the instant cell). The figure in Row ",O224, ", the mean of the cell values, is a reasonable approximation of the travel distance between any two randomly selected points.")</f>
        <v>Each cell in the array returns the mean distance from that cell to a randomly selected cell in the array (including the instant cell). The figure in Row 224, the mean of the cell values, is a reasonable approximation of the travel distance between any two randomly selected points.</v>
      </c>
      <c r="C197" s="3787"/>
      <c r="D197" s="3787"/>
      <c r="E197" s="3787"/>
      <c r="F197" s="3787"/>
      <c r="G197" s="3787"/>
      <c r="H197" s="3787"/>
      <c r="I197" s="3787"/>
      <c r="O197" s="21">
        <f>ROW()</f>
        <v>197</v>
      </c>
    </row>
    <row r="198" spans="2:15" ht="15" customHeight="1">
      <c r="B198" s="3787"/>
      <c r="C198" s="3787"/>
      <c r="D198" s="3787"/>
      <c r="E198" s="3787"/>
      <c r="F198" s="3787"/>
      <c r="G198" s="3787"/>
      <c r="H198" s="3787"/>
      <c r="I198" s="3787"/>
      <c r="O198" s="21">
        <f>ROW()</f>
        <v>198</v>
      </c>
    </row>
    <row r="199" spans="2:15" ht="15" customHeight="1">
      <c r="B199" s="2803"/>
      <c r="C199" s="2803"/>
      <c r="D199" s="2803"/>
      <c r="E199" s="2803"/>
      <c r="F199" s="2803"/>
      <c r="G199" s="2803"/>
      <c r="H199" s="2803"/>
      <c r="I199" s="2803"/>
      <c r="O199" s="21">
        <f>ROW()</f>
        <v>199</v>
      </c>
    </row>
    <row r="200" spans="2:15" ht="15" customHeight="1">
      <c r="B200" s="3787" t="s">
        <v>4726</v>
      </c>
      <c r="C200" s="3787"/>
      <c r="D200" s="3787"/>
      <c r="E200" s="3787"/>
      <c r="F200" s="3787"/>
      <c r="G200" s="3787"/>
      <c r="H200" s="3787"/>
      <c r="I200" s="3787"/>
      <c r="O200" s="21">
        <f>ROW()</f>
        <v>200</v>
      </c>
    </row>
    <row r="201" spans="2:15" ht="15" customHeight="1">
      <c r="B201" s="3787"/>
      <c r="C201" s="3787"/>
      <c r="D201" s="3787"/>
      <c r="E201" s="3787"/>
      <c r="F201" s="3787"/>
      <c r="G201" s="3787"/>
      <c r="H201" s="3787"/>
      <c r="I201" s="3787"/>
      <c r="O201" s="21">
        <f>ROW()</f>
        <v>201</v>
      </c>
    </row>
    <row r="202" spans="2:15" ht="15" customHeight="1">
      <c r="B202" s="3787"/>
      <c r="C202" s="3787"/>
      <c r="D202" s="3787"/>
      <c r="E202" s="3787"/>
      <c r="F202" s="3787"/>
      <c r="G202" s="3787"/>
      <c r="H202" s="3787"/>
      <c r="I202" s="3787"/>
      <c r="O202" s="21">
        <f>ROW()</f>
        <v>202</v>
      </c>
    </row>
    <row r="203" spans="2:15" ht="15" customHeight="1">
      <c r="O203" s="21">
        <f>ROW()</f>
        <v>203</v>
      </c>
    </row>
    <row r="204" spans="2:15" ht="15" customHeight="1">
      <c r="B204" s="4501" t="s">
        <v>4725</v>
      </c>
      <c r="C204" s="4500" t="s">
        <v>4724</v>
      </c>
      <c r="D204" s="4500"/>
      <c r="E204" s="4500"/>
      <c r="F204" s="4500"/>
      <c r="G204" s="4500"/>
      <c r="H204" s="4500"/>
      <c r="I204" s="4500"/>
      <c r="J204" s="4500"/>
      <c r="O204" s="21">
        <f>ROW()</f>
        <v>204</v>
      </c>
    </row>
    <row r="205" spans="2:15" ht="15" customHeight="1">
      <c r="B205" s="4502"/>
      <c r="C205" s="2811">
        <v>0</v>
      </c>
      <c r="D205" s="2811">
        <v>0.2</v>
      </c>
      <c r="E205" s="2811">
        <v>0.4</v>
      </c>
      <c r="F205" s="2811">
        <v>0.6</v>
      </c>
      <c r="G205" s="2811">
        <v>0.8</v>
      </c>
      <c r="H205" s="2811">
        <v>1</v>
      </c>
      <c r="I205" s="2811">
        <v>1.2</v>
      </c>
      <c r="J205" s="2811">
        <v>1.4</v>
      </c>
      <c r="O205" s="21">
        <f>ROW()</f>
        <v>205</v>
      </c>
    </row>
    <row r="206" spans="2:15" ht="15" customHeight="1">
      <c r="B206" s="2812">
        <v>6</v>
      </c>
      <c r="C206" s="117">
        <f t="shared" ref="C206:J215" si="0">AVERAGE(ABS($B206-$B$206),ABS($B206-$B$207),ABS($B206-$B$208),ABS($B206-$B$209),ABS($B206-$B$210),ABS($B206-$B$211),ABS($B206-$B$212),ABS($B206-$B$213),ABS($B206-$B$214),ABS($B206-$B$215),ABS($B206-$B$216),ABS($B206-$B$217),ABS($B206-$B$218),ABS($B206-$B$219),ABS($B206-$B$220),ABS($B206-$B$221))+AVERAGE(ABS(C$205-$C$205),ABS(C$205-$D$205),ABS(C$205-$E$205),ABS(C$205-$F$205),ABS(C$205-$G$205),ABS(C$205-$H$205),ABS(C$205-$I$205),ABS(C$205-$J$205))</f>
        <v>3.7</v>
      </c>
      <c r="D206" s="117">
        <f t="shared" si="0"/>
        <v>3.55</v>
      </c>
      <c r="E206" s="117">
        <f t="shared" si="0"/>
        <v>3.45</v>
      </c>
      <c r="F206" s="117">
        <f t="shared" si="0"/>
        <v>3.4</v>
      </c>
      <c r="G206" s="117">
        <f t="shared" si="0"/>
        <v>3.4</v>
      </c>
      <c r="H206" s="117">
        <f t="shared" si="0"/>
        <v>3.45</v>
      </c>
      <c r="I206" s="117">
        <f t="shared" si="0"/>
        <v>3.55</v>
      </c>
      <c r="J206" s="117">
        <f t="shared" si="0"/>
        <v>3.6999999999999997</v>
      </c>
      <c r="O206" s="21">
        <f>ROW()</f>
        <v>206</v>
      </c>
    </row>
    <row r="207" spans="2:15" ht="15" customHeight="1">
      <c r="B207" s="2812">
        <v>5.6</v>
      </c>
      <c r="C207" s="117">
        <f t="shared" si="0"/>
        <v>3.3499999999999996</v>
      </c>
      <c r="D207" s="117">
        <f t="shared" si="0"/>
        <v>3.2</v>
      </c>
      <c r="E207" s="117">
        <f t="shared" si="0"/>
        <v>3.1</v>
      </c>
      <c r="F207" s="117">
        <f t="shared" si="0"/>
        <v>3.05</v>
      </c>
      <c r="G207" s="117">
        <f t="shared" si="0"/>
        <v>3.05</v>
      </c>
      <c r="H207" s="117">
        <f t="shared" si="0"/>
        <v>3.1</v>
      </c>
      <c r="I207" s="117">
        <f t="shared" si="0"/>
        <v>3.2</v>
      </c>
      <c r="J207" s="117">
        <f t="shared" si="0"/>
        <v>3.3499999999999996</v>
      </c>
      <c r="O207" s="21">
        <f>ROW()</f>
        <v>207</v>
      </c>
    </row>
    <row r="208" spans="2:15" ht="15" customHeight="1">
      <c r="B208" s="2812">
        <v>5.2</v>
      </c>
      <c r="C208" s="117">
        <f t="shared" si="0"/>
        <v>3.05</v>
      </c>
      <c r="D208" s="117">
        <f t="shared" si="0"/>
        <v>2.9000000000000004</v>
      </c>
      <c r="E208" s="117">
        <f t="shared" si="0"/>
        <v>2.8000000000000003</v>
      </c>
      <c r="F208" s="117">
        <f t="shared" si="0"/>
        <v>2.75</v>
      </c>
      <c r="G208" s="117">
        <f t="shared" si="0"/>
        <v>2.75</v>
      </c>
      <c r="H208" s="117">
        <f t="shared" si="0"/>
        <v>2.8000000000000003</v>
      </c>
      <c r="I208" s="117">
        <f t="shared" si="0"/>
        <v>2.9000000000000004</v>
      </c>
      <c r="J208" s="117">
        <f t="shared" si="0"/>
        <v>3.05</v>
      </c>
      <c r="O208" s="21">
        <f>ROW()</f>
        <v>208</v>
      </c>
    </row>
    <row r="209" spans="2:15" ht="15" customHeight="1">
      <c r="B209" s="2812">
        <v>4.8</v>
      </c>
      <c r="C209" s="117">
        <f t="shared" si="0"/>
        <v>2.8</v>
      </c>
      <c r="D209" s="117">
        <f t="shared" si="0"/>
        <v>2.6499999999999995</v>
      </c>
      <c r="E209" s="117">
        <f t="shared" si="0"/>
        <v>2.5499999999999998</v>
      </c>
      <c r="F209" s="117">
        <f t="shared" si="0"/>
        <v>2.4999999999999996</v>
      </c>
      <c r="G209" s="117">
        <f t="shared" si="0"/>
        <v>2.4999999999999996</v>
      </c>
      <c r="H209" s="117">
        <f t="shared" si="0"/>
        <v>2.5499999999999998</v>
      </c>
      <c r="I209" s="117">
        <f t="shared" si="0"/>
        <v>2.6499999999999995</v>
      </c>
      <c r="J209" s="117">
        <f t="shared" si="0"/>
        <v>2.7999999999999994</v>
      </c>
      <c r="O209" s="21">
        <f>ROW()</f>
        <v>209</v>
      </c>
    </row>
    <row r="210" spans="2:15" ht="15" customHeight="1">
      <c r="B210" s="2812">
        <v>4.4000000000000004</v>
      </c>
      <c r="C210" s="117">
        <f t="shared" si="0"/>
        <v>2.6000000000000005</v>
      </c>
      <c r="D210" s="117">
        <f t="shared" si="0"/>
        <v>2.4500000000000002</v>
      </c>
      <c r="E210" s="117">
        <f t="shared" si="0"/>
        <v>2.3500000000000005</v>
      </c>
      <c r="F210" s="117">
        <f t="shared" si="0"/>
        <v>2.3000000000000003</v>
      </c>
      <c r="G210" s="117">
        <f t="shared" si="0"/>
        <v>2.3000000000000003</v>
      </c>
      <c r="H210" s="117">
        <f t="shared" si="0"/>
        <v>2.3500000000000005</v>
      </c>
      <c r="I210" s="117">
        <f t="shared" si="0"/>
        <v>2.4500000000000002</v>
      </c>
      <c r="J210" s="117">
        <f t="shared" si="0"/>
        <v>2.6</v>
      </c>
      <c r="O210" s="21">
        <f>ROW()</f>
        <v>210</v>
      </c>
    </row>
    <row r="211" spans="2:15" ht="15" customHeight="1">
      <c r="B211" s="2812">
        <v>4</v>
      </c>
      <c r="C211" s="117">
        <f t="shared" si="0"/>
        <v>2.4500000000000002</v>
      </c>
      <c r="D211" s="117">
        <f t="shared" si="0"/>
        <v>2.2999999999999998</v>
      </c>
      <c r="E211" s="117">
        <f t="shared" si="0"/>
        <v>2.2000000000000002</v>
      </c>
      <c r="F211" s="117">
        <f t="shared" si="0"/>
        <v>2.15</v>
      </c>
      <c r="G211" s="117">
        <f t="shared" si="0"/>
        <v>2.15</v>
      </c>
      <c r="H211" s="117">
        <f t="shared" si="0"/>
        <v>2.2000000000000002</v>
      </c>
      <c r="I211" s="117">
        <f t="shared" si="0"/>
        <v>2.2999999999999998</v>
      </c>
      <c r="J211" s="117">
        <f t="shared" si="0"/>
        <v>2.4499999999999997</v>
      </c>
      <c r="O211" s="21">
        <f>ROW()</f>
        <v>211</v>
      </c>
    </row>
    <row r="212" spans="2:15" ht="15" customHeight="1">
      <c r="B212" s="2812">
        <v>3.6</v>
      </c>
      <c r="C212" s="117">
        <f t="shared" si="0"/>
        <v>2.35</v>
      </c>
      <c r="D212" s="117">
        <f t="shared" si="0"/>
        <v>2.2000000000000002</v>
      </c>
      <c r="E212" s="117">
        <f t="shared" si="0"/>
        <v>2.1</v>
      </c>
      <c r="F212" s="117">
        <f t="shared" si="0"/>
        <v>2.0500000000000003</v>
      </c>
      <c r="G212" s="117">
        <f t="shared" si="0"/>
        <v>2.0500000000000003</v>
      </c>
      <c r="H212" s="117">
        <f t="shared" si="0"/>
        <v>2.1</v>
      </c>
      <c r="I212" s="117">
        <f t="shared" si="0"/>
        <v>2.2000000000000002</v>
      </c>
      <c r="J212" s="117">
        <f t="shared" si="0"/>
        <v>2.35</v>
      </c>
      <c r="O212" s="21">
        <f>ROW()</f>
        <v>212</v>
      </c>
    </row>
    <row r="213" spans="2:15" ht="15" customHeight="1">
      <c r="B213" s="2812">
        <v>3.2</v>
      </c>
      <c r="C213" s="117">
        <f t="shared" si="0"/>
        <v>2.2999999999999998</v>
      </c>
      <c r="D213" s="117">
        <f t="shared" si="0"/>
        <v>2.1500000000000004</v>
      </c>
      <c r="E213" s="117">
        <f t="shared" si="0"/>
        <v>2.0500000000000003</v>
      </c>
      <c r="F213" s="117">
        <f t="shared" si="0"/>
        <v>2</v>
      </c>
      <c r="G213" s="117">
        <f t="shared" si="0"/>
        <v>2</v>
      </c>
      <c r="H213" s="117">
        <f t="shared" si="0"/>
        <v>2.0500000000000003</v>
      </c>
      <c r="I213" s="117">
        <f t="shared" si="0"/>
        <v>2.1500000000000004</v>
      </c>
      <c r="J213" s="117">
        <f t="shared" si="0"/>
        <v>2.2999999999999998</v>
      </c>
      <c r="O213" s="21">
        <f>ROW()</f>
        <v>213</v>
      </c>
    </row>
    <row r="214" spans="2:15" ht="15" customHeight="1">
      <c r="B214" s="2812">
        <v>2.8</v>
      </c>
      <c r="C214" s="117">
        <f t="shared" si="0"/>
        <v>2.2999999999999998</v>
      </c>
      <c r="D214" s="117">
        <f t="shared" si="0"/>
        <v>2.1500000000000004</v>
      </c>
      <c r="E214" s="117">
        <f t="shared" si="0"/>
        <v>2.0500000000000003</v>
      </c>
      <c r="F214" s="117">
        <f t="shared" si="0"/>
        <v>2</v>
      </c>
      <c r="G214" s="117">
        <f t="shared" si="0"/>
        <v>2</v>
      </c>
      <c r="H214" s="117">
        <f t="shared" si="0"/>
        <v>2.0500000000000003</v>
      </c>
      <c r="I214" s="117">
        <f t="shared" si="0"/>
        <v>2.1500000000000004</v>
      </c>
      <c r="J214" s="117">
        <f t="shared" si="0"/>
        <v>2.2999999999999998</v>
      </c>
      <c r="O214" s="21">
        <f>ROW()</f>
        <v>214</v>
      </c>
    </row>
    <row r="215" spans="2:15" ht="15" customHeight="1">
      <c r="B215" s="2812">
        <v>2.4</v>
      </c>
      <c r="C215" s="117">
        <f t="shared" si="0"/>
        <v>2.3499999999999996</v>
      </c>
      <c r="D215" s="117">
        <f t="shared" si="0"/>
        <v>2.2000000000000002</v>
      </c>
      <c r="E215" s="117">
        <f t="shared" si="0"/>
        <v>2.1</v>
      </c>
      <c r="F215" s="117">
        <f t="shared" si="0"/>
        <v>2.0499999999999998</v>
      </c>
      <c r="G215" s="117">
        <f t="shared" si="0"/>
        <v>2.0499999999999998</v>
      </c>
      <c r="H215" s="117">
        <f t="shared" si="0"/>
        <v>2.1</v>
      </c>
      <c r="I215" s="117">
        <f t="shared" si="0"/>
        <v>2.2000000000000002</v>
      </c>
      <c r="J215" s="117">
        <f t="shared" si="0"/>
        <v>2.3499999999999996</v>
      </c>
      <c r="O215" s="21">
        <f>ROW()</f>
        <v>215</v>
      </c>
    </row>
    <row r="216" spans="2:15" ht="15" customHeight="1">
      <c r="B216" s="2812">
        <v>2</v>
      </c>
      <c r="C216" s="117">
        <f t="shared" ref="C216:J221" si="1">AVERAGE(ABS($B216-$B$206),ABS($B216-$B$207),ABS($B216-$B$208),ABS($B216-$B$209),ABS($B216-$B$210),ABS($B216-$B$211),ABS($B216-$B$212),ABS($B216-$B$213),ABS($B216-$B$214),ABS($B216-$B$215),ABS($B216-$B$216),ABS($B216-$B$217),ABS($B216-$B$218),ABS($B216-$B$219),ABS($B216-$B$220),ABS($B216-$B$221))+AVERAGE(ABS(C$205-$C$205),ABS(C$205-$D$205),ABS(C$205-$E$205),ABS(C$205-$F$205),ABS(C$205-$G$205),ABS(C$205-$H$205),ABS(C$205-$I$205),ABS(C$205-$J$205))</f>
        <v>2.4500000000000002</v>
      </c>
      <c r="D216" s="117">
        <f t="shared" si="1"/>
        <v>2.2999999999999998</v>
      </c>
      <c r="E216" s="117">
        <f t="shared" si="1"/>
        <v>2.2000000000000002</v>
      </c>
      <c r="F216" s="117">
        <f t="shared" si="1"/>
        <v>2.15</v>
      </c>
      <c r="G216" s="117">
        <f t="shared" si="1"/>
        <v>2.15</v>
      </c>
      <c r="H216" s="117">
        <f t="shared" si="1"/>
        <v>2.2000000000000002</v>
      </c>
      <c r="I216" s="117">
        <f t="shared" si="1"/>
        <v>2.2999999999999998</v>
      </c>
      <c r="J216" s="117">
        <f t="shared" si="1"/>
        <v>2.4499999999999997</v>
      </c>
      <c r="O216" s="21">
        <f>ROW()</f>
        <v>216</v>
      </c>
    </row>
    <row r="217" spans="2:15" ht="15" customHeight="1">
      <c r="B217" s="2812">
        <v>1.6</v>
      </c>
      <c r="C217" s="117">
        <f t="shared" si="1"/>
        <v>2.5999999999999996</v>
      </c>
      <c r="D217" s="117">
        <f t="shared" si="1"/>
        <v>2.4500000000000002</v>
      </c>
      <c r="E217" s="117">
        <f t="shared" si="1"/>
        <v>2.35</v>
      </c>
      <c r="F217" s="117">
        <f t="shared" si="1"/>
        <v>2.2999999999999998</v>
      </c>
      <c r="G217" s="117">
        <f t="shared" si="1"/>
        <v>2.2999999999999998</v>
      </c>
      <c r="H217" s="117">
        <f t="shared" si="1"/>
        <v>2.35</v>
      </c>
      <c r="I217" s="117">
        <f t="shared" si="1"/>
        <v>2.4500000000000002</v>
      </c>
      <c r="J217" s="117">
        <f t="shared" si="1"/>
        <v>2.5999999999999996</v>
      </c>
      <c r="O217" s="21">
        <f>ROW()</f>
        <v>217</v>
      </c>
    </row>
    <row r="218" spans="2:15" ht="15" customHeight="1">
      <c r="B218" s="2812">
        <v>1.2</v>
      </c>
      <c r="C218" s="117">
        <f t="shared" si="1"/>
        <v>2.8</v>
      </c>
      <c r="D218" s="117">
        <f t="shared" si="1"/>
        <v>2.6499999999999995</v>
      </c>
      <c r="E218" s="117">
        <f t="shared" si="1"/>
        <v>2.5499999999999998</v>
      </c>
      <c r="F218" s="117">
        <f t="shared" si="1"/>
        <v>2.4999999999999996</v>
      </c>
      <c r="G218" s="117">
        <f t="shared" si="1"/>
        <v>2.4999999999999996</v>
      </c>
      <c r="H218" s="117">
        <f t="shared" si="1"/>
        <v>2.5499999999999998</v>
      </c>
      <c r="I218" s="117">
        <f t="shared" si="1"/>
        <v>2.6499999999999995</v>
      </c>
      <c r="J218" s="117">
        <f t="shared" si="1"/>
        <v>2.7999999999999994</v>
      </c>
      <c r="O218" s="21">
        <f>ROW()</f>
        <v>218</v>
      </c>
    </row>
    <row r="219" spans="2:15" ht="15" customHeight="1">
      <c r="B219" s="2812">
        <v>0.8</v>
      </c>
      <c r="C219" s="117">
        <f t="shared" si="1"/>
        <v>3.05</v>
      </c>
      <c r="D219" s="117">
        <f t="shared" si="1"/>
        <v>2.8999999999999995</v>
      </c>
      <c r="E219" s="117">
        <f t="shared" si="1"/>
        <v>2.8</v>
      </c>
      <c r="F219" s="117">
        <f t="shared" si="1"/>
        <v>2.7499999999999996</v>
      </c>
      <c r="G219" s="117">
        <f t="shared" si="1"/>
        <v>2.7499999999999996</v>
      </c>
      <c r="H219" s="117">
        <f t="shared" si="1"/>
        <v>2.8</v>
      </c>
      <c r="I219" s="117">
        <f t="shared" si="1"/>
        <v>2.8999999999999995</v>
      </c>
      <c r="J219" s="117">
        <f t="shared" si="1"/>
        <v>3.0499999999999994</v>
      </c>
      <c r="O219" s="21">
        <f>ROW()</f>
        <v>219</v>
      </c>
    </row>
    <row r="220" spans="2:15" ht="15" customHeight="1">
      <c r="B220" s="2812">
        <v>0.4</v>
      </c>
      <c r="C220" s="117">
        <f t="shared" si="1"/>
        <v>3.3499999999999996</v>
      </c>
      <c r="D220" s="117">
        <f t="shared" si="1"/>
        <v>3.1999999999999993</v>
      </c>
      <c r="E220" s="117">
        <f t="shared" si="1"/>
        <v>3.0999999999999996</v>
      </c>
      <c r="F220" s="117">
        <f t="shared" si="1"/>
        <v>3.0499999999999994</v>
      </c>
      <c r="G220" s="117">
        <f t="shared" si="1"/>
        <v>3.0499999999999994</v>
      </c>
      <c r="H220" s="117">
        <f t="shared" si="1"/>
        <v>3.0999999999999996</v>
      </c>
      <c r="I220" s="117">
        <f t="shared" si="1"/>
        <v>3.1999999999999993</v>
      </c>
      <c r="J220" s="117">
        <f t="shared" si="1"/>
        <v>3.3499999999999992</v>
      </c>
      <c r="O220" s="21">
        <f>ROW()</f>
        <v>220</v>
      </c>
    </row>
    <row r="221" spans="2:15" ht="15" customHeight="1">
      <c r="B221" s="2812">
        <v>0</v>
      </c>
      <c r="C221" s="117">
        <f t="shared" si="1"/>
        <v>3.7</v>
      </c>
      <c r="D221" s="117">
        <f t="shared" si="1"/>
        <v>3.55</v>
      </c>
      <c r="E221" s="117">
        <f t="shared" si="1"/>
        <v>3.45</v>
      </c>
      <c r="F221" s="117">
        <f t="shared" si="1"/>
        <v>3.4</v>
      </c>
      <c r="G221" s="117">
        <f t="shared" si="1"/>
        <v>3.4</v>
      </c>
      <c r="H221" s="117">
        <f t="shared" si="1"/>
        <v>3.45</v>
      </c>
      <c r="I221" s="117">
        <f t="shared" si="1"/>
        <v>3.55</v>
      </c>
      <c r="J221" s="117">
        <f t="shared" si="1"/>
        <v>3.6999999999999997</v>
      </c>
      <c r="O221" s="21">
        <f>ROW()</f>
        <v>221</v>
      </c>
    </row>
    <row r="222" spans="2:15" ht="15" customHeight="1">
      <c r="O222" s="21">
        <f>ROW()</f>
        <v>222</v>
      </c>
    </row>
    <row r="223" spans="2:15" ht="15" customHeight="1" thickBot="1">
      <c r="K223" s="2806"/>
      <c r="O223" s="21">
        <f>ROW()</f>
        <v>223</v>
      </c>
    </row>
    <row r="224" spans="2:15" ht="15" customHeight="1" thickBot="1">
      <c r="G224" s="2807"/>
      <c r="H224" s="2808"/>
      <c r="I224" s="2809" t="str">
        <f>CONCATENATE("Average of all ",(O20-O5)*(J205/0.2+1), " data points in the ",O20-O5," by ",J205/0.2+1, " array:")</f>
        <v>Average of all 120 data points in the 15 by 8 array:</v>
      </c>
      <c r="J224" s="2810">
        <f>AVERAGE(C206:J221)</f>
        <v>2.6500000000000004</v>
      </c>
      <c r="O224" s="21">
        <f>ROW()</f>
        <v>224</v>
      </c>
    </row>
    <row r="225" spans="15:15" ht="15" customHeight="1">
      <c r="O225" s="21"/>
    </row>
    <row r="226" spans="15:15" ht="15" customHeight="1">
      <c r="O226" s="21"/>
    </row>
    <row r="227" spans="15:15" ht="15" customHeight="1">
      <c r="O227" s="21"/>
    </row>
    <row r="228" spans="15:15" ht="15" customHeight="1">
      <c r="O228" s="21"/>
    </row>
    <row r="229" spans="15:15" ht="15" customHeight="1">
      <c r="O229" s="21"/>
    </row>
    <row r="230" spans="15:15" ht="15" customHeight="1">
      <c r="O230" s="21"/>
    </row>
    <row r="231" spans="15:15" ht="15" customHeight="1">
      <c r="O231" s="21"/>
    </row>
    <row r="232" spans="15:15" ht="15" customHeight="1">
      <c r="O232" s="21"/>
    </row>
    <row r="233" spans="15:15" ht="15" customHeight="1">
      <c r="O233" s="21"/>
    </row>
    <row r="234" spans="15:15" ht="15" customHeight="1">
      <c r="O234" s="21"/>
    </row>
    <row r="235" spans="15:15" ht="15" customHeight="1">
      <c r="O235" s="21"/>
    </row>
    <row r="236" spans="15:15" ht="15" customHeight="1">
      <c r="O236" s="21"/>
    </row>
    <row r="237" spans="15:15" ht="15" customHeight="1">
      <c r="O237" s="21"/>
    </row>
    <row r="238" spans="15:15" ht="15" customHeight="1">
      <c r="O238" s="21"/>
    </row>
    <row r="239" spans="15:15" ht="15" customHeight="1">
      <c r="O239" s="21"/>
    </row>
    <row r="240" spans="15:15" ht="15" customHeight="1">
      <c r="O240" s="21"/>
    </row>
    <row r="241" spans="15:15" ht="15" customHeight="1">
      <c r="O241" s="21"/>
    </row>
    <row r="242" spans="15:15" ht="15" customHeight="1">
      <c r="O242" s="21"/>
    </row>
    <row r="243" spans="15:15" ht="15" customHeight="1">
      <c r="O243" s="21"/>
    </row>
    <row r="244" spans="15:15" ht="15" customHeight="1">
      <c r="O244" s="21"/>
    </row>
    <row r="245" spans="15:15" ht="15" customHeight="1">
      <c r="O245" s="21"/>
    </row>
    <row r="246" spans="15:15" ht="15" customHeight="1">
      <c r="O246" s="21"/>
    </row>
    <row r="247" spans="15:15" ht="15" customHeight="1">
      <c r="O247" s="21"/>
    </row>
    <row r="248" spans="15:15" ht="15" customHeight="1">
      <c r="O248" s="21"/>
    </row>
    <row r="249" spans="15:15" ht="15" customHeight="1">
      <c r="O249" s="21"/>
    </row>
    <row r="250" spans="15:15" ht="15" customHeight="1">
      <c r="O250" s="21"/>
    </row>
    <row r="251" spans="15:15" ht="15" customHeight="1">
      <c r="O251" s="21"/>
    </row>
    <row r="252" spans="15:15" ht="15" customHeight="1">
      <c r="O252" s="21"/>
    </row>
    <row r="253" spans="15:15" ht="15" customHeight="1">
      <c r="O253" s="21"/>
    </row>
    <row r="254" spans="15:15" ht="15" customHeight="1">
      <c r="O254" s="21"/>
    </row>
    <row r="255" spans="15:15" ht="15" customHeight="1">
      <c r="O255" s="21"/>
    </row>
    <row r="256" spans="15:15" ht="15" customHeight="1">
      <c r="O256" s="21"/>
    </row>
    <row r="257" spans="15:15" ht="15" customHeight="1">
      <c r="O257" s="21"/>
    </row>
    <row r="258" spans="15:15" ht="15" customHeight="1">
      <c r="O258" s="21"/>
    </row>
    <row r="259" spans="15:15" ht="15" customHeight="1">
      <c r="O259" s="21"/>
    </row>
    <row r="260" spans="15:15" ht="15" customHeight="1">
      <c r="O260" s="21"/>
    </row>
    <row r="261" spans="15:15" ht="15" customHeight="1">
      <c r="O261" s="21"/>
    </row>
  </sheetData>
  <mergeCells count="13">
    <mergeCell ref="B7:I8"/>
    <mergeCell ref="B10:I11"/>
    <mergeCell ref="B194:I195"/>
    <mergeCell ref="C204:J204"/>
    <mergeCell ref="B204:B205"/>
    <mergeCell ref="B197:I198"/>
    <mergeCell ref="B200:I202"/>
    <mergeCell ref="B15:I16"/>
    <mergeCell ref="B18:I22"/>
    <mergeCell ref="B28:B29"/>
    <mergeCell ref="C28:C29"/>
    <mergeCell ref="E28:E29"/>
    <mergeCell ref="F120:L1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Sheet14"/>
  <dimension ref="B1:O160"/>
  <sheetViews>
    <sheetView showRuler="0" workbookViewId="0"/>
  </sheetViews>
  <sheetFormatPr defaultColWidth="10.125" defaultRowHeight="14.1" customHeight="1"/>
  <cols>
    <col min="1" max="1" width="2.625" customWidth="1"/>
    <col min="2" max="2" width="13.125" customWidth="1"/>
    <col min="3" max="5" width="10.625" customWidth="1"/>
    <col min="6" max="6" width="11.125" customWidth="1"/>
    <col min="7" max="12" width="10.625" customWidth="1"/>
    <col min="13" max="14" width="10.125" customWidth="1"/>
    <col min="15" max="15" width="1.875" customWidth="1"/>
  </cols>
  <sheetData>
    <row r="1" spans="2:15" ht="14.1" customHeight="1">
      <c r="O1" s="117">
        <f>ROW(P1)</f>
        <v>1</v>
      </c>
    </row>
    <row r="2" spans="2:15" ht="14.1" customHeight="1">
      <c r="B2" s="115" t="s">
        <v>2068</v>
      </c>
      <c r="J2" s="181">
        <f>'Title Page'!K1</f>
        <v>40914</v>
      </c>
      <c r="O2" s="117">
        <f>ROW(P2)</f>
        <v>2</v>
      </c>
    </row>
    <row r="3" spans="2:15" ht="14.1" customHeight="1">
      <c r="O3" s="117">
        <f t="shared" ref="O3:O70" si="0">ROW(P3)</f>
        <v>3</v>
      </c>
    </row>
    <row r="4" spans="2:15" ht="14.1" customHeight="1">
      <c r="O4" s="117">
        <f t="shared" si="0"/>
        <v>4</v>
      </c>
    </row>
    <row r="5" spans="2:15" ht="14.1" customHeight="1">
      <c r="O5" s="117">
        <f t="shared" si="0"/>
        <v>5</v>
      </c>
    </row>
    <row r="6" spans="2:15" ht="14.1" customHeight="1">
      <c r="B6" s="3779" t="s">
        <v>2069</v>
      </c>
      <c r="C6" s="3779"/>
      <c r="D6" s="3779"/>
      <c r="E6" s="3779"/>
      <c r="F6" s="3779"/>
      <c r="G6" s="3779"/>
      <c r="H6" s="3779"/>
      <c r="I6" s="3779"/>
      <c r="J6" s="3779"/>
      <c r="O6" s="117">
        <f t="shared" si="0"/>
        <v>6</v>
      </c>
    </row>
    <row r="7" spans="2:15" ht="14.1" customHeight="1">
      <c r="B7" s="3779"/>
      <c r="C7" s="3779"/>
      <c r="D7" s="3779"/>
      <c r="E7" s="3779"/>
      <c r="F7" s="3779"/>
      <c r="G7" s="3779"/>
      <c r="H7" s="3779"/>
      <c r="I7" s="3779"/>
      <c r="J7" s="3779"/>
      <c r="O7" s="117">
        <f t="shared" si="0"/>
        <v>7</v>
      </c>
    </row>
    <row r="8" spans="2:15" ht="14.1" customHeight="1">
      <c r="O8" s="117">
        <f t="shared" si="0"/>
        <v>8</v>
      </c>
    </row>
    <row r="9" spans="2:15" ht="14.1" customHeight="1">
      <c r="B9" s="3787" t="str">
        <f>CONCATENATE("Its purpose is to estimate a key parameter in 'Motor Vs' (and Motor Vs Weekends) worksheet (in Row ",'Motor Vs'!O161, " of both worksheets): the share of traffic on CBD-bound roads that is accounted for by CBD-bound trips. This result is shown in the box at left directly below, in Row ", O20, ".")</f>
        <v>Its purpose is to estimate a key parameter in 'Motor Vs' (and Motor Vs Weekends) worksheet (in Row 161 of both worksheets): the share of traffic on CBD-bound roads that is accounted for by CBD-bound trips. This result is shown in the box at left directly below, in Row 20.</v>
      </c>
      <c r="C9" s="3787"/>
      <c r="D9" s="3787"/>
      <c r="E9" s="3787"/>
      <c r="F9" s="3787"/>
      <c r="G9" s="3787"/>
      <c r="H9" s="3787"/>
      <c r="I9" s="3787"/>
      <c r="J9" s="3787"/>
      <c r="O9" s="117">
        <f t="shared" si="0"/>
        <v>9</v>
      </c>
    </row>
    <row r="10" spans="2:15" ht="14.1" customHeight="1">
      <c r="B10" s="3787"/>
      <c r="C10" s="3787"/>
      <c r="D10" s="3787"/>
      <c r="E10" s="3787"/>
      <c r="F10" s="3787"/>
      <c r="G10" s="3787"/>
      <c r="H10" s="3787"/>
      <c r="I10" s="3787"/>
      <c r="J10" s="3787"/>
      <c r="O10" s="117">
        <f t="shared" si="0"/>
        <v>10</v>
      </c>
    </row>
    <row r="11" spans="2:15" ht="14.1" customHeight="1">
      <c r="B11" s="3787"/>
      <c r="C11" s="3787"/>
      <c r="D11" s="3787"/>
      <c r="E11" s="3787"/>
      <c r="F11" s="3787"/>
      <c r="G11" s="3787"/>
      <c r="H11" s="3787"/>
      <c r="I11" s="3787"/>
      <c r="J11" s="3787"/>
      <c r="O11" s="117">
        <f t="shared" si="0"/>
        <v>11</v>
      </c>
    </row>
    <row r="12" spans="2:15" ht="14.1" customHeight="1" thickBot="1">
      <c r="B12" s="3781"/>
      <c r="C12" s="3781"/>
      <c r="D12" s="3781"/>
      <c r="E12" s="3781"/>
      <c r="F12" s="3781"/>
      <c r="G12" s="3781"/>
      <c r="H12" s="3781"/>
      <c r="I12" s="3781"/>
      <c r="J12" s="3781"/>
      <c r="O12" s="117">
        <f t="shared" si="0"/>
        <v>12</v>
      </c>
    </row>
    <row r="13" spans="2:15" ht="14.1" customHeight="1">
      <c r="B13" s="4513" t="s">
        <v>2740</v>
      </c>
      <c r="C13" s="4514"/>
      <c r="D13" s="4514"/>
      <c r="E13" s="4514"/>
      <c r="F13" s="4515"/>
      <c r="H13" s="4512" t="s">
        <v>5953</v>
      </c>
      <c r="I13" s="3678"/>
      <c r="J13" s="3678"/>
      <c r="K13" s="3678"/>
      <c r="L13" s="3678"/>
      <c r="M13" s="3679"/>
      <c r="O13" s="117">
        <f t="shared" si="0"/>
        <v>13</v>
      </c>
    </row>
    <row r="14" spans="2:15" ht="14.1" customHeight="1">
      <c r="B14" s="885"/>
      <c r="C14" s="113"/>
      <c r="D14" s="113"/>
      <c r="E14" s="113"/>
      <c r="F14" s="4518" t="s">
        <v>361</v>
      </c>
      <c r="H14" s="3680"/>
      <c r="I14" s="3681"/>
      <c r="J14" s="3681"/>
      <c r="K14" s="3681"/>
      <c r="L14" s="3681"/>
      <c r="M14" s="3682"/>
      <c r="O14" s="117">
        <f t="shared" si="0"/>
        <v>14</v>
      </c>
    </row>
    <row r="15" spans="2:15" ht="14.1" customHeight="1">
      <c r="B15" s="885"/>
      <c r="C15" s="113"/>
      <c r="D15" s="113"/>
      <c r="E15" s="4516" t="s">
        <v>1452</v>
      </c>
      <c r="F15" s="4519"/>
      <c r="H15" s="3680"/>
      <c r="I15" s="3681"/>
      <c r="J15" s="3681"/>
      <c r="K15" s="3681"/>
      <c r="L15" s="3681"/>
      <c r="M15" s="3682"/>
      <c r="O15" s="117">
        <f t="shared" si="0"/>
        <v>15</v>
      </c>
    </row>
    <row r="16" spans="2:15" ht="14.1" customHeight="1">
      <c r="B16" s="885"/>
      <c r="C16" s="113"/>
      <c r="D16" s="113"/>
      <c r="E16" s="4517"/>
      <c r="F16" s="4519"/>
      <c r="H16" s="3680"/>
      <c r="I16" s="3681"/>
      <c r="J16" s="3681"/>
      <c r="K16" s="3681"/>
      <c r="L16" s="3681"/>
      <c r="M16" s="3682"/>
      <c r="O16" s="117">
        <f t="shared" si="0"/>
        <v>16</v>
      </c>
    </row>
    <row r="17" spans="2:15" ht="14.1" customHeight="1">
      <c r="B17" s="885"/>
      <c r="C17" s="113"/>
      <c r="D17" s="113"/>
      <c r="E17" s="4517"/>
      <c r="F17" s="4519"/>
      <c r="H17" s="3680"/>
      <c r="I17" s="3681"/>
      <c r="J17" s="3681"/>
      <c r="K17" s="3681"/>
      <c r="L17" s="3681"/>
      <c r="M17" s="3682"/>
      <c r="O17" s="117">
        <f t="shared" si="0"/>
        <v>17</v>
      </c>
    </row>
    <row r="18" spans="2:15" ht="14.1" customHeight="1">
      <c r="B18" s="2663" t="s">
        <v>2146</v>
      </c>
      <c r="C18" s="113"/>
      <c r="D18" s="113"/>
      <c r="E18" s="991">
        <f>1-E19</f>
        <v>0.94564301204324619</v>
      </c>
      <c r="F18" s="992">
        <f>H81*J74</f>
        <v>0.30063293967686783</v>
      </c>
      <c r="H18" s="3680"/>
      <c r="I18" s="3681"/>
      <c r="J18" s="3681"/>
      <c r="K18" s="3681"/>
      <c r="L18" s="3681"/>
      <c r="M18" s="3682"/>
      <c r="O18" s="117">
        <f t="shared" si="0"/>
        <v>18</v>
      </c>
    </row>
    <row r="19" spans="2:15" ht="14.1" customHeight="1">
      <c r="B19" s="2663" t="s">
        <v>2147</v>
      </c>
      <c r="C19" s="113"/>
      <c r="D19" s="113"/>
      <c r="E19" s="991">
        <f>G97</f>
        <v>5.4356987956753797E-2</v>
      </c>
      <c r="F19" s="993">
        <v>1</v>
      </c>
      <c r="H19" s="3680"/>
      <c r="I19" s="3681"/>
      <c r="J19" s="3681"/>
      <c r="K19" s="3681"/>
      <c r="L19" s="3681"/>
      <c r="M19" s="3682"/>
      <c r="O19" s="117">
        <f t="shared" si="0"/>
        <v>19</v>
      </c>
    </row>
    <row r="20" spans="2:15" ht="14.1" customHeight="1" thickBot="1">
      <c r="B20" s="2664" t="s">
        <v>4602</v>
      </c>
      <c r="C20" s="994"/>
      <c r="D20" s="994"/>
      <c r="E20" s="994"/>
      <c r="F20" s="2815">
        <f>SUMPRODUCT(E18:E19,F18:F19)</f>
        <v>0.33864842655220262</v>
      </c>
      <c r="H20" s="3683"/>
      <c r="I20" s="3684"/>
      <c r="J20" s="3684"/>
      <c r="K20" s="3684"/>
      <c r="L20" s="3684"/>
      <c r="M20" s="3685"/>
      <c r="O20" s="117">
        <f t="shared" si="0"/>
        <v>20</v>
      </c>
    </row>
    <row r="21" spans="2:15" ht="14.1" customHeight="1">
      <c r="O21" s="117">
        <f t="shared" si="0"/>
        <v>21</v>
      </c>
    </row>
    <row r="22" spans="2:15" ht="14.1" customHeight="1">
      <c r="B22" s="3754" t="str">
        <f>CONCATENATE("Percent of non-CBD trip distance for portals is calculated in Row ",O97, ". Percent for non-portals is its complement.
Percent of vehicles in non-portal, non-CBD segments that are going to CBD is product of highlighted-boxed figures in Rows ",O74, " and ",O81, ".")</f>
        <v>Percent of non-CBD trip distance for portals is calculated in Row 97. Percent for non-portals is its complement.
Percent of vehicles in non-portal, non-CBD segments that are going to CBD is product of highlighted-boxed figures in Rows 74 and 81.</v>
      </c>
      <c r="C22" s="3754"/>
      <c r="D22" s="3754"/>
      <c r="E22" s="3754"/>
      <c r="F22" s="3754"/>
      <c r="G22" s="3754"/>
      <c r="H22" s="3754"/>
      <c r="I22" s="3754"/>
      <c r="J22" s="3754"/>
      <c r="K22" s="3754"/>
      <c r="O22" s="117">
        <f t="shared" si="0"/>
        <v>22</v>
      </c>
    </row>
    <row r="23" spans="2:15" ht="14.1" customHeight="1">
      <c r="B23" s="3754"/>
      <c r="C23" s="3754"/>
      <c r="D23" s="3754"/>
      <c r="E23" s="3754"/>
      <c r="F23" s="3754"/>
      <c r="G23" s="3754"/>
      <c r="H23" s="3754"/>
      <c r="I23" s="3754"/>
      <c r="J23" s="3754"/>
      <c r="K23" s="3754"/>
      <c r="O23" s="117">
        <f t="shared" si="0"/>
        <v>23</v>
      </c>
    </row>
    <row r="24" spans="2:15" ht="14.1" customHeight="1">
      <c r="O24" s="117">
        <f t="shared" si="0"/>
        <v>24</v>
      </c>
    </row>
    <row r="25" spans="2:15" ht="14.1" customHeight="1">
      <c r="B25" s="6" t="s">
        <v>2788</v>
      </c>
      <c r="O25" s="117">
        <f t="shared" si="0"/>
        <v>25</v>
      </c>
    </row>
    <row r="26" spans="2:15" ht="14.1" customHeight="1">
      <c r="O26" s="117">
        <f t="shared" si="0"/>
        <v>26</v>
      </c>
    </row>
    <row r="27" spans="2:15" ht="14.1" customHeight="1">
      <c r="F27" s="8" t="s">
        <v>228</v>
      </c>
      <c r="G27" s="8" t="s">
        <v>367</v>
      </c>
      <c r="H27" s="8" t="s">
        <v>368</v>
      </c>
      <c r="I27" s="8" t="s">
        <v>2473</v>
      </c>
      <c r="J27" s="8" t="s">
        <v>1241</v>
      </c>
      <c r="K27" s="8" t="s">
        <v>2212</v>
      </c>
      <c r="L27" s="8" t="s">
        <v>967</v>
      </c>
      <c r="O27" s="117">
        <f t="shared" si="0"/>
        <v>27</v>
      </c>
    </row>
    <row r="28" spans="2:15" ht="14.1" customHeight="1">
      <c r="O28" s="117">
        <f t="shared" si="0"/>
        <v>28</v>
      </c>
    </row>
    <row r="29" spans="2:15" ht="14.1" customHeight="1">
      <c r="B29" s="280" t="s">
        <v>1517</v>
      </c>
      <c r="F29" s="10">
        <f>'Motor Vs'!H76</f>
        <v>685933.80116959068</v>
      </c>
      <c r="G29" s="10">
        <f>'Motor Vs'!I76</f>
        <v>260770.0910821009</v>
      </c>
      <c r="H29" s="10">
        <f>'Motor Vs'!J76</f>
        <v>183409.90891789904</v>
      </c>
      <c r="I29" s="10">
        <f>'Motor Vs'!K76</f>
        <v>127122.22222222225</v>
      </c>
      <c r="J29" s="10">
        <f>'Motor Vs'!L76</f>
        <v>65000</v>
      </c>
      <c r="K29" s="10">
        <f>'Motor Vs'!M76</f>
        <v>38200</v>
      </c>
      <c r="L29" s="10">
        <f>'Motor Vs'!N76</f>
        <v>11431.578947368422</v>
      </c>
      <c r="O29" s="117">
        <f t="shared" si="0"/>
        <v>29</v>
      </c>
    </row>
    <row r="30" spans="2:15" ht="14.1" customHeight="1">
      <c r="B30" s="280" t="s">
        <v>2438</v>
      </c>
      <c r="G30" s="983">
        <f>'Motor Vs'!I87</f>
        <v>18.150058730389546</v>
      </c>
      <c r="H30" s="983">
        <f>'Motor Vs'!J87</f>
        <v>18.150058730389546</v>
      </c>
      <c r="I30" s="983">
        <f>'Motor Vs'!K87</f>
        <v>26.95008809558432</v>
      </c>
      <c r="J30" s="983">
        <f>'Motor Vs'!L87</f>
        <v>8</v>
      </c>
      <c r="K30" s="983">
        <f>'Motor Vs'!M87</f>
        <v>15.520200577749323</v>
      </c>
      <c r="L30" s="983">
        <f>'Motor Vs'!N87</f>
        <v>19.36691118150528</v>
      </c>
      <c r="O30" s="117">
        <f t="shared" si="0"/>
        <v>30</v>
      </c>
    </row>
    <row r="31" spans="2:15" ht="14.1" customHeight="1">
      <c r="B31" s="280" t="s">
        <v>2524</v>
      </c>
      <c r="G31" s="983">
        <f>'Motor Vs'!I85</f>
        <v>1.25</v>
      </c>
      <c r="H31" s="983">
        <f>'Motor Vs'!J85</f>
        <v>1.25</v>
      </c>
      <c r="I31" s="983">
        <f>'Motor Vs'!K85</f>
        <v>1.6</v>
      </c>
      <c r="J31" s="983">
        <f>'Motor Vs'!L85</f>
        <v>2</v>
      </c>
      <c r="K31" s="983">
        <f>'Motor Vs'!M85</f>
        <v>3</v>
      </c>
      <c r="L31" s="983">
        <f>'Motor Vs'!N85</f>
        <v>2</v>
      </c>
      <c r="N31" s="6"/>
      <c r="O31" s="117">
        <f t="shared" si="0"/>
        <v>31</v>
      </c>
    </row>
    <row r="32" spans="2:15" s="6" customFormat="1" ht="14.1" customHeight="1">
      <c r="B32" s="308" t="s">
        <v>749</v>
      </c>
      <c r="F32" s="125">
        <f>SUMPRODUCT(G29:L29,G32:L32)/F29</f>
        <v>17.197039243880457</v>
      </c>
      <c r="G32" s="984">
        <f t="shared" ref="G32:L32" si="1">G30-G31</f>
        <v>16.900058730389546</v>
      </c>
      <c r="H32" s="984">
        <f t="shared" si="1"/>
        <v>16.900058730389546</v>
      </c>
      <c r="I32" s="984">
        <f t="shared" si="1"/>
        <v>25.350088095584319</v>
      </c>
      <c r="J32" s="984">
        <f t="shared" si="1"/>
        <v>6</v>
      </c>
      <c r="K32" s="984">
        <f t="shared" si="1"/>
        <v>12.520200577749323</v>
      </c>
      <c r="L32" s="984">
        <f t="shared" si="1"/>
        <v>17.36691118150528</v>
      </c>
      <c r="N32"/>
      <c r="O32" s="117">
        <f t="shared" si="0"/>
        <v>32</v>
      </c>
    </row>
    <row r="33" spans="2:15" ht="14.1" customHeight="1">
      <c r="B33" s="215" t="str">
        <f>CONCATENATE("First three rows are taken directly from 'Motor Vs' worksheet, Rows ",'Motor Vs'!O76, ", ",'Motor Vs'!O85, ", and ",'Motor Vs'!O87, ". Fourth row subtracts third from second.")</f>
        <v>First three rows are taken directly from 'Motor Vs' worksheet, Rows 76, 85, and 87. Fourth row subtracts third from second.</v>
      </c>
      <c r="O33" s="117">
        <f t="shared" si="0"/>
        <v>33</v>
      </c>
    </row>
    <row r="34" spans="2:15" ht="14.1" customHeight="1">
      <c r="B34" s="215"/>
      <c r="O34" s="117">
        <f t="shared" si="0"/>
        <v>34</v>
      </c>
    </row>
    <row r="35" spans="2:15" ht="14.1" customHeight="1">
      <c r="O35" s="117">
        <f t="shared" si="0"/>
        <v>35</v>
      </c>
    </row>
    <row r="36" spans="2:15" ht="14.1" customHeight="1">
      <c r="B36" s="6" t="s">
        <v>1357</v>
      </c>
      <c r="O36" s="117">
        <f t="shared" si="0"/>
        <v>36</v>
      </c>
    </row>
    <row r="37" spans="2:15" ht="14.1" customHeight="1">
      <c r="O37" s="117">
        <f t="shared" si="0"/>
        <v>37</v>
      </c>
    </row>
    <row r="38" spans="2:15" ht="14.1" customHeight="1">
      <c r="B38" s="4348" t="s">
        <v>290</v>
      </c>
      <c r="C38" s="3779"/>
      <c r="D38" s="3779"/>
      <c r="E38" s="3779"/>
      <c r="F38" s="3779"/>
      <c r="G38" s="3779"/>
      <c r="H38" s="3779"/>
      <c r="I38" s="3779"/>
      <c r="J38" s="3779"/>
      <c r="K38" s="6"/>
      <c r="L38" s="6"/>
      <c r="M38" s="6"/>
      <c r="N38" s="6"/>
      <c r="O38" s="117">
        <f t="shared" si="0"/>
        <v>38</v>
      </c>
    </row>
    <row r="39" spans="2:15" ht="14.1" customHeight="1">
      <c r="B39" s="3779"/>
      <c r="C39" s="3779"/>
      <c r="D39" s="3779"/>
      <c r="E39" s="3779"/>
      <c r="F39" s="3779"/>
      <c r="G39" s="3779"/>
      <c r="H39" s="3779"/>
      <c r="I39" s="3779"/>
      <c r="J39" s="3779"/>
      <c r="K39" s="6"/>
      <c r="L39" s="6"/>
      <c r="M39" s="6"/>
      <c r="N39" s="6"/>
      <c r="O39" s="117">
        <f t="shared" si="0"/>
        <v>39</v>
      </c>
    </row>
    <row r="40" spans="2:15" ht="14.1" customHeight="1">
      <c r="B40" s="3779"/>
      <c r="C40" s="3779"/>
      <c r="D40" s="3779"/>
      <c r="E40" s="3779"/>
      <c r="F40" s="3779"/>
      <c r="G40" s="3779"/>
      <c r="H40" s="3779"/>
      <c r="I40" s="3779"/>
      <c r="J40" s="3779"/>
      <c r="K40" s="6"/>
      <c r="L40" s="6"/>
      <c r="M40" s="6"/>
      <c r="N40" s="6"/>
      <c r="O40" s="117">
        <f t="shared" si="0"/>
        <v>40</v>
      </c>
    </row>
    <row r="41" spans="2:15" ht="14.1" customHeight="1">
      <c r="B41" s="6"/>
      <c r="C41" s="6"/>
      <c r="D41" s="6"/>
      <c r="E41" s="6"/>
      <c r="F41" s="6"/>
      <c r="G41" s="6"/>
      <c r="I41" s="6"/>
      <c r="J41" s="6"/>
      <c r="K41" s="6"/>
      <c r="L41" s="6"/>
      <c r="M41" s="6"/>
      <c r="N41" s="6"/>
      <c r="O41" s="117">
        <f t="shared" si="0"/>
        <v>41</v>
      </c>
    </row>
    <row r="42" spans="2:15" ht="14.1" customHeight="1">
      <c r="B42" s="3778" t="s">
        <v>2526</v>
      </c>
      <c r="C42" s="3778"/>
      <c r="D42" s="3778"/>
      <c r="E42" s="3778"/>
      <c r="F42" s="3778"/>
      <c r="G42" s="3778"/>
      <c r="H42" s="3778"/>
      <c r="I42" s="3778"/>
      <c r="J42" s="3778"/>
      <c r="K42" s="6"/>
      <c r="L42" s="6"/>
      <c r="M42" s="6"/>
      <c r="N42" s="6"/>
      <c r="O42" s="117">
        <f t="shared" si="0"/>
        <v>42</v>
      </c>
    </row>
    <row r="43" spans="2:15" ht="14.1" customHeight="1">
      <c r="B43" s="3778"/>
      <c r="C43" s="3778"/>
      <c r="D43" s="3778"/>
      <c r="E43" s="3778"/>
      <c r="F43" s="3778"/>
      <c r="G43" s="3778"/>
      <c r="H43" s="3778"/>
      <c r="I43" s="3778"/>
      <c r="J43" s="3778"/>
      <c r="K43" s="6"/>
      <c r="L43" s="6"/>
      <c r="M43" s="6"/>
      <c r="N43" s="6"/>
      <c r="O43" s="117">
        <f t="shared" si="0"/>
        <v>43</v>
      </c>
    </row>
    <row r="44" spans="2:15" ht="14.1" customHeight="1">
      <c r="B44" s="3778"/>
      <c r="C44" s="3778"/>
      <c r="D44" s="3778"/>
      <c r="E44" s="3778"/>
      <c r="F44" s="3778"/>
      <c r="G44" s="3778"/>
      <c r="H44" s="3778"/>
      <c r="I44" s="3778"/>
      <c r="J44" s="3778"/>
      <c r="K44" s="6"/>
      <c r="L44" s="6"/>
      <c r="M44" s="6"/>
      <c r="N44" s="6"/>
      <c r="O44" s="117">
        <f t="shared" si="0"/>
        <v>44</v>
      </c>
    </row>
    <row r="45" spans="2:15" ht="14.1" customHeight="1">
      <c r="B45" s="6"/>
      <c r="C45" s="6"/>
      <c r="D45" s="6"/>
      <c r="E45" s="6"/>
      <c r="F45" s="6"/>
      <c r="G45" s="6"/>
      <c r="I45" s="6"/>
      <c r="J45" s="6"/>
      <c r="K45" s="6"/>
      <c r="L45" s="6"/>
      <c r="M45" s="6"/>
      <c r="N45" s="6"/>
      <c r="O45" s="117">
        <f t="shared" si="0"/>
        <v>45</v>
      </c>
    </row>
    <row r="46" spans="2:15" ht="14.1" customHeight="1">
      <c r="B46" s="3778" t="s">
        <v>1645</v>
      </c>
      <c r="C46" s="3778"/>
      <c r="D46" s="3778"/>
      <c r="E46" s="3778"/>
      <c r="F46" s="3778"/>
      <c r="G46" s="3778"/>
      <c r="H46" s="3778"/>
      <c r="I46" s="3778"/>
      <c r="J46" s="3778"/>
      <c r="O46" s="117">
        <f t="shared" si="0"/>
        <v>46</v>
      </c>
    </row>
    <row r="47" spans="2:15" ht="14.1" customHeight="1">
      <c r="B47" s="3778"/>
      <c r="C47" s="3778"/>
      <c r="D47" s="3778"/>
      <c r="E47" s="3778"/>
      <c r="F47" s="3778"/>
      <c r="G47" s="3778"/>
      <c r="H47" s="3778"/>
      <c r="I47" s="3778"/>
      <c r="J47" s="3778"/>
      <c r="O47" s="117">
        <f t="shared" si="0"/>
        <v>47</v>
      </c>
    </row>
    <row r="48" spans="2:15" ht="14.1" customHeight="1">
      <c r="B48" s="3778"/>
      <c r="C48" s="3778"/>
      <c r="D48" s="3778"/>
      <c r="E48" s="3778"/>
      <c r="F48" s="3778"/>
      <c r="G48" s="3778"/>
      <c r="H48" s="3778"/>
      <c r="I48" s="3778"/>
      <c r="J48" s="3778"/>
      <c r="O48" s="117">
        <f t="shared" si="0"/>
        <v>48</v>
      </c>
    </row>
    <row r="49" spans="2:15" ht="14.1" customHeight="1">
      <c r="B49" s="3779"/>
      <c r="C49" s="3779"/>
      <c r="D49" s="3779"/>
      <c r="E49" s="3779"/>
      <c r="F49" s="3779"/>
      <c r="G49" s="3779"/>
      <c r="H49" s="3779"/>
      <c r="I49" s="3779"/>
      <c r="J49" s="3779"/>
      <c r="O49" s="117">
        <f t="shared" si="0"/>
        <v>49</v>
      </c>
    </row>
    <row r="50" spans="2:15" ht="14.1" customHeight="1">
      <c r="B50" s="3779"/>
      <c r="C50" s="3779"/>
      <c r="D50" s="3779"/>
      <c r="E50" s="3779"/>
      <c r="F50" s="3779"/>
      <c r="G50" s="3779"/>
      <c r="H50" s="3779"/>
      <c r="I50" s="3779"/>
      <c r="J50" s="3779"/>
      <c r="O50" s="117">
        <f t="shared" si="0"/>
        <v>50</v>
      </c>
    </row>
    <row r="51" spans="2:15" ht="14.1" customHeight="1">
      <c r="O51" s="117">
        <f t="shared" si="0"/>
        <v>51</v>
      </c>
    </row>
    <row r="52" spans="2:15" ht="14.1" customHeight="1">
      <c r="B52" s="3779" t="s">
        <v>352</v>
      </c>
      <c r="C52" s="3779"/>
      <c r="D52" s="3779"/>
      <c r="E52" s="3779"/>
      <c r="F52" s="3779"/>
      <c r="G52" s="3779"/>
      <c r="H52" s="3779"/>
      <c r="I52" s="3779"/>
      <c r="J52" s="3779"/>
      <c r="O52" s="117">
        <f t="shared" si="0"/>
        <v>52</v>
      </c>
    </row>
    <row r="53" spans="2:15" ht="14.1" customHeight="1">
      <c r="B53" s="3779"/>
      <c r="C53" s="3779"/>
      <c r="D53" s="3779"/>
      <c r="E53" s="3779"/>
      <c r="F53" s="3779"/>
      <c r="G53" s="3779"/>
      <c r="H53" s="3779"/>
      <c r="I53" s="3779"/>
      <c r="J53" s="3779"/>
      <c r="O53" s="117">
        <f t="shared" si="0"/>
        <v>53</v>
      </c>
    </row>
    <row r="54" spans="2:15" ht="14.1" customHeight="1">
      <c r="B54" s="2553"/>
      <c r="C54" s="2553"/>
      <c r="D54" s="2553"/>
      <c r="E54" s="2553"/>
      <c r="F54" s="2553"/>
      <c r="G54" s="2553"/>
      <c r="H54" s="2553"/>
      <c r="I54" s="2553"/>
      <c r="J54" s="2553"/>
      <c r="O54" s="117">
        <f t="shared" si="0"/>
        <v>54</v>
      </c>
    </row>
    <row r="55" spans="2:15" ht="14.1" customHeight="1">
      <c r="B55" s="2666"/>
      <c r="C55" s="4520" t="s">
        <v>353</v>
      </c>
      <c r="D55" s="4520" t="s">
        <v>354</v>
      </c>
      <c r="E55" s="4520" t="s">
        <v>355</v>
      </c>
      <c r="F55" s="4520" t="s">
        <v>356</v>
      </c>
      <c r="G55" s="4520" t="s">
        <v>357</v>
      </c>
      <c r="H55" s="4520" t="s">
        <v>358</v>
      </c>
      <c r="I55" s="4520" t="s">
        <v>1451</v>
      </c>
      <c r="J55" s="4520" t="s">
        <v>4603</v>
      </c>
      <c r="O55" s="117">
        <f t="shared" si="0"/>
        <v>55</v>
      </c>
    </row>
    <row r="56" spans="2:15" ht="14.1" customHeight="1">
      <c r="B56" s="113"/>
      <c r="C56" s="4277"/>
      <c r="D56" s="4277"/>
      <c r="E56" s="4277"/>
      <c r="F56" s="4277"/>
      <c r="G56" s="4277"/>
      <c r="H56" s="4277"/>
      <c r="I56" s="4277"/>
      <c r="J56" s="4277"/>
      <c r="O56" s="117">
        <f t="shared" si="0"/>
        <v>56</v>
      </c>
    </row>
    <row r="57" spans="2:15" ht="14.1" customHeight="1">
      <c r="B57" s="141"/>
      <c r="C57" s="4521"/>
      <c r="D57" s="4521"/>
      <c r="E57" s="4521"/>
      <c r="F57" s="4521"/>
      <c r="G57" s="4521"/>
      <c r="H57" s="4521"/>
      <c r="I57" s="4521"/>
      <c r="J57" s="4521"/>
      <c r="O57" s="117">
        <f t="shared" si="0"/>
        <v>57</v>
      </c>
    </row>
    <row r="58" spans="2:15" ht="14.1" customHeight="1">
      <c r="B58" s="988" t="s">
        <v>1148</v>
      </c>
      <c r="C58" s="1033">
        <v>12711.9735109619</v>
      </c>
      <c r="D58" s="1033">
        <v>4726.5479351139802</v>
      </c>
      <c r="E58" s="1033">
        <f>C58+D58/$H$79</f>
        <v>14860.404390559162</v>
      </c>
      <c r="F58" s="1033">
        <v>99445.907341144106</v>
      </c>
      <c r="G58" s="1033">
        <v>34000.139108925519</v>
      </c>
      <c r="H58" s="1033">
        <f>F58+G58/$H$79</f>
        <v>114900.51602701934</v>
      </c>
      <c r="I58" s="832">
        <f>E58+H58</f>
        <v>129760.92041757851</v>
      </c>
      <c r="J58" s="351">
        <f t="shared" ref="J58:J63" si="2">E58/I58</f>
        <v>0.1145214163304135</v>
      </c>
      <c r="O58" s="117">
        <f t="shared" si="0"/>
        <v>58</v>
      </c>
    </row>
    <row r="59" spans="2:15" ht="14.1" customHeight="1">
      <c r="B59" s="988" t="s">
        <v>1486</v>
      </c>
      <c r="C59" s="1033">
        <v>22229.687356227001</v>
      </c>
      <c r="D59" s="1033">
        <v>11112.67879706947</v>
      </c>
      <c r="E59" s="1033">
        <f>C59+D59/$H$79</f>
        <v>27280.904991258576</v>
      </c>
      <c r="F59" s="1033">
        <v>179834.93298321302</v>
      </c>
      <c r="G59" s="1033">
        <v>61115.552676776832</v>
      </c>
      <c r="H59" s="1033">
        <f>F59+G59/$H$79</f>
        <v>207614.7296544752</v>
      </c>
      <c r="I59" s="832">
        <f>E59+H59</f>
        <v>234895.63464573378</v>
      </c>
      <c r="J59" s="351">
        <f t="shared" si="2"/>
        <v>0.11614053633820502</v>
      </c>
      <c r="O59" s="117">
        <f t="shared" si="0"/>
        <v>59</v>
      </c>
    </row>
    <row r="60" spans="2:15" ht="14.1" customHeight="1">
      <c r="B60" s="988" t="s">
        <v>1484</v>
      </c>
      <c r="C60" s="1033">
        <v>35865.199340623803</v>
      </c>
      <c r="D60" s="1033">
        <v>15322.12103916112</v>
      </c>
      <c r="E60" s="1033">
        <f>C60+D60/$H$79</f>
        <v>42829.799812969766</v>
      </c>
      <c r="F60" s="1033">
        <v>283306.41120796918</v>
      </c>
      <c r="G60" s="1033">
        <v>80002.387720339364</v>
      </c>
      <c r="H60" s="1033">
        <f>F60+G60/$H$79</f>
        <v>319671.13289903256</v>
      </c>
      <c r="I60" s="832">
        <f>E60+H60</f>
        <v>362500.93271200231</v>
      </c>
      <c r="J60" s="351">
        <f t="shared" si="2"/>
        <v>0.11815086789582675</v>
      </c>
      <c r="O60" s="117">
        <f t="shared" si="0"/>
        <v>60</v>
      </c>
    </row>
    <row r="61" spans="2:15" ht="14.1" customHeight="1">
      <c r="B61" s="988" t="s">
        <v>397</v>
      </c>
      <c r="C61" s="1033">
        <v>11109.441292182901</v>
      </c>
      <c r="D61" s="1033">
        <v>4120.9563227891103</v>
      </c>
      <c r="E61" s="1033">
        <f>C61+D61/$H$79</f>
        <v>12982.603257087041</v>
      </c>
      <c r="F61" s="1033">
        <v>92743.929189312097</v>
      </c>
      <c r="G61" s="1033">
        <v>18961.878148509633</v>
      </c>
      <c r="H61" s="1033">
        <f>F61+G61/$H$79</f>
        <v>101362.96471136193</v>
      </c>
      <c r="I61" s="832">
        <f>E61+H61</f>
        <v>114345.56796844897</v>
      </c>
      <c r="J61" s="351">
        <f t="shared" si="2"/>
        <v>0.11353831624387306</v>
      </c>
      <c r="O61" s="117">
        <f t="shared" si="0"/>
        <v>61</v>
      </c>
    </row>
    <row r="62" spans="2:15" ht="14.1" customHeight="1">
      <c r="B62" s="988" t="s">
        <v>220</v>
      </c>
      <c r="C62" s="1034">
        <v>9691.5821360202099</v>
      </c>
      <c r="D62" s="1034">
        <v>5418.873364494777</v>
      </c>
      <c r="E62" s="1033">
        <f>C62+D62/$H$79</f>
        <v>12154.706392608745</v>
      </c>
      <c r="F62" s="1034">
        <v>47455.716524985008</v>
      </c>
      <c r="G62" s="1034">
        <v>20182.869518354411</v>
      </c>
      <c r="H62" s="1033">
        <f>F62+G62/$H$79</f>
        <v>56629.748124237012</v>
      </c>
      <c r="I62" s="832">
        <f>E62+H62</f>
        <v>68784.454516845755</v>
      </c>
      <c r="J62" s="351">
        <f t="shared" si="2"/>
        <v>0.17670717138030045</v>
      </c>
      <c r="O62" s="117">
        <f t="shared" si="0"/>
        <v>62</v>
      </c>
    </row>
    <row r="63" spans="2:15" ht="14.1" customHeight="1">
      <c r="B63" s="989" t="s">
        <v>1208</v>
      </c>
      <c r="C63" s="1035">
        <f t="shared" ref="C63:I63" si="3">SUM(C58:C62)</f>
        <v>91607.883636015817</v>
      </c>
      <c r="D63" s="1035">
        <f t="shared" si="3"/>
        <v>40701.177458628459</v>
      </c>
      <c r="E63" s="1035">
        <f t="shared" si="3"/>
        <v>110108.4188444833</v>
      </c>
      <c r="F63" s="1035">
        <f t="shared" si="3"/>
        <v>702786.89724662353</v>
      </c>
      <c r="G63" s="1035">
        <f t="shared" si="3"/>
        <v>214262.82717290576</v>
      </c>
      <c r="H63" s="1035">
        <f t="shared" si="3"/>
        <v>800179.09141612612</v>
      </c>
      <c r="I63" s="1035">
        <f t="shared" si="3"/>
        <v>910287.51026060933</v>
      </c>
      <c r="J63" s="1036">
        <f t="shared" si="2"/>
        <v>0.12096004570353819</v>
      </c>
      <c r="K63" s="22"/>
      <c r="O63" s="117">
        <f t="shared" si="0"/>
        <v>63</v>
      </c>
    </row>
    <row r="64" spans="2:15" ht="14.1" customHeight="1">
      <c r="B64" s="9"/>
      <c r="C64" s="175"/>
      <c r="D64" s="175"/>
      <c r="E64" s="175"/>
      <c r="F64" s="175"/>
      <c r="G64" s="175"/>
      <c r="H64" s="175"/>
      <c r="I64" s="175"/>
      <c r="J64" s="175"/>
      <c r="O64" s="117">
        <f t="shared" si="0"/>
        <v>64</v>
      </c>
    </row>
    <row r="65" spans="2:15" ht="14.1" customHeight="1">
      <c r="B65" s="988" t="s">
        <v>2144</v>
      </c>
      <c r="C65" s="1034">
        <v>17652.762706827401</v>
      </c>
      <c r="D65" s="1034">
        <v>4367.0302637217928</v>
      </c>
      <c r="E65" s="1033">
        <f>C65+D65/$H$79</f>
        <v>19637.77646306458</v>
      </c>
      <c r="F65" s="1034">
        <v>412106.45086869458</v>
      </c>
      <c r="G65" s="1034">
        <v>48744.963086117707</v>
      </c>
      <c r="H65" s="1033">
        <f>F65+G65/$H$79</f>
        <v>434263.25227147533</v>
      </c>
      <c r="I65" s="832">
        <f>E65+H65</f>
        <v>453901.02873453993</v>
      </c>
      <c r="J65" s="351">
        <f t="shared" ref="J65:J70" si="4">E65/I65</f>
        <v>4.3264445815013923E-2</v>
      </c>
      <c r="O65" s="117">
        <f t="shared" si="0"/>
        <v>65</v>
      </c>
    </row>
    <row r="66" spans="2:15" ht="14.1" customHeight="1">
      <c r="B66" s="988" t="s">
        <v>1194</v>
      </c>
      <c r="C66" s="1034">
        <v>997.01171206773404</v>
      </c>
      <c r="D66" s="1034">
        <v>202.004492362983</v>
      </c>
      <c r="E66" s="1033">
        <f>C66+D66/$H$79</f>
        <v>1088.8319358690899</v>
      </c>
      <c r="F66" s="1034">
        <v>37105.514611008672</v>
      </c>
      <c r="G66" s="1034">
        <v>3742.0960522272926</v>
      </c>
      <c r="H66" s="1033">
        <f>F66+G66/$H$79</f>
        <v>38806.467362021074</v>
      </c>
      <c r="I66" s="832">
        <f>E66+H66</f>
        <v>39895.299297890168</v>
      </c>
      <c r="J66" s="351">
        <f t="shared" si="4"/>
        <v>2.7292236304307459E-2</v>
      </c>
      <c r="O66" s="117">
        <f t="shared" si="0"/>
        <v>66</v>
      </c>
    </row>
    <row r="67" spans="2:15" ht="14.1" customHeight="1">
      <c r="B67" s="988" t="s">
        <v>1199</v>
      </c>
      <c r="C67" s="1034">
        <v>5791.84611928705</v>
      </c>
      <c r="D67" s="1034">
        <v>1791.0402123886099</v>
      </c>
      <c r="E67" s="1033">
        <f>C67+D67/$H$79</f>
        <v>6605.9553067364177</v>
      </c>
      <c r="F67" s="1034">
        <v>91755.321244094157</v>
      </c>
      <c r="G67" s="1034">
        <v>12825.779579616608</v>
      </c>
      <c r="H67" s="1033">
        <f>F67+G67/$H$79</f>
        <v>97585.221053010799</v>
      </c>
      <c r="I67" s="832">
        <f>E67+H67</f>
        <v>104191.17635974722</v>
      </c>
      <c r="J67" s="351">
        <f t="shared" si="4"/>
        <v>6.3402252834996634E-2</v>
      </c>
      <c r="O67" s="117">
        <f t="shared" si="0"/>
        <v>67</v>
      </c>
    </row>
    <row r="68" spans="2:15" ht="14.1" customHeight="1">
      <c r="B68" s="988" t="s">
        <v>2145</v>
      </c>
      <c r="C68" s="1034">
        <v>7805.3665251290804</v>
      </c>
      <c r="D68" s="1034">
        <v>2252.008774082939</v>
      </c>
      <c r="E68" s="1033">
        <f>C68+D68/$H$79</f>
        <v>8829.0068769849622</v>
      </c>
      <c r="F68" s="1034">
        <v>515704.88521001692</v>
      </c>
      <c r="G68" s="1034">
        <v>64656.072998170355</v>
      </c>
      <c r="H68" s="1033">
        <f>F68+G68/$H$79</f>
        <v>545094.00930009433</v>
      </c>
      <c r="I68" s="832">
        <f>E68+H68</f>
        <v>553923.01617707929</v>
      </c>
      <c r="J68" s="351">
        <f t="shared" si="4"/>
        <v>1.5939050407976704E-2</v>
      </c>
      <c r="O68" s="117">
        <f t="shared" si="0"/>
        <v>68</v>
      </c>
    </row>
    <row r="69" spans="2:15" ht="14.1" customHeight="1">
      <c r="B69" s="988" t="s">
        <v>1193</v>
      </c>
      <c r="C69" s="1034">
        <v>11736.4475770644</v>
      </c>
      <c r="D69" s="1034">
        <v>2827.9522102129899</v>
      </c>
      <c r="E69" s="1033">
        <f>C69+D69/$H$79</f>
        <v>13021.880399888487</v>
      </c>
      <c r="F69" s="1034">
        <v>249988.45257516962</v>
      </c>
      <c r="G69" s="1034">
        <v>37554.666384933211</v>
      </c>
      <c r="H69" s="1033">
        <f>F69+G69/$H$79</f>
        <v>267058.75547741196</v>
      </c>
      <c r="I69" s="832">
        <f>E69+H69</f>
        <v>280080.63587730046</v>
      </c>
      <c r="J69" s="351">
        <f t="shared" si="4"/>
        <v>4.6493326320471498E-2</v>
      </c>
      <c r="O69" s="117">
        <f t="shared" si="0"/>
        <v>69</v>
      </c>
    </row>
    <row r="70" spans="2:15" ht="14.1" customHeight="1">
      <c r="B70" s="989" t="s">
        <v>1209</v>
      </c>
      <c r="C70" s="1035">
        <f t="shared" ref="C70:I70" si="5">SUM(C65:C69)</f>
        <v>43983.434640375664</v>
      </c>
      <c r="D70" s="1035">
        <f t="shared" si="5"/>
        <v>11440.035952769314</v>
      </c>
      <c r="E70" s="1035">
        <f t="shared" si="5"/>
        <v>49183.450982543538</v>
      </c>
      <c r="F70" s="1035">
        <f t="shared" si="5"/>
        <v>1306660.6245089839</v>
      </c>
      <c r="G70" s="1035">
        <f t="shared" si="5"/>
        <v>167523.57810106518</v>
      </c>
      <c r="H70" s="1035">
        <f t="shared" si="5"/>
        <v>1382807.7054640136</v>
      </c>
      <c r="I70" s="1035">
        <f t="shared" si="5"/>
        <v>1431991.156446557</v>
      </c>
      <c r="J70" s="1036">
        <f t="shared" si="4"/>
        <v>3.4346197433642534E-2</v>
      </c>
      <c r="O70" s="117">
        <f t="shared" si="0"/>
        <v>70</v>
      </c>
    </row>
    <row r="71" spans="2:15" ht="14.1" customHeight="1">
      <c r="B71" s="988"/>
      <c r="C71" s="1034"/>
      <c r="D71" s="1034"/>
      <c r="E71" s="1033"/>
      <c r="F71" s="1034"/>
      <c r="G71" s="1034"/>
      <c r="H71" s="1033"/>
      <c r="I71" s="832"/>
      <c r="J71" s="351"/>
      <c r="O71" s="117">
        <f t="shared" ref="O71:O146" si="6">ROW(P71)</f>
        <v>71</v>
      </c>
    </row>
    <row r="72" spans="2:15" ht="14.1" customHeight="1">
      <c r="B72" s="989" t="s">
        <v>1210</v>
      </c>
      <c r="C72" s="1035">
        <f t="shared" ref="C72:I72" si="7">C63+C70</f>
        <v>135591.31827639148</v>
      </c>
      <c r="D72" s="1035">
        <f t="shared" si="7"/>
        <v>52141.213411397774</v>
      </c>
      <c r="E72" s="1035">
        <f t="shared" si="7"/>
        <v>159291.86982702685</v>
      </c>
      <c r="F72" s="1035">
        <f t="shared" si="7"/>
        <v>2009447.5217556073</v>
      </c>
      <c r="G72" s="1035">
        <f t="shared" si="7"/>
        <v>381786.40527397092</v>
      </c>
      <c r="H72" s="1035">
        <f t="shared" si="7"/>
        <v>2182986.79688014</v>
      </c>
      <c r="I72" s="1035">
        <f t="shared" si="7"/>
        <v>2342278.6667071665</v>
      </c>
      <c r="J72" s="1036">
        <f>E72/I72</f>
        <v>6.800722394443498E-2</v>
      </c>
      <c r="O72" s="117">
        <f t="shared" si="6"/>
        <v>72</v>
      </c>
    </row>
    <row r="73" spans="2:15" ht="14.1" customHeight="1">
      <c r="B73" s="989"/>
      <c r="C73" s="990"/>
      <c r="D73" s="990"/>
      <c r="E73" s="990"/>
      <c r="F73" s="990"/>
      <c r="G73" s="990"/>
      <c r="H73" s="990"/>
      <c r="I73" s="990"/>
      <c r="J73" s="972"/>
      <c r="O73" s="117">
        <f t="shared" si="6"/>
        <v>73</v>
      </c>
    </row>
    <row r="74" spans="2:15" ht="14.1" customHeight="1">
      <c r="B74" s="989" t="s">
        <v>1211</v>
      </c>
      <c r="C74" s="990"/>
      <c r="D74" s="990"/>
      <c r="E74" s="990"/>
      <c r="F74" s="990"/>
      <c r="G74" s="990"/>
      <c r="H74" s="990"/>
      <c r="I74" s="990"/>
      <c r="J74" s="2665">
        <f>(E72+0.5*E70)/(I72+0.5*I70)</f>
        <v>6.0126587935373565E-2</v>
      </c>
      <c r="O74" s="117">
        <f t="shared" si="6"/>
        <v>74</v>
      </c>
    </row>
    <row r="75" spans="2:15" ht="14.1" customHeight="1">
      <c r="B75" s="265" t="str">
        <f>CONCATENATE("Calculated as ratio of (i) sum of Row ",O72, " Vehicles to CBD plus half of same in Row ",O70, " to (ii) same for Total Vehicles.")</f>
        <v>Calculated as ratio of (i) sum of Row 72 Vehicles to CBD plus half of same in Row 70 to (ii) same for Total Vehicles.</v>
      </c>
      <c r="C75" s="988"/>
      <c r="D75" s="988"/>
      <c r="E75" s="988"/>
      <c r="F75" s="988"/>
      <c r="G75" s="988"/>
      <c r="H75" s="988"/>
      <c r="I75" s="988"/>
      <c r="J75" s="9"/>
      <c r="O75" s="117">
        <f t="shared" si="6"/>
        <v>75</v>
      </c>
    </row>
    <row r="76" spans="2:15" ht="14.1" customHeight="1">
      <c r="C76" s="988"/>
      <c r="D76" s="988"/>
      <c r="E76" s="988"/>
      <c r="F76" s="988"/>
      <c r="G76" s="988"/>
      <c r="H76" s="988"/>
      <c r="I76" s="988"/>
      <c r="J76" s="9"/>
      <c r="O76" s="117">
        <f t="shared" si="6"/>
        <v>76</v>
      </c>
    </row>
    <row r="77" spans="2:15" ht="14.1" customHeight="1">
      <c r="B77" s="988" t="s">
        <v>1149</v>
      </c>
      <c r="C77" s="9"/>
      <c r="D77" s="9"/>
      <c r="E77" s="9"/>
      <c r="F77" s="9"/>
      <c r="G77" s="9"/>
      <c r="H77" s="9"/>
      <c r="I77" s="9"/>
      <c r="J77" s="9"/>
      <c r="O77" s="117">
        <f t="shared" si="6"/>
        <v>77</v>
      </c>
    </row>
    <row r="78" spans="2:15" ht="14.1" customHeight="1">
      <c r="B78" s="9"/>
      <c r="C78" s="9"/>
      <c r="D78" s="9"/>
      <c r="F78" s="9"/>
      <c r="G78" s="9"/>
      <c r="H78" s="9"/>
      <c r="I78" s="9"/>
      <c r="J78" s="9"/>
      <c r="O78" s="117">
        <f t="shared" si="6"/>
        <v>78</v>
      </c>
    </row>
    <row r="79" spans="2:15" ht="14.1" customHeight="1">
      <c r="B79" s="1037" t="s">
        <v>1212</v>
      </c>
      <c r="C79" s="173"/>
      <c r="D79" s="173"/>
      <c r="E79" s="173"/>
      <c r="F79" s="173"/>
      <c r="G79" s="173"/>
      <c r="H79" s="255">
        <v>2.2000000000000002</v>
      </c>
      <c r="O79" s="117">
        <f t="shared" si="6"/>
        <v>79</v>
      </c>
    </row>
    <row r="80" spans="2:15" ht="14.1" customHeight="1">
      <c r="B80" s="265" t="s">
        <v>768</v>
      </c>
      <c r="O80" s="117">
        <f t="shared" si="6"/>
        <v>80</v>
      </c>
    </row>
    <row r="81" spans="2:15" ht="14.1" customHeight="1">
      <c r="B81" s="4522" t="s">
        <v>703</v>
      </c>
      <c r="C81" s="4523"/>
      <c r="D81" s="4523"/>
      <c r="E81" s="4523"/>
      <c r="F81" s="4523"/>
      <c r="G81" s="4523"/>
      <c r="H81" s="4524">
        <v>5</v>
      </c>
      <c r="O81" s="117">
        <f t="shared" si="6"/>
        <v>81</v>
      </c>
    </row>
    <row r="82" spans="2:15" ht="14.1" customHeight="1">
      <c r="B82" s="4483"/>
      <c r="C82" s="4484"/>
      <c r="D82" s="4484"/>
      <c r="E82" s="4484"/>
      <c r="F82" s="4484"/>
      <c r="G82" s="4484"/>
      <c r="H82" s="4525"/>
      <c r="O82" s="117">
        <f t="shared" si="6"/>
        <v>82</v>
      </c>
    </row>
    <row r="83" spans="2:15" ht="14.1" customHeight="1">
      <c r="B83" s="265" t="s">
        <v>451</v>
      </c>
      <c r="C83" s="45"/>
      <c r="D83" s="45"/>
      <c r="E83" s="45"/>
      <c r="F83" s="45"/>
      <c r="G83" s="45"/>
      <c r="O83" s="117">
        <f t="shared" si="6"/>
        <v>83</v>
      </c>
    </row>
    <row r="84" spans="2:15" ht="14.1" customHeight="1">
      <c r="O84" s="117">
        <f t="shared" si="6"/>
        <v>84</v>
      </c>
    </row>
    <row r="85" spans="2:15" ht="14.1" customHeight="1">
      <c r="B85" s="6" t="s">
        <v>360</v>
      </c>
      <c r="H85" s="3804" t="s">
        <v>3856</v>
      </c>
      <c r="O85" s="117">
        <f t="shared" si="6"/>
        <v>85</v>
      </c>
    </row>
    <row r="86" spans="2:15" ht="14.1" customHeight="1">
      <c r="G86" s="8" t="s">
        <v>2896</v>
      </c>
      <c r="H86" s="3807"/>
      <c r="O86" s="117">
        <f t="shared" si="6"/>
        <v>86</v>
      </c>
    </row>
    <row r="87" spans="2:15" ht="14.1" customHeight="1">
      <c r="B87" s="280" t="s">
        <v>2156</v>
      </c>
      <c r="C87" s="149"/>
      <c r="D87" s="149"/>
      <c r="E87" s="4511" t="s">
        <v>359</v>
      </c>
      <c r="F87" s="4511"/>
      <c r="G87" s="149">
        <v>2</v>
      </c>
      <c r="H87" s="155">
        <f>'Hub-Bound'!E39</f>
        <v>58432</v>
      </c>
      <c r="I87" s="12">
        <f t="shared" ref="I87:I96" si="8">H87/$H$96</f>
        <v>7.3536463046140255E-2</v>
      </c>
      <c r="O87" s="117">
        <f t="shared" si="6"/>
        <v>87</v>
      </c>
    </row>
    <row r="88" spans="2:15" ht="14.1" customHeight="1">
      <c r="B88" s="280" t="s">
        <v>2157</v>
      </c>
      <c r="C88" s="149"/>
      <c r="D88" s="149"/>
      <c r="E88" s="4511"/>
      <c r="F88" s="4511"/>
      <c r="G88" s="149">
        <v>1.3</v>
      </c>
      <c r="H88" s="155">
        <f>'Hub-Bound'!E40</f>
        <v>35643</v>
      </c>
      <c r="I88" s="12">
        <f t="shared" si="8"/>
        <v>4.4856588040005085E-2</v>
      </c>
      <c r="O88" s="117">
        <f t="shared" si="6"/>
        <v>88</v>
      </c>
    </row>
    <row r="89" spans="2:15" ht="14.1" customHeight="1">
      <c r="B89" s="280" t="s">
        <v>1586</v>
      </c>
      <c r="C89" s="149"/>
      <c r="D89" s="149"/>
      <c r="E89" s="4511"/>
      <c r="F89" s="4511"/>
      <c r="G89" s="149">
        <v>1.2</v>
      </c>
      <c r="H89" s="155">
        <f>'Hub-Bound'!E41</f>
        <v>67595</v>
      </c>
      <c r="I89" s="12">
        <f t="shared" si="8"/>
        <v>8.5068065779091095E-2</v>
      </c>
      <c r="O89" s="117">
        <f t="shared" si="6"/>
        <v>89</v>
      </c>
    </row>
    <row r="90" spans="2:15" ht="14.1" customHeight="1">
      <c r="B90" s="280" t="s">
        <v>750</v>
      </c>
      <c r="C90" s="149"/>
      <c r="D90" s="149"/>
      <c r="E90" s="4511"/>
      <c r="F90" s="4511"/>
      <c r="G90" s="149">
        <v>2</v>
      </c>
      <c r="H90" s="155">
        <f>'Hub-Bound'!E42</f>
        <v>30729</v>
      </c>
      <c r="I90" s="12">
        <f t="shared" si="8"/>
        <v>3.8672336612555515E-2</v>
      </c>
      <c r="O90" s="117">
        <f t="shared" si="6"/>
        <v>90</v>
      </c>
    </row>
    <row r="91" spans="2:15" ht="14.1" customHeight="1">
      <c r="B91" s="280" t="s">
        <v>1329</v>
      </c>
      <c r="C91" s="149"/>
      <c r="D91" s="149"/>
      <c r="E91" s="4511"/>
      <c r="F91" s="4511"/>
      <c r="G91" s="149">
        <v>1.5</v>
      </c>
      <c r="H91" s="155">
        <f>'Hub-Bound'!E48</f>
        <v>47192</v>
      </c>
      <c r="I91" s="12">
        <f t="shared" si="8"/>
        <v>5.9390963240577951E-2</v>
      </c>
      <c r="O91" s="117">
        <f t="shared" si="6"/>
        <v>91</v>
      </c>
    </row>
    <row r="92" spans="2:15" ht="14.1" customHeight="1">
      <c r="B92" s="280" t="s">
        <v>1535</v>
      </c>
      <c r="C92" s="149"/>
      <c r="D92" s="149"/>
      <c r="E92" s="4511"/>
      <c r="F92" s="4511"/>
      <c r="G92" s="149">
        <v>1.8</v>
      </c>
      <c r="H92" s="155">
        <f>'Hub-Bound'!E49</f>
        <v>89515</v>
      </c>
      <c r="I92" s="12">
        <f t="shared" si="8"/>
        <v>0.11265430739278555</v>
      </c>
      <c r="O92" s="117">
        <f t="shared" si="6"/>
        <v>92</v>
      </c>
    </row>
    <row r="93" spans="2:15" ht="14.1" customHeight="1">
      <c r="B93" s="280" t="s">
        <v>2488</v>
      </c>
      <c r="E93" s="321"/>
      <c r="F93" s="321"/>
      <c r="G93" s="149">
        <f>AVERAGE(7482,8216,8006)/5280</f>
        <v>1.4964646464646465</v>
      </c>
      <c r="H93" s="155">
        <f>'Hub-Bound'!E56</f>
        <v>61619</v>
      </c>
      <c r="I93" s="12">
        <f t="shared" si="8"/>
        <v>7.7547291149372199E-2</v>
      </c>
      <c r="O93" s="117">
        <f t="shared" si="6"/>
        <v>93</v>
      </c>
    </row>
    <row r="94" spans="2:15" ht="14.1" customHeight="1">
      <c r="B94" s="280" t="s">
        <v>951</v>
      </c>
      <c r="E94" s="321"/>
      <c r="F94" s="321"/>
      <c r="G94" s="21">
        <f>AVERAGE(8371,8558)/5280</f>
        <v>1.6031249999999999</v>
      </c>
      <c r="H94" s="155">
        <f>'Hub-Bound'!E55</f>
        <v>48226</v>
      </c>
      <c r="I94" s="12">
        <f t="shared" si="8"/>
        <v>6.0692248542975766E-2</v>
      </c>
      <c r="K94" s="3031">
        <f>SUM(I93:I94)/(I96-SUM(I93:I94))</f>
        <v>0.16041527322220828</v>
      </c>
      <c r="L94" s="3030" t="s">
        <v>5319</v>
      </c>
      <c r="M94" s="3032"/>
      <c r="N94" s="3032"/>
      <c r="O94" s="117">
        <f t="shared" si="6"/>
        <v>94</v>
      </c>
    </row>
    <row r="95" spans="2:15" ht="14.1" customHeight="1">
      <c r="B95" s="280" t="s">
        <v>1449</v>
      </c>
      <c r="G95" s="149">
        <v>0.1</v>
      </c>
      <c r="H95" s="155">
        <f>'Hub-Bound'!E34</f>
        <v>355648</v>
      </c>
      <c r="I95" s="12">
        <f t="shared" si="8"/>
        <v>0.4475817361964966</v>
      </c>
      <c r="N95" s="6"/>
      <c r="O95" s="117">
        <f t="shared" si="6"/>
        <v>95</v>
      </c>
    </row>
    <row r="96" spans="2:15" s="6" customFormat="1" ht="14.1" customHeight="1">
      <c r="B96" s="985" t="s">
        <v>837</v>
      </c>
      <c r="C96" s="812"/>
      <c r="D96" s="812"/>
      <c r="E96" s="812"/>
      <c r="F96" s="812"/>
      <c r="G96" s="2368">
        <f>SUMPRODUCT(G87:G95,H87:H95)/H96</f>
        <v>0.93477925507143245</v>
      </c>
      <c r="H96" s="987">
        <f>SUM(H87:H95)</f>
        <v>794599</v>
      </c>
      <c r="I96" s="2082">
        <f t="shared" si="8"/>
        <v>1</v>
      </c>
      <c r="O96" s="117">
        <f t="shared" si="6"/>
        <v>96</v>
      </c>
    </row>
    <row r="97" spans="2:15" s="6" customFormat="1" ht="14.1" customHeight="1">
      <c r="B97" s="495" t="s">
        <v>1147</v>
      </c>
      <c r="C97" s="51"/>
      <c r="D97" s="51"/>
      <c r="E97" s="51"/>
      <c r="F97" s="51"/>
      <c r="G97" s="877">
        <f>G96/F32</f>
        <v>5.4356987956753797E-2</v>
      </c>
      <c r="H97" s="987"/>
      <c r="O97" s="117">
        <f t="shared" si="6"/>
        <v>97</v>
      </c>
    </row>
    <row r="98" spans="2:15" s="6" customFormat="1" ht="14.1" customHeight="1">
      <c r="B98" s="985"/>
      <c r="C98" s="812"/>
      <c r="D98" s="812"/>
      <c r="E98" s="812"/>
      <c r="F98" s="812"/>
      <c r="G98" s="986"/>
      <c r="H98" s="987"/>
      <c r="N98"/>
      <c r="O98" s="117">
        <f t="shared" si="6"/>
        <v>98</v>
      </c>
    </row>
    <row r="99" spans="2:15" ht="14.1" customHeight="1">
      <c r="B99" s="3754" t="s">
        <v>6203</v>
      </c>
      <c r="C99" s="4071"/>
      <c r="D99" s="4071"/>
      <c r="E99" s="4071"/>
      <c r="F99" s="4071"/>
      <c r="G99" s="4071"/>
      <c r="H99" s="4071"/>
      <c r="I99" s="4071"/>
      <c r="J99" s="4071"/>
      <c r="O99" s="117">
        <f t="shared" si="6"/>
        <v>99</v>
      </c>
    </row>
    <row r="100" spans="2:15" ht="14.1" customHeight="1">
      <c r="B100" s="4071"/>
      <c r="C100" s="4071"/>
      <c r="D100" s="4071"/>
      <c r="E100" s="4071"/>
      <c r="F100" s="4071"/>
      <c r="G100" s="4071"/>
      <c r="H100" s="4071"/>
      <c r="I100" s="4071"/>
      <c r="J100" s="4071"/>
      <c r="O100" s="117">
        <f t="shared" si="6"/>
        <v>100</v>
      </c>
    </row>
    <row r="101" spans="2:15" ht="14.1" customHeight="1">
      <c r="B101" s="4071"/>
      <c r="C101" s="4071"/>
      <c r="D101" s="4071"/>
      <c r="E101" s="4071"/>
      <c r="F101" s="4071"/>
      <c r="G101" s="4071"/>
      <c r="H101" s="4071"/>
      <c r="I101" s="4071"/>
      <c r="J101" s="4071"/>
      <c r="O101" s="117">
        <f t="shared" si="6"/>
        <v>101</v>
      </c>
    </row>
    <row r="102" spans="2:15" ht="14.1" customHeight="1">
      <c r="B102" s="4071"/>
      <c r="C102" s="4071"/>
      <c r="D102" s="4071"/>
      <c r="E102" s="4071"/>
      <c r="F102" s="4071"/>
      <c r="G102" s="4071"/>
      <c r="H102" s="4071"/>
      <c r="I102" s="4071"/>
      <c r="J102" s="4071"/>
      <c r="O102" s="117">
        <f t="shared" si="6"/>
        <v>102</v>
      </c>
    </row>
    <row r="103" spans="2:15" ht="14.1" customHeight="1">
      <c r="B103" s="321" t="s">
        <v>1450</v>
      </c>
      <c r="C103" s="215"/>
      <c r="D103" s="215"/>
      <c r="E103" s="215"/>
      <c r="F103" s="215"/>
      <c r="H103" s="3804" t="s">
        <v>3856</v>
      </c>
      <c r="I103" s="3804" t="s">
        <v>3857</v>
      </c>
      <c r="J103" s="3804" t="s">
        <v>3858</v>
      </c>
      <c r="O103" s="117">
        <f t="shared" si="6"/>
        <v>103</v>
      </c>
    </row>
    <row r="104" spans="2:15" ht="14.1" customHeight="1">
      <c r="B104" s="321"/>
      <c r="C104" s="215"/>
      <c r="D104" s="215"/>
      <c r="E104" s="215"/>
      <c r="F104" s="215"/>
      <c r="H104" s="3807"/>
      <c r="I104" s="3807"/>
      <c r="J104" s="3807"/>
      <c r="O104" s="117">
        <f t="shared" si="6"/>
        <v>104</v>
      </c>
    </row>
    <row r="105" spans="2:15" ht="14.1" customHeight="1">
      <c r="B105" s="312" t="s">
        <v>2787</v>
      </c>
      <c r="C105" s="215"/>
      <c r="D105" s="215"/>
      <c r="E105" s="215"/>
      <c r="F105" s="215"/>
      <c r="G105" s="215"/>
      <c r="H105" s="155">
        <v>148567</v>
      </c>
      <c r="I105" s="2310">
        <f>Revenues!G163</f>
        <v>0.05</v>
      </c>
      <c r="J105" s="155">
        <f>I105*H105</f>
        <v>7428.35</v>
      </c>
      <c r="O105" s="117">
        <f t="shared" si="6"/>
        <v>105</v>
      </c>
    </row>
    <row r="106" spans="2:15" ht="14.1" customHeight="1">
      <c r="B106" s="215" t="str">
        <f>CONCATENATE("Daily volume is from '2007, Manhattan River Crossings.' % continuing to CBD is from 'Revenues' worksheet, Row ",Revenues!Q165, ".")</f>
        <v>Daily volume is from '2007, Manhattan River Crossings.' % continuing to CBD is from 'Revenues' worksheet, Row 165.</v>
      </c>
      <c r="C106" s="215"/>
      <c r="D106" s="215"/>
      <c r="E106" s="215"/>
      <c r="F106" s="215"/>
      <c r="G106" s="215"/>
      <c r="H106" s="155"/>
      <c r="I106" s="2310"/>
      <c r="J106" s="155"/>
      <c r="O106" s="117">
        <f t="shared" si="6"/>
        <v>106</v>
      </c>
    </row>
    <row r="107" spans="2:15" ht="14.1" customHeight="1">
      <c r="O107" s="117">
        <f t="shared" si="6"/>
        <v>107</v>
      </c>
    </row>
    <row r="108" spans="2:15" ht="14.1" customHeight="1">
      <c r="B108" s="6" t="s">
        <v>875</v>
      </c>
      <c r="O108" s="117">
        <f t="shared" si="6"/>
        <v>108</v>
      </c>
    </row>
    <row r="109" spans="2:15" ht="14.1" customHeight="1">
      <c r="O109" s="117">
        <f t="shared" si="6"/>
        <v>109</v>
      </c>
    </row>
    <row r="110" spans="2:15" ht="14.1" customHeight="1">
      <c r="F110" s="8" t="s">
        <v>228</v>
      </c>
      <c r="G110" s="8" t="s">
        <v>367</v>
      </c>
      <c r="H110" s="8" t="s">
        <v>368</v>
      </c>
      <c r="I110" s="8" t="s">
        <v>2473</v>
      </c>
      <c r="J110" s="8" t="s">
        <v>1241</v>
      </c>
      <c r="K110" s="8" t="s">
        <v>2212</v>
      </c>
      <c r="L110" s="8" t="s">
        <v>967</v>
      </c>
      <c r="O110" s="117">
        <f t="shared" si="6"/>
        <v>110</v>
      </c>
    </row>
    <row r="111" spans="2:15" ht="14.1" customHeight="1">
      <c r="O111" s="117">
        <f t="shared" si="6"/>
        <v>111</v>
      </c>
    </row>
    <row r="112" spans="2:15" ht="14.1" customHeight="1">
      <c r="B112" s="280" t="s">
        <v>1512</v>
      </c>
      <c r="F112" s="10">
        <f>SUM(G112:L112)</f>
        <v>685933.80116959068</v>
      </c>
      <c r="G112" s="10">
        <f t="shared" ref="G112:L112" si="9">G29</f>
        <v>260770.0910821009</v>
      </c>
      <c r="H112" s="10">
        <f t="shared" si="9"/>
        <v>183409.90891789904</v>
      </c>
      <c r="I112" s="10">
        <f t="shared" si="9"/>
        <v>127122.22222222225</v>
      </c>
      <c r="J112" s="10">
        <f t="shared" si="9"/>
        <v>65000</v>
      </c>
      <c r="K112" s="10">
        <f t="shared" si="9"/>
        <v>38200</v>
      </c>
      <c r="L112" s="10">
        <f t="shared" si="9"/>
        <v>11431.578947368422</v>
      </c>
      <c r="O112" s="117">
        <f t="shared" si="6"/>
        <v>112</v>
      </c>
    </row>
    <row r="113" spans="2:15" ht="14.1" customHeight="1">
      <c r="B113" s="215" t="s">
        <v>876</v>
      </c>
      <c r="F113" s="10"/>
      <c r="G113" s="10"/>
      <c r="H113" s="10"/>
      <c r="I113" s="10"/>
      <c r="J113" s="10"/>
      <c r="K113" s="10"/>
      <c r="L113" s="10"/>
      <c r="O113" s="117">
        <f t="shared" si="6"/>
        <v>113</v>
      </c>
    </row>
    <row r="114" spans="2:15" ht="14.1" customHeight="1">
      <c r="B114" s="280" t="s">
        <v>877</v>
      </c>
      <c r="G114" s="983">
        <f t="shared" ref="G114:L114" si="10">G32</f>
        <v>16.900058730389546</v>
      </c>
      <c r="H114" s="983">
        <f t="shared" si="10"/>
        <v>16.900058730389546</v>
      </c>
      <c r="I114" s="983">
        <f t="shared" si="10"/>
        <v>25.350088095584319</v>
      </c>
      <c r="J114" s="983">
        <f t="shared" si="10"/>
        <v>6</v>
      </c>
      <c r="K114" s="983">
        <f t="shared" si="10"/>
        <v>12.520200577749323</v>
      </c>
      <c r="L114" s="983">
        <f t="shared" si="10"/>
        <v>17.36691118150528</v>
      </c>
      <c r="O114" s="117">
        <f t="shared" si="6"/>
        <v>114</v>
      </c>
    </row>
    <row r="115" spans="2:15" ht="14.1" customHeight="1">
      <c r="B115" s="215" t="s">
        <v>876</v>
      </c>
      <c r="G115" s="983"/>
      <c r="H115" s="983"/>
      <c r="I115" s="983"/>
      <c r="J115" s="983"/>
      <c r="K115" s="983"/>
      <c r="L115" s="983"/>
      <c r="O115" s="117">
        <f t="shared" si="6"/>
        <v>115</v>
      </c>
    </row>
    <row r="116" spans="2:15" ht="14.1" customHeight="1">
      <c r="B116" s="280" t="s">
        <v>1513</v>
      </c>
      <c r="F116" s="10">
        <f ca="1">SUM(G116:L116)</f>
        <v>576767.42740457854</v>
      </c>
      <c r="G116" s="10">
        <f ca="1">'Motor Vs'!W848</f>
        <v>209202.4873175883</v>
      </c>
      <c r="H116" s="10">
        <f ca="1">'Motor Vs'!AF848</f>
        <v>155931.4255238116</v>
      </c>
      <c r="I116" s="10">
        <f ca="1">'Motor Vs'!AO848</f>
        <v>87123.925786621359</v>
      </c>
      <c r="J116" s="10">
        <f ca="1">'Motor Vs'!AX848</f>
        <v>76175.43820721189</v>
      </c>
      <c r="K116" s="10">
        <f ca="1">'Motor Vs'!BG848</f>
        <v>36810.183659382026</v>
      </c>
      <c r="L116" s="10">
        <f ca="1">'Motor Vs'!BP848</f>
        <v>11523.966909963343</v>
      </c>
      <c r="O116" s="117">
        <f t="shared" si="6"/>
        <v>116</v>
      </c>
    </row>
    <row r="117" spans="2:15" ht="14.1" customHeight="1">
      <c r="B117" s="215" t="str">
        <f>CONCATENATE("From Motor Vs worksheet, Row ",'Motor Vs'!O848,)</f>
        <v>From Motor Vs worksheet, Row 848</v>
      </c>
      <c r="O117" s="117">
        <f t="shared" si="6"/>
        <v>117</v>
      </c>
    </row>
    <row r="118" spans="2:15" ht="14.1" customHeight="1">
      <c r="B118" s="280" t="s">
        <v>2326</v>
      </c>
      <c r="F118" s="10">
        <f>SUM(G118:L118)</f>
        <v>23592060.99483509</v>
      </c>
      <c r="G118" s="10">
        <f t="shared" ref="G118:L118" si="11">2*G112*G$114</f>
        <v>8814059.7088330723</v>
      </c>
      <c r="H118" s="10">
        <f t="shared" si="11"/>
        <v>6199276.4648957821</v>
      </c>
      <c r="I118" s="10">
        <f t="shared" si="11"/>
        <v>6445119.0644795615</v>
      </c>
      <c r="J118" s="10">
        <f t="shared" si="11"/>
        <v>780000</v>
      </c>
      <c r="K118" s="10">
        <f t="shared" si="11"/>
        <v>956543.32414004824</v>
      </c>
      <c r="L118" s="10">
        <f t="shared" si="11"/>
        <v>397062.43248662603</v>
      </c>
      <c r="O118" s="117">
        <f t="shared" si="6"/>
        <v>118</v>
      </c>
    </row>
    <row r="119" spans="2:15" ht="14.1" customHeight="1">
      <c r="B119" s="280" t="s">
        <v>751</v>
      </c>
      <c r="F119" s="10">
        <f ca="1">SUM(G119:L119)</f>
        <v>18994885.974294126</v>
      </c>
      <c r="G119" s="10">
        <f t="shared" ref="G119:L119" ca="1" si="12">2*G116*G$114</f>
        <v>7071068.6444216324</v>
      </c>
      <c r="H119" s="10">
        <f t="shared" ca="1" si="12"/>
        <v>5270500.4985315595</v>
      </c>
      <c r="I119" s="10">
        <f t="shared" ca="1" si="12"/>
        <v>4417198.3878480038</v>
      </c>
      <c r="J119" s="10">
        <f t="shared" ca="1" si="12"/>
        <v>914105.25848654262</v>
      </c>
      <c r="K119" s="10">
        <f t="shared" ca="1" si="12"/>
        <v>921741.76543850708</v>
      </c>
      <c r="L119" s="10">
        <f t="shared" ca="1" si="12"/>
        <v>400271.41956787847</v>
      </c>
      <c r="O119" s="117">
        <f t="shared" si="6"/>
        <v>119</v>
      </c>
    </row>
    <row r="120" spans="2:15" ht="14.1" customHeight="1">
      <c r="B120" s="215" t="s">
        <v>916</v>
      </c>
      <c r="F120" s="10"/>
      <c r="G120" s="10"/>
      <c r="H120" s="10"/>
      <c r="I120" s="10"/>
      <c r="J120" s="10"/>
      <c r="K120" s="10"/>
      <c r="L120" s="10"/>
      <c r="O120" s="117">
        <f t="shared" si="6"/>
        <v>120</v>
      </c>
    </row>
    <row r="121" spans="2:15" ht="14.1" customHeight="1">
      <c r="B121" s="280" t="s">
        <v>1973</v>
      </c>
      <c r="F121" s="575">
        <f t="shared" ref="F121:L121" ca="1" si="13">F119-F118</f>
        <v>-4597175.0205409639</v>
      </c>
      <c r="G121" s="575">
        <f t="shared" ca="1" si="13"/>
        <v>-1742991.0644114399</v>
      </c>
      <c r="H121" s="575">
        <f t="shared" ca="1" si="13"/>
        <v>-928775.96636422258</v>
      </c>
      <c r="I121" s="575">
        <f t="shared" ca="1" si="13"/>
        <v>-2027920.6766315578</v>
      </c>
      <c r="J121" s="575">
        <f t="shared" ca="1" si="13"/>
        <v>134105.25848654262</v>
      </c>
      <c r="K121" s="575">
        <f t="shared" ca="1" si="13"/>
        <v>-34801.558701541158</v>
      </c>
      <c r="L121" s="575">
        <f t="shared" ca="1" si="13"/>
        <v>3208.9870812524459</v>
      </c>
      <c r="O121" s="117">
        <f t="shared" si="6"/>
        <v>121</v>
      </c>
    </row>
    <row r="122" spans="2:15" ht="14.1" customHeight="1">
      <c r="B122" s="280" t="s">
        <v>753</v>
      </c>
      <c r="C122" s="6"/>
      <c r="D122" s="6"/>
      <c r="E122" s="6"/>
      <c r="F122" s="184">
        <f t="shared" ref="F122:L122" ca="1" si="14">F121/F118</f>
        <v>-0.19486110270516019</v>
      </c>
      <c r="G122" s="12">
        <f t="shared" ca="1" si="14"/>
        <v>-0.19775122043531076</v>
      </c>
      <c r="H122" s="12">
        <f t="shared" ca="1" si="14"/>
        <v>-0.14982005910262894</v>
      </c>
      <c r="I122" s="12">
        <f t="shared" ca="1" si="14"/>
        <v>-0.31464440863596532</v>
      </c>
      <c r="J122" s="12">
        <f t="shared" ca="1" si="14"/>
        <v>0.17192981857249054</v>
      </c>
      <c r="K122" s="12">
        <f t="shared" ca="1" si="14"/>
        <v>-3.6382626717747953E-2</v>
      </c>
      <c r="L122" s="12">
        <f t="shared" ca="1" si="14"/>
        <v>8.0818199323365401E-3</v>
      </c>
      <c r="O122" s="117">
        <f t="shared" si="6"/>
        <v>122</v>
      </c>
    </row>
    <row r="123" spans="2:15" ht="14.1" customHeight="1">
      <c r="B123" s="308" t="s">
        <v>752</v>
      </c>
      <c r="C123" s="6"/>
      <c r="D123" s="6"/>
      <c r="E123" s="6"/>
      <c r="F123" s="838">
        <f ca="1">F122*F20</f>
        <v>-6.598940582732965E-2</v>
      </c>
      <c r="O123" s="117">
        <f t="shared" si="6"/>
        <v>123</v>
      </c>
    </row>
    <row r="124" spans="2:15" ht="14.1" customHeight="1">
      <c r="B124" s="215" t="str">
        <f>CONCATENATE("Calculated as % change for CBD-bound trips in Row ",O122, ", multiplied by CBD-bound trips' share of traffic in Row ",O20, ".")</f>
        <v>Calculated as % change for CBD-bound trips in Row 122, multiplied by CBD-bound trips' share of traffic in Row 20.</v>
      </c>
      <c r="O124" s="117">
        <f t="shared" si="6"/>
        <v>124</v>
      </c>
    </row>
    <row r="125" spans="2:15" ht="14.1" customHeight="1">
      <c r="O125" s="117">
        <f t="shared" si="6"/>
        <v>125</v>
      </c>
    </row>
    <row r="126" spans="2:15" ht="14.1" customHeight="1">
      <c r="B126" s="2" t="s">
        <v>4887</v>
      </c>
      <c r="O126" s="117">
        <f t="shared" si="6"/>
        <v>126</v>
      </c>
    </row>
    <row r="127" spans="2:15" ht="14.1" customHeight="1">
      <c r="B127" s="2"/>
      <c r="O127" s="117">
        <f t="shared" si="6"/>
        <v>127</v>
      </c>
    </row>
    <row r="128" spans="2:15" ht="14.1" customHeight="1">
      <c r="B128" s="4071" t="s">
        <v>5954</v>
      </c>
      <c r="C128" s="3659"/>
      <c r="D128" s="3659"/>
      <c r="E128" s="3659"/>
      <c r="F128" s="3659"/>
      <c r="G128" s="3659"/>
      <c r="H128" s="3659"/>
      <c r="I128" s="3659"/>
      <c r="J128" s="3659"/>
      <c r="K128" s="3659"/>
      <c r="L128" s="3659"/>
      <c r="O128" s="117">
        <f t="shared" si="6"/>
        <v>128</v>
      </c>
    </row>
    <row r="129" spans="2:15" ht="14.1" customHeight="1">
      <c r="B129" s="3659"/>
      <c r="C129" s="3659"/>
      <c r="D129" s="3659"/>
      <c r="E129" s="3659"/>
      <c r="F129" s="3659"/>
      <c r="G129" s="3659"/>
      <c r="H129" s="3659"/>
      <c r="I129" s="3659"/>
      <c r="J129" s="3659"/>
      <c r="K129" s="3659"/>
      <c r="L129" s="3659"/>
      <c r="O129" s="117">
        <f t="shared" si="6"/>
        <v>129</v>
      </c>
    </row>
    <row r="130" spans="2:15" ht="14.1" customHeight="1">
      <c r="B130" s="3659"/>
      <c r="C130" s="3659"/>
      <c r="D130" s="3659"/>
      <c r="E130" s="3659"/>
      <c r="F130" s="3659"/>
      <c r="G130" s="3659"/>
      <c r="H130" s="3659"/>
      <c r="I130" s="3659"/>
      <c r="J130" s="3659"/>
      <c r="K130" s="3659"/>
      <c r="L130" s="3659"/>
      <c r="O130" s="117">
        <f t="shared" si="6"/>
        <v>130</v>
      </c>
    </row>
    <row r="131" spans="2:15" ht="14.1" customHeight="1">
      <c r="B131" s="2868"/>
      <c r="C131" s="2868"/>
      <c r="D131" s="2868"/>
      <c r="E131" s="2868"/>
      <c r="F131" s="2868"/>
      <c r="G131" s="2868"/>
      <c r="H131" s="2868"/>
      <c r="I131" s="2868"/>
      <c r="J131" s="2868"/>
      <c r="K131" s="2868"/>
      <c r="L131" s="2868"/>
      <c r="O131" s="117">
        <f t="shared" si="6"/>
        <v>131</v>
      </c>
    </row>
    <row r="132" spans="2:15" ht="14.1" customHeight="1">
      <c r="B132" s="4071" t="s">
        <v>4905</v>
      </c>
      <c r="C132" s="3659"/>
      <c r="D132" s="3659"/>
      <c r="E132" s="3659"/>
      <c r="F132" s="3659"/>
      <c r="G132" s="3659"/>
      <c r="H132" s="3659"/>
      <c r="I132" s="3659"/>
      <c r="J132" s="3659"/>
      <c r="K132" s="3659"/>
      <c r="L132" s="3659"/>
      <c r="O132" s="117">
        <f t="shared" si="6"/>
        <v>132</v>
      </c>
    </row>
    <row r="133" spans="2:15" ht="14.1" customHeight="1">
      <c r="B133" s="3659"/>
      <c r="C133" s="3659"/>
      <c r="D133" s="3659"/>
      <c r="E133" s="3659"/>
      <c r="F133" s="3659"/>
      <c r="G133" s="3659"/>
      <c r="H133" s="3659"/>
      <c r="I133" s="3659"/>
      <c r="J133" s="3659"/>
      <c r="K133" s="3659"/>
      <c r="L133" s="3659"/>
      <c r="O133" s="117">
        <f t="shared" si="6"/>
        <v>133</v>
      </c>
    </row>
    <row r="134" spans="2:15" ht="14.1" customHeight="1">
      <c r="B134" s="3659"/>
      <c r="C134" s="3659"/>
      <c r="D134" s="3659"/>
      <c r="E134" s="3659"/>
      <c r="F134" s="3659"/>
      <c r="G134" s="3659"/>
      <c r="H134" s="3659"/>
      <c r="I134" s="3659"/>
      <c r="J134" s="3659"/>
      <c r="K134" s="3659"/>
      <c r="L134" s="3659"/>
      <c r="O134" s="117">
        <f t="shared" si="6"/>
        <v>134</v>
      </c>
    </row>
    <row r="135" spans="2:15" ht="14.1" customHeight="1">
      <c r="B135" s="2868"/>
      <c r="C135" s="2868"/>
      <c r="D135" s="2868"/>
      <c r="E135" s="2868"/>
      <c r="F135" s="2868"/>
      <c r="G135" s="2868"/>
      <c r="H135" s="2868"/>
      <c r="I135" s="2868"/>
      <c r="J135" s="2868"/>
      <c r="K135" s="2868"/>
      <c r="L135" s="2868"/>
      <c r="O135" s="117">
        <f t="shared" si="6"/>
        <v>135</v>
      </c>
    </row>
    <row r="136" spans="2:15" ht="14.1" customHeight="1">
      <c r="B136" s="4071" t="s">
        <v>4906</v>
      </c>
      <c r="C136" s="3659"/>
      <c r="D136" s="3659"/>
      <c r="E136" s="3659"/>
      <c r="F136" s="3659"/>
      <c r="G136" s="3659"/>
      <c r="H136" s="3659"/>
      <c r="I136" s="3659"/>
      <c r="J136" s="3659"/>
      <c r="K136" s="3659"/>
      <c r="L136" s="3659"/>
      <c r="O136" s="117">
        <f t="shared" si="6"/>
        <v>136</v>
      </c>
    </row>
    <row r="137" spans="2:15" ht="14.1" customHeight="1">
      <c r="B137" s="3659"/>
      <c r="C137" s="3659"/>
      <c r="D137" s="3659"/>
      <c r="E137" s="3659"/>
      <c r="F137" s="3659"/>
      <c r="G137" s="3659"/>
      <c r="H137" s="3659"/>
      <c r="I137" s="3659"/>
      <c r="J137" s="3659"/>
      <c r="K137" s="3659"/>
      <c r="L137" s="3659"/>
      <c r="O137" s="117">
        <f t="shared" si="6"/>
        <v>137</v>
      </c>
    </row>
    <row r="138" spans="2:15" ht="14.1" customHeight="1">
      <c r="B138" s="3659"/>
      <c r="C138" s="3659"/>
      <c r="D138" s="3659"/>
      <c r="E138" s="3659"/>
      <c r="F138" s="3659"/>
      <c r="G138" s="3659"/>
      <c r="H138" s="3659"/>
      <c r="I138" s="3659"/>
      <c r="J138" s="3659"/>
      <c r="K138" s="3659"/>
      <c r="L138" s="3659"/>
      <c r="O138" s="117">
        <f t="shared" si="6"/>
        <v>138</v>
      </c>
    </row>
    <row r="139" spans="2:15" ht="14.1" customHeight="1">
      <c r="B139" s="3659"/>
      <c r="C139" s="3659"/>
      <c r="D139" s="3659"/>
      <c r="E139" s="3659"/>
      <c r="F139" s="3659"/>
      <c r="G139" s="3659"/>
      <c r="H139" s="3659"/>
      <c r="I139" s="3659"/>
      <c r="J139" s="3659"/>
      <c r="K139" s="3659"/>
      <c r="L139" s="3659"/>
      <c r="O139" s="117">
        <f t="shared" si="6"/>
        <v>139</v>
      </c>
    </row>
    <row r="140" spans="2:15" ht="14.1" customHeight="1">
      <c r="O140" s="117">
        <f t="shared" si="6"/>
        <v>140</v>
      </c>
    </row>
    <row r="141" spans="2:15" ht="14.1" customHeight="1">
      <c r="B141" s="2" t="s">
        <v>4899</v>
      </c>
      <c r="G141" s="4542">
        <v>1</v>
      </c>
      <c r="H141" s="4543"/>
      <c r="I141" s="4544">
        <v>2</v>
      </c>
      <c r="J141" s="4545"/>
      <c r="K141" s="4546">
        <v>3</v>
      </c>
      <c r="L141" s="4547"/>
      <c r="M141" s="4526">
        <v>4</v>
      </c>
      <c r="N141" s="4527"/>
      <c r="O141" s="117">
        <f t="shared" si="6"/>
        <v>141</v>
      </c>
    </row>
    <row r="142" spans="2:15" ht="14.1" customHeight="1">
      <c r="B142" s="7" t="s">
        <v>4907</v>
      </c>
      <c r="G142" s="4554" t="s">
        <v>4898</v>
      </c>
      <c r="H142" s="4555"/>
      <c r="I142" s="4558" t="s">
        <v>4902</v>
      </c>
      <c r="J142" s="4559"/>
      <c r="K142" s="4535" t="s">
        <v>4903</v>
      </c>
      <c r="L142" s="4536"/>
      <c r="M142" s="4528" t="s">
        <v>4904</v>
      </c>
      <c r="N142" s="4529"/>
      <c r="O142" s="117">
        <f t="shared" si="6"/>
        <v>142</v>
      </c>
    </row>
    <row r="143" spans="2:15" ht="14.1" customHeight="1">
      <c r="G143" s="4556"/>
      <c r="H143" s="4557"/>
      <c r="I143" s="4560"/>
      <c r="J143" s="4561"/>
      <c r="K143" s="4537"/>
      <c r="L143" s="4538"/>
      <c r="M143" s="4530"/>
      <c r="N143" s="4531"/>
      <c r="O143" s="117">
        <f t="shared" si="6"/>
        <v>143</v>
      </c>
    </row>
    <row r="144" spans="2:15" ht="14.1" customHeight="1">
      <c r="B144" s="1" t="s">
        <v>4888</v>
      </c>
      <c r="G144" s="2875">
        <v>6.4000000000000001E-2</v>
      </c>
      <c r="H144" s="4548" t="s">
        <v>4908</v>
      </c>
      <c r="I144" s="2877">
        <f ca="1">-Results!F90</f>
        <v>7.0388466978050013E-2</v>
      </c>
      <c r="J144" s="4551" t="str">
        <f>CONCATENATE("Bold figure at top to left is from 'Results' tab, Row ",Results!M90, ", and was derived in 'Motor Vs.' Other fig's are prorated from that figure and those in other column.")</f>
        <v>Bold figure at top to left is from 'Results' tab, Row 90, and was derived in 'Motor Vs.' Other fig's are prorated from that figure and those in other column.</v>
      </c>
      <c r="K144" s="2887">
        <f t="shared" ref="K144:K155" ca="1" si="15">$K$156/$G$156*G144</f>
        <v>0.10028530028056751</v>
      </c>
      <c r="L144" s="4539" t="str">
        <f>CONCATENATE("Bold figure near bottom of column is from 'VMT' tab, Row ",VMT!O22, ". Other figures, including for CBD at top, are prorated from that figure and those in other column.")</f>
        <v>Bold figure near bottom of column is from 'VMT' tab, Row 22. Other figures, including for CBD at top, are prorated from that figure and those in other column.</v>
      </c>
      <c r="M144" s="2885">
        <f t="shared" ref="M144:M157" ca="1" si="16">AVERAGE(I144,K144)</f>
        <v>8.533688362930876E-2</v>
      </c>
      <c r="N144" s="4532" t="str">
        <f>CONCATENATE("Each figure is average of corres-ponding figures in Column Groups 2 and 3. Please do not use figures in Rows ",O144," or ",O156, ". Use boxed figs in Groups 2 &amp; 3 instead.")</f>
        <v>Each figure is average of corres-ponding figures in Column Groups 2 and 3. Please do not use figures in Rows 144 or 156. Use boxed figs in Groups 2 &amp; 3 instead.</v>
      </c>
      <c r="O144" s="117">
        <f t="shared" si="6"/>
        <v>144</v>
      </c>
    </row>
    <row r="145" spans="2:15" ht="14.1" customHeight="1">
      <c r="B145" s="1" t="s">
        <v>4889</v>
      </c>
      <c r="G145" s="2875">
        <v>3.7999999999999999E-2</v>
      </c>
      <c r="H145" s="4549"/>
      <c r="I145" s="2878">
        <f t="shared" ref="I145:I157" ca="1" si="17">$I$144/$G$144*G145</f>
        <v>4.1793152268217192E-2</v>
      </c>
      <c r="J145" s="4552"/>
      <c r="K145" s="2880">
        <f t="shared" ca="1" si="15"/>
        <v>5.9544397041586962E-2</v>
      </c>
      <c r="L145" s="4540"/>
      <c r="M145" s="2883">
        <f t="shared" ca="1" si="16"/>
        <v>5.0668774654902077E-2</v>
      </c>
      <c r="N145" s="4533"/>
      <c r="O145" s="117">
        <f t="shared" si="6"/>
        <v>145</v>
      </c>
    </row>
    <row r="146" spans="2:15" ht="14.1" customHeight="1">
      <c r="B146" s="1" t="s">
        <v>1485</v>
      </c>
      <c r="G146" s="2875">
        <v>1.2999999999999999E-2</v>
      </c>
      <c r="H146" s="4549"/>
      <c r="I146" s="2878">
        <f t="shared" ca="1" si="17"/>
        <v>1.4297657354916407E-2</v>
      </c>
      <c r="J146" s="4552"/>
      <c r="K146" s="2880">
        <f t="shared" ca="1" si="15"/>
        <v>2.0370451619490276E-2</v>
      </c>
      <c r="L146" s="4540"/>
      <c r="M146" s="2883">
        <f t="shared" ca="1" si="16"/>
        <v>1.7334054487203342E-2</v>
      </c>
      <c r="N146" s="4533"/>
      <c r="O146" s="117">
        <f t="shared" si="6"/>
        <v>146</v>
      </c>
    </row>
    <row r="147" spans="2:15" ht="14.1" customHeight="1">
      <c r="B147" s="1" t="s">
        <v>4890</v>
      </c>
      <c r="G147" s="2875">
        <v>4.7E-2</v>
      </c>
      <c r="H147" s="4549"/>
      <c r="I147" s="2878">
        <f t="shared" ca="1" si="17"/>
        <v>5.1691530437005473E-2</v>
      </c>
      <c r="J147" s="4552"/>
      <c r="K147" s="2880">
        <f t="shared" ca="1" si="15"/>
        <v>7.3647017393541764E-2</v>
      </c>
      <c r="L147" s="4540"/>
      <c r="M147" s="2883">
        <f t="shared" ca="1" si="16"/>
        <v>6.2669273915273618E-2</v>
      </c>
      <c r="N147" s="4533"/>
      <c r="O147" s="117">
        <f t="shared" ref="O147:O160" si="18">ROW(P147)</f>
        <v>147</v>
      </c>
    </row>
    <row r="148" spans="2:15" ht="14.1" customHeight="1">
      <c r="B148" s="1" t="s">
        <v>4891</v>
      </c>
      <c r="G148" s="2875">
        <v>1.0999999999999999E-2</v>
      </c>
      <c r="H148" s="4549"/>
      <c r="I148" s="2878">
        <f t="shared" ca="1" si="17"/>
        <v>1.2098017761852344E-2</v>
      </c>
      <c r="J148" s="4552"/>
      <c r="K148" s="2880">
        <f t="shared" ca="1" si="15"/>
        <v>1.7236535985722539E-2</v>
      </c>
      <c r="L148" s="4540"/>
      <c r="M148" s="2883">
        <f t="shared" ca="1" si="16"/>
        <v>1.4667276873787442E-2</v>
      </c>
      <c r="N148" s="4533"/>
      <c r="O148" s="117">
        <f t="shared" si="18"/>
        <v>148</v>
      </c>
    </row>
    <row r="149" spans="2:15" ht="14.1" customHeight="1">
      <c r="B149" s="1" t="s">
        <v>4892</v>
      </c>
      <c r="G149" s="2875">
        <v>6.0999999999999999E-2</v>
      </c>
      <c r="H149" s="4549"/>
      <c r="I149" s="2878">
        <f t="shared" ca="1" si="17"/>
        <v>6.7089007588453903E-2</v>
      </c>
      <c r="J149" s="4552"/>
      <c r="K149" s="2880">
        <f t="shared" ca="1" si="15"/>
        <v>9.5584426829915914E-2</v>
      </c>
      <c r="L149" s="4540"/>
      <c r="M149" s="2883">
        <f t="shared" ca="1" si="16"/>
        <v>8.1336717209184908E-2</v>
      </c>
      <c r="N149" s="4533"/>
      <c r="O149" s="117">
        <f t="shared" si="18"/>
        <v>149</v>
      </c>
    </row>
    <row r="150" spans="2:15" ht="14.1" customHeight="1">
      <c r="B150" s="1" t="s">
        <v>4893</v>
      </c>
      <c r="G150" s="2875">
        <v>8.9999999999999993E-3</v>
      </c>
      <c r="H150" s="4549"/>
      <c r="I150" s="2878">
        <f t="shared" ca="1" si="17"/>
        <v>9.8983781687882813E-3</v>
      </c>
      <c r="J150" s="4552"/>
      <c r="K150" s="2880">
        <f t="shared" ca="1" si="15"/>
        <v>1.4102620351954805E-2</v>
      </c>
      <c r="L150" s="4540"/>
      <c r="M150" s="2883">
        <f t="shared" ca="1" si="16"/>
        <v>1.2000499260371543E-2</v>
      </c>
      <c r="N150" s="4533"/>
      <c r="O150" s="117">
        <f t="shared" si="18"/>
        <v>150</v>
      </c>
    </row>
    <row r="151" spans="2:15" ht="14.1" customHeight="1">
      <c r="B151" s="1" t="s">
        <v>1487</v>
      </c>
      <c r="G151" s="2875">
        <v>0.01</v>
      </c>
      <c r="H151" s="4549"/>
      <c r="I151" s="2878">
        <f t="shared" ca="1" si="17"/>
        <v>1.0998197965320313E-2</v>
      </c>
      <c r="J151" s="4552"/>
      <c r="K151" s="2880">
        <f t="shared" ca="1" si="15"/>
        <v>1.5669578168838676E-2</v>
      </c>
      <c r="L151" s="4540"/>
      <c r="M151" s="2883">
        <f t="shared" ca="1" si="16"/>
        <v>1.3333888067079493E-2</v>
      </c>
      <c r="N151" s="4533"/>
      <c r="O151" s="117">
        <f t="shared" si="18"/>
        <v>151</v>
      </c>
    </row>
    <row r="152" spans="2:15" ht="14.1" customHeight="1">
      <c r="B152" s="1" t="s">
        <v>1123</v>
      </c>
      <c r="G152" s="2875">
        <v>3.0000000000000001E-3</v>
      </c>
      <c r="H152" s="4549"/>
      <c r="I152" s="2878">
        <f t="shared" ca="1" si="17"/>
        <v>3.2994593895960939E-3</v>
      </c>
      <c r="J152" s="4552"/>
      <c r="K152" s="2880">
        <f t="shared" ca="1" si="15"/>
        <v>4.7008734506516024E-3</v>
      </c>
      <c r="L152" s="4540"/>
      <c r="M152" s="2883">
        <f t="shared" ca="1" si="16"/>
        <v>4.0001664201238483E-3</v>
      </c>
      <c r="N152" s="4533"/>
      <c r="O152" s="117">
        <f t="shared" si="18"/>
        <v>152</v>
      </c>
    </row>
    <row r="153" spans="2:15" ht="14.1" customHeight="1">
      <c r="B153" s="1" t="s">
        <v>1915</v>
      </c>
      <c r="G153" s="2875">
        <v>3.0000000000000001E-3</v>
      </c>
      <c r="H153" s="4549"/>
      <c r="I153" s="2878">
        <f t="shared" ca="1" si="17"/>
        <v>3.2994593895960939E-3</v>
      </c>
      <c r="J153" s="4552"/>
      <c r="K153" s="2880">
        <f t="shared" ca="1" si="15"/>
        <v>4.7008734506516024E-3</v>
      </c>
      <c r="L153" s="4540"/>
      <c r="M153" s="2883">
        <f t="shared" ca="1" si="16"/>
        <v>4.0001664201238483E-3</v>
      </c>
      <c r="N153" s="4533"/>
      <c r="O153" s="117">
        <f t="shared" si="18"/>
        <v>153</v>
      </c>
    </row>
    <row r="154" spans="2:15" ht="14.1" customHeight="1">
      <c r="B154" s="1" t="s">
        <v>4894</v>
      </c>
      <c r="G154" s="2875">
        <v>4.0000000000000001E-3</v>
      </c>
      <c r="H154" s="4549"/>
      <c r="I154" s="2878">
        <f t="shared" ca="1" si="17"/>
        <v>4.3992791861281258E-3</v>
      </c>
      <c r="J154" s="4552"/>
      <c r="K154" s="2880">
        <f t="shared" ca="1" si="15"/>
        <v>6.2678312675354692E-3</v>
      </c>
      <c r="L154" s="4540"/>
      <c r="M154" s="2883">
        <f t="shared" ca="1" si="16"/>
        <v>5.3335552268317975E-3</v>
      </c>
      <c r="N154" s="4533"/>
      <c r="O154" s="117">
        <f t="shared" si="18"/>
        <v>154</v>
      </c>
    </row>
    <row r="155" spans="2:15" ht="14.1" customHeight="1">
      <c r="B155" s="1" t="s">
        <v>4897</v>
      </c>
      <c r="G155" s="2875">
        <v>2E-3</v>
      </c>
      <c r="H155" s="4549"/>
      <c r="I155" s="2878">
        <f t="shared" ca="1" si="17"/>
        <v>2.1996395930640629E-3</v>
      </c>
      <c r="J155" s="4552"/>
      <c r="K155" s="2880">
        <f t="shared" ca="1" si="15"/>
        <v>3.1339156337677346E-3</v>
      </c>
      <c r="L155" s="4540"/>
      <c r="M155" s="2883">
        <f t="shared" ca="1" si="16"/>
        <v>2.6667776134158988E-3</v>
      </c>
      <c r="N155" s="4533"/>
      <c r="O155" s="117">
        <f t="shared" si="18"/>
        <v>155</v>
      </c>
    </row>
    <row r="156" spans="2:15" ht="14.1" customHeight="1">
      <c r="B156" s="1" t="s">
        <v>1552</v>
      </c>
      <c r="G156" s="2875">
        <v>2.1000000000000001E-2</v>
      </c>
      <c r="H156" s="4549"/>
      <c r="I156" s="2886">
        <f t="shared" ca="1" si="17"/>
        <v>2.3096215727172659E-2</v>
      </c>
      <c r="J156" s="4552"/>
      <c r="K156" s="2881">
        <f ca="1">-VMT!L22</f>
        <v>3.2906114154561225E-2</v>
      </c>
      <c r="L156" s="4540"/>
      <c r="M156" s="2885">
        <f t="shared" ca="1" si="16"/>
        <v>2.8001164940866942E-2</v>
      </c>
      <c r="N156" s="4533"/>
      <c r="O156" s="117">
        <f t="shared" si="18"/>
        <v>156</v>
      </c>
    </row>
    <row r="157" spans="2:15" ht="14.1" customHeight="1">
      <c r="B157" s="1" t="s">
        <v>3332</v>
      </c>
      <c r="G157" s="2876">
        <v>3.0000000000000001E-3</v>
      </c>
      <c r="H157" s="4550"/>
      <c r="I157" s="2879">
        <f t="shared" ca="1" si="17"/>
        <v>3.2994593895960939E-3</v>
      </c>
      <c r="J157" s="4553"/>
      <c r="K157" s="2882">
        <f ca="1">$I$144/$G$144*I157</f>
        <v>3.6288107545312761E-3</v>
      </c>
      <c r="L157" s="4541"/>
      <c r="M157" s="2884">
        <f t="shared" ca="1" si="16"/>
        <v>3.464135072063685E-3</v>
      </c>
      <c r="N157" s="4534"/>
      <c r="O157" s="117">
        <f t="shared" si="18"/>
        <v>157</v>
      </c>
    </row>
    <row r="158" spans="2:15" ht="14.1" customHeight="1">
      <c r="O158" s="117">
        <f t="shared" si="18"/>
        <v>158</v>
      </c>
    </row>
    <row r="159" spans="2:15" ht="14.1" customHeight="1">
      <c r="B159" s="7" t="s">
        <v>4895</v>
      </c>
      <c r="O159" s="117">
        <f t="shared" si="18"/>
        <v>159</v>
      </c>
    </row>
    <row r="160" spans="2:15" ht="14.1" customHeight="1">
      <c r="B160" s="7" t="s">
        <v>4896</v>
      </c>
      <c r="O160" s="117">
        <f t="shared" si="18"/>
        <v>160</v>
      </c>
    </row>
  </sheetData>
  <customSheetViews>
    <customSheetView guid="{BD5E6263-A0AD-4076-921A-D4EBD62848EF}" showRuler="0">
      <selection activeCell="M26" sqref="M26"/>
      <pageMargins left="0.75" right="0.75" top="1" bottom="1" header="0.5" footer="0.5"/>
      <pageSetup orientation="portrait" verticalDpi="1200" r:id="rId1"/>
      <headerFooter alignWithMargins="0"/>
    </customSheetView>
    <customSheetView guid="{1D5AE30A-CA7C-4B32-AEA4-9F37A560AAA8}" showRuler="0">
      <selection activeCell="M26" sqref="M26"/>
      <pageMargins left="0.75" right="0.75" top="1" bottom="1" header="0.5" footer="0.5"/>
      <pageSetup orientation="portrait" verticalDpi="1200" r:id="rId2"/>
      <headerFooter alignWithMargins="0"/>
    </customSheetView>
  </customSheetViews>
  <mergeCells count="43">
    <mergeCell ref="M141:N141"/>
    <mergeCell ref="M142:N143"/>
    <mergeCell ref="N144:N157"/>
    <mergeCell ref="B128:L130"/>
    <mergeCell ref="B132:L134"/>
    <mergeCell ref="B136:L139"/>
    <mergeCell ref="K142:L143"/>
    <mergeCell ref="L144:L157"/>
    <mergeCell ref="G141:H141"/>
    <mergeCell ref="I141:J141"/>
    <mergeCell ref="K141:L141"/>
    <mergeCell ref="H144:H157"/>
    <mergeCell ref="J144:J157"/>
    <mergeCell ref="G142:H143"/>
    <mergeCell ref="I142:J143"/>
    <mergeCell ref="H55:H57"/>
    <mergeCell ref="I55:I57"/>
    <mergeCell ref="J55:J57"/>
    <mergeCell ref="B38:J40"/>
    <mergeCell ref="B42:J44"/>
    <mergeCell ref="B46:J50"/>
    <mergeCell ref="B52:J53"/>
    <mergeCell ref="H85:H86"/>
    <mergeCell ref="B6:J7"/>
    <mergeCell ref="B9:J11"/>
    <mergeCell ref="B12:J12"/>
    <mergeCell ref="H13:M20"/>
    <mergeCell ref="B13:F13"/>
    <mergeCell ref="E15:E17"/>
    <mergeCell ref="F14:F17"/>
    <mergeCell ref="B22:K23"/>
    <mergeCell ref="C55:C57"/>
    <mergeCell ref="D55:D57"/>
    <mergeCell ref="E55:E57"/>
    <mergeCell ref="F55:F57"/>
    <mergeCell ref="G55:G57"/>
    <mergeCell ref="B81:G82"/>
    <mergeCell ref="H81:H82"/>
    <mergeCell ref="H103:H104"/>
    <mergeCell ref="I103:I104"/>
    <mergeCell ref="J103:J104"/>
    <mergeCell ref="B99:J102"/>
    <mergeCell ref="E87:F92"/>
  </mergeCells>
  <phoneticPr fontId="6" type="noConversion"/>
  <pageMargins left="0.75" right="0.75" top="1" bottom="1" header="0.5" footer="0.5"/>
  <pageSetup orientation="portrait" verticalDpi="1200" r:id="rId3"/>
  <headerFooter alignWithMargins="0"/>
</worksheet>
</file>

<file path=xl/worksheets/sheet16.xml><?xml version="1.0" encoding="utf-8"?>
<worksheet xmlns="http://schemas.openxmlformats.org/spreadsheetml/2006/main" xmlns:r="http://schemas.openxmlformats.org/officeDocument/2006/relationships">
  <sheetPr codeName="Sheet46"/>
  <dimension ref="B2:O87"/>
  <sheetViews>
    <sheetView zoomScaleNormal="100" workbookViewId="0"/>
  </sheetViews>
  <sheetFormatPr defaultRowHeight="15" customHeight="1"/>
  <cols>
    <col min="1" max="1" width="2.75" customWidth="1"/>
    <col min="2" max="14" width="12.75" customWidth="1"/>
    <col min="15" max="15" width="2.375" customWidth="1"/>
  </cols>
  <sheetData>
    <row r="2" spans="2:10" ht="15" customHeight="1">
      <c r="B2" s="115" t="s">
        <v>2259</v>
      </c>
      <c r="I2" s="181">
        <f>'Title Page'!K1</f>
        <v>40914</v>
      </c>
    </row>
    <row r="6" spans="2:10" ht="15" customHeight="1">
      <c r="B6" s="4563" t="s">
        <v>4687</v>
      </c>
      <c r="C6" s="4563"/>
      <c r="D6" s="4563"/>
      <c r="E6" s="4563"/>
      <c r="F6" s="4563"/>
      <c r="G6" s="4563"/>
      <c r="H6" s="4563"/>
      <c r="I6" s="4563"/>
    </row>
    <row r="7" spans="2:10" ht="15" customHeight="1">
      <c r="B7" s="4563"/>
      <c r="C7" s="4563"/>
      <c r="D7" s="4563"/>
      <c r="E7" s="4563"/>
      <c r="F7" s="4563"/>
      <c r="G7" s="4563"/>
      <c r="H7" s="4563"/>
      <c r="I7" s="4563"/>
    </row>
    <row r="10" spans="2:10" ht="15" customHeight="1">
      <c r="B10" s="24" t="s">
        <v>4679</v>
      </c>
    </row>
    <row r="11" spans="2:10" ht="15" customHeight="1">
      <c r="B11" s="24"/>
    </row>
    <row r="12" spans="2:10" ht="15" customHeight="1">
      <c r="B12" s="2" t="s">
        <v>4732</v>
      </c>
      <c r="G12" s="1816" t="s">
        <v>2260</v>
      </c>
      <c r="H12" s="1816" t="s">
        <v>2844</v>
      </c>
      <c r="I12" s="1816" t="s">
        <v>2847</v>
      </c>
      <c r="J12" s="2087" t="s">
        <v>536</v>
      </c>
    </row>
    <row r="13" spans="2:10" ht="15" customHeight="1">
      <c r="B13" s="1" t="s">
        <v>4673</v>
      </c>
      <c r="G13" s="25">
        <f>'Value of Time'!L63</f>
        <v>35.758098041474646</v>
      </c>
      <c r="H13" s="25">
        <f>'Value of Time'!L101</f>
        <v>23.838732027649762</v>
      </c>
      <c r="I13" s="25"/>
      <c r="J13" s="7" t="str">
        <f>CONCATENATE("'Value of Time' worksheet, Rows ",'Value of Time'!O63, " and ",'Value of Time'!O101, ".")</f>
        <v>'Value of Time' worksheet, Rows 63 and 101.</v>
      </c>
    </row>
    <row r="14" spans="2:10" ht="15" customHeight="1">
      <c r="B14" s="1" t="s">
        <v>4674</v>
      </c>
      <c r="G14" s="509">
        <f>2*'Motor Vs'!I85</f>
        <v>2.5</v>
      </c>
      <c r="H14" s="509">
        <f>2*'Motor Vs'!I79</f>
        <v>33.800117460779092</v>
      </c>
      <c r="J14" s="7" t="str">
        <f>CONCATENATE("'Motor Vs' worksheet, Rows ",'Motor Vs'!O79, " and ",'Motor Vs'!O85, ".")</f>
        <v>'Motor Vs' worksheet, Rows 79 and 85.</v>
      </c>
    </row>
    <row r="15" spans="2:10" ht="15" customHeight="1">
      <c r="B15" t="s">
        <v>181</v>
      </c>
      <c r="G15" s="509">
        <f>'Motor Vs'!K188</f>
        <v>10.502037542577714</v>
      </c>
      <c r="H15" s="509">
        <f>'Motor Vs'!K204</f>
        <v>20.784928325827366</v>
      </c>
      <c r="I15" s="509"/>
      <c r="J15" s="7" t="str">
        <f>CONCATENATE("'Motor Vs' worksheet, Rows ",'Motor Vs'!O188, " and ",'Motor Vs'!O204, ".")</f>
        <v>'Motor Vs' worksheet, Rows 188 and 204.</v>
      </c>
    </row>
    <row r="16" spans="2:10" ht="15" customHeight="1">
      <c r="B16" t="s">
        <v>182</v>
      </c>
      <c r="G16" s="509">
        <f ca="1">'Motor Vs'!H934</f>
        <v>12.218785405623395</v>
      </c>
      <c r="H16" s="509">
        <f ca="1">'Motor Vs'!H939</f>
        <v>22.07742960977286</v>
      </c>
      <c r="I16" s="509"/>
      <c r="J16" s="7" t="str">
        <f>CONCATENATE("'Motor Vs' worksheet, Rows ",'Motor Vs'!O934, " and ",'Motor Vs'!O939, ".")</f>
        <v>'Motor Vs' worksheet, Rows 934 and 939.</v>
      </c>
    </row>
    <row r="17" spans="2:10" ht="15" customHeight="1">
      <c r="B17" t="s">
        <v>2845</v>
      </c>
      <c r="G17" s="509">
        <f>G$14*60/G15</f>
        <v>14.28294265678112</v>
      </c>
      <c r="H17" s="509">
        <f>H$14*60/H15</f>
        <v>97.571038776532248</v>
      </c>
      <c r="I17" s="509">
        <f>G17+H17</f>
        <v>111.85398143331336</v>
      </c>
      <c r="J17" s="7" t="s">
        <v>4675</v>
      </c>
    </row>
    <row r="18" spans="2:10" ht="15" customHeight="1">
      <c r="B18" t="s">
        <v>2846</v>
      </c>
      <c r="G18" s="509">
        <f ca="1">G$14*60/G16</f>
        <v>12.276179261726472</v>
      </c>
      <c r="H18" s="509">
        <f ca="1">H$14*60/H16</f>
        <v>91.858838800193567</v>
      </c>
      <c r="I18" s="509">
        <f ca="1">G18+H18</f>
        <v>104.13501806192004</v>
      </c>
      <c r="J18" s="7" t="s">
        <v>4675</v>
      </c>
    </row>
    <row r="19" spans="2:10" ht="15" customHeight="1">
      <c r="B19" t="s">
        <v>178</v>
      </c>
      <c r="G19" s="509">
        <f ca="1">G17-G18</f>
        <v>2.006763395054648</v>
      </c>
      <c r="H19" s="509">
        <f ca="1">H17-H18</f>
        <v>5.712199976338681</v>
      </c>
      <c r="I19" s="509">
        <f ca="1">G19+H19</f>
        <v>7.718963371393329</v>
      </c>
      <c r="J19" s="7" t="s">
        <v>4675</v>
      </c>
    </row>
    <row r="20" spans="2:10" ht="15" customHeight="1">
      <c r="B20" t="s">
        <v>179</v>
      </c>
      <c r="G20" s="206">
        <f ca="1">G19/60</f>
        <v>3.3446056584244134E-2</v>
      </c>
      <c r="H20" s="206">
        <f ca="1">H19/60</f>
        <v>9.5203332938978022E-2</v>
      </c>
      <c r="I20" s="206">
        <f ca="1">I19/60</f>
        <v>0.12864938952322216</v>
      </c>
      <c r="J20" s="7" t="s">
        <v>4675</v>
      </c>
    </row>
    <row r="21" spans="2:10" ht="15" customHeight="1">
      <c r="B21" s="1" t="s">
        <v>4731</v>
      </c>
      <c r="G21" s="12">
        <f ca="1">G19/G17</f>
        <v>0.14050069675956417</v>
      </c>
      <c r="H21" s="12">
        <f ca="1">H19/H17</f>
        <v>5.8544011091461061E-2</v>
      </c>
      <c r="I21" s="12">
        <f ca="1">I19/I17</f>
        <v>6.9009285789217306E-2</v>
      </c>
      <c r="J21" s="7" t="s">
        <v>4675</v>
      </c>
    </row>
    <row r="22" spans="2:10" ht="15" customHeight="1">
      <c r="B22" s="6" t="s">
        <v>180</v>
      </c>
      <c r="G22" s="25">
        <f ca="1">G20*G13</f>
        <v>1.1959673704401104</v>
      </c>
      <c r="H22" s="25">
        <f ca="1">H20*H13</f>
        <v>2.2695267420714189</v>
      </c>
      <c r="I22" s="1376">
        <f ca="1">G22+H22</f>
        <v>3.4654941125115295</v>
      </c>
      <c r="J22" s="7" t="s">
        <v>4675</v>
      </c>
    </row>
    <row r="23" spans="2:10" ht="15" customHeight="1">
      <c r="B23" s="2" t="s">
        <v>4681</v>
      </c>
      <c r="I23" s="1377">
        <f>'Motor Vs'!W291</f>
        <v>6.6815191653829036</v>
      </c>
      <c r="J23" s="7" t="str">
        <f>CONCATENATE("'Motor Vs' worksheet, Cell W",'Motor Vs'!O291, ".")</f>
        <v>'Motor Vs' worksheet, Cell W291.</v>
      </c>
    </row>
    <row r="25" spans="2:10" ht="15" customHeight="1">
      <c r="B25" s="3787" t="s">
        <v>5733</v>
      </c>
      <c r="C25" s="3779"/>
      <c r="D25" s="3779"/>
      <c r="E25" s="3779"/>
      <c r="F25" s="3779"/>
      <c r="G25" s="3779"/>
      <c r="H25" s="3779"/>
      <c r="I25" s="3779"/>
    </row>
    <row r="26" spans="2:10" ht="15" customHeight="1">
      <c r="B26" s="3779"/>
      <c r="C26" s="3779"/>
      <c r="D26" s="3779"/>
      <c r="E26" s="3779"/>
      <c r="F26" s="3779"/>
      <c r="G26" s="3779"/>
      <c r="H26" s="3779"/>
      <c r="I26" s="3779"/>
    </row>
    <row r="27" spans="2:10" ht="15" customHeight="1">
      <c r="B27" s="3779"/>
      <c r="C27" s="3779"/>
      <c r="D27" s="3779"/>
      <c r="E27" s="3779"/>
      <c r="F27" s="3779"/>
      <c r="G27" s="3779"/>
      <c r="H27" s="3779"/>
      <c r="I27" s="3779"/>
    </row>
    <row r="28" spans="2:10" ht="15" customHeight="1">
      <c r="B28" s="3016"/>
      <c r="C28" s="3016"/>
      <c r="D28" s="3016"/>
      <c r="E28" s="3016"/>
      <c r="F28" s="3016"/>
      <c r="G28" s="3016"/>
      <c r="H28" s="3016"/>
      <c r="I28" s="3016"/>
    </row>
    <row r="29" spans="2:10" ht="15" customHeight="1">
      <c r="B29" s="3787" t="s">
        <v>5834</v>
      </c>
      <c r="C29" s="3779"/>
      <c r="D29" s="3779"/>
      <c r="E29" s="3779"/>
      <c r="F29" s="3779"/>
      <c r="G29" s="3779"/>
      <c r="H29" s="3779"/>
      <c r="I29" s="3779"/>
    </row>
    <row r="30" spans="2:10" ht="15" customHeight="1">
      <c r="B30" s="3779"/>
      <c r="C30" s="3779"/>
      <c r="D30" s="3779"/>
      <c r="E30" s="3779"/>
      <c r="F30" s="3779"/>
      <c r="G30" s="3779"/>
      <c r="H30" s="3779"/>
      <c r="I30" s="3779"/>
    </row>
    <row r="31" spans="2:10" ht="15" customHeight="1">
      <c r="B31" s="3779"/>
      <c r="C31" s="3779"/>
      <c r="D31" s="3779"/>
      <c r="E31" s="3779"/>
      <c r="F31" s="3779"/>
      <c r="G31" s="3779"/>
      <c r="H31" s="3779"/>
      <c r="I31" s="3779"/>
    </row>
    <row r="32" spans="2:10" ht="15" customHeight="1">
      <c r="B32" s="3779"/>
      <c r="C32" s="3779"/>
      <c r="D32" s="3779"/>
      <c r="E32" s="3779"/>
      <c r="F32" s="3779"/>
      <c r="G32" s="3779"/>
      <c r="H32" s="3779"/>
      <c r="I32" s="3779"/>
    </row>
    <row r="33" spans="2:12" ht="15" customHeight="1">
      <c r="B33" s="3779"/>
      <c r="C33" s="3779"/>
      <c r="D33" s="3779"/>
      <c r="E33" s="3779"/>
      <c r="F33" s="3779"/>
      <c r="G33" s="3779"/>
      <c r="H33" s="3779"/>
      <c r="I33" s="3779"/>
    </row>
    <row r="35" spans="2:12" ht="15" customHeight="1">
      <c r="B35" s="3779" t="s">
        <v>524</v>
      </c>
      <c r="C35" s="3779"/>
      <c r="D35" s="3779"/>
      <c r="E35" s="3779"/>
      <c r="F35" s="3779"/>
      <c r="G35" s="3779"/>
      <c r="H35" s="3779"/>
      <c r="I35" s="3779"/>
    </row>
    <row r="36" spans="2:12" ht="15" customHeight="1">
      <c r="B36" s="3779"/>
      <c r="C36" s="3779"/>
      <c r="D36" s="3779"/>
      <c r="E36" s="3779"/>
      <c r="F36" s="3779"/>
      <c r="G36" s="3779"/>
      <c r="H36" s="3779"/>
      <c r="I36" s="3779"/>
    </row>
    <row r="37" spans="2:12" ht="15" customHeight="1">
      <c r="B37" s="3779"/>
      <c r="C37" s="3779"/>
      <c r="D37" s="3779"/>
      <c r="E37" s="3779"/>
      <c r="F37" s="3779"/>
      <c r="G37" s="3779"/>
      <c r="H37" s="3779"/>
      <c r="I37" s="3779"/>
    </row>
    <row r="38" spans="2:12" ht="15" customHeight="1">
      <c r="G38" s="4564" t="s">
        <v>4734</v>
      </c>
      <c r="H38" s="4565"/>
      <c r="I38" s="4566" t="s">
        <v>6059</v>
      </c>
      <c r="J38" s="4567"/>
    </row>
    <row r="39" spans="2:12" ht="15" customHeight="1">
      <c r="B39" s="2" t="s">
        <v>4733</v>
      </c>
      <c r="G39" s="2816" t="s">
        <v>2260</v>
      </c>
      <c r="H39" s="2817" t="s">
        <v>2844</v>
      </c>
      <c r="I39" s="2824" t="s">
        <v>2260</v>
      </c>
      <c r="J39" s="2825" t="s">
        <v>2844</v>
      </c>
      <c r="K39" s="1816" t="s">
        <v>2847</v>
      </c>
      <c r="L39" s="2087" t="s">
        <v>536</v>
      </c>
    </row>
    <row r="40" spans="2:12" ht="15" customHeight="1">
      <c r="B40" s="1" t="s">
        <v>4673</v>
      </c>
      <c r="G40" s="2818">
        <f>'Value of Time'!L63</f>
        <v>35.758098041474646</v>
      </c>
      <c r="H40" s="2818">
        <f>'Value of Time'!L101</f>
        <v>23.838732027649762</v>
      </c>
      <c r="I40" s="2826">
        <f>G40</f>
        <v>35.758098041474646</v>
      </c>
      <c r="J40" s="2826">
        <f>H40</f>
        <v>23.838732027649762</v>
      </c>
      <c r="K40" s="25"/>
      <c r="L40" s="7" t="str">
        <f>CONCATENATE("'Value of Time' worksheet, Rows ",'Value of Time'!O91, " and ",'Value of Time'!O129, ".")</f>
        <v>'Value of Time' worksheet, Rows 91 and 129.</v>
      </c>
    </row>
    <row r="41" spans="2:12" ht="15" customHeight="1">
      <c r="B41" s="1" t="s">
        <v>4735</v>
      </c>
      <c r="G41" s="2819">
        <f>'Motor Vs'!I85</f>
        <v>1.25</v>
      </c>
      <c r="H41" s="2820">
        <f>'Motor Vs'!I79</f>
        <v>16.900058730389546</v>
      </c>
      <c r="I41" s="2827">
        <f>G41</f>
        <v>1.25</v>
      </c>
      <c r="J41" s="2827">
        <f>H41</f>
        <v>16.900058730389546</v>
      </c>
      <c r="L41" s="7" t="str">
        <f>CONCATENATE("'Motor Vs' worksheet, Rows ",'Motor Vs'!O79, " and ",'Motor Vs'!O85, ".")</f>
        <v>'Motor Vs' worksheet, Rows 79 and 85.</v>
      </c>
    </row>
    <row r="42" spans="2:12" ht="15" customHeight="1">
      <c r="B42" t="s">
        <v>181</v>
      </c>
      <c r="G42" s="2820">
        <f>'Motor Vs'!I184</f>
        <v>9.18464960823135</v>
      </c>
      <c r="H42" s="2820">
        <f>'Motor Vs'!I200</f>
        <v>17.071636237590194</v>
      </c>
      <c r="I42" s="2828">
        <f>'Motor Vs'!L184</f>
        <v>8.1810393307876197</v>
      </c>
      <c r="J42" s="2828">
        <f>'Motor Vs'!L200</f>
        <v>15.481363917407503</v>
      </c>
      <c r="K42" s="509"/>
      <c r="L42" s="7" t="str">
        <f>CONCATENATE("'Motor Vs' worksheet, Rows ",'Motor Vs'!O184, " and ",'Motor Vs'!O200, ".")</f>
        <v>'Motor Vs' worksheet, Rows 184 and 200.</v>
      </c>
    </row>
    <row r="43" spans="2:12" ht="15" customHeight="1">
      <c r="B43" t="s">
        <v>182</v>
      </c>
      <c r="G43" s="2820">
        <f ca="1">'Motor Vs'!I869</f>
        <v>10.964902053667966</v>
      </c>
      <c r="H43" s="2820">
        <f ca="1">'Motor Vs'!I870</f>
        <v>18.264843405236153</v>
      </c>
      <c r="I43" s="2828">
        <f ca="1">'Motor Vs'!L869</f>
        <v>9.890240850748194</v>
      </c>
      <c r="J43" s="2828">
        <f ca="1">'Motor Vs'!L870</f>
        <v>16.45336060912414</v>
      </c>
      <c r="K43" s="509"/>
      <c r="L43" s="7" t="str">
        <f>CONCATENATE("'Motor Vs' worksheet, Rows ",'Motor Vs'!O869, " and ",'Motor Vs'!O870, ".")</f>
        <v>'Motor Vs' worksheet, Rows 869 and 870.</v>
      </c>
    </row>
    <row r="44" spans="2:12" ht="15" customHeight="1">
      <c r="B44" t="s">
        <v>2845</v>
      </c>
      <c r="G44" s="2821">
        <f t="shared" ref="G44:J45" si="0">G$41*60/G42</f>
        <v>8.1657987184164824</v>
      </c>
      <c r="H44" s="2821">
        <f t="shared" si="0"/>
        <v>59.396973419022885</v>
      </c>
      <c r="I44" s="2829">
        <f t="shared" si="0"/>
        <v>9.1675393513576307</v>
      </c>
      <c r="J44" s="2829">
        <f t="shared" si="0"/>
        <v>65.498332655510424</v>
      </c>
      <c r="K44" s="509">
        <f>SUM(G44:J44)</f>
        <v>142.22864414430742</v>
      </c>
      <c r="L44" s="7" t="s">
        <v>4675</v>
      </c>
    </row>
    <row r="45" spans="2:12" ht="15" customHeight="1">
      <c r="B45" t="s">
        <v>2846</v>
      </c>
      <c r="G45" s="2821">
        <f t="shared" ca="1" si="0"/>
        <v>6.8400063797114434</v>
      </c>
      <c r="H45" s="2821">
        <f t="shared" ca="1" si="0"/>
        <v>55.516683134150433</v>
      </c>
      <c r="I45" s="2829">
        <f t="shared" ca="1" si="0"/>
        <v>7.5832329193809542</v>
      </c>
      <c r="J45" s="2829">
        <f t="shared" ca="1" si="0"/>
        <v>61.628961275003078</v>
      </c>
      <c r="K45" s="509">
        <f ca="1">SUM(G45:J45)</f>
        <v>131.56888370824589</v>
      </c>
      <c r="L45" s="7" t="s">
        <v>4675</v>
      </c>
    </row>
    <row r="46" spans="2:12" ht="15" customHeight="1">
      <c r="B46" t="s">
        <v>178</v>
      </c>
      <c r="G46" s="2820">
        <f ca="1">G44-G45</f>
        <v>1.325792338705039</v>
      </c>
      <c r="H46" s="2820">
        <f ca="1">H44-H45</f>
        <v>3.8802902848724514</v>
      </c>
      <c r="I46" s="2828">
        <f ca="1">I44-I45</f>
        <v>1.5843064319766764</v>
      </c>
      <c r="J46" s="2828">
        <f ca="1">J44-J45</f>
        <v>3.8693713805073457</v>
      </c>
      <c r="K46" s="509">
        <f ca="1">SUM(G46:J46)</f>
        <v>10.659760436061513</v>
      </c>
      <c r="L46" s="7" t="s">
        <v>4675</v>
      </c>
    </row>
    <row r="47" spans="2:12" ht="15" customHeight="1">
      <c r="B47" t="s">
        <v>179</v>
      </c>
      <c r="G47" s="2822">
        <f ca="1">G46/60</f>
        <v>2.2096538978417315E-2</v>
      </c>
      <c r="H47" s="2822">
        <f ca="1">H46/60</f>
        <v>6.4671504747874184E-2</v>
      </c>
      <c r="I47" s="2830">
        <f ca="1">I46/60</f>
        <v>2.6405107199611273E-2</v>
      </c>
      <c r="J47" s="2830">
        <f ca="1">J46/60</f>
        <v>6.4489523008455757E-2</v>
      </c>
      <c r="K47" s="206">
        <f ca="1">K46/60</f>
        <v>0.17766267393435856</v>
      </c>
      <c r="L47" s="7" t="s">
        <v>4675</v>
      </c>
    </row>
    <row r="48" spans="2:12" ht="15" customHeight="1">
      <c r="B48" s="1" t="s">
        <v>4731</v>
      </c>
      <c r="G48" s="2823">
        <f ca="1">G46/G44</f>
        <v>0.16235917445711148</v>
      </c>
      <c r="H48" s="2823">
        <f ca="1">H46/H44</f>
        <v>6.53280809023465E-2</v>
      </c>
      <c r="I48" s="2831">
        <f ca="1">I46/I44</f>
        <v>0.17281697642694654</v>
      </c>
      <c r="J48" s="2831">
        <f ca="1">J46/J44</f>
        <v>5.9075876035781995E-2</v>
      </c>
      <c r="K48" s="12">
        <f ca="1">K46/K44</f>
        <v>7.4948056351053671E-2</v>
      </c>
      <c r="L48" s="7" t="s">
        <v>4675</v>
      </c>
    </row>
    <row r="49" spans="2:12" ht="15" customHeight="1">
      <c r="B49" s="6" t="s">
        <v>180</v>
      </c>
      <c r="G49" s="2818">
        <f ca="1">G47*G40</f>
        <v>0.79013020716751237</v>
      </c>
      <c r="H49" s="2818">
        <f ca="1">H47*H40</f>
        <v>1.5416866715094519</v>
      </c>
      <c r="I49" s="2832">
        <f ca="1">I47*I40</f>
        <v>0.9441964120393479</v>
      </c>
      <c r="J49" s="2832">
        <f ca="1">J47*J40</f>
        <v>1.5373484575895304</v>
      </c>
      <c r="K49" s="1376">
        <f ca="1">SUM(G49:J49)</f>
        <v>4.8133617483058426</v>
      </c>
      <c r="L49" s="7" t="s">
        <v>4675</v>
      </c>
    </row>
    <row r="50" spans="2:12" ht="15" customHeight="1">
      <c r="B50" s="2" t="s">
        <v>6060</v>
      </c>
      <c r="K50" s="1377">
        <f>'Motor Vs'!R291</f>
        <v>7.3881009949408369</v>
      </c>
      <c r="L50" s="7" t="str">
        <f>CONCATENATE("'Motor Vs' worksheet, Cell R",'Motor Vs'!O291, ".")</f>
        <v>'Motor Vs' worksheet, Cell R291.</v>
      </c>
    </row>
    <row r="52" spans="2:12" ht="15" customHeight="1">
      <c r="B52" s="2814" t="s">
        <v>5734</v>
      </c>
      <c r="C52" s="191"/>
      <c r="D52" s="191"/>
      <c r="E52" s="191"/>
      <c r="F52" s="191"/>
      <c r="G52" s="191"/>
      <c r="H52" s="191"/>
      <c r="I52" s="191"/>
    </row>
    <row r="53" spans="2:12" ht="15" customHeight="1">
      <c r="B53" s="191"/>
      <c r="C53" s="191"/>
      <c r="D53" s="191"/>
      <c r="E53" s="191"/>
      <c r="F53" s="191"/>
      <c r="G53" s="191"/>
      <c r="H53" s="191"/>
      <c r="I53" s="191"/>
    </row>
    <row r="54" spans="2:12" ht="15" customHeight="1">
      <c r="B54" s="24" t="s">
        <v>4680</v>
      </c>
    </row>
    <row r="56" spans="2:12" ht="15" customHeight="1">
      <c r="B56" s="2" t="s">
        <v>4678</v>
      </c>
      <c r="G56" s="1816" t="s">
        <v>2260</v>
      </c>
      <c r="H56" s="1816" t="s">
        <v>2844</v>
      </c>
      <c r="I56" s="1816" t="s">
        <v>2847</v>
      </c>
      <c r="J56" s="2087" t="s">
        <v>536</v>
      </c>
    </row>
    <row r="57" spans="2:12" ht="15" customHeight="1">
      <c r="B57" s="1" t="s">
        <v>4673</v>
      </c>
      <c r="G57" s="25">
        <f>'Value of Time'!L66</f>
        <v>48.213165898617504</v>
      </c>
      <c r="H57" s="25">
        <f>'Value of Time'!L104</f>
        <v>43.391849308755759</v>
      </c>
      <c r="I57" s="25"/>
      <c r="J57" s="7" t="str">
        <f>CONCATENATE("'Value of Time' worksheet, Rows ",'Value of Time'!O66, " and ",'Value of Time'!O104, ".")</f>
        <v>'Value of Time' worksheet, Rows 66 and 104.</v>
      </c>
    </row>
    <row r="58" spans="2:12" ht="15" customHeight="1">
      <c r="B58" s="1" t="s">
        <v>4674</v>
      </c>
      <c r="G58">
        <f>2*'Motor Vs'!M85</f>
        <v>6</v>
      </c>
      <c r="H58" s="509">
        <f>2*'Motor Vs'!M79</f>
        <v>25.040401155498646</v>
      </c>
      <c r="J58" s="7" t="str">
        <f>CONCATENATE("'Motor Vs' worksheet, Rows ",'Motor Vs'!O79, " and ",'Motor Vs'!O85, ".")</f>
        <v>'Motor Vs' worksheet, Rows 79 and 85.</v>
      </c>
    </row>
    <row r="59" spans="2:12" ht="15" customHeight="1">
      <c r="B59" s="1" t="s">
        <v>4676</v>
      </c>
      <c r="G59" s="509">
        <f>'Motor Vs'!I184</f>
        <v>9.18464960823135</v>
      </c>
      <c r="H59" s="509">
        <f>'Motor Vs'!I199</f>
        <v>17.071636237590194</v>
      </c>
      <c r="I59" s="509"/>
      <c r="J59" s="7" t="str">
        <f>CONCATENATE("'Motor Vs' worksheet, Rows ",'Motor Vs'!O184, " and ",'Motor Vs'!O199, ".")</f>
        <v>'Motor Vs' worksheet, Rows 184 and 199.</v>
      </c>
    </row>
    <row r="60" spans="2:12" ht="15" customHeight="1">
      <c r="B60" s="1" t="s">
        <v>4677</v>
      </c>
      <c r="G60" s="509">
        <f ca="1">'Motor Vs'!I869</f>
        <v>10.964902053667966</v>
      </c>
      <c r="H60" s="509">
        <f ca="1">'Motor Vs'!I870</f>
        <v>18.264843405236153</v>
      </c>
      <c r="I60" s="509"/>
      <c r="J60" s="7" t="str">
        <f>CONCATENATE("'Motor Vs' worksheet, Rows ",'Motor Vs'!O869, " and ",'Motor Vs'!O870, ".")</f>
        <v>'Motor Vs' worksheet, Rows 869 and 870.</v>
      </c>
    </row>
    <row r="61" spans="2:12" ht="15" customHeight="1">
      <c r="B61" t="s">
        <v>2845</v>
      </c>
      <c r="G61" s="509">
        <f>G$58*60/G59</f>
        <v>39.195833848399111</v>
      </c>
      <c r="H61" s="509">
        <f>H$58*60/H59</f>
        <v>88.007033914049615</v>
      </c>
      <c r="I61" s="509">
        <f>G61+H61</f>
        <v>127.20286776244873</v>
      </c>
      <c r="J61" s="7" t="s">
        <v>4675</v>
      </c>
    </row>
    <row r="62" spans="2:12" ht="15" customHeight="1">
      <c r="B62" t="s">
        <v>2846</v>
      </c>
      <c r="G62" s="509">
        <f ca="1">G$58*60/G60</f>
        <v>32.83203062261493</v>
      </c>
      <c r="H62" s="509">
        <f ca="1">H$58*60/H60</f>
        <v>82.257703282537022</v>
      </c>
      <c r="I62" s="509">
        <f ca="1">G62+H62</f>
        <v>115.08973390515195</v>
      </c>
      <c r="J62" s="7" t="s">
        <v>4675</v>
      </c>
    </row>
    <row r="63" spans="2:12" ht="15" customHeight="1">
      <c r="B63" t="s">
        <v>178</v>
      </c>
      <c r="G63" s="509">
        <f ca="1">G61-G62</f>
        <v>6.3638032257841814</v>
      </c>
      <c r="H63" s="509">
        <f ca="1">H61-H62</f>
        <v>5.749330631512592</v>
      </c>
      <c r="I63" s="509">
        <f ca="1">G63+H63</f>
        <v>12.113133857296773</v>
      </c>
      <c r="J63" s="7" t="s">
        <v>4675</v>
      </c>
    </row>
    <row r="64" spans="2:12" ht="15" customHeight="1">
      <c r="B64" t="s">
        <v>179</v>
      </c>
      <c r="G64" s="206">
        <f ca="1">G63/60</f>
        <v>0.10606338709640302</v>
      </c>
      <c r="H64" s="206">
        <f ca="1">H63/60</f>
        <v>9.5822177191876537E-2</v>
      </c>
      <c r="I64" s="206">
        <f ca="1">I63/60</f>
        <v>0.20188556428827956</v>
      </c>
      <c r="J64" s="7" t="s">
        <v>4675</v>
      </c>
    </row>
    <row r="65" spans="2:15" ht="15" customHeight="1">
      <c r="B65" s="6" t="s">
        <v>180</v>
      </c>
      <c r="G65" s="25">
        <f ca="1">G64*G57</f>
        <v>5.113651677848166</v>
      </c>
      <c r="H65" s="25">
        <f ca="1">H64*H57</f>
        <v>4.1579014731467998</v>
      </c>
      <c r="I65" s="1376">
        <f ca="1">G65+H65</f>
        <v>9.2715531509949649</v>
      </c>
      <c r="J65" s="7" t="s">
        <v>4675</v>
      </c>
      <c r="O65" s="2813">
        <f ca="1">(I66/I65-1)*100</f>
        <v>10.901414380747809</v>
      </c>
    </row>
    <row r="66" spans="2:15" ht="15" customHeight="1">
      <c r="B66" s="2" t="s">
        <v>4682</v>
      </c>
      <c r="F66" s="2780">
        <v>0.25</v>
      </c>
      <c r="I66" s="1377">
        <f>'Motor Vs'!R287*(1+F66)</f>
        <v>10.282283579516207</v>
      </c>
      <c r="J66" s="7" t="str">
        <f>CONCATENATE("'Motor Vs' worksheet, Cell R",'Motor Vs'!O287, ", plus % shown at left.")</f>
        <v>'Motor Vs' worksheet, Cell R287, plus % shown at left.</v>
      </c>
      <c r="O66" s="39">
        <f ca="1">(I66-H65-G65)/G65</f>
        <v>0.19765335853820973</v>
      </c>
    </row>
    <row r="68" spans="2:15" ht="15" customHeight="1">
      <c r="B68" s="4562" t="s">
        <v>5735</v>
      </c>
      <c r="C68" s="3779"/>
      <c r="D68" s="3779"/>
      <c r="E68" s="3779"/>
      <c r="F68" s="3779"/>
      <c r="G68" s="3779"/>
      <c r="H68" s="3779"/>
      <c r="I68" s="3779"/>
    </row>
    <row r="69" spans="2:15" ht="15" customHeight="1">
      <c r="B69" s="3779"/>
      <c r="C69" s="3779"/>
      <c r="D69" s="3779"/>
      <c r="E69" s="3779"/>
      <c r="F69" s="3779"/>
      <c r="G69" s="3779"/>
      <c r="H69" s="3779"/>
      <c r="I69" s="3779"/>
    </row>
    <row r="70" spans="2:15" ht="15" customHeight="1">
      <c r="B70" s="312" t="s">
        <v>4683</v>
      </c>
      <c r="C70" s="1" t="s">
        <v>4684</v>
      </c>
    </row>
    <row r="71" spans="2:15" ht="15" customHeight="1">
      <c r="B71" s="312" t="s">
        <v>4685</v>
      </c>
      <c r="C71" s="1" t="str">
        <f ca="1">CONCATENATE("Increase value of time by more than ",ROUND(10*O65,-1)/10, "%, to at least $",ROUND(G57*(1+O65/100),0), " per hour within CBD and $",ROUND(H57*(1+O65/100),0), " per hour outside CBD.")</f>
        <v>Increase value of time by more than 11%, to at least $53 per hour within CBD and $48 per hour outside CBD.</v>
      </c>
      <c r="J71" s="7" t="s">
        <v>4736</v>
      </c>
    </row>
    <row r="72" spans="2:15" ht="15" customHeight="1">
      <c r="B72" s="312" t="s">
        <v>4686</v>
      </c>
      <c r="C72" s="1" t="str">
        <f ca="1">CONCATENATE("Raise distance traveled within CBD by ",ROUND(O66*100,-1), " percent.")</f>
        <v>Raise distance traveled within CBD by 20 percent.</v>
      </c>
    </row>
    <row r="73" spans="2:15" ht="15" customHeight="1">
      <c r="G73" s="4232" t="s">
        <v>4690</v>
      </c>
      <c r="H73" s="4232" t="s">
        <v>4689</v>
      </c>
      <c r="I73" s="4232" t="s">
        <v>5631</v>
      </c>
    </row>
    <row r="74" spans="2:15" ht="15" customHeight="1">
      <c r="B74" s="24" t="s">
        <v>2394</v>
      </c>
      <c r="G74" s="4232"/>
      <c r="H74" s="4232"/>
      <c r="I74" s="4232"/>
      <c r="J74" s="2087" t="s">
        <v>536</v>
      </c>
    </row>
    <row r="75" spans="2:15" ht="15" customHeight="1">
      <c r="B75" s="1" t="s">
        <v>4688</v>
      </c>
      <c r="G75" s="25">
        <f>'Value of Time'!L70</f>
        <v>55.991556663594466</v>
      </c>
      <c r="H75" s="25">
        <f>'Value of Time'!L70</f>
        <v>55.991556663594466</v>
      </c>
      <c r="I75" s="26">
        <f>H75</f>
        <v>55.991556663594466</v>
      </c>
      <c r="J75" s="7" t="str">
        <f>CONCATENATE("'Value of Time' worksheet, Row ",'Value of Time'!O70, ". Same value in/out CBD.")</f>
        <v>'Value of Time' worksheet, Row 70. Same value in/out CBD.</v>
      </c>
    </row>
    <row r="76" spans="2:15" ht="15" customHeight="1">
      <c r="B76" s="1" t="s">
        <v>4693</v>
      </c>
      <c r="G76">
        <f>Taxis!$L$79</f>
        <v>2.8</v>
      </c>
      <c r="H76" s="21">
        <f>Taxis!$L$122</f>
        <v>2</v>
      </c>
      <c r="I76" s="21">
        <f>H76</f>
        <v>2</v>
      </c>
      <c r="J76" s="7" t="str">
        <f>CONCATENATE("'Taxis' worksheet, Rows ",Taxis!O79, " and ",Taxis!O122, ".")</f>
        <v>'Taxis' worksheet, Rows 79 and 122.</v>
      </c>
    </row>
    <row r="77" spans="2:15" ht="15" customHeight="1">
      <c r="B77" s="1" t="s">
        <v>4694</v>
      </c>
      <c r="G77" s="509">
        <f>Taxis!F375</f>
        <v>12.790397990103736</v>
      </c>
      <c r="H77" s="509">
        <f>'Motor Vs'!H933</f>
        <v>10.502037542577714</v>
      </c>
      <c r="I77" s="509">
        <f>'Motor Vs'!L184</f>
        <v>8.1810393307876197</v>
      </c>
      <c r="J77" s="7" t="str">
        <f>CONCATENATE("From 'Taxis' worksheet, Row ",Taxis!O375, " and 'Motor Vs' worksheet, Rows ",'Motor Vs'!O933, " and ",'Motor Vs'!O184, ", respectively.")</f>
        <v>From 'Taxis' worksheet, Row 375 and 'Motor Vs' worksheet, Rows 933 and 184, respectively.</v>
      </c>
    </row>
    <row r="78" spans="2:15" ht="15" customHeight="1">
      <c r="B78" s="1" t="s">
        <v>4695</v>
      </c>
      <c r="G78" s="509">
        <f ca="1">Taxis!G375</f>
        <v>14.430484780738855</v>
      </c>
      <c r="H78" s="509">
        <f ca="1">'Motor Vs'!H934</f>
        <v>12.218785405623395</v>
      </c>
      <c r="I78" s="509">
        <f ca="1">'Motor Vs'!L869</f>
        <v>9.890240850748194</v>
      </c>
      <c r="J78" s="7" t="str">
        <f>CONCATENATE("From 'Taxis' worksheet, Row ",Taxis!O375, " and 'Motor Vs' worksheet, Rows ",'Motor Vs'!O934, " and ",'Motor Vs'!O869, ", respectively.")</f>
        <v>From 'Taxis' worksheet, Row 375 and 'Motor Vs' worksheet, Rows 934 and 869, respectively.</v>
      </c>
    </row>
    <row r="79" spans="2:15" ht="15" customHeight="1">
      <c r="B79" t="s">
        <v>2845</v>
      </c>
      <c r="G79" s="509">
        <f t="shared" ref="G79:I80" si="1">G$76*60/G77</f>
        <v>13.13485320237775</v>
      </c>
      <c r="H79" s="509">
        <f t="shared" si="1"/>
        <v>11.426354125424895</v>
      </c>
      <c r="I79" s="509">
        <f t="shared" si="1"/>
        <v>14.668062962172209</v>
      </c>
      <c r="J79" s="7" t="s">
        <v>4675</v>
      </c>
    </row>
    <row r="80" spans="2:15" ht="15" customHeight="1">
      <c r="B80" t="s">
        <v>2846</v>
      </c>
      <c r="G80" s="509">
        <f t="shared" ca="1" si="1"/>
        <v>11.642020524787819</v>
      </c>
      <c r="H80" s="509">
        <f t="shared" ca="1" si="1"/>
        <v>9.8209434093811776</v>
      </c>
      <c r="I80" s="509">
        <f t="shared" ca="1" si="1"/>
        <v>12.133172671009527</v>
      </c>
      <c r="J80" s="7" t="s">
        <v>4675</v>
      </c>
    </row>
    <row r="81" spans="2:10" ht="15" customHeight="1">
      <c r="B81" t="s">
        <v>178</v>
      </c>
      <c r="G81" s="509">
        <f ca="1">G79-G80</f>
        <v>1.4928326775899308</v>
      </c>
      <c r="H81" s="509">
        <f ca="1">H79-H80</f>
        <v>1.6054107160437177</v>
      </c>
      <c r="I81" s="509">
        <f ca="1">I79-I80</f>
        <v>2.5348902911626823</v>
      </c>
      <c r="J81" s="7" t="s">
        <v>4675</v>
      </c>
    </row>
    <row r="82" spans="2:10" ht="15" customHeight="1">
      <c r="B82" t="s">
        <v>179</v>
      </c>
      <c r="G82" s="206">
        <f ca="1">G81/60</f>
        <v>2.4880544626498847E-2</v>
      </c>
      <c r="H82" s="206">
        <f ca="1">H81/60</f>
        <v>2.6756845267395295E-2</v>
      </c>
      <c r="I82" s="206">
        <f ca="1">I81/60</f>
        <v>4.2248171519378035E-2</v>
      </c>
      <c r="J82" s="7" t="s">
        <v>4675</v>
      </c>
    </row>
    <row r="83" spans="2:10" ht="15" customHeight="1">
      <c r="B83" s="6" t="s">
        <v>180</v>
      </c>
      <c r="G83" s="1376">
        <f ca="1">G82*G75</f>
        <v>1.393100424275701</v>
      </c>
      <c r="H83" s="1376">
        <f ca="1">H82*H75</f>
        <v>1.498157417928393</v>
      </c>
      <c r="I83" s="1376">
        <f ca="1">I82*I75</f>
        <v>2.365540889560513</v>
      </c>
      <c r="J83" s="7" t="s">
        <v>4675</v>
      </c>
    </row>
    <row r="84" spans="2:10" ht="15" customHeight="1">
      <c r="B84" s="2" t="s">
        <v>4691</v>
      </c>
      <c r="G84" s="1377">
        <f ca="1">Taxis!H414</f>
        <v>0.96399350406500872</v>
      </c>
      <c r="H84" s="1377">
        <f ca="1">Taxis!H421</f>
        <v>0.8518572066500969</v>
      </c>
      <c r="I84" s="1377">
        <f ca="1">H84</f>
        <v>0.8518572066500969</v>
      </c>
      <c r="J84" s="7" t="str">
        <f>CONCATENATE("'Motor Vs' worksheet, Cell R",'Motor Vs'!O323, ", plus % shown at left.")</f>
        <v>'Motor Vs' worksheet, Cell R323, plus % shown at left.</v>
      </c>
    </row>
    <row r="85" spans="2:10" ht="15" customHeight="1">
      <c r="B85" s="6"/>
      <c r="G85" s="8"/>
      <c r="H85" s="8"/>
      <c r="I85" s="8"/>
    </row>
    <row r="86" spans="2:10" ht="15" customHeight="1">
      <c r="B86" s="4562" t="s">
        <v>5736</v>
      </c>
      <c r="C86" s="3779"/>
      <c r="D86" s="3779"/>
      <c r="E86" s="3779"/>
      <c r="F86" s="3779"/>
      <c r="G86" s="3779"/>
      <c r="H86" s="3779"/>
      <c r="I86" s="3779"/>
    </row>
    <row r="87" spans="2:10" ht="15" customHeight="1">
      <c r="B87" s="3779"/>
      <c r="C87" s="3779"/>
      <c r="D87" s="3779"/>
      <c r="E87" s="3779"/>
      <c r="F87" s="3779"/>
      <c r="G87" s="3779"/>
      <c r="H87" s="3779"/>
      <c r="I87" s="3779"/>
    </row>
  </sheetData>
  <mergeCells count="11">
    <mergeCell ref="B86:I87"/>
    <mergeCell ref="I73:I74"/>
    <mergeCell ref="B35:I37"/>
    <mergeCell ref="B6:I7"/>
    <mergeCell ref="B29:I33"/>
    <mergeCell ref="B68:I69"/>
    <mergeCell ref="G38:H38"/>
    <mergeCell ref="I38:J38"/>
    <mergeCell ref="B25:I27"/>
    <mergeCell ref="H73:H74"/>
    <mergeCell ref="G73:G74"/>
  </mergeCells>
  <phoneticPr fontId="6"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Sheet19">
    <pageSetUpPr fitToPage="1"/>
  </sheetPr>
  <dimension ref="A1:AA540"/>
  <sheetViews>
    <sheetView showRuler="0" zoomScaleNormal="100" workbookViewId="0"/>
  </sheetViews>
  <sheetFormatPr defaultColWidth="9.125" defaultRowHeight="14.1" customHeight="1"/>
  <cols>
    <col min="1" max="1" width="2.75" customWidth="1"/>
    <col min="2" max="4" width="10.625" customWidth="1"/>
    <col min="5" max="6" width="10.375" customWidth="1"/>
    <col min="7" max="11" width="10.625" customWidth="1"/>
    <col min="12" max="12" width="10.625" hidden="1" customWidth="1"/>
    <col min="13" max="19" width="10.625" customWidth="1"/>
    <col min="20" max="20" width="10.625" hidden="1" customWidth="1"/>
    <col min="21" max="22" width="10.625" customWidth="1"/>
    <col min="23" max="24" width="10.75" customWidth="1"/>
    <col min="25" max="26" width="10.625"/>
    <col min="27" max="27" width="3" customWidth="1"/>
  </cols>
  <sheetData>
    <row r="1" spans="2:27" ht="14.1" customHeight="1">
      <c r="B1" s="115" t="s">
        <v>1963</v>
      </c>
      <c r="O1" s="181">
        <f>'Title Page'!K1</f>
        <v>40914</v>
      </c>
      <c r="AA1" s="117">
        <f>ROW()</f>
        <v>1</v>
      </c>
    </row>
    <row r="2" spans="2:27" ht="14.1" customHeight="1">
      <c r="B2" s="115"/>
      <c r="K2" s="181"/>
      <c r="AA2" s="117">
        <f>ROW()</f>
        <v>2</v>
      </c>
    </row>
    <row r="3" spans="2:27" ht="14.1" customHeight="1">
      <c r="B3" s="3787" t="s">
        <v>5998</v>
      </c>
      <c r="C3" s="3787"/>
      <c r="D3" s="3787"/>
      <c r="E3" s="3787"/>
      <c r="F3" s="3787"/>
      <c r="G3" s="3787"/>
      <c r="H3" s="3787"/>
      <c r="I3" s="3787"/>
      <c r="J3" s="3787"/>
      <c r="K3" s="3787"/>
      <c r="L3" s="3787"/>
      <c r="M3" s="3787"/>
      <c r="N3" s="3787"/>
      <c r="O3" s="3787"/>
      <c r="S3" s="181"/>
      <c r="AA3" s="117">
        <f>ROW()</f>
        <v>3</v>
      </c>
    </row>
    <row r="4" spans="2:27" s="3169" customFormat="1" ht="14.1" customHeight="1">
      <c r="B4" s="3787"/>
      <c r="C4" s="3787"/>
      <c r="D4" s="3787"/>
      <c r="E4" s="3787"/>
      <c r="F4" s="3787"/>
      <c r="G4" s="3787"/>
      <c r="H4" s="3787"/>
      <c r="I4" s="3787"/>
      <c r="J4" s="3787"/>
      <c r="K4" s="3787"/>
      <c r="L4" s="3787"/>
      <c r="M4" s="3787"/>
      <c r="N4" s="3787"/>
      <c r="O4" s="3787"/>
      <c r="S4" s="181"/>
      <c r="AA4" s="117">
        <f>ROW()</f>
        <v>4</v>
      </c>
    </row>
    <row r="5" spans="2:27" s="3428" customFormat="1" ht="14.1" customHeight="1">
      <c r="B5" s="3787"/>
      <c r="C5" s="3787"/>
      <c r="D5" s="3787"/>
      <c r="E5" s="3787"/>
      <c r="F5" s="3787"/>
      <c r="G5" s="3787"/>
      <c r="H5" s="3787"/>
      <c r="I5" s="3787"/>
      <c r="J5" s="3787"/>
      <c r="K5" s="3787"/>
      <c r="L5" s="3787"/>
      <c r="M5" s="3787"/>
      <c r="N5" s="3787"/>
      <c r="O5" s="3787"/>
      <c r="S5" s="181"/>
      <c r="AA5" s="117">
        <f>ROW()</f>
        <v>5</v>
      </c>
    </row>
    <row r="6" spans="2:27" ht="14.1" customHeight="1">
      <c r="B6" s="1" t="str">
        <f>CONCATENATE("These calculations are shown and displayed in Rows ",AA19, "-",AA306, ".")</f>
        <v>These calculations are shown and displayed in Rows 19-306.</v>
      </c>
      <c r="AA6" s="117">
        <f>ROW()</f>
        <v>6</v>
      </c>
    </row>
    <row r="7" spans="2:27" s="3198" customFormat="1" ht="14.1" customHeight="1">
      <c r="AA7" s="117">
        <f>ROW()</f>
        <v>7</v>
      </c>
    </row>
    <row r="8" spans="2:27" s="3198" customFormat="1" ht="14.1" customHeight="1">
      <c r="B8" s="3787" t="s">
        <v>5999</v>
      </c>
      <c r="C8" s="3787"/>
      <c r="D8" s="3787"/>
      <c r="E8" s="3787"/>
      <c r="F8" s="3787"/>
      <c r="G8" s="3787"/>
      <c r="H8" s="3787"/>
      <c r="I8" s="3787"/>
      <c r="J8" s="3787"/>
      <c r="K8" s="3787"/>
      <c r="L8" s="3787"/>
      <c r="M8" s="3787"/>
      <c r="N8" s="3787"/>
      <c r="O8" s="3787"/>
      <c r="AA8" s="117">
        <f>ROW()</f>
        <v>8</v>
      </c>
    </row>
    <row r="9" spans="2:27" s="3198" customFormat="1" ht="14.1" customHeight="1">
      <c r="B9" s="3787"/>
      <c r="C9" s="3787"/>
      <c r="D9" s="3787"/>
      <c r="E9" s="3787"/>
      <c r="F9" s="3787"/>
      <c r="G9" s="3787"/>
      <c r="H9" s="3787"/>
      <c r="I9" s="3787"/>
      <c r="J9" s="3787"/>
      <c r="K9" s="3787"/>
      <c r="L9" s="3787"/>
      <c r="M9" s="3787"/>
      <c r="N9" s="3787"/>
      <c r="O9" s="3787"/>
      <c r="AA9" s="117">
        <f>ROW()</f>
        <v>9</v>
      </c>
    </row>
    <row r="10" spans="2:27" s="3198" customFormat="1" ht="14.1" customHeight="1">
      <c r="B10" s="1" t="str">
        <f>CONCATENATE("These calculations begin in Row ",AA308, ".")</f>
        <v>These calculations begin in Row 308.</v>
      </c>
      <c r="AA10" s="117">
        <f>ROW()</f>
        <v>10</v>
      </c>
    </row>
    <row r="11" spans="2:27" s="3198" customFormat="1" ht="14.1" customHeight="1">
      <c r="AA11" s="117">
        <f>ROW()</f>
        <v>11</v>
      </c>
    </row>
    <row r="12" spans="2:27" s="3428" customFormat="1" ht="14.1" customHeight="1">
      <c r="B12" s="3787" t="s">
        <v>6000</v>
      </c>
      <c r="C12" s="3787"/>
      <c r="D12" s="3787"/>
      <c r="E12" s="3787"/>
      <c r="F12" s="3787"/>
      <c r="G12" s="3787"/>
      <c r="H12" s="3787"/>
      <c r="I12" s="3787"/>
      <c r="J12" s="3787"/>
      <c r="K12" s="3787"/>
      <c r="L12" s="3787"/>
      <c r="M12" s="3787"/>
      <c r="N12" s="3787"/>
      <c r="O12" s="3787"/>
      <c r="AA12" s="117"/>
    </row>
    <row r="13" spans="2:27" s="3428" customFormat="1" ht="14.1" customHeight="1">
      <c r="B13" s="3787"/>
      <c r="C13" s="3787"/>
      <c r="D13" s="3787"/>
      <c r="E13" s="3787"/>
      <c r="F13" s="3787"/>
      <c r="G13" s="3787"/>
      <c r="H13" s="3787"/>
      <c r="I13" s="3787"/>
      <c r="J13" s="3787"/>
      <c r="K13" s="3787"/>
      <c r="L13" s="3787"/>
      <c r="M13" s="3787"/>
      <c r="N13" s="3787"/>
      <c r="O13" s="3787"/>
      <c r="AA13" s="117"/>
    </row>
    <row r="14" spans="2:27" s="3428" customFormat="1" ht="14.1" customHeight="1">
      <c r="B14" s="3787"/>
      <c r="C14" s="3787"/>
      <c r="D14" s="3787"/>
      <c r="E14" s="3787"/>
      <c r="F14" s="3787"/>
      <c r="G14" s="3787"/>
      <c r="H14" s="3787"/>
      <c r="I14" s="3787"/>
      <c r="J14" s="3787"/>
      <c r="K14" s="3787"/>
      <c r="L14" s="3787"/>
      <c r="M14" s="3787"/>
      <c r="N14" s="3787"/>
      <c r="O14" s="3787"/>
      <c r="AA14" s="117"/>
    </row>
    <row r="15" spans="2:27" s="3428" customFormat="1" ht="14.1" customHeight="1">
      <c r="B15" s="1" t="str">
        <f>CONCATENATE("These calculations are shown in Rows ",AA429, " to ",AA437, ".")</f>
        <v>These calculations are shown in Rows 429 to 437.</v>
      </c>
      <c r="C15" s="3427"/>
      <c r="D15" s="3427"/>
      <c r="E15" s="3427"/>
      <c r="F15" s="3427"/>
      <c r="G15" s="3427"/>
      <c r="H15" s="3427"/>
      <c r="I15" s="3427"/>
      <c r="J15" s="3427"/>
      <c r="K15" s="3427"/>
      <c r="L15" s="3427"/>
      <c r="M15" s="3427"/>
      <c r="N15" s="3427"/>
      <c r="O15" s="3427"/>
      <c r="AA15" s="117"/>
    </row>
    <row r="16" spans="2:27" s="3198" customFormat="1" ht="14.1" customHeight="1">
      <c r="AA16" s="117">
        <f>ROW()</f>
        <v>16</v>
      </c>
    </row>
    <row r="17" spans="2:27" s="3198" customFormat="1" ht="14.1" customHeight="1">
      <c r="B17" s="24" t="s">
        <v>5585</v>
      </c>
      <c r="AA17" s="117">
        <f>ROW()</f>
        <v>17</v>
      </c>
    </row>
    <row r="18" spans="2:27" ht="14.1" customHeight="1">
      <c r="AA18" s="117">
        <f>ROW()</f>
        <v>18</v>
      </c>
    </row>
    <row r="19" spans="2:27" ht="14.1" customHeight="1">
      <c r="AA19" s="117">
        <f>ROW()</f>
        <v>19</v>
      </c>
    </row>
    <row r="20" spans="2:27" ht="14.1" customHeight="1">
      <c r="AA20" s="117">
        <f>ROW()</f>
        <v>20</v>
      </c>
    </row>
    <row r="21" spans="2:27" ht="14.1" customHeight="1">
      <c r="AA21" s="117">
        <f>ROW()</f>
        <v>21</v>
      </c>
    </row>
    <row r="22" spans="2:27" ht="14.1" customHeight="1">
      <c r="AA22" s="117">
        <f>ROW()</f>
        <v>22</v>
      </c>
    </row>
    <row r="23" spans="2:27" ht="14.1" customHeight="1">
      <c r="AA23" s="117">
        <f>ROW()</f>
        <v>23</v>
      </c>
    </row>
    <row r="24" spans="2:27" ht="14.1" customHeight="1">
      <c r="AA24" s="117">
        <f>ROW()</f>
        <v>24</v>
      </c>
    </row>
    <row r="25" spans="2:27" ht="14.1" customHeight="1">
      <c r="AA25" s="117">
        <f>ROW()</f>
        <v>25</v>
      </c>
    </row>
    <row r="26" spans="2:27" ht="14.1" customHeight="1">
      <c r="AA26" s="117">
        <f>ROW()</f>
        <v>26</v>
      </c>
    </row>
    <row r="27" spans="2:27" ht="14.1" customHeight="1">
      <c r="AA27" s="117">
        <f>ROW()</f>
        <v>27</v>
      </c>
    </row>
    <row r="28" spans="2:27" ht="14.1" customHeight="1">
      <c r="AA28" s="117">
        <f>ROW()</f>
        <v>28</v>
      </c>
    </row>
    <row r="29" spans="2:27" ht="14.1" customHeight="1">
      <c r="AA29" s="117">
        <f>ROW()</f>
        <v>29</v>
      </c>
    </row>
    <row r="30" spans="2:27" ht="14.1" customHeight="1">
      <c r="AA30" s="117">
        <f>ROW()</f>
        <v>30</v>
      </c>
    </row>
    <row r="31" spans="2:27" ht="14.1" customHeight="1">
      <c r="AA31" s="117">
        <f>ROW()</f>
        <v>31</v>
      </c>
    </row>
    <row r="32" spans="2:27" ht="14.1" customHeight="1">
      <c r="AA32" s="117">
        <f>ROW()</f>
        <v>32</v>
      </c>
    </row>
    <row r="33" spans="2:27" ht="14.1" customHeight="1">
      <c r="AA33" s="117">
        <f>ROW()</f>
        <v>33</v>
      </c>
    </row>
    <row r="34" spans="2:27" ht="14.1" customHeight="1">
      <c r="AA34" s="117">
        <f>ROW()</f>
        <v>34</v>
      </c>
    </row>
    <row r="35" spans="2:27" ht="14.1" customHeight="1">
      <c r="AA35" s="117">
        <f>ROW()</f>
        <v>35</v>
      </c>
    </row>
    <row r="36" spans="2:27" ht="14.1" customHeight="1">
      <c r="AA36" s="117">
        <f>ROW()</f>
        <v>36</v>
      </c>
    </row>
    <row r="37" spans="2:27" ht="14.1" customHeight="1">
      <c r="AA37" s="117">
        <f>ROW()</f>
        <v>37</v>
      </c>
    </row>
    <row r="38" spans="2:27" ht="14.1" customHeight="1">
      <c r="AA38" s="117">
        <f>ROW()</f>
        <v>38</v>
      </c>
    </row>
    <row r="39" spans="2:27" ht="14.1" customHeight="1">
      <c r="AA39" s="117">
        <f>ROW()</f>
        <v>39</v>
      </c>
    </row>
    <row r="40" spans="2:27" ht="14.1" customHeight="1">
      <c r="AA40" s="117">
        <f>ROW()</f>
        <v>40</v>
      </c>
    </row>
    <row r="41" spans="2:27" ht="14.1" customHeight="1">
      <c r="AA41" s="117">
        <f>ROW()</f>
        <v>41</v>
      </c>
    </row>
    <row r="42" spans="2:27" ht="14.1" customHeight="1">
      <c r="AA42" s="117">
        <f>ROW()</f>
        <v>42</v>
      </c>
    </row>
    <row r="43" spans="2:27" ht="14.1" customHeight="1">
      <c r="B43" s="24" t="s">
        <v>5501</v>
      </c>
      <c r="AA43" s="117">
        <f>ROW()</f>
        <v>43</v>
      </c>
    </row>
    <row r="44" spans="2:27" ht="14.1" customHeight="1">
      <c r="AA44" s="117">
        <f>ROW()</f>
        <v>44</v>
      </c>
    </row>
    <row r="45" spans="2:27" ht="14.1" customHeight="1">
      <c r="B45" s="2" t="s">
        <v>5597</v>
      </c>
      <c r="AA45" s="117">
        <f>ROW()</f>
        <v>45</v>
      </c>
    </row>
    <row r="46" spans="2:27" ht="14.1" customHeight="1">
      <c r="B46" s="24"/>
      <c r="AA46" s="117">
        <f>ROW()</f>
        <v>46</v>
      </c>
    </row>
    <row r="47" spans="2:27" ht="14.1" customHeight="1">
      <c r="B47" s="24" t="s">
        <v>5502</v>
      </c>
      <c r="AA47" s="117">
        <f>ROW()</f>
        <v>47</v>
      </c>
    </row>
    <row r="48" spans="2:27" ht="14.1" customHeight="1">
      <c r="AA48" s="117">
        <f>ROW()</f>
        <v>48</v>
      </c>
    </row>
    <row r="49" spans="2:27" ht="14.1" customHeight="1">
      <c r="G49" s="8" t="s">
        <v>1485</v>
      </c>
      <c r="H49" s="8" t="s">
        <v>1486</v>
      </c>
      <c r="I49" s="8" t="s">
        <v>220</v>
      </c>
      <c r="J49" s="8" t="s">
        <v>1484</v>
      </c>
      <c r="K49" s="8" t="s">
        <v>856</v>
      </c>
      <c r="L49" s="873" t="s">
        <v>1552</v>
      </c>
      <c r="M49" s="8" t="s">
        <v>2144</v>
      </c>
      <c r="N49" s="8" t="s">
        <v>2145</v>
      </c>
      <c r="O49" s="8" t="s">
        <v>1193</v>
      </c>
      <c r="P49" s="8" t="s">
        <v>1199</v>
      </c>
      <c r="Q49" s="8" t="s">
        <v>1194</v>
      </c>
      <c r="R49" s="8" t="s">
        <v>1196</v>
      </c>
      <c r="S49" s="8" t="s">
        <v>1200</v>
      </c>
      <c r="T49" s="873" t="s">
        <v>412</v>
      </c>
      <c r="U49" s="8" t="s">
        <v>2284</v>
      </c>
      <c r="V49" s="8" t="s">
        <v>252</v>
      </c>
      <c r="W49" s="8" t="s">
        <v>677</v>
      </c>
      <c r="X49" s="2243" t="s">
        <v>228</v>
      </c>
      <c r="AA49" s="117">
        <f>ROW()</f>
        <v>49</v>
      </c>
    </row>
    <row r="50" spans="2:27" s="8" customFormat="1" ht="14.1" customHeight="1">
      <c r="B50" s="24" t="s">
        <v>5412</v>
      </c>
      <c r="L50" s="873"/>
      <c r="T50" s="873"/>
      <c r="X50" s="2243"/>
      <c r="AA50" s="117">
        <f>ROW()</f>
        <v>50</v>
      </c>
    </row>
    <row r="51" spans="2:27" ht="14.1" customHeight="1">
      <c r="B51" s="1" t="s">
        <v>5314</v>
      </c>
      <c r="G51" s="12">
        <v>3.1E-2</v>
      </c>
      <c r="H51" s="12">
        <v>2.5000000000000001E-2</v>
      </c>
      <c r="I51" s="12">
        <v>1.2999999999999999E-2</v>
      </c>
      <c r="J51" s="12">
        <v>3.7999999999999999E-2</v>
      </c>
      <c r="K51" s="12">
        <v>5.8000000000000003E-2</v>
      </c>
      <c r="L51" s="50"/>
      <c r="M51" s="12">
        <v>2.8000000000000001E-2</v>
      </c>
      <c r="N51" s="12">
        <v>1.2E-2</v>
      </c>
      <c r="O51" s="12">
        <v>2.8000000000000001E-2</v>
      </c>
      <c r="P51" s="12">
        <v>4.3999999999999997E-2</v>
      </c>
      <c r="Q51" s="12">
        <v>2.1000000000000001E-2</v>
      </c>
      <c r="R51" s="12">
        <f>R$54/100*Q51</f>
        <v>1.0500000000000001E-2</v>
      </c>
      <c r="S51" s="12">
        <f>R$55/100*P51</f>
        <v>1.0999999999999999E-2</v>
      </c>
      <c r="T51" s="50"/>
      <c r="U51" s="4568" t="str">
        <f>CONCATENATE("Percentages of workers car-commuting to CBD from outside the 12-county MTA region weren't readily available. Numbers for these areas are estimated further below, in Row ",AA70, ", via a different procedure.")</f>
        <v>Percentages of workers car-commuting to CBD from outside the 12-county MTA region weren't readily available. Numbers for these areas are estimated further below, in Row 70, via a different procedure.</v>
      </c>
      <c r="V51" s="4569"/>
      <c r="W51" s="4570"/>
      <c r="X51" s="86"/>
      <c r="AA51" s="117">
        <f>ROW()</f>
        <v>51</v>
      </c>
    </row>
    <row r="52" spans="2:27" ht="14.1" customHeight="1">
      <c r="B52" s="1" t="s">
        <v>5315</v>
      </c>
      <c r="G52" s="12">
        <v>1.0999999999999999E-2</v>
      </c>
      <c r="H52" s="12">
        <v>1.2E-2</v>
      </c>
      <c r="I52" s="12">
        <v>7.0000000000000001E-3</v>
      </c>
      <c r="J52" s="12">
        <v>1.6E-2</v>
      </c>
      <c r="K52" s="12">
        <v>2.1999999999999999E-2</v>
      </c>
      <c r="L52" s="50"/>
      <c r="M52" s="12">
        <v>7.0000000000000001E-3</v>
      </c>
      <c r="N52" s="12">
        <v>3.0000000000000001E-3</v>
      </c>
      <c r="O52" s="12">
        <v>7.0000000000000001E-3</v>
      </c>
      <c r="P52" s="12">
        <v>1.4E-2</v>
      </c>
      <c r="Q52" s="12">
        <v>4.0000000000000001E-3</v>
      </c>
      <c r="R52" s="12">
        <f>R$54/100*Q52</f>
        <v>2E-3</v>
      </c>
      <c r="S52" s="12">
        <f>R$55/100*P52</f>
        <v>3.5000000000000001E-3</v>
      </c>
      <c r="T52" s="50"/>
      <c r="U52" s="4571"/>
      <c r="V52" s="4572"/>
      <c r="W52" s="4573"/>
      <c r="X52" s="86"/>
      <c r="AA52" s="117">
        <f>ROW()</f>
        <v>52</v>
      </c>
    </row>
    <row r="53" spans="2:27" ht="14.1" customHeight="1">
      <c r="B53" s="265" t="s">
        <v>5329</v>
      </c>
      <c r="L53" s="50"/>
      <c r="T53" s="50"/>
      <c r="U53" s="4571"/>
      <c r="V53" s="4572"/>
      <c r="W53" s="4573"/>
      <c r="X53" s="86"/>
      <c r="AA53" s="117">
        <f>ROW()</f>
        <v>53</v>
      </c>
    </row>
    <row r="54" spans="2:27" ht="14.1" customHeight="1">
      <c r="B54" s="215" t="str">
        <f>CONCATENATE("1. Dutchess percent (for both solo and carpool) is Komanoff guesstimate, set at ",R54, "% of Putnam County.")</f>
        <v>1. Dutchess percent (for both solo and carpool) is Komanoff guesstimate, set at 50% of Putnam County.</v>
      </c>
      <c r="L54" s="50"/>
      <c r="R54" s="7">
        <v>50</v>
      </c>
      <c r="T54" s="50"/>
      <c r="U54" s="4571"/>
      <c r="V54" s="4572"/>
      <c r="W54" s="4573"/>
      <c r="X54" s="86"/>
      <c r="AA54" s="117">
        <f>ROW()</f>
        <v>54</v>
      </c>
    </row>
    <row r="55" spans="2:27" ht="14.1" customHeight="1">
      <c r="B55" s="215" t="str">
        <f>CONCATENATE("2. Orange percent (for both solo and carpool) is Komanoff guesstimate, set at ",R55, "% of Rockland County.")</f>
        <v>2. Orange percent (for both solo and carpool) is Komanoff guesstimate, set at 25% of Rockland County.</v>
      </c>
      <c r="J55" s="4582" t="str">
        <f>CONCATENATE("Note: To allow for reverse commuters from CBD who will pay toll on re-entry, Manhattan figures in Rows ",AA64," and ",AA68," have been supplemented by 11,049 reverse commuters in SOV's (Row ",AA64,"), and reverse-commuting carpoolers using 1,069 HOV-2's and 663 HOV-3's (Row ",AA68,").")</f>
        <v>Note: To allow for reverse commuters from CBD who will pay toll on re-entry, Manhattan figures in Rows 64 and 68 have been supplemented by 11,049 reverse commuters in SOV's (Row 64), and reverse-commuting carpoolers using 1,069 HOV-2's and 663 HOV-3's (Row 68).</v>
      </c>
      <c r="K55" s="4583"/>
      <c r="L55" s="4583"/>
      <c r="M55" s="4583"/>
      <c r="N55" s="4583"/>
      <c r="O55" s="4583"/>
      <c r="P55" s="4583"/>
      <c r="Q55" s="4583"/>
      <c r="R55" s="7">
        <v>25</v>
      </c>
      <c r="T55" s="50"/>
      <c r="U55" s="4571"/>
      <c r="V55" s="4572"/>
      <c r="W55" s="4573"/>
      <c r="X55" s="86"/>
      <c r="AA55" s="117">
        <f>ROW()</f>
        <v>55</v>
      </c>
    </row>
    <row r="56" spans="2:27" ht="14.1" customHeight="1">
      <c r="B56" t="s">
        <v>1964</v>
      </c>
      <c r="F56">
        <v>2.3330000000000002</v>
      </c>
      <c r="J56" s="4583"/>
      <c r="K56" s="4583"/>
      <c r="L56" s="4583"/>
      <c r="M56" s="4583"/>
      <c r="N56" s="4583"/>
      <c r="O56" s="4583"/>
      <c r="P56" s="4583"/>
      <c r="Q56" s="4583"/>
      <c r="T56" s="50"/>
      <c r="U56" s="4571"/>
      <c r="V56" s="4572"/>
      <c r="W56" s="4573"/>
      <c r="X56" s="86"/>
      <c r="AA56" s="117">
        <f>ROW()</f>
        <v>56</v>
      </c>
    </row>
    <row r="57" spans="2:27" ht="14.1" customHeight="1">
      <c r="B57" s="265" t="s">
        <v>2859</v>
      </c>
      <c r="J57" s="4583"/>
      <c r="K57" s="4583"/>
      <c r="L57" s="4583"/>
      <c r="M57" s="4583"/>
      <c r="N57" s="4583"/>
      <c r="O57" s="4583"/>
      <c r="P57" s="4583"/>
      <c r="Q57" s="4583"/>
      <c r="T57" s="50"/>
      <c r="U57" s="4571"/>
      <c r="V57" s="4572"/>
      <c r="W57" s="4573"/>
      <c r="X57" s="86"/>
      <c r="AA57" s="117">
        <f>ROW()</f>
        <v>57</v>
      </c>
    </row>
    <row r="58" spans="2:27" ht="14.1" customHeight="1">
      <c r="B58" t="s">
        <v>627</v>
      </c>
      <c r="G58" s="10">
        <v>1373659</v>
      </c>
      <c r="H58" s="10">
        <v>2528050</v>
      </c>
      <c r="I58" s="10">
        <v>1620867</v>
      </c>
      <c r="J58" s="10">
        <v>2270338</v>
      </c>
      <c r="K58" s="10">
        <v>481613</v>
      </c>
      <c r="L58" s="874">
        <f>SUM(G58:K58)</f>
        <v>8274527</v>
      </c>
      <c r="M58" s="10">
        <v>1306533</v>
      </c>
      <c r="N58" s="10">
        <v>1453229</v>
      </c>
      <c r="O58" s="10">
        <v>951325</v>
      </c>
      <c r="P58" s="10">
        <v>296483</v>
      </c>
      <c r="Q58" s="10">
        <v>99489</v>
      </c>
      <c r="R58" s="10">
        <v>292746</v>
      </c>
      <c r="S58" s="10">
        <v>377169</v>
      </c>
      <c r="T58" s="874">
        <f>SUM(L58:S58)</f>
        <v>13051501</v>
      </c>
      <c r="U58" s="4571"/>
      <c r="V58" s="4572"/>
      <c r="W58" s="4573"/>
      <c r="X58" s="86"/>
      <c r="AA58" s="117">
        <f>ROW()</f>
        <v>58</v>
      </c>
    </row>
    <row r="59" spans="2:27" ht="14.1" customHeight="1">
      <c r="B59" s="265" t="s">
        <v>411</v>
      </c>
      <c r="L59" s="50"/>
      <c r="S59" s="6"/>
      <c r="T59" s="50"/>
      <c r="U59" s="4571"/>
      <c r="V59" s="4572"/>
      <c r="W59" s="4573"/>
      <c r="X59" s="86"/>
      <c r="AA59" s="117">
        <f>ROW()</f>
        <v>59</v>
      </c>
    </row>
    <row r="60" spans="2:27" ht="14.1" customHeight="1">
      <c r="B60" s="1" t="s">
        <v>5527</v>
      </c>
      <c r="F60" s="12">
        <f>136/301.6</f>
        <v>0.45092838196286467</v>
      </c>
      <c r="G60" s="23">
        <f>$F$60-2%</f>
        <v>0.43092838196286465</v>
      </c>
      <c r="H60" s="23">
        <f>$F$60</f>
        <v>0.45092838196286467</v>
      </c>
      <c r="I60" s="23">
        <f>$F$60+2%</f>
        <v>0.47092838196286468</v>
      </c>
      <c r="J60" s="23">
        <f>$F$60+2%</f>
        <v>0.47092838196286468</v>
      </c>
      <c r="K60" s="23">
        <f>$F$60-2%</f>
        <v>0.43092838196286465</v>
      </c>
      <c r="L60" s="875">
        <f>$F$60+2%</f>
        <v>0.47092838196286468</v>
      </c>
      <c r="M60" s="23">
        <f>$F$60+2%</f>
        <v>0.47092838196286468</v>
      </c>
      <c r="N60" s="23">
        <f t="shared" ref="N60:S60" si="0">$F$60</f>
        <v>0.45092838196286467</v>
      </c>
      <c r="O60" s="23">
        <f t="shared" si="0"/>
        <v>0.45092838196286467</v>
      </c>
      <c r="P60" s="23">
        <f t="shared" si="0"/>
        <v>0.45092838196286467</v>
      </c>
      <c r="Q60" s="23">
        <f t="shared" si="0"/>
        <v>0.45092838196286467</v>
      </c>
      <c r="R60" s="23">
        <f t="shared" si="0"/>
        <v>0.45092838196286467</v>
      </c>
      <c r="S60" s="23">
        <f t="shared" si="0"/>
        <v>0.45092838196286467</v>
      </c>
      <c r="T60" s="50"/>
      <c r="U60" s="4571"/>
      <c r="V60" s="4572"/>
      <c r="W60" s="4573"/>
      <c r="X60" s="86"/>
      <c r="AA60" s="117">
        <f>ROW()</f>
        <v>60</v>
      </c>
    </row>
    <row r="61" spans="2:27" ht="14.1" customHeight="1">
      <c r="B61" s="265" t="s">
        <v>1693</v>
      </c>
      <c r="L61" s="50"/>
      <c r="S61" s="6"/>
      <c r="T61" s="50"/>
      <c r="U61" s="4571"/>
      <c r="V61" s="4572"/>
      <c r="W61" s="4573"/>
      <c r="X61" s="2244"/>
      <c r="AA61" s="117">
        <f>ROW()</f>
        <v>61</v>
      </c>
    </row>
    <row r="62" spans="2:27" ht="14.1" customHeight="1">
      <c r="B62" t="s">
        <v>1694</v>
      </c>
      <c r="G62" s="10">
        <f>G60*G58</f>
        <v>591948.65023872664</v>
      </c>
      <c r="H62" s="10">
        <f>H60*H58</f>
        <v>1139969.49602122</v>
      </c>
      <c r="I62" s="10">
        <f>I60*I58</f>
        <v>763312.2736870026</v>
      </c>
      <c r="J62" s="10">
        <f>J60*J58</f>
        <v>1069166.6008488063</v>
      </c>
      <c r="K62" s="10">
        <f>K60*K58</f>
        <v>207540.71082228114</v>
      </c>
      <c r="L62" s="874">
        <f>SUM(G62:K62)</f>
        <v>3771937.731618037</v>
      </c>
      <c r="M62" s="10">
        <f t="shared" ref="M62:S62" si="1">M60*M58</f>
        <v>615283.47167108743</v>
      </c>
      <c r="N62" s="10">
        <f t="shared" si="1"/>
        <v>655302.20159151184</v>
      </c>
      <c r="O62" s="10">
        <f t="shared" si="1"/>
        <v>428979.44297082222</v>
      </c>
      <c r="P62" s="10">
        <f t="shared" si="1"/>
        <v>133692.599469496</v>
      </c>
      <c r="Q62" s="10">
        <f t="shared" si="1"/>
        <v>44862.413793103442</v>
      </c>
      <c r="R62" s="10">
        <f t="shared" si="1"/>
        <v>132007.48010610079</v>
      </c>
      <c r="S62" s="10">
        <f t="shared" si="1"/>
        <v>170076.20689655171</v>
      </c>
      <c r="T62" s="874">
        <f>SUM(L62:S62)</f>
        <v>5952141.548116711</v>
      </c>
      <c r="U62" s="4571"/>
      <c r="V62" s="4572"/>
      <c r="W62" s="4573"/>
      <c r="X62" s="2244"/>
      <c r="AA62" s="117">
        <f>ROW()</f>
        <v>62</v>
      </c>
    </row>
    <row r="63" spans="2:27" ht="14.1" customHeight="1">
      <c r="B63" s="265" t="str">
        <f>CONCATENATE("Product of Rows ",AA60, " and ",AA58, ".")</f>
        <v>Product of Rows 60 and 58.</v>
      </c>
      <c r="G63" s="10"/>
      <c r="H63" s="10"/>
      <c r="I63" s="10"/>
      <c r="J63" s="10"/>
      <c r="K63" s="10"/>
      <c r="L63" s="50"/>
      <c r="M63" s="10"/>
      <c r="N63" s="10"/>
      <c r="O63" s="10"/>
      <c r="P63" s="10"/>
      <c r="Q63" s="10"/>
      <c r="R63" s="10"/>
      <c r="S63" s="10"/>
      <c r="T63" s="874"/>
      <c r="U63" s="4571"/>
      <c r="V63" s="4572"/>
      <c r="W63" s="4573"/>
      <c r="X63" s="2244"/>
      <c r="AA63" s="117">
        <f>ROW()</f>
        <v>63</v>
      </c>
    </row>
    <row r="64" spans="2:27" ht="14.1" customHeight="1">
      <c r="B64" s="1" t="s">
        <v>5536</v>
      </c>
      <c r="G64" s="10">
        <f>G51*G$62</f>
        <v>18350.408157400525</v>
      </c>
      <c r="H64" s="10">
        <f>H51*H$62</f>
        <v>28499.237400530503</v>
      </c>
      <c r="I64" s="3160">
        <f>I51*I$62+11049</f>
        <v>20972.059557931032</v>
      </c>
      <c r="J64" s="10">
        <f>J51*J$62</f>
        <v>40628.330832254636</v>
      </c>
      <c r="K64" s="10">
        <f>K51*K$62</f>
        <v>12037.361227692307</v>
      </c>
      <c r="L64" s="874">
        <f>SUM(G64:K64)</f>
        <v>120487.397175809</v>
      </c>
      <c r="M64" s="10">
        <f t="shared" ref="M64:S64" si="2">M51*M$62</f>
        <v>17227.937206790448</v>
      </c>
      <c r="N64" s="10">
        <f t="shared" si="2"/>
        <v>7863.6264190981419</v>
      </c>
      <c r="O64" s="10">
        <f t="shared" si="2"/>
        <v>12011.424403183022</v>
      </c>
      <c r="P64" s="10">
        <f t="shared" si="2"/>
        <v>5882.4743766578231</v>
      </c>
      <c r="Q64" s="10">
        <f t="shared" si="2"/>
        <v>942.11068965517234</v>
      </c>
      <c r="R64" s="10">
        <f t="shared" si="2"/>
        <v>1386.0785411140585</v>
      </c>
      <c r="S64" s="10">
        <f t="shared" si="2"/>
        <v>1870.8382758620687</v>
      </c>
      <c r="T64" s="874">
        <f>SUM(L64:S64)</f>
        <v>167671.88708816975</v>
      </c>
      <c r="U64" s="4571"/>
      <c r="V64" s="4572"/>
      <c r="W64" s="4573"/>
      <c r="X64" s="2244"/>
      <c r="AA64" s="117">
        <f>ROW()</f>
        <v>64</v>
      </c>
    </row>
    <row r="65" spans="2:27" ht="14.1" customHeight="1">
      <c r="B65" s="265" t="str">
        <f>CONCATENATE("Product of Rows ",AA62, " and ",AA51, ".")</f>
        <v>Product of Rows 62 and 51.</v>
      </c>
      <c r="G65" s="10"/>
      <c r="H65" s="10"/>
      <c r="I65" s="10"/>
      <c r="J65" s="10"/>
      <c r="K65" s="10"/>
      <c r="L65" s="50"/>
      <c r="M65" s="10"/>
      <c r="N65" s="10"/>
      <c r="O65" s="10"/>
      <c r="P65" s="10"/>
      <c r="Q65" s="10"/>
      <c r="R65" s="10"/>
      <c r="S65" s="10"/>
      <c r="T65" s="874"/>
      <c r="U65" s="4571"/>
      <c r="V65" s="4572"/>
      <c r="W65" s="4573"/>
      <c r="X65" s="2244"/>
      <c r="AA65" s="117">
        <f>ROW()</f>
        <v>65</v>
      </c>
    </row>
    <row r="66" spans="2:27" ht="14.1" customHeight="1">
      <c r="B66" s="1" t="s">
        <v>5537</v>
      </c>
      <c r="G66" s="10">
        <f>G52*G62</f>
        <v>6511.4351526259925</v>
      </c>
      <c r="H66" s="10">
        <f>H52*H62</f>
        <v>13679.63395225464</v>
      </c>
      <c r="I66" s="10">
        <f>I52*I62</f>
        <v>5343.1859158090183</v>
      </c>
      <c r="J66" s="10">
        <f>J52*J62</f>
        <v>17106.665613580903</v>
      </c>
      <c r="K66" s="10">
        <f>K52*K62</f>
        <v>4565.8956380901845</v>
      </c>
      <c r="L66" s="874">
        <f>SUM(G66:K66)</f>
        <v>47206.816272360746</v>
      </c>
      <c r="M66" s="10">
        <f t="shared" ref="M66:S66" si="3">M52*M62</f>
        <v>4306.984301697612</v>
      </c>
      <c r="N66" s="10">
        <f t="shared" si="3"/>
        <v>1965.9066047745355</v>
      </c>
      <c r="O66" s="10">
        <f t="shared" si="3"/>
        <v>3002.8561007957555</v>
      </c>
      <c r="P66" s="10">
        <f t="shared" si="3"/>
        <v>1871.696392572944</v>
      </c>
      <c r="Q66" s="10">
        <f t="shared" si="3"/>
        <v>179.44965517241377</v>
      </c>
      <c r="R66" s="10">
        <f t="shared" si="3"/>
        <v>264.01496021220157</v>
      </c>
      <c r="S66" s="10">
        <f t="shared" si="3"/>
        <v>595.26672413793096</v>
      </c>
      <c r="T66" s="874">
        <f>SUM(L66:S66)</f>
        <v>59392.991011724145</v>
      </c>
      <c r="U66" s="4571"/>
      <c r="V66" s="4572"/>
      <c r="W66" s="4573"/>
      <c r="AA66" s="117">
        <f>ROW()</f>
        <v>66</v>
      </c>
    </row>
    <row r="67" spans="2:27" ht="14.1" customHeight="1">
      <c r="B67" s="265" t="str">
        <f>CONCATENATE("Product of Rows ",AA62, " and ",AA52, ".")</f>
        <v>Product of Rows 62 and 52.</v>
      </c>
      <c r="G67" s="10"/>
      <c r="H67" s="10"/>
      <c r="I67" s="10"/>
      <c r="J67" s="10"/>
      <c r="K67" s="10"/>
      <c r="L67" s="50"/>
      <c r="M67" s="10"/>
      <c r="N67" s="10"/>
      <c r="O67" s="10"/>
      <c r="P67" s="10"/>
      <c r="Q67" s="10"/>
      <c r="R67" s="10"/>
      <c r="S67" s="10"/>
      <c r="T67" s="874"/>
      <c r="U67" s="4571"/>
      <c r="V67" s="4572"/>
      <c r="W67" s="4573"/>
      <c r="X67" s="2244"/>
      <c r="AA67" s="117">
        <f>ROW()</f>
        <v>67</v>
      </c>
    </row>
    <row r="68" spans="2:27" ht="14.1" customHeight="1">
      <c r="B68" s="1" t="s">
        <v>5538</v>
      </c>
      <c r="G68" s="10">
        <f>G66/$F$56</f>
        <v>2791.0137816656629</v>
      </c>
      <c r="H68" s="10">
        <f>H66/$F$56</f>
        <v>5863.5379135253488</v>
      </c>
      <c r="I68" s="3160">
        <f>I66/$F$56+2138/2+1988/3</f>
        <v>4021.930668299336</v>
      </c>
      <c r="J68" s="10">
        <f>J66/$F$56</f>
        <v>7332.4756166227608</v>
      </c>
      <c r="K68" s="10">
        <f>K66/$F$56</f>
        <v>1957.0920008959213</v>
      </c>
      <c r="L68" s="874">
        <f>SUM(G68:K68)</f>
        <v>21966.04998100903</v>
      </c>
      <c r="M68" s="10">
        <f t="shared" ref="M68:S68" si="4">M66/$F$56</f>
        <v>1846.1141456054916</v>
      </c>
      <c r="N68" s="10">
        <f t="shared" si="4"/>
        <v>842.65178087206834</v>
      </c>
      <c r="O68" s="10">
        <f t="shared" si="4"/>
        <v>1287.1222035129683</v>
      </c>
      <c r="P68" s="10">
        <f t="shared" si="4"/>
        <v>802.27020684652541</v>
      </c>
      <c r="Q68" s="10">
        <f t="shared" si="4"/>
        <v>76.917983357228351</v>
      </c>
      <c r="R68" s="10">
        <f t="shared" si="4"/>
        <v>113.16543515310825</v>
      </c>
      <c r="S68" s="10">
        <f t="shared" si="4"/>
        <v>255.15076045346373</v>
      </c>
      <c r="T68" s="874">
        <f>SUM(L68:S68)</f>
        <v>27189.442496809879</v>
      </c>
      <c r="U68" s="4574"/>
      <c r="V68" s="4575"/>
      <c r="W68" s="4576"/>
      <c r="X68" s="2244"/>
      <c r="AA68" s="117">
        <f>ROW()</f>
        <v>68</v>
      </c>
    </row>
    <row r="69" spans="2:27" ht="14.1" customHeight="1">
      <c r="B69" s="265" t="str">
        <f>CONCATENATE("Quotient of Rows ",AA66, " and ",AA56, ".")</f>
        <v>Quotient of Rows 66 and 56.</v>
      </c>
      <c r="G69" s="10"/>
      <c r="H69" s="10"/>
      <c r="I69" s="10"/>
      <c r="J69" s="10"/>
      <c r="K69" s="10"/>
      <c r="L69" s="50"/>
      <c r="M69" s="10"/>
      <c r="N69" s="10"/>
      <c r="O69" s="10"/>
      <c r="P69" s="10"/>
      <c r="Q69" s="10"/>
      <c r="R69" s="10"/>
      <c r="S69" s="10"/>
      <c r="T69" s="874"/>
      <c r="X69" s="2244"/>
      <c r="AA69" s="117">
        <f>ROW()</f>
        <v>69</v>
      </c>
    </row>
    <row r="70" spans="2:27" ht="14.1" customHeight="1">
      <c r="B70" s="1" t="s">
        <v>5539</v>
      </c>
      <c r="G70" s="10">
        <f>G64+G68</f>
        <v>21141.421939066189</v>
      </c>
      <c r="H70" s="10">
        <f>H64+H68</f>
        <v>34362.775314055849</v>
      </c>
      <c r="I70" s="10">
        <f>I64+I68</f>
        <v>24993.990226230369</v>
      </c>
      <c r="J70" s="10">
        <f>J64+J68</f>
        <v>47960.806448877396</v>
      </c>
      <c r="K70" s="10">
        <f>K64+K68</f>
        <v>13994.453228588229</v>
      </c>
      <c r="L70" s="874">
        <f>SUM(G70:K70)</f>
        <v>142453.44715681803</v>
      </c>
      <c r="M70" s="10">
        <f t="shared" ref="M70:S70" si="5">M64+M68</f>
        <v>19074.051352395938</v>
      </c>
      <c r="N70" s="10">
        <f t="shared" si="5"/>
        <v>8706.2781999702111</v>
      </c>
      <c r="O70" s="10">
        <f t="shared" si="5"/>
        <v>13298.546606695991</v>
      </c>
      <c r="P70" s="10">
        <f t="shared" si="5"/>
        <v>6684.7445835043482</v>
      </c>
      <c r="Q70" s="10">
        <f t="shared" si="5"/>
        <v>1019.0286730124006</v>
      </c>
      <c r="R70" s="10">
        <f t="shared" si="5"/>
        <v>1499.2439762671668</v>
      </c>
      <c r="S70" s="10">
        <f t="shared" si="5"/>
        <v>2125.9890363155323</v>
      </c>
      <c r="T70" s="874">
        <f>SUM(L70:S70)</f>
        <v>194861.3295849796</v>
      </c>
      <c r="U70" s="10">
        <f>(Distances!E172/(Distances!E113+Distances!E120))*(M70+N70)</f>
        <v>50519.873500472313</v>
      </c>
      <c r="V70" s="10">
        <f>Distances!E179/Distances!E134*O70</f>
        <v>4855.0249516509166</v>
      </c>
      <c r="W70" s="10">
        <f>Distances!E181/(Distances!E185-Distances!E181)*(SUM(G70:V70)-L70-T70)</f>
        <v>5368.7240514289379</v>
      </c>
      <c r="X70" s="3034">
        <f>SUM(T70:W70)</f>
        <v>255604.95208853175</v>
      </c>
      <c r="AA70" s="117">
        <f>ROW()</f>
        <v>70</v>
      </c>
    </row>
    <row r="71" spans="2:27" ht="14.1" customHeight="1">
      <c r="B71" s="265" t="str">
        <f>CONCATENATE("Sum of Rows ",AA64, " and ",AA68, ", except that:.")</f>
        <v>Sum of Rows 64 and 68, except that:.</v>
      </c>
      <c r="G71" s="10"/>
      <c r="H71" s="10"/>
      <c r="I71" s="10"/>
      <c r="J71" s="10"/>
      <c r="K71" s="10"/>
      <c r="L71" s="50"/>
      <c r="M71" s="10"/>
      <c r="N71" s="10"/>
      <c r="O71" s="10"/>
      <c r="P71" s="10"/>
      <c r="Q71" s="10"/>
      <c r="R71" s="10"/>
      <c r="S71" s="10"/>
      <c r="T71" s="874"/>
      <c r="X71" s="2244"/>
      <c r="AA71" s="117">
        <f>ROW()</f>
        <v>71</v>
      </c>
    </row>
    <row r="72" spans="2:27" ht="14.1" customHeight="1">
      <c r="B72" s="215" t="str">
        <f>CONCATENATE("1. Number of NJ regular auto commuters is estimated by prorating NJ commuters in 'Distances' worksheet, Row ",Distances!O172, ", by sum of Nassau &amp; Suffolk commuters in same worksheet, in Rows ",Distances!O113, " and ",Distances!O120, ".")</f>
        <v>1. Number of NJ regular auto commuters is estimated by prorating NJ commuters in 'Distances' worksheet, Row 172, by sum of Nassau &amp; Suffolk commuters in same worksheet, in Rows 113 and 120.</v>
      </c>
      <c r="G72" s="10"/>
      <c r="H72" s="10"/>
      <c r="I72" s="10"/>
      <c r="J72" s="10"/>
      <c r="K72" s="10"/>
      <c r="L72" s="50"/>
      <c r="M72" s="10"/>
      <c r="N72" s="10"/>
      <c r="O72" s="10"/>
      <c r="P72" s="10"/>
      <c r="Q72" s="10"/>
      <c r="R72" s="10"/>
      <c r="S72" s="10"/>
      <c r="T72" s="874"/>
      <c r="X72" s="2244"/>
      <c r="AA72" s="117">
        <f>ROW()</f>
        <v>72</v>
      </c>
    </row>
    <row r="73" spans="2:27" ht="14.1" customHeight="1">
      <c r="B73" s="215" t="str">
        <f>CONCATENATE("2. Number of CT regular auto commuters is estimated by prorating CT commuters in 'Distances' worksheet, Row ",Distances!O179, ", by Westchester commuters in same worksheet, Row ",Distances!O139, ".")</f>
        <v>2. Number of CT regular auto commuters is estimated by prorating CT commuters in 'Distances' worksheet, Row 179, by Westchester commuters in same worksheet, Row 139.</v>
      </c>
      <c r="G73" s="10"/>
      <c r="H73" s="10"/>
      <c r="I73" s="10"/>
      <c r="J73" s="10"/>
      <c r="K73" s="10"/>
      <c r="L73" s="50"/>
      <c r="M73" s="10"/>
      <c r="N73" s="10"/>
      <c r="O73" s="10"/>
      <c r="P73" s="10"/>
      <c r="Q73" s="10"/>
      <c r="R73" s="10"/>
      <c r="S73" s="10"/>
      <c r="T73" s="874"/>
      <c r="X73" s="2244"/>
      <c r="AA73" s="117">
        <f>ROW()</f>
        <v>73</v>
      </c>
    </row>
    <row r="74" spans="2:27" ht="14.1" customHeight="1">
      <c r="B74" s="215" t="str">
        <f>CONCATENATE("3. Number of 'Other' regular auto commuters is estimated by prorating ratio of 'Other' commuters to all others in 'Distances' worksheet (ratio of Row ",Distances!O181, " to the difference between Rows ",Distances!O185, " and ",Distances!O181, ") by sum of all other columns in this row in this tab.")</f>
        <v>3. Number of 'Other' regular auto commuters is estimated by prorating ratio of 'Other' commuters to all others in 'Distances' worksheet (ratio of Row 181 to the difference between Rows 185 and 181) by sum of all other columns in this row in this tab.</v>
      </c>
      <c r="G74" s="10"/>
      <c r="H74" s="10"/>
      <c r="I74" s="10"/>
      <c r="J74" s="23"/>
      <c r="K74" s="10"/>
      <c r="L74" s="50"/>
      <c r="M74" s="10"/>
      <c r="N74" s="10"/>
      <c r="O74" s="10"/>
      <c r="P74" s="10"/>
      <c r="Q74" s="10"/>
      <c r="R74" s="10"/>
      <c r="S74" s="10"/>
      <c r="T74" s="874"/>
      <c r="X74" s="2244"/>
      <c r="AA74" s="117">
        <f>ROW()</f>
        <v>74</v>
      </c>
    </row>
    <row r="75" spans="2:27" ht="14.1" customHeight="1">
      <c r="B75" s="1" t="s">
        <v>5540</v>
      </c>
      <c r="H75" s="3071"/>
      <c r="I75" s="2346"/>
      <c r="J75" s="2347" t="s">
        <v>5385</v>
      </c>
      <c r="K75" s="3072">
        <v>0.85</v>
      </c>
      <c r="L75" s="3068"/>
      <c r="M75" s="4578" t="str">
        <f>CONCATENATE("Komanoff assumptions. Are intended to be plausible while ensuring that figure for total CBD-commuter autos in Cell X",AA85, " matches estimated CBD entries for work trips in 'Motor Vs' worksheet, Cell I",'Motor Vs'!O61, ".")</f>
        <v>Komanoff assumptions. Are intended to be plausible while ensuring that figure for total CBD-commuter autos in Cell X85 matches estimated CBD entries for work trips in 'Motor Vs' worksheet, Cell I61.</v>
      </c>
      <c r="N75" s="4109"/>
      <c r="O75" s="4109"/>
      <c r="P75" s="4462"/>
      <c r="Q75" s="10"/>
      <c r="R75" s="10"/>
      <c r="S75" s="10"/>
      <c r="T75" s="874"/>
      <c r="X75" s="2244"/>
      <c r="AA75" s="117">
        <f>ROW()</f>
        <v>75</v>
      </c>
    </row>
    <row r="76" spans="2:27" ht="14.1" customHeight="1">
      <c r="B76" s="1"/>
      <c r="H76" s="3071"/>
      <c r="I76" s="2346"/>
      <c r="J76" s="2347" t="s">
        <v>5388</v>
      </c>
      <c r="K76" s="3072">
        <v>0.8</v>
      </c>
      <c r="L76" s="2561"/>
      <c r="M76" s="4111"/>
      <c r="N76" s="4111"/>
      <c r="O76" s="4111"/>
      <c r="P76" s="4463"/>
      <c r="Q76" s="10"/>
      <c r="R76" s="10"/>
      <c r="S76" s="10"/>
      <c r="T76" s="874"/>
      <c r="X76" s="2244"/>
      <c r="AA76" s="117">
        <f>ROW()</f>
        <v>76</v>
      </c>
    </row>
    <row r="77" spans="2:27" ht="14.1" customHeight="1">
      <c r="B77" s="1"/>
      <c r="H77" s="3071"/>
      <c r="I77" s="2346"/>
      <c r="J77" s="2347" t="s">
        <v>5386</v>
      </c>
      <c r="K77" s="3072">
        <v>0.8</v>
      </c>
      <c r="L77" s="2561"/>
      <c r="M77" s="4111"/>
      <c r="N77" s="4111"/>
      <c r="O77" s="4111"/>
      <c r="P77" s="4463"/>
      <c r="Q77" s="10"/>
      <c r="R77" s="10"/>
      <c r="S77" s="10"/>
      <c r="T77" s="874"/>
      <c r="X77" s="2244"/>
      <c r="AA77" s="117">
        <f>ROW()</f>
        <v>77</v>
      </c>
    </row>
    <row r="78" spans="2:27" ht="14.1" customHeight="1">
      <c r="B78" s="1"/>
      <c r="H78" s="3069"/>
      <c r="I78" s="2659"/>
      <c r="J78" s="3070" t="s">
        <v>5387</v>
      </c>
      <c r="K78" s="3072">
        <v>0.35</v>
      </c>
      <c r="L78" s="2659"/>
      <c r="M78" s="4113"/>
      <c r="N78" s="4113"/>
      <c r="O78" s="4113"/>
      <c r="P78" s="4464"/>
      <c r="Q78" s="10"/>
      <c r="R78" s="10"/>
      <c r="S78" s="10"/>
      <c r="T78" s="874"/>
      <c r="X78" s="2244"/>
      <c r="AA78" s="117">
        <f>ROW()</f>
        <v>78</v>
      </c>
    </row>
    <row r="79" spans="2:27" ht="14.1" customHeight="1">
      <c r="B79" s="1" t="s">
        <v>5317</v>
      </c>
      <c r="G79" s="10">
        <f>$K75*G70</f>
        <v>17970.208648206259</v>
      </c>
      <c r="H79" s="10">
        <f>$K75*H70</f>
        <v>29208.35901694747</v>
      </c>
      <c r="I79" s="10">
        <f>$K75*I70</f>
        <v>21244.891692295812</v>
      </c>
      <c r="J79" s="10">
        <f>$K75*J70</f>
        <v>40766.685481545785</v>
      </c>
      <c r="K79" s="10">
        <f>$K75*K70</f>
        <v>11895.285244299994</v>
      </c>
      <c r="L79" s="874">
        <f>SUM(G79:K79)</f>
        <v>121085.43008329533</v>
      </c>
      <c r="M79" s="10">
        <f t="shared" ref="M79:S79" si="6">$K76*M70</f>
        <v>15259.241081916751</v>
      </c>
      <c r="N79" s="10">
        <f t="shared" si="6"/>
        <v>6965.0225599761688</v>
      </c>
      <c r="O79" s="10">
        <f t="shared" si="6"/>
        <v>10638.837285356793</v>
      </c>
      <c r="P79" s="10">
        <f t="shared" si="6"/>
        <v>5347.7956668034785</v>
      </c>
      <c r="Q79" s="10">
        <f t="shared" si="6"/>
        <v>815.22293840992052</v>
      </c>
      <c r="R79" s="10">
        <f t="shared" si="6"/>
        <v>1199.3951810137335</v>
      </c>
      <c r="S79" s="10">
        <f t="shared" si="6"/>
        <v>1700.7912290524259</v>
      </c>
      <c r="T79" s="874">
        <f>SUM(L79:S79)</f>
        <v>163011.73602582465</v>
      </c>
      <c r="U79" s="10">
        <f>$K77*U70</f>
        <v>40415.89880037785</v>
      </c>
      <c r="V79" s="10">
        <f>$K77*V70</f>
        <v>3884.0199613207333</v>
      </c>
      <c r="W79" s="10">
        <f>$K78*W70</f>
        <v>1879.0534180001282</v>
      </c>
      <c r="X79" s="3034">
        <f>SUM(T79:W79)</f>
        <v>209190.70820552338</v>
      </c>
      <c r="AA79" s="117">
        <f>ROW()</f>
        <v>79</v>
      </c>
    </row>
    <row r="80" spans="2:27" ht="14.1" customHeight="1">
      <c r="B80" s="265" t="str">
        <f>CONCATENATE("Product of estimated % in Rows ",AA75, "-",AA78, " and number of autos in Row ",AA70, ".")</f>
        <v>Product of estimated % in Rows 75-78 and number of autos in Row 70.</v>
      </c>
      <c r="G80" s="10"/>
      <c r="H80" s="10"/>
      <c r="I80" s="10"/>
      <c r="J80" s="10"/>
      <c r="K80" s="10"/>
      <c r="L80" s="50"/>
      <c r="M80" s="10"/>
      <c r="N80" s="10"/>
      <c r="O80" s="10"/>
      <c r="P80" s="10"/>
      <c r="Q80" s="10"/>
      <c r="R80" s="10"/>
      <c r="S80" s="10"/>
      <c r="T80" s="874"/>
      <c r="X80" s="2244"/>
      <c r="AA80" s="117">
        <f>ROW()</f>
        <v>80</v>
      </c>
    </row>
    <row r="81" spans="2:27" ht="14.1" customHeight="1">
      <c r="B81" s="1" t="s">
        <v>5326</v>
      </c>
      <c r="G81" s="10"/>
      <c r="H81" s="10"/>
      <c r="J81" s="23">
        <v>0.15</v>
      </c>
      <c r="K81" s="10"/>
      <c r="L81" s="50"/>
      <c r="M81" s="10"/>
      <c r="N81" s="10"/>
      <c r="O81" s="10"/>
      <c r="P81" s="10"/>
      <c r="Q81" s="10"/>
      <c r="R81" s="10"/>
      <c r="S81" s="10"/>
      <c r="T81" s="874"/>
      <c r="X81" s="2244"/>
      <c r="AA81" s="117">
        <f>ROW()</f>
        <v>81</v>
      </c>
    </row>
    <row r="82" spans="2:27" ht="14.1" customHeight="1">
      <c r="B82" s="265" t="s">
        <v>768</v>
      </c>
      <c r="G82" s="10"/>
      <c r="H82" s="10"/>
      <c r="I82" s="10"/>
      <c r="J82" s="10"/>
      <c r="K82" s="10"/>
      <c r="L82" s="50"/>
      <c r="M82" s="10"/>
      <c r="N82" s="10"/>
      <c r="O82" s="10"/>
      <c r="P82" s="10"/>
      <c r="Q82" s="10"/>
      <c r="R82" s="10"/>
      <c r="S82" s="10"/>
      <c r="T82" s="874"/>
      <c r="X82" s="2244"/>
      <c r="AA82" s="117">
        <f>ROW()</f>
        <v>82</v>
      </c>
    </row>
    <row r="83" spans="2:27" ht="14.1" customHeight="1">
      <c r="B83" s="1" t="s">
        <v>5322</v>
      </c>
      <c r="G83" s="10">
        <f>$J81*G79</f>
        <v>2695.5312972309389</v>
      </c>
      <c r="H83" s="10">
        <f>$J81*H79</f>
        <v>4381.2538525421205</v>
      </c>
      <c r="I83" s="10">
        <f>$J81*I79</f>
        <v>3186.7337538443717</v>
      </c>
      <c r="J83" s="10">
        <f>$J81*J79</f>
        <v>6115.0028222318679</v>
      </c>
      <c r="K83" s="10">
        <f>$J81*K79</f>
        <v>1784.2927866449991</v>
      </c>
      <c r="L83" s="874">
        <f>SUM(G83:K83)</f>
        <v>18162.814512494297</v>
      </c>
      <c r="M83" s="10">
        <f t="shared" ref="M83:W83" si="7">$J81*M79</f>
        <v>2288.8861622875124</v>
      </c>
      <c r="N83" s="10">
        <f t="shared" si="7"/>
        <v>1044.7533839964253</v>
      </c>
      <c r="O83" s="10">
        <f t="shared" si="7"/>
        <v>1595.8255928035189</v>
      </c>
      <c r="P83" s="10">
        <f t="shared" si="7"/>
        <v>802.16935002052173</v>
      </c>
      <c r="Q83" s="10">
        <f t="shared" si="7"/>
        <v>122.28344076148807</v>
      </c>
      <c r="R83" s="10">
        <f t="shared" si="7"/>
        <v>179.90927715206001</v>
      </c>
      <c r="S83" s="10">
        <f t="shared" si="7"/>
        <v>255.11868435786388</v>
      </c>
      <c r="T83" s="874">
        <f>SUM(L83:S83)</f>
        <v>24451.760403873683</v>
      </c>
      <c r="U83" s="10">
        <f t="shared" si="7"/>
        <v>6062.3848200566772</v>
      </c>
      <c r="V83" s="10">
        <f t="shared" si="7"/>
        <v>582.60299419810997</v>
      </c>
      <c r="W83" s="10">
        <f t="shared" si="7"/>
        <v>281.85801270001923</v>
      </c>
      <c r="X83" s="3034">
        <f>SUM(T83:W83)</f>
        <v>31378.606230828493</v>
      </c>
      <c r="AA83" s="117">
        <f>ROW()</f>
        <v>83</v>
      </c>
    </row>
    <row r="84" spans="2:27" ht="14.1" customHeight="1">
      <c r="B84" s="265" t="str">
        <f>CONCATENATE("Product of estimated % in Row ",AA81, " and number of autos in Row ",AA79, ".")</f>
        <v>Product of estimated % in Row 81 and number of autos in Row 79.</v>
      </c>
      <c r="G84" s="10"/>
      <c r="H84" s="10"/>
      <c r="I84" s="10"/>
      <c r="J84" s="10"/>
      <c r="K84" s="10"/>
      <c r="L84" s="50"/>
      <c r="M84" s="10"/>
      <c r="N84" s="10"/>
      <c r="O84" s="10"/>
      <c r="P84" s="10"/>
      <c r="Q84" s="10"/>
      <c r="R84" s="10"/>
      <c r="S84" s="10"/>
      <c r="T84" s="874"/>
      <c r="X84" s="2244"/>
      <c r="AA84" s="117">
        <f>ROW()</f>
        <v>84</v>
      </c>
    </row>
    <row r="85" spans="2:27" s="2" customFormat="1" ht="14.1" customHeight="1">
      <c r="B85" s="2" t="s">
        <v>5323</v>
      </c>
      <c r="G85" s="5">
        <f>G79+G83</f>
        <v>20665.739945437199</v>
      </c>
      <c r="H85" s="5">
        <f t="shared" ref="H85:K85" si="8">H79+H83</f>
        <v>33589.612869489589</v>
      </c>
      <c r="I85" s="5">
        <f t="shared" si="8"/>
        <v>24431.625446140184</v>
      </c>
      <c r="J85" s="5">
        <f t="shared" si="8"/>
        <v>46881.68830377765</v>
      </c>
      <c r="K85" s="5">
        <f t="shared" si="8"/>
        <v>13679.578030944993</v>
      </c>
      <c r="L85" s="3074">
        <f>SUM(G85:K85)</f>
        <v>139248.24459578964</v>
      </c>
      <c r="M85" s="5">
        <f t="shared" ref="M85:W85" si="9">M79+M83</f>
        <v>17548.127244204265</v>
      </c>
      <c r="N85" s="5">
        <f t="shared" si="9"/>
        <v>8009.7759439725942</v>
      </c>
      <c r="O85" s="5">
        <f t="shared" si="9"/>
        <v>12234.662878160312</v>
      </c>
      <c r="P85" s="5">
        <f t="shared" si="9"/>
        <v>6149.9650168240005</v>
      </c>
      <c r="Q85" s="5">
        <f t="shared" si="9"/>
        <v>937.50637917140853</v>
      </c>
      <c r="R85" s="5">
        <f t="shared" si="9"/>
        <v>1379.3044581657934</v>
      </c>
      <c r="S85" s="5">
        <f t="shared" si="9"/>
        <v>1955.9099134102898</v>
      </c>
      <c r="T85" s="874">
        <f>SUM(L85:S85)</f>
        <v>187463.49642969831</v>
      </c>
      <c r="U85" s="5">
        <f t="shared" si="9"/>
        <v>46478.283620434529</v>
      </c>
      <c r="V85" s="5">
        <f t="shared" si="9"/>
        <v>4466.6229555188429</v>
      </c>
      <c r="W85" s="5">
        <f t="shared" si="9"/>
        <v>2160.9114307001473</v>
      </c>
      <c r="X85" s="3034">
        <f>SUM(T85:W85)</f>
        <v>240569.31443635182</v>
      </c>
      <c r="AA85" s="117">
        <f>ROW()</f>
        <v>85</v>
      </c>
    </row>
    <row r="86" spans="2:27" ht="14.1" customHeight="1">
      <c r="B86" s="3033" t="str">
        <f>CONCATENATE("Sum of Rows ",AA79, " and ",AA83, ".")</f>
        <v>Sum of Rows 79 and 83.</v>
      </c>
      <c r="G86" s="10"/>
      <c r="H86" s="10"/>
      <c r="I86" s="10"/>
      <c r="J86" s="10"/>
      <c r="K86" s="10"/>
      <c r="L86" s="874"/>
      <c r="M86" s="10"/>
      <c r="N86" s="10"/>
      <c r="O86" s="10"/>
      <c r="P86" s="10"/>
      <c r="Q86" s="10"/>
      <c r="R86" s="10"/>
      <c r="S86" s="10"/>
      <c r="T86" s="874"/>
      <c r="X86" s="2244"/>
      <c r="AA86" s="117">
        <f>ROW()</f>
        <v>86</v>
      </c>
    </row>
    <row r="87" spans="2:27" ht="14.1" customHeight="1">
      <c r="G87" s="10"/>
      <c r="H87" s="10"/>
      <c r="I87" s="10"/>
      <c r="J87" s="10"/>
      <c r="K87" s="10"/>
      <c r="L87" s="874"/>
      <c r="M87" s="10"/>
      <c r="N87" s="10"/>
      <c r="O87" s="10"/>
      <c r="P87" s="10"/>
      <c r="Q87" s="10"/>
      <c r="R87" s="10"/>
      <c r="S87" s="10"/>
      <c r="T87" s="874"/>
      <c r="X87" s="2244"/>
      <c r="AA87" s="117">
        <f>ROW()</f>
        <v>87</v>
      </c>
    </row>
    <row r="88" spans="2:27" ht="14.1" customHeight="1">
      <c r="B88" s="24" t="s">
        <v>5413</v>
      </c>
      <c r="G88" s="10"/>
      <c r="H88" s="10"/>
      <c r="I88" s="10"/>
      <c r="J88" s="10"/>
      <c r="K88" s="10"/>
      <c r="L88" s="874"/>
      <c r="M88" s="10"/>
      <c r="N88" s="10"/>
      <c r="O88" s="10"/>
      <c r="P88" s="10"/>
      <c r="Q88" s="10"/>
      <c r="R88" s="10"/>
      <c r="S88" s="10"/>
      <c r="T88" s="874"/>
      <c r="X88" s="2244"/>
      <c r="AA88" s="117">
        <f>ROW()</f>
        <v>88</v>
      </c>
    </row>
    <row r="89" spans="2:27" ht="14.1" customHeight="1">
      <c r="B89" s="1" t="s">
        <v>5546</v>
      </c>
      <c r="G89" s="10">
        <f>'Motor Vs'!$K$59*G70</f>
        <v>6050.5753024263522</v>
      </c>
      <c r="H89" s="10">
        <f>'Motor Vs'!$K$59*H70</f>
        <v>9834.4643154705318</v>
      </c>
      <c r="I89" s="10">
        <f>'Motor Vs'!$K$59*I70</f>
        <v>7153.1621859581883</v>
      </c>
      <c r="J89" s="10">
        <f>'Motor Vs'!$K$59*J70</f>
        <v>13726.156727793199</v>
      </c>
      <c r="K89" s="10">
        <f>'Motor Vs'!$K$59*K70</f>
        <v>4005.146546902356</v>
      </c>
      <c r="L89" s="874">
        <f>SUM(G89:K89)</f>
        <v>40769.505078550625</v>
      </c>
      <c r="M89" s="10">
        <f>'Motor Vs'!$K$59*M70</f>
        <v>5458.9035857025428</v>
      </c>
      <c r="N89" s="10">
        <f>'Motor Vs'!$K$59*N70</f>
        <v>2491.6957811362563</v>
      </c>
      <c r="O89" s="10">
        <f>'Motor Vs'!$K$59*O70</f>
        <v>3805.9813520847124</v>
      </c>
      <c r="P89" s="10">
        <f>'Motor Vs'!$K$59*P70</f>
        <v>1913.1423892184166</v>
      </c>
      <c r="Q89" s="10">
        <f>'Motor Vs'!$K$59*Q70</f>
        <v>291.64120271398679</v>
      </c>
      <c r="R89" s="10">
        <f>'Motor Vs'!$K$59*R70</f>
        <v>429.07655886434077</v>
      </c>
      <c r="S89" s="10">
        <f>'Motor Vs'!$K$59*S70</f>
        <v>608.44804069636461</v>
      </c>
      <c r="T89" s="874">
        <f>SUM(L89:S89)</f>
        <v>55768.393988967247</v>
      </c>
      <c r="U89" s="10">
        <f>'Motor Vs'!$K$59*U70</f>
        <v>14458.549655017332</v>
      </c>
      <c r="V89" s="10">
        <f>'Motor Vs'!$K$59*V70</f>
        <v>1389.48525552299</v>
      </c>
      <c r="W89" s="10">
        <f>'Motor Vs'!$K$59*W70</f>
        <v>1536.5035164022217</v>
      </c>
      <c r="X89" s="3034">
        <f>SUM(T89:W89)</f>
        <v>73152.932415909789</v>
      </c>
      <c r="AA89" s="117">
        <f>ROW()</f>
        <v>89</v>
      </c>
    </row>
    <row r="90" spans="2:27" ht="14.1" customHeight="1">
      <c r="B90" s="265" t="str">
        <f>CONCATENATE("Product of Cell K",'Motor Vs'!O59, " from 'Motor Vs' worksheet, which denotes auto through-trips as a percent of auto trips w/ CBD destination, and Row ",AA70, " of this tab, which denotes solo + carpool auto-trips from county that end in CBD.")</f>
        <v>Product of Cell K59 from 'Motor Vs' worksheet, which denotes auto through-trips as a percent of auto trips w/ CBD destination, and Row 70 of this tab, which denotes solo + carpool auto-trips from county that end in CBD.</v>
      </c>
      <c r="G90" s="10"/>
      <c r="H90" s="10"/>
      <c r="I90" s="10"/>
      <c r="J90" s="10"/>
      <c r="K90" s="10"/>
      <c r="L90" s="1855"/>
      <c r="M90" s="10"/>
      <c r="N90" s="10"/>
      <c r="O90" s="10"/>
      <c r="P90" s="10"/>
      <c r="Q90" s="10"/>
      <c r="R90" s="10"/>
      <c r="S90" s="10"/>
      <c r="T90" s="874"/>
      <c r="X90" s="2244"/>
      <c r="AA90" s="117">
        <f>ROW()</f>
        <v>90</v>
      </c>
    </row>
    <row r="91" spans="2:27" ht="14.1" customHeight="1">
      <c r="B91" s="1" t="s">
        <v>5541</v>
      </c>
      <c r="G91" s="10">
        <f>G89/($X$89-$I$89)*$I$89</f>
        <v>655.77116868457392</v>
      </c>
      <c r="H91" s="10">
        <f>H89/($X$89-$I$89)*$I$89</f>
        <v>1065.8751994965935</v>
      </c>
      <c r="I91" s="3082" t="s">
        <v>2417</v>
      </c>
      <c r="J91" s="10">
        <f>J89/($X$89-$I$89)*$I$89</f>
        <v>1487.6631376396522</v>
      </c>
      <c r="K91" s="10">
        <f>K89/($X$89-$I$89)*$I$89</f>
        <v>434.08428133468607</v>
      </c>
      <c r="L91" s="3097">
        <f>SUM(G91:K91)</f>
        <v>3643.3937871555058</v>
      </c>
      <c r="M91" s="10">
        <f t="shared" ref="M91:S91" si="10">M89/($X$89-$I$89)*$I$89</f>
        <v>591.64482800454186</v>
      </c>
      <c r="N91" s="10">
        <f t="shared" si="10"/>
        <v>270.05403167974771</v>
      </c>
      <c r="O91" s="10">
        <f t="shared" si="10"/>
        <v>412.49843436332748</v>
      </c>
      <c r="P91" s="10">
        <f t="shared" si="10"/>
        <v>207.34947632742563</v>
      </c>
      <c r="Q91" s="10">
        <f t="shared" si="10"/>
        <v>31.608546754823859</v>
      </c>
      <c r="R91" s="10">
        <f t="shared" si="10"/>
        <v>46.504013651195955</v>
      </c>
      <c r="S91" s="10">
        <f t="shared" si="10"/>
        <v>65.944585892731467</v>
      </c>
      <c r="T91" s="874">
        <f>SUM(L91:S91)</f>
        <v>5268.9977038293</v>
      </c>
      <c r="U91" s="10">
        <f>U89/($X$89-$I$89)*$I$89</f>
        <v>1567.0410714419943</v>
      </c>
      <c r="V91" s="10">
        <f>V89/($X$89-$I$89)*$I$89</f>
        <v>150.59466651359571</v>
      </c>
      <c r="W91" s="10">
        <f>W89/($X$89-$I$89)*$I$89</f>
        <v>166.52874417329951</v>
      </c>
      <c r="X91" s="3034">
        <f>SUM(T91:W91)</f>
        <v>7153.1621859581901</v>
      </c>
      <c r="AA91" s="117">
        <f>ROW()</f>
        <v>91</v>
      </c>
    </row>
    <row r="92" spans="2:27" ht="14.1" customHeight="1">
      <c r="B92" s="265" t="str">
        <f>CONCATENATE("Uses Manhattan and total figures in Row ",AA89, " to prorate Manhattan through-trips (an oxymoron) to each of the other columns, in proportion to their total through-trips in Row ",AA89, ".")</f>
        <v>Uses Manhattan and total figures in Row 89 to prorate Manhattan through-trips (an oxymoron) to each of the other columns, in proportion to their total through-trips in Row 89.</v>
      </c>
      <c r="G92" s="10"/>
      <c r="H92" s="10"/>
      <c r="I92" s="10"/>
      <c r="J92" s="10"/>
      <c r="K92" s="10"/>
      <c r="L92" s="1855"/>
      <c r="M92" s="10"/>
      <c r="N92" s="10"/>
      <c r="O92" s="10"/>
      <c r="P92" s="10"/>
      <c r="Q92" s="10"/>
      <c r="R92" s="10"/>
      <c r="S92" s="10"/>
      <c r="T92" s="874"/>
      <c r="X92" s="2244"/>
      <c r="AA92" s="117">
        <f>ROW()</f>
        <v>92</v>
      </c>
    </row>
    <row r="93" spans="2:27" ht="14.1" customHeight="1">
      <c r="B93" s="1" t="s">
        <v>5542</v>
      </c>
      <c r="G93" s="10">
        <f>G89+G91</f>
        <v>6706.3464711109264</v>
      </c>
      <c r="H93" s="10">
        <f>H89+H91</f>
        <v>10900.339514967125</v>
      </c>
      <c r="I93" s="3082">
        <v>0</v>
      </c>
      <c r="J93" s="10">
        <f>J89+J91</f>
        <v>15213.819865432852</v>
      </c>
      <c r="K93" s="10">
        <f>K89+K91</f>
        <v>4439.2308282370423</v>
      </c>
      <c r="L93" s="874">
        <f>SUM(G93:K93)</f>
        <v>37259.736679747948</v>
      </c>
      <c r="M93" s="10">
        <f t="shared" ref="M93:S93" si="11">M89+M91</f>
        <v>6050.5484137070844</v>
      </c>
      <c r="N93" s="10">
        <f t="shared" si="11"/>
        <v>2761.7498128160041</v>
      </c>
      <c r="O93" s="10">
        <f t="shared" si="11"/>
        <v>4218.4797864480397</v>
      </c>
      <c r="P93" s="10">
        <f t="shared" si="11"/>
        <v>2120.4918655458423</v>
      </c>
      <c r="Q93" s="10">
        <f t="shared" si="11"/>
        <v>323.24974946881065</v>
      </c>
      <c r="R93" s="10">
        <f t="shared" si="11"/>
        <v>475.58057251553674</v>
      </c>
      <c r="S93" s="10">
        <f t="shared" si="11"/>
        <v>674.39262658909604</v>
      </c>
      <c r="T93" s="874">
        <f>SUM(L93:S93)</f>
        <v>53884.229506838361</v>
      </c>
      <c r="U93" s="10">
        <f>U89+U91</f>
        <v>16025.590726459326</v>
      </c>
      <c r="V93" s="10">
        <f>V89+V91</f>
        <v>1540.0799220365857</v>
      </c>
      <c r="W93" s="10">
        <f>W89+W91</f>
        <v>1703.0322605755214</v>
      </c>
      <c r="X93" s="3034">
        <f>SUM(T93:W93)</f>
        <v>73152.932415909789</v>
      </c>
      <c r="AA93" s="117">
        <f>ROW()</f>
        <v>93</v>
      </c>
    </row>
    <row r="94" spans="2:27" ht="14.1" customHeight="1">
      <c r="B94" s="3033" t="str">
        <f>CONCATENATE("Sum of Rows ",AA89, " and ",AA91, ", except that Manhattan column is zeroed out.")</f>
        <v>Sum of Rows 89 and 91, except that Manhattan column is zeroed out.</v>
      </c>
      <c r="G94" s="10"/>
      <c r="H94" s="10"/>
      <c r="I94" s="10"/>
      <c r="J94" s="10"/>
      <c r="K94" s="10"/>
      <c r="L94" s="10"/>
      <c r="M94" s="10"/>
      <c r="N94" s="10"/>
      <c r="O94" s="10"/>
      <c r="P94" s="10"/>
      <c r="Q94" s="10"/>
      <c r="R94" s="10"/>
      <c r="S94" s="10"/>
      <c r="T94" s="874"/>
      <c r="X94" s="2244"/>
      <c r="AA94" s="117">
        <f>ROW()</f>
        <v>94</v>
      </c>
    </row>
    <row r="95" spans="2:27" ht="14.1" customHeight="1">
      <c r="B95" s="1" t="s">
        <v>5316</v>
      </c>
      <c r="H95" s="3071"/>
      <c r="I95" s="2346"/>
      <c r="J95" s="2347" t="s">
        <v>5385</v>
      </c>
      <c r="K95" s="3072">
        <f>K75</f>
        <v>0.85</v>
      </c>
      <c r="L95" s="3068"/>
      <c r="M95" s="4578" t="str">
        <f>CONCATENATE("Komanoff assumptions. Each cell is same as value in corresponding cell, ",AA95-AA75, " rows above.")</f>
        <v>Komanoff assumptions. Each cell is same as value in corresponding cell, 20 rows above.</v>
      </c>
      <c r="N95" s="4109"/>
      <c r="O95" s="4109"/>
      <c r="P95" s="4462"/>
      <c r="Q95" s="10"/>
      <c r="R95" s="10"/>
      <c r="S95" s="10"/>
      <c r="T95" s="874"/>
      <c r="X95" s="2244"/>
      <c r="AA95" s="117">
        <f>ROW()</f>
        <v>95</v>
      </c>
    </row>
    <row r="96" spans="2:27" ht="14.1" customHeight="1">
      <c r="B96" s="1"/>
      <c r="H96" s="3071"/>
      <c r="I96" s="2346"/>
      <c r="J96" s="2347" t="s">
        <v>5388</v>
      </c>
      <c r="K96" s="3072">
        <f>K76</f>
        <v>0.8</v>
      </c>
      <c r="L96" s="2561"/>
      <c r="M96" s="4111"/>
      <c r="N96" s="4111"/>
      <c r="O96" s="4111"/>
      <c r="P96" s="4463"/>
      <c r="Q96" s="10"/>
      <c r="R96" s="10"/>
      <c r="S96" s="10"/>
      <c r="T96" s="874"/>
      <c r="X96" s="2244"/>
      <c r="AA96" s="117">
        <f>ROW()</f>
        <v>96</v>
      </c>
    </row>
    <row r="97" spans="2:27" ht="14.1" customHeight="1">
      <c r="B97" s="1"/>
      <c r="H97" s="3071"/>
      <c r="I97" s="2346"/>
      <c r="J97" s="2347" t="s">
        <v>5386</v>
      </c>
      <c r="K97" s="3072">
        <f>K77</f>
        <v>0.8</v>
      </c>
      <c r="L97" s="2561"/>
      <c r="M97" s="4111"/>
      <c r="N97" s="4111"/>
      <c r="O97" s="4111"/>
      <c r="P97" s="4463"/>
      <c r="Q97" s="10"/>
      <c r="R97" s="10"/>
      <c r="S97" s="10"/>
      <c r="T97" s="874"/>
      <c r="X97" s="2244"/>
      <c r="AA97" s="117">
        <f>ROW()</f>
        <v>97</v>
      </c>
    </row>
    <row r="98" spans="2:27" ht="14.1" customHeight="1">
      <c r="B98" s="1"/>
      <c r="H98" s="3069"/>
      <c r="I98" s="2659"/>
      <c r="J98" s="3070" t="s">
        <v>5387</v>
      </c>
      <c r="K98" s="3072">
        <f>K78</f>
        <v>0.35</v>
      </c>
      <c r="L98" s="2659"/>
      <c r="M98" s="4113"/>
      <c r="N98" s="4113"/>
      <c r="O98" s="4113"/>
      <c r="P98" s="4464"/>
      <c r="Q98" s="10"/>
      <c r="R98" s="10"/>
      <c r="S98" s="10"/>
      <c r="T98" s="874"/>
      <c r="X98" s="2244"/>
      <c r="AA98" s="117">
        <f>ROW()</f>
        <v>98</v>
      </c>
    </row>
    <row r="99" spans="2:27" ht="14.1" customHeight="1">
      <c r="B99" s="1" t="s">
        <v>5422</v>
      </c>
      <c r="G99" s="10">
        <f>$K95*G93</f>
        <v>5700.3945004442876</v>
      </c>
      <c r="H99" s="10">
        <f>$K95*H93</f>
        <v>9265.288587722056</v>
      </c>
      <c r="I99" s="10">
        <f>$K95*I93</f>
        <v>0</v>
      </c>
      <c r="J99" s="10">
        <f>$K95*J93</f>
        <v>12931.746885617924</v>
      </c>
      <c r="K99" s="10">
        <f>$K95*K93</f>
        <v>3773.3462040014856</v>
      </c>
      <c r="L99" s="874">
        <f>SUM(G99:K99)</f>
        <v>31670.776177785752</v>
      </c>
      <c r="M99" s="10">
        <f t="shared" ref="M99:S99" si="12">$K96*M93</f>
        <v>4840.4387309656677</v>
      </c>
      <c r="N99" s="10">
        <f t="shared" si="12"/>
        <v>2209.3998502528034</v>
      </c>
      <c r="O99" s="10">
        <f t="shared" si="12"/>
        <v>3374.7838291584321</v>
      </c>
      <c r="P99" s="10">
        <f t="shared" si="12"/>
        <v>1696.393492436674</v>
      </c>
      <c r="Q99" s="10">
        <f t="shared" si="12"/>
        <v>258.59979957504851</v>
      </c>
      <c r="R99" s="10">
        <f t="shared" si="12"/>
        <v>380.46445801242942</v>
      </c>
      <c r="S99" s="10">
        <f t="shared" si="12"/>
        <v>539.5141012712769</v>
      </c>
      <c r="T99" s="874">
        <f>SUM(L99:S99)</f>
        <v>44970.370439458093</v>
      </c>
      <c r="U99" s="10">
        <f>$K97*U93</f>
        <v>12820.472581167462</v>
      </c>
      <c r="V99" s="10">
        <f>$K97*V93</f>
        <v>1232.0639376292686</v>
      </c>
      <c r="W99" s="10">
        <f>$K98*W93</f>
        <v>596.06129120143248</v>
      </c>
      <c r="X99" s="3034">
        <f>SUM(T99:W99)</f>
        <v>59618.968249456258</v>
      </c>
      <c r="AA99" s="117">
        <f>ROW()</f>
        <v>99</v>
      </c>
    </row>
    <row r="100" spans="2:27" ht="14.1" customHeight="1">
      <c r="B100" s="265" t="str">
        <f>CONCATENATE("Product of estimated % in Rows ",AA95, "-",AA98, " and number of autos in Row ",AA87, ".")</f>
        <v>Product of estimated % in Rows 95-98 and number of autos in Row 87.</v>
      </c>
      <c r="G100" s="10"/>
      <c r="H100" s="10"/>
      <c r="I100" s="10"/>
      <c r="J100" s="10"/>
      <c r="K100" s="10"/>
      <c r="L100" s="874"/>
      <c r="M100" s="10"/>
      <c r="N100" s="10"/>
      <c r="O100" s="10"/>
      <c r="P100" s="10"/>
      <c r="Q100" s="10"/>
      <c r="R100" s="10"/>
      <c r="S100" s="10"/>
      <c r="T100" s="874"/>
      <c r="X100" s="2244"/>
      <c r="AA100" s="117">
        <f>ROW()</f>
        <v>100</v>
      </c>
    </row>
    <row r="101" spans="2:27" ht="14.1" customHeight="1">
      <c r="B101" s="1" t="s">
        <v>5682</v>
      </c>
      <c r="G101" s="10"/>
      <c r="H101" s="10"/>
      <c r="K101" s="23">
        <f>J81</f>
        <v>0.15</v>
      </c>
      <c r="L101" s="874"/>
      <c r="M101" s="10"/>
      <c r="N101" s="10"/>
      <c r="O101" s="4" t="s">
        <v>4653</v>
      </c>
      <c r="P101" s="10"/>
      <c r="Q101" s="10"/>
      <c r="R101" s="10"/>
      <c r="S101" s="10"/>
      <c r="T101" s="874"/>
      <c r="X101" s="2244"/>
      <c r="AA101" s="117">
        <f>ROW()</f>
        <v>101</v>
      </c>
    </row>
    <row r="102" spans="2:27" ht="14.1" customHeight="1">
      <c r="B102" s="265" t="str">
        <f>CONCATENATE("Komanoff assumption, chosen to match percentage in Row ",AA81, ".")</f>
        <v>Komanoff assumption, chosen to match percentage in Row 81.</v>
      </c>
      <c r="G102" s="10"/>
      <c r="H102" s="10"/>
      <c r="I102" s="10"/>
      <c r="J102" s="10"/>
      <c r="K102" s="10"/>
      <c r="L102" s="874"/>
      <c r="M102" s="10"/>
      <c r="N102" s="10"/>
      <c r="O102" s="10"/>
      <c r="P102" s="10"/>
      <c r="Q102" s="10"/>
      <c r="R102" s="10"/>
      <c r="S102" s="10"/>
      <c r="T102" s="874"/>
      <c r="X102" s="2244"/>
      <c r="AA102" s="117">
        <f>ROW()</f>
        <v>102</v>
      </c>
    </row>
    <row r="103" spans="2:27" ht="14.1" customHeight="1">
      <c r="B103" s="1" t="s">
        <v>5324</v>
      </c>
      <c r="G103" s="10">
        <f>$K101*G99</f>
        <v>855.05917506664309</v>
      </c>
      <c r="H103" s="10">
        <f>$K101*H99</f>
        <v>1389.7932881583083</v>
      </c>
      <c r="I103" s="10">
        <f>$K101*I99</f>
        <v>0</v>
      </c>
      <c r="J103" s="10">
        <f>$K101*J99</f>
        <v>1939.7620328426885</v>
      </c>
      <c r="K103" s="10">
        <f>$K101*K99</f>
        <v>566.00193060022286</v>
      </c>
      <c r="L103" s="874">
        <f>SUM(G103:K103)</f>
        <v>4750.6164266678634</v>
      </c>
      <c r="M103" s="10">
        <f t="shared" ref="M103:S103" si="13">$K101*M99</f>
        <v>726.06580964485011</v>
      </c>
      <c r="N103" s="10">
        <f t="shared" si="13"/>
        <v>331.4099775379205</v>
      </c>
      <c r="O103" s="10">
        <f t="shared" si="13"/>
        <v>506.21757437376482</v>
      </c>
      <c r="P103" s="10">
        <f t="shared" si="13"/>
        <v>254.45902386550108</v>
      </c>
      <c r="Q103" s="10">
        <f t="shared" si="13"/>
        <v>38.789969936257272</v>
      </c>
      <c r="R103" s="10">
        <f t="shared" si="13"/>
        <v>57.069668701864408</v>
      </c>
      <c r="S103" s="10">
        <f t="shared" si="13"/>
        <v>80.927115190691538</v>
      </c>
      <c r="T103" s="874">
        <f>SUM(L103:S103)</f>
        <v>6745.5555659187139</v>
      </c>
      <c r="U103" s="10">
        <f>$K101*U99</f>
        <v>1923.0708871751192</v>
      </c>
      <c r="V103" s="10">
        <f>$K101*V99</f>
        <v>184.80959064439028</v>
      </c>
      <c r="W103" s="10">
        <f>$K101*W99</f>
        <v>89.409193680214869</v>
      </c>
      <c r="X103" s="3034">
        <f>SUM(T103:W103)</f>
        <v>8942.845237418438</v>
      </c>
      <c r="AA103" s="117">
        <f>ROW()</f>
        <v>103</v>
      </c>
    </row>
    <row r="104" spans="2:27" ht="14.1" customHeight="1">
      <c r="B104" s="265" t="str">
        <f>CONCATENATE("Product of estimated % in Row ",AA101, " and number of autos in Row ",AA99, ".")</f>
        <v>Product of estimated % in Row 101 and number of autos in Row 99.</v>
      </c>
      <c r="G104" s="10"/>
      <c r="H104" s="10"/>
      <c r="I104" s="10"/>
      <c r="J104" s="10"/>
      <c r="K104" s="10"/>
      <c r="L104" s="874"/>
      <c r="M104" s="10"/>
      <c r="N104" s="10"/>
      <c r="O104" s="10"/>
      <c r="P104" s="10"/>
      <c r="Q104" s="10"/>
      <c r="R104" s="10"/>
      <c r="S104" s="10"/>
      <c r="T104" s="874"/>
      <c r="X104" s="2244"/>
      <c r="AA104" s="117">
        <f>ROW()</f>
        <v>104</v>
      </c>
    </row>
    <row r="105" spans="2:27" s="2" customFormat="1" ht="14.1" customHeight="1">
      <c r="B105" s="2" t="s">
        <v>5325</v>
      </c>
      <c r="G105" s="5">
        <f>G99+G103</f>
        <v>6555.4536755109311</v>
      </c>
      <c r="H105" s="5">
        <f t="shared" ref="H105:K105" si="14">H99+H103</f>
        <v>10655.081875880365</v>
      </c>
      <c r="I105" s="5">
        <f t="shared" si="14"/>
        <v>0</v>
      </c>
      <c r="J105" s="5">
        <f t="shared" si="14"/>
        <v>14871.508918460613</v>
      </c>
      <c r="K105" s="5">
        <f t="shared" si="14"/>
        <v>4339.3481346017088</v>
      </c>
      <c r="L105" s="3074">
        <f>SUM(G105:K105)</f>
        <v>36421.392604453613</v>
      </c>
      <c r="M105" s="5">
        <f t="shared" ref="M105:W105" si="15">M99+M103</f>
        <v>5566.5045406105182</v>
      </c>
      <c r="N105" s="5">
        <f t="shared" si="15"/>
        <v>2540.8098277907238</v>
      </c>
      <c r="O105" s="5">
        <f t="shared" si="15"/>
        <v>3881.0014035321969</v>
      </c>
      <c r="P105" s="5">
        <f t="shared" si="15"/>
        <v>1950.852516302175</v>
      </c>
      <c r="Q105" s="5">
        <f t="shared" si="15"/>
        <v>297.38976951130576</v>
      </c>
      <c r="R105" s="5">
        <f t="shared" si="15"/>
        <v>437.53412671429385</v>
      </c>
      <c r="S105" s="5">
        <f t="shared" si="15"/>
        <v>620.44121646196845</v>
      </c>
      <c r="T105" s="874">
        <f>SUM(L105:S105)</f>
        <v>51715.926005376801</v>
      </c>
      <c r="U105" s="5">
        <f t="shared" si="15"/>
        <v>14743.543468342581</v>
      </c>
      <c r="V105" s="5">
        <f t="shared" si="15"/>
        <v>1416.8735282736588</v>
      </c>
      <c r="W105" s="5">
        <f t="shared" si="15"/>
        <v>685.47048488164739</v>
      </c>
      <c r="X105" s="3034">
        <f>SUM(T105:W105)</f>
        <v>68561.813486874686</v>
      </c>
      <c r="AA105" s="638">
        <f>ROW()</f>
        <v>105</v>
      </c>
    </row>
    <row r="106" spans="2:27" ht="14.1" customHeight="1">
      <c r="B106" s="3033" t="str">
        <f>CONCATENATE("Sum of Rows ",AA99, " and ",AA103, ".")</f>
        <v>Sum of Rows 99 and 103.</v>
      </c>
      <c r="G106" s="612"/>
      <c r="H106" s="612"/>
      <c r="I106" s="612"/>
      <c r="J106" s="612"/>
      <c r="K106" s="612"/>
      <c r="L106" s="874"/>
      <c r="M106" s="612"/>
      <c r="N106" s="612"/>
      <c r="O106" s="612"/>
      <c r="P106" s="612"/>
      <c r="Q106" s="612"/>
      <c r="R106" s="612"/>
      <c r="S106" s="612"/>
      <c r="T106" s="874"/>
      <c r="U106" s="612"/>
      <c r="V106" s="612"/>
      <c r="X106" s="2244"/>
      <c r="AA106" s="117">
        <f>ROW()</f>
        <v>106</v>
      </c>
    </row>
    <row r="107" spans="2:27" ht="14.1" customHeight="1">
      <c r="B107" s="3033"/>
      <c r="G107" s="612"/>
      <c r="H107" s="612"/>
      <c r="I107" s="612"/>
      <c r="J107" s="612"/>
      <c r="K107" s="612"/>
      <c r="L107" s="874"/>
      <c r="M107" s="612"/>
      <c r="N107" s="612"/>
      <c r="O107" s="612"/>
      <c r="P107" s="612"/>
      <c r="Q107" s="612"/>
      <c r="R107" s="612"/>
      <c r="S107" s="612"/>
      <c r="T107" s="874"/>
      <c r="U107" s="612"/>
      <c r="V107" s="612"/>
      <c r="X107" s="2244"/>
      <c r="AA107" s="117">
        <f>ROW()</f>
        <v>107</v>
      </c>
    </row>
    <row r="108" spans="2:27" s="2" customFormat="1" ht="14.1" customHeight="1">
      <c r="B108" s="24" t="s">
        <v>5414</v>
      </c>
      <c r="G108" s="5">
        <f>G85+G105</f>
        <v>27221.193620948128</v>
      </c>
      <c r="H108" s="5">
        <f>H85+H105</f>
        <v>44244.694745369954</v>
      </c>
      <c r="I108" s="5">
        <f>I85+I105</f>
        <v>24431.625446140184</v>
      </c>
      <c r="J108" s="5">
        <f>J85+J105</f>
        <v>61753.197222238261</v>
      </c>
      <c r="K108" s="5">
        <f>K85+K105</f>
        <v>18018.926165546702</v>
      </c>
      <c r="L108" s="3074">
        <f>SUM(G108:K108)</f>
        <v>175669.63720024322</v>
      </c>
      <c r="M108" s="5">
        <f t="shared" ref="M108:S108" si="16">M85+M105</f>
        <v>23114.631784814781</v>
      </c>
      <c r="N108" s="5">
        <f t="shared" si="16"/>
        <v>10550.585771763319</v>
      </c>
      <c r="O108" s="5">
        <f t="shared" si="16"/>
        <v>16115.664281692509</v>
      </c>
      <c r="P108" s="5">
        <f t="shared" si="16"/>
        <v>8100.8175331261755</v>
      </c>
      <c r="Q108" s="5">
        <f t="shared" si="16"/>
        <v>1234.8961486827143</v>
      </c>
      <c r="R108" s="5">
        <f t="shared" si="16"/>
        <v>1816.8385848800872</v>
      </c>
      <c r="S108" s="5">
        <f t="shared" si="16"/>
        <v>2576.3511298722583</v>
      </c>
      <c r="T108" s="874">
        <f>SUM(L108:S108)</f>
        <v>239179.42243507507</v>
      </c>
      <c r="U108" s="5">
        <f>U85+U105</f>
        <v>61221.827088777107</v>
      </c>
      <c r="V108" s="5">
        <f>V85+V105</f>
        <v>5883.4964837925017</v>
      </c>
      <c r="W108" s="5">
        <f>W85+W105</f>
        <v>2846.3819155817946</v>
      </c>
      <c r="X108" s="3034">
        <f>SUM(T108:W108)</f>
        <v>309131.12792322651</v>
      </c>
      <c r="AA108" s="117">
        <f>ROW()</f>
        <v>108</v>
      </c>
    </row>
    <row r="109" spans="2:27" ht="14.1" customHeight="1">
      <c r="B109" s="3033"/>
      <c r="G109" s="612"/>
      <c r="H109" s="612"/>
      <c r="I109" s="612"/>
      <c r="J109" s="612"/>
      <c r="K109" s="612"/>
      <c r="L109" s="874"/>
      <c r="M109" s="612"/>
      <c r="N109" s="612"/>
      <c r="O109" s="612"/>
      <c r="P109" s="612"/>
      <c r="Q109" s="612"/>
      <c r="R109" s="612"/>
      <c r="S109" s="612"/>
      <c r="T109" s="874"/>
      <c r="U109" s="612"/>
      <c r="V109" s="612"/>
      <c r="X109" s="2244"/>
      <c r="AA109" s="117">
        <f>ROW()</f>
        <v>109</v>
      </c>
    </row>
    <row r="110" spans="2:27" ht="14.1" customHeight="1">
      <c r="B110" s="3033"/>
      <c r="G110" s="8" t="str">
        <f t="shared" ref="G110:X110" si="17">G49</f>
        <v>Bronx</v>
      </c>
      <c r="H110" s="8" t="str">
        <f t="shared" si="17"/>
        <v>Brooklyn</v>
      </c>
      <c r="I110" s="8" t="str">
        <f t="shared" si="17"/>
        <v>Manhattan</v>
      </c>
      <c r="J110" s="8" t="str">
        <f t="shared" si="17"/>
        <v>Queens</v>
      </c>
      <c r="K110" s="8" t="str">
        <f t="shared" si="17"/>
        <v>S.I.</v>
      </c>
      <c r="L110" s="3079" t="str">
        <f t="shared" si="17"/>
        <v>NYC</v>
      </c>
      <c r="M110" s="8" t="str">
        <f t="shared" si="17"/>
        <v>Nassau</v>
      </c>
      <c r="N110" s="8" t="str">
        <f t="shared" si="17"/>
        <v>Suffolk</v>
      </c>
      <c r="O110" s="8" t="str">
        <f t="shared" si="17"/>
        <v>Westchester</v>
      </c>
      <c r="P110" s="8" t="str">
        <f t="shared" si="17"/>
        <v>Rockland</v>
      </c>
      <c r="Q110" s="8" t="str">
        <f t="shared" si="17"/>
        <v>Putnam</v>
      </c>
      <c r="R110" s="8" t="str">
        <f t="shared" si="17"/>
        <v>Dutchess</v>
      </c>
      <c r="S110" s="8" t="str">
        <f t="shared" si="17"/>
        <v>Orange</v>
      </c>
      <c r="T110" s="3079" t="str">
        <f t="shared" si="17"/>
        <v>MTA Reg Tot</v>
      </c>
      <c r="U110" s="8" t="str">
        <f t="shared" si="17"/>
        <v>NJ</v>
      </c>
      <c r="V110" s="8" t="str">
        <f t="shared" si="17"/>
        <v>CT</v>
      </c>
      <c r="W110" s="8" t="str">
        <f t="shared" si="17"/>
        <v>Other</v>
      </c>
      <c r="X110" s="8" t="str">
        <f t="shared" si="17"/>
        <v>Total</v>
      </c>
      <c r="AA110" s="117">
        <f>ROW()</f>
        <v>110</v>
      </c>
    </row>
    <row r="111" spans="2:27" ht="14.1" customHeight="1">
      <c r="B111" s="24" t="s">
        <v>5415</v>
      </c>
      <c r="G111" s="10"/>
      <c r="H111" s="10"/>
      <c r="I111" s="10"/>
      <c r="J111" s="10"/>
      <c r="K111" s="10"/>
      <c r="L111" s="874"/>
      <c r="M111" s="10"/>
      <c r="N111" s="10"/>
      <c r="O111" s="10"/>
      <c r="P111" s="10"/>
      <c r="Q111" s="10"/>
      <c r="R111" s="10"/>
      <c r="S111" s="10"/>
      <c r="T111" s="874"/>
      <c r="X111" s="2244"/>
      <c r="AA111" s="117">
        <f>ROW()</f>
        <v>111</v>
      </c>
    </row>
    <row r="112" spans="2:27" ht="14.1" customHeight="1">
      <c r="B112" s="1" t="s">
        <v>5411</v>
      </c>
      <c r="G112" s="12">
        <f>G85/$X85</f>
        <v>8.5903474405522318E-2</v>
      </c>
      <c r="H112" s="12">
        <f>H85/$X85</f>
        <v>0.13962550854912337</v>
      </c>
      <c r="I112" s="12">
        <f>I85/$X85</f>
        <v>0.10155753032502463</v>
      </c>
      <c r="J112" s="12">
        <f>J85/$X85</f>
        <v>0.19487808914291638</v>
      </c>
      <c r="K112" s="12">
        <f>K85/$X85</f>
        <v>5.6863353761455064E-2</v>
      </c>
      <c r="L112" s="3083">
        <f>SUM(G112:K112)</f>
        <v>0.5788279561840417</v>
      </c>
      <c r="M112" s="12">
        <f t="shared" ref="M112:S112" si="18">M85/$X85</f>
        <v>7.2944162830239218E-2</v>
      </c>
      <c r="N112" s="12">
        <f t="shared" si="18"/>
        <v>3.3295085712570234E-2</v>
      </c>
      <c r="O112" s="12">
        <f t="shared" si="18"/>
        <v>5.0857121602669218E-2</v>
      </c>
      <c r="P112" s="12">
        <f t="shared" si="18"/>
        <v>2.5564212257216688E-2</v>
      </c>
      <c r="Q112" s="12">
        <f t="shared" si="18"/>
        <v>3.8970322601947953E-3</v>
      </c>
      <c r="R112" s="12">
        <f t="shared" si="18"/>
        <v>5.7335012214565729E-3</v>
      </c>
      <c r="S112" s="12">
        <f t="shared" si="18"/>
        <v>8.1303383101578863E-3</v>
      </c>
      <c r="T112" s="3083">
        <f>SUM(L112:S112)</f>
        <v>0.77924941037854623</v>
      </c>
      <c r="U112" s="12">
        <f>U85/$X85</f>
        <v>0.19320121408389945</v>
      </c>
      <c r="V112" s="12">
        <f>V85/$X85</f>
        <v>1.8566885664466536E-2</v>
      </c>
      <c r="W112" s="12">
        <f>W85/$X85</f>
        <v>8.9824898730875603E-3</v>
      </c>
      <c r="X112" s="3084">
        <f>SUM(T112:W112)</f>
        <v>0.99999999999999978</v>
      </c>
      <c r="AA112" s="117">
        <f>ROW()</f>
        <v>112</v>
      </c>
    </row>
    <row r="113" spans="2:27" ht="14.1" customHeight="1">
      <c r="B113" s="3033" t="str">
        <f>CONCATENATE("Ratio of respective columns in Row ",AA85, " to Row Total in Cell X",AA85, ".")</f>
        <v>Ratio of respective columns in Row 85 to Row Total in Cell X85.</v>
      </c>
      <c r="G113" s="10"/>
      <c r="H113" s="10"/>
      <c r="I113" s="10"/>
      <c r="J113" s="10"/>
      <c r="K113" s="10"/>
      <c r="L113" s="874"/>
      <c r="M113" s="10"/>
      <c r="N113" s="10"/>
      <c r="O113" s="10"/>
      <c r="P113" s="10"/>
      <c r="Q113" s="10"/>
      <c r="R113" s="10"/>
      <c r="S113" s="10"/>
      <c r="T113" s="874"/>
      <c r="X113" s="2244"/>
      <c r="AA113" s="117">
        <f>ROW()</f>
        <v>113</v>
      </c>
    </row>
    <row r="114" spans="2:27" ht="14.1" customHeight="1">
      <c r="B114" s="1" t="s">
        <v>5406</v>
      </c>
      <c r="G114" s="10">
        <f>'Motor Vs'!J62</f>
        <v>183409.90891789904</v>
      </c>
      <c r="H114" s="265" t="str">
        <f>CONCATENATE("Taken directly from Cell J",'Motor Vs'!$O$61, " of 'Motor Vs' worksheet.")</f>
        <v>Taken directly from Cell J61 of 'Motor Vs' worksheet.</v>
      </c>
      <c r="I114" s="10"/>
      <c r="J114" s="10"/>
      <c r="K114" s="10"/>
      <c r="L114" s="874"/>
      <c r="M114" s="10"/>
      <c r="N114" s="10"/>
      <c r="O114" s="10"/>
      <c r="P114" s="10"/>
      <c r="Q114" s="10"/>
      <c r="R114" s="10"/>
      <c r="S114" s="10"/>
      <c r="T114" s="874"/>
      <c r="X114" s="2244"/>
      <c r="AA114" s="117">
        <f>ROW()</f>
        <v>114</v>
      </c>
    </row>
    <row r="115" spans="2:27" s="2" customFormat="1" ht="14.1" customHeight="1">
      <c r="B115" s="2" t="s">
        <v>5407</v>
      </c>
      <c r="G115" s="5">
        <f>G$112*$G114</f>
        <v>15755.54841644792</v>
      </c>
      <c r="H115" s="5">
        <f>H$112*$G114</f>
        <v>25608.70180561005</v>
      </c>
      <c r="I115" s="5">
        <f>I$112*$G114</f>
        <v>18626.657386839535</v>
      </c>
      <c r="J115" s="5">
        <f>J$112*$G114</f>
        <v>35742.572579796506</v>
      </c>
      <c r="K115" s="5">
        <f>K$112*$G114</f>
        <v>10429.302534154745</v>
      </c>
      <c r="L115" s="3074">
        <f>SUM(G115:K115)</f>
        <v>106162.78272284876</v>
      </c>
      <c r="M115" s="5">
        <f t="shared" ref="M115:S115" si="19">M$112*$G114</f>
        <v>13378.682260786571</v>
      </c>
      <c r="N115" s="5">
        <f t="shared" si="19"/>
        <v>6106.6486379561484</v>
      </c>
      <c r="O115" s="5">
        <f t="shared" si="19"/>
        <v>9327.7000409720767</v>
      </c>
      <c r="P115" s="5">
        <f t="shared" si="19"/>
        <v>4688.7298416539506</v>
      </c>
      <c r="Q115" s="5">
        <f t="shared" si="19"/>
        <v>714.75433189244166</v>
      </c>
      <c r="R115" s="5">
        <f t="shared" si="19"/>
        <v>1051.5809368080129</v>
      </c>
      <c r="S115" s="5">
        <f t="shared" si="19"/>
        <v>1491.1846089377632</v>
      </c>
      <c r="T115" s="874">
        <f>SUM(L115:S115)</f>
        <v>142922.06338185575</v>
      </c>
      <c r="U115" s="5">
        <f>U$112*$G114</f>
        <v>35435.017077955512</v>
      </c>
      <c r="V115" s="5">
        <f>V$112*$G114</f>
        <v>3405.3508086088527</v>
      </c>
      <c r="W115" s="5">
        <f>W$112*$G114</f>
        <v>1647.4776494789398</v>
      </c>
      <c r="X115" s="3034">
        <f>SUM(T115:W115)</f>
        <v>183409.90891789904</v>
      </c>
      <c r="AA115" s="638">
        <f>ROW()</f>
        <v>115</v>
      </c>
    </row>
    <row r="116" spans="2:27" s="2" customFormat="1" ht="14.1" customHeight="1">
      <c r="B116" s="265" t="str">
        <f>CONCATENATE("Product of % in Row ",$AA$112, " and number of trips in Row ",AA114, ".")</f>
        <v>Product of % in Row 112 and number of trips in Row 114.</v>
      </c>
      <c r="G116" s="5"/>
      <c r="H116" s="5"/>
      <c r="I116" s="5"/>
      <c r="J116" s="5"/>
      <c r="K116" s="5"/>
      <c r="L116" s="3074"/>
      <c r="M116" s="5"/>
      <c r="N116" s="5"/>
      <c r="O116" s="5"/>
      <c r="P116" s="5"/>
      <c r="Q116" s="5"/>
      <c r="R116" s="5"/>
      <c r="S116" s="5"/>
      <c r="T116" s="3074"/>
      <c r="U116" s="5"/>
      <c r="V116" s="5"/>
      <c r="W116" s="5"/>
      <c r="X116" s="3034"/>
      <c r="AA116" s="638">
        <f>ROW()</f>
        <v>116</v>
      </c>
    </row>
    <row r="117" spans="2:27" ht="14.1" customHeight="1">
      <c r="L117" s="3074"/>
      <c r="T117" s="3074"/>
      <c r="AA117" s="638">
        <f>ROW()</f>
        <v>117</v>
      </c>
    </row>
    <row r="118" spans="2:27" ht="14.1" customHeight="1">
      <c r="B118" s="24" t="s">
        <v>5416</v>
      </c>
      <c r="L118" s="3074"/>
      <c r="T118" s="3074"/>
      <c r="AA118" s="638">
        <f>ROW()</f>
        <v>118</v>
      </c>
    </row>
    <row r="119" spans="2:27" ht="14.1" customHeight="1">
      <c r="B119" s="1" t="s">
        <v>5410</v>
      </c>
      <c r="G119" s="12">
        <f>G105/$X105</f>
        <v>9.5613773062841925E-2</v>
      </c>
      <c r="H119" s="12">
        <f>H105/$X105</f>
        <v>0.15540840205342801</v>
      </c>
      <c r="I119" s="12">
        <f>I105/$X105</f>
        <v>0</v>
      </c>
      <c r="J119" s="12">
        <f>J105/$X105</f>
        <v>0.21690658636542018</v>
      </c>
      <c r="K119" s="12">
        <f>K105/$X105</f>
        <v>6.3291034964126552E-2</v>
      </c>
      <c r="L119" s="3083">
        <f>SUM(G119:K119)</f>
        <v>0.53121979644581674</v>
      </c>
      <c r="M119" s="12">
        <f t="shared" ref="M119:S119" si="20">M105/$X105</f>
        <v>8.1189575618155971E-2</v>
      </c>
      <c r="N119" s="12">
        <f t="shared" si="20"/>
        <v>3.7058673021785379E-2</v>
      </c>
      <c r="O119" s="12">
        <f t="shared" si="20"/>
        <v>5.6605874409596336E-2</v>
      </c>
      <c r="P119" s="12">
        <f t="shared" si="20"/>
        <v>2.8453922337915431E-2</v>
      </c>
      <c r="Q119" s="12">
        <f t="shared" si="20"/>
        <v>4.337542348821292E-3</v>
      </c>
      <c r="R119" s="12">
        <f t="shared" si="20"/>
        <v>6.3816008425456013E-3</v>
      </c>
      <c r="S119" s="12">
        <f t="shared" si="20"/>
        <v>9.0493699759085899E-3</v>
      </c>
      <c r="T119" s="3083">
        <f>SUM(L119:S119)</f>
        <v>0.75429635500054526</v>
      </c>
      <c r="U119" s="12">
        <f>U105/$X105</f>
        <v>0.21504016184118366</v>
      </c>
      <c r="V119" s="12">
        <f>V105/$X105</f>
        <v>2.0665636689217705E-2</v>
      </c>
      <c r="W119" s="12">
        <f>W105/$X105</f>
        <v>9.9978464690533928E-3</v>
      </c>
      <c r="X119" s="3084">
        <f>SUM(T119:W119)</f>
        <v>1</v>
      </c>
      <c r="AA119" s="638">
        <f>ROW()</f>
        <v>119</v>
      </c>
    </row>
    <row r="120" spans="2:27" ht="14.1" customHeight="1">
      <c r="B120" s="265" t="str">
        <f>CONCATENATE("Ratio of respective columns in Row ",AA105, " to Row Total in Cell X",AA105, ".")</f>
        <v>Ratio of respective columns in Row 105 to Row Total in Cell X105.</v>
      </c>
      <c r="L120" s="3074"/>
      <c r="T120" s="3074"/>
      <c r="AA120" s="638">
        <f>ROW()</f>
        <v>120</v>
      </c>
    </row>
    <row r="121" spans="2:27" ht="14.1" customHeight="1">
      <c r="B121" s="1" t="s">
        <v>5408</v>
      </c>
      <c r="G121" s="10">
        <f>'Motor Vs'!J59</f>
        <v>52491.051373809503</v>
      </c>
      <c r="H121" s="265" t="str">
        <f>CONCATENATE("Taken directly from Cell J",'Motor Vs'!$O$64, " of 'Motor Vs' worksheet.")</f>
        <v>Taken directly from Cell J64 of 'Motor Vs' worksheet.</v>
      </c>
      <c r="L121" s="3074"/>
      <c r="T121" s="3074"/>
      <c r="AA121" s="638">
        <f>ROW()</f>
        <v>121</v>
      </c>
    </row>
    <row r="122" spans="2:27" ht="14.1" customHeight="1">
      <c r="B122" s="2" t="s">
        <v>5409</v>
      </c>
      <c r="G122" s="5">
        <f>G$119*$G121</f>
        <v>5018.8674738853988</v>
      </c>
      <c r="H122" s="5">
        <f>H$119*$G121</f>
        <v>8157.5504161081317</v>
      </c>
      <c r="I122" s="5">
        <f>I$119*$G121</f>
        <v>0</v>
      </c>
      <c r="J122" s="5">
        <f>J$119*$G121</f>
        <v>11385.654768224918</v>
      </c>
      <c r="K122" s="5">
        <f>K$119*$G121</f>
        <v>3322.2129678035403</v>
      </c>
      <c r="L122" s="3074">
        <f>SUM(G122:K122)</f>
        <v>27884.285626021992</v>
      </c>
      <c r="M122" s="5">
        <f t="shared" ref="M122:S122" si="21">M$119*$G121</f>
        <v>4261.7261847904165</v>
      </c>
      <c r="N122" s="5">
        <f t="shared" si="21"/>
        <v>1945.2487094317446</v>
      </c>
      <c r="O122" s="5">
        <f t="shared" si="21"/>
        <v>2971.3018616935301</v>
      </c>
      <c r="P122" s="5">
        <f t="shared" si="21"/>
        <v>1493.5762992259047</v>
      </c>
      <c r="Q122" s="5">
        <f t="shared" si="21"/>
        <v>227.68215826805277</v>
      </c>
      <c r="R122" s="5">
        <f t="shared" si="21"/>
        <v>334.97693767320715</v>
      </c>
      <c r="S122" s="5">
        <f t="shared" si="21"/>
        <v>475.01094430602706</v>
      </c>
      <c r="T122" s="874">
        <f>SUM(L122:S122)</f>
        <v>39593.808721410875</v>
      </c>
      <c r="U122" s="5">
        <f>U$119*$G121</f>
        <v>11287.684182637882</v>
      </c>
      <c r="V122" s="5">
        <f>V$119*$G121</f>
        <v>1084.7609971262091</v>
      </c>
      <c r="W122" s="5">
        <f>W$119*$G121</f>
        <v>524.79747263454158</v>
      </c>
      <c r="X122" s="3034">
        <f>SUM(T122:W122)</f>
        <v>52491.051373809503</v>
      </c>
      <c r="AA122" s="638">
        <f>ROW()</f>
        <v>122</v>
      </c>
    </row>
    <row r="123" spans="2:27" ht="14.1" customHeight="1">
      <c r="B123" s="265" t="str">
        <f>CONCATENATE("Product of % in Row ",$AA$112, " and number of trips in Row ",AA121, ".")</f>
        <v>Product of % in Row 112 and number of trips in Row 121.</v>
      </c>
      <c r="L123" s="3074"/>
      <c r="T123" s="3074"/>
      <c r="AA123" s="638">
        <f>ROW()</f>
        <v>123</v>
      </c>
    </row>
    <row r="124" spans="2:27" ht="14.1" customHeight="1">
      <c r="B124" s="3033"/>
      <c r="G124" s="10"/>
      <c r="H124" s="10"/>
      <c r="I124" s="10"/>
      <c r="J124" s="10"/>
      <c r="K124" s="10"/>
      <c r="L124" s="874"/>
      <c r="M124" s="10"/>
      <c r="N124" s="10"/>
      <c r="O124" s="10"/>
      <c r="P124" s="10"/>
      <c r="Q124" s="10"/>
      <c r="R124" s="10"/>
      <c r="S124" s="10"/>
      <c r="T124" s="874"/>
      <c r="X124" s="2244"/>
      <c r="AA124" s="117">
        <f>ROW()</f>
        <v>124</v>
      </c>
    </row>
    <row r="125" spans="2:27" ht="14.1" customHeight="1">
      <c r="B125" s="24" t="s">
        <v>5417</v>
      </c>
      <c r="G125" s="5">
        <f>G115+G122</f>
        <v>20774.415890333319</v>
      </c>
      <c r="H125" s="5">
        <f>H115+H122</f>
        <v>33766.252221718183</v>
      </c>
      <c r="I125" s="5">
        <f>I115+I122</f>
        <v>18626.657386839535</v>
      </c>
      <c r="J125" s="5">
        <f>J115+J122</f>
        <v>47128.227348021421</v>
      </c>
      <c r="K125" s="5">
        <f>K115+K122</f>
        <v>13751.515501958285</v>
      </c>
      <c r="L125" s="3074">
        <f>SUM(G125:K125)</f>
        <v>134047.06834887073</v>
      </c>
      <c r="M125" s="5">
        <f t="shared" ref="M125:W125" si="22">M115+M122</f>
        <v>17640.408445576988</v>
      </c>
      <c r="N125" s="5">
        <f t="shared" si="22"/>
        <v>8051.8973473878932</v>
      </c>
      <c r="O125" s="5">
        <f t="shared" si="22"/>
        <v>12299.001902665606</v>
      </c>
      <c r="P125" s="5">
        <f t="shared" si="22"/>
        <v>6182.3061408798549</v>
      </c>
      <c r="Q125" s="5">
        <f t="shared" si="22"/>
        <v>942.43649016049449</v>
      </c>
      <c r="R125" s="5">
        <f t="shared" si="22"/>
        <v>1386.5578744812201</v>
      </c>
      <c r="S125" s="5">
        <f t="shared" si="22"/>
        <v>1966.1955532437903</v>
      </c>
      <c r="T125" s="874">
        <f>SUM(L125:S125)</f>
        <v>182515.87210326659</v>
      </c>
      <c r="U125" s="5">
        <f t="shared" si="22"/>
        <v>46722.701260593392</v>
      </c>
      <c r="V125" s="5">
        <f t="shared" si="22"/>
        <v>4490.1118057350614</v>
      </c>
      <c r="W125" s="5">
        <f t="shared" si="22"/>
        <v>2172.2751221134813</v>
      </c>
      <c r="X125" s="3034">
        <f>SUM(T125:W125)</f>
        <v>235900.96029170853</v>
      </c>
      <c r="AA125" s="117">
        <f>ROW()</f>
        <v>125</v>
      </c>
    </row>
    <row r="126" spans="2:27" ht="14.1" customHeight="1">
      <c r="B126" s="24"/>
      <c r="G126" s="5"/>
      <c r="H126" s="5"/>
      <c r="I126" s="5"/>
      <c r="J126" s="5"/>
      <c r="K126" s="5"/>
      <c r="L126" s="3074"/>
      <c r="M126" s="5"/>
      <c r="N126" s="5"/>
      <c r="O126" s="5"/>
      <c r="P126" s="5"/>
      <c r="Q126" s="5"/>
      <c r="R126" s="5"/>
      <c r="S126" s="5"/>
      <c r="T126" s="3074"/>
      <c r="U126" s="5"/>
      <c r="V126" s="5"/>
      <c r="W126" s="5"/>
      <c r="X126" s="3034"/>
      <c r="AA126" s="117">
        <f>ROW()</f>
        <v>126</v>
      </c>
    </row>
    <row r="127" spans="2:27" ht="14.1" customHeight="1">
      <c r="B127" s="24" t="s">
        <v>5418</v>
      </c>
      <c r="F127" s="3067" t="str">
        <f>CONCATENATE("Rows ",AA85,"+",AA115,"")</f>
        <v>Rows 85+115</v>
      </c>
      <c r="G127" s="5">
        <f>G85+G115</f>
        <v>36421.288361885119</v>
      </c>
      <c r="H127" s="5">
        <f t="shared" ref="H127:K127" si="23">H85+H115</f>
        <v>59198.314675099638</v>
      </c>
      <c r="I127" s="5">
        <f t="shared" si="23"/>
        <v>43058.282832979719</v>
      </c>
      <c r="J127" s="5">
        <f t="shared" si="23"/>
        <v>82624.260883574156</v>
      </c>
      <c r="K127" s="5">
        <f t="shared" si="23"/>
        <v>24108.880565099738</v>
      </c>
      <c r="L127" s="3074">
        <f>SUM(G127:K127)</f>
        <v>245411.02731863837</v>
      </c>
      <c r="M127" s="5">
        <f t="shared" ref="M127:S127" si="24">M85+M115</f>
        <v>30926.809504990837</v>
      </c>
      <c r="N127" s="5">
        <f t="shared" si="24"/>
        <v>14116.424581928743</v>
      </c>
      <c r="O127" s="5">
        <f t="shared" si="24"/>
        <v>21562.362919132389</v>
      </c>
      <c r="P127" s="5">
        <f t="shared" si="24"/>
        <v>10838.694858477951</v>
      </c>
      <c r="Q127" s="5">
        <f t="shared" si="24"/>
        <v>1652.2607110638501</v>
      </c>
      <c r="R127" s="5">
        <f t="shared" si="24"/>
        <v>2430.8853949738063</v>
      </c>
      <c r="S127" s="5">
        <f t="shared" si="24"/>
        <v>3447.094522348053</v>
      </c>
      <c r="T127" s="874">
        <f>SUM(L127:S127)</f>
        <v>330385.55981155409</v>
      </c>
      <c r="U127" s="5">
        <f t="shared" ref="U127:W127" si="25">U85+U115</f>
        <v>81913.300698390041</v>
      </c>
      <c r="V127" s="5">
        <f t="shared" si="25"/>
        <v>7871.9737641276952</v>
      </c>
      <c r="W127" s="5">
        <f t="shared" si="25"/>
        <v>3808.3890801790872</v>
      </c>
      <c r="X127" s="3034">
        <f>SUM(T127:W127)</f>
        <v>423979.22335425095</v>
      </c>
      <c r="AA127" s="117">
        <f>ROW()</f>
        <v>127</v>
      </c>
    </row>
    <row r="128" spans="2:27" ht="14.1" customHeight="1">
      <c r="B128" s="24" t="s">
        <v>5419</v>
      </c>
      <c r="F128" s="3067" t="str">
        <f>CONCATENATE("Rows ",AA105,"+",AA122,"")</f>
        <v>Rows 105+122</v>
      </c>
      <c r="G128" s="5">
        <f>G105+G122</f>
        <v>11574.32114939633</v>
      </c>
      <c r="H128" s="5">
        <f t="shared" ref="H128:K128" si="26">H105+H122</f>
        <v>18812.632291988499</v>
      </c>
      <c r="I128" s="5">
        <f t="shared" si="26"/>
        <v>0</v>
      </c>
      <c r="J128" s="5">
        <f t="shared" si="26"/>
        <v>26257.163686685533</v>
      </c>
      <c r="K128" s="5">
        <f t="shared" si="26"/>
        <v>7661.5611024052487</v>
      </c>
      <c r="L128" s="3074">
        <f>SUM(G128:K128)</f>
        <v>64305.678230475613</v>
      </c>
      <c r="M128" s="5">
        <f t="shared" ref="M128:S128" si="27">M105+M122</f>
        <v>9828.2307254009356</v>
      </c>
      <c r="N128" s="5">
        <f t="shared" si="27"/>
        <v>4486.0585372224687</v>
      </c>
      <c r="O128" s="5">
        <f t="shared" si="27"/>
        <v>6852.303265225727</v>
      </c>
      <c r="P128" s="5">
        <f t="shared" si="27"/>
        <v>3444.4288155280797</v>
      </c>
      <c r="Q128" s="5">
        <f t="shared" si="27"/>
        <v>525.07192777935848</v>
      </c>
      <c r="R128" s="5">
        <f t="shared" si="27"/>
        <v>772.51106438750094</v>
      </c>
      <c r="S128" s="5">
        <f t="shared" si="27"/>
        <v>1095.4521607679956</v>
      </c>
      <c r="T128" s="874">
        <f>SUM(L128:S128)</f>
        <v>91309.734726787661</v>
      </c>
      <c r="U128" s="5">
        <f t="shared" ref="U128:W128" si="28">U105+U122</f>
        <v>26031.227650980465</v>
      </c>
      <c r="V128" s="5">
        <f t="shared" si="28"/>
        <v>2501.6345253998679</v>
      </c>
      <c r="W128" s="5">
        <f t="shared" si="28"/>
        <v>1210.267957516189</v>
      </c>
      <c r="X128" s="3034">
        <f>T128+SUM(U128:W128)</f>
        <v>121052.86486068417</v>
      </c>
      <c r="AA128" s="117">
        <f>ROW()</f>
        <v>128</v>
      </c>
    </row>
    <row r="129" spans="2:27" ht="14.1" customHeight="1">
      <c r="B129" s="24" t="s">
        <v>5420</v>
      </c>
      <c r="F129" s="3067" t="str">
        <f>CONCATENATE("R's ",AA127,"+",AA128,"")</f>
        <v>R's 127+128</v>
      </c>
      <c r="G129" s="5">
        <f>G127+G128</f>
        <v>47995.609511281451</v>
      </c>
      <c r="H129" s="5">
        <f t="shared" ref="H129:K129" si="29">H127+H128</f>
        <v>78010.946967088137</v>
      </c>
      <c r="I129" s="5">
        <f t="shared" si="29"/>
        <v>43058.282832979719</v>
      </c>
      <c r="J129" s="5">
        <f t="shared" si="29"/>
        <v>108881.4245702597</v>
      </c>
      <c r="K129" s="5">
        <f t="shared" si="29"/>
        <v>31770.441667504987</v>
      </c>
      <c r="L129" s="3074">
        <f>SUM(G129:K129)</f>
        <v>309716.70554911403</v>
      </c>
      <c r="M129" s="5">
        <f t="shared" ref="M129:S129" si="30">M127+M128</f>
        <v>40755.040230391773</v>
      </c>
      <c r="N129" s="5">
        <f t="shared" si="30"/>
        <v>18602.483119151213</v>
      </c>
      <c r="O129" s="5">
        <f t="shared" si="30"/>
        <v>28414.666184358117</v>
      </c>
      <c r="P129" s="5">
        <f t="shared" si="30"/>
        <v>14283.12367400603</v>
      </c>
      <c r="Q129" s="5">
        <f t="shared" si="30"/>
        <v>2177.3326388432088</v>
      </c>
      <c r="R129" s="5">
        <f t="shared" si="30"/>
        <v>3203.3964593613073</v>
      </c>
      <c r="S129" s="5">
        <f t="shared" si="30"/>
        <v>4542.5466831160484</v>
      </c>
      <c r="T129" s="874">
        <f>SUM(L129:S129)</f>
        <v>421695.29453834175</v>
      </c>
      <c r="U129" s="5">
        <f t="shared" ref="U129:W129" si="31">U127+U128</f>
        <v>107944.52834937051</v>
      </c>
      <c r="V129" s="5">
        <f t="shared" si="31"/>
        <v>10373.608289527563</v>
      </c>
      <c r="W129" s="5">
        <f t="shared" si="31"/>
        <v>5018.6570376952759</v>
      </c>
      <c r="X129" s="3034">
        <f>SUM(T129:W129)</f>
        <v>545032.08821493515</v>
      </c>
      <c r="AA129" s="117">
        <f>ROW()</f>
        <v>129</v>
      </c>
    </row>
    <row r="130" spans="2:27" s="1" customFormat="1" ht="14.1" customHeight="1">
      <c r="B130" s="55" t="s">
        <v>5531</v>
      </c>
      <c r="F130" s="3187"/>
      <c r="G130" s="4">
        <f>G129*weekday_per_yr/1000</f>
        <v>11998.902377820363</v>
      </c>
      <c r="H130" s="4">
        <f>H129*weekday_per_yr/1000</f>
        <v>19502.736741772034</v>
      </c>
      <c r="I130" s="4">
        <f>I129*weekday_per_yr/1000</f>
        <v>10764.57070824493</v>
      </c>
      <c r="J130" s="4">
        <f>J129*weekday_per_yr/1000</f>
        <v>27220.356142564924</v>
      </c>
      <c r="K130" s="4">
        <f>K129*weekday_per_yr/1000</f>
        <v>7942.6104168762467</v>
      </c>
      <c r="L130" s="3190">
        <f>SUM(G130:K130)</f>
        <v>77429.176387278509</v>
      </c>
      <c r="M130" s="4">
        <f t="shared" ref="M130:S130" si="32">M129*weekday_per_yr/1000</f>
        <v>10188.760057597943</v>
      </c>
      <c r="N130" s="4">
        <f t="shared" si="32"/>
        <v>4650.6207797878033</v>
      </c>
      <c r="O130" s="4">
        <f t="shared" si="32"/>
        <v>7103.6665460895292</v>
      </c>
      <c r="P130" s="4">
        <f t="shared" si="32"/>
        <v>3570.7809185015076</v>
      </c>
      <c r="Q130" s="4">
        <f t="shared" si="32"/>
        <v>544.33315971080219</v>
      </c>
      <c r="R130" s="4">
        <f t="shared" si="32"/>
        <v>800.84911484032682</v>
      </c>
      <c r="S130" s="4">
        <f t="shared" si="32"/>
        <v>1135.6366707790121</v>
      </c>
      <c r="T130" s="3190">
        <f>SUM(L130:S130)</f>
        <v>105423.82363458544</v>
      </c>
      <c r="U130" s="4">
        <f>U129*weekday_per_yr/1000</f>
        <v>26986.132087342627</v>
      </c>
      <c r="V130" s="4">
        <f>V129*weekday_per_yr/1000</f>
        <v>2593.4020723818908</v>
      </c>
      <c r="W130" s="4">
        <f>W129*weekday_per_yr/1000</f>
        <v>1254.664259423819</v>
      </c>
      <c r="X130" s="3191">
        <f>SUM(T130:W130)</f>
        <v>136258.02205373379</v>
      </c>
      <c r="AA130" s="117">
        <f>ROW()</f>
        <v>130</v>
      </c>
    </row>
    <row r="131" spans="2:27" ht="14.1" customHeight="1">
      <c r="B131" s="24"/>
      <c r="F131" s="3067"/>
      <c r="G131" s="5"/>
      <c r="H131" s="5"/>
      <c r="I131" s="5"/>
      <c r="J131" s="5"/>
      <c r="K131" s="5"/>
      <c r="L131" s="3074"/>
      <c r="M131" s="5"/>
      <c r="N131" s="5"/>
      <c r="O131" s="5"/>
      <c r="P131" s="5"/>
      <c r="Q131" s="5"/>
      <c r="R131" s="5"/>
      <c r="S131" s="5"/>
      <c r="T131" s="874"/>
      <c r="U131" s="5"/>
      <c r="V131" s="5"/>
      <c r="W131" s="5"/>
      <c r="X131" s="3034"/>
      <c r="AA131" s="117">
        <f>ROW()</f>
        <v>131</v>
      </c>
    </row>
    <row r="132" spans="2:27" ht="14.1" customHeight="1">
      <c r="B132" s="24" t="s">
        <v>5421</v>
      </c>
      <c r="G132" s="10"/>
      <c r="H132" s="10"/>
      <c r="I132" s="10"/>
      <c r="J132" s="10"/>
      <c r="K132" s="10"/>
      <c r="L132" s="874"/>
      <c r="M132" s="10"/>
      <c r="N132" s="10"/>
      <c r="O132" s="10"/>
      <c r="P132" s="10"/>
      <c r="Q132" s="10"/>
      <c r="R132" s="10"/>
      <c r="S132" s="10"/>
      <c r="T132" s="874"/>
      <c r="AA132" s="117">
        <f>ROW()</f>
        <v>132</v>
      </c>
    </row>
    <row r="133" spans="2:27" ht="14.1" customHeight="1">
      <c r="B133" s="1" t="s">
        <v>5327</v>
      </c>
      <c r="G133" s="10">
        <f>G112*$X$133</f>
        <v>7774.7882177928459</v>
      </c>
      <c r="H133" s="10">
        <f>H112*$X$133</f>
        <v>12636.959870173461</v>
      </c>
      <c r="I133" s="10">
        <f>I112*$X$133</f>
        <v>9191.5757268646903</v>
      </c>
      <c r="J133" s="10">
        <f>J112*$X$133</f>
        <v>17637.655308583529</v>
      </c>
      <c r="K133" s="10">
        <f>K112*$X$133</f>
        <v>5146.4802315414481</v>
      </c>
      <c r="L133" s="3074">
        <f>SUM(G133:K133)</f>
        <v>52387.459354955972</v>
      </c>
      <c r="M133" s="10">
        <f t="shared" ref="M133:S133" si="33">M112*$X$133</f>
        <v>6601.8915026893137</v>
      </c>
      <c r="N133" s="10">
        <f t="shared" si="33"/>
        <v>3013.4082689890943</v>
      </c>
      <c r="O133" s="10">
        <f t="shared" si="33"/>
        <v>4602.8795990336812</v>
      </c>
      <c r="P133" s="10">
        <f t="shared" si="33"/>
        <v>2313.7170833894315</v>
      </c>
      <c r="Q133" s="10">
        <f t="shared" si="33"/>
        <v>352.7051811419326</v>
      </c>
      <c r="R133" s="10">
        <f t="shared" si="33"/>
        <v>518.91681974176151</v>
      </c>
      <c r="S133" s="10">
        <f t="shared" si="33"/>
        <v>735.84519063901519</v>
      </c>
      <c r="T133" s="874">
        <f>SUM(L133:S133)</f>
        <v>70526.823000580203</v>
      </c>
      <c r="U133" s="10">
        <f>U112*$X$133</f>
        <v>17485.887891237751</v>
      </c>
      <c r="V133" s="10">
        <f>V112*$X$133</f>
        <v>1680.4163615519783</v>
      </c>
      <c r="W133" s="10">
        <f>W112*$X$133</f>
        <v>812.97010295587347</v>
      </c>
      <c r="X133" s="3093">
        <f>'Motor Vs Weekends'!I62/'Motor Vs'!I62*X70</f>
        <v>90506.097356325816</v>
      </c>
      <c r="AA133" s="117">
        <f>ROW()</f>
        <v>133</v>
      </c>
    </row>
    <row r="134" spans="2:27" ht="14.1" customHeight="1">
      <c r="B134" s="3033" t="str">
        <f>CONCATENATE("Each column is calculated as product of county or state share of weekday work trips from Row ",AA112," and Total in Row ",AA133, ". Total is calculated by prorating weekend to weekday work trips into CBD in respective tabs' Row ",'Motor Vs'!O62, " by total autos used by regular car commuters into CBD from Cell X",AA70, " of this tab.")</f>
        <v>Each column is calculated as product of county or state share of weekday work trips from Row 112 and Total in Row 133. Total is calculated by prorating weekend to weekday work trips into CBD in respective tabs' Row 62 by total autos used by regular car commuters into CBD from Cell X70 of this tab.</v>
      </c>
      <c r="G134" s="10"/>
      <c r="H134" s="10"/>
      <c r="I134" s="10"/>
      <c r="J134" s="10"/>
      <c r="K134" s="10"/>
      <c r="L134" s="874"/>
      <c r="M134" s="10"/>
      <c r="N134" s="10"/>
      <c r="O134" s="10"/>
      <c r="P134" s="10"/>
      <c r="Q134" s="10"/>
      <c r="R134" s="10"/>
      <c r="S134" s="10"/>
      <c r="T134" s="874"/>
      <c r="X134" s="3093"/>
      <c r="AA134" s="117">
        <f>ROW()</f>
        <v>134</v>
      </c>
    </row>
    <row r="135" spans="2:27" ht="14.1" customHeight="1">
      <c r="B135" s="1" t="s">
        <v>5328</v>
      </c>
      <c r="H135" s="3071"/>
      <c r="I135" s="2346"/>
      <c r="J135" s="2347" t="s">
        <v>5385</v>
      </c>
      <c r="K135" s="3072">
        <f>K75*$M$138</f>
        <v>0.72249999999999992</v>
      </c>
      <c r="L135" s="3068"/>
      <c r="M135" s="3096" t="s">
        <v>3816</v>
      </c>
      <c r="N135" s="3094"/>
      <c r="O135" s="3094"/>
      <c r="P135" s="3095"/>
      <c r="Q135" s="10"/>
      <c r="R135" s="10"/>
      <c r="S135" s="10"/>
      <c r="T135" s="874"/>
      <c r="X135" s="2244"/>
      <c r="AA135" s="117">
        <f>ROW()</f>
        <v>135</v>
      </c>
    </row>
    <row r="136" spans="2:27" ht="14.1" customHeight="1">
      <c r="B136" s="1"/>
      <c r="H136" s="3071"/>
      <c r="I136" s="2346"/>
      <c r="J136" s="2347" t="s">
        <v>5388</v>
      </c>
      <c r="K136" s="3072">
        <f>K76*$M$138</f>
        <v>0.68</v>
      </c>
      <c r="L136" s="2561"/>
      <c r="M136" s="4102" t="str">
        <f>CONCATENATE("Calculated by attenuating percentages for weekday commuters in Rows ",AA75, "-",AA78," by % factor directly below:")</f>
        <v>Calculated by attenuating percentages for weekday commuters in Rows 75-78 by % factor directly below:</v>
      </c>
      <c r="N136" s="3681"/>
      <c r="O136" s="3681"/>
      <c r="P136" s="3682"/>
      <c r="Q136" s="10"/>
      <c r="R136" s="10"/>
      <c r="S136" s="10"/>
      <c r="T136" s="874"/>
      <c r="X136" s="2244"/>
      <c r="AA136" s="117">
        <f>ROW()</f>
        <v>136</v>
      </c>
    </row>
    <row r="137" spans="2:27" ht="14.1" customHeight="1">
      <c r="B137" s="1"/>
      <c r="H137" s="3071"/>
      <c r="I137" s="2346"/>
      <c r="J137" s="2347" t="s">
        <v>5386</v>
      </c>
      <c r="K137" s="3072">
        <f>K77*$M$138</f>
        <v>0.68</v>
      </c>
      <c r="L137" s="2561"/>
      <c r="M137" s="3683"/>
      <c r="N137" s="3684"/>
      <c r="O137" s="3684"/>
      <c r="P137" s="3685"/>
      <c r="Q137" s="10"/>
      <c r="R137" s="10"/>
      <c r="S137" s="10"/>
      <c r="T137" s="874"/>
      <c r="X137" s="2244"/>
      <c r="AA137" s="117">
        <f>ROW()</f>
        <v>137</v>
      </c>
    </row>
    <row r="138" spans="2:27" ht="14.1" customHeight="1">
      <c r="B138" s="1"/>
      <c r="H138" s="3069"/>
      <c r="I138" s="2659"/>
      <c r="J138" s="3070" t="s">
        <v>5387</v>
      </c>
      <c r="K138" s="3072">
        <f>K78*$M$138</f>
        <v>0.29749999999999999</v>
      </c>
      <c r="L138" s="2659"/>
      <c r="M138" s="4577">
        <v>0.85</v>
      </c>
      <c r="N138" s="3970"/>
      <c r="O138" s="3970"/>
      <c r="P138" s="3971"/>
      <c r="Q138" s="10"/>
      <c r="R138" s="10"/>
      <c r="S138" s="10"/>
      <c r="T138" s="874"/>
      <c r="X138" s="2244"/>
      <c r="AA138" s="117">
        <f>ROW()</f>
        <v>138</v>
      </c>
    </row>
    <row r="139" spans="2:27" ht="14.1" customHeight="1">
      <c r="B139" s="1" t="s">
        <v>5317</v>
      </c>
      <c r="G139" s="10">
        <f>$K135*G133</f>
        <v>5617.2844873553304</v>
      </c>
      <c r="H139" s="10">
        <f>$K135*H133</f>
        <v>9130.2035062003251</v>
      </c>
      <c r="I139" s="10">
        <f>$K135*I133</f>
        <v>6640.9134626597379</v>
      </c>
      <c r="J139" s="10">
        <f>$K135*J133</f>
        <v>12743.205960451598</v>
      </c>
      <c r="K139" s="10">
        <f>$K135*K133</f>
        <v>3718.331967288696</v>
      </c>
      <c r="L139" s="874">
        <f>SUM(G139:K139)</f>
        <v>37849.939383955687</v>
      </c>
      <c r="M139" s="10">
        <f t="shared" ref="M139:S139" si="34">$K136*M133</f>
        <v>4489.2862218287337</v>
      </c>
      <c r="N139" s="10">
        <f t="shared" si="34"/>
        <v>2049.1176229125845</v>
      </c>
      <c r="O139" s="10">
        <f t="shared" si="34"/>
        <v>3129.9581273429035</v>
      </c>
      <c r="P139" s="10">
        <f t="shared" si="34"/>
        <v>1573.3276167048136</v>
      </c>
      <c r="Q139" s="10">
        <f t="shared" si="34"/>
        <v>239.83952317651418</v>
      </c>
      <c r="R139" s="10">
        <f t="shared" si="34"/>
        <v>352.86343742439783</v>
      </c>
      <c r="S139" s="10">
        <f t="shared" si="34"/>
        <v>500.37472963453035</v>
      </c>
      <c r="T139" s="874">
        <f>SUM(L139:S139)</f>
        <v>50184.706662980177</v>
      </c>
      <c r="U139" s="10">
        <f>$K137*U133</f>
        <v>11890.403766041672</v>
      </c>
      <c r="V139" s="10">
        <f>$K137*V133</f>
        <v>1142.6831258553452</v>
      </c>
      <c r="W139" s="10">
        <f>$K138*W133</f>
        <v>241.85860562937233</v>
      </c>
      <c r="X139" s="3034">
        <f>SUM(T139:W139)</f>
        <v>63459.652160506565</v>
      </c>
      <c r="AA139" s="117">
        <f>ROW()</f>
        <v>139</v>
      </c>
    </row>
    <row r="140" spans="2:27" ht="14.1" customHeight="1">
      <c r="B140" s="265" t="str">
        <f>CONCATENATE("Product of estimated % in Rows ",AA135, "-",AA138, " and number of autos in Row ",AA133, ".")</f>
        <v>Product of estimated % in Rows 135-138 and number of autos in Row 133.</v>
      </c>
      <c r="G140" s="10"/>
      <c r="H140" s="10"/>
      <c r="I140" s="10"/>
      <c r="J140" s="10"/>
      <c r="K140" s="10"/>
      <c r="L140" s="874"/>
      <c r="M140" s="10"/>
      <c r="N140" s="10"/>
      <c r="O140" s="10"/>
      <c r="P140" s="10"/>
      <c r="Q140" s="10"/>
      <c r="R140" s="10"/>
      <c r="S140" s="10"/>
      <c r="T140" s="874"/>
      <c r="X140" s="2244"/>
      <c r="AA140" s="117">
        <f>ROW()</f>
        <v>140</v>
      </c>
    </row>
    <row r="141" spans="2:27" ht="14.1" customHeight="1">
      <c r="B141" s="1" t="s">
        <v>5683</v>
      </c>
      <c r="G141" s="10"/>
      <c r="H141" s="10"/>
      <c r="K141" s="23">
        <v>0.35</v>
      </c>
      <c r="L141" s="50"/>
      <c r="M141" s="10"/>
      <c r="N141" s="10"/>
      <c r="O141" s="10"/>
      <c r="P141" s="10"/>
      <c r="Q141" s="10"/>
      <c r="R141" s="10"/>
      <c r="S141" s="10"/>
      <c r="T141" s="874"/>
      <c r="X141" s="2244"/>
      <c r="AA141" s="117">
        <f>ROW()</f>
        <v>141</v>
      </c>
    </row>
    <row r="142" spans="2:27" ht="14.1" customHeight="1">
      <c r="B142" s="3033" t="str">
        <f>CONCATENATE("Komanoff assumption. Is set at higher level than corresponding percentage, ",100*J81, "%, for weekday work trips in Row ",AA81, ", to reflect more episodic nature of weekend work trips.")</f>
        <v>Komanoff assumption. Is set at higher level than corresponding percentage, 15%, for weekday work trips in Row 81, to reflect more episodic nature of weekend work trips.</v>
      </c>
      <c r="G142" s="10"/>
      <c r="H142" s="10"/>
      <c r="I142" s="10"/>
      <c r="J142" s="10"/>
      <c r="K142" s="10"/>
      <c r="L142" s="50"/>
      <c r="M142" s="10"/>
      <c r="N142" s="10"/>
      <c r="O142" s="10"/>
      <c r="P142" s="10"/>
      <c r="Q142" s="10"/>
      <c r="R142" s="10"/>
      <c r="S142" s="10"/>
      <c r="T142" s="874"/>
      <c r="X142" s="2244"/>
      <c r="AA142" s="117">
        <f>ROW()</f>
        <v>142</v>
      </c>
    </row>
    <row r="143" spans="2:27" ht="14.1" customHeight="1">
      <c r="B143" s="1" t="s">
        <v>5322</v>
      </c>
      <c r="G143" s="10">
        <f>$K141*G139</f>
        <v>1966.0495705743656</v>
      </c>
      <c r="H143" s="10">
        <f>$K141*H139</f>
        <v>3195.5712271701136</v>
      </c>
      <c r="I143" s="10">
        <f>$K141*I139</f>
        <v>2324.3197119309079</v>
      </c>
      <c r="J143" s="10">
        <f>$K141*J139</f>
        <v>4460.1220861580587</v>
      </c>
      <c r="K143" s="10">
        <f>$K141*K139</f>
        <v>1301.4161885510434</v>
      </c>
      <c r="L143" s="874">
        <f>SUM(G143:K143)</f>
        <v>13247.47878438449</v>
      </c>
      <c r="M143" s="10">
        <f t="shared" ref="M143:S143" si="35">$K141*M139</f>
        <v>1571.2501776400568</v>
      </c>
      <c r="N143" s="10">
        <f t="shared" si="35"/>
        <v>717.19116801940447</v>
      </c>
      <c r="O143" s="10">
        <f t="shared" si="35"/>
        <v>1095.4853445700162</v>
      </c>
      <c r="P143" s="10">
        <f t="shared" si="35"/>
        <v>550.66466584668478</v>
      </c>
      <c r="Q143" s="10">
        <f t="shared" si="35"/>
        <v>83.943833111779952</v>
      </c>
      <c r="R143" s="10">
        <f t="shared" si="35"/>
        <v>123.50220309853923</v>
      </c>
      <c r="S143" s="10">
        <f t="shared" si="35"/>
        <v>175.1311553720856</v>
      </c>
      <c r="T143" s="874">
        <f>SUM(L143:S143)</f>
        <v>17564.647332043056</v>
      </c>
      <c r="U143" s="10">
        <f>$K141*U139</f>
        <v>4161.6413181145854</v>
      </c>
      <c r="V143" s="10">
        <f>$K141*V139</f>
        <v>399.93909404937079</v>
      </c>
      <c r="W143" s="10">
        <f>$K141*W139</f>
        <v>84.650511970280306</v>
      </c>
      <c r="X143" s="3034">
        <f>SUM(T143:W143)</f>
        <v>22210.878256177297</v>
      </c>
      <c r="AA143" s="117">
        <f>ROW()</f>
        <v>143</v>
      </c>
    </row>
    <row r="144" spans="2:27" ht="14.1" customHeight="1">
      <c r="B144" s="265" t="str">
        <f>CONCATENATE("Product of % specified in Row ",AA141, " and number of autos in Row ",AA139, ".")</f>
        <v>Product of % specified in Row 141 and number of autos in Row 139.</v>
      </c>
      <c r="G144" s="10"/>
      <c r="H144" s="10"/>
      <c r="I144" s="10"/>
      <c r="J144" s="10"/>
      <c r="K144" s="10"/>
      <c r="L144" s="50"/>
      <c r="M144" s="10"/>
      <c r="N144" s="10"/>
      <c r="O144" s="10"/>
      <c r="P144" s="10"/>
      <c r="Q144" s="10"/>
      <c r="R144" s="10"/>
      <c r="S144" s="10"/>
      <c r="T144" s="874"/>
      <c r="X144" s="2244"/>
      <c r="AA144" s="117">
        <f>ROW()</f>
        <v>144</v>
      </c>
    </row>
    <row r="145" spans="2:27" ht="14.1" customHeight="1">
      <c r="B145" s="2" t="s">
        <v>5323</v>
      </c>
      <c r="C145" s="2"/>
      <c r="D145" s="2"/>
      <c r="E145" s="2"/>
      <c r="F145" s="2"/>
      <c r="G145" s="5">
        <f>G139+G143</f>
        <v>7583.3340579296964</v>
      </c>
      <c r="H145" s="5">
        <f t="shared" ref="H145:K145" si="36">H139+H143</f>
        <v>12325.774733370439</v>
      </c>
      <c r="I145" s="5">
        <f t="shared" si="36"/>
        <v>8965.2331745906449</v>
      </c>
      <c r="J145" s="5">
        <f t="shared" si="36"/>
        <v>17203.328046609655</v>
      </c>
      <c r="K145" s="5">
        <f t="shared" si="36"/>
        <v>5019.7481558397394</v>
      </c>
      <c r="L145" s="3074">
        <f>SUM(G145:K145)</f>
        <v>51097.418168340177</v>
      </c>
      <c r="M145" s="5">
        <f t="shared" ref="M145:S145" si="37">M139+M143</f>
        <v>6060.5363994687905</v>
      </c>
      <c r="N145" s="5">
        <f t="shared" si="37"/>
        <v>2766.3087909319888</v>
      </c>
      <c r="O145" s="5">
        <f t="shared" si="37"/>
        <v>4225.4434719129194</v>
      </c>
      <c r="P145" s="5">
        <f t="shared" si="37"/>
        <v>2123.9922825514986</v>
      </c>
      <c r="Q145" s="5">
        <f t="shared" si="37"/>
        <v>323.78335628829416</v>
      </c>
      <c r="R145" s="5">
        <f t="shared" si="37"/>
        <v>476.36564052293704</v>
      </c>
      <c r="S145" s="5">
        <f t="shared" si="37"/>
        <v>675.50588500661593</v>
      </c>
      <c r="T145" s="874">
        <f>SUM(L145:S145)</f>
        <v>67749.353995023208</v>
      </c>
      <c r="U145" s="5">
        <f t="shared" ref="U145:W145" si="38">U139+U143</f>
        <v>16052.045084156258</v>
      </c>
      <c r="V145" s="5">
        <f t="shared" si="38"/>
        <v>1542.6222199047161</v>
      </c>
      <c r="W145" s="5">
        <f t="shared" si="38"/>
        <v>326.50911759965265</v>
      </c>
      <c r="X145" s="3034">
        <f>SUM(T145:W145)</f>
        <v>85670.530416683832</v>
      </c>
      <c r="AA145" s="117">
        <f>ROW()</f>
        <v>145</v>
      </c>
    </row>
    <row r="146" spans="2:27" ht="14.1" customHeight="1">
      <c r="B146" s="3033" t="str">
        <f>CONCATENATE("Sum of Rows ",AA139, " and ",AA143, ".")</f>
        <v>Sum of Rows 139 and 143.</v>
      </c>
      <c r="G146" s="10"/>
      <c r="H146" s="10"/>
      <c r="I146" s="10"/>
      <c r="J146" s="10"/>
      <c r="K146" s="10"/>
      <c r="L146" s="874"/>
      <c r="M146" s="10"/>
      <c r="N146" s="10"/>
      <c r="O146" s="10"/>
      <c r="P146" s="10"/>
      <c r="Q146" s="10"/>
      <c r="R146" s="10"/>
      <c r="S146" s="10"/>
      <c r="T146" s="874"/>
      <c r="X146" s="2244"/>
      <c r="AA146" s="117">
        <f>ROW()</f>
        <v>146</v>
      </c>
    </row>
    <row r="147" spans="2:27" ht="14.1" customHeight="1">
      <c r="B147" s="3033"/>
      <c r="G147" s="3125" t="str">
        <f>G110</f>
        <v>Bronx</v>
      </c>
      <c r="H147" s="3125" t="str">
        <f t="shared" ref="H147:X147" si="39">H110</f>
        <v>Brooklyn</v>
      </c>
      <c r="I147" s="3125" t="str">
        <f t="shared" si="39"/>
        <v>Manhattan</v>
      </c>
      <c r="J147" s="3125" t="str">
        <f t="shared" si="39"/>
        <v>Queens</v>
      </c>
      <c r="K147" s="3125" t="str">
        <f t="shared" si="39"/>
        <v>S.I.</v>
      </c>
      <c r="L147" s="3175" t="str">
        <f t="shared" si="39"/>
        <v>NYC</v>
      </c>
      <c r="M147" s="3125" t="str">
        <f t="shared" si="39"/>
        <v>Nassau</v>
      </c>
      <c r="N147" s="3125" t="str">
        <f t="shared" si="39"/>
        <v>Suffolk</v>
      </c>
      <c r="O147" s="3125" t="str">
        <f t="shared" si="39"/>
        <v>Westchester</v>
      </c>
      <c r="P147" s="3125" t="str">
        <f t="shared" si="39"/>
        <v>Rockland</v>
      </c>
      <c r="Q147" s="3125" t="str">
        <f t="shared" si="39"/>
        <v>Putnam</v>
      </c>
      <c r="R147" s="3125" t="str">
        <f t="shared" si="39"/>
        <v>Dutchess</v>
      </c>
      <c r="S147" s="3125" t="str">
        <f t="shared" si="39"/>
        <v>Orange</v>
      </c>
      <c r="T147" s="3175" t="str">
        <f t="shared" si="39"/>
        <v>MTA Reg Tot</v>
      </c>
      <c r="U147" s="3125" t="str">
        <f t="shared" si="39"/>
        <v>NJ</v>
      </c>
      <c r="V147" s="3125" t="str">
        <f t="shared" si="39"/>
        <v>CT</v>
      </c>
      <c r="W147" s="3125" t="str">
        <f t="shared" si="39"/>
        <v>Other</v>
      </c>
      <c r="X147" s="3125" t="str">
        <f t="shared" si="39"/>
        <v>Total</v>
      </c>
      <c r="AA147" s="117">
        <f>ROW()</f>
        <v>147</v>
      </c>
    </row>
    <row r="148" spans="2:27" ht="14.1" customHeight="1">
      <c r="B148" s="24" t="s">
        <v>5942</v>
      </c>
      <c r="G148" s="10"/>
      <c r="H148" s="10"/>
      <c r="I148" s="10"/>
      <c r="J148" s="10"/>
      <c r="K148" s="10"/>
      <c r="L148" s="874"/>
      <c r="M148" s="10"/>
      <c r="N148" s="10"/>
      <c r="O148" s="10"/>
      <c r="P148" s="10"/>
      <c r="Q148" s="10"/>
      <c r="R148" s="10"/>
      <c r="S148" s="10"/>
      <c r="T148" s="874"/>
      <c r="X148" s="2244"/>
      <c r="AA148" s="117">
        <f>ROW()</f>
        <v>148</v>
      </c>
    </row>
    <row r="149" spans="2:27" ht="14.1" customHeight="1">
      <c r="B149" s="1" t="s">
        <v>5321</v>
      </c>
      <c r="G149" s="10">
        <f>G119*$X$149</f>
        <v>3041.2116290013869</v>
      </c>
      <c r="H149" s="10">
        <f>H119*$X$149</f>
        <v>4943.1146207228267</v>
      </c>
      <c r="I149" s="10">
        <f>I119*$X$149</f>
        <v>0</v>
      </c>
      <c r="J149" s="10">
        <f>J119*$X$149</f>
        <v>6899.2030303829797</v>
      </c>
      <c r="K149" s="10">
        <f>K119*$X$149</f>
        <v>2013.1140669234658</v>
      </c>
      <c r="L149" s="3074">
        <f>SUM(G149:K149)</f>
        <v>16896.643347030658</v>
      </c>
      <c r="M149" s="10">
        <f t="shared" ref="M149:S149" si="40">M119*$X$149</f>
        <v>2582.4175075837588</v>
      </c>
      <c r="N149" s="10">
        <f t="shared" si="40"/>
        <v>1178.7346502385144</v>
      </c>
      <c r="O149" s="10">
        <f t="shared" si="40"/>
        <v>1800.477462709383</v>
      </c>
      <c r="P149" s="10">
        <f t="shared" si="40"/>
        <v>905.0411539339234</v>
      </c>
      <c r="Q149" s="10">
        <f t="shared" si="40"/>
        <v>137.96531409602775</v>
      </c>
      <c r="R149" s="10">
        <f t="shared" si="40"/>
        <v>202.98120314987466</v>
      </c>
      <c r="S149" s="10">
        <f t="shared" si="40"/>
        <v>287.83561535408774</v>
      </c>
      <c r="T149" s="874">
        <f>SUM(L149:S149)</f>
        <v>23992.096254096228</v>
      </c>
      <c r="U149" s="10">
        <f>U119*$X$149</f>
        <v>6839.8371902332465</v>
      </c>
      <c r="V149" s="10">
        <f>V119*$X$149</f>
        <v>657.31716892564759</v>
      </c>
      <c r="W149" s="10">
        <f>W119*$X$149</f>
        <v>318.00404871243438</v>
      </c>
      <c r="X149" s="3034">
        <f>'Motor Vs Weekends'!I59/'Motor Vs'!I59*X93</f>
        <v>31807.254661967556</v>
      </c>
      <c r="AA149" s="117">
        <f>ROW()</f>
        <v>149</v>
      </c>
    </row>
    <row r="150" spans="2:27" ht="14.1" customHeight="1">
      <c r="B150" s="3033" t="str">
        <f>CONCATENATE("Each column is calculated as product of county or state share of weekday work thru-trips from Row ",AA119," and Total in Row ",AA149, ". Total is calculated by prorating weekend to weekday work trips into CBD in respective tabs' Row ",'Motor Vs'!O59, " by total work trips into CBD in this tab, Row ",AA93, ".")</f>
        <v>Each column is calculated as product of county or state share of weekday work thru-trips from Row 119 and Total in Row 149. Total is calculated by prorating weekend to weekday work trips into CBD in respective tabs' Row 59 by total work trips into CBD in this tab, Row 93.</v>
      </c>
      <c r="G150" s="10"/>
      <c r="H150" s="10"/>
      <c r="I150" s="10"/>
      <c r="J150" s="10"/>
      <c r="K150" s="10"/>
      <c r="L150" s="874"/>
      <c r="M150" s="10"/>
      <c r="N150" s="10"/>
      <c r="O150" s="10"/>
      <c r="P150" s="10"/>
      <c r="Q150" s="10"/>
      <c r="R150" s="10"/>
      <c r="S150" s="10"/>
      <c r="T150" s="874"/>
      <c r="X150" s="2244"/>
      <c r="AA150" s="117">
        <f>ROW()</f>
        <v>150</v>
      </c>
    </row>
    <row r="151" spans="2:27" ht="14.1" customHeight="1">
      <c r="B151" s="1" t="s">
        <v>5423</v>
      </c>
      <c r="H151" s="3071"/>
      <c r="I151" s="2346"/>
      <c r="J151" s="2347" t="s">
        <v>5385</v>
      </c>
      <c r="K151" s="3072">
        <f>K135</f>
        <v>0.72249999999999992</v>
      </c>
      <c r="L151" s="3068"/>
      <c r="M151" s="4578" t="str">
        <f>CONCATENATE("Komanoff assumptions. Each cell is same as value in corresponding cell, ",AA263-AA250, " rows above.")</f>
        <v>Komanoff assumptions. Each cell is same as value in corresponding cell, 13 rows above.</v>
      </c>
      <c r="N151" s="4109"/>
      <c r="O151" s="4109"/>
      <c r="P151" s="4462"/>
      <c r="Q151" s="10"/>
      <c r="R151" s="10"/>
      <c r="S151" s="10"/>
      <c r="T151" s="874"/>
      <c r="X151" s="2244"/>
      <c r="AA151" s="117">
        <f>ROW()</f>
        <v>151</v>
      </c>
    </row>
    <row r="152" spans="2:27" ht="14.1" customHeight="1">
      <c r="B152" s="1"/>
      <c r="H152" s="3071"/>
      <c r="I152" s="2346"/>
      <c r="J152" s="2347" t="s">
        <v>5388</v>
      </c>
      <c r="K152" s="3072">
        <f>K136</f>
        <v>0.68</v>
      </c>
      <c r="L152" s="2561"/>
      <c r="M152" s="4111"/>
      <c r="N152" s="4111"/>
      <c r="O152" s="4111"/>
      <c r="P152" s="4463"/>
      <c r="Q152" s="10"/>
      <c r="R152" s="10"/>
      <c r="S152" s="10"/>
      <c r="T152" s="874"/>
      <c r="X152" s="2244"/>
      <c r="AA152" s="117">
        <f>ROW()</f>
        <v>152</v>
      </c>
    </row>
    <row r="153" spans="2:27" ht="14.1" customHeight="1">
      <c r="B153" s="1"/>
      <c r="H153" s="3071"/>
      <c r="I153" s="2346"/>
      <c r="J153" s="2347" t="s">
        <v>5386</v>
      </c>
      <c r="K153" s="3072">
        <f>K137</f>
        <v>0.68</v>
      </c>
      <c r="L153" s="2561"/>
      <c r="M153" s="4111"/>
      <c r="N153" s="4111"/>
      <c r="O153" s="4111"/>
      <c r="P153" s="4463"/>
      <c r="Q153" s="10"/>
      <c r="R153" s="10"/>
      <c r="S153" s="10"/>
      <c r="T153" s="874"/>
      <c r="X153" s="2244"/>
      <c r="AA153" s="117">
        <f>ROW()</f>
        <v>153</v>
      </c>
    </row>
    <row r="154" spans="2:27" ht="14.1" customHeight="1">
      <c r="B154" s="1"/>
      <c r="H154" s="3069"/>
      <c r="I154" s="2659"/>
      <c r="J154" s="3070" t="s">
        <v>5387</v>
      </c>
      <c r="K154" s="3072">
        <f>K138</f>
        <v>0.29749999999999999</v>
      </c>
      <c r="L154" s="2659"/>
      <c r="M154" s="4113"/>
      <c r="N154" s="4113"/>
      <c r="O154" s="4113"/>
      <c r="P154" s="4464"/>
      <c r="Q154" s="10"/>
      <c r="R154" s="10"/>
      <c r="S154" s="10"/>
      <c r="T154" s="874"/>
      <c r="X154" s="2244"/>
      <c r="AA154" s="117">
        <f>ROW()</f>
        <v>154</v>
      </c>
    </row>
    <row r="155" spans="2:27" ht="14.1" customHeight="1">
      <c r="B155" s="1" t="s">
        <v>5422</v>
      </c>
      <c r="G155" s="10">
        <f>$K151*G149</f>
        <v>2197.2754019535018</v>
      </c>
      <c r="H155" s="10">
        <f>$K151*H149</f>
        <v>3571.400313472242</v>
      </c>
      <c r="I155" s="10">
        <f>$K151*I149</f>
        <v>0</v>
      </c>
      <c r="J155" s="10">
        <f>$K151*J149</f>
        <v>4984.6741894517027</v>
      </c>
      <c r="K155" s="10">
        <f>$K151*K149</f>
        <v>1454.4749133522039</v>
      </c>
      <c r="L155" s="874">
        <f>SUM(G155:K155)</f>
        <v>12207.82481822965</v>
      </c>
      <c r="M155" s="10">
        <f t="shared" ref="M155:S155" si="41">$K152*M149</f>
        <v>1756.043905156956</v>
      </c>
      <c r="N155" s="10">
        <f t="shared" si="41"/>
        <v>801.5395621621899</v>
      </c>
      <c r="O155" s="10">
        <f t="shared" si="41"/>
        <v>1224.3246746423806</v>
      </c>
      <c r="P155" s="10">
        <f t="shared" si="41"/>
        <v>615.42798467506793</v>
      </c>
      <c r="Q155" s="10">
        <f t="shared" si="41"/>
        <v>93.816413585298875</v>
      </c>
      <c r="R155" s="10">
        <f t="shared" si="41"/>
        <v>138.02721814191477</v>
      </c>
      <c r="S155" s="10">
        <f t="shared" si="41"/>
        <v>195.72821844077967</v>
      </c>
      <c r="T155" s="874">
        <f>SUM(L155:S155)</f>
        <v>17032.732795034241</v>
      </c>
      <c r="U155" s="10">
        <f>$K153*U149</f>
        <v>4651.0892893586079</v>
      </c>
      <c r="V155" s="10">
        <f>$K153*V149</f>
        <v>446.97567486944041</v>
      </c>
      <c r="W155" s="10">
        <f>$K154*W149</f>
        <v>94.606204491949228</v>
      </c>
      <c r="X155" s="3034">
        <f>SUM(T155:W155)</f>
        <v>22225.403963754241</v>
      </c>
      <c r="AA155" s="117">
        <f>ROW()</f>
        <v>155</v>
      </c>
    </row>
    <row r="156" spans="2:27" ht="14.1" customHeight="1">
      <c r="B156" s="265" t="str">
        <f>CONCATENATE("Product of estimated % in Rows ",AA151, "-",AA154, " and number of autos in Row ",AA149, ".")</f>
        <v>Product of estimated % in Rows 151-154 and number of autos in Row 149.</v>
      </c>
      <c r="G156" s="10"/>
      <c r="H156" s="10"/>
      <c r="I156" s="10"/>
      <c r="J156" s="10"/>
      <c r="K156" s="10"/>
      <c r="L156" s="874"/>
      <c r="M156" s="10"/>
      <c r="N156" s="10"/>
      <c r="O156" s="10"/>
      <c r="P156" s="10"/>
      <c r="Q156" s="10"/>
      <c r="R156" s="10"/>
      <c r="S156" s="10"/>
      <c r="T156" s="874"/>
      <c r="X156" s="2244"/>
      <c r="AA156" s="117">
        <f>ROW()</f>
        <v>156</v>
      </c>
    </row>
    <row r="157" spans="2:27" ht="14.1" customHeight="1">
      <c r="B157" s="1" t="s">
        <v>5529</v>
      </c>
      <c r="G157" s="10"/>
      <c r="H157" s="10"/>
      <c r="J157" s="23">
        <f>K141</f>
        <v>0.35</v>
      </c>
      <c r="K157" s="10"/>
      <c r="L157" s="874"/>
      <c r="M157" s="10"/>
      <c r="N157" s="10"/>
      <c r="O157" s="4" t="s">
        <v>4653</v>
      </c>
      <c r="P157" s="10"/>
      <c r="Q157" s="10"/>
      <c r="R157" s="10"/>
      <c r="S157" s="10"/>
      <c r="T157" s="874"/>
      <c r="X157" s="2244"/>
      <c r="AA157" s="117">
        <f>ROW()</f>
        <v>157</v>
      </c>
    </row>
    <row r="158" spans="2:27" ht="14.1" customHeight="1">
      <c r="B158" s="265" t="str">
        <f>CONCATENATE("Komanoff assumption, chosen to match percentage in Row ",AA141, ".")</f>
        <v>Komanoff assumption, chosen to match percentage in Row 141.</v>
      </c>
      <c r="G158" s="10"/>
      <c r="H158" s="10"/>
      <c r="I158" s="10"/>
      <c r="J158" s="10"/>
      <c r="K158" s="10"/>
      <c r="L158" s="874"/>
      <c r="M158" s="10"/>
      <c r="N158" s="10"/>
      <c r="O158" s="10"/>
      <c r="P158" s="10"/>
      <c r="Q158" s="10"/>
      <c r="R158" s="10"/>
      <c r="S158" s="10"/>
      <c r="T158" s="874"/>
      <c r="X158" s="2244"/>
      <c r="AA158" s="117">
        <f>ROW()</f>
        <v>158</v>
      </c>
    </row>
    <row r="159" spans="2:27" ht="14.1" customHeight="1">
      <c r="B159" s="1" t="s">
        <v>5324</v>
      </c>
      <c r="G159" s="10">
        <f>$J157*G155</f>
        <v>769.04639068372558</v>
      </c>
      <c r="H159" s="10">
        <f>$J157*H155</f>
        <v>1249.9901097152847</v>
      </c>
      <c r="I159" s="10">
        <f>$J157*I155</f>
        <v>0</v>
      </c>
      <c r="J159" s="10">
        <f>$J157*J155</f>
        <v>1744.6359663080959</v>
      </c>
      <c r="K159" s="10">
        <f>$J157*K155</f>
        <v>509.06621967327135</v>
      </c>
      <c r="L159" s="874">
        <f>SUM(G159:K159)</f>
        <v>4272.7386863803777</v>
      </c>
      <c r="M159" s="10">
        <f t="shared" ref="M159:S159" si="42">$J157*M155</f>
        <v>614.61536680493452</v>
      </c>
      <c r="N159" s="10">
        <f t="shared" si="42"/>
        <v>280.53884675676642</v>
      </c>
      <c r="O159" s="10">
        <f t="shared" si="42"/>
        <v>428.51363612483317</v>
      </c>
      <c r="P159" s="10">
        <f t="shared" si="42"/>
        <v>215.39979463627375</v>
      </c>
      <c r="Q159" s="10">
        <f t="shared" si="42"/>
        <v>32.835744754854602</v>
      </c>
      <c r="R159" s="10">
        <f t="shared" si="42"/>
        <v>48.309526349670165</v>
      </c>
      <c r="S159" s="10">
        <f t="shared" si="42"/>
        <v>68.504876454272875</v>
      </c>
      <c r="T159" s="874">
        <f>SUM(L159:S159)</f>
        <v>5961.4564782619818</v>
      </c>
      <c r="U159" s="10">
        <f>$J157*U155</f>
        <v>1627.8812512755126</v>
      </c>
      <c r="V159" s="10">
        <f>$J157*V155</f>
        <v>156.44148620430414</v>
      </c>
      <c r="W159" s="10">
        <f>$J157*W155</f>
        <v>33.112171572182227</v>
      </c>
      <c r="X159" s="3034">
        <f>SUM(T159:W159)</f>
        <v>7778.89138731398</v>
      </c>
      <c r="AA159" s="117">
        <f>ROW()</f>
        <v>159</v>
      </c>
    </row>
    <row r="160" spans="2:27" ht="14.1" customHeight="1">
      <c r="B160" s="265" t="str">
        <f>CONCATENATE("Product of estimated % in Row ",AA157, " and number of autos in Row ",AA155, ".")</f>
        <v>Product of estimated % in Row 157 and number of autos in Row 155.</v>
      </c>
      <c r="G160" s="10"/>
      <c r="H160" s="10"/>
      <c r="I160" s="10"/>
      <c r="J160" s="10"/>
      <c r="K160" s="10"/>
      <c r="L160" s="874"/>
      <c r="M160" s="10"/>
      <c r="N160" s="10"/>
      <c r="O160" s="10"/>
      <c r="P160" s="10"/>
      <c r="Q160" s="10"/>
      <c r="R160" s="10"/>
      <c r="S160" s="10"/>
      <c r="T160" s="874"/>
      <c r="X160" s="2244"/>
      <c r="AA160" s="117">
        <f>ROW()</f>
        <v>160</v>
      </c>
    </row>
    <row r="161" spans="2:27" ht="14.1" customHeight="1">
      <c r="B161" s="2" t="s">
        <v>5325</v>
      </c>
      <c r="C161" s="2"/>
      <c r="D161" s="2"/>
      <c r="E161" s="2"/>
      <c r="F161" s="2"/>
      <c r="G161" s="5">
        <f>G155+G159</f>
        <v>2966.3217926372272</v>
      </c>
      <c r="H161" s="5">
        <f t="shared" ref="H161:K161" si="43">H155+H159</f>
        <v>4821.3904231875267</v>
      </c>
      <c r="I161" s="5">
        <f t="shared" si="43"/>
        <v>0</v>
      </c>
      <c r="J161" s="5">
        <f t="shared" si="43"/>
        <v>6729.3101557597984</v>
      </c>
      <c r="K161" s="5">
        <f t="shared" si="43"/>
        <v>1963.5411330254751</v>
      </c>
      <c r="L161" s="3074">
        <f>SUM(G161:K161)</f>
        <v>16480.563504610029</v>
      </c>
      <c r="M161" s="5">
        <f t="shared" ref="M161:S161" si="44">M155+M159</f>
        <v>2370.6592719618907</v>
      </c>
      <c r="N161" s="5">
        <f t="shared" si="44"/>
        <v>1082.0784089189563</v>
      </c>
      <c r="O161" s="5">
        <f t="shared" si="44"/>
        <v>1652.8383107672139</v>
      </c>
      <c r="P161" s="5">
        <f t="shared" si="44"/>
        <v>830.82777931134171</v>
      </c>
      <c r="Q161" s="5">
        <f t="shared" si="44"/>
        <v>126.65215834015348</v>
      </c>
      <c r="R161" s="5">
        <f t="shared" si="44"/>
        <v>186.33674449158494</v>
      </c>
      <c r="S161" s="5">
        <f t="shared" si="44"/>
        <v>264.23309489505255</v>
      </c>
      <c r="T161" s="874">
        <f>SUM(L161:S161)</f>
        <v>22994.189273296215</v>
      </c>
      <c r="U161" s="5">
        <f t="shared" ref="U161:W161" si="45">U155+U159</f>
        <v>6278.97054063412</v>
      </c>
      <c r="V161" s="5">
        <f t="shared" si="45"/>
        <v>603.41716107374452</v>
      </c>
      <c r="W161" s="5">
        <f t="shared" si="45"/>
        <v>127.71837606413146</v>
      </c>
      <c r="X161" s="3034">
        <f>SUM(T161:W161)</f>
        <v>30004.295351068209</v>
      </c>
      <c r="AA161" s="117">
        <f>ROW()</f>
        <v>161</v>
      </c>
    </row>
    <row r="162" spans="2:27" ht="14.1" customHeight="1">
      <c r="B162" s="3033" t="str">
        <f>CONCATENATE("Sum of Rows ",AA155, " and ",AA159, ".")</f>
        <v>Sum of Rows 155 and 159.</v>
      </c>
      <c r="G162" s="612"/>
      <c r="H162" s="612"/>
      <c r="I162" s="612"/>
      <c r="J162" s="612"/>
      <c r="K162" s="612"/>
      <c r="L162" s="874"/>
      <c r="M162" s="612"/>
      <c r="N162" s="612"/>
      <c r="O162" s="612"/>
      <c r="P162" s="612"/>
      <c r="Q162" s="612"/>
      <c r="R162" s="612"/>
      <c r="S162" s="612"/>
      <c r="T162" s="874"/>
      <c r="U162" s="612"/>
      <c r="V162" s="612"/>
      <c r="X162" s="2244"/>
      <c r="AA162" s="117">
        <f>ROW()</f>
        <v>162</v>
      </c>
    </row>
    <row r="163" spans="2:27" ht="14.1" customHeight="1">
      <c r="B163" s="3033"/>
      <c r="G163" s="10"/>
      <c r="H163" s="10"/>
      <c r="I163" s="10"/>
      <c r="J163" s="10"/>
      <c r="K163" s="10"/>
      <c r="L163" s="874"/>
      <c r="M163" s="10"/>
      <c r="N163" s="10"/>
      <c r="O163" s="10"/>
      <c r="P163" s="10"/>
      <c r="Q163" s="10"/>
      <c r="R163" s="10"/>
      <c r="S163" s="10"/>
      <c r="T163" s="874"/>
      <c r="X163" s="2244"/>
      <c r="AA163" s="117">
        <f>ROW()</f>
        <v>163</v>
      </c>
    </row>
    <row r="164" spans="2:27" ht="14.1" customHeight="1">
      <c r="B164" s="24" t="s">
        <v>5424</v>
      </c>
      <c r="G164" s="5">
        <f>G161+G145</f>
        <v>10549.655850566924</v>
      </c>
      <c r="H164" s="5">
        <f t="shared" ref="H164:K164" si="46">H161+H145</f>
        <v>17147.165156557967</v>
      </c>
      <c r="I164" s="5">
        <f t="shared" si="46"/>
        <v>8965.2331745906449</v>
      </c>
      <c r="J164" s="5">
        <f t="shared" si="46"/>
        <v>23932.638202369453</v>
      </c>
      <c r="K164" s="5">
        <f t="shared" si="46"/>
        <v>6983.289288865215</v>
      </c>
      <c r="L164" s="3074">
        <f>SUM(G164:K164)</f>
        <v>67577.981672950205</v>
      </c>
      <c r="M164" s="5">
        <f t="shared" ref="M164:S164" si="47">M161+M145</f>
        <v>8431.1956714306816</v>
      </c>
      <c r="N164" s="5">
        <f t="shared" si="47"/>
        <v>3848.3871998509449</v>
      </c>
      <c r="O164" s="5">
        <f t="shared" si="47"/>
        <v>5878.2817826801329</v>
      </c>
      <c r="P164" s="5">
        <f t="shared" si="47"/>
        <v>2954.8200618628402</v>
      </c>
      <c r="Q164" s="5">
        <f t="shared" si="47"/>
        <v>450.43551462844766</v>
      </c>
      <c r="R164" s="5">
        <f t="shared" si="47"/>
        <v>662.70238501452195</v>
      </c>
      <c r="S164" s="5">
        <f t="shared" si="47"/>
        <v>939.73897990166847</v>
      </c>
      <c r="T164" s="874">
        <f>SUM(L164:S164)</f>
        <v>90743.543268319452</v>
      </c>
      <c r="U164" s="5">
        <f t="shared" ref="U164:W164" si="48">U161+U145</f>
        <v>22331.01562479038</v>
      </c>
      <c r="V164" s="5">
        <f t="shared" si="48"/>
        <v>2146.0393809784605</v>
      </c>
      <c r="W164" s="5">
        <f t="shared" si="48"/>
        <v>454.22749366378412</v>
      </c>
      <c r="X164" s="3034">
        <f>SUM(T164:W164)</f>
        <v>115674.82576775207</v>
      </c>
      <c r="AA164" s="117">
        <f>ROW()</f>
        <v>164</v>
      </c>
    </row>
    <row r="165" spans="2:27" ht="14.1" customHeight="1">
      <c r="B165" s="3033"/>
      <c r="G165" s="10"/>
      <c r="H165" s="10"/>
      <c r="I165" s="10"/>
      <c r="J165" s="10"/>
      <c r="K165" s="10"/>
      <c r="L165" s="874"/>
      <c r="M165" s="10"/>
      <c r="N165" s="10"/>
      <c r="O165" s="10"/>
      <c r="P165" s="10"/>
      <c r="Q165" s="10"/>
      <c r="R165" s="10"/>
      <c r="S165" s="10"/>
      <c r="T165" s="874"/>
      <c r="X165" s="2244"/>
      <c r="AA165" s="117">
        <f>ROW()</f>
        <v>165</v>
      </c>
    </row>
    <row r="166" spans="2:27" ht="14.1" customHeight="1">
      <c r="B166" s="24" t="s">
        <v>5425</v>
      </c>
      <c r="G166" s="10"/>
      <c r="H166" s="10"/>
      <c r="I166" s="10"/>
      <c r="J166" s="10"/>
      <c r="K166" s="10"/>
      <c r="L166" s="874"/>
      <c r="M166" s="10"/>
      <c r="N166" s="10"/>
      <c r="O166" s="10"/>
      <c r="P166" s="10"/>
      <c r="Q166" s="10"/>
      <c r="R166" s="10"/>
      <c r="S166" s="10"/>
      <c r="T166" s="874"/>
      <c r="X166" s="2244"/>
      <c r="AA166" s="117">
        <f>ROW()</f>
        <v>166</v>
      </c>
    </row>
    <row r="167" spans="2:27" ht="14.1" customHeight="1">
      <c r="B167" s="1" t="s">
        <v>5411</v>
      </c>
      <c r="G167" s="12">
        <f>G112</f>
        <v>8.5903474405522318E-2</v>
      </c>
      <c r="H167" s="12">
        <f>H112</f>
        <v>0.13962550854912337</v>
      </c>
      <c r="I167" s="12">
        <f>I112</f>
        <v>0.10155753032502463</v>
      </c>
      <c r="J167" s="12">
        <f>J112</f>
        <v>0.19487808914291638</v>
      </c>
      <c r="K167" s="12">
        <f>K112</f>
        <v>5.6863353761455064E-2</v>
      </c>
      <c r="L167" s="3083">
        <f>SUM(G167:K167)</f>
        <v>0.5788279561840417</v>
      </c>
      <c r="M167" s="12">
        <f t="shared" ref="M167:S167" si="49">M112</f>
        <v>7.2944162830239218E-2</v>
      </c>
      <c r="N167" s="12">
        <f t="shared" si="49"/>
        <v>3.3295085712570234E-2</v>
      </c>
      <c r="O167" s="12">
        <f t="shared" si="49"/>
        <v>5.0857121602669218E-2</v>
      </c>
      <c r="P167" s="12">
        <f t="shared" si="49"/>
        <v>2.5564212257216688E-2</v>
      </c>
      <c r="Q167" s="12">
        <f t="shared" si="49"/>
        <v>3.8970322601947953E-3</v>
      </c>
      <c r="R167" s="12">
        <f t="shared" si="49"/>
        <v>5.7335012214565729E-3</v>
      </c>
      <c r="S167" s="12">
        <f t="shared" si="49"/>
        <v>8.1303383101578863E-3</v>
      </c>
      <c r="T167" s="3083">
        <f>SUM(L167:S167)</f>
        <v>0.77924941037854623</v>
      </c>
      <c r="U167" s="12">
        <f>U112</f>
        <v>0.19320121408389945</v>
      </c>
      <c r="V167" s="12">
        <f>V112</f>
        <v>1.8566885664466536E-2</v>
      </c>
      <c r="W167" s="12">
        <f>W112</f>
        <v>8.9824898730875603E-3</v>
      </c>
      <c r="X167" s="3084">
        <f>SUM(T167:W167)</f>
        <v>0.99999999999999978</v>
      </c>
      <c r="AA167" s="117">
        <f>ROW()</f>
        <v>167</v>
      </c>
    </row>
    <row r="168" spans="2:27" ht="14.1" customHeight="1">
      <c r="B168" s="3033" t="str">
        <f>CONCATENATE("Copied from Row ",AA112, ".")</f>
        <v>Copied from Row 112.</v>
      </c>
      <c r="G168" s="10"/>
      <c r="H168" s="10"/>
      <c r="I168" s="10"/>
      <c r="J168" s="10"/>
      <c r="K168" s="10"/>
      <c r="L168" s="874"/>
      <c r="M168" s="10"/>
      <c r="N168" s="10"/>
      <c r="O168" s="10"/>
      <c r="P168" s="10"/>
      <c r="Q168" s="10"/>
      <c r="R168" s="10"/>
      <c r="S168" s="10"/>
      <c r="T168" s="874"/>
      <c r="X168" s="2244"/>
      <c r="AA168" s="117">
        <f>ROW()</f>
        <v>168</v>
      </c>
    </row>
    <row r="169" spans="2:27" ht="14.1" customHeight="1">
      <c r="B169" s="1" t="s">
        <v>5406</v>
      </c>
      <c r="G169" s="10">
        <f>'Motor Vs Weekends'!J76</f>
        <v>277004.99999999994</v>
      </c>
      <c r="H169" s="265" t="str">
        <f>CONCATENATE("Taken directly from Cell J",'Motor Vs'!$O68, " of 'Motor Vs Weekends' worksheet.")</f>
        <v>Taken directly from Cell J68 of 'Motor Vs Weekends' worksheet.</v>
      </c>
      <c r="I169" s="10"/>
      <c r="J169" s="10"/>
      <c r="K169" s="10"/>
      <c r="L169" s="874"/>
      <c r="M169" s="10"/>
      <c r="N169" s="10"/>
      <c r="O169" s="10"/>
      <c r="P169" s="10"/>
      <c r="Q169" s="10"/>
      <c r="R169" s="10"/>
      <c r="S169" s="10"/>
      <c r="T169" s="874"/>
      <c r="X169" s="2244"/>
      <c r="AA169" s="117">
        <f>ROW()</f>
        <v>169</v>
      </c>
    </row>
    <row r="170" spans="2:27" ht="14.1" customHeight="1">
      <c r="B170" s="2" t="s">
        <v>5407</v>
      </c>
      <c r="C170" s="2"/>
      <c r="D170" s="2"/>
      <c r="E170" s="2"/>
      <c r="F170" s="2"/>
      <c r="G170" s="5">
        <f>G$167*$G169</f>
        <v>23795.691927701704</v>
      </c>
      <c r="H170" s="5">
        <f>H$167*$G169</f>
        <v>38676.963995649909</v>
      </c>
      <c r="I170" s="5">
        <f>I$167*$G169</f>
        <v>28131.943687683441</v>
      </c>
      <c r="J170" s="5">
        <f>J$167*$G169</f>
        <v>53982.205083033543</v>
      </c>
      <c r="K170" s="5">
        <f>K$167*$G169</f>
        <v>15751.433308691856</v>
      </c>
      <c r="L170" s="3074">
        <f>SUM(G170:K170)</f>
        <v>160338.23800276045</v>
      </c>
      <c r="M170" s="5">
        <f t="shared" ref="M170:S170" si="50">M$167*$G169</f>
        <v>20205.897824790409</v>
      </c>
      <c r="N170" s="5">
        <f t="shared" si="50"/>
        <v>9222.9052178105158</v>
      </c>
      <c r="O170" s="5">
        <f t="shared" si="50"/>
        <v>14087.676969547383</v>
      </c>
      <c r="P170" s="5">
        <f t="shared" si="50"/>
        <v>7081.4146163103069</v>
      </c>
      <c r="Q170" s="5">
        <f t="shared" si="50"/>
        <v>1079.497421235259</v>
      </c>
      <c r="R170" s="5">
        <f t="shared" si="50"/>
        <v>1588.2085058495777</v>
      </c>
      <c r="S170" s="5">
        <f t="shared" si="50"/>
        <v>2252.144363605285</v>
      </c>
      <c r="T170" s="874">
        <f>SUM(L170:S170)</f>
        <v>215855.98292190916</v>
      </c>
      <c r="U170" s="5">
        <f>U$167*$G169</f>
        <v>53517.702307310559</v>
      </c>
      <c r="V170" s="5">
        <f>V$167*$G169</f>
        <v>5143.1201634855515</v>
      </c>
      <c r="W170" s="5">
        <f>W$167*$G169</f>
        <v>2488.1946072946193</v>
      </c>
      <c r="X170" s="3034">
        <f>SUM(T170:W170)</f>
        <v>277004.99999999988</v>
      </c>
      <c r="AA170" s="117">
        <f>ROW()</f>
        <v>170</v>
      </c>
    </row>
    <row r="171" spans="2:27" ht="14.1" customHeight="1">
      <c r="B171" s="265" t="str">
        <f>CONCATENATE("Product of % in Row ",AA167, " and number of trips in Row ",AA169, ".")</f>
        <v>Product of % in Row 167 and number of trips in Row 169.</v>
      </c>
      <c r="C171" s="2"/>
      <c r="D171" s="2"/>
      <c r="E171" s="2"/>
      <c r="F171" s="2"/>
      <c r="G171" s="5"/>
      <c r="H171" s="5"/>
      <c r="I171" s="5"/>
      <c r="J171" s="5"/>
      <c r="K171" s="5"/>
      <c r="L171" s="3074"/>
      <c r="M171" s="5"/>
      <c r="N171" s="5"/>
      <c r="O171" s="5"/>
      <c r="P171" s="5"/>
      <c r="Q171" s="5"/>
      <c r="R171" s="5"/>
      <c r="S171" s="5"/>
      <c r="T171" s="3074"/>
      <c r="U171" s="5"/>
      <c r="V171" s="5"/>
      <c r="W171" s="5"/>
      <c r="X171" s="3034"/>
      <c r="AA171" s="117">
        <f>ROW()</f>
        <v>171</v>
      </c>
    </row>
    <row r="172" spans="2:27" ht="14.1" customHeight="1">
      <c r="B172" s="3033"/>
      <c r="G172" s="10"/>
      <c r="H172" s="10"/>
      <c r="I172" s="10"/>
      <c r="J172" s="10"/>
      <c r="K172" s="10"/>
      <c r="L172" s="874"/>
      <c r="M172" s="10"/>
      <c r="N172" s="10"/>
      <c r="O172" s="10"/>
      <c r="P172" s="10"/>
      <c r="Q172" s="10"/>
      <c r="R172" s="10"/>
      <c r="S172" s="10"/>
      <c r="T172" s="874"/>
      <c r="X172" s="2244"/>
      <c r="AA172" s="117">
        <f>ROW()</f>
        <v>172</v>
      </c>
    </row>
    <row r="173" spans="2:27" ht="14.1" customHeight="1">
      <c r="B173" s="24" t="s">
        <v>5426</v>
      </c>
      <c r="L173" s="3074"/>
      <c r="T173" s="3074"/>
      <c r="AA173" s="117">
        <f>ROW()</f>
        <v>173</v>
      </c>
    </row>
    <row r="174" spans="2:27" ht="14.1" customHeight="1">
      <c r="B174" s="1" t="s">
        <v>5410</v>
      </c>
      <c r="G174" s="12">
        <f>G119</f>
        <v>9.5613773062841925E-2</v>
      </c>
      <c r="H174" s="12">
        <f>H119</f>
        <v>0.15540840205342801</v>
      </c>
      <c r="I174" s="12">
        <f>I119</f>
        <v>0</v>
      </c>
      <c r="J174" s="12">
        <f>J119</f>
        <v>0.21690658636542018</v>
      </c>
      <c r="K174" s="12">
        <f>K119</f>
        <v>6.3291034964126552E-2</v>
      </c>
      <c r="L174" s="3083">
        <f>SUM(G174:K174)</f>
        <v>0.53121979644581674</v>
      </c>
      <c r="M174" s="12">
        <f t="shared" ref="M174:S174" si="51">M119</f>
        <v>8.1189575618155971E-2</v>
      </c>
      <c r="N174" s="12">
        <f t="shared" si="51"/>
        <v>3.7058673021785379E-2</v>
      </c>
      <c r="O174" s="12">
        <f t="shared" si="51"/>
        <v>5.6605874409596336E-2</v>
      </c>
      <c r="P174" s="12">
        <f t="shared" si="51"/>
        <v>2.8453922337915431E-2</v>
      </c>
      <c r="Q174" s="12">
        <f t="shared" si="51"/>
        <v>4.337542348821292E-3</v>
      </c>
      <c r="R174" s="12">
        <f t="shared" si="51"/>
        <v>6.3816008425456013E-3</v>
      </c>
      <c r="S174" s="12">
        <f t="shared" si="51"/>
        <v>9.0493699759085899E-3</v>
      </c>
      <c r="T174" s="3083">
        <f>SUM(L174:S174)</f>
        <v>0.75429635500054526</v>
      </c>
      <c r="U174" s="12">
        <f>U119</f>
        <v>0.21504016184118366</v>
      </c>
      <c r="V174" s="12">
        <f>V119</f>
        <v>2.0665636689217705E-2</v>
      </c>
      <c r="W174" s="12">
        <f>W119</f>
        <v>9.9978464690533928E-3</v>
      </c>
      <c r="X174" s="3084">
        <f>SUM(T174:W174)</f>
        <v>1</v>
      </c>
      <c r="AA174" s="117">
        <f>ROW()</f>
        <v>174</v>
      </c>
    </row>
    <row r="175" spans="2:27" ht="14.1" customHeight="1">
      <c r="B175" s="3033" t="str">
        <f>CONCATENATE("Copied from Row ",AA119, ".")</f>
        <v>Copied from Row 119.</v>
      </c>
      <c r="L175" s="3074"/>
      <c r="T175" s="3074"/>
      <c r="AA175" s="117">
        <f>ROW()</f>
        <v>175</v>
      </c>
    </row>
    <row r="176" spans="2:27" ht="14.1" customHeight="1">
      <c r="B176" s="1" t="s">
        <v>5408</v>
      </c>
      <c r="G176" s="10">
        <f>'Motor Vs Weekends'!J59</f>
        <v>97350.000000000029</v>
      </c>
      <c r="H176" s="265" t="str">
        <f>CONCATENATE("Taken directly from Cell J",'Motor Vs'!O59, " of 'Motor Vs Weekends' worksheet.")</f>
        <v>Taken directly from Cell J59 of 'Motor Vs Weekends' worksheet.</v>
      </c>
      <c r="L176" s="3074"/>
      <c r="T176" s="3074"/>
      <c r="AA176" s="117">
        <f>ROW()</f>
        <v>176</v>
      </c>
    </row>
    <row r="177" spans="2:27" ht="14.1" customHeight="1">
      <c r="B177" s="2" t="s">
        <v>5409</v>
      </c>
      <c r="G177" s="5">
        <f>G$119*$G176</f>
        <v>9308.000807667664</v>
      </c>
      <c r="H177" s="5">
        <f>H$119*$G176</f>
        <v>15129.007939901221</v>
      </c>
      <c r="I177" s="5">
        <f>I$119*$G176</f>
        <v>0</v>
      </c>
      <c r="J177" s="5">
        <f>J$119*$G176</f>
        <v>21115.856182673662</v>
      </c>
      <c r="K177" s="5">
        <f>K$119*$G176</f>
        <v>6161.3822537577216</v>
      </c>
      <c r="L177" s="3074">
        <f>SUM(G177:K177)</f>
        <v>51714.247184000269</v>
      </c>
      <c r="M177" s="5">
        <f t="shared" ref="M177:S177" si="52">M$119*$G176</f>
        <v>7903.8051864274858</v>
      </c>
      <c r="N177" s="5">
        <f t="shared" si="52"/>
        <v>3607.6618186708079</v>
      </c>
      <c r="O177" s="5">
        <f t="shared" si="52"/>
        <v>5510.5818737742047</v>
      </c>
      <c r="P177" s="5">
        <f t="shared" si="52"/>
        <v>2769.989339596068</v>
      </c>
      <c r="Q177" s="5">
        <f t="shared" si="52"/>
        <v>422.25974765775288</v>
      </c>
      <c r="R177" s="5">
        <f t="shared" si="52"/>
        <v>621.24884202181443</v>
      </c>
      <c r="S177" s="5">
        <f t="shared" si="52"/>
        <v>880.95616715470146</v>
      </c>
      <c r="T177" s="874">
        <f>SUM(L177:S177)</f>
        <v>73430.750159303105</v>
      </c>
      <c r="U177" s="5">
        <f>U$119*$G176</f>
        <v>20934.159755239234</v>
      </c>
      <c r="V177" s="5">
        <f>V$119*$G176</f>
        <v>2011.7997316953442</v>
      </c>
      <c r="W177" s="5">
        <f>W$119*$G176</f>
        <v>973.2903537623481</v>
      </c>
      <c r="X177" s="3034">
        <f>SUM(T177:W177)</f>
        <v>97350.000000000029</v>
      </c>
      <c r="AA177" s="117">
        <f>ROW()</f>
        <v>177</v>
      </c>
    </row>
    <row r="178" spans="2:27" ht="14.1" customHeight="1">
      <c r="B178" s="265" t="str">
        <f>CONCATENATE("Product of % in Row ",AA119, " and number of trips in Row ",AA176, ".")</f>
        <v>Product of % in Row 119 and number of trips in Row 176.</v>
      </c>
      <c r="L178" s="3074"/>
      <c r="T178" s="3074"/>
      <c r="AA178" s="117">
        <f>ROW()</f>
        <v>178</v>
      </c>
    </row>
    <row r="179" spans="2:27" ht="14.1" customHeight="1">
      <c r="B179" s="3033"/>
      <c r="G179" s="3125" t="str">
        <f>G147</f>
        <v>Bronx</v>
      </c>
      <c r="H179" s="3125" t="str">
        <f t="shared" ref="H179:X179" si="53">H147</f>
        <v>Brooklyn</v>
      </c>
      <c r="I179" s="3125" t="str">
        <f t="shared" si="53"/>
        <v>Manhattan</v>
      </c>
      <c r="J179" s="3125" t="str">
        <f t="shared" si="53"/>
        <v>Queens</v>
      </c>
      <c r="K179" s="3125" t="str">
        <f t="shared" si="53"/>
        <v>S.I.</v>
      </c>
      <c r="L179" s="3175" t="str">
        <f t="shared" si="53"/>
        <v>NYC</v>
      </c>
      <c r="M179" s="3125" t="str">
        <f t="shared" si="53"/>
        <v>Nassau</v>
      </c>
      <c r="N179" s="3125" t="str">
        <f t="shared" si="53"/>
        <v>Suffolk</v>
      </c>
      <c r="O179" s="3125" t="str">
        <f t="shared" si="53"/>
        <v>Westchester</v>
      </c>
      <c r="P179" s="3125" t="str">
        <f t="shared" si="53"/>
        <v>Rockland</v>
      </c>
      <c r="Q179" s="3125" t="str">
        <f t="shared" si="53"/>
        <v>Putnam</v>
      </c>
      <c r="R179" s="3125" t="str">
        <f t="shared" si="53"/>
        <v>Dutchess</v>
      </c>
      <c r="S179" s="3125" t="str">
        <f t="shared" si="53"/>
        <v>Orange</v>
      </c>
      <c r="T179" s="3175" t="str">
        <f t="shared" si="53"/>
        <v>MTA Reg Tot</v>
      </c>
      <c r="U179" s="3125" t="str">
        <f t="shared" si="53"/>
        <v>NJ</v>
      </c>
      <c r="V179" s="3125" t="str">
        <f t="shared" si="53"/>
        <v>CT</v>
      </c>
      <c r="W179" s="3125" t="str">
        <f t="shared" si="53"/>
        <v>Other</v>
      </c>
      <c r="X179" s="3125" t="str">
        <f t="shared" si="53"/>
        <v>Total</v>
      </c>
      <c r="AA179" s="117">
        <f>ROW()</f>
        <v>179</v>
      </c>
    </row>
    <row r="180" spans="2:27" ht="14.1" customHeight="1">
      <c r="B180" s="24" t="s">
        <v>5427</v>
      </c>
      <c r="G180" s="3125">
        <f>G170+G177</f>
        <v>33103.692735369368</v>
      </c>
      <c r="H180" s="5">
        <f>H170+H177</f>
        <v>53805.971935551133</v>
      </c>
      <c r="I180" s="5">
        <f>I170+I177</f>
        <v>28131.943687683441</v>
      </c>
      <c r="J180" s="5">
        <f>J170+J177</f>
        <v>75098.061265707205</v>
      </c>
      <c r="K180" s="5">
        <f>K170+K177</f>
        <v>21912.815562449578</v>
      </c>
      <c r="L180" s="3074">
        <f>SUM(G180:K180)</f>
        <v>212052.48518676072</v>
      </c>
      <c r="M180" s="5">
        <f t="shared" ref="M180:W180" si="54">M170+M177</f>
        <v>28109.703011217895</v>
      </c>
      <c r="N180" s="5">
        <f t="shared" si="54"/>
        <v>12830.567036481323</v>
      </c>
      <c r="O180" s="5">
        <f t="shared" si="54"/>
        <v>19598.258843321586</v>
      </c>
      <c r="P180" s="5">
        <f t="shared" si="54"/>
        <v>9851.4039559063749</v>
      </c>
      <c r="Q180" s="5">
        <f t="shared" si="54"/>
        <v>1501.757168893012</v>
      </c>
      <c r="R180" s="5">
        <f t="shared" si="54"/>
        <v>2209.4573478713919</v>
      </c>
      <c r="S180" s="5">
        <f t="shared" si="54"/>
        <v>3133.1005307599862</v>
      </c>
      <c r="T180" s="874">
        <f>SUM(L180:S180)</f>
        <v>289286.73308121233</v>
      </c>
      <c r="U180" s="5">
        <f t="shared" si="54"/>
        <v>74451.862062549801</v>
      </c>
      <c r="V180" s="5">
        <f t="shared" si="54"/>
        <v>7154.9198951808958</v>
      </c>
      <c r="W180" s="5">
        <f t="shared" si="54"/>
        <v>3461.4849610569672</v>
      </c>
      <c r="X180" s="3034">
        <f>SUM(T180:W180)</f>
        <v>374355</v>
      </c>
      <c r="AA180" s="117">
        <f>ROW()</f>
        <v>180</v>
      </c>
    </row>
    <row r="181" spans="2:27" ht="14.1" customHeight="1">
      <c r="B181" s="24"/>
      <c r="F181" s="3092"/>
      <c r="G181" s="5"/>
      <c r="H181" s="5"/>
      <c r="I181" s="5"/>
      <c r="J181" s="5"/>
      <c r="K181" s="5"/>
      <c r="L181" s="3074"/>
      <c r="M181" s="5"/>
      <c r="N181" s="5"/>
      <c r="O181" s="5"/>
      <c r="P181" s="5"/>
      <c r="Q181" s="5"/>
      <c r="R181" s="5"/>
      <c r="S181" s="5"/>
      <c r="T181" s="874"/>
      <c r="U181" s="5"/>
      <c r="V181" s="5"/>
      <c r="W181" s="5"/>
      <c r="X181" s="3034"/>
      <c r="AA181" s="117">
        <f>ROW()</f>
        <v>181</v>
      </c>
    </row>
    <row r="182" spans="2:27" ht="14.1" customHeight="1">
      <c r="B182" s="24" t="s">
        <v>5430</v>
      </c>
      <c r="F182" s="3092" t="str">
        <f>CONCATENATE("Rows ",AA145,"+",AA170,"")</f>
        <v>Rows 145+170</v>
      </c>
      <c r="G182" s="5">
        <f>G145+G170</f>
        <v>31379.025985631401</v>
      </c>
      <c r="H182" s="5">
        <f>H145+H170</f>
        <v>51002.738729020348</v>
      </c>
      <c r="I182" s="5">
        <f>I145+I170</f>
        <v>37097.176862274086</v>
      </c>
      <c r="J182" s="5">
        <f>J145+J170</f>
        <v>71185.533129643198</v>
      </c>
      <c r="K182" s="5">
        <f>K145+K170</f>
        <v>20771.181464531597</v>
      </c>
      <c r="L182" s="3074">
        <f>SUM(G182:K182)</f>
        <v>211435.65617110065</v>
      </c>
      <c r="M182" s="5">
        <f t="shared" ref="M182:S182" si="55">M145+M170</f>
        <v>26266.434224259199</v>
      </c>
      <c r="N182" s="5">
        <f t="shared" si="55"/>
        <v>11989.214008742505</v>
      </c>
      <c r="O182" s="5">
        <f t="shared" si="55"/>
        <v>18313.120441460302</v>
      </c>
      <c r="P182" s="5">
        <f t="shared" si="55"/>
        <v>9205.4068988618055</v>
      </c>
      <c r="Q182" s="5">
        <f t="shared" si="55"/>
        <v>1403.2807775235533</v>
      </c>
      <c r="R182" s="5">
        <f t="shared" si="55"/>
        <v>2064.5741463725149</v>
      </c>
      <c r="S182" s="5">
        <f t="shared" si="55"/>
        <v>2927.6502486119007</v>
      </c>
      <c r="T182" s="874">
        <f>SUM(L182:S182)</f>
        <v>283605.33691693243</v>
      </c>
      <c r="U182" s="5">
        <f>U145+U170</f>
        <v>69569.747391466823</v>
      </c>
      <c r="V182" s="5">
        <f>V145+V170</f>
        <v>6685.7423833902676</v>
      </c>
      <c r="W182" s="5">
        <f>W145+W170</f>
        <v>2814.703724894272</v>
      </c>
      <c r="X182" s="3034">
        <f>SUM(T182:W182)</f>
        <v>362675.53041668376</v>
      </c>
      <c r="AA182" s="117">
        <f>ROW()</f>
        <v>182</v>
      </c>
    </row>
    <row r="183" spans="2:27" ht="14.1" customHeight="1">
      <c r="B183" s="24" t="s">
        <v>5431</v>
      </c>
      <c r="F183" s="3092" t="str">
        <f>CONCATENATE("Rows ",AA161,"+",AA177,"")</f>
        <v>Rows 161+177</v>
      </c>
      <c r="G183" s="5">
        <f>G161+G177</f>
        <v>12274.322600304891</v>
      </c>
      <c r="H183" s="5">
        <f>H161+H177</f>
        <v>19950.398363088749</v>
      </c>
      <c r="I183" s="5">
        <f>I161+I177</f>
        <v>0</v>
      </c>
      <c r="J183" s="5">
        <f>J161+J177</f>
        <v>27845.166338433461</v>
      </c>
      <c r="K183" s="5">
        <f>K161+K177</f>
        <v>8124.9233867831972</v>
      </c>
      <c r="L183" s="3074">
        <f>SUM(G183:K183)</f>
        <v>68194.810688610291</v>
      </c>
      <c r="M183" s="5">
        <f t="shared" ref="M183:S183" si="56">M161+M177</f>
        <v>10274.464458389377</v>
      </c>
      <c r="N183" s="5">
        <f t="shared" si="56"/>
        <v>4689.7402275897639</v>
      </c>
      <c r="O183" s="5">
        <f t="shared" si="56"/>
        <v>7163.4201845414191</v>
      </c>
      <c r="P183" s="5">
        <f t="shared" si="56"/>
        <v>3600.8171189074096</v>
      </c>
      <c r="Q183" s="5">
        <f t="shared" si="56"/>
        <v>548.91190599790639</v>
      </c>
      <c r="R183" s="5">
        <f t="shared" si="56"/>
        <v>807.58558651339933</v>
      </c>
      <c r="S183" s="5">
        <f t="shared" si="56"/>
        <v>1145.189262049754</v>
      </c>
      <c r="T183" s="874">
        <f>SUM(L183:S183)</f>
        <v>96424.93943259932</v>
      </c>
      <c r="U183" s="5">
        <f>U161+U177</f>
        <v>27213.130295873354</v>
      </c>
      <c r="V183" s="5">
        <f>V161+V177</f>
        <v>2615.2168927690886</v>
      </c>
      <c r="W183" s="5">
        <f>W161+W177</f>
        <v>1101.0087298264796</v>
      </c>
      <c r="X183" s="3034">
        <f>T183+SUM(U183:W183)</f>
        <v>127354.29535106824</v>
      </c>
      <c r="AA183" s="117">
        <f>ROW()</f>
        <v>183</v>
      </c>
    </row>
    <row r="184" spans="2:27" ht="14.1" customHeight="1">
      <c r="B184" s="24" t="s">
        <v>5432</v>
      </c>
      <c r="F184" s="3092" t="str">
        <f>CONCATENATE("R's ",AA182,"+",AA183,"")</f>
        <v>R's 182+183</v>
      </c>
      <c r="G184" s="5">
        <f>G182+G183</f>
        <v>43653.348585936292</v>
      </c>
      <c r="H184" s="5">
        <f t="shared" ref="H184:K184" si="57">H182+H183</f>
        <v>70953.1370921091</v>
      </c>
      <c r="I184" s="5">
        <f t="shared" si="57"/>
        <v>37097.176862274086</v>
      </c>
      <c r="J184" s="5">
        <f t="shared" si="57"/>
        <v>99030.699468076666</v>
      </c>
      <c r="K184" s="5">
        <f t="shared" si="57"/>
        <v>28896.104851314794</v>
      </c>
      <c r="L184" s="3074">
        <f>SUM(G184:K184)</f>
        <v>279630.46685971093</v>
      </c>
      <c r="M184" s="5">
        <f t="shared" ref="M184:S184" si="58">M182+M183</f>
        <v>36540.898682648578</v>
      </c>
      <c r="N184" s="5">
        <f t="shared" si="58"/>
        <v>16678.954236332269</v>
      </c>
      <c r="O184" s="5">
        <f t="shared" si="58"/>
        <v>25476.540626001719</v>
      </c>
      <c r="P184" s="5">
        <f t="shared" si="58"/>
        <v>12806.224017769215</v>
      </c>
      <c r="Q184" s="5">
        <f t="shared" si="58"/>
        <v>1952.1926835214597</v>
      </c>
      <c r="R184" s="5">
        <f t="shared" si="58"/>
        <v>2872.1597328859143</v>
      </c>
      <c r="S184" s="5">
        <f t="shared" si="58"/>
        <v>4072.8395106616545</v>
      </c>
      <c r="T184" s="874">
        <f>SUM(L184:S184)</f>
        <v>380030.27634953178</v>
      </c>
      <c r="U184" s="5">
        <f t="shared" ref="U184:W184" si="59">U182+U183</f>
        <v>96782.87768734018</v>
      </c>
      <c r="V184" s="5">
        <f t="shared" si="59"/>
        <v>9300.9592761593558</v>
      </c>
      <c r="W184" s="5">
        <f t="shared" si="59"/>
        <v>3915.7124547207513</v>
      </c>
      <c r="X184" s="3034">
        <f>SUM(T184:W184)</f>
        <v>490029.82576775207</v>
      </c>
      <c r="AA184" s="117">
        <f>ROW()</f>
        <v>184</v>
      </c>
    </row>
    <row r="185" spans="2:27" s="1" customFormat="1" ht="14.1" customHeight="1">
      <c r="B185" s="55" t="s">
        <v>5531</v>
      </c>
      <c r="F185" s="3187"/>
      <c r="G185" s="4">
        <f>G184*wkend_per_yr/1000</f>
        <v>5020.1350873826732</v>
      </c>
      <c r="H185" s="4">
        <f>H184*wkend_per_yr/1000</f>
        <v>8159.6107655925462</v>
      </c>
      <c r="I185" s="4">
        <f>I184*wkend_per_yr/1000</f>
        <v>4266.1753391615202</v>
      </c>
      <c r="J185" s="4">
        <f>J184*wkend_per_yr/1000</f>
        <v>11388.530438828817</v>
      </c>
      <c r="K185" s="4">
        <f>K184*wkend_per_yr/1000</f>
        <v>3323.0520579012014</v>
      </c>
      <c r="L185" s="3190">
        <f>SUM(G185:K185)</f>
        <v>32157.503688866756</v>
      </c>
      <c r="M185" s="4">
        <f t="shared" ref="M185:S185" si="60">M184*wkend_per_yr/1000</f>
        <v>4202.2033485045858</v>
      </c>
      <c r="N185" s="4">
        <f t="shared" si="60"/>
        <v>1918.079737178211</v>
      </c>
      <c r="O185" s="4">
        <f t="shared" si="60"/>
        <v>2929.8021719901976</v>
      </c>
      <c r="P185" s="4">
        <f t="shared" si="60"/>
        <v>1472.7157620434598</v>
      </c>
      <c r="Q185" s="4">
        <f t="shared" si="60"/>
        <v>224.50215860496786</v>
      </c>
      <c r="R185" s="4">
        <f t="shared" si="60"/>
        <v>330.29836928188013</v>
      </c>
      <c r="S185" s="4">
        <f t="shared" si="60"/>
        <v>468.37654372609029</v>
      </c>
      <c r="T185" s="3190">
        <f>SUM(L185:S185)</f>
        <v>43703.481780196147</v>
      </c>
      <c r="U185" s="4">
        <f>U184*wkend_per_yr/1000</f>
        <v>11130.03093404412</v>
      </c>
      <c r="V185" s="4">
        <f>V184*wkend_per_yr/1000</f>
        <v>1069.610316758326</v>
      </c>
      <c r="W185" s="4">
        <f>W184*wkend_per_yr/1000</f>
        <v>450.30693229288642</v>
      </c>
      <c r="X185" s="3191">
        <f>SUM(T185:W185)</f>
        <v>56353.429963291477</v>
      </c>
      <c r="AA185" s="117">
        <f>ROW()</f>
        <v>185</v>
      </c>
    </row>
    <row r="186" spans="2:27" s="1" customFormat="1" ht="14.1" customHeight="1">
      <c r="B186" s="55"/>
      <c r="F186" s="3187"/>
      <c r="G186" s="4"/>
      <c r="H186" s="4"/>
      <c r="I186" s="4"/>
      <c r="J186" s="4"/>
      <c r="K186" s="4"/>
      <c r="L186" s="3190"/>
      <c r="M186" s="4"/>
      <c r="N186" s="4"/>
      <c r="O186" s="4"/>
      <c r="P186" s="4"/>
      <c r="Q186" s="4"/>
      <c r="R186" s="4"/>
      <c r="S186" s="4"/>
      <c r="T186" s="3190"/>
      <c r="U186" s="4"/>
      <c r="V186" s="4"/>
      <c r="W186" s="4"/>
      <c r="X186" s="3191"/>
      <c r="AA186" s="117">
        <f>ROW()</f>
        <v>186</v>
      </c>
    </row>
    <row r="187" spans="2:27" s="1" customFormat="1" ht="14.1" customHeight="1">
      <c r="B187" s="24" t="s">
        <v>5532</v>
      </c>
      <c r="F187" s="3187" t="str">
        <f>CONCATENATE("Rows ",AA130,"+",AA185,"")</f>
        <v>Rows 130+185</v>
      </c>
      <c r="G187" s="4">
        <f>G130+G185</f>
        <v>17019.037465203037</v>
      </c>
      <c r="H187" s="4">
        <f>H130+H185</f>
        <v>27662.347507364582</v>
      </c>
      <c r="I187" s="4">
        <f>I130+I185</f>
        <v>15030.74604740645</v>
      </c>
      <c r="J187" s="4">
        <f>J130+J185</f>
        <v>38608.886581393745</v>
      </c>
      <c r="K187" s="4">
        <f>K130+K185</f>
        <v>11265.662474777448</v>
      </c>
      <c r="L187" s="3074">
        <f>SUM(G187:K187)</f>
        <v>109586.68007614526</v>
      </c>
      <c r="M187" s="4">
        <f t="shared" ref="M187:S187" si="61">M130+M185</f>
        <v>14390.963406102528</v>
      </c>
      <c r="N187" s="4">
        <f t="shared" si="61"/>
        <v>6568.7005169660142</v>
      </c>
      <c r="O187" s="4">
        <f t="shared" si="61"/>
        <v>10033.468718079726</v>
      </c>
      <c r="P187" s="4">
        <f t="shared" si="61"/>
        <v>5043.4966805449676</v>
      </c>
      <c r="Q187" s="4">
        <f t="shared" si="61"/>
        <v>768.83531831577011</v>
      </c>
      <c r="R187" s="4">
        <f t="shared" si="61"/>
        <v>1131.1474841222071</v>
      </c>
      <c r="S187" s="4">
        <f t="shared" si="61"/>
        <v>1604.0132145051025</v>
      </c>
      <c r="T187" s="874">
        <f>SUM(L187:S187)</f>
        <v>149127.30541478159</v>
      </c>
      <c r="U187" s="4">
        <f>U130+U185</f>
        <v>38116.163021386747</v>
      </c>
      <c r="V187" s="4">
        <f>V130+V185</f>
        <v>3663.0123891402168</v>
      </c>
      <c r="W187" s="4">
        <f>W130+W185</f>
        <v>1704.9711917167053</v>
      </c>
      <c r="X187" s="3034">
        <f>SUM(T187:W187)</f>
        <v>192611.45201702524</v>
      </c>
      <c r="AA187" s="117">
        <f>ROW()</f>
        <v>187</v>
      </c>
    </row>
    <row r="188" spans="2:27" ht="14.1" customHeight="1">
      <c r="B188" s="24"/>
      <c r="F188" s="3092"/>
      <c r="G188" s="5"/>
      <c r="H188" s="5"/>
      <c r="I188" s="5"/>
      <c r="J188" s="5"/>
      <c r="K188" s="5"/>
      <c r="L188" s="3074"/>
      <c r="M188" s="5"/>
      <c r="N188" s="5"/>
      <c r="O188" s="5"/>
      <c r="P188" s="5"/>
      <c r="Q188" s="5"/>
      <c r="R188" s="5"/>
      <c r="S188" s="5"/>
      <c r="T188" s="874"/>
      <c r="U188" s="5"/>
      <c r="V188" s="5"/>
      <c r="W188" s="5"/>
      <c r="X188" s="3034"/>
      <c r="AA188" s="117">
        <f>ROW()</f>
        <v>188</v>
      </c>
    </row>
    <row r="189" spans="2:27" ht="14.1" customHeight="1">
      <c r="B189" s="24" t="s">
        <v>5503</v>
      </c>
      <c r="F189" s="3092"/>
      <c r="G189" s="5"/>
      <c r="H189" s="5"/>
      <c r="I189" s="5"/>
      <c r="J189" s="5"/>
      <c r="K189" s="5"/>
      <c r="L189" s="3074"/>
      <c r="M189" s="5"/>
      <c r="N189" s="5"/>
      <c r="O189" s="5"/>
      <c r="P189" s="5"/>
      <c r="Q189" s="5"/>
      <c r="R189" s="5"/>
      <c r="S189" s="5"/>
      <c r="T189" s="874"/>
      <c r="U189" s="5"/>
      <c r="V189" s="5"/>
      <c r="W189" s="5"/>
      <c r="X189" s="3034"/>
      <c r="AA189" s="117">
        <f>ROW()</f>
        <v>189</v>
      </c>
    </row>
    <row r="190" spans="2:27" ht="14.1" customHeight="1">
      <c r="B190" s="24"/>
      <c r="F190" s="3092"/>
      <c r="G190" s="5"/>
      <c r="H190" s="5"/>
      <c r="I190" s="5"/>
      <c r="J190" s="5"/>
      <c r="K190" s="5"/>
      <c r="L190" s="3074"/>
      <c r="M190" s="5"/>
      <c r="N190" s="5"/>
      <c r="O190" s="5"/>
      <c r="P190" s="5"/>
      <c r="Q190" s="5"/>
      <c r="R190" s="5"/>
      <c r="S190" s="5"/>
      <c r="T190" s="874"/>
      <c r="U190" s="5"/>
      <c r="V190" s="5"/>
      <c r="W190" s="5"/>
      <c r="X190" s="3034"/>
      <c r="AA190" s="117">
        <f>ROW()</f>
        <v>190</v>
      </c>
    </row>
    <row r="191" spans="2:27" ht="14.1" customHeight="1">
      <c r="B191" s="55" t="s">
        <v>5428</v>
      </c>
      <c r="F191" s="3067"/>
      <c r="G191" s="12">
        <f>G129/$X129</f>
        <v>8.8060153794750934E-2</v>
      </c>
      <c r="H191" s="12">
        <f>H129/$X129</f>
        <v>0.14313092504807584</v>
      </c>
      <c r="I191" s="12">
        <f>I129/$X129</f>
        <v>7.9001372146734139E-2</v>
      </c>
      <c r="J191" s="12">
        <f>J129/$X129</f>
        <v>0.19977066841488783</v>
      </c>
      <c r="K191" s="12">
        <f>K129/$X129</f>
        <v>5.8290956357373608E-2</v>
      </c>
      <c r="L191" s="3083">
        <f>SUM(G191:K191)</f>
        <v>0.5682540757618223</v>
      </c>
      <c r="M191" s="12">
        <f t="shared" ref="M191:S191" si="62">M129/$X$129</f>
        <v>7.4775487740310606E-2</v>
      </c>
      <c r="N191" s="12">
        <f t="shared" si="62"/>
        <v>3.4130987003127174E-2</v>
      </c>
      <c r="O191" s="12">
        <f t="shared" si="62"/>
        <v>5.2133932659672512E-2</v>
      </c>
      <c r="P191" s="12">
        <f t="shared" si="62"/>
        <v>2.6206023430263493E-2</v>
      </c>
      <c r="Q191" s="12">
        <f t="shared" si="62"/>
        <v>3.9948705515198413E-3</v>
      </c>
      <c r="R191" s="12">
        <f t="shared" si="62"/>
        <v>5.877445619491742E-3</v>
      </c>
      <c r="S191" s="12">
        <f t="shared" si="62"/>
        <v>8.3344573307483506E-3</v>
      </c>
      <c r="T191" s="3083">
        <f>SUM(L191:S191)</f>
        <v>0.773707280096956</v>
      </c>
      <c r="U191" s="12">
        <f>U129/$X$129</f>
        <v>0.19805169398907435</v>
      </c>
      <c r="V191" s="12">
        <f>V129/$X$129</f>
        <v>1.903302303448361E-2</v>
      </c>
      <c r="W191" s="12">
        <f>W129/$X$129</f>
        <v>9.2080028794857896E-3</v>
      </c>
      <c r="X191" s="3084">
        <f>SUM(T191:W191)</f>
        <v>0.99999999999999978</v>
      </c>
      <c r="AA191" s="117">
        <f>ROW()</f>
        <v>191</v>
      </c>
    </row>
    <row r="192" spans="2:27" ht="14.1" customHeight="1">
      <c r="B192" s="55" t="s">
        <v>5429</v>
      </c>
      <c r="G192" s="12">
        <f>G180/$X180</f>
        <v>8.8428611172201174E-2</v>
      </c>
      <c r="H192" s="12">
        <f>H180/$X180</f>
        <v>0.14372980709634206</v>
      </c>
      <c r="I192" s="12">
        <f>I180/$X180</f>
        <v>7.5147770666034758E-2</v>
      </c>
      <c r="J192" s="12">
        <f>J180/$X180</f>
        <v>0.20060653995727906</v>
      </c>
      <c r="K192" s="12">
        <f>K180/$X180</f>
        <v>5.853485478342637E-2</v>
      </c>
      <c r="L192" s="3083">
        <f>SUM(G192:K192)</f>
        <v>0.56644758367528336</v>
      </c>
      <c r="M192" s="12">
        <f t="shared" ref="M192:S192" si="63">M180/$X180</f>
        <v>7.5088360009130092E-2</v>
      </c>
      <c r="N192" s="12">
        <f t="shared" si="63"/>
        <v>3.4273796360356677E-2</v>
      </c>
      <c r="O192" s="12">
        <f t="shared" si="63"/>
        <v>5.2352069141113615E-2</v>
      </c>
      <c r="P192" s="12">
        <f t="shared" si="63"/>
        <v>2.6315673507516596E-2</v>
      </c>
      <c r="Q192" s="12">
        <f t="shared" si="63"/>
        <v>4.0115857111378559E-3</v>
      </c>
      <c r="R192" s="12">
        <f t="shared" si="63"/>
        <v>5.9020377659478084E-3</v>
      </c>
      <c r="S192" s="12">
        <f t="shared" si="63"/>
        <v>8.3693299962869106E-3</v>
      </c>
      <c r="T192" s="3083">
        <f>SUM(L192:S192)</f>
        <v>0.77276043616677292</v>
      </c>
      <c r="U192" s="12">
        <f>U180/$X180</f>
        <v>0.19888037307515541</v>
      </c>
      <c r="V192" s="12">
        <f>V180/$X180</f>
        <v>1.9112660162628779E-2</v>
      </c>
      <c r="W192" s="12">
        <f>W180/$X180</f>
        <v>9.2465305954427413E-3</v>
      </c>
      <c r="X192" s="3084">
        <f>SUM(T192:W192)</f>
        <v>0.99999999999999989</v>
      </c>
      <c r="AA192" s="117">
        <f>ROW()</f>
        <v>192</v>
      </c>
    </row>
    <row r="193" spans="1:27" ht="14.1" customHeight="1">
      <c r="B193" s="265" t="str">
        <f>CONCATENATE("Weekday row uses trip figures in Row ",AA129, ". Weekend row uses Row ",AA180, ".")</f>
        <v>Weekday row uses trip figures in Row 129. Weekend row uses Row 180.</v>
      </c>
      <c r="G193" s="12"/>
      <c r="H193" s="12"/>
      <c r="I193" s="12"/>
      <c r="J193" s="12"/>
      <c r="K193" s="12"/>
      <c r="L193" s="3083"/>
      <c r="M193" s="12"/>
      <c r="N193" s="12"/>
      <c r="O193" s="12"/>
      <c r="P193" s="12"/>
      <c r="Q193" s="12"/>
      <c r="R193" s="12"/>
      <c r="S193" s="12"/>
      <c r="T193" s="3083"/>
      <c r="U193" s="12"/>
      <c r="V193" s="12"/>
      <c r="W193" s="12"/>
      <c r="X193" s="3084"/>
      <c r="AA193" s="117">
        <f>ROW()</f>
        <v>193</v>
      </c>
    </row>
    <row r="194" spans="1:27" ht="14.1" customHeight="1">
      <c r="L194" s="3083"/>
      <c r="T194" s="874"/>
      <c r="AA194" s="117">
        <f>ROW()</f>
        <v>194</v>
      </c>
    </row>
    <row r="195" spans="1:27" ht="14.1" customHeight="1">
      <c r="B195" s="55" t="s">
        <v>5495</v>
      </c>
      <c r="F195" s="3067"/>
      <c r="G195" s="136">
        <f t="shared" ref="G195:X195" si="64">G128/G129</f>
        <v>0.24115374858768626</v>
      </c>
      <c r="H195" s="136">
        <f t="shared" si="64"/>
        <v>0.24115374858768626</v>
      </c>
      <c r="I195" s="136">
        <f t="shared" si="64"/>
        <v>0</v>
      </c>
      <c r="J195" s="136">
        <f t="shared" si="64"/>
        <v>0.24115374858768626</v>
      </c>
      <c r="K195" s="136">
        <f t="shared" si="64"/>
        <v>0.24115374858768623</v>
      </c>
      <c r="L195" s="3085">
        <f t="shared" si="64"/>
        <v>0.20762741265914114</v>
      </c>
      <c r="M195" s="136">
        <f t="shared" si="64"/>
        <v>0.24115374858768623</v>
      </c>
      <c r="N195" s="136">
        <f t="shared" si="64"/>
        <v>0.24115374858768623</v>
      </c>
      <c r="O195" s="136">
        <f t="shared" si="64"/>
        <v>0.24115374858768623</v>
      </c>
      <c r="P195" s="136">
        <f t="shared" si="64"/>
        <v>0.24115374858768623</v>
      </c>
      <c r="Q195" s="136">
        <f t="shared" si="64"/>
        <v>0.24115374858768618</v>
      </c>
      <c r="R195" s="136">
        <f t="shared" si="64"/>
        <v>0.24115374858768623</v>
      </c>
      <c r="S195" s="136">
        <f t="shared" si="64"/>
        <v>0.24115374858768623</v>
      </c>
      <c r="T195" s="3085">
        <f t="shared" si="64"/>
        <v>0.21653012473556429</v>
      </c>
      <c r="U195" s="136">
        <f t="shared" si="64"/>
        <v>0.24115374858768623</v>
      </c>
      <c r="V195" s="136">
        <f t="shared" si="64"/>
        <v>0.24115374858768626</v>
      </c>
      <c r="W195" s="136">
        <f t="shared" si="64"/>
        <v>0.24115374858768629</v>
      </c>
      <c r="X195" s="1825">
        <f t="shared" si="64"/>
        <v>0.2221022715509304</v>
      </c>
      <c r="AA195" s="117">
        <f>ROW()</f>
        <v>195</v>
      </c>
    </row>
    <row r="196" spans="1:27" ht="14.1" customHeight="1">
      <c r="B196" s="55" t="s">
        <v>5496</v>
      </c>
      <c r="G196" s="136">
        <f t="shared" ref="G196:X196" si="65">G183/G184</f>
        <v>0.28117711465230605</v>
      </c>
      <c r="H196" s="136">
        <f t="shared" si="65"/>
        <v>0.28117711465230605</v>
      </c>
      <c r="I196" s="136">
        <f t="shared" si="65"/>
        <v>0</v>
      </c>
      <c r="J196" s="136">
        <f t="shared" si="65"/>
        <v>0.2811771146523061</v>
      </c>
      <c r="K196" s="136">
        <f t="shared" si="65"/>
        <v>0.28117711465230605</v>
      </c>
      <c r="L196" s="3085">
        <f t="shared" si="65"/>
        <v>0.24387475175522721</v>
      </c>
      <c r="M196" s="136">
        <f t="shared" si="65"/>
        <v>0.28117711465230599</v>
      </c>
      <c r="N196" s="136">
        <f t="shared" si="65"/>
        <v>0.28117711465230605</v>
      </c>
      <c r="O196" s="136">
        <f t="shared" si="65"/>
        <v>0.2811771146523061</v>
      </c>
      <c r="P196" s="136">
        <f t="shared" si="65"/>
        <v>0.28117711465230605</v>
      </c>
      <c r="Q196" s="136">
        <f t="shared" si="65"/>
        <v>0.28117711465230599</v>
      </c>
      <c r="R196" s="136">
        <f t="shared" si="65"/>
        <v>0.28117711465230599</v>
      </c>
      <c r="S196" s="136">
        <f t="shared" si="65"/>
        <v>0.28117711465230605</v>
      </c>
      <c r="T196" s="3085">
        <f t="shared" si="65"/>
        <v>0.25372962480471623</v>
      </c>
      <c r="U196" s="136">
        <f t="shared" si="65"/>
        <v>0.28117711465230594</v>
      </c>
      <c r="V196" s="136">
        <f t="shared" si="65"/>
        <v>0.28117711465230605</v>
      </c>
      <c r="W196" s="136">
        <f t="shared" si="65"/>
        <v>0.2811771146523061</v>
      </c>
      <c r="X196" s="1825">
        <f t="shared" si="65"/>
        <v>0.25989090592911657</v>
      </c>
      <c r="AA196" s="117">
        <f>ROW()</f>
        <v>196</v>
      </c>
    </row>
    <row r="197" spans="1:27" ht="14.1" customHeight="1">
      <c r="B197" s="265" t="str">
        <f>CONCATENATE("Weekdays: Ratio of Row ",AA128," to Row ",AA129,". Weekends: Ratio of Row ",AA183," to Row ",AA184,".")</f>
        <v>Weekdays: Ratio of Row 128 to Row 129. Weekends: Ratio of Row 183 to Row 184.</v>
      </c>
      <c r="G197" s="12"/>
      <c r="H197" s="12"/>
      <c r="I197" s="12"/>
      <c r="J197" s="12"/>
      <c r="K197" s="12"/>
      <c r="L197" s="3083"/>
      <c r="M197" s="12"/>
      <c r="N197" s="12"/>
      <c r="O197" s="12"/>
      <c r="P197" s="12"/>
      <c r="Q197" s="12"/>
      <c r="R197" s="12"/>
      <c r="S197" s="12"/>
      <c r="T197" s="3083"/>
      <c r="U197" s="12"/>
      <c r="V197" s="12"/>
      <c r="W197" s="12"/>
      <c r="X197" s="3084"/>
      <c r="AA197" s="117">
        <f>ROW()</f>
        <v>197</v>
      </c>
    </row>
    <row r="198" spans="1:27" ht="14.1" customHeight="1">
      <c r="AA198" s="117">
        <f>ROW()</f>
        <v>198</v>
      </c>
    </row>
    <row r="199" spans="1:27" ht="14.1" customHeight="1">
      <c r="B199" s="3033"/>
      <c r="G199" s="3125" t="str">
        <f t="shared" ref="G199:X199" si="66">G179</f>
        <v>Bronx</v>
      </c>
      <c r="H199" s="3125" t="str">
        <f t="shared" si="66"/>
        <v>Brooklyn</v>
      </c>
      <c r="I199" s="3125" t="str">
        <f t="shared" si="66"/>
        <v>Manhattan</v>
      </c>
      <c r="J199" s="3125" t="str">
        <f t="shared" si="66"/>
        <v>Queens</v>
      </c>
      <c r="K199" s="3125" t="str">
        <f t="shared" si="66"/>
        <v>S.I.</v>
      </c>
      <c r="L199" s="3175" t="str">
        <f t="shared" si="66"/>
        <v>NYC</v>
      </c>
      <c r="M199" s="3125" t="str">
        <f t="shared" si="66"/>
        <v>Nassau</v>
      </c>
      <c r="N199" s="3125" t="str">
        <f t="shared" si="66"/>
        <v>Suffolk</v>
      </c>
      <c r="O199" s="3125" t="str">
        <f t="shared" si="66"/>
        <v>Westchester</v>
      </c>
      <c r="P199" s="3125" t="str">
        <f t="shared" si="66"/>
        <v>Rockland</v>
      </c>
      <c r="Q199" s="3125" t="str">
        <f t="shared" si="66"/>
        <v>Putnam</v>
      </c>
      <c r="R199" s="3125" t="str">
        <f t="shared" si="66"/>
        <v>Dutchess</v>
      </c>
      <c r="S199" s="3125" t="str">
        <f t="shared" si="66"/>
        <v>Orange</v>
      </c>
      <c r="T199" s="3175" t="str">
        <f t="shared" si="66"/>
        <v>MTA Reg Tot</v>
      </c>
      <c r="U199" s="3125" t="str">
        <f t="shared" si="66"/>
        <v>NJ</v>
      </c>
      <c r="V199" s="3125" t="str">
        <f t="shared" si="66"/>
        <v>CT</v>
      </c>
      <c r="W199" s="3125" t="str">
        <f t="shared" si="66"/>
        <v>Other</v>
      </c>
      <c r="X199" s="3125" t="str">
        <f t="shared" si="66"/>
        <v>Total</v>
      </c>
      <c r="AA199" s="117">
        <f>ROW()</f>
        <v>199</v>
      </c>
    </row>
    <row r="200" spans="1:27" ht="14.1" customHeight="1">
      <c r="B200" s="3033"/>
      <c r="G200" s="4579" t="s">
        <v>5390</v>
      </c>
      <c r="H200" s="4579" t="s">
        <v>5504</v>
      </c>
      <c r="I200" s="4579" t="s">
        <v>2283</v>
      </c>
      <c r="J200" s="4579" t="s">
        <v>5396</v>
      </c>
      <c r="K200" s="4579" t="s">
        <v>5505</v>
      </c>
      <c r="L200" s="874"/>
      <c r="M200" s="4579" t="s">
        <v>5396</v>
      </c>
      <c r="N200" s="4579" t="s">
        <v>5396</v>
      </c>
      <c r="O200" s="4579" t="s">
        <v>5390</v>
      </c>
      <c r="P200" s="4579" t="s">
        <v>5391</v>
      </c>
      <c r="Q200" s="4579" t="s">
        <v>5390</v>
      </c>
      <c r="R200" s="4579" t="s">
        <v>5390</v>
      </c>
      <c r="S200" s="4579" t="s">
        <v>5391</v>
      </c>
      <c r="T200" s="874"/>
      <c r="U200" s="4579" t="s">
        <v>5506</v>
      </c>
      <c r="V200" s="4579" t="s">
        <v>5392</v>
      </c>
      <c r="W200" s="4585" t="s">
        <v>5393</v>
      </c>
      <c r="X200" s="2244"/>
      <c r="AA200" s="117">
        <f>ROW()</f>
        <v>200</v>
      </c>
    </row>
    <row r="201" spans="1:27" ht="14.1" customHeight="1">
      <c r="B201" s="3033"/>
      <c r="E201" s="4580" t="s">
        <v>5398</v>
      </c>
      <c r="F201" s="4580"/>
      <c r="G201" s="3807"/>
      <c r="H201" s="3807"/>
      <c r="I201" s="3807"/>
      <c r="J201" s="3807"/>
      <c r="K201" s="3807"/>
      <c r="L201" s="874"/>
      <c r="M201" s="3807"/>
      <c r="N201" s="3807"/>
      <c r="O201" s="3807"/>
      <c r="P201" s="3807"/>
      <c r="Q201" s="3807"/>
      <c r="R201" s="3807"/>
      <c r="S201" s="3807"/>
      <c r="T201" s="874"/>
      <c r="U201" s="3807"/>
      <c r="V201" s="3807"/>
      <c r="W201" s="3833"/>
      <c r="X201" s="2244"/>
      <c r="AA201" s="117">
        <f>ROW()</f>
        <v>201</v>
      </c>
    </row>
    <row r="202" spans="1:27" ht="14.1" customHeight="1">
      <c r="B202" s="4562" t="s">
        <v>6204</v>
      </c>
      <c r="C202" s="3779"/>
      <c r="D202" s="3779"/>
      <c r="E202" s="3075" t="s">
        <v>5399</v>
      </c>
      <c r="F202" s="3075" t="s">
        <v>5400</v>
      </c>
      <c r="G202" s="3807"/>
      <c r="H202" s="3807"/>
      <c r="I202" s="3807"/>
      <c r="J202" s="3807"/>
      <c r="K202" s="3807"/>
      <c r="L202" s="874"/>
      <c r="M202" s="3807"/>
      <c r="N202" s="3807"/>
      <c r="O202" s="3807"/>
      <c r="P202" s="3807"/>
      <c r="Q202" s="3807"/>
      <c r="R202" s="3807"/>
      <c r="S202" s="3807"/>
      <c r="T202" s="874"/>
      <c r="U202" s="3807"/>
      <c r="V202" s="3807"/>
      <c r="W202" s="3833"/>
      <c r="X202" s="4584" t="s">
        <v>5492</v>
      </c>
      <c r="Y202" s="4584" t="s">
        <v>5493</v>
      </c>
      <c r="AA202" s="117">
        <f>ROW()</f>
        <v>202</v>
      </c>
    </row>
    <row r="203" spans="1:27" ht="14.1" customHeight="1">
      <c r="A203" s="2"/>
      <c r="B203" s="3779"/>
      <c r="C203" s="3779"/>
      <c r="D203" s="3779"/>
      <c r="E203" s="3076"/>
      <c r="F203" s="3076"/>
      <c r="G203" s="10"/>
      <c r="H203" s="10"/>
      <c r="I203" s="10"/>
      <c r="J203" s="10"/>
      <c r="K203" s="10"/>
      <c r="L203" s="874"/>
      <c r="M203" s="10"/>
      <c r="N203" s="10"/>
      <c r="O203" s="10"/>
      <c r="P203" s="10"/>
      <c r="Q203" s="10"/>
      <c r="R203" s="10"/>
      <c r="S203" s="10"/>
      <c r="T203" s="874"/>
      <c r="X203" s="3812"/>
      <c r="Y203" s="3812"/>
      <c r="AA203" s="117">
        <f>ROW()</f>
        <v>203</v>
      </c>
    </row>
    <row r="204" spans="1:27" ht="14.1" customHeight="1">
      <c r="B204" s="1" t="s">
        <v>2488</v>
      </c>
      <c r="E204" s="3077">
        <f>IF('User Inputs'!J29&lt;0.002,0,MIN(1,1-('User Inputs'!J29-Revenues!H153)/'User Inputs'!J29))</f>
        <v>1</v>
      </c>
      <c r="F204" s="3078">
        <f>IF('User Inputs'!J32&lt;0.002,0,MIN(1,1-('User Inputs'!J32-Revenues!G153)/'User Inputs'!J32))</f>
        <v>1</v>
      </c>
      <c r="G204" s="39">
        <v>0</v>
      </c>
      <c r="H204" s="39">
        <v>0</v>
      </c>
      <c r="I204" s="39">
        <v>0.1</v>
      </c>
      <c r="J204" s="39">
        <v>0</v>
      </c>
      <c r="K204" s="39">
        <v>0</v>
      </c>
      <c r="L204" s="874"/>
      <c r="M204" s="39">
        <v>0</v>
      </c>
      <c r="N204" s="39">
        <v>0</v>
      </c>
      <c r="O204" s="39">
        <v>0</v>
      </c>
      <c r="P204" s="39">
        <v>0.2</v>
      </c>
      <c r="Q204" s="39">
        <v>0</v>
      </c>
      <c r="R204" s="39">
        <v>0</v>
      </c>
      <c r="S204" s="39">
        <v>0.2</v>
      </c>
      <c r="T204" s="874"/>
      <c r="U204" s="39">
        <v>0.4</v>
      </c>
      <c r="V204" s="39">
        <v>0</v>
      </c>
      <c r="W204" s="39">
        <v>0.2</v>
      </c>
      <c r="X204" s="2082">
        <f t="shared" ref="X204:X212" si="67">SUMPRODUCT($G$191:$W$191,G204:W204)</f>
        <v>9.5870511538402689E-2</v>
      </c>
      <c r="Y204" s="2082">
        <f>SUMPRODUCT($G$192:$W$192,G204:W204)</f>
        <v>9.5853233116514905E-2</v>
      </c>
      <c r="AA204" s="117">
        <f>ROW()</f>
        <v>204</v>
      </c>
    </row>
    <row r="205" spans="1:27" ht="14.1" customHeight="1">
      <c r="B205" s="1" t="s">
        <v>951</v>
      </c>
      <c r="E205" s="3078">
        <f>IF('User Inputs'!J29&lt;0.002,0,MIN(1,1-('User Inputs'!J29-Revenues!H153)/'User Inputs'!J29))</f>
        <v>1</v>
      </c>
      <c r="F205" s="3078">
        <f>IF('User Inputs'!J32&lt;0.002,0,MIN(1,1-('User Inputs'!J32-Revenues!G153)/'User Inputs'!J32))</f>
        <v>1</v>
      </c>
      <c r="G205" s="39">
        <v>0</v>
      </c>
      <c r="H205" s="39">
        <v>0</v>
      </c>
      <c r="I205" s="39">
        <v>0.1</v>
      </c>
      <c r="J205" s="39">
        <v>0</v>
      </c>
      <c r="K205" s="39">
        <v>0.1</v>
      </c>
      <c r="L205" s="874"/>
      <c r="M205" s="39">
        <v>0</v>
      </c>
      <c r="N205" s="39">
        <v>0</v>
      </c>
      <c r="O205" s="39">
        <v>0</v>
      </c>
      <c r="P205" s="39">
        <v>0.05</v>
      </c>
      <c r="Q205" s="39">
        <v>0</v>
      </c>
      <c r="R205" s="39">
        <v>0</v>
      </c>
      <c r="S205" s="39">
        <v>0.05</v>
      </c>
      <c r="T205" s="874"/>
      <c r="U205" s="39">
        <v>0.25</v>
      </c>
      <c r="V205" s="39">
        <v>0</v>
      </c>
      <c r="W205" s="39">
        <v>0.2</v>
      </c>
      <c r="X205" s="2082">
        <f t="shared" si="67"/>
        <v>6.6810780961627125E-2</v>
      </c>
      <c r="Y205" s="2082">
        <f t="shared" ref="Y205:Y212" si="68">SUMPRODUCT($G$192:$W$192,G205:W205)</f>
        <v>6.6671912108013695E-2</v>
      </c>
      <c r="AA205" s="117">
        <f>ROW()</f>
        <v>205</v>
      </c>
    </row>
    <row r="206" spans="1:27" ht="14.1" customHeight="1">
      <c r="B206" s="1" t="s">
        <v>144</v>
      </c>
      <c r="E206" s="3078">
        <f>MAX(0,('User Inputs'!J29-'River Crossings'!G75)/'User Inputs'!J29)</f>
        <v>0.4947368421052632</v>
      </c>
      <c r="F206" s="3078">
        <f>MAX(0,('User Inputs'!J25-'River Crossings'!G75)/'User Inputs'!J25)</f>
        <v>0</v>
      </c>
      <c r="G206" s="39">
        <v>0</v>
      </c>
      <c r="H206" s="39">
        <v>0.15</v>
      </c>
      <c r="I206" s="39">
        <v>0.1</v>
      </c>
      <c r="J206" s="39">
        <v>0.05</v>
      </c>
      <c r="K206" s="39">
        <v>0.25</v>
      </c>
      <c r="L206" s="874"/>
      <c r="M206" s="39">
        <v>0.05</v>
      </c>
      <c r="N206" s="39">
        <v>0.05</v>
      </c>
      <c r="O206" s="39">
        <v>0</v>
      </c>
      <c r="P206" s="39">
        <v>0</v>
      </c>
      <c r="Q206" s="39">
        <v>0</v>
      </c>
      <c r="R206" s="39">
        <v>0</v>
      </c>
      <c r="S206" s="39">
        <v>0</v>
      </c>
      <c r="T206" s="874"/>
      <c r="U206" s="39">
        <v>0</v>
      </c>
      <c r="V206" s="39">
        <v>0</v>
      </c>
      <c r="W206" s="39">
        <v>0</v>
      </c>
      <c r="X206" s="2082">
        <f t="shared" si="67"/>
        <v>5.937637221914447E-2</v>
      </c>
      <c r="Y206" s="2082">
        <f t="shared" si="68"/>
        <v>5.920639664324967E-2</v>
      </c>
      <c r="AA206" s="117">
        <f>ROW()</f>
        <v>206</v>
      </c>
    </row>
    <row r="207" spans="1:27" ht="14.1" customHeight="1">
      <c r="B207" s="1" t="s">
        <v>145</v>
      </c>
      <c r="E207" s="3078">
        <f>MAX(0,('User Inputs'!J29-'River Crossings'!G75)/'User Inputs'!J29)</f>
        <v>0.4947368421052632</v>
      </c>
      <c r="F207" s="3078">
        <f>MAX(0,('User Inputs'!J25-'River Crossings'!G75)/'User Inputs'!J25)</f>
        <v>0</v>
      </c>
      <c r="G207" s="39">
        <v>0</v>
      </c>
      <c r="H207" s="39">
        <v>0.05</v>
      </c>
      <c r="I207" s="39">
        <v>0.1</v>
      </c>
      <c r="J207" s="39">
        <v>0.15</v>
      </c>
      <c r="K207" s="39">
        <v>0</v>
      </c>
      <c r="L207" s="874"/>
      <c r="M207" s="39">
        <v>0.15</v>
      </c>
      <c r="N207" s="39">
        <v>0.15</v>
      </c>
      <c r="O207" s="39">
        <v>0</v>
      </c>
      <c r="P207" s="39">
        <v>0</v>
      </c>
      <c r="Q207" s="39">
        <v>0</v>
      </c>
      <c r="R207" s="39">
        <v>0</v>
      </c>
      <c r="S207" s="39">
        <v>0</v>
      </c>
      <c r="T207" s="874"/>
      <c r="U207" s="39">
        <v>0</v>
      </c>
      <c r="V207" s="39">
        <v>0</v>
      </c>
      <c r="W207" s="39">
        <v>0</v>
      </c>
      <c r="X207" s="2082">
        <f t="shared" si="67"/>
        <v>6.135825494082605E-2</v>
      </c>
      <c r="Y207" s="2082">
        <f t="shared" si="68"/>
        <v>6.1196571870435451E-2</v>
      </c>
      <c r="AA207" s="117">
        <f>ROW()</f>
        <v>207</v>
      </c>
    </row>
    <row r="208" spans="1:27" ht="14.1" customHeight="1">
      <c r="B208" s="1" t="s">
        <v>2002</v>
      </c>
      <c r="E208" s="3077">
        <v>0</v>
      </c>
      <c r="F208" s="3077">
        <v>0</v>
      </c>
      <c r="G208" s="39">
        <v>0</v>
      </c>
      <c r="H208" s="39">
        <v>0</v>
      </c>
      <c r="I208" s="39">
        <v>0</v>
      </c>
      <c r="J208" s="39">
        <v>0</v>
      </c>
      <c r="K208" s="39">
        <v>0</v>
      </c>
      <c r="L208" s="874"/>
      <c r="M208" s="39">
        <v>0</v>
      </c>
      <c r="N208" s="39">
        <v>0</v>
      </c>
      <c r="O208" s="39">
        <v>0</v>
      </c>
      <c r="P208" s="39">
        <v>0</v>
      </c>
      <c r="Q208" s="39">
        <v>0</v>
      </c>
      <c r="R208" s="39">
        <v>0</v>
      </c>
      <c r="S208" s="39">
        <v>0</v>
      </c>
      <c r="T208" s="874"/>
      <c r="U208" s="39">
        <v>0</v>
      </c>
      <c r="V208" s="39">
        <v>0</v>
      </c>
      <c r="W208" s="39">
        <v>0</v>
      </c>
      <c r="X208" s="2082">
        <f t="shared" si="67"/>
        <v>0</v>
      </c>
      <c r="Y208" s="2082">
        <f t="shared" si="68"/>
        <v>0</v>
      </c>
      <c r="AA208" s="117">
        <f>ROW()</f>
        <v>208</v>
      </c>
    </row>
    <row r="209" spans="2:27" ht="14.1" customHeight="1">
      <c r="B209" s="1" t="s">
        <v>5397</v>
      </c>
      <c r="E209" s="3077">
        <v>0</v>
      </c>
      <c r="F209" s="3077">
        <v>0</v>
      </c>
      <c r="G209" s="39">
        <v>0</v>
      </c>
      <c r="H209" s="39">
        <v>0</v>
      </c>
      <c r="I209" s="39">
        <v>0</v>
      </c>
      <c r="J209" s="39">
        <v>0</v>
      </c>
      <c r="K209" s="39">
        <v>0</v>
      </c>
      <c r="L209" s="874"/>
      <c r="M209" s="39">
        <v>0</v>
      </c>
      <c r="N209" s="39">
        <v>0</v>
      </c>
      <c r="O209" s="39">
        <v>0</v>
      </c>
      <c r="P209" s="39">
        <v>0</v>
      </c>
      <c r="Q209" s="39">
        <v>0</v>
      </c>
      <c r="R209" s="39">
        <v>0</v>
      </c>
      <c r="S209" s="39">
        <v>0</v>
      </c>
      <c r="T209" s="874"/>
      <c r="U209" s="39">
        <v>0</v>
      </c>
      <c r="V209" s="39">
        <v>0</v>
      </c>
      <c r="W209" s="39">
        <v>0</v>
      </c>
      <c r="X209" s="2082">
        <f t="shared" si="67"/>
        <v>0</v>
      </c>
      <c r="Y209" s="2082">
        <f t="shared" si="68"/>
        <v>0</v>
      </c>
      <c r="AA209" s="117">
        <f>ROW()</f>
        <v>209</v>
      </c>
    </row>
    <row r="210" spans="2:27" ht="14.1" customHeight="1">
      <c r="B210" s="1" t="s">
        <v>5394</v>
      </c>
      <c r="E210" s="3077">
        <v>0</v>
      </c>
      <c r="F210" s="3077">
        <v>0</v>
      </c>
      <c r="G210" s="39">
        <v>0</v>
      </c>
      <c r="H210" s="39">
        <v>0</v>
      </c>
      <c r="I210" s="39">
        <v>0</v>
      </c>
      <c r="J210" s="39">
        <v>0</v>
      </c>
      <c r="K210" s="39">
        <v>0</v>
      </c>
      <c r="L210" s="874"/>
      <c r="M210" s="39">
        <v>0</v>
      </c>
      <c r="N210" s="39">
        <v>0</v>
      </c>
      <c r="O210" s="39">
        <v>0</v>
      </c>
      <c r="P210" s="39">
        <v>0</v>
      </c>
      <c r="Q210" s="39">
        <v>0</v>
      </c>
      <c r="R210" s="39">
        <v>0</v>
      </c>
      <c r="S210" s="39">
        <v>0</v>
      </c>
      <c r="T210" s="874"/>
      <c r="U210" s="39">
        <v>0</v>
      </c>
      <c r="V210" s="39">
        <v>0</v>
      </c>
      <c r="W210" s="39">
        <v>0</v>
      </c>
      <c r="X210" s="2082">
        <f t="shared" si="67"/>
        <v>0</v>
      </c>
      <c r="Y210" s="2082">
        <f t="shared" si="68"/>
        <v>0</v>
      </c>
      <c r="AA210" s="117">
        <f>ROW()</f>
        <v>210</v>
      </c>
    </row>
    <row r="211" spans="2:27" ht="14.1" customHeight="1">
      <c r="B211" s="1" t="s">
        <v>5395</v>
      </c>
      <c r="E211" s="3077">
        <v>0</v>
      </c>
      <c r="F211" s="3077">
        <v>0</v>
      </c>
      <c r="G211" s="39">
        <v>0</v>
      </c>
      <c r="H211" s="39">
        <v>0</v>
      </c>
      <c r="I211" s="39">
        <v>0</v>
      </c>
      <c r="J211" s="39">
        <v>0</v>
      </c>
      <c r="K211" s="39">
        <v>0</v>
      </c>
      <c r="L211" s="874"/>
      <c r="M211" s="39">
        <v>0</v>
      </c>
      <c r="N211" s="39">
        <v>0</v>
      </c>
      <c r="O211" s="39">
        <v>0</v>
      </c>
      <c r="P211" s="39">
        <v>0</v>
      </c>
      <c r="Q211" s="39">
        <v>0</v>
      </c>
      <c r="R211" s="39">
        <v>0</v>
      </c>
      <c r="S211" s="39">
        <v>0</v>
      </c>
      <c r="T211" s="874"/>
      <c r="U211" s="39">
        <v>0</v>
      </c>
      <c r="V211" s="39">
        <v>0</v>
      </c>
      <c r="W211" s="39">
        <v>0</v>
      </c>
      <c r="X211" s="2082">
        <f t="shared" si="67"/>
        <v>0</v>
      </c>
      <c r="Y211" s="2082">
        <f t="shared" si="68"/>
        <v>0</v>
      </c>
      <c r="AA211" s="117">
        <f>ROW()</f>
        <v>211</v>
      </c>
    </row>
    <row r="212" spans="2:27" ht="14.1" customHeight="1">
      <c r="B212" s="1" t="s">
        <v>677</v>
      </c>
      <c r="E212" s="3077">
        <v>0</v>
      </c>
      <c r="F212" s="3077">
        <v>0</v>
      </c>
      <c r="G212" s="39">
        <v>0</v>
      </c>
      <c r="H212" s="39">
        <v>0</v>
      </c>
      <c r="I212" s="39">
        <v>0</v>
      </c>
      <c r="J212" s="39">
        <v>0</v>
      </c>
      <c r="K212" s="39">
        <v>0</v>
      </c>
      <c r="L212" s="874"/>
      <c r="M212" s="39">
        <v>0</v>
      </c>
      <c r="N212" s="39">
        <v>0</v>
      </c>
      <c r="O212" s="39">
        <v>0</v>
      </c>
      <c r="P212" s="39">
        <v>0</v>
      </c>
      <c r="Q212" s="39">
        <v>0</v>
      </c>
      <c r="R212" s="39">
        <v>0</v>
      </c>
      <c r="S212" s="39">
        <v>0</v>
      </c>
      <c r="T212" s="874"/>
      <c r="U212" s="39">
        <v>0</v>
      </c>
      <c r="V212" s="39">
        <v>0</v>
      </c>
      <c r="W212" s="39">
        <v>0</v>
      </c>
      <c r="X212" s="2082">
        <f t="shared" si="67"/>
        <v>0</v>
      </c>
      <c r="Y212" s="2082">
        <f t="shared" si="68"/>
        <v>0</v>
      </c>
      <c r="AA212" s="117">
        <f>ROW()</f>
        <v>212</v>
      </c>
    </row>
    <row r="213" spans="2:27" ht="14.1" customHeight="1">
      <c r="B213" s="2" t="s">
        <v>228</v>
      </c>
      <c r="E213" s="3076"/>
      <c r="F213" s="3076"/>
      <c r="G213" s="1825">
        <f>SUM(G204:G207)</f>
        <v>0</v>
      </c>
      <c r="H213" s="1825">
        <f>SUM(H204:H207)</f>
        <v>0.2</v>
      </c>
      <c r="I213" s="1825">
        <f>SUM(I204:I207)</f>
        <v>0.4</v>
      </c>
      <c r="J213" s="1825">
        <f>SUM(J204:J207)</f>
        <v>0.2</v>
      </c>
      <c r="K213" s="1825">
        <f>SUM(K204:K207)</f>
        <v>0.35</v>
      </c>
      <c r="L213" s="874"/>
      <c r="M213" s="1825">
        <f t="shared" ref="M213:S213" si="69">SUM(M204:M207)</f>
        <v>0.2</v>
      </c>
      <c r="N213" s="1825">
        <f t="shared" si="69"/>
        <v>0.2</v>
      </c>
      <c r="O213" s="1825">
        <f t="shared" si="69"/>
        <v>0</v>
      </c>
      <c r="P213" s="1825">
        <f t="shared" si="69"/>
        <v>0.25</v>
      </c>
      <c r="Q213" s="1825">
        <f t="shared" si="69"/>
        <v>0</v>
      </c>
      <c r="R213" s="1825">
        <f t="shared" si="69"/>
        <v>0</v>
      </c>
      <c r="S213" s="1825">
        <f t="shared" si="69"/>
        <v>0.25</v>
      </c>
      <c r="T213" s="874"/>
      <c r="U213" s="1825">
        <f>SUM(U204:U207)</f>
        <v>0.65</v>
      </c>
      <c r="V213" s="1825">
        <f>SUM(V204:V207)</f>
        <v>0</v>
      </c>
      <c r="W213" s="1825">
        <f>SUM(W204:W207)</f>
        <v>0.4</v>
      </c>
      <c r="X213" s="2244"/>
      <c r="AA213" s="117">
        <f>ROW()</f>
        <v>213</v>
      </c>
    </row>
    <row r="214" spans="2:27" ht="14.1" customHeight="1">
      <c r="B214" s="1"/>
      <c r="G214" s="10"/>
      <c r="H214" s="10"/>
      <c r="I214" s="10"/>
      <c r="J214" s="10"/>
      <c r="K214" s="10"/>
      <c r="L214" s="874"/>
      <c r="M214" s="10"/>
      <c r="N214" s="10"/>
      <c r="O214" s="10"/>
      <c r="P214" s="10"/>
      <c r="Q214" s="10"/>
      <c r="R214" s="10"/>
      <c r="S214" s="10"/>
      <c r="T214" s="874"/>
      <c r="X214" s="2244"/>
      <c r="AA214" s="117">
        <f>ROW()</f>
        <v>214</v>
      </c>
    </row>
    <row r="215" spans="2:27" ht="14.1" customHeight="1">
      <c r="B215" s="1" t="s">
        <v>5401</v>
      </c>
      <c r="G215" s="39">
        <f>SUMPRODUCT($E$204:$E$212,G204:G212)</f>
        <v>0</v>
      </c>
      <c r="H215" s="39">
        <f>SUMPRODUCT($E$204:$E$212,H204:H212)</f>
        <v>9.8947368421052645E-2</v>
      </c>
      <c r="I215" s="39">
        <f>SUMPRODUCT($E$204:$E$212,I204:I212)</f>
        <v>0.29894736842105268</v>
      </c>
      <c r="J215" s="39">
        <f>SUMPRODUCT($E$204:$E$212,J204:J212)</f>
        <v>9.8947368421052645E-2</v>
      </c>
      <c r="K215" s="39">
        <f>SUMPRODUCT($E$204:$E$212,K204:K212)</f>
        <v>0.22368421052631582</v>
      </c>
      <c r="L215" s="874"/>
      <c r="M215" s="39">
        <f t="shared" ref="M215:S215" si="70">SUMPRODUCT($E$204:$E$212,M204:M212)</f>
        <v>9.8947368421052645E-2</v>
      </c>
      <c r="N215" s="39">
        <f t="shared" si="70"/>
        <v>9.8947368421052645E-2</v>
      </c>
      <c r="O215" s="39">
        <f t="shared" si="70"/>
        <v>0</v>
      </c>
      <c r="P215" s="39">
        <f t="shared" si="70"/>
        <v>0.25</v>
      </c>
      <c r="Q215" s="39">
        <f t="shared" si="70"/>
        <v>0</v>
      </c>
      <c r="R215" s="39">
        <f t="shared" si="70"/>
        <v>0</v>
      </c>
      <c r="S215" s="39">
        <f t="shared" si="70"/>
        <v>0.25</v>
      </c>
      <c r="T215" s="874"/>
      <c r="U215" s="39">
        <f>SUMPRODUCT($E$204:$E$212,U204:U212)</f>
        <v>0.65</v>
      </c>
      <c r="V215" s="39">
        <f>SUMPRODUCT($E$204:$E$212,V204:V212)</f>
        <v>0</v>
      </c>
      <c r="X215" s="2244"/>
      <c r="AA215" s="117">
        <f>ROW()</f>
        <v>215</v>
      </c>
    </row>
    <row r="216" spans="2:27" ht="14.1" customHeight="1">
      <c r="B216" s="1" t="s">
        <v>5402</v>
      </c>
      <c r="G216" s="39">
        <f>SUMPRODUCT($F$204:$F$212,G204:G212)</f>
        <v>0</v>
      </c>
      <c r="H216" s="39">
        <f>SUMPRODUCT($F$204:$F$212,H204:H212)</f>
        <v>0</v>
      </c>
      <c r="I216" s="39">
        <f>SUMPRODUCT($F$204:$F$212,I204:I212)</f>
        <v>0.2</v>
      </c>
      <c r="J216" s="39">
        <f>SUMPRODUCT($F$204:$F$212,J204:J212)</f>
        <v>0</v>
      </c>
      <c r="K216" s="39">
        <f>SUMPRODUCT($F$204:$F$212,K204:K212)</f>
        <v>0.1</v>
      </c>
      <c r="L216" s="874"/>
      <c r="M216" s="39">
        <f t="shared" ref="M216:S216" si="71">SUMPRODUCT($F$204:$F$212,M204:M212)</f>
        <v>0</v>
      </c>
      <c r="N216" s="39">
        <f t="shared" si="71"/>
        <v>0</v>
      </c>
      <c r="O216" s="39">
        <f t="shared" si="71"/>
        <v>0</v>
      </c>
      <c r="P216" s="39">
        <f t="shared" si="71"/>
        <v>0.25</v>
      </c>
      <c r="Q216" s="39">
        <f t="shared" si="71"/>
        <v>0</v>
      </c>
      <c r="R216" s="39">
        <f t="shared" si="71"/>
        <v>0</v>
      </c>
      <c r="S216" s="39">
        <f t="shared" si="71"/>
        <v>0.25</v>
      </c>
      <c r="T216" s="874"/>
      <c r="U216" s="39">
        <f>SUMPRODUCT($F$204:$F$212,U204:U212)</f>
        <v>0.65</v>
      </c>
      <c r="V216" s="39">
        <f>SUMPRODUCT($F$204:$F$212,V204:V212)</f>
        <v>0</v>
      </c>
      <c r="X216" s="2244"/>
      <c r="AA216" s="117">
        <f>ROW()</f>
        <v>216</v>
      </c>
    </row>
    <row r="217" spans="2:27" s="3134" customFormat="1" ht="14.1" customHeight="1" thickBot="1">
      <c r="B217" s="1"/>
      <c r="G217" s="39"/>
      <c r="H217" s="39"/>
      <c r="I217" s="39"/>
      <c r="J217" s="39"/>
      <c r="K217" s="39"/>
      <c r="L217" s="874"/>
      <c r="M217" s="39"/>
      <c r="N217" s="39"/>
      <c r="O217" s="39"/>
      <c r="P217" s="39"/>
      <c r="Q217" s="39"/>
      <c r="R217" s="39"/>
      <c r="S217" s="39"/>
      <c r="T217" s="874"/>
      <c r="U217" s="39"/>
      <c r="V217" s="39"/>
      <c r="X217" s="2244"/>
      <c r="AA217" s="117">
        <f>ROW()</f>
        <v>217</v>
      </c>
    </row>
    <row r="218" spans="2:27" ht="14.1" customHeight="1">
      <c r="B218" s="3161"/>
      <c r="C218" s="490"/>
      <c r="D218" s="3162" t="s">
        <v>781</v>
      </c>
      <c r="E218" s="3162" t="s">
        <v>5405</v>
      </c>
      <c r="F218" s="3202" t="s">
        <v>1130</v>
      </c>
      <c r="L218" s="874"/>
      <c r="M218" s="39"/>
      <c r="N218" s="39"/>
      <c r="O218" s="39"/>
      <c r="P218" s="39"/>
      <c r="Q218" s="39"/>
      <c r="R218" s="39"/>
      <c r="S218" s="39"/>
      <c r="T218" s="874"/>
      <c r="U218" s="39"/>
      <c r="V218" s="39"/>
      <c r="X218" s="2244"/>
      <c r="AA218" s="117">
        <f>ROW()</f>
        <v>218</v>
      </c>
    </row>
    <row r="219" spans="2:27" ht="14.1" customHeight="1">
      <c r="B219" s="3163" t="s">
        <v>5582</v>
      </c>
      <c r="C219" s="3132"/>
      <c r="D219" s="3132"/>
      <c r="E219" s="3132"/>
      <c r="F219" s="185"/>
      <c r="L219" s="1955"/>
      <c r="T219" s="1955"/>
      <c r="AA219" s="117">
        <f>ROW()</f>
        <v>219</v>
      </c>
    </row>
    <row r="220" spans="2:27" ht="14.1" customHeight="1">
      <c r="B220" s="3164" t="s">
        <v>1367</v>
      </c>
      <c r="C220" s="3132"/>
      <c r="D220" s="3165">
        <f ca="1">SUM('Motor Vs'!I983:L983)</f>
        <v>337967.527823493</v>
      </c>
      <c r="E220" s="3132">
        <v>0</v>
      </c>
      <c r="F220" s="185"/>
      <c r="L220" s="3097"/>
      <c r="M220" s="10"/>
      <c r="N220" s="10"/>
      <c r="O220" s="10"/>
      <c r="P220" s="10"/>
      <c r="Q220" s="10"/>
      <c r="R220" s="10"/>
      <c r="S220" s="10"/>
      <c r="T220" s="3097"/>
      <c r="X220" s="2244"/>
      <c r="AA220" s="117">
        <f>ROW()</f>
        <v>220</v>
      </c>
    </row>
    <row r="221" spans="2:27" ht="14.1" customHeight="1">
      <c r="B221" s="3164" t="s">
        <v>2210</v>
      </c>
      <c r="C221" s="3132"/>
      <c r="D221" s="3165">
        <f ca="1">SUM('Motor Vs'!G983:M983)-D220</f>
        <v>100019.17553417129</v>
      </c>
      <c r="E221" s="632">
        <f ca="1">SUM('Motor Vs Weekends'!G983:M983)</f>
        <v>395389.32867626369</v>
      </c>
      <c r="F221" s="185"/>
      <c r="L221" s="3097"/>
      <c r="M221" s="10"/>
      <c r="N221" s="10"/>
      <c r="O221" s="10"/>
      <c r="P221" s="10"/>
      <c r="Q221" s="10"/>
      <c r="R221" s="10"/>
      <c r="S221" s="10"/>
      <c r="T221" s="3097"/>
      <c r="X221" s="2244"/>
      <c r="AA221" s="117">
        <f>ROW()</f>
        <v>221</v>
      </c>
    </row>
    <row r="222" spans="2:27" ht="14.1" customHeight="1">
      <c r="B222" s="3163" t="s">
        <v>5583</v>
      </c>
      <c r="C222" s="3132"/>
      <c r="D222" s="3132"/>
      <c r="E222" s="3132"/>
      <c r="F222" s="3166"/>
      <c r="L222" s="3097"/>
      <c r="M222" s="10"/>
      <c r="N222" s="10"/>
      <c r="O222" s="10"/>
      <c r="P222" s="10"/>
      <c r="Q222" s="10"/>
      <c r="R222" s="10"/>
      <c r="S222" s="10"/>
      <c r="T222" s="3097"/>
      <c r="X222" s="2244"/>
      <c r="AA222" s="117">
        <f>ROW()</f>
        <v>222</v>
      </c>
    </row>
    <row r="223" spans="2:27" ht="14.1" customHeight="1">
      <c r="B223" s="3164" t="s">
        <v>1367</v>
      </c>
      <c r="C223" s="3132"/>
      <c r="D223" s="1912">
        <f ca="1">D220*weekday_per_yr/1000000</f>
        <v>84.491881955873254</v>
      </c>
      <c r="E223" s="1912">
        <f>E220*weekday_per_yr/1000000</f>
        <v>0</v>
      </c>
      <c r="F223" s="3166"/>
      <c r="L223" s="3097"/>
      <c r="M223" s="10"/>
      <c r="N223" s="10"/>
      <c r="O223" s="10"/>
      <c r="P223" s="10"/>
      <c r="Q223" s="10"/>
      <c r="R223" s="10"/>
      <c r="S223" s="10"/>
      <c r="T223" s="3097"/>
      <c r="X223" s="2244"/>
      <c r="AA223" s="117">
        <f>ROW()</f>
        <v>223</v>
      </c>
    </row>
    <row r="224" spans="2:27" ht="14.1" customHeight="1" thickBot="1">
      <c r="B224" s="3167" t="s">
        <v>2210</v>
      </c>
      <c r="C224" s="166"/>
      <c r="D224" s="3168">
        <f ca="1">D221*weekday_per_yr/1000000</f>
        <v>25.004793883542821</v>
      </c>
      <c r="E224" s="3168">
        <f ca="1">E221*wkend_per_yr/1000000</f>
        <v>45.469772797770318</v>
      </c>
      <c r="F224" s="949">
        <f ca="1">D224+E224</f>
        <v>70.474566681313135</v>
      </c>
      <c r="L224" s="3097"/>
      <c r="M224" s="10"/>
      <c r="N224" s="10"/>
      <c r="O224" s="10"/>
      <c r="P224" s="10"/>
      <c r="Q224" s="10"/>
      <c r="R224" s="10"/>
      <c r="S224" s="10"/>
      <c r="T224" s="3097"/>
      <c r="X224" s="2244"/>
      <c r="AA224" s="117">
        <f>ROW()</f>
        <v>224</v>
      </c>
    </row>
    <row r="225" spans="2:27" ht="14.1" customHeight="1">
      <c r="G225" s="3080" t="str">
        <f t="shared" ref="G225:X225" si="72">G110</f>
        <v>Bronx</v>
      </c>
      <c r="H225" s="3080" t="str">
        <f t="shared" si="72"/>
        <v>Brooklyn</v>
      </c>
      <c r="I225" s="3080" t="str">
        <f t="shared" si="72"/>
        <v>Manhattan</v>
      </c>
      <c r="J225" s="3080" t="str">
        <f t="shared" si="72"/>
        <v>Queens</v>
      </c>
      <c r="K225" s="3080" t="str">
        <f t="shared" si="72"/>
        <v>S.I.</v>
      </c>
      <c r="L225" s="3081" t="str">
        <f t="shared" si="72"/>
        <v>NYC</v>
      </c>
      <c r="M225" s="3080" t="str">
        <f t="shared" si="72"/>
        <v>Nassau</v>
      </c>
      <c r="N225" s="3080" t="str">
        <f t="shared" si="72"/>
        <v>Suffolk</v>
      </c>
      <c r="O225" s="3080" t="str">
        <f t="shared" si="72"/>
        <v>Westchester</v>
      </c>
      <c r="P225" s="3080" t="str">
        <f t="shared" si="72"/>
        <v>Rockland</v>
      </c>
      <c r="Q225" s="3080" t="str">
        <f t="shared" si="72"/>
        <v>Putnam</v>
      </c>
      <c r="R225" s="3080" t="str">
        <f t="shared" si="72"/>
        <v>Dutchess</v>
      </c>
      <c r="S225" s="3080" t="str">
        <f t="shared" si="72"/>
        <v>Orange</v>
      </c>
      <c r="T225" s="3081" t="str">
        <f t="shared" si="72"/>
        <v>MTA Reg Tot</v>
      </c>
      <c r="U225" s="3080" t="str">
        <f t="shared" si="72"/>
        <v>NJ</v>
      </c>
      <c r="V225" s="3080" t="str">
        <f t="shared" si="72"/>
        <v>CT</v>
      </c>
      <c r="W225" s="3080" t="str">
        <f t="shared" si="72"/>
        <v>Other</v>
      </c>
      <c r="X225" s="3080" t="str">
        <f t="shared" si="72"/>
        <v>Total</v>
      </c>
      <c r="AA225" s="117">
        <f>ROW()</f>
        <v>225</v>
      </c>
    </row>
    <row r="226" spans="2:27" ht="14.1" customHeight="1">
      <c r="B226" s="1"/>
      <c r="G226" s="265"/>
      <c r="H226" s="265"/>
      <c r="I226" s="265"/>
      <c r="J226" s="265"/>
      <c r="K226" s="265"/>
      <c r="L226" s="3176"/>
      <c r="M226" s="265"/>
      <c r="N226" s="265"/>
      <c r="O226" s="265"/>
      <c r="P226" s="265"/>
      <c r="Q226" s="265"/>
      <c r="R226" s="10"/>
      <c r="S226" s="10"/>
      <c r="T226" s="3097"/>
      <c r="X226" s="2244"/>
      <c r="AA226" s="117">
        <f>ROW()</f>
        <v>226</v>
      </c>
    </row>
    <row r="227" spans="2:27" ht="14.1" customHeight="1">
      <c r="B227" s="2" t="s">
        <v>5433</v>
      </c>
      <c r="G227" s="25">
        <f>'User Inputs'!$J$29*(1+G$195*'Motor Vs'!$I$43)</f>
        <v>11.332768489266416</v>
      </c>
      <c r="H227" s="25">
        <f>'User Inputs'!$J$29*(1+H$195*'Motor Vs'!$I$43)</f>
        <v>11.332768489266416</v>
      </c>
      <c r="I227" s="25">
        <f>'User Inputs'!$J$29*(1+I$195*'Motor Vs'!$I$43)</f>
        <v>9.5</v>
      </c>
      <c r="J227" s="25">
        <f>'User Inputs'!$J$29*(1+J$195*'Motor Vs'!$I$43)</f>
        <v>11.332768489266416</v>
      </c>
      <c r="K227" s="25">
        <f>'User Inputs'!$J$29*(1+K$195*'Motor Vs'!$I$43)</f>
        <v>11.332768489266416</v>
      </c>
      <c r="L227" s="3086">
        <f>'User Inputs'!$J$29*(1+L$195)</f>
        <v>11.472460420261839</v>
      </c>
      <c r="M227" s="25">
        <f>'User Inputs'!$J$29*(1+M$195*'Motor Vs'!$I$43)</f>
        <v>11.332768489266416</v>
      </c>
      <c r="N227" s="25">
        <f>'User Inputs'!$J$29*(1+N$195*'Motor Vs'!$I$43)</f>
        <v>11.332768489266416</v>
      </c>
      <c r="O227" s="25">
        <f>'User Inputs'!$J$29*(1+O$195*'Motor Vs'!$I$43)</f>
        <v>11.332768489266416</v>
      </c>
      <c r="P227" s="25">
        <f>'User Inputs'!$J$29*(1+P$195*'Motor Vs'!$I$43)</f>
        <v>11.332768489266416</v>
      </c>
      <c r="Q227" s="25">
        <f>'User Inputs'!$J$29*(1+Q$195*'Motor Vs'!$I$43)</f>
        <v>11.332768489266416</v>
      </c>
      <c r="R227" s="25">
        <f>'User Inputs'!$J$29*(1+R$195*'Motor Vs'!$I$43)</f>
        <v>11.332768489266416</v>
      </c>
      <c r="S227" s="25">
        <f>'User Inputs'!$J$29*(1+S$195*'Motor Vs'!$I$43)</f>
        <v>11.332768489266416</v>
      </c>
      <c r="T227" s="3086">
        <f>'User Inputs'!$J$29*(1+T$195)</f>
        <v>11.55703618498786</v>
      </c>
      <c r="U227" s="25">
        <f>'User Inputs'!$J$29*(1+U$195*'Motor Vs'!$I$43)</f>
        <v>11.332768489266416</v>
      </c>
      <c r="V227" s="25">
        <f>'User Inputs'!$J$29*(1+V$195*'Motor Vs'!$I$43)</f>
        <v>11.332768489266416</v>
      </c>
      <c r="W227" s="25">
        <f>'User Inputs'!$J$29*(1+W$195*'Motor Vs'!$I$43)</f>
        <v>11.332768489266416</v>
      </c>
      <c r="X227" s="2343"/>
      <c r="AA227" s="117">
        <f>ROW()</f>
        <v>227</v>
      </c>
    </row>
    <row r="228" spans="2:27" ht="14.1" customHeight="1">
      <c r="B228" s="2" t="s">
        <v>5434</v>
      </c>
      <c r="G228" s="25">
        <f>'User Inputs'!$J$25*(1+G$195*'Motor Vs'!$I$43)</f>
        <v>3.5787689966104472</v>
      </c>
      <c r="H228" s="25">
        <f>'User Inputs'!$J$25*(1+H$195*'Motor Vs'!$I$43)</f>
        <v>3.5787689966104472</v>
      </c>
      <c r="I228" s="25">
        <f>'User Inputs'!$J$25*(1+I$195*'Motor Vs'!$I$43)</f>
        <v>3</v>
      </c>
      <c r="J228" s="25">
        <f>'User Inputs'!$J$25*(1+J$195*'Motor Vs'!$I$43)</f>
        <v>3.5787689966104472</v>
      </c>
      <c r="K228" s="25">
        <f>'User Inputs'!$J$25*(1+K$195*'Motor Vs'!$I$43)</f>
        <v>3.5787689966104472</v>
      </c>
      <c r="L228" s="3177">
        <f>'User Inputs'!$J$25*(1+L$195*'Motor Vs'!$I$43)</f>
        <v>3.4983057903819388</v>
      </c>
      <c r="M228" s="25">
        <f>'User Inputs'!$J$25*(1+M$195*'Motor Vs'!$I$43)</f>
        <v>3.5787689966104472</v>
      </c>
      <c r="N228" s="25">
        <f>'User Inputs'!$J$25*(1+N$195*'Motor Vs'!$I$43)</f>
        <v>3.5787689966104472</v>
      </c>
      <c r="O228" s="25">
        <f>'User Inputs'!$J$25*(1+O$195*'Motor Vs'!$I$43)</f>
        <v>3.5787689966104472</v>
      </c>
      <c r="P228" s="25">
        <f>'User Inputs'!$J$25*(1+P$195*'Motor Vs'!$I$43)</f>
        <v>3.5787689966104472</v>
      </c>
      <c r="Q228" s="25">
        <f>'User Inputs'!$J$25*(1+Q$195*'Motor Vs'!$I$43)</f>
        <v>3.5787689966104472</v>
      </c>
      <c r="R228" s="25">
        <f>'User Inputs'!$J$25*(1+R$195*'Motor Vs'!$I$43)</f>
        <v>3.5787689966104472</v>
      </c>
      <c r="S228" s="25">
        <f>'User Inputs'!$J$25*(1+S$195*'Motor Vs'!$I$43)</f>
        <v>3.5787689966104472</v>
      </c>
      <c r="T228" s="3177">
        <f>'User Inputs'!$J$25*(1+T$195*'Motor Vs'!$I$43)</f>
        <v>3.5196722993653546</v>
      </c>
      <c r="U228" s="25">
        <f>'User Inputs'!$J$25*(1+U$195*'Motor Vs'!$I$43)</f>
        <v>3.5787689966104472</v>
      </c>
      <c r="V228" s="25">
        <f>'User Inputs'!$J$25*(1+V$195*'Motor Vs'!$I$43)</f>
        <v>3.5787689966104472</v>
      </c>
      <c r="W228" s="25">
        <f>'User Inputs'!$J$25*(1+W$195*'Motor Vs'!$I$43)</f>
        <v>3.5787689966104472</v>
      </c>
      <c r="X228" s="2343"/>
      <c r="AA228" s="117">
        <f>ROW()</f>
        <v>228</v>
      </c>
    </row>
    <row r="229" spans="2:27" ht="14.1" customHeight="1">
      <c r="B229" s="265" t="str">
        <f>CONCATENATE("Figures in Rows ",AA227, " and ",AA228, " reflect two factors pertaining to through-trips: (i) % of trips into CBD that have a through-trip component, given in Row ",AA195, "; and (ii) % of those trips that return via CBD and thus pay twice, given in 'Motor Vs' worksheet, Row ",'Motor Vs'!O43, ".")</f>
        <v>Figures in Rows 227 and 228 reflect two factors pertaining to through-trips: (i) % of trips into CBD that have a through-trip component, given in Row 195; and (ii) % of those trips that return via CBD and thus pay twice, given in 'Motor Vs' worksheet, Row 43.</v>
      </c>
      <c r="D229" s="3073"/>
      <c r="E229" s="3073"/>
      <c r="F229" s="3073"/>
      <c r="G229" s="25"/>
      <c r="H229" s="25"/>
      <c r="I229" s="25"/>
      <c r="J229" s="25"/>
      <c r="K229" s="25"/>
      <c r="L229" s="3086"/>
      <c r="M229" s="25"/>
      <c r="N229" s="25"/>
      <c r="O229" s="25"/>
      <c r="P229" s="25"/>
      <c r="Q229" s="25"/>
      <c r="R229" s="25"/>
      <c r="S229" s="25"/>
      <c r="T229" s="3086"/>
      <c r="U229" s="25"/>
      <c r="V229" s="25"/>
      <c r="W229" s="25"/>
      <c r="X229" s="2343"/>
      <c r="AA229" s="117">
        <f>ROW()</f>
        <v>229</v>
      </c>
    </row>
    <row r="230" spans="2:27" ht="14.1" customHeight="1">
      <c r="B230" s="2" t="s">
        <v>5435</v>
      </c>
      <c r="E230" s="7" t="s">
        <v>5437</v>
      </c>
      <c r="G230" s="3199">
        <f>'User Inputs'!$J$29*(1+G$195*'Motor Vs Weekends'!$I$43)</f>
        <v>11.103672428108116</v>
      </c>
      <c r="H230" s="3199">
        <f>'User Inputs'!$J$29*(1+H$195*'Motor Vs Weekends'!$I$43)</f>
        <v>11.103672428108116</v>
      </c>
      <c r="I230" s="3199">
        <f>'User Inputs'!$J$29*(1+I$195*'Motor Vs Weekends'!$I$43)</f>
        <v>9.5</v>
      </c>
      <c r="J230" s="3199">
        <f>'User Inputs'!$J$29*(1+J$195*'Motor Vs Weekends'!$I$43)</f>
        <v>11.103672428108116</v>
      </c>
      <c r="K230" s="3199">
        <f>'User Inputs'!$J$29*(1+K$195*'Motor Vs Weekends'!$I$43)</f>
        <v>11.103672428108116</v>
      </c>
      <c r="L230" s="3200">
        <f>'User Inputs'!$J$29*(1+L$196)</f>
        <v>11.81681014167466</v>
      </c>
      <c r="M230" s="3199">
        <f>'User Inputs'!$J$29*(1+M$195*'Motor Vs Weekends'!$I$43)</f>
        <v>11.103672428108116</v>
      </c>
      <c r="N230" s="3199">
        <f>'User Inputs'!$J$29*(1+N$195*'Motor Vs Weekends'!$I$43)</f>
        <v>11.103672428108116</v>
      </c>
      <c r="O230" s="3199">
        <f>'User Inputs'!$J$29*(1+O$195*'Motor Vs Weekends'!$I$43)</f>
        <v>11.103672428108116</v>
      </c>
      <c r="P230" s="3199">
        <f>'User Inputs'!$J$29*(1+P$195*'Motor Vs Weekends'!$I$43)</f>
        <v>11.103672428108116</v>
      </c>
      <c r="Q230" s="3199">
        <f>'User Inputs'!$J$29*(1+Q$195*'Motor Vs Weekends'!$I$43)</f>
        <v>11.103672428108112</v>
      </c>
      <c r="R230" s="3199">
        <f>'User Inputs'!$J$29*(1+R$195*'Motor Vs Weekends'!$I$43)</f>
        <v>11.103672428108116</v>
      </c>
      <c r="S230" s="3199">
        <f>'User Inputs'!$J$29*(1+S$195*'Motor Vs Weekends'!$I$43)</f>
        <v>11.103672428108116</v>
      </c>
      <c r="T230" s="3200">
        <f>'User Inputs'!$J$29*(1+T$196)</f>
        <v>11.910431435644805</v>
      </c>
      <c r="U230" s="3199">
        <f>'User Inputs'!$J$29*(1+U$195*'Motor Vs Weekends'!$I$43)</f>
        <v>11.103672428108116</v>
      </c>
      <c r="V230" s="3199">
        <f>'User Inputs'!$J$29*(1+V$195*'Motor Vs Weekends'!$I$43)</f>
        <v>11.103672428108116</v>
      </c>
      <c r="W230" s="3199">
        <f>'User Inputs'!$J$29*(1+W$195*'Motor Vs Weekends'!$I$43)</f>
        <v>11.103672428108116</v>
      </c>
      <c r="X230" s="2343"/>
      <c r="AA230" s="117">
        <f>ROW()</f>
        <v>230</v>
      </c>
    </row>
    <row r="231" spans="2:27" ht="14.1" customHeight="1">
      <c r="B231" s="2" t="s">
        <v>5436</v>
      </c>
      <c r="G231" s="25">
        <f>'User Inputs'!$J$25*(1+G$195*'Motor Vs Weekends'!$I$43)</f>
        <v>3.5064228720341415</v>
      </c>
      <c r="H231" s="25">
        <f>'User Inputs'!$J$25*(1+H$195*'Motor Vs Weekends'!$I$43)</f>
        <v>3.5064228720341415</v>
      </c>
      <c r="I231" s="25">
        <f>'User Inputs'!$J$25*(1+I$195*'Motor Vs Weekends'!$I$43)</f>
        <v>3</v>
      </c>
      <c r="J231" s="25">
        <f>'User Inputs'!$J$25*(1+J$195*'Motor Vs Weekends'!$I$43)</f>
        <v>3.5064228720341415</v>
      </c>
      <c r="K231" s="25">
        <f>'User Inputs'!$J$25*(1+K$195*'Motor Vs Weekends'!$I$43)</f>
        <v>3.5064228720341415</v>
      </c>
      <c r="L231" s="3177">
        <f>'User Inputs'!$J$25*(1+L$195*'Motor Vs Weekends'!$I$43)</f>
        <v>3.4360175665841965</v>
      </c>
      <c r="M231" s="25">
        <f>'User Inputs'!$J$25*(1+M$195*'Motor Vs Weekends'!$I$43)</f>
        <v>3.5064228720341415</v>
      </c>
      <c r="N231" s="25">
        <f>'User Inputs'!$J$25*(1+N$195*'Motor Vs Weekends'!$I$43)</f>
        <v>3.5064228720341415</v>
      </c>
      <c r="O231" s="25">
        <f>'User Inputs'!$J$25*(1+O$195*'Motor Vs Weekends'!$I$43)</f>
        <v>3.5064228720341415</v>
      </c>
      <c r="P231" s="25">
        <f>'User Inputs'!$J$25*(1+P$195*'Motor Vs Weekends'!$I$43)</f>
        <v>3.5064228720341415</v>
      </c>
      <c r="Q231" s="25">
        <f>'User Inputs'!$J$25*(1+Q$195*'Motor Vs Weekends'!$I$43)</f>
        <v>3.5064228720341406</v>
      </c>
      <c r="R231" s="25">
        <f>'User Inputs'!$J$25*(1+R$195*'Motor Vs Weekends'!$I$43)</f>
        <v>3.5064228720341415</v>
      </c>
      <c r="S231" s="25">
        <f>'User Inputs'!$J$25*(1+S$195*'Motor Vs Weekends'!$I$43)</f>
        <v>3.5064228720341415</v>
      </c>
      <c r="T231" s="3177">
        <f>'User Inputs'!$J$25*(1+T$195*'Motor Vs Weekends'!$I$43)</f>
        <v>3.454713261944685</v>
      </c>
      <c r="U231" s="25">
        <f>'User Inputs'!$J$25*(1+U$195*'Motor Vs Weekends'!$I$43)</f>
        <v>3.5064228720341415</v>
      </c>
      <c r="V231" s="25">
        <f>'User Inputs'!$J$25*(1+V$195*'Motor Vs Weekends'!$I$43)</f>
        <v>3.5064228720341415</v>
      </c>
      <c r="W231" s="25">
        <f>'User Inputs'!$J$25*(1+W$195*'Motor Vs Weekends'!$I$43)</f>
        <v>3.5064228720341415</v>
      </c>
      <c r="X231" s="2343"/>
      <c r="AA231" s="117">
        <f>ROW()</f>
        <v>231</v>
      </c>
    </row>
    <row r="232" spans="2:27" ht="14.1" customHeight="1">
      <c r="B232" s="265" t="str">
        <f>CONCATENATE("Row ",AA230, " figures take peak toll from 'User Inputs' tab, Row ",'User Inputs'!N29, ", and increase it by percentage of auto trips that are through trips, given in this worksheet at Row ",AA196, ". Row ",AA231, " figures do same except they take off-peak toll from Row ",'User Inputs'!N25, " of 'User Inputs'.")</f>
        <v>Row 230 figures take peak toll from 'User Inputs' tab, Row 29, and increase it by percentage of auto trips that are through trips, given in this worksheet at Row 196. Row 231 figures do same except they take off-peak toll from Row 25 of 'User Inputs'.</v>
      </c>
      <c r="D232" s="3089"/>
      <c r="E232" s="3089"/>
      <c r="F232" s="3089"/>
      <c r="G232" s="25"/>
      <c r="H232" s="25"/>
      <c r="I232" s="25"/>
      <c r="J232" s="25"/>
      <c r="K232" s="25"/>
      <c r="L232" s="3086"/>
      <c r="M232" s="25"/>
      <c r="N232" s="25"/>
      <c r="O232" s="25"/>
      <c r="P232" s="25"/>
      <c r="Q232" s="25"/>
      <c r="R232" s="25"/>
      <c r="S232" s="25"/>
      <c r="T232" s="3086"/>
      <c r="U232" s="25"/>
      <c r="V232" s="25"/>
      <c r="W232" s="25"/>
      <c r="X232" s="2343"/>
      <c r="AA232" s="117">
        <f>ROW()</f>
        <v>232</v>
      </c>
    </row>
    <row r="233" spans="2:27" ht="14.1" customHeight="1">
      <c r="B233" s="2" t="s">
        <v>5438</v>
      </c>
      <c r="G233" s="25">
        <f t="shared" ref="G233:W233" si="73">G227*(1-G215)</f>
        <v>11.332768489266416</v>
      </c>
      <c r="H233" s="25">
        <f t="shared" si="73"/>
        <v>10.211420870328475</v>
      </c>
      <c r="I233" s="25">
        <f t="shared" si="73"/>
        <v>6.66</v>
      </c>
      <c r="J233" s="25">
        <f t="shared" si="73"/>
        <v>10.211420870328475</v>
      </c>
      <c r="K233" s="25">
        <f t="shared" si="73"/>
        <v>8.7978071166673484</v>
      </c>
      <c r="L233" s="3086">
        <f t="shared" si="73"/>
        <v>11.472460420261839</v>
      </c>
      <c r="M233" s="25">
        <f t="shared" si="73"/>
        <v>10.211420870328475</v>
      </c>
      <c r="N233" s="25">
        <f t="shared" si="73"/>
        <v>10.211420870328475</v>
      </c>
      <c r="O233" s="25">
        <f t="shared" si="73"/>
        <v>11.332768489266416</v>
      </c>
      <c r="P233" s="25">
        <f t="shared" si="73"/>
        <v>8.4995763669498121</v>
      </c>
      <c r="Q233" s="25">
        <f t="shared" si="73"/>
        <v>11.332768489266416</v>
      </c>
      <c r="R233" s="25">
        <f t="shared" si="73"/>
        <v>11.332768489266416</v>
      </c>
      <c r="S233" s="25">
        <f t="shared" si="73"/>
        <v>8.4995763669498121</v>
      </c>
      <c r="T233" s="3086">
        <f t="shared" si="73"/>
        <v>11.55703618498786</v>
      </c>
      <c r="U233" s="25">
        <f t="shared" si="73"/>
        <v>3.9664689712432453</v>
      </c>
      <c r="V233" s="25">
        <f t="shared" si="73"/>
        <v>11.332768489266416</v>
      </c>
      <c r="W233" s="25">
        <f t="shared" si="73"/>
        <v>11.332768489266416</v>
      </c>
      <c r="X233" s="2343"/>
      <c r="AA233" s="117">
        <f>ROW()</f>
        <v>233</v>
      </c>
    </row>
    <row r="234" spans="2:27" ht="14.1" customHeight="1">
      <c r="B234" s="2" t="s">
        <v>5439</v>
      </c>
      <c r="G234" s="25">
        <f t="shared" ref="G234:W234" si="74">G228*(1-G216)</f>
        <v>3.5787689966104472</v>
      </c>
      <c r="H234" s="25">
        <f t="shared" si="74"/>
        <v>3.5787689966104472</v>
      </c>
      <c r="I234" s="25">
        <f t="shared" si="74"/>
        <v>2.4000000000000004</v>
      </c>
      <c r="J234" s="25">
        <f t="shared" si="74"/>
        <v>3.5787689966104472</v>
      </c>
      <c r="K234" s="25">
        <f t="shared" si="74"/>
        <v>3.2208920969494024</v>
      </c>
      <c r="L234" s="3086">
        <f t="shared" si="74"/>
        <v>3.4983057903819388</v>
      </c>
      <c r="M234" s="25">
        <f t="shared" si="74"/>
        <v>3.5787689966104472</v>
      </c>
      <c r="N234" s="25">
        <f t="shared" si="74"/>
        <v>3.5787689966104472</v>
      </c>
      <c r="O234" s="25">
        <f t="shared" si="74"/>
        <v>3.5787689966104472</v>
      </c>
      <c r="P234" s="25">
        <f t="shared" si="74"/>
        <v>2.6840767474578353</v>
      </c>
      <c r="Q234" s="25">
        <f t="shared" si="74"/>
        <v>3.5787689966104472</v>
      </c>
      <c r="R234" s="25">
        <f t="shared" si="74"/>
        <v>3.5787689966104472</v>
      </c>
      <c r="S234" s="25">
        <f t="shared" si="74"/>
        <v>2.6840767474578353</v>
      </c>
      <c r="T234" s="3086">
        <f t="shared" si="74"/>
        <v>3.5196722993653546</v>
      </c>
      <c r="U234" s="25">
        <f t="shared" si="74"/>
        <v>1.2525691488136566</v>
      </c>
      <c r="V234" s="25">
        <f t="shared" si="74"/>
        <v>3.5787689966104472</v>
      </c>
      <c r="W234" s="25">
        <f t="shared" si="74"/>
        <v>3.5787689966104472</v>
      </c>
      <c r="X234" s="2343"/>
      <c r="AA234" s="117">
        <f>ROW()</f>
        <v>234</v>
      </c>
    </row>
    <row r="235" spans="2:27" ht="14.1" customHeight="1">
      <c r="B235" s="265" t="str">
        <f>CONCATENATE("Row ",AA233, " figures take undiscounted peak toll from Row ",AA227, ", and reduce it by percentage in Row ",AA215, ". Row ",AA234, " figures take undiscounted off-peak toll from Row ",AA228, ", and reduce it by percentage in Row ",AA216, ".")</f>
        <v>Row 233 figures take undiscounted peak toll from Row 227, and reduce it by percentage in Row 215. Row 234 figures take undiscounted off-peak toll from Row 228, and reduce it by percentage in Row 216.</v>
      </c>
      <c r="G235" s="10"/>
      <c r="H235" s="10"/>
      <c r="I235" s="10"/>
      <c r="J235" s="10"/>
      <c r="K235" s="10"/>
      <c r="L235" s="874"/>
      <c r="M235" s="10"/>
      <c r="N235" s="10"/>
      <c r="O235" s="10"/>
      <c r="P235" s="10"/>
      <c r="Q235" s="10"/>
      <c r="R235" s="10"/>
      <c r="S235" s="10"/>
      <c r="T235" s="874"/>
      <c r="X235" s="2244"/>
      <c r="AA235" s="117">
        <f>ROW()</f>
        <v>235</v>
      </c>
    </row>
    <row r="236" spans="2:27" ht="14.1" customHeight="1">
      <c r="B236" s="2" t="s">
        <v>5440</v>
      </c>
      <c r="E236" s="7" t="s">
        <v>5437</v>
      </c>
      <c r="G236" s="3199">
        <f t="shared" ref="G236:W236" si="75">G230*(1-G215)</f>
        <v>11.103672428108116</v>
      </c>
      <c r="H236" s="3199">
        <f t="shared" si="75"/>
        <v>10.004993261537418</v>
      </c>
      <c r="I236" s="3199">
        <f t="shared" si="75"/>
        <v>6.66</v>
      </c>
      <c r="J236" s="3199">
        <f t="shared" si="75"/>
        <v>10.004993261537418</v>
      </c>
      <c r="K236" s="3199">
        <f t="shared" si="75"/>
        <v>8.6199562270839323</v>
      </c>
      <c r="L236" s="3200">
        <f t="shared" si="75"/>
        <v>11.81681014167466</v>
      </c>
      <c r="M236" s="3199">
        <f t="shared" si="75"/>
        <v>10.004993261537418</v>
      </c>
      <c r="N236" s="3199">
        <f t="shared" si="75"/>
        <v>10.004993261537418</v>
      </c>
      <c r="O236" s="3199">
        <f t="shared" si="75"/>
        <v>11.103672428108116</v>
      </c>
      <c r="P236" s="3199">
        <f t="shared" si="75"/>
        <v>8.3277543210810876</v>
      </c>
      <c r="Q236" s="3199">
        <f t="shared" si="75"/>
        <v>11.103672428108112</v>
      </c>
      <c r="R236" s="3199">
        <f t="shared" si="75"/>
        <v>11.103672428108116</v>
      </c>
      <c r="S236" s="3199">
        <f t="shared" si="75"/>
        <v>8.3277543210810876</v>
      </c>
      <c r="T236" s="3200">
        <f t="shared" si="75"/>
        <v>11.910431435644805</v>
      </c>
      <c r="U236" s="3199">
        <f t="shared" si="75"/>
        <v>3.88628534983784</v>
      </c>
      <c r="V236" s="3199">
        <f t="shared" si="75"/>
        <v>11.103672428108116</v>
      </c>
      <c r="W236" s="3199">
        <f t="shared" si="75"/>
        <v>11.103672428108116</v>
      </c>
      <c r="X236" s="25"/>
      <c r="AA236" s="117">
        <f>ROW()</f>
        <v>236</v>
      </c>
    </row>
    <row r="237" spans="2:27" ht="14.1" customHeight="1">
      <c r="B237" s="2" t="s">
        <v>5441</v>
      </c>
      <c r="G237" s="25">
        <f t="shared" ref="G237:W237" si="76">G231*(1-G216)</f>
        <v>3.5064228720341415</v>
      </c>
      <c r="H237" s="25">
        <f t="shared" si="76"/>
        <v>3.5064228720341415</v>
      </c>
      <c r="I237" s="25">
        <f t="shared" si="76"/>
        <v>2.4000000000000004</v>
      </c>
      <c r="J237" s="25">
        <f t="shared" si="76"/>
        <v>3.5064228720341415</v>
      </c>
      <c r="K237" s="25">
        <f t="shared" si="76"/>
        <v>3.1557805848307274</v>
      </c>
      <c r="L237" s="3086">
        <f t="shared" si="76"/>
        <v>3.4360175665841965</v>
      </c>
      <c r="M237" s="25">
        <f t="shared" si="76"/>
        <v>3.5064228720341415</v>
      </c>
      <c r="N237" s="25">
        <f t="shared" si="76"/>
        <v>3.5064228720341415</v>
      </c>
      <c r="O237" s="25">
        <f t="shared" si="76"/>
        <v>3.5064228720341415</v>
      </c>
      <c r="P237" s="25">
        <f t="shared" si="76"/>
        <v>2.6298171540256061</v>
      </c>
      <c r="Q237" s="25">
        <f t="shared" si="76"/>
        <v>3.5064228720341406</v>
      </c>
      <c r="R237" s="25">
        <f t="shared" si="76"/>
        <v>3.5064228720341415</v>
      </c>
      <c r="S237" s="25">
        <f t="shared" si="76"/>
        <v>2.6298171540256061</v>
      </c>
      <c r="T237" s="3086">
        <f t="shared" si="76"/>
        <v>3.454713261944685</v>
      </c>
      <c r="U237" s="25">
        <f t="shared" si="76"/>
        <v>1.2272480052119494</v>
      </c>
      <c r="V237" s="25">
        <f t="shared" si="76"/>
        <v>3.5064228720341415</v>
      </c>
      <c r="W237" s="25">
        <f t="shared" si="76"/>
        <v>3.5064228720341415</v>
      </c>
      <c r="X237" s="25"/>
      <c r="AA237" s="117">
        <f>ROW()</f>
        <v>237</v>
      </c>
    </row>
    <row r="238" spans="2:27" ht="14.1" customHeight="1">
      <c r="B238" s="265" t="str">
        <f>CONCATENATE("Row ",AA236, " figures take undiscounted peak toll from Row ",AA230, ", and reduce it by percentage in Row ",AA215, ". Row ",AA237, " figures take undiscounted off-peak toll from Row ",AA231, ", and reduce it by percentage in Row ",AA216, ".")</f>
        <v>Row 236 figures take undiscounted peak toll from Row 230, and reduce it by percentage in Row 215. Row 237 figures take undiscounted off-peak toll from Row 231, and reduce it by percentage in Row 216.</v>
      </c>
      <c r="G238" s="10"/>
      <c r="H238" s="10"/>
      <c r="I238" s="10"/>
      <c r="J238" s="10"/>
      <c r="K238" s="10"/>
      <c r="L238" s="874"/>
      <c r="M238" s="10"/>
      <c r="N238" s="10"/>
      <c r="O238" s="10"/>
      <c r="P238" s="10"/>
      <c r="Q238" s="10"/>
      <c r="R238" s="10"/>
      <c r="S238" s="10"/>
      <c r="T238" s="874"/>
      <c r="X238" s="2244"/>
      <c r="AA238" s="117">
        <f>ROW()</f>
        <v>238</v>
      </c>
    </row>
    <row r="239" spans="2:27" ht="14.1" customHeight="1">
      <c r="B239" s="265"/>
      <c r="G239" s="10"/>
      <c r="H239" s="10"/>
      <c r="I239" s="10"/>
      <c r="J239" s="10"/>
      <c r="K239" s="10"/>
      <c r="L239" s="874"/>
      <c r="M239" s="10"/>
      <c r="N239" s="10"/>
      <c r="O239" s="10"/>
      <c r="P239" s="10"/>
      <c r="Q239" s="10"/>
      <c r="R239" s="10"/>
      <c r="S239" s="10"/>
      <c r="T239" s="874"/>
      <c r="X239" s="2244"/>
      <c r="AA239" s="117">
        <f>ROW()</f>
        <v>239</v>
      </c>
    </row>
    <row r="240" spans="2:27" ht="14.1" customHeight="1">
      <c r="B240" s="2" t="s">
        <v>5442</v>
      </c>
      <c r="G240" s="1834">
        <f ca="1">G$191*$D$223*G233</f>
        <v>84.319969372556301</v>
      </c>
      <c r="H240" s="1834">
        <f ca="1">H$191*$D$223*H233</f>
        <v>123.4908096458517</v>
      </c>
      <c r="I240" s="1834">
        <f ca="1">I$191*$D$223*I233</f>
        <v>44.455330901094001</v>
      </c>
      <c r="J240" s="1834">
        <f ca="1">J$191*$D$223*J233</f>
        <v>172.35857015359321</v>
      </c>
      <c r="K240" s="1834">
        <f ca="1">K$191*$D$223*K233</f>
        <v>43.330190714711144</v>
      </c>
      <c r="L240" s="3087">
        <f ca="1">SUM(G240:K240)</f>
        <v>467.95487078780633</v>
      </c>
      <c r="M240" s="1834">
        <f t="shared" ref="M240:S240" ca="1" si="77">M$191*$D$223*M233</f>
        <v>64.514957334432111</v>
      </c>
      <c r="N240" s="1834">
        <f t="shared" ca="1" si="77"/>
        <v>29.447606920813914</v>
      </c>
      <c r="O240" s="1834">
        <f t="shared" ca="1" si="77"/>
        <v>49.919644875711434</v>
      </c>
      <c r="P240" s="1834">
        <f t="shared" ca="1" si="77"/>
        <v>18.819730018016603</v>
      </c>
      <c r="Q240" s="1834">
        <f t="shared" ca="1" si="77"/>
        <v>3.8251961646194497</v>
      </c>
      <c r="R240" s="1834">
        <f t="shared" ca="1" si="77"/>
        <v>5.6278125039335283</v>
      </c>
      <c r="S240" s="1834">
        <f t="shared" ca="1" si="77"/>
        <v>5.9853505522789723</v>
      </c>
      <c r="T240" s="3087">
        <f ca="1">SUM(L240:S240)</f>
        <v>646.09516915761242</v>
      </c>
      <c r="U240" s="1834">
        <f ca="1">U$191*$D$223*U233</f>
        <v>66.373941199248463</v>
      </c>
      <c r="V240" s="1834">
        <f ca="1">V$191*$D$223*V233</f>
        <v>18.224632256212104</v>
      </c>
      <c r="W240" s="1834">
        <f ca="1">W$191*$D$223*W233</f>
        <v>8.8169107970253453</v>
      </c>
      <c r="X240" s="3088">
        <f ca="1">SUM(T240:W240)</f>
        <v>739.51065341009837</v>
      </c>
      <c r="AA240" s="117">
        <f>ROW()</f>
        <v>240</v>
      </c>
    </row>
    <row r="241" spans="2:27" s="3198" customFormat="1" ht="14.1" customHeight="1">
      <c r="B241" s="265" t="str">
        <f>CONCATENATE("Product of (i) county share of tolled trips from Row ",$AA$191, "; (ii) total peak weekday trips from Row ", AA223, "; and (iii) discounted peak weekday toll from Row ",AA233, ".")</f>
        <v>Product of (i) county share of tolled trips from Row 191; (ii) total peak weekday trips from Row 223; and (iii) discounted peak weekday toll from Row 233.</v>
      </c>
      <c r="G241" s="1834"/>
      <c r="H241" s="1834"/>
      <c r="I241" s="1834"/>
      <c r="J241" s="1834"/>
      <c r="K241" s="1834"/>
      <c r="L241" s="3087"/>
      <c r="M241" s="1834"/>
      <c r="N241" s="1834"/>
      <c r="O241" s="1834"/>
      <c r="P241" s="1834"/>
      <c r="Q241" s="1834"/>
      <c r="R241" s="1834"/>
      <c r="S241" s="1834"/>
      <c r="T241" s="3087"/>
      <c r="U241" s="1834"/>
      <c r="V241" s="1834"/>
      <c r="W241" s="1834"/>
      <c r="X241" s="3088"/>
      <c r="AA241" s="117">
        <f>ROW()</f>
        <v>241</v>
      </c>
    </row>
    <row r="242" spans="2:27" ht="14.1" customHeight="1">
      <c r="B242" s="2" t="s">
        <v>5443</v>
      </c>
      <c r="G242" s="1834">
        <f ca="1">G$191*$D$224*G234</f>
        <v>7.8801844837037862</v>
      </c>
      <c r="H242" s="1834">
        <f ca="1">H$191*$D$224*H234</f>
        <v>12.808268508489119</v>
      </c>
      <c r="I242" s="1834">
        <f ca="1">I$191*$D$224*I234</f>
        <v>4.7409912649107557</v>
      </c>
      <c r="J242" s="1834">
        <f ca="1">J$191*$D$224*J234</f>
        <v>17.87675416978399</v>
      </c>
      <c r="K242" s="1834">
        <f ca="1">K$191*$D$224*K234</f>
        <v>4.6946220626463351</v>
      </c>
      <c r="L242" s="3087">
        <f ca="1">SUM(G242:K242)</f>
        <v>48.000820489533979</v>
      </c>
      <c r="M242" s="1834">
        <f t="shared" ref="M242:S242" ca="1" si="78">M$191*$D$224*M234</f>
        <v>6.691387794143302</v>
      </c>
      <c r="N242" s="1834">
        <f t="shared" ca="1" si="78"/>
        <v>3.0542585108631775</v>
      </c>
      <c r="O242" s="1834">
        <f t="shared" ca="1" si="78"/>
        <v>4.6652769671144707</v>
      </c>
      <c r="P242" s="1834">
        <f t="shared" ca="1" si="78"/>
        <v>1.7588116501823248</v>
      </c>
      <c r="Q242" s="1834">
        <f t="shared" ca="1" si="78"/>
        <v>0.35748650868661452</v>
      </c>
      <c r="R242" s="1834">
        <f t="shared" ca="1" si="78"/>
        <v>0.52595133870061861</v>
      </c>
      <c r="S242" s="1834">
        <f t="shared" ca="1" si="78"/>
        <v>0.55936531882740104</v>
      </c>
      <c r="T242" s="3087">
        <f ca="1">SUM(L242:S242)</f>
        <v>65.613358578051901</v>
      </c>
      <c r="U242" s="1834">
        <f ca="1">U$191*$D$224*U234</f>
        <v>6.2030252792148097</v>
      </c>
      <c r="V242" s="1834">
        <f ca="1">V$191*$D$224*V234</f>
        <v>1.7031963530735363</v>
      </c>
      <c r="W242" s="1834">
        <f ca="1">W$191*$D$224*W234</f>
        <v>0.82399085500062896</v>
      </c>
      <c r="X242" s="3088">
        <f ca="1">SUM(T242:W242)</f>
        <v>74.343571065340882</v>
      </c>
      <c r="AA242" s="117">
        <f>ROW()</f>
        <v>242</v>
      </c>
    </row>
    <row r="243" spans="2:27" s="3198" customFormat="1" ht="14.1" customHeight="1">
      <c r="B243" s="265" t="str">
        <f>CONCATENATE("Product of (i) county share of tolled trips from Row ",$AA$191, "; (ii) total off-peak weekday trips from Row ", AA224, "; and (iii) discounted off-peak weekday toll from Row ",AA234, ".")</f>
        <v>Product of (i) county share of tolled trips from Row 191; (ii) total off-peak weekday trips from Row 224; and (iii) discounted off-peak weekday toll from Row 234.</v>
      </c>
      <c r="G243" s="1834"/>
      <c r="H243" s="1834"/>
      <c r="I243" s="1834"/>
      <c r="J243" s="1834"/>
      <c r="K243" s="1834"/>
      <c r="L243" s="3087"/>
      <c r="M243" s="1834"/>
      <c r="N243" s="1834"/>
      <c r="O243" s="1834"/>
      <c r="P243" s="1834"/>
      <c r="Q243" s="1834"/>
      <c r="R243" s="1834"/>
      <c r="S243" s="1834"/>
      <c r="T243" s="3087"/>
      <c r="U243" s="1834"/>
      <c r="V243" s="1834"/>
      <c r="W243" s="1834"/>
      <c r="X243" s="3088"/>
      <c r="AA243" s="117">
        <f>ROW()</f>
        <v>243</v>
      </c>
    </row>
    <row r="244" spans="2:27" ht="14.1" customHeight="1">
      <c r="B244" s="2" t="s">
        <v>5444</v>
      </c>
      <c r="G244" s="1834">
        <f ca="1">G240+G242</f>
        <v>92.200153856260087</v>
      </c>
      <c r="H244" s="1834">
        <f ca="1">H240+H242</f>
        <v>136.2990781543408</v>
      </c>
      <c r="I244" s="1834">
        <f ca="1">I240+I242</f>
        <v>49.196322166004755</v>
      </c>
      <c r="J244" s="1834">
        <f ca="1">J240+J242</f>
        <v>190.2353243233772</v>
      </c>
      <c r="K244" s="1834">
        <f ca="1">K240+K242</f>
        <v>48.024812777357482</v>
      </c>
      <c r="L244" s="3087">
        <f ca="1">SUM(G244:K244)</f>
        <v>515.95569127734029</v>
      </c>
      <c r="M244" s="1834">
        <f t="shared" ref="M244:S244" ca="1" si="79">M240+M242</f>
        <v>71.206345128575407</v>
      </c>
      <c r="N244" s="1834">
        <f t="shared" ca="1" si="79"/>
        <v>32.501865431677089</v>
      </c>
      <c r="O244" s="1834">
        <f t="shared" ca="1" si="79"/>
        <v>54.584921842825906</v>
      </c>
      <c r="P244" s="1834">
        <f t="shared" ca="1" si="79"/>
        <v>20.578541668198927</v>
      </c>
      <c r="Q244" s="1834">
        <f t="shared" ca="1" si="79"/>
        <v>4.182682673306064</v>
      </c>
      <c r="R244" s="1834">
        <f t="shared" ca="1" si="79"/>
        <v>6.153763842634147</v>
      </c>
      <c r="S244" s="1834">
        <f t="shared" ca="1" si="79"/>
        <v>6.5447158711063729</v>
      </c>
      <c r="T244" s="3087">
        <f ca="1">SUM(L244:S244)</f>
        <v>711.70852773566423</v>
      </c>
      <c r="U244" s="1834">
        <f ca="1">U240+U242</f>
        <v>72.576966478463277</v>
      </c>
      <c r="V244" s="1834">
        <f ca="1">V240+V242</f>
        <v>19.92782860928564</v>
      </c>
      <c r="W244" s="1834">
        <f ca="1">W240+W242</f>
        <v>9.640901652025974</v>
      </c>
      <c r="X244" s="3088">
        <f ca="1">SUM(T244:W244)</f>
        <v>813.85422447543908</v>
      </c>
      <c r="AA244" s="117">
        <f>ROW()</f>
        <v>244</v>
      </c>
    </row>
    <row r="245" spans="2:27" ht="14.1" customHeight="1">
      <c r="B245" s="265" t="str">
        <f>CONCATENATE("Sum of Rows ",AA240, " and ",AA242, ".")</f>
        <v>Sum of Rows 240 and 242.</v>
      </c>
      <c r="AA245" s="117">
        <f>ROW()</f>
        <v>245</v>
      </c>
    </row>
    <row r="246" spans="2:27" ht="14.1" customHeight="1">
      <c r="L246" s="874"/>
      <c r="T246" s="874"/>
      <c r="AA246" s="117">
        <f>ROW()</f>
        <v>246</v>
      </c>
    </row>
    <row r="247" spans="2:27" ht="14.1" customHeight="1">
      <c r="B247" s="2" t="s">
        <v>5445</v>
      </c>
      <c r="G247" s="870">
        <f>G$192*$E$223*G236</f>
        <v>0</v>
      </c>
      <c r="H247" s="870">
        <f>H$192*$E$223*H236</f>
        <v>0</v>
      </c>
      <c r="I247" s="870">
        <f>I$192*$E$223*I236</f>
        <v>0</v>
      </c>
      <c r="J247" s="870">
        <f>J$192*$E$223*J236</f>
        <v>0</v>
      </c>
      <c r="K247" s="870">
        <f>K$192*$E$223*K236</f>
        <v>0</v>
      </c>
      <c r="L247" s="3087">
        <f>SUM(G247:K247)</f>
        <v>0</v>
      </c>
      <c r="M247" s="870">
        <f t="shared" ref="M247:S247" si="80">M$192*$E$223*M236</f>
        <v>0</v>
      </c>
      <c r="N247" s="870">
        <f t="shared" si="80"/>
        <v>0</v>
      </c>
      <c r="O247" s="870">
        <f t="shared" si="80"/>
        <v>0</v>
      </c>
      <c r="P247" s="870">
        <f t="shared" si="80"/>
        <v>0</v>
      </c>
      <c r="Q247" s="870">
        <f t="shared" si="80"/>
        <v>0</v>
      </c>
      <c r="R247" s="870">
        <f t="shared" si="80"/>
        <v>0</v>
      </c>
      <c r="S247" s="870">
        <f t="shared" si="80"/>
        <v>0</v>
      </c>
      <c r="T247" s="3087">
        <f>SUM(L247:S247)</f>
        <v>0</v>
      </c>
      <c r="U247" s="870">
        <f>U$192*$E$223*U236</f>
        <v>0</v>
      </c>
      <c r="V247" s="870">
        <f>V$192*$E$223*V236</f>
        <v>0</v>
      </c>
      <c r="W247" s="870">
        <f>W$192*$E$223*W236</f>
        <v>0</v>
      </c>
      <c r="X247" s="3088">
        <f>SUM(T247:W247)</f>
        <v>0</v>
      </c>
      <c r="AA247" s="117">
        <f>ROW()</f>
        <v>247</v>
      </c>
    </row>
    <row r="248" spans="2:27" s="3198" customFormat="1" ht="14.1" customHeight="1">
      <c r="B248" s="265" t="str">
        <f>CONCATENATE("Product of (i) county share of tolled trips from Row ",$AA$192, "; (ii) total peak weekend trips from Row ", AA223, " which may (under contemplated plan) be zero; and (iii) discounted peak weekend toll from Row ",AA236, ".")</f>
        <v>Product of (i) county share of tolled trips from Row 192; (ii) total peak weekend trips from Row 223 which may (under contemplated plan) be zero; and (iii) discounted peak weekend toll from Row 236.</v>
      </c>
      <c r="G248" s="870"/>
      <c r="H248" s="870"/>
      <c r="I248" s="870"/>
      <c r="J248" s="870"/>
      <c r="K248" s="870"/>
      <c r="L248" s="3087"/>
      <c r="M248" s="870"/>
      <c r="N248" s="870"/>
      <c r="O248" s="870"/>
      <c r="P248" s="870"/>
      <c r="Q248" s="870"/>
      <c r="R248" s="870"/>
      <c r="S248" s="870"/>
      <c r="T248" s="3087"/>
      <c r="U248" s="870"/>
      <c r="V248" s="870"/>
      <c r="W248" s="870"/>
      <c r="X248" s="3088"/>
      <c r="AA248" s="117">
        <f>ROW()</f>
        <v>248</v>
      </c>
    </row>
    <row r="249" spans="2:27" ht="14.1" customHeight="1">
      <c r="B249" s="2" t="s">
        <v>5446</v>
      </c>
      <c r="G249" s="1834">
        <f ca="1">G$192*$E$224*G237</f>
        <v>14.098726275109664</v>
      </c>
      <c r="H249" s="1834">
        <f ca="1">H$192*$E$224*H237</f>
        <v>22.915741647005216</v>
      </c>
      <c r="I249" s="1834">
        <f ca="1">I$192*$E$224*I237</f>
        <v>8.2006849402645194</v>
      </c>
      <c r="J249" s="1834">
        <f ca="1">J$192*$E$224*J237</f>
        <v>31.983954721926512</v>
      </c>
      <c r="K249" s="1834">
        <f ca="1">K$192*$E$224*K237</f>
        <v>8.3993200366334708</v>
      </c>
      <c r="L249" s="3087">
        <f ca="1">SUM(G249:K249)</f>
        <v>85.598427620939376</v>
      </c>
      <c r="M249" s="1834">
        <f t="shared" ref="M249:S249" ca="1" si="81">M$192*$E$224*M237</f>
        <v>11.97180663794501</v>
      </c>
      <c r="N249" s="1834">
        <f t="shared" ca="1" si="81"/>
        <v>5.4644856103476265</v>
      </c>
      <c r="O249" s="1834">
        <f t="shared" ca="1" si="81"/>
        <v>8.3468176529295999</v>
      </c>
      <c r="P249" s="1834">
        <f t="shared" ca="1" si="81"/>
        <v>3.1467542513344338</v>
      </c>
      <c r="Q249" s="1834">
        <f t="shared" ca="1" si="81"/>
        <v>0.63959218764993653</v>
      </c>
      <c r="R249" s="1834">
        <f t="shared" ca="1" si="81"/>
        <v>0.94099877657715114</v>
      </c>
      <c r="S249" s="1834">
        <f t="shared" ca="1" si="81"/>
        <v>1.0007809505279874</v>
      </c>
      <c r="T249" s="3087">
        <f ca="1">SUM(L249:S249)</f>
        <v>117.1096636882511</v>
      </c>
      <c r="U249" s="1834">
        <f ca="1">U$192*$E$224*U237</f>
        <v>11.098059400778197</v>
      </c>
      <c r="V249" s="1834">
        <f ca="1">V$192*$E$224*V237</f>
        <v>3.0472508891647743</v>
      </c>
      <c r="W249" s="1834">
        <f ca="1">W$192*$E$224*W237</f>
        <v>1.4742321758928167</v>
      </c>
      <c r="X249" s="3088">
        <f ca="1">SUM(T249:W249)</f>
        <v>132.72920615408688</v>
      </c>
      <c r="AA249" s="117">
        <f>ROW()</f>
        <v>249</v>
      </c>
    </row>
    <row r="250" spans="2:27" ht="14.1" customHeight="1">
      <c r="B250" s="265" t="str">
        <f>CONCATENATE("Product of (i) county share of tolled trips from Row ",$AA$192, "; (ii) total off-peak weekend trips from Row ", AA224, "; and (iii) discounted off-peak weekend toll from Row ",AA237, ".")</f>
        <v>Product of (i) county share of tolled trips from Row 192; (ii) total off-peak weekend trips from Row 224; and (iii) discounted off-peak weekend toll from Row 237.</v>
      </c>
      <c r="L250" s="874"/>
      <c r="T250" s="874"/>
      <c r="AA250" s="117">
        <f>ROW()</f>
        <v>250</v>
      </c>
    </row>
    <row r="251" spans="2:27" ht="14.1" customHeight="1">
      <c r="B251" s="2" t="s">
        <v>5447</v>
      </c>
      <c r="G251" s="1834">
        <f ca="1">G247+G249</f>
        <v>14.098726275109664</v>
      </c>
      <c r="H251" s="1834">
        <f ca="1">H247+H249</f>
        <v>22.915741647005216</v>
      </c>
      <c r="I251" s="1834">
        <f ca="1">I247+I249</f>
        <v>8.2006849402645194</v>
      </c>
      <c r="J251" s="1834">
        <f ca="1">J247+J249</f>
        <v>31.983954721926512</v>
      </c>
      <c r="K251" s="1834">
        <f ca="1">K247+K249</f>
        <v>8.3993200366334708</v>
      </c>
      <c r="L251" s="3087">
        <f ca="1">SUM(G251:K251)</f>
        <v>85.598427620939376</v>
      </c>
      <c r="M251" s="1834">
        <f t="shared" ref="M251:S251" ca="1" si="82">M247+M249</f>
        <v>11.97180663794501</v>
      </c>
      <c r="N251" s="1834">
        <f t="shared" ca="1" si="82"/>
        <v>5.4644856103476265</v>
      </c>
      <c r="O251" s="1834">
        <f t="shared" ca="1" si="82"/>
        <v>8.3468176529295999</v>
      </c>
      <c r="P251" s="1834">
        <f t="shared" ca="1" si="82"/>
        <v>3.1467542513344338</v>
      </c>
      <c r="Q251" s="1834">
        <f t="shared" ca="1" si="82"/>
        <v>0.63959218764993653</v>
      </c>
      <c r="R251" s="1834">
        <f t="shared" ca="1" si="82"/>
        <v>0.94099877657715114</v>
      </c>
      <c r="S251" s="1834">
        <f t="shared" ca="1" si="82"/>
        <v>1.0007809505279874</v>
      </c>
      <c r="T251" s="3087">
        <f ca="1">SUM(L251:S251)</f>
        <v>117.1096636882511</v>
      </c>
      <c r="U251" s="1834">
        <f ca="1">U247+U249</f>
        <v>11.098059400778197</v>
      </c>
      <c r="V251" s="1834">
        <f ca="1">V247+V249</f>
        <v>3.0472508891647743</v>
      </c>
      <c r="W251" s="1834">
        <f ca="1">W247+W249</f>
        <v>1.4742321758928167</v>
      </c>
      <c r="X251" s="3088">
        <f ca="1">SUM(T251:W251)</f>
        <v>132.72920615408688</v>
      </c>
      <c r="AA251" s="117">
        <f>ROW()</f>
        <v>251</v>
      </c>
    </row>
    <row r="252" spans="2:27" ht="14.1" customHeight="1">
      <c r="B252" s="265" t="str">
        <f>CONCATENATE("Sum of Rows ",AA247, " and ",AA249, ".")</f>
        <v>Sum of Rows 247 and 249.</v>
      </c>
      <c r="L252" s="874"/>
      <c r="T252" s="874"/>
      <c r="AA252" s="117">
        <f>ROW()</f>
        <v>252</v>
      </c>
    </row>
    <row r="253" spans="2:27" s="3198" customFormat="1" ht="14.1" customHeight="1">
      <c r="B253" s="265"/>
      <c r="G253" s="3080" t="str">
        <f>G225</f>
        <v>Bronx</v>
      </c>
      <c r="H253" s="3080" t="str">
        <f>H225</f>
        <v>Brooklyn</v>
      </c>
      <c r="I253" s="3080" t="str">
        <f>I225</f>
        <v>Manhattan</v>
      </c>
      <c r="J253" s="3080" t="str">
        <f>J225</f>
        <v>Queens</v>
      </c>
      <c r="K253" s="3080" t="str">
        <f>K225</f>
        <v>S.I.</v>
      </c>
      <c r="L253" s="874"/>
      <c r="M253" s="3080" t="str">
        <f t="shared" ref="M253:S253" si="83">M225</f>
        <v>Nassau</v>
      </c>
      <c r="N253" s="3080" t="str">
        <f t="shared" si="83"/>
        <v>Suffolk</v>
      </c>
      <c r="O253" s="3080" t="str">
        <f t="shared" si="83"/>
        <v>Westchester</v>
      </c>
      <c r="P253" s="3080" t="str">
        <f t="shared" si="83"/>
        <v>Rockland</v>
      </c>
      <c r="Q253" s="3080" t="str">
        <f t="shared" si="83"/>
        <v>Putnam</v>
      </c>
      <c r="R253" s="3080" t="str">
        <f t="shared" si="83"/>
        <v>Dutchess</v>
      </c>
      <c r="S253" s="3080" t="str">
        <f t="shared" si="83"/>
        <v>Orange</v>
      </c>
      <c r="T253" s="874"/>
      <c r="U253" s="3080" t="str">
        <f>U225</f>
        <v>NJ</v>
      </c>
      <c r="V253" s="3080" t="str">
        <f>V225</f>
        <v>CT</v>
      </c>
      <c r="W253" s="3080" t="str">
        <f>W225</f>
        <v>Other</v>
      </c>
      <c r="X253" s="3080" t="str">
        <f>X225</f>
        <v>Total</v>
      </c>
      <c r="AA253" s="117">
        <f>ROW()</f>
        <v>253</v>
      </c>
    </row>
    <row r="254" spans="2:27" ht="14.1" customHeight="1">
      <c r="B254" s="2" t="s">
        <v>5448</v>
      </c>
      <c r="G254" s="3100">
        <f ca="1">G244+G251</f>
        <v>106.29888013136976</v>
      </c>
      <c r="H254" s="3100">
        <f ca="1">H244+H251</f>
        <v>159.21481980134601</v>
      </c>
      <c r="I254" s="3100">
        <f ca="1">I244+I251</f>
        <v>57.397007106269271</v>
      </c>
      <c r="J254" s="3100">
        <f ca="1">J244+J251</f>
        <v>222.21927904530372</v>
      </c>
      <c r="K254" s="3100">
        <f ca="1">K244+K251</f>
        <v>56.424132813990951</v>
      </c>
      <c r="L254" s="3087">
        <f ca="1">SUM(G254:K254)</f>
        <v>601.55411889827963</v>
      </c>
      <c r="M254" s="3100">
        <f t="shared" ref="M254:S254" ca="1" si="84">M244+M251</f>
        <v>83.178151766520415</v>
      </c>
      <c r="N254" s="3100">
        <f t="shared" ca="1" si="84"/>
        <v>37.966351042024712</v>
      </c>
      <c r="O254" s="3100">
        <f t="shared" ca="1" si="84"/>
        <v>62.931739495755508</v>
      </c>
      <c r="P254" s="3100">
        <f t="shared" ca="1" si="84"/>
        <v>23.725295919533359</v>
      </c>
      <c r="Q254" s="3100">
        <f t="shared" ca="1" si="84"/>
        <v>4.8222748609560009</v>
      </c>
      <c r="R254" s="3100">
        <f t="shared" ca="1" si="84"/>
        <v>7.0947626192112985</v>
      </c>
      <c r="S254" s="3100">
        <f t="shared" ca="1" si="84"/>
        <v>7.5454968216343605</v>
      </c>
      <c r="T254" s="3087">
        <f ca="1">SUM(L254:S254)</f>
        <v>828.81819142391532</v>
      </c>
      <c r="U254" s="3100">
        <f ca="1">U244+U251</f>
        <v>83.675025879241474</v>
      </c>
      <c r="V254" s="3100">
        <f ca="1">V244+V251</f>
        <v>22.975079498450416</v>
      </c>
      <c r="W254" s="3100">
        <f ca="1">W244+W251</f>
        <v>11.115133827918791</v>
      </c>
      <c r="X254" s="3088">
        <f ca="1">SUM(T254:W254)</f>
        <v>946.58343062952611</v>
      </c>
      <c r="AA254" s="117">
        <f>ROW()</f>
        <v>254</v>
      </c>
    </row>
    <row r="255" spans="2:27" ht="14.1" customHeight="1">
      <c r="B255" s="265" t="str">
        <f>CONCATENATE("Sum of Rows ",AA244, " and ",AA251, ".")</f>
        <v>Sum of Rows 244 and 251.</v>
      </c>
      <c r="L255" s="1955"/>
      <c r="T255" s="1955"/>
      <c r="AA255" s="117">
        <f>ROW()</f>
        <v>255</v>
      </c>
    </row>
    <row r="256" spans="2:27" ht="14.1" customHeight="1">
      <c r="B256" s="2" t="s">
        <v>5498</v>
      </c>
      <c r="G256" s="2082">
        <f ca="1">G254/$X$254</f>
        <v>0.11229742322943008</v>
      </c>
      <c r="H256" s="2082">
        <f ca="1">H254/$X$254</f>
        <v>0.1681994578073906</v>
      </c>
      <c r="I256" s="2082">
        <f ca="1">I254/$X$254</f>
        <v>6.0635972751073131E-2</v>
      </c>
      <c r="J256" s="2082">
        <f ca="1">J254/$X$254</f>
        <v>0.2347593163526184</v>
      </c>
      <c r="K256" s="2082">
        <f ca="1">K254/$X$254</f>
        <v>5.9608198272038247E-2</v>
      </c>
      <c r="L256" s="1955"/>
      <c r="M256" s="2082">
        <f t="shared" ref="M256:S256" ca="1" si="85">M254/$X$254</f>
        <v>8.7871971001227775E-2</v>
      </c>
      <c r="N256" s="2082">
        <f t="shared" ca="1" si="85"/>
        <v>4.010882698081368E-2</v>
      </c>
      <c r="O256" s="2082">
        <f t="shared" ca="1" si="85"/>
        <v>6.6483035155076295E-2</v>
      </c>
      <c r="P256" s="2082">
        <f t="shared" ca="1" si="85"/>
        <v>2.5064136083340093E-2</v>
      </c>
      <c r="Q256" s="2082">
        <f t="shared" ca="1" si="85"/>
        <v>5.0944002450464855E-3</v>
      </c>
      <c r="R256" s="2082">
        <f t="shared" ca="1" si="85"/>
        <v>7.4951265674415204E-3</v>
      </c>
      <c r="S256" s="2082">
        <f t="shared" ca="1" si="85"/>
        <v>7.9712961134511106E-3</v>
      </c>
      <c r="T256" s="1955"/>
      <c r="U256" s="2082">
        <f ca="1">U254/$X$254</f>
        <v>8.8396884174903975E-2</v>
      </c>
      <c r="V256" s="2082">
        <f ca="1">V254/$X$254</f>
        <v>2.4271584262964354E-2</v>
      </c>
      <c r="W256" s="2082">
        <f ca="1">W254/$X$254</f>
        <v>1.1742371003184223E-2</v>
      </c>
      <c r="X256" s="2082">
        <f ca="1">X254/$X$254</f>
        <v>1</v>
      </c>
      <c r="AA256" s="117">
        <f>ROW()</f>
        <v>256</v>
      </c>
    </row>
    <row r="257" spans="2:27" s="3198" customFormat="1" ht="14.1" customHeight="1">
      <c r="B257" s="3033" t="str">
        <f>CONCATENATE("Ratio of respective columns in Row ",AA254, " to Row Total in Cell X",AA254, ".")</f>
        <v>Ratio of respective columns in Row 254 to Row Total in Cell X254.</v>
      </c>
      <c r="G257" s="2082"/>
      <c r="H257" s="2082"/>
      <c r="I257" s="2082"/>
      <c r="J257" s="2082"/>
      <c r="K257" s="2082"/>
      <c r="L257" s="1955"/>
      <c r="M257" s="2082"/>
      <c r="N257" s="2082"/>
      <c r="O257" s="2082"/>
      <c r="P257" s="2082"/>
      <c r="Q257" s="2082"/>
      <c r="R257" s="2082"/>
      <c r="S257" s="2082"/>
      <c r="T257" s="1955"/>
      <c r="U257" s="2082"/>
      <c r="V257" s="2082"/>
      <c r="W257" s="2082"/>
      <c r="X257" s="2082"/>
      <c r="AA257" s="117">
        <f>ROW()</f>
        <v>257</v>
      </c>
    </row>
    <row r="258" spans="2:27" ht="14.1" customHeight="1">
      <c r="L258" s="1955"/>
      <c r="T258" s="1955"/>
      <c r="AA258" s="117">
        <f>ROW()</f>
        <v>258</v>
      </c>
    </row>
    <row r="259" spans="2:27" ht="14.1" customHeight="1">
      <c r="B259" s="2" t="s">
        <v>5598</v>
      </c>
      <c r="L259" s="1955"/>
      <c r="T259" s="1955"/>
      <c r="AA259" s="117">
        <f>ROW()</f>
        <v>259</v>
      </c>
    </row>
    <row r="260" spans="2:27" ht="14.1" customHeight="1">
      <c r="L260" s="1955"/>
      <c r="T260" s="1955"/>
      <c r="AA260" s="117">
        <f>ROW()</f>
        <v>260</v>
      </c>
    </row>
    <row r="261" spans="2:27" ht="14.1" customHeight="1">
      <c r="B261" t="s">
        <v>278</v>
      </c>
      <c r="L261" s="1955"/>
      <c r="T261" s="1955"/>
      <c r="X261" s="3088">
        <f ca="1">Revenues!M49</f>
        <v>160.36515907064711</v>
      </c>
      <c r="AA261" s="117">
        <f>ROW()</f>
        <v>261</v>
      </c>
    </row>
    <row r="262" spans="2:27" ht="14.1" customHeight="1">
      <c r="B262" s="265" t="str">
        <f>CONCATENATE("From 'Revenue' worksheet, Cell M",Revenues!Q49, ".")</f>
        <v>From 'Revenue' worksheet, Cell M49.</v>
      </c>
      <c r="L262" s="50"/>
      <c r="T262" s="50"/>
      <c r="X262" s="3088"/>
      <c r="AA262" s="117">
        <f>ROW()</f>
        <v>262</v>
      </c>
    </row>
    <row r="263" spans="2:27" ht="14.1" customHeight="1">
      <c r="B263" t="s">
        <v>105</v>
      </c>
      <c r="G263" s="12">
        <v>0.01</v>
      </c>
      <c r="H263" s="12">
        <v>7.0000000000000007E-2</v>
      </c>
      <c r="I263" s="12">
        <v>0.7</v>
      </c>
      <c r="J263" s="12">
        <v>0.06</v>
      </c>
      <c r="K263" s="12">
        <v>5.0000000000000001E-3</v>
      </c>
      <c r="L263" s="877">
        <f>SUM(G263:K263)</f>
        <v>0.84499999999999986</v>
      </c>
      <c r="M263" s="12">
        <v>0.01</v>
      </c>
      <c r="N263" s="12">
        <v>5.0000000000000001E-3</v>
      </c>
      <c r="O263" s="12">
        <v>0.03</v>
      </c>
      <c r="P263" s="12">
        <v>4.0000000000000001E-3</v>
      </c>
      <c r="Q263" s="12">
        <v>2E-3</v>
      </c>
      <c r="R263" s="12">
        <v>2E-3</v>
      </c>
      <c r="S263" s="12">
        <v>2E-3</v>
      </c>
      <c r="T263" s="877">
        <f>SUM(L263:S263)</f>
        <v>0.89999999999999991</v>
      </c>
      <c r="U263" s="12">
        <v>0.03</v>
      </c>
      <c r="V263" s="12">
        <f>2/3*O263</f>
        <v>1.9999999999999997E-2</v>
      </c>
      <c r="W263" s="12">
        <f>X263-T263-V263-U263</f>
        <v>5.00000000000001E-2</v>
      </c>
      <c r="X263" s="858">
        <v>1</v>
      </c>
      <c r="AA263" s="117">
        <f>ROW()</f>
        <v>263</v>
      </c>
    </row>
    <row r="264" spans="2:27" ht="14.1" customHeight="1">
      <c r="B264" s="3754" t="str">
        <f>CONCATENATE("Komanoff assumptions. Most critical of course is the percentage for Manhattan, which we have estimated on the basis of a statistic in Schaller's NYC Taxicab Fact Book that Manhattan adults hail cabs an average of 100 times a year (p. 2). ") &amp; CONCATENATE("Assuming that 80% of Manhattan residents are adults and dividing by another Schaller statistic, ",Taxis!L75, " million total taxi trips a year (p. 3), yields 75%. (Schaller report is referenced in 'Taxis' worksheet.) Somewhat separately, a pie chart in Schaller book (p. 6) divides taxi passengers as") &amp; CONCATENATE(" follows: Manhattan residents, 71%; residents of other boroughs, 10%, suburbs, 5%, and other U.S. plus foreign, 14%.")</f>
        <v>Komanoff assumptions. Most critical of course is the percentage for Manhattan, which we have estimated on the basis of a statistic in Schaller's NYC Taxicab Fact Book that Manhattan adults hail cabs an average of 100 times a year (p. 2). Assuming that 80% of Manhattan residents are adults and dividing by another Schaller statistic, 172 million total taxi trips a year (p. 3), yields 75%. (Schaller report is referenced in 'Taxis' worksheet.) Somewhat separately, a pie chart in Schaller book (p. 6) divides taxi passengers as follows: Manhattan residents, 71%; residents of other boroughs, 10%, suburbs, 5%, and other U.S. plus foreign, 14%.</v>
      </c>
      <c r="C264" s="3659"/>
      <c r="D264" s="3659"/>
      <c r="E264" s="3659"/>
      <c r="F264" s="3659"/>
      <c r="G264" s="3659"/>
      <c r="H264" s="3659"/>
      <c r="I264" s="3659"/>
      <c r="J264" s="3659"/>
      <c r="K264" s="3659"/>
      <c r="L264" s="877"/>
      <c r="M264" s="12"/>
      <c r="N264" s="12"/>
      <c r="O264" s="12"/>
      <c r="P264" s="12"/>
      <c r="Q264" s="12"/>
      <c r="R264" s="12"/>
      <c r="S264" s="12"/>
      <c r="T264" s="878"/>
      <c r="U264" s="12"/>
      <c r="V264" s="12"/>
      <c r="W264" s="12"/>
      <c r="X264" s="858"/>
      <c r="AA264" s="117">
        <f>ROW()</f>
        <v>264</v>
      </c>
    </row>
    <row r="265" spans="2:27" ht="14.1" customHeight="1">
      <c r="B265" s="3659"/>
      <c r="C265" s="3659"/>
      <c r="D265" s="3659"/>
      <c r="E265" s="3659"/>
      <c r="F265" s="3659"/>
      <c r="G265" s="3659"/>
      <c r="H265" s="3659"/>
      <c r="I265" s="3659"/>
      <c r="J265" s="3659"/>
      <c r="K265" s="3659"/>
      <c r="L265" s="877"/>
      <c r="M265" s="12"/>
      <c r="N265" s="12"/>
      <c r="O265" s="12"/>
      <c r="P265" s="12"/>
      <c r="Q265" s="12"/>
      <c r="R265" s="12"/>
      <c r="S265" s="12"/>
      <c r="T265" s="878"/>
      <c r="U265" s="12"/>
      <c r="V265" s="12"/>
      <c r="W265" s="12"/>
      <c r="X265" s="858"/>
      <c r="AA265" s="117">
        <f>ROW()</f>
        <v>265</v>
      </c>
    </row>
    <row r="266" spans="2:27" ht="14.1" customHeight="1">
      <c r="B266" s="3659"/>
      <c r="C266" s="3659"/>
      <c r="D266" s="3659"/>
      <c r="E266" s="3659"/>
      <c r="F266" s="3659"/>
      <c r="G266" s="3659"/>
      <c r="H266" s="3659"/>
      <c r="I266" s="3659"/>
      <c r="J266" s="3659"/>
      <c r="K266" s="3659"/>
      <c r="L266" s="877"/>
      <c r="M266" s="12"/>
      <c r="N266" s="12"/>
      <c r="O266" s="12"/>
      <c r="P266" s="12"/>
      <c r="Q266" s="12"/>
      <c r="R266" s="12"/>
      <c r="S266" s="12"/>
      <c r="T266" s="878"/>
      <c r="U266" s="12"/>
      <c r="V266" s="12"/>
      <c r="W266" s="12"/>
      <c r="X266" s="858"/>
      <c r="AA266" s="117">
        <f>ROW()</f>
        <v>266</v>
      </c>
    </row>
    <row r="267" spans="2:27" ht="14.1" customHeight="1">
      <c r="B267" s="3659"/>
      <c r="C267" s="3659"/>
      <c r="D267" s="3659"/>
      <c r="E267" s="3659"/>
      <c r="F267" s="3659"/>
      <c r="G267" s="3659"/>
      <c r="H267" s="3659"/>
      <c r="I267" s="3659"/>
      <c r="J267" s="3659"/>
      <c r="K267" s="3659"/>
      <c r="L267" s="877"/>
      <c r="M267" s="12"/>
      <c r="N267" s="12"/>
      <c r="O267" s="12"/>
      <c r="P267" s="12"/>
      <c r="Q267" s="12"/>
      <c r="R267" s="12"/>
      <c r="S267" s="12"/>
      <c r="T267" s="878"/>
      <c r="U267" s="12"/>
      <c r="V267" s="12"/>
      <c r="W267" s="12"/>
      <c r="X267" s="858"/>
      <c r="AA267" s="117">
        <f>ROW()</f>
        <v>267</v>
      </c>
    </row>
    <row r="268" spans="2:27" ht="14.1" customHeight="1">
      <c r="B268" s="3659"/>
      <c r="C268" s="3659"/>
      <c r="D268" s="3659"/>
      <c r="E268" s="3659"/>
      <c r="F268" s="3659"/>
      <c r="G268" s="3659"/>
      <c r="H268" s="3659"/>
      <c r="I268" s="3659"/>
      <c r="J268" s="3659"/>
      <c r="K268" s="3659"/>
      <c r="L268" s="877"/>
      <c r="M268" s="12"/>
      <c r="N268" s="12"/>
      <c r="O268" s="12"/>
      <c r="P268" s="12"/>
      <c r="Q268" s="12"/>
      <c r="R268" s="12"/>
      <c r="S268" s="12"/>
      <c r="T268" s="878"/>
      <c r="U268" s="12"/>
      <c r="V268" s="12"/>
      <c r="W268" s="12"/>
      <c r="X268" s="858"/>
      <c r="AA268" s="117">
        <f>ROW()</f>
        <v>268</v>
      </c>
    </row>
    <row r="269" spans="2:27" ht="14.1" customHeight="1">
      <c r="B269" t="s">
        <v>279</v>
      </c>
      <c r="G269" s="1834">
        <f ca="1">G263*$X$261</f>
        <v>1.6036515907064712</v>
      </c>
      <c r="H269" s="1834">
        <f ca="1">H263*$X$261</f>
        <v>11.225561134945298</v>
      </c>
      <c r="I269" s="1834">
        <f ca="1">I263*$X$261</f>
        <v>112.25561134945296</v>
      </c>
      <c r="J269" s="1834">
        <f ca="1">J263*$X$261</f>
        <v>9.6219095442388269</v>
      </c>
      <c r="K269" s="1834">
        <f ca="1">K263*$X$261</f>
        <v>0.80182579535323562</v>
      </c>
      <c r="L269" s="3087">
        <f ca="1">SUM(G269:K269)</f>
        <v>135.5085594146968</v>
      </c>
      <c r="M269" s="1834">
        <f t="shared" ref="M269:S269" ca="1" si="86">M263*$X$261</f>
        <v>1.6036515907064712</v>
      </c>
      <c r="N269" s="1834">
        <f t="shared" ca="1" si="86"/>
        <v>0.80182579535323562</v>
      </c>
      <c r="O269" s="1834">
        <f t="shared" ca="1" si="86"/>
        <v>4.8109547721194135</v>
      </c>
      <c r="P269" s="1834">
        <f t="shared" ca="1" si="86"/>
        <v>0.64146063628258843</v>
      </c>
      <c r="Q269" s="1834">
        <f t="shared" ca="1" si="86"/>
        <v>0.32073031814129421</v>
      </c>
      <c r="R269" s="1834">
        <f t="shared" ca="1" si="86"/>
        <v>0.32073031814129421</v>
      </c>
      <c r="S269" s="1834">
        <f t="shared" ca="1" si="86"/>
        <v>0.32073031814129421</v>
      </c>
      <c r="T269" s="3087">
        <f ca="1">SUM(L269:S269)</f>
        <v>144.32864316358243</v>
      </c>
      <c r="U269" s="1834">
        <f ca="1">U263*$X$261</f>
        <v>4.8109547721194135</v>
      </c>
      <c r="V269" s="1834">
        <f ca="1">V263*$X$261</f>
        <v>3.2073031814129416</v>
      </c>
      <c r="W269" s="1834">
        <f ca="1">W263*$X$261</f>
        <v>8.0182579535323715</v>
      </c>
      <c r="X269" s="3088">
        <f ca="1">SUM(T269:W269)</f>
        <v>160.36515907064717</v>
      </c>
      <c r="AA269" s="117">
        <f>ROW()</f>
        <v>269</v>
      </c>
    </row>
    <row r="270" spans="2:27" ht="14.1" customHeight="1">
      <c r="B270" s="265" t="str">
        <f>CONCATENATE("Calculated by multiplying %'s in Row ",AA263, " by annual revenue from taxi surcharge in Cell X",AA261, ".")</f>
        <v>Calculated by multiplying %'s in Row 263 by annual revenue from taxi surcharge in Cell X261.</v>
      </c>
      <c r="G270" s="872"/>
      <c r="H270" s="872"/>
      <c r="I270" s="872"/>
      <c r="J270" s="872"/>
      <c r="K270" s="872"/>
      <c r="L270" s="876"/>
      <c r="M270" s="872"/>
      <c r="N270" s="872"/>
      <c r="O270" s="872"/>
      <c r="P270" s="872"/>
      <c r="Q270" s="872"/>
      <c r="R270" s="872"/>
      <c r="S270" s="872"/>
      <c r="T270" s="876"/>
      <c r="U270" s="872"/>
      <c r="V270" s="872"/>
      <c r="W270" s="872"/>
      <c r="X270" s="2245"/>
      <c r="AA270" s="117">
        <f>ROW()</f>
        <v>270</v>
      </c>
    </row>
    <row r="271" spans="2:27" ht="14.1" customHeight="1">
      <c r="B271" s="2" t="s">
        <v>5584</v>
      </c>
      <c r="C271" s="6"/>
      <c r="D271" s="6"/>
      <c r="E271" s="6"/>
      <c r="F271" s="6"/>
      <c r="G271" s="3100">
        <f ca="1">G254+G269</f>
        <v>107.90253172207623</v>
      </c>
      <c r="H271" s="3100">
        <f ca="1">H254+H269</f>
        <v>170.44038093629132</v>
      </c>
      <c r="I271" s="3100">
        <f ca="1">I254+I269</f>
        <v>169.65261845572223</v>
      </c>
      <c r="J271" s="3100">
        <f ca="1">J254+J269</f>
        <v>231.84118858954255</v>
      </c>
      <c r="K271" s="3100">
        <f ca="1">K254+K269</f>
        <v>57.22595860934419</v>
      </c>
      <c r="L271" s="3087">
        <f ca="1">SUM(G271:K271)</f>
        <v>737.06267831297646</v>
      </c>
      <c r="M271" s="3100">
        <f t="shared" ref="M271:S271" ca="1" si="87">M254+M269</f>
        <v>84.781803357226892</v>
      </c>
      <c r="N271" s="3100">
        <f t="shared" ca="1" si="87"/>
        <v>38.768176837377951</v>
      </c>
      <c r="O271" s="3100">
        <f t="shared" ca="1" si="87"/>
        <v>67.742694267874924</v>
      </c>
      <c r="P271" s="3100">
        <f t="shared" ca="1" si="87"/>
        <v>24.366756555815947</v>
      </c>
      <c r="Q271" s="3100">
        <f t="shared" ca="1" si="87"/>
        <v>5.1430051790972948</v>
      </c>
      <c r="R271" s="3100">
        <f t="shared" ca="1" si="87"/>
        <v>7.4154929373525924</v>
      </c>
      <c r="S271" s="3100">
        <f t="shared" ca="1" si="87"/>
        <v>7.8662271397756545</v>
      </c>
      <c r="T271" s="3087">
        <f ca="1">SUM(L271:S271)</f>
        <v>973.14683458749766</v>
      </c>
      <c r="U271" s="3100">
        <f ca="1">U254+U269</f>
        <v>88.48598065136089</v>
      </c>
      <c r="V271" s="3100">
        <f ca="1">V254+V269</f>
        <v>26.182382679863359</v>
      </c>
      <c r="W271" s="3100">
        <f ca="1">W254+W269</f>
        <v>19.133391781451163</v>
      </c>
      <c r="X271" s="3100">
        <f ca="1">X254+X269</f>
        <v>1106.9485897001732</v>
      </c>
      <c r="AA271" s="117">
        <f>ROW()</f>
        <v>271</v>
      </c>
    </row>
    <row r="272" spans="2:27" ht="14.1" customHeight="1">
      <c r="B272" s="265" t="str">
        <f>CONCATENATE("Sum of Rows ",AA254, " and ",AA269, ".")</f>
        <v>Sum of Rows 254 and 269.</v>
      </c>
      <c r="L272" s="876"/>
      <c r="T272" s="51"/>
      <c r="X272" s="812"/>
      <c r="AA272" s="117">
        <f>ROW()</f>
        <v>272</v>
      </c>
    </row>
    <row r="273" spans="2:27" s="2" customFormat="1" ht="14.1" customHeight="1">
      <c r="B273" s="2" t="s">
        <v>5535</v>
      </c>
      <c r="G273" s="2082">
        <f ca="1">ROUND(IF($X$271=0,"NA",G271/$X$271)*100,1)/100</f>
        <v>9.6999999999999989E-2</v>
      </c>
      <c r="H273" s="2082">
        <f ca="1">ROUND(IF($X$271=0,"NA",H271/$X$271)*100,1)/100</f>
        <v>0.154</v>
      </c>
      <c r="I273" s="2082">
        <f ca="1">ROUND(IF($X$271=0,"NA",I271/$X$271)*100,1)/100</f>
        <v>0.153</v>
      </c>
      <c r="J273" s="2082">
        <f ca="1">ROUND(IF($X$271=0,"NA",J271/$X$271)*100,1)/100</f>
        <v>0.20899999999999999</v>
      </c>
      <c r="K273" s="2082">
        <f ca="1">ROUND(IF($X$271=0,"NA",K271/$X$271)*100,1)/100</f>
        <v>5.2000000000000005E-2</v>
      </c>
      <c r="L273" s="3203">
        <f ca="1">SUM(G273:K273)</f>
        <v>0.66500000000000004</v>
      </c>
      <c r="M273" s="2082">
        <f t="shared" ref="M273:S273" ca="1" si="88">ROUND(IF($X$271=0,"NA",M271/$X$271)*100,1)/100</f>
        <v>7.6999999999999999E-2</v>
      </c>
      <c r="N273" s="2082">
        <f t="shared" ca="1" si="88"/>
        <v>3.5000000000000003E-2</v>
      </c>
      <c r="O273" s="2082">
        <f t="shared" ca="1" si="88"/>
        <v>6.0999999999999999E-2</v>
      </c>
      <c r="P273" s="2082">
        <f t="shared" ca="1" si="88"/>
        <v>2.2000000000000002E-2</v>
      </c>
      <c r="Q273" s="2082">
        <f t="shared" ca="1" si="88"/>
        <v>5.0000000000000001E-3</v>
      </c>
      <c r="R273" s="2082">
        <f t="shared" ca="1" si="88"/>
        <v>6.9999999999999993E-3</v>
      </c>
      <c r="S273" s="2082">
        <f t="shared" ca="1" si="88"/>
        <v>6.9999999999999993E-3</v>
      </c>
      <c r="T273" s="3203">
        <f ca="1">T271/$X$271</f>
        <v>0.87912559231958831</v>
      </c>
      <c r="U273" s="2082">
        <f ca="1">ROUND(IF($X$271=0,"NA",U271/$X$271)*100,1)/100</f>
        <v>0.08</v>
      </c>
      <c r="V273" s="2082">
        <f ca="1">ROUND(IF($X$271=0,"NA",V271/$X$271)*100,1)/100</f>
        <v>2.4E-2</v>
      </c>
      <c r="W273" s="2082">
        <f ca="1">ROUND(IF($X$271=0,"NA",W271/$X$271)*100,1)/100</f>
        <v>1.7000000000000001E-2</v>
      </c>
      <c r="X273" s="2082">
        <f ca="1">IF($X$271=0,"NA",X271/$X$271)</f>
        <v>1</v>
      </c>
      <c r="AA273" s="1824">
        <f>ROW()</f>
        <v>273</v>
      </c>
    </row>
    <row r="274" spans="2:27" ht="14.1" customHeight="1">
      <c r="B274" s="3033" t="str">
        <f>CONCATENATE("Ratio of respective columns in Row ",AA271, " to Row Total in Cell X",AA271, ". Formula includes 'IF' statement to avert dividing by zero in the event user selected 'Baseline' scenario.")</f>
        <v>Ratio of respective columns in Row 271 to Row Total in Cell X271. Formula includes 'IF' statement to avert dividing by zero in the event user selected 'Baseline' scenario.</v>
      </c>
      <c r="L274" s="1955"/>
      <c r="T274" s="1955"/>
      <c r="AA274" s="117">
        <f>ROW()</f>
        <v>274</v>
      </c>
    </row>
    <row r="275" spans="2:27" s="3411" customFormat="1" ht="14.1" customHeight="1">
      <c r="B275" s="3033"/>
      <c r="L275" s="1955"/>
      <c r="T275" s="1955"/>
      <c r="AA275" s="117">
        <f>ROW()</f>
        <v>275</v>
      </c>
    </row>
    <row r="276" spans="2:27" s="3421" customFormat="1" ht="14.1" customHeight="1">
      <c r="B276" s="3033"/>
      <c r="L276" s="1955"/>
      <c r="T276" s="1955"/>
      <c r="AA276" s="117">
        <f>ROW()</f>
        <v>276</v>
      </c>
    </row>
    <row r="277" spans="2:27" s="3411" customFormat="1" ht="14.1" customHeight="1">
      <c r="B277" s="2" t="s">
        <v>5996</v>
      </c>
      <c r="G277" s="3080" t="str">
        <f>G253</f>
        <v>Bronx</v>
      </c>
      <c r="H277" s="3080" t="str">
        <f>H253</f>
        <v>Brooklyn</v>
      </c>
      <c r="I277" s="3080" t="str">
        <f>I253</f>
        <v>Manhattan</v>
      </c>
      <c r="J277" s="3080" t="str">
        <f>J253</f>
        <v>Queens</v>
      </c>
      <c r="K277" s="3080" t="str">
        <f>K253</f>
        <v>S.I.</v>
      </c>
      <c r="L277" s="1955"/>
      <c r="M277" s="3080" t="str">
        <f t="shared" ref="M277:S277" si="89">M253</f>
        <v>Nassau</v>
      </c>
      <c r="N277" s="3080" t="str">
        <f t="shared" si="89"/>
        <v>Suffolk</v>
      </c>
      <c r="O277" s="3080" t="str">
        <f t="shared" si="89"/>
        <v>Westchester</v>
      </c>
      <c r="P277" s="3080" t="str">
        <f t="shared" si="89"/>
        <v>Rockland</v>
      </c>
      <c r="Q277" s="3080" t="str">
        <f t="shared" si="89"/>
        <v>Putnam</v>
      </c>
      <c r="R277" s="3080" t="str">
        <f t="shared" si="89"/>
        <v>Dutchess</v>
      </c>
      <c r="S277" s="3080" t="str">
        <f t="shared" si="89"/>
        <v>Orange</v>
      </c>
      <c r="T277" s="1955"/>
      <c r="U277" s="3080" t="str">
        <f>U253</f>
        <v>NJ</v>
      </c>
      <c r="V277" s="3080" t="str">
        <f>V253</f>
        <v>CT</v>
      </c>
      <c r="W277" s="3080" t="str">
        <f>W253</f>
        <v>Other</v>
      </c>
      <c r="X277" s="3080" t="str">
        <f>X253</f>
        <v>Total</v>
      </c>
      <c r="AA277" s="117">
        <f>ROW()</f>
        <v>277</v>
      </c>
    </row>
    <row r="278" spans="2:27" s="3421" customFormat="1" ht="14.1" customHeight="1">
      <c r="B278" s="312" t="s">
        <v>5997</v>
      </c>
      <c r="E278" s="3804" t="s">
        <v>6155</v>
      </c>
      <c r="F278" s="3804" t="s">
        <v>6156</v>
      </c>
      <c r="G278" s="4586" t="s">
        <v>6001</v>
      </c>
      <c r="H278" s="3832"/>
      <c r="I278" s="3832"/>
      <c r="J278" s="3832"/>
      <c r="K278" s="3832"/>
      <c r="L278" s="3832"/>
      <c r="M278" s="3832"/>
      <c r="N278" s="3832"/>
      <c r="O278" s="3832"/>
      <c r="P278" s="3832"/>
      <c r="Q278" s="3832"/>
      <c r="R278" s="3832"/>
      <c r="S278" s="3832"/>
      <c r="T278" s="3832"/>
      <c r="U278" s="3832"/>
      <c r="V278" s="3832"/>
      <c r="W278" s="3832"/>
      <c r="X278" s="3832"/>
      <c r="AA278" s="117">
        <f>ROW()</f>
        <v>278</v>
      </c>
    </row>
    <row r="279" spans="2:27" ht="14.1" customHeight="1">
      <c r="E279" s="3807"/>
      <c r="F279" s="3807"/>
      <c r="G279" s="3832"/>
      <c r="H279" s="3832"/>
      <c r="I279" s="3832"/>
      <c r="J279" s="3832"/>
      <c r="K279" s="3832"/>
      <c r="L279" s="3832"/>
      <c r="M279" s="3832"/>
      <c r="N279" s="3832"/>
      <c r="O279" s="3832"/>
      <c r="P279" s="3832"/>
      <c r="Q279" s="3832"/>
      <c r="R279" s="3832"/>
      <c r="S279" s="3832"/>
      <c r="T279" s="3832"/>
      <c r="U279" s="3832"/>
      <c r="V279" s="3832"/>
      <c r="W279" s="3832"/>
      <c r="X279" s="3832"/>
      <c r="AA279" s="117">
        <f>ROW()</f>
        <v>279</v>
      </c>
    </row>
    <row r="280" spans="2:27" s="3411" customFormat="1" ht="14.1" customHeight="1">
      <c r="B280" s="3033"/>
      <c r="E280" s="3807"/>
      <c r="F280" s="3807"/>
      <c r="G280" s="3832"/>
      <c r="H280" s="3832"/>
      <c r="I280" s="3832"/>
      <c r="J280" s="3832"/>
      <c r="K280" s="3832"/>
      <c r="L280" s="3832"/>
      <c r="M280" s="3832"/>
      <c r="N280" s="3832"/>
      <c r="O280" s="3832"/>
      <c r="P280" s="3832"/>
      <c r="Q280" s="3832"/>
      <c r="R280" s="3832"/>
      <c r="S280" s="3832"/>
      <c r="T280" s="3832"/>
      <c r="U280" s="3832"/>
      <c r="V280" s="3832"/>
      <c r="W280" s="3832"/>
      <c r="X280" s="3832"/>
      <c r="AA280" s="117">
        <f>ROW()</f>
        <v>280</v>
      </c>
    </row>
    <row r="281" spans="2:27" s="3411" customFormat="1" ht="14.1" customHeight="1">
      <c r="B281" s="3422" t="str">
        <f>Revenues!B66</f>
        <v>Verrazano-Narrows</v>
      </c>
      <c r="E281" s="124">
        <f>Revenues!N66/1000</f>
        <v>339.702</v>
      </c>
      <c r="F281" s="23">
        <f>'User Inputs'!$J$76</f>
        <v>-0.15</v>
      </c>
      <c r="G281" s="39">
        <v>0.01</v>
      </c>
      <c r="H281" s="39">
        <v>0.25</v>
      </c>
      <c r="I281" s="39">
        <v>0.01</v>
      </c>
      <c r="J281" s="39">
        <v>0.05</v>
      </c>
      <c r="K281" s="39">
        <v>0.45</v>
      </c>
      <c r="L281" s="3423"/>
      <c r="M281" s="39">
        <v>0.1</v>
      </c>
      <c r="N281" s="39">
        <v>0.02</v>
      </c>
      <c r="O281" s="39">
        <v>0.01</v>
      </c>
      <c r="P281" s="39">
        <v>0</v>
      </c>
      <c r="Q281" s="39">
        <v>0</v>
      </c>
      <c r="R281" s="39">
        <v>0</v>
      </c>
      <c r="S281" s="39">
        <v>0</v>
      </c>
      <c r="T281" s="39">
        <v>0</v>
      </c>
      <c r="U281" s="39">
        <v>0.1</v>
      </c>
      <c r="V281" s="39">
        <v>0</v>
      </c>
      <c r="W281" s="39">
        <v>0</v>
      </c>
      <c r="X281" s="39">
        <f t="shared" ref="X281:X289" si="90">SUM(G281:W281)</f>
        <v>1</v>
      </c>
      <c r="AA281" s="117">
        <f>ROW()</f>
        <v>281</v>
      </c>
    </row>
    <row r="282" spans="2:27" s="3411" customFormat="1" ht="14.1" customHeight="1">
      <c r="B282" s="3422" t="str">
        <f>Revenues!B67</f>
        <v>Triborough</v>
      </c>
      <c r="E282" s="124">
        <f>Revenues!N67/1000</f>
        <v>346.226</v>
      </c>
      <c r="F282" s="23">
        <f>'User Inputs'!$J$76</f>
        <v>-0.15</v>
      </c>
      <c r="G282" s="39">
        <v>0.24</v>
      </c>
      <c r="H282" s="39">
        <v>0.05</v>
      </c>
      <c r="I282" s="39">
        <v>0.08</v>
      </c>
      <c r="J282" s="39">
        <v>0.24</v>
      </c>
      <c r="K282" s="39">
        <v>0.03</v>
      </c>
      <c r="L282" s="3423"/>
      <c r="M282" s="39">
        <v>0.15</v>
      </c>
      <c r="N282" s="39">
        <v>0.05</v>
      </c>
      <c r="O282" s="39">
        <v>0.08</v>
      </c>
      <c r="P282" s="39">
        <v>0.01</v>
      </c>
      <c r="Q282" s="39">
        <v>0.01</v>
      </c>
      <c r="R282" s="39">
        <v>0.01</v>
      </c>
      <c r="S282" s="39">
        <v>0</v>
      </c>
      <c r="T282" s="3423"/>
      <c r="U282" s="39">
        <v>0.03</v>
      </c>
      <c r="V282" s="39">
        <v>0.02</v>
      </c>
      <c r="W282" s="39">
        <v>0</v>
      </c>
      <c r="X282" s="39">
        <f t="shared" si="90"/>
        <v>1</v>
      </c>
      <c r="AA282" s="117">
        <f>ROW()</f>
        <v>282</v>
      </c>
    </row>
    <row r="283" spans="2:27" s="3411" customFormat="1" ht="14.1" customHeight="1">
      <c r="B283" s="3422" t="str">
        <f>Revenues!B68</f>
        <v>Bronx-Whitestone</v>
      </c>
      <c r="E283" s="124">
        <f>Revenues!N68/1000</f>
        <v>256.72300000000001</v>
      </c>
      <c r="F283" s="23">
        <f>'User Inputs'!$J$76</f>
        <v>-0.15</v>
      </c>
      <c r="G283" s="39">
        <v>0.22</v>
      </c>
      <c r="H283" s="39">
        <v>0.04</v>
      </c>
      <c r="I283" s="39">
        <v>0.04</v>
      </c>
      <c r="J283" s="39">
        <v>0.25</v>
      </c>
      <c r="K283" s="39">
        <v>0.01</v>
      </c>
      <c r="L283" s="3423"/>
      <c r="M283" s="39">
        <v>0.22</v>
      </c>
      <c r="N283" s="39">
        <v>0.05</v>
      </c>
      <c r="O283" s="39">
        <v>0.1</v>
      </c>
      <c r="P283" s="39">
        <v>0.01</v>
      </c>
      <c r="Q283" s="39">
        <v>0.01</v>
      </c>
      <c r="R283" s="39">
        <v>0.01</v>
      </c>
      <c r="S283" s="39">
        <v>0</v>
      </c>
      <c r="T283" s="3423"/>
      <c r="U283" s="39">
        <v>0.02</v>
      </c>
      <c r="V283" s="39">
        <v>0.02</v>
      </c>
      <c r="W283" s="39">
        <v>0</v>
      </c>
      <c r="X283" s="39">
        <f t="shared" si="90"/>
        <v>1</v>
      </c>
      <c r="AA283" s="117">
        <f>ROW()</f>
        <v>283</v>
      </c>
    </row>
    <row r="284" spans="2:27" s="3411" customFormat="1" ht="14.1" customHeight="1">
      <c r="B284" s="3422" t="str">
        <f>Revenues!B69</f>
        <v>Throgs Neck</v>
      </c>
      <c r="E284" s="124">
        <f>Revenues!N69/1000</f>
        <v>254.96299999999999</v>
      </c>
      <c r="F284" s="23">
        <f>'User Inputs'!$J$76</f>
        <v>-0.15</v>
      </c>
      <c r="G284" s="39">
        <v>0.18</v>
      </c>
      <c r="H284" s="39">
        <v>0.02</v>
      </c>
      <c r="I284" s="39">
        <v>0.02</v>
      </c>
      <c r="J284" s="39">
        <v>0.2</v>
      </c>
      <c r="K284" s="39">
        <v>0.01</v>
      </c>
      <c r="L284" s="3423"/>
      <c r="M284" s="39">
        <v>0.3</v>
      </c>
      <c r="N284" s="39">
        <v>0.1</v>
      </c>
      <c r="O284" s="39">
        <v>0.1</v>
      </c>
      <c r="P284" s="39">
        <v>0.01</v>
      </c>
      <c r="Q284" s="39">
        <v>0.01</v>
      </c>
      <c r="R284" s="39">
        <v>0.01</v>
      </c>
      <c r="S284" s="39">
        <v>0</v>
      </c>
      <c r="T284" s="3423"/>
      <c r="U284" s="39">
        <v>0.02</v>
      </c>
      <c r="V284" s="39">
        <v>0.02</v>
      </c>
      <c r="W284" s="39">
        <v>0</v>
      </c>
      <c r="X284" s="39">
        <f t="shared" si="90"/>
        <v>1</v>
      </c>
      <c r="AA284" s="117">
        <f>ROW()</f>
        <v>284</v>
      </c>
    </row>
    <row r="285" spans="2:27" s="3411" customFormat="1" ht="14.1" customHeight="1">
      <c r="B285" s="3422" t="str">
        <f>Revenues!B70</f>
        <v>Brooklyn-Battery</v>
      </c>
      <c r="E285" s="124">
        <f>Revenues!N70/1000</f>
        <v>78.594999999999999</v>
      </c>
      <c r="F285" s="23">
        <v>0</v>
      </c>
      <c r="G285" s="4587" t="str">
        <f>CONCATENATE("Geographic incidence of tolls on the MTA's Brooklyn-Battery and Queens-Midtown Tunnels is not relevant to this analysis, which concerns possible discounts
 on MTA crossings that do *not* directly" &amp; " access the Manhattan CBD, i.e., the authority's 7 bridges. Those figures are shown above, in Rows ",AA206, "-",AA207, ".")</f>
        <v>Geographic incidence of tolls on the MTA's Brooklyn-Battery and Queens-Midtown Tunnels is not relevant to this analysis, which concerns possible discounts
 on MTA crossings that do *not* directly access the Manhattan CBD, i.e., the authority's 7 bridges. Those figures are shown above, in Rows 206-207.</v>
      </c>
      <c r="H285" s="4141"/>
      <c r="I285" s="4141"/>
      <c r="J285" s="4141"/>
      <c r="K285" s="4141"/>
      <c r="L285" s="4141"/>
      <c r="M285" s="4141"/>
      <c r="N285" s="4141"/>
      <c r="O285" s="4141"/>
      <c r="P285" s="4141"/>
      <c r="Q285" s="4141"/>
      <c r="R285" s="4141"/>
      <c r="S285" s="4141"/>
      <c r="T285" s="4141"/>
      <c r="U285" s="4141"/>
      <c r="V285" s="4141"/>
      <c r="W285" s="4142"/>
      <c r="X285" s="39">
        <f t="shared" si="90"/>
        <v>0</v>
      </c>
      <c r="AA285" s="117">
        <f>ROW()</f>
        <v>285</v>
      </c>
    </row>
    <row r="286" spans="2:27" s="3411" customFormat="1" ht="14.1" customHeight="1">
      <c r="B286" s="3422" t="str">
        <f>Revenues!B71</f>
        <v>Queens Midtown</v>
      </c>
      <c r="E286" s="124">
        <f>Revenues!N71/1000</f>
        <v>150.65799999999999</v>
      </c>
      <c r="F286" s="23">
        <v>0</v>
      </c>
      <c r="G286" s="4588"/>
      <c r="H286" s="4589"/>
      <c r="I286" s="4589"/>
      <c r="J286" s="4589"/>
      <c r="K286" s="4589"/>
      <c r="L286" s="4589"/>
      <c r="M286" s="4589"/>
      <c r="N286" s="4589"/>
      <c r="O286" s="4589"/>
      <c r="P286" s="4589"/>
      <c r="Q286" s="4589"/>
      <c r="R286" s="4589"/>
      <c r="S286" s="4589"/>
      <c r="T286" s="4589"/>
      <c r="U286" s="4589"/>
      <c r="V286" s="4589"/>
      <c r="W286" s="4590"/>
      <c r="X286" s="39">
        <f t="shared" si="90"/>
        <v>0</v>
      </c>
      <c r="AA286" s="117">
        <f>ROW()</f>
        <v>286</v>
      </c>
    </row>
    <row r="287" spans="2:27" s="3411" customFormat="1" ht="14.1" customHeight="1">
      <c r="B287" s="3422" t="str">
        <f>Revenues!B72</f>
        <v>Henry Hudson</v>
      </c>
      <c r="E287" s="124">
        <f>Revenues!N72/1000</f>
        <v>59.203000000000003</v>
      </c>
      <c r="F287" s="23">
        <f>'User Inputs'!$J$76</f>
        <v>-0.15</v>
      </c>
      <c r="G287" s="39">
        <v>0.27</v>
      </c>
      <c r="H287" s="39">
        <v>0.02</v>
      </c>
      <c r="I287" s="39">
        <v>0.15</v>
      </c>
      <c r="J287" s="39">
        <v>0.01</v>
      </c>
      <c r="K287" s="39">
        <v>0.01</v>
      </c>
      <c r="L287" s="3423"/>
      <c r="M287" s="39">
        <v>0.01</v>
      </c>
      <c r="N287" s="39">
        <v>0</v>
      </c>
      <c r="O287" s="39">
        <v>0.4</v>
      </c>
      <c r="P287" s="39">
        <v>0.03</v>
      </c>
      <c r="Q287" s="39">
        <v>0.05</v>
      </c>
      <c r="R287" s="39">
        <v>0.01</v>
      </c>
      <c r="S287" s="39">
        <v>0.01</v>
      </c>
      <c r="T287" s="3423"/>
      <c r="U287" s="39">
        <v>0.02</v>
      </c>
      <c r="V287" s="39">
        <v>0.01</v>
      </c>
      <c r="W287" s="39"/>
      <c r="X287" s="39">
        <f t="shared" si="90"/>
        <v>1.0000000000000002</v>
      </c>
      <c r="AA287" s="117">
        <f>ROW()</f>
        <v>287</v>
      </c>
    </row>
    <row r="288" spans="2:27" s="3411" customFormat="1" ht="14.1" customHeight="1">
      <c r="B288" s="3422" t="str">
        <f>Revenues!B73</f>
        <v>Marine Parkway</v>
      </c>
      <c r="E288" s="124">
        <f>Revenues!N73/1000</f>
        <v>15.103999999999999</v>
      </c>
      <c r="F288" s="23">
        <f>'User Inputs'!$J$76</f>
        <v>-0.15</v>
      </c>
      <c r="G288" s="39">
        <v>0.01</v>
      </c>
      <c r="H288" s="39">
        <v>0.4</v>
      </c>
      <c r="I288" s="39">
        <v>0.01</v>
      </c>
      <c r="J288" s="39">
        <v>0.5</v>
      </c>
      <c r="K288" s="39">
        <v>0.01</v>
      </c>
      <c r="L288" s="3423"/>
      <c r="M288" s="39">
        <v>7.0000000000000007E-2</v>
      </c>
      <c r="N288" s="39">
        <v>0</v>
      </c>
      <c r="O288" s="39">
        <v>0</v>
      </c>
      <c r="P288" s="39">
        <v>0</v>
      </c>
      <c r="Q288" s="39">
        <v>0</v>
      </c>
      <c r="R288" s="39">
        <v>0</v>
      </c>
      <c r="S288" s="39">
        <v>0</v>
      </c>
      <c r="T288" s="39">
        <v>0</v>
      </c>
      <c r="U288" s="39">
        <v>0</v>
      </c>
      <c r="V288" s="39">
        <v>0</v>
      </c>
      <c r="W288" s="39">
        <v>0</v>
      </c>
      <c r="X288" s="39">
        <f t="shared" si="90"/>
        <v>1</v>
      </c>
      <c r="AA288" s="117">
        <f>ROW()</f>
        <v>288</v>
      </c>
    </row>
    <row r="289" spans="2:27" s="3411" customFormat="1" ht="14.1" customHeight="1">
      <c r="B289" s="3422" t="str">
        <f>Revenues!B74</f>
        <v>Cross Bay</v>
      </c>
      <c r="E289" s="124">
        <f>Revenues!N74/1000</f>
        <v>14.509</v>
      </c>
      <c r="F289" s="23">
        <f>'User Inputs'!$J$76</f>
        <v>-0.15</v>
      </c>
      <c r="G289" s="39">
        <v>0.01</v>
      </c>
      <c r="H289" s="39">
        <v>0.1</v>
      </c>
      <c r="I289" s="39">
        <v>0.01</v>
      </c>
      <c r="J289" s="39">
        <v>0.85</v>
      </c>
      <c r="K289" s="39">
        <v>0.01</v>
      </c>
      <c r="L289" s="3423"/>
      <c r="M289" s="39">
        <v>0.02</v>
      </c>
      <c r="N289" s="39">
        <v>0</v>
      </c>
      <c r="O289" s="39">
        <v>0</v>
      </c>
      <c r="P289" s="39">
        <v>0</v>
      </c>
      <c r="Q289" s="39">
        <v>0</v>
      </c>
      <c r="R289" s="39">
        <v>0</v>
      </c>
      <c r="S289" s="39">
        <v>0</v>
      </c>
      <c r="T289" s="39">
        <v>0</v>
      </c>
      <c r="U289" s="39">
        <v>0</v>
      </c>
      <c r="V289" s="39">
        <v>0</v>
      </c>
      <c r="W289" s="39">
        <v>0</v>
      </c>
      <c r="X289" s="39">
        <f t="shared" si="90"/>
        <v>1</v>
      </c>
      <c r="AA289" s="117">
        <f>ROW()</f>
        <v>289</v>
      </c>
    </row>
    <row r="290" spans="2:27" s="3411" customFormat="1" ht="14.1" customHeight="1">
      <c r="B290" s="518" t="s">
        <v>5995</v>
      </c>
      <c r="E290" s="2081">
        <f>SUM(E281:E289)-E285-E286</f>
        <v>1286.43</v>
      </c>
      <c r="F290" s="2081">
        <f>SUMPRODUCT(E281:E289,F281:F289)</f>
        <v>-192.96450000000002</v>
      </c>
      <c r="G290" s="39"/>
      <c r="H290" s="39"/>
      <c r="I290" s="39"/>
      <c r="J290" s="39"/>
      <c r="K290" s="39"/>
      <c r="L290" s="3423"/>
      <c r="M290" s="39"/>
      <c r="N290" s="39"/>
      <c r="O290" s="39"/>
      <c r="P290" s="39"/>
      <c r="Q290" s="39"/>
      <c r="R290" s="39"/>
      <c r="S290" s="39"/>
      <c r="T290" s="39"/>
      <c r="U290" s="39"/>
      <c r="V290" s="39"/>
      <c r="W290" s="39"/>
      <c r="X290" s="39"/>
      <c r="AA290" s="117">
        <f>ROW()</f>
        <v>290</v>
      </c>
    </row>
    <row r="291" spans="2:27" s="3411" customFormat="1" ht="14.1" customHeight="1">
      <c r="B291" s="3422"/>
      <c r="L291" s="1955"/>
      <c r="T291" s="1955"/>
      <c r="X291" s="39"/>
      <c r="AA291" s="117">
        <f>ROW()</f>
        <v>291</v>
      </c>
    </row>
    <row r="292" spans="2:27" s="3411" customFormat="1" ht="14.1" customHeight="1">
      <c r="B292" s="3422" t="str">
        <f t="shared" ref="B292:B300" si="91">B281</f>
        <v>Verrazano-Narrows</v>
      </c>
      <c r="D292" s="3919" t="str">
        <f>CONCATENATE("Each dollar element in the matrix at right is calculated by multiplying the corresponding percentage in the matrix in Rows ",AA281, "-",AA289, " by the projected total revenue for that bridge shown in Column E (which is taken from Rows ",Revenues!Q66, "-",Revenues!Q74, " of the 'Revenues' tab. Those products are then factored through (i) the toll change for each bridge shown in Column F, and (ii) the estimated percentage change in bridge volume (due to the change in toll), which is calculated in Cell I",Revenues!Q112, " of the same 'Revenues' tab.")</f>
        <v>Each dollar element in the matrix at right is calculated by multiplying the corresponding percentage in the matrix in Rows 281-289 by the projected total revenue for that bridge shown in Column E (which is taken from Rows 66-74 of the 'Revenues' tab. Those products are then factored through (i) the toll change for each bridge shown in Column F, and (ii) the estimated percentage change in bridge volume (due to the change in toll), which is calculated in Cell I112 of the same 'Revenues' tab.</v>
      </c>
      <c r="E292" s="4109"/>
      <c r="F292" s="4462"/>
      <c r="G292" s="3424">
        <f>G281*$E281*((1+$F281)*Revenues!$I$112-1)</f>
        <v>-0.4023939235268067</v>
      </c>
      <c r="H292" s="3424">
        <f>H281*$E281*((1+$F281)*Revenues!$I$112-1)</f>
        <v>-10.059848088170167</v>
      </c>
      <c r="I292" s="3424">
        <f>I281*$E281*((1+$F281)*Revenues!$I$112-1)</f>
        <v>-0.4023939235268067</v>
      </c>
      <c r="J292" s="3424">
        <f>J281*$E281*((1+$F281)*Revenues!$I$112-1)</f>
        <v>-2.0119696176340334</v>
      </c>
      <c r="K292" s="3424">
        <f>K281*$E281*((1+$F281)*Revenues!$I$112-1)</f>
        <v>-18.107726558706304</v>
      </c>
      <c r="L292" s="3424">
        <f t="shared" ref="L292:T292" si="92">L281*$F281*$E281</f>
        <v>0</v>
      </c>
      <c r="M292" s="3424">
        <f>M281*$E281*((1+$F281)*Revenues!$I$112-1)</f>
        <v>-4.0239392352680667</v>
      </c>
      <c r="N292" s="3424">
        <f>N281*$E281*((1+$F281)*Revenues!$I$112-1)</f>
        <v>-0.80478784705361339</v>
      </c>
      <c r="O292" s="3424">
        <f>O281*$E281*((1+$F281)*Revenues!$I$112-1)</f>
        <v>-0.4023939235268067</v>
      </c>
      <c r="P292" s="3424">
        <f>P281*$E281*((1+$F281)*Revenues!$I$112-1)</f>
        <v>0</v>
      </c>
      <c r="Q292" s="3424">
        <f>Q281*$E281*((1+$F281)*Revenues!$I$112-1)</f>
        <v>0</v>
      </c>
      <c r="R292" s="3424">
        <f>R281*$E281*((1+$F281)*Revenues!$I$112-1)</f>
        <v>0</v>
      </c>
      <c r="S292" s="3424">
        <f>S281*$E281*((1+$F281)*Revenues!$I$112-1)</f>
        <v>0</v>
      </c>
      <c r="T292" s="3424">
        <f t="shared" si="92"/>
        <v>0</v>
      </c>
      <c r="U292" s="3424">
        <f>U281*$E281*((1+$F281)*Revenues!$I$112-1)</f>
        <v>-4.0239392352680667</v>
      </c>
      <c r="V292" s="3424">
        <f>V281*$E281*((1+$F281)*Revenues!$I$112-1)</f>
        <v>0</v>
      </c>
      <c r="W292" s="3424">
        <f>W281*$E281*((1+$F281)*Revenues!$I$112-1)</f>
        <v>0</v>
      </c>
      <c r="X292" s="3424">
        <f>SUM(G292:W292)</f>
        <v>-40.239392352680674</v>
      </c>
      <c r="AA292" s="117">
        <f>ROW()</f>
        <v>292</v>
      </c>
    </row>
    <row r="293" spans="2:27" s="3411" customFormat="1" ht="14.1" customHeight="1">
      <c r="B293" s="3422" t="str">
        <f t="shared" si="91"/>
        <v>Triborough</v>
      </c>
      <c r="D293" s="4110"/>
      <c r="E293" s="4111"/>
      <c r="F293" s="4463"/>
      <c r="G293" s="3424">
        <f>G282*$E282*((1+$F282)*Revenues!$I$112-1)</f>
        <v>-9.8429262283054335</v>
      </c>
      <c r="H293" s="3424">
        <f>H282*$E282*((1+$F282)*Revenues!$I$112-1)</f>
        <v>-2.050609630896965</v>
      </c>
      <c r="I293" s="3424">
        <f>I282*$E282*((1+$F282)*Revenues!$I$112-1)</f>
        <v>-3.2809754094351447</v>
      </c>
      <c r="J293" s="3424">
        <f>J282*$E282*((1+$F282)*Revenues!$I$112-1)</f>
        <v>-9.8429262283054335</v>
      </c>
      <c r="K293" s="3424">
        <f>K282*$E282*((1+$F282)*Revenues!$I$112-1)</f>
        <v>-1.2303657785381792</v>
      </c>
      <c r="L293" s="3424">
        <f t="shared" ref="L293:T293" si="93">L282*$F282*$E282</f>
        <v>0</v>
      </c>
      <c r="M293" s="3424">
        <f>M282*$E282*((1+$F282)*Revenues!$I$112-1)</f>
        <v>-6.1518288926908955</v>
      </c>
      <c r="N293" s="3424">
        <f>N282*$E282*((1+$F282)*Revenues!$I$112-1)</f>
        <v>-2.050609630896965</v>
      </c>
      <c r="O293" s="3424">
        <f>O282*$E282*((1+$F282)*Revenues!$I$112-1)</f>
        <v>-3.2809754094351447</v>
      </c>
      <c r="P293" s="3424">
        <f>P282*$E282*((1+$F282)*Revenues!$I$112-1)</f>
        <v>-0.41012192617939308</v>
      </c>
      <c r="Q293" s="3424">
        <f>Q282*$E282*((1+$F282)*Revenues!$I$112-1)</f>
        <v>-0.41012192617939308</v>
      </c>
      <c r="R293" s="3424">
        <f>R282*$E282*((1+$F282)*Revenues!$I$112-1)</f>
        <v>-0.41012192617939308</v>
      </c>
      <c r="S293" s="3424">
        <f>S282*$E282*((1+$F282)*Revenues!$I$112-1)</f>
        <v>0</v>
      </c>
      <c r="T293" s="3424">
        <f t="shared" si="93"/>
        <v>0</v>
      </c>
      <c r="U293" s="3424">
        <f>U282*$E282*((1+$F282)*Revenues!$I$112-1)</f>
        <v>-1.2303657785381792</v>
      </c>
      <c r="V293" s="3424">
        <f>V282*$E282*((1+$F282)*Revenues!$I$112-1)</f>
        <v>-0.82024385235878616</v>
      </c>
      <c r="W293" s="3424">
        <f>W282*$E282*((1+$F282)*Revenues!$I$112-1)</f>
        <v>0</v>
      </c>
      <c r="X293" s="3424">
        <f t="shared" ref="X293:X300" si="94">SUM(G293:W293)</f>
        <v>-41.012192617939299</v>
      </c>
      <c r="AA293" s="117">
        <f>ROW()</f>
        <v>293</v>
      </c>
    </row>
    <row r="294" spans="2:27" s="3411" customFormat="1" ht="14.1" customHeight="1">
      <c r="B294" s="3422" t="str">
        <f t="shared" si="91"/>
        <v>Bronx-Whitestone</v>
      </c>
      <c r="D294" s="4110"/>
      <c r="E294" s="4111"/>
      <c r="F294" s="4463"/>
      <c r="G294" s="3424">
        <f>G283*$E283*((1+$F283)*Revenues!$I$112-1)</f>
        <v>-6.6902257126852147</v>
      </c>
      <c r="H294" s="3424">
        <f>H283*$E283*((1+$F283)*Revenues!$I$112-1)</f>
        <v>-1.2164046750336754</v>
      </c>
      <c r="I294" s="3424">
        <f>I283*$E283*((1+$F283)*Revenues!$I$112-1)</f>
        <v>-1.2164046750336754</v>
      </c>
      <c r="J294" s="3424">
        <f>J283*$E283*((1+$F283)*Revenues!$I$112-1)</f>
        <v>-7.6025292189604716</v>
      </c>
      <c r="K294" s="3424">
        <f>K283*$E283*((1+$F283)*Revenues!$I$112-1)</f>
        <v>-0.30410116875841886</v>
      </c>
      <c r="L294" s="3424">
        <f t="shared" ref="L294:T294" si="95">L283*$F283*$E283</f>
        <v>0</v>
      </c>
      <c r="M294" s="3424">
        <f>M283*$E283*((1+$F283)*Revenues!$I$112-1)</f>
        <v>-6.6902257126852147</v>
      </c>
      <c r="N294" s="3424">
        <f>N283*$E283*((1+$F283)*Revenues!$I$112-1)</f>
        <v>-1.5205058437920944</v>
      </c>
      <c r="O294" s="3424">
        <f>O283*$E283*((1+$F283)*Revenues!$I$112-1)</f>
        <v>-3.0410116875841888</v>
      </c>
      <c r="P294" s="3424">
        <f>P283*$E283*((1+$F283)*Revenues!$I$112-1)</f>
        <v>-0.30410116875841886</v>
      </c>
      <c r="Q294" s="3424">
        <f>Q283*$E283*((1+$F283)*Revenues!$I$112-1)</f>
        <v>-0.30410116875841886</v>
      </c>
      <c r="R294" s="3424">
        <f>R283*$E283*((1+$F283)*Revenues!$I$112-1)</f>
        <v>-0.30410116875841886</v>
      </c>
      <c r="S294" s="3424">
        <f>S283*$E283*((1+$F283)*Revenues!$I$112-1)</f>
        <v>0</v>
      </c>
      <c r="T294" s="3424">
        <f t="shared" si="95"/>
        <v>0</v>
      </c>
      <c r="U294" s="3424">
        <f>U283*$E283*((1+$F283)*Revenues!$I$112-1)</f>
        <v>-0.60820233751683772</v>
      </c>
      <c r="V294" s="3424">
        <f>V283*$E283*((1+$F283)*Revenues!$I$112-1)</f>
        <v>-0.60820233751683772</v>
      </c>
      <c r="W294" s="3424">
        <f>W283*$E283*((1+$F283)*Revenues!$I$112-1)</f>
        <v>0</v>
      </c>
      <c r="X294" s="3424">
        <f t="shared" si="94"/>
        <v>-30.410116875841879</v>
      </c>
      <c r="AA294" s="117">
        <f>ROW()</f>
        <v>294</v>
      </c>
    </row>
    <row r="295" spans="2:27" s="3411" customFormat="1" ht="14.1" customHeight="1">
      <c r="B295" s="3422" t="str">
        <f t="shared" si="91"/>
        <v>Throgs Neck</v>
      </c>
      <c r="D295" s="4110"/>
      <c r="E295" s="4111"/>
      <c r="F295" s="4463"/>
      <c r="G295" s="3424">
        <f>G284*$E284*((1+$F284)*Revenues!$I$112-1)</f>
        <v>-5.4362945011656505</v>
      </c>
      <c r="H295" s="3424">
        <f>H284*$E284*((1+$F284)*Revenues!$I$112-1)</f>
        <v>-0.60403272235173899</v>
      </c>
      <c r="I295" s="3424">
        <f>I284*$E284*((1+$F284)*Revenues!$I$112-1)</f>
        <v>-0.60403272235173899</v>
      </c>
      <c r="J295" s="3424">
        <f>J284*$E284*((1+$F284)*Revenues!$I$112-1)</f>
        <v>-6.0403272235173899</v>
      </c>
      <c r="K295" s="3424">
        <f>K284*$E284*((1+$F284)*Revenues!$I$112-1)</f>
        <v>-0.3020163611758695</v>
      </c>
      <c r="L295" s="3424">
        <f t="shared" ref="L295:T295" si="96">L284*$F284*$E284</f>
        <v>0</v>
      </c>
      <c r="M295" s="3424">
        <f>M284*$E284*((1+$F284)*Revenues!$I$112-1)</f>
        <v>-9.0604908352760845</v>
      </c>
      <c r="N295" s="3424">
        <f>N284*$E284*((1+$F284)*Revenues!$I$112-1)</f>
        <v>-3.020163611758695</v>
      </c>
      <c r="O295" s="3424">
        <f>O284*$E284*((1+$F284)*Revenues!$I$112-1)</f>
        <v>-3.020163611758695</v>
      </c>
      <c r="P295" s="3424">
        <f>P284*$E284*((1+$F284)*Revenues!$I$112-1)</f>
        <v>-0.3020163611758695</v>
      </c>
      <c r="Q295" s="3424">
        <f>Q284*$E284*((1+$F284)*Revenues!$I$112-1)</f>
        <v>-0.3020163611758695</v>
      </c>
      <c r="R295" s="3424">
        <f>R284*$E284*((1+$F284)*Revenues!$I$112-1)</f>
        <v>-0.3020163611758695</v>
      </c>
      <c r="S295" s="3424">
        <f>S284*$E284*((1+$F284)*Revenues!$I$112-1)</f>
        <v>0</v>
      </c>
      <c r="T295" s="3424">
        <f t="shared" si="96"/>
        <v>0</v>
      </c>
      <c r="U295" s="3424">
        <f>U284*$E284*((1+$F284)*Revenues!$I$112-1)</f>
        <v>-0.60403272235173899</v>
      </c>
      <c r="V295" s="3424">
        <f>V284*$E284*((1+$F284)*Revenues!$I$112-1)</f>
        <v>-0.60403272235173899</v>
      </c>
      <c r="W295" s="3424">
        <f>W284*$E284*((1+$F284)*Revenues!$I$112-1)</f>
        <v>0</v>
      </c>
      <c r="X295" s="3424">
        <f t="shared" si="94"/>
        <v>-30.201636117586947</v>
      </c>
      <c r="AA295" s="117">
        <f>ROW()</f>
        <v>295</v>
      </c>
    </row>
    <row r="296" spans="2:27" s="3411" customFormat="1" ht="14.1" customHeight="1">
      <c r="B296" s="3422" t="str">
        <f t="shared" si="91"/>
        <v>Brooklyn-Battery</v>
      </c>
      <c r="D296" s="4110"/>
      <c r="E296" s="4111"/>
      <c r="F296" s="4463"/>
      <c r="G296" s="3424">
        <v>0</v>
      </c>
      <c r="H296" s="3424">
        <f>H285*$E285*((1+$F285)*Revenues!$I$112-1)</f>
        <v>0</v>
      </c>
      <c r="I296" s="3424">
        <f>I285*$E285*((1+$F285)*Revenues!$I$112-1)</f>
        <v>0</v>
      </c>
      <c r="J296" s="3424">
        <f>J285*$E285*((1+$F285)*Revenues!$I$112-1)</f>
        <v>0</v>
      </c>
      <c r="K296" s="3424">
        <f>K285*$E285*((1+$F285)*Revenues!$I$112-1)</f>
        <v>0</v>
      </c>
      <c r="L296" s="3424">
        <f t="shared" ref="L296:T296" si="97">L285*$F285*$E285</f>
        <v>0</v>
      </c>
      <c r="M296" s="3424">
        <f>M285*$E285*((1+$F285)*Revenues!$I$112-1)</f>
        <v>0</v>
      </c>
      <c r="N296" s="3424">
        <f>N285*$E285*((1+$F285)*Revenues!$I$112-1)</f>
        <v>0</v>
      </c>
      <c r="O296" s="3424">
        <f>O285*$E285*((1+$F285)*Revenues!$I$112-1)</f>
        <v>0</v>
      </c>
      <c r="P296" s="3424">
        <f>P285*$E285*((1+$F285)*Revenues!$I$112-1)</f>
        <v>0</v>
      </c>
      <c r="Q296" s="3424">
        <f>Q285*$E285*((1+$F285)*Revenues!$I$112-1)</f>
        <v>0</v>
      </c>
      <c r="R296" s="3424">
        <f>R285*$E285*((1+$F285)*Revenues!$I$112-1)</f>
        <v>0</v>
      </c>
      <c r="S296" s="3424">
        <f>S285*$E285*((1+$F285)*Revenues!$I$112-1)</f>
        <v>0</v>
      </c>
      <c r="T296" s="3424">
        <f t="shared" si="97"/>
        <v>0</v>
      </c>
      <c r="U296" s="3424">
        <f>U285*$E285*((1+$F285)*Revenues!$I$112-1)</f>
        <v>0</v>
      </c>
      <c r="V296" s="3424">
        <f>V285*$E285*((1+$F285)*Revenues!$I$112-1)</f>
        <v>0</v>
      </c>
      <c r="W296" s="3424">
        <f>W285*$E285*((1+$F285)*Revenues!$I$112-1)</f>
        <v>0</v>
      </c>
      <c r="X296" s="3424">
        <f t="shared" si="94"/>
        <v>0</v>
      </c>
      <c r="AA296" s="117">
        <f>ROW()</f>
        <v>296</v>
      </c>
    </row>
    <row r="297" spans="2:27" s="3411" customFormat="1" ht="14.1" customHeight="1">
      <c r="B297" s="3422" t="str">
        <f t="shared" si="91"/>
        <v>Queens Midtown</v>
      </c>
      <c r="D297" s="4110"/>
      <c r="E297" s="4111"/>
      <c r="F297" s="4463"/>
      <c r="G297" s="3424">
        <f>G286*$E286*((1+$F286)*Revenues!$I$112-1)</f>
        <v>0</v>
      </c>
      <c r="H297" s="3424">
        <f>H286*$E286*((1+$F286)*Revenues!$I$112-1)</f>
        <v>0</v>
      </c>
      <c r="I297" s="3424">
        <f>I286*$E286*((1+$F286)*Revenues!$I$112-1)</f>
        <v>0</v>
      </c>
      <c r="J297" s="3424">
        <f>J286*$E286*((1+$F286)*Revenues!$I$112-1)</f>
        <v>0</v>
      </c>
      <c r="K297" s="3424">
        <f>K286*$E286*((1+$F286)*Revenues!$I$112-1)</f>
        <v>0</v>
      </c>
      <c r="L297" s="3424">
        <f t="shared" ref="L297:T297" si="98">L286*$F286*$E286</f>
        <v>0</v>
      </c>
      <c r="M297" s="3424">
        <f>M286*$E286*((1+$F286)*Revenues!$I$112-1)</f>
        <v>0</v>
      </c>
      <c r="N297" s="3424">
        <f>N286*$E286*((1+$F286)*Revenues!$I$112-1)</f>
        <v>0</v>
      </c>
      <c r="O297" s="3424">
        <f>O286*$E286*((1+$F286)*Revenues!$I$112-1)</f>
        <v>0</v>
      </c>
      <c r="P297" s="3424">
        <f>P286*$E286*((1+$F286)*Revenues!$I$112-1)</f>
        <v>0</v>
      </c>
      <c r="Q297" s="3424">
        <f>Q286*$E286*((1+$F286)*Revenues!$I$112-1)</f>
        <v>0</v>
      </c>
      <c r="R297" s="3424">
        <f>R286*$E286*((1+$F286)*Revenues!$I$112-1)</f>
        <v>0</v>
      </c>
      <c r="S297" s="3424">
        <f>S286*$E286*((1+$F286)*Revenues!$I$112-1)</f>
        <v>0</v>
      </c>
      <c r="T297" s="3424">
        <f t="shared" si="98"/>
        <v>0</v>
      </c>
      <c r="U297" s="3424">
        <f>U286*$E286*((1+$F286)*Revenues!$I$112-1)</f>
        <v>0</v>
      </c>
      <c r="V297" s="3424">
        <f>V286*$E286*((1+$F286)*Revenues!$I$112-1)</f>
        <v>0</v>
      </c>
      <c r="W297" s="3424">
        <f>W286*$E286*((1+$F286)*Revenues!$I$112-1)</f>
        <v>0</v>
      </c>
      <c r="X297" s="3424">
        <f t="shared" si="94"/>
        <v>0</v>
      </c>
      <c r="AA297" s="117">
        <f>ROW()</f>
        <v>297</v>
      </c>
    </row>
    <row r="298" spans="2:27" s="3411" customFormat="1" ht="14.1" customHeight="1">
      <c r="B298" s="3422" t="str">
        <f t="shared" si="91"/>
        <v>Henry Hudson</v>
      </c>
      <c r="D298" s="4110"/>
      <c r="E298" s="4111"/>
      <c r="F298" s="4463"/>
      <c r="G298" s="3424">
        <f>G287*$E287*((1+$F287)*Revenues!$I$112-1)</f>
        <v>-1.8934802894096989</v>
      </c>
      <c r="H298" s="3424">
        <f>H287*$E287*((1+$F287)*Revenues!$I$112-1)</f>
        <v>-0.14025779921553325</v>
      </c>
      <c r="I298" s="3424">
        <f>I287*$E287*((1+$F287)*Revenues!$I$112-1)</f>
        <v>-1.0519334941164993</v>
      </c>
      <c r="J298" s="3424">
        <f>J287*$E287*((1+$F287)*Revenues!$I$112-1)</f>
        <v>-7.0128899607766623E-2</v>
      </c>
      <c r="K298" s="3424">
        <f>K287*$E287*((1+$F287)*Revenues!$I$112-1)</f>
        <v>-7.0128899607766623E-2</v>
      </c>
      <c r="L298" s="3424">
        <f t="shared" ref="L298:T298" si="99">L287*$F287*$E287</f>
        <v>0</v>
      </c>
      <c r="M298" s="3424">
        <f>M287*$E287*((1+$F287)*Revenues!$I$112-1)</f>
        <v>-7.0128899607766623E-2</v>
      </c>
      <c r="N298" s="3424">
        <f>N287*$E287*((1+$F287)*Revenues!$I$112-1)</f>
        <v>0</v>
      </c>
      <c r="O298" s="3424">
        <f>O287*$E287*((1+$F287)*Revenues!$I$112-1)</f>
        <v>-2.8051559843106655</v>
      </c>
      <c r="P298" s="3424">
        <f>P287*$E287*((1+$F287)*Revenues!$I$112-1)</f>
        <v>-0.21038669882329986</v>
      </c>
      <c r="Q298" s="3424">
        <f>Q287*$E287*((1+$F287)*Revenues!$I$112-1)</f>
        <v>-0.35064449803883319</v>
      </c>
      <c r="R298" s="3424">
        <f>R287*$E287*((1+$F287)*Revenues!$I$112-1)</f>
        <v>-7.0128899607766623E-2</v>
      </c>
      <c r="S298" s="3424">
        <f>S287*$E287*((1+$F287)*Revenues!$I$112-1)</f>
        <v>-7.0128899607766623E-2</v>
      </c>
      <c r="T298" s="3424">
        <f t="shared" si="99"/>
        <v>0</v>
      </c>
      <c r="U298" s="3424">
        <f>U287*$E287*((1+$F287)*Revenues!$I$112-1)</f>
        <v>-0.14025779921553325</v>
      </c>
      <c r="V298" s="3424">
        <f>V287*$E287*((1+$F287)*Revenues!$I$112-1)</f>
        <v>-7.0128899607766623E-2</v>
      </c>
      <c r="W298" s="3424">
        <f>W287*$E287*((1+$F287)*Revenues!$I$112-1)</f>
        <v>0</v>
      </c>
      <c r="X298" s="3424">
        <f t="shared" si="94"/>
        <v>-7.0128899607766622</v>
      </c>
      <c r="AA298" s="117">
        <f>ROW()</f>
        <v>298</v>
      </c>
    </row>
    <row r="299" spans="2:27" s="3411" customFormat="1" ht="14.1" customHeight="1">
      <c r="B299" s="3422" t="str">
        <f t="shared" si="91"/>
        <v>Marine Parkway</v>
      </c>
      <c r="D299" s="4110"/>
      <c r="E299" s="4111"/>
      <c r="F299" s="4463"/>
      <c r="G299" s="3424">
        <f>G288*$E288*((1+$F288)*Revenues!$I$112-1)</f>
        <v>-1.7891439617514434E-2</v>
      </c>
      <c r="H299" s="3424">
        <f>H288*$E288*((1+$F288)*Revenues!$I$112-1)</f>
        <v>-0.71565758470057739</v>
      </c>
      <c r="I299" s="3424">
        <f>I288*$E288*((1+$F288)*Revenues!$I$112-1)</f>
        <v>-1.7891439617514434E-2</v>
      </c>
      <c r="J299" s="3424">
        <f>J288*$E288*((1+$F288)*Revenues!$I$112-1)</f>
        <v>-0.89457198087572165</v>
      </c>
      <c r="K299" s="3424">
        <f>K288*$E288*((1+$F288)*Revenues!$I$112-1)</f>
        <v>-1.7891439617514434E-2</v>
      </c>
      <c r="L299" s="3424">
        <f t="shared" ref="L299:T299" si="100">L288*$F288*$E288</f>
        <v>0</v>
      </c>
      <c r="M299" s="3424">
        <f>M288*$E288*((1+$F288)*Revenues!$I$112-1)</f>
        <v>-0.12524007732260103</v>
      </c>
      <c r="N299" s="3424">
        <f>N288*$E288*((1+$F288)*Revenues!$I$112-1)</f>
        <v>0</v>
      </c>
      <c r="O299" s="3424">
        <f>O288*$E288*((1+$F288)*Revenues!$I$112-1)</f>
        <v>0</v>
      </c>
      <c r="P299" s="3424">
        <f>P288*$E288*((1+$F288)*Revenues!$I$112-1)</f>
        <v>0</v>
      </c>
      <c r="Q299" s="3424">
        <f>Q288*$E288*((1+$F288)*Revenues!$I$112-1)</f>
        <v>0</v>
      </c>
      <c r="R299" s="3424">
        <f>R288*$E288*((1+$F288)*Revenues!$I$112-1)</f>
        <v>0</v>
      </c>
      <c r="S299" s="3424">
        <f>S288*$E288*((1+$F288)*Revenues!$I$112-1)</f>
        <v>0</v>
      </c>
      <c r="T299" s="3424">
        <f t="shared" si="100"/>
        <v>0</v>
      </c>
      <c r="U299" s="3424">
        <f>U288*$E288*((1+$F288)*Revenues!$I$112-1)</f>
        <v>0</v>
      </c>
      <c r="V299" s="3424">
        <f>V288*$E288*((1+$F288)*Revenues!$I$112-1)</f>
        <v>0</v>
      </c>
      <c r="W299" s="3424">
        <f>W288*$E288*((1+$F288)*Revenues!$I$112-1)</f>
        <v>0</v>
      </c>
      <c r="X299" s="3424">
        <f t="shared" si="94"/>
        <v>-1.7891439617514433</v>
      </c>
      <c r="AA299" s="117">
        <f>ROW()</f>
        <v>299</v>
      </c>
    </row>
    <row r="300" spans="2:27" s="3411" customFormat="1" ht="14.1" customHeight="1">
      <c r="B300" s="3422" t="str">
        <f t="shared" si="91"/>
        <v>Cross Bay</v>
      </c>
      <c r="D300" s="4110"/>
      <c r="E300" s="4111"/>
      <c r="F300" s="4463"/>
      <c r="G300" s="3424">
        <f>G289*$E289*((1+$F289)*Revenues!$I$112-1)</f>
        <v>-1.7186632508641216E-2</v>
      </c>
      <c r="H300" s="3424">
        <f>H289*$E289*((1+$F289)*Revenues!$I$112-1)</f>
        <v>-0.17186632508641217</v>
      </c>
      <c r="I300" s="3424">
        <f>I289*$E289*((1+$F289)*Revenues!$I$112-1)</f>
        <v>-1.7186632508641216E-2</v>
      </c>
      <c r="J300" s="3424">
        <f>J289*$E289*((1+$F289)*Revenues!$I$112-1)</f>
        <v>-1.4608637632345034</v>
      </c>
      <c r="K300" s="3424">
        <f>K289*$E289*((1+$F289)*Revenues!$I$112-1)</f>
        <v>-1.7186632508641216E-2</v>
      </c>
      <c r="L300" s="3424">
        <f t="shared" ref="L300:T300" si="101">L289*$F289*$E289</f>
        <v>0</v>
      </c>
      <c r="M300" s="3424">
        <f>M289*$E289*((1+$F289)*Revenues!$I$112-1)</f>
        <v>-3.4373265017282432E-2</v>
      </c>
      <c r="N300" s="3424">
        <f>N289*$E289*((1+$F289)*Revenues!$I$112-1)</f>
        <v>0</v>
      </c>
      <c r="O300" s="3424">
        <f>O289*$E289*((1+$F289)*Revenues!$I$112-1)</f>
        <v>0</v>
      </c>
      <c r="P300" s="3424">
        <f>P289*$E289*((1+$F289)*Revenues!$I$112-1)</f>
        <v>0</v>
      </c>
      <c r="Q300" s="3424">
        <f>Q289*$E289*((1+$F289)*Revenues!$I$112-1)</f>
        <v>0</v>
      </c>
      <c r="R300" s="3424">
        <f>R289*$E289*((1+$F289)*Revenues!$I$112-1)</f>
        <v>0</v>
      </c>
      <c r="S300" s="3424">
        <f>S289*$E289*((1+$F289)*Revenues!$I$112-1)</f>
        <v>0</v>
      </c>
      <c r="T300" s="3424">
        <f t="shared" si="101"/>
        <v>0</v>
      </c>
      <c r="U300" s="3424">
        <f>U289*$E289*((1+$F289)*Revenues!$I$112-1)</f>
        <v>0</v>
      </c>
      <c r="V300" s="3424">
        <f>V289*$E289*((1+$F289)*Revenues!$I$112-1)</f>
        <v>0</v>
      </c>
      <c r="W300" s="3424">
        <f>W289*$E289*((1+$F289)*Revenues!$I$112-1)</f>
        <v>0</v>
      </c>
      <c r="X300" s="3424">
        <f t="shared" si="94"/>
        <v>-1.7186632508641215</v>
      </c>
      <c r="AA300" s="117">
        <f>ROW()</f>
        <v>300</v>
      </c>
    </row>
    <row r="301" spans="2:27" s="2" customFormat="1" ht="14.1" customHeight="1">
      <c r="B301" s="518" t="s">
        <v>837</v>
      </c>
      <c r="D301" s="4112"/>
      <c r="E301" s="4113"/>
      <c r="F301" s="4464"/>
      <c r="G301" s="3425">
        <f>SUM(G292:G300)</f>
        <v>-24.300398727218958</v>
      </c>
      <c r="H301" s="3425">
        <f>SUM(H292:H300)</f>
        <v>-14.95867682545507</v>
      </c>
      <c r="I301" s="3425">
        <f>SUM(I292:I300)</f>
        <v>-6.5908182965900206</v>
      </c>
      <c r="J301" s="3425">
        <f>SUM(J292:J300)</f>
        <v>-27.923316932135318</v>
      </c>
      <c r="K301" s="3425">
        <f>SUM(K292:K300)</f>
        <v>-20.049416838912691</v>
      </c>
      <c r="L301" s="3426"/>
      <c r="M301" s="3425">
        <f t="shared" ref="M301:S301" si="102">SUM(M292:M300)</f>
        <v>-26.156226917867912</v>
      </c>
      <c r="N301" s="3425">
        <f t="shared" si="102"/>
        <v>-7.396066933501368</v>
      </c>
      <c r="O301" s="3425">
        <f t="shared" si="102"/>
        <v>-12.549700616615501</v>
      </c>
      <c r="P301" s="3425">
        <f t="shared" si="102"/>
        <v>-1.2266261549369812</v>
      </c>
      <c r="Q301" s="3425">
        <f t="shared" si="102"/>
        <v>-1.3668839541525146</v>
      </c>
      <c r="R301" s="3425">
        <f t="shared" si="102"/>
        <v>-1.0863683557214481</v>
      </c>
      <c r="S301" s="3425">
        <f t="shared" si="102"/>
        <v>-7.0128899607766623E-2</v>
      </c>
      <c r="T301" s="3426"/>
      <c r="U301" s="3425">
        <f>SUM(U292:U300)</f>
        <v>-6.6067978728903558</v>
      </c>
      <c r="V301" s="3425">
        <f>SUM(V292:V300)</f>
        <v>-2.1026078118351292</v>
      </c>
      <c r="W301" s="3425">
        <f>SUM(W292:W300)</f>
        <v>0</v>
      </c>
      <c r="X301" s="3425">
        <f>SUM(X292:X300)</f>
        <v>-152.38403513744106</v>
      </c>
      <c r="AA301" s="117">
        <f>ROW()</f>
        <v>301</v>
      </c>
    </row>
    <row r="302" spans="2:27" s="3411" customFormat="1" ht="14.1" customHeight="1">
      <c r="B302" s="3033"/>
      <c r="L302" s="1955"/>
      <c r="T302" s="1955"/>
      <c r="AA302" s="117">
        <f>ROW()</f>
        <v>302</v>
      </c>
    </row>
    <row r="303" spans="2:27" s="3421" customFormat="1" ht="14.1" customHeight="1">
      <c r="B303" s="2" t="s">
        <v>5584</v>
      </c>
      <c r="C303" s="6"/>
      <c r="D303" s="6"/>
      <c r="E303" s="6"/>
      <c r="F303" s="6"/>
      <c r="G303" s="3100">
        <f ca="1">G271+G301</f>
        <v>83.602132994857271</v>
      </c>
      <c r="H303" s="3100">
        <f ca="1">H271+H301</f>
        <v>155.48170411083626</v>
      </c>
      <c r="I303" s="3100">
        <f ca="1">I271+I301</f>
        <v>163.06180015913222</v>
      </c>
      <c r="J303" s="3100">
        <f ca="1">J271+J301</f>
        <v>203.91787165740723</v>
      </c>
      <c r="K303" s="3100">
        <f ca="1">K271+K301</f>
        <v>37.176541770431498</v>
      </c>
      <c r="L303" s="3087">
        <f ca="1">SUM(G303:K303)</f>
        <v>643.24005069266445</v>
      </c>
      <c r="M303" s="3100">
        <f t="shared" ref="M303:S303" ca="1" si="103">M271+M301</f>
        <v>58.62557643935898</v>
      </c>
      <c r="N303" s="3100">
        <f t="shared" ca="1" si="103"/>
        <v>31.372109903876584</v>
      </c>
      <c r="O303" s="3100">
        <f t="shared" ca="1" si="103"/>
        <v>55.192993651259421</v>
      </c>
      <c r="P303" s="3100">
        <f t="shared" ca="1" si="103"/>
        <v>23.140130400878967</v>
      </c>
      <c r="Q303" s="3100">
        <f t="shared" ca="1" si="103"/>
        <v>3.77612122494478</v>
      </c>
      <c r="R303" s="3100">
        <f t="shared" ca="1" si="103"/>
        <v>6.3291245816311443</v>
      </c>
      <c r="S303" s="3100">
        <f t="shared" ca="1" si="103"/>
        <v>7.796098240167888</v>
      </c>
      <c r="T303" s="3087">
        <f ca="1">SUM(L303:S303)</f>
        <v>829.47220513478214</v>
      </c>
      <c r="U303" s="3100">
        <f ca="1">U271+U301</f>
        <v>81.879182778470536</v>
      </c>
      <c r="V303" s="3100">
        <f ca="1">V271+V301</f>
        <v>24.079774868028231</v>
      </c>
      <c r="W303" s="3100">
        <f ca="1">W271+W301</f>
        <v>19.133391781451163</v>
      </c>
      <c r="X303" s="3100">
        <f ca="1">X271+X301</f>
        <v>954.56455456273216</v>
      </c>
      <c r="AA303" s="117">
        <f>ROW()</f>
        <v>303</v>
      </c>
    </row>
    <row r="304" spans="2:27" s="3421" customFormat="1" ht="14.1" customHeight="1">
      <c r="B304" s="265" t="str">
        <f>CONCATENATE("Sum of Rows ",AA271, " and ",AA301, ".")</f>
        <v>Sum of Rows 271 and 301.</v>
      </c>
      <c r="L304" s="876"/>
      <c r="T304" s="51"/>
      <c r="X304" s="812"/>
      <c r="AA304" s="117">
        <f>ROW()</f>
        <v>304</v>
      </c>
    </row>
    <row r="305" spans="2:27" s="2" customFormat="1" ht="14.1" customHeight="1">
      <c r="B305" s="2" t="s">
        <v>5535</v>
      </c>
      <c r="G305" s="2082">
        <f ca="1">ROUND(IF($X$271=0,"NA",G303/$X$271)*100,1)/100</f>
        <v>7.5999999999999998E-2</v>
      </c>
      <c r="H305" s="2082">
        <f ca="1">ROUND(IF($X$271=0,"NA",H303/$X$271)*100,1)/100</f>
        <v>0.14000000000000001</v>
      </c>
      <c r="I305" s="2082">
        <f ca="1">ROUND(IF($X$271=0,"NA",I303/$X$271)*100,1)/100</f>
        <v>0.14699999999999999</v>
      </c>
      <c r="J305" s="2082">
        <f ca="1">ROUND(IF($X$271=0,"NA",J303/$X$271)*100,1)/100</f>
        <v>0.184</v>
      </c>
      <c r="K305" s="2082">
        <f ca="1">ROUND(IF($X$271=0,"NA",K303/$X$271)*100,1)/100</f>
        <v>3.4000000000000002E-2</v>
      </c>
      <c r="L305" s="3203">
        <f ca="1">SUM(G305:K305)</f>
        <v>0.58099999999999996</v>
      </c>
      <c r="M305" s="2082">
        <f t="shared" ref="M305:S305" ca="1" si="104">ROUND(IF($X$271=0,"NA",M303/$X$271)*100,1)/100</f>
        <v>5.2999999999999999E-2</v>
      </c>
      <c r="N305" s="2082">
        <f t="shared" ca="1" si="104"/>
        <v>2.7999999999999997E-2</v>
      </c>
      <c r="O305" s="2082">
        <f t="shared" ca="1" si="104"/>
        <v>0.05</v>
      </c>
      <c r="P305" s="2082">
        <f t="shared" ca="1" si="104"/>
        <v>2.1000000000000001E-2</v>
      </c>
      <c r="Q305" s="2082">
        <f t="shared" ca="1" si="104"/>
        <v>3.0000000000000001E-3</v>
      </c>
      <c r="R305" s="2082">
        <f t="shared" ca="1" si="104"/>
        <v>6.0000000000000001E-3</v>
      </c>
      <c r="S305" s="2082">
        <f t="shared" ca="1" si="104"/>
        <v>6.9999999999999993E-3</v>
      </c>
      <c r="T305" s="3203">
        <f ca="1">T303/$X$271</f>
        <v>0.74933218475796781</v>
      </c>
      <c r="U305" s="2082">
        <f ca="1">ROUND(IF($X$271=0,"NA",U303/$X$271)*100,1)/100</f>
        <v>7.400000000000001E-2</v>
      </c>
      <c r="V305" s="2082">
        <f ca="1">ROUND(IF($X$271=0,"NA",V303/$X$271)*100,1)/100</f>
        <v>2.2000000000000002E-2</v>
      </c>
      <c r="W305" s="2082">
        <f ca="1">ROUND(IF($X$271=0,"NA",W303/$X$271)*100,1)/100</f>
        <v>1.7000000000000001E-2</v>
      </c>
      <c r="X305" s="2082">
        <f ca="1">IF($X$271=0,"NA",X303/$X$271)</f>
        <v>0.8623386518982642</v>
      </c>
      <c r="AA305" s="1824">
        <f>ROW()</f>
        <v>305</v>
      </c>
    </row>
    <row r="306" spans="2:27" s="3421" customFormat="1" ht="14.1" customHeight="1">
      <c r="B306" s="3033" t="str">
        <f>CONCATENATE("Ratio of respective columns in Row ",AA303, " to Row Total in Cell X",AA303, ". Formula includes 'IF' statement to avert dividing by zero in the event user selected 'Baseline' scenario.")</f>
        <v>Ratio of respective columns in Row 303 to Row Total in Cell X303. Formula includes 'IF' statement to avert dividing by zero in the event user selected 'Baseline' scenario.</v>
      </c>
      <c r="L306" s="1955"/>
      <c r="T306" s="1955"/>
      <c r="AA306" s="117">
        <f>ROW()</f>
        <v>306</v>
      </c>
    </row>
    <row r="307" spans="2:27" s="3421" customFormat="1" ht="14.1" customHeight="1">
      <c r="B307" s="3033"/>
      <c r="L307" s="1955"/>
      <c r="T307" s="1955"/>
      <c r="AA307" s="117">
        <f>ROW()</f>
        <v>307</v>
      </c>
    </row>
    <row r="308" spans="2:27" s="3198" customFormat="1" ht="14.1" customHeight="1">
      <c r="B308" s="24" t="s">
        <v>5586</v>
      </c>
      <c r="L308" s="1955"/>
      <c r="T308" s="1955"/>
      <c r="AA308" s="117">
        <f>ROW()</f>
        <v>308</v>
      </c>
    </row>
    <row r="309" spans="2:27" s="3198" customFormat="1" ht="14.1" customHeight="1">
      <c r="B309" s="3033"/>
      <c r="L309" s="1955"/>
      <c r="T309" s="1955"/>
      <c r="AA309" s="117">
        <f>ROW()</f>
        <v>309</v>
      </c>
    </row>
    <row r="310" spans="2:27" ht="14.1" customHeight="1">
      <c r="B310" s="2" t="s">
        <v>5599</v>
      </c>
      <c r="G310" s="3174" t="str">
        <f>G225</f>
        <v>Bronx</v>
      </c>
      <c r="H310" s="3174" t="str">
        <f t="shared" ref="H310:X310" si="105">H225</f>
        <v>Brooklyn</v>
      </c>
      <c r="I310" s="3174" t="str">
        <f t="shared" si="105"/>
        <v>Manhattan</v>
      </c>
      <c r="J310" s="3174" t="str">
        <f t="shared" si="105"/>
        <v>Queens</v>
      </c>
      <c r="K310" s="3174" t="str">
        <f t="shared" si="105"/>
        <v>S.I.</v>
      </c>
      <c r="L310" s="3194" t="str">
        <f t="shared" si="105"/>
        <v>NYC</v>
      </c>
      <c r="M310" s="3174" t="str">
        <f t="shared" si="105"/>
        <v>Nassau</v>
      </c>
      <c r="N310" s="3174" t="str">
        <f t="shared" si="105"/>
        <v>Suffolk</v>
      </c>
      <c r="O310" s="3174" t="str">
        <f t="shared" si="105"/>
        <v>Westchester</v>
      </c>
      <c r="P310" s="3174" t="str">
        <f t="shared" si="105"/>
        <v>Rockland</v>
      </c>
      <c r="Q310" s="3174" t="str">
        <f t="shared" si="105"/>
        <v>Putnam</v>
      </c>
      <c r="R310" s="3174" t="str">
        <f t="shared" si="105"/>
        <v>Dutchess</v>
      </c>
      <c r="S310" s="3174" t="str">
        <f t="shared" si="105"/>
        <v>Orange</v>
      </c>
      <c r="T310" s="3194" t="str">
        <f t="shared" si="105"/>
        <v>MTA Reg Tot</v>
      </c>
      <c r="U310" s="3174" t="str">
        <f t="shared" si="105"/>
        <v>NJ</v>
      </c>
      <c r="V310" s="3174" t="str">
        <f t="shared" si="105"/>
        <v>CT</v>
      </c>
      <c r="W310" s="3174" t="str">
        <f t="shared" si="105"/>
        <v>Other</v>
      </c>
      <c r="X310" s="3174" t="str">
        <f t="shared" si="105"/>
        <v>Total</v>
      </c>
      <c r="AA310" s="117">
        <f>ROW()</f>
        <v>310</v>
      </c>
    </row>
    <row r="311" spans="2:27" ht="14.1" customHeight="1">
      <c r="L311" s="1955"/>
      <c r="T311" s="1955"/>
      <c r="AA311" s="117">
        <f>ROW()</f>
        <v>311</v>
      </c>
    </row>
    <row r="312" spans="2:27" s="3188" customFormat="1" ht="14.1" customHeight="1">
      <c r="B312" s="2" t="s">
        <v>5547</v>
      </c>
      <c r="G312" s="5">
        <f>G187*1000/12</f>
        <v>1418253.1221002529</v>
      </c>
      <c r="H312" s="5">
        <f>H187*1000/12</f>
        <v>2305195.625613715</v>
      </c>
      <c r="I312" s="5">
        <f>I187*1000/12</f>
        <v>1252562.1706172042</v>
      </c>
      <c r="J312" s="5">
        <f>J187*1000/12</f>
        <v>3217407.2151161451</v>
      </c>
      <c r="K312" s="5">
        <f>K187*1000/12</f>
        <v>938805.20623145392</v>
      </c>
      <c r="L312" s="3195">
        <f>SUM(G312:K312)</f>
        <v>9132223.3396787718</v>
      </c>
      <c r="M312" s="5">
        <f t="shared" ref="M312:S312" si="106">M187*1000/12</f>
        <v>1199246.950508544</v>
      </c>
      <c r="N312" s="5">
        <f t="shared" si="106"/>
        <v>547391.70974716789</v>
      </c>
      <c r="O312" s="5">
        <f t="shared" si="106"/>
        <v>836122.39317331056</v>
      </c>
      <c r="P312" s="5">
        <f t="shared" si="106"/>
        <v>420291.39004541398</v>
      </c>
      <c r="Q312" s="5">
        <f t="shared" si="106"/>
        <v>64069.609859647513</v>
      </c>
      <c r="R312" s="5">
        <f t="shared" si="106"/>
        <v>94262.290343517263</v>
      </c>
      <c r="S312" s="5">
        <f t="shared" si="106"/>
        <v>133667.7678754252</v>
      </c>
      <c r="T312" s="3206">
        <f>SUM(L312:S312)</f>
        <v>12427275.451231798</v>
      </c>
      <c r="U312" s="5">
        <f>U187*1000/12</f>
        <v>3176346.9184488957</v>
      </c>
      <c r="V312" s="5">
        <f>V187*1000/12</f>
        <v>305251.03242835141</v>
      </c>
      <c r="W312" s="5">
        <f>W187*1000/12</f>
        <v>142080.9326430588</v>
      </c>
      <c r="X312" s="5">
        <f>SUM(T312:W312)</f>
        <v>16050954.334752105</v>
      </c>
      <c r="AA312" s="117">
        <f>ROW()</f>
        <v>312</v>
      </c>
    </row>
    <row r="313" spans="2:27" s="3192" customFormat="1" ht="14.1" customHeight="1">
      <c r="B313" s="265" t="str">
        <f>CONCATENATE("Row ",AA187, " divided by 12.")</f>
        <v>Row 187 divided by 12.</v>
      </c>
      <c r="G313" s="10"/>
      <c r="L313" s="1955"/>
      <c r="T313" s="1955"/>
      <c r="AA313" s="117">
        <f>ROW()</f>
        <v>313</v>
      </c>
    </row>
    <row r="314" spans="2:27" s="3192" customFormat="1" ht="14.1" customHeight="1">
      <c r="B314" s="265"/>
      <c r="G314" s="10"/>
      <c r="L314" s="1955"/>
      <c r="T314" s="1955"/>
      <c r="AA314" s="117">
        <f>ROW()</f>
        <v>314</v>
      </c>
    </row>
    <row r="315" spans="2:27" s="3188" customFormat="1" ht="14.1" customHeight="1">
      <c r="B315" s="2" t="s">
        <v>5562</v>
      </c>
      <c r="L315" s="1955"/>
      <c r="R315" s="3192"/>
      <c r="T315" s="1955"/>
      <c r="AA315" s="117">
        <f>ROW()</f>
        <v>315</v>
      </c>
    </row>
    <row r="316" spans="2:27" s="3188" customFormat="1" ht="14.1" customHeight="1">
      <c r="B316" s="1" t="s">
        <v>5557</v>
      </c>
      <c r="G316" s="10">
        <f>G70+G105</f>
        <v>27696.875614577119</v>
      </c>
      <c r="H316" s="10">
        <f>H70+H105</f>
        <v>45017.857189936214</v>
      </c>
      <c r="I316" s="10">
        <f>I70+I105</f>
        <v>24993.990226230369</v>
      </c>
      <c r="J316" s="10">
        <f>J70+J105</f>
        <v>62832.315367338007</v>
      </c>
      <c r="K316" s="10">
        <f>K70+K105</f>
        <v>18333.801363189938</v>
      </c>
      <c r="L316" s="3195">
        <f>SUM(G316:K316)</f>
        <v>178874.83976127164</v>
      </c>
      <c r="M316" s="10">
        <f t="shared" ref="M316:W316" si="107">M70+M105</f>
        <v>24640.555893006458</v>
      </c>
      <c r="N316" s="10">
        <f t="shared" si="107"/>
        <v>11247.088027760936</v>
      </c>
      <c r="O316" s="10">
        <f t="shared" si="107"/>
        <v>17179.548010228187</v>
      </c>
      <c r="P316" s="10">
        <f t="shared" si="107"/>
        <v>8635.5970998065241</v>
      </c>
      <c r="Q316" s="10">
        <f t="shared" si="107"/>
        <v>1316.4184425237063</v>
      </c>
      <c r="R316" s="10">
        <f t="shared" si="107"/>
        <v>1936.7781029814605</v>
      </c>
      <c r="S316" s="10">
        <f t="shared" si="107"/>
        <v>2746.4302527775008</v>
      </c>
      <c r="T316" s="3195">
        <f>SUM(L316:S316)</f>
        <v>246577.25559035642</v>
      </c>
      <c r="U316" s="10">
        <f t="shared" si="107"/>
        <v>65263.416968814898</v>
      </c>
      <c r="V316" s="10">
        <f t="shared" si="107"/>
        <v>6271.8984799245754</v>
      </c>
      <c r="W316" s="10">
        <f t="shared" si="107"/>
        <v>6054.1945363105851</v>
      </c>
      <c r="X316" s="5">
        <f>SUM(T316:W316)</f>
        <v>324166.76557540649</v>
      </c>
      <c r="AA316" s="117">
        <f>ROW()</f>
        <v>316</v>
      </c>
    </row>
    <row r="317" spans="2:27" s="3192" customFormat="1" ht="14.1" customHeight="1">
      <c r="B317" s="265" t="str">
        <f>CONCATENATE("Sum of Rows ",AA70, " (autos into CBD) and ",AA105, " (autos through CBD).")</f>
        <v>Sum of Rows 70 (autos into CBD) and 105 (autos through CBD).</v>
      </c>
      <c r="G317" s="10"/>
      <c r="H317" s="10"/>
      <c r="I317" s="10"/>
      <c r="J317" s="10"/>
      <c r="K317" s="10"/>
      <c r="L317" s="1955"/>
      <c r="M317" s="10"/>
      <c r="N317" s="10"/>
      <c r="O317" s="10"/>
      <c r="P317" s="10"/>
      <c r="Q317" s="10"/>
      <c r="R317" s="10"/>
      <c r="S317" s="10"/>
      <c r="T317" s="1955"/>
      <c r="AA317" s="117">
        <f>ROW()</f>
        <v>317</v>
      </c>
    </row>
    <row r="318" spans="2:27" s="3188" customFormat="1" ht="14.1" customHeight="1">
      <c r="B318" s="1" t="s">
        <v>5555</v>
      </c>
      <c r="G318" s="10">
        <f>G316*$K75*weekday_per_mo</f>
        <v>490465.50567480311</v>
      </c>
      <c r="H318" s="10">
        <f>H316*$K75*weekday_per_mo</f>
        <v>797191.22107178706</v>
      </c>
      <c r="I318" s="10">
        <f>I316*$K75*weekday_per_mo</f>
        <v>442601.91025616275</v>
      </c>
      <c r="J318" s="10">
        <f>J316*$K75*weekday_per_mo</f>
        <v>1112655.5846299438</v>
      </c>
      <c r="K318" s="10">
        <f>K316*$K75*weekday_per_mo</f>
        <v>324661.06580648845</v>
      </c>
      <c r="L318" s="3205">
        <f>SUM(G318:K318)</f>
        <v>3167575.2874391852</v>
      </c>
      <c r="M318" s="10">
        <f t="shared" ref="M318:S318" si="108">M316*$K76*weekday_per_mo</f>
        <v>410675.93155010761</v>
      </c>
      <c r="N318" s="10">
        <f t="shared" si="108"/>
        <v>187451.46712934892</v>
      </c>
      <c r="O318" s="10">
        <f t="shared" si="108"/>
        <v>286325.8001704698</v>
      </c>
      <c r="P318" s="10">
        <f t="shared" si="108"/>
        <v>143926.61833010873</v>
      </c>
      <c r="Q318" s="10">
        <f t="shared" si="108"/>
        <v>21940.307375395107</v>
      </c>
      <c r="R318" s="10">
        <f t="shared" si="108"/>
        <v>32279.635049691009</v>
      </c>
      <c r="S318" s="10">
        <f t="shared" si="108"/>
        <v>45773.837546291681</v>
      </c>
      <c r="T318" s="3205">
        <f>SUM(L318:S318)</f>
        <v>4295948.8845905978</v>
      </c>
      <c r="U318" s="10">
        <f>U316*$K76*weekday_per_mo</f>
        <v>1087723.6161469149</v>
      </c>
      <c r="V318" s="10">
        <f>V316*$K76*weekday_per_mo</f>
        <v>104531.64133207625</v>
      </c>
      <c r="W318" s="10">
        <f>W316*$K76*weekday_per_mo</f>
        <v>100903.24227184309</v>
      </c>
      <c r="X318" s="5">
        <f>SUM(T318:W318)</f>
        <v>5589107.3843414318</v>
      </c>
      <c r="AA318" s="117">
        <f>ROW()</f>
        <v>318</v>
      </c>
    </row>
    <row r="319" spans="2:27" s="3192" customFormat="1" ht="14.1" customHeight="1">
      <c r="B319" s="265" t="str">
        <f>CONCATENATE("Product of (i) commuting autos, from Row ",AA316, ", (ii) % of weekdays that those autos are used, from Rows ",AA75,"-",AA78, ", and (iii) avg number of weekdays per month, from 'Constants' tab.")</f>
        <v>Product of (i) commuting autos, from Row 316, (ii) % of weekdays that those autos are used, from Rows 75-78, and (iii) avg number of weekdays per month, from 'Constants' tab.</v>
      </c>
      <c r="G319" s="10"/>
      <c r="H319" s="10"/>
      <c r="I319" s="10"/>
      <c r="J319" s="10"/>
      <c r="K319" s="10"/>
      <c r="L319" s="1955"/>
      <c r="M319" s="10"/>
      <c r="N319" s="10"/>
      <c r="O319" s="10"/>
      <c r="P319" s="10"/>
      <c r="Q319" s="10"/>
      <c r="R319" s="10"/>
      <c r="S319" s="10"/>
      <c r="T319" s="1955"/>
      <c r="U319" s="10"/>
      <c r="V319" s="10"/>
      <c r="W319" s="10"/>
      <c r="AA319" s="117">
        <f>ROW()</f>
        <v>319</v>
      </c>
    </row>
    <row r="320" spans="2:27" s="3188" customFormat="1" ht="14.1" customHeight="1">
      <c r="B320" s="1" t="s">
        <v>5558</v>
      </c>
      <c r="G320" s="10">
        <f>G133+G149</f>
        <v>10815.999846794233</v>
      </c>
      <c r="H320" s="10">
        <f>H133+H149</f>
        <v>17580.074490896288</v>
      </c>
      <c r="I320" s="10">
        <f>I133+I149</f>
        <v>9191.5757268646903</v>
      </c>
      <c r="J320" s="10">
        <f>J133+J149</f>
        <v>24536.858338966507</v>
      </c>
      <c r="K320" s="10">
        <f>K133+K149</f>
        <v>7159.5942984649137</v>
      </c>
      <c r="L320" s="3205">
        <f>SUM(G320:K320)</f>
        <v>69284.102701986631</v>
      </c>
      <c r="M320" s="10">
        <f t="shared" ref="M320:S320" si="109">M133+M149</f>
        <v>9184.309010273073</v>
      </c>
      <c r="N320" s="10">
        <f t="shared" si="109"/>
        <v>4192.1429192276082</v>
      </c>
      <c r="O320" s="10">
        <f t="shared" si="109"/>
        <v>6403.3570617430642</v>
      </c>
      <c r="P320" s="10">
        <f t="shared" si="109"/>
        <v>3218.7582373233549</v>
      </c>
      <c r="Q320" s="10">
        <f t="shared" si="109"/>
        <v>490.67049523796038</v>
      </c>
      <c r="R320" s="10">
        <f t="shared" si="109"/>
        <v>721.89802289163617</v>
      </c>
      <c r="S320" s="10">
        <f t="shared" si="109"/>
        <v>1023.6808059931029</v>
      </c>
      <c r="T320" s="3205">
        <f>SUM(L320:S320)</f>
        <v>94518.919254676453</v>
      </c>
      <c r="U320" s="10">
        <f t="shared" ref="U320:W320" si="110">U133+U149</f>
        <v>24325.725081470999</v>
      </c>
      <c r="V320" s="10">
        <f t="shared" si="110"/>
        <v>2337.7335304776261</v>
      </c>
      <c r="W320" s="10">
        <f t="shared" si="110"/>
        <v>1130.974151668308</v>
      </c>
      <c r="X320" s="5">
        <f>SUM(T320:W320)</f>
        <v>122313.35201829339</v>
      </c>
      <c r="AA320" s="117">
        <f>ROW()</f>
        <v>320</v>
      </c>
    </row>
    <row r="321" spans="2:27" s="3192" customFormat="1" ht="14.1" customHeight="1">
      <c r="B321" s="265" t="str">
        <f>CONCATENATE("Sum of Rows ",AA133, " (autos into CBD) and ",AA149, " (autos through CBD).")</f>
        <v>Sum of Rows 133 (autos into CBD) and 149 (autos through CBD).</v>
      </c>
      <c r="G321" s="10"/>
      <c r="H321" s="10"/>
      <c r="I321" s="10"/>
      <c r="J321" s="10"/>
      <c r="K321" s="10"/>
      <c r="L321" s="1955"/>
      <c r="M321" s="10"/>
      <c r="N321" s="10"/>
      <c r="O321" s="10"/>
      <c r="P321" s="10"/>
      <c r="Q321" s="10"/>
      <c r="R321" s="10"/>
      <c r="S321" s="10"/>
      <c r="T321" s="1955"/>
      <c r="U321" s="10"/>
      <c r="V321" s="10"/>
      <c r="W321" s="10"/>
      <c r="AA321" s="117">
        <f>ROW()</f>
        <v>321</v>
      </c>
    </row>
    <row r="322" spans="2:27" s="3188" customFormat="1" ht="14.1" customHeight="1">
      <c r="B322" s="1" t="s">
        <v>5556</v>
      </c>
      <c r="G322" s="10">
        <f>G320*$K151*wkend_per_mo</f>
        <v>74889.532272542987</v>
      </c>
      <c r="H322" s="10">
        <f>H320*$K151*wkend_per_mo</f>
        <v>121723.70327186209</v>
      </c>
      <c r="I322" s="10">
        <f>I320*$K151*wkend_per_mo</f>
        <v>63642.087350489157</v>
      </c>
      <c r="J322" s="10">
        <f>J320*$K151*wkend_per_mo</f>
        <v>169892.18476990663</v>
      </c>
      <c r="K322" s="10">
        <f>K320*$K151*wkend_per_mo</f>
        <v>49572.732606141952</v>
      </c>
      <c r="L322" s="3205">
        <f>SUM(G322:K322)</f>
        <v>479720.2402709428</v>
      </c>
      <c r="M322" s="10">
        <f t="shared" ref="M322:S322" si="111">M320*$K152*wkend_per_mo</f>
        <v>59851.080383612869</v>
      </c>
      <c r="N322" s="10">
        <f t="shared" si="111"/>
        <v>27318.798023633248</v>
      </c>
      <c r="O322" s="10">
        <f t="shared" si="111"/>
        <v>41728.543519025639</v>
      </c>
      <c r="P322" s="10">
        <f t="shared" si="111"/>
        <v>20975.574513223866</v>
      </c>
      <c r="Q322" s="10">
        <f t="shared" si="111"/>
        <v>3197.5360606340423</v>
      </c>
      <c r="R322" s="10">
        <f t="shared" si="111"/>
        <v>4704.3687825104962</v>
      </c>
      <c r="S322" s="10">
        <f t="shared" si="111"/>
        <v>6670.986585721721</v>
      </c>
      <c r="T322" s="3205">
        <f>SUM(L322:S322)</f>
        <v>644167.1281393047</v>
      </c>
      <c r="U322" s="10">
        <f>U320*$K152*wkend_per_mo</f>
        <v>158522.64178091934</v>
      </c>
      <c r="V322" s="10">
        <f>V320*$K152*wkend_per_mo</f>
        <v>15234.230173612532</v>
      </c>
      <c r="W322" s="10">
        <f>W320*$K152*wkend_per_mo</f>
        <v>7370.1815550384745</v>
      </c>
      <c r="X322" s="5">
        <f>SUM(T322:W322)</f>
        <v>825294.181648875</v>
      </c>
      <c r="AA322" s="117">
        <f>ROW()</f>
        <v>322</v>
      </c>
    </row>
    <row r="323" spans="2:27" s="3192" customFormat="1" ht="14.1" customHeight="1">
      <c r="B323" s="265" t="str">
        <f>CONCATENATE("Product of (i) commuting autos, from Row ",AA320, ", (ii) % of weekdays that those autos are used, from Rows ",AA151,"-",AA154, ", and (iii) avg number of weekend days per month, from 'Constants' tab.")</f>
        <v>Product of (i) commuting autos, from Row 320, (ii) % of weekdays that those autos are used, from Rows 151-154, and (iii) avg number of weekend days per month, from 'Constants' tab.</v>
      </c>
      <c r="G323" s="10"/>
      <c r="H323" s="10"/>
      <c r="I323" s="10"/>
      <c r="J323" s="10"/>
      <c r="K323" s="10"/>
      <c r="L323" s="1955"/>
      <c r="M323" s="10"/>
      <c r="N323" s="10"/>
      <c r="O323" s="10"/>
      <c r="P323" s="10"/>
      <c r="Q323" s="10"/>
      <c r="R323" s="10"/>
      <c r="S323" s="10"/>
      <c r="T323" s="1955"/>
      <c r="U323" s="10"/>
      <c r="V323" s="10"/>
      <c r="W323" s="10"/>
      <c r="AA323" s="117">
        <f>ROW()</f>
        <v>323</v>
      </c>
    </row>
    <row r="324" spans="2:27" s="3192" customFormat="1" ht="14.1" customHeight="1">
      <c r="B324" s="1" t="s">
        <v>5577</v>
      </c>
      <c r="G324" s="39">
        <v>0.1</v>
      </c>
      <c r="H324" s="39">
        <v>0.1</v>
      </c>
      <c r="I324" s="39">
        <v>0.1</v>
      </c>
      <c r="J324" s="39">
        <v>0.1</v>
      </c>
      <c r="K324" s="39">
        <v>0.1</v>
      </c>
      <c r="L324" s="1955"/>
      <c r="M324" s="39">
        <v>0.1</v>
      </c>
      <c r="N324" s="39">
        <v>0.1</v>
      </c>
      <c r="O324" s="39">
        <v>0.1</v>
      </c>
      <c r="P324" s="39">
        <v>0.1</v>
      </c>
      <c r="Q324" s="39">
        <v>0.1</v>
      </c>
      <c r="R324" s="39">
        <v>0.1</v>
      </c>
      <c r="S324" s="39">
        <v>0.1</v>
      </c>
      <c r="T324" s="3205"/>
      <c r="U324" s="39">
        <v>0.1</v>
      </c>
      <c r="V324" s="39">
        <v>0.1</v>
      </c>
      <c r="W324" s="39">
        <v>0.1</v>
      </c>
      <c r="X324" s="5"/>
      <c r="AA324" s="117">
        <f>ROW()</f>
        <v>324</v>
      </c>
    </row>
    <row r="325" spans="2:27" s="3192" customFormat="1" ht="14.1" customHeight="1">
      <c r="B325" s="265" t="s">
        <v>451</v>
      </c>
      <c r="G325" s="10"/>
      <c r="H325" s="10"/>
      <c r="I325" s="10"/>
      <c r="J325" s="10"/>
      <c r="K325" s="10"/>
      <c r="L325" s="1955"/>
      <c r="M325" s="10"/>
      <c r="N325" s="10"/>
      <c r="O325" s="10"/>
      <c r="P325" s="10"/>
      <c r="Q325" s="10"/>
      <c r="R325" s="10"/>
      <c r="S325" s="10"/>
      <c r="T325" s="1955"/>
      <c r="U325" s="10"/>
      <c r="V325" s="10"/>
      <c r="W325" s="10"/>
      <c r="AA325" s="117">
        <f>ROW()</f>
        <v>325</v>
      </c>
    </row>
    <row r="326" spans="2:27" s="3192" customFormat="1" ht="14.1" customHeight="1">
      <c r="B326" s="1" t="s">
        <v>5561</v>
      </c>
      <c r="G326" s="10">
        <f>G316+(1-G324)*G320</f>
        <v>37431.275476691924</v>
      </c>
      <c r="H326" s="10">
        <f>H316+(1-H324)*H320</f>
        <v>60839.924231742873</v>
      </c>
      <c r="I326" s="10">
        <f>I316+(1-I324)*I320</f>
        <v>33266.408380408589</v>
      </c>
      <c r="J326" s="10">
        <f>J316+(1-J324)*J320</f>
        <v>84915.487872407859</v>
      </c>
      <c r="K326" s="10">
        <f>K316+(1-K324)*K320</f>
        <v>24777.436231808359</v>
      </c>
      <c r="L326" s="3205">
        <f>SUM(G326:K326)</f>
        <v>241230.5321930596</v>
      </c>
      <c r="M326" s="10">
        <f t="shared" ref="M326:S326" si="112">M316+(1-M324)*M320</f>
        <v>32906.434002252223</v>
      </c>
      <c r="N326" s="10">
        <f t="shared" si="112"/>
        <v>15020.016655065783</v>
      </c>
      <c r="O326" s="10">
        <f t="shared" si="112"/>
        <v>22942.569365796946</v>
      </c>
      <c r="P326" s="10">
        <f t="shared" si="112"/>
        <v>11532.479513397544</v>
      </c>
      <c r="Q326" s="10">
        <f t="shared" si="112"/>
        <v>1758.0218882378706</v>
      </c>
      <c r="R326" s="10">
        <f t="shared" si="112"/>
        <v>2586.486323583933</v>
      </c>
      <c r="S326" s="10">
        <f t="shared" si="112"/>
        <v>3667.7429781712935</v>
      </c>
      <c r="T326" s="3205">
        <f>SUM(L326:S326)</f>
        <v>331644.2829195651</v>
      </c>
      <c r="U326" s="10">
        <f t="shared" ref="U326:W326" si="113">U316+(1-U324)*U320</f>
        <v>87156.569542138794</v>
      </c>
      <c r="V326" s="10">
        <f t="shared" si="113"/>
        <v>8375.858657354438</v>
      </c>
      <c r="W326" s="10">
        <f t="shared" si="113"/>
        <v>7072.0712728120625</v>
      </c>
      <c r="X326" s="5">
        <f>SUM(T326:W326)</f>
        <v>434248.78239187039</v>
      </c>
      <c r="AA326" s="117">
        <f>ROW()</f>
        <v>326</v>
      </c>
    </row>
    <row r="327" spans="2:27" s="3192" customFormat="1" ht="14.1" customHeight="1">
      <c r="B327" s="265" t="str">
        <f>CONCATENATE("Sum of Row ",AA316, " (weekday regular autos) and product of Row ",AA320, " (weekend regular autos) and complement of Row ",AA324, "(to adjust for weekend regular autos that are also used on weekdays).")</f>
        <v>Sum of Row 316 (weekday regular autos) and product of Row 320 (weekend regular autos) and complement of Row 324(to adjust for weekend regular autos that are also used on weekdays).</v>
      </c>
      <c r="G327" s="10"/>
      <c r="H327" s="10"/>
      <c r="I327" s="10"/>
      <c r="J327" s="10"/>
      <c r="K327" s="10"/>
      <c r="L327" s="1955"/>
      <c r="M327" s="10"/>
      <c r="N327" s="10"/>
      <c r="O327" s="10"/>
      <c r="P327" s="10"/>
      <c r="Q327" s="10"/>
      <c r="R327" s="10"/>
      <c r="S327" s="10"/>
      <c r="T327" s="1955"/>
      <c r="U327" s="10"/>
      <c r="V327" s="10"/>
      <c r="W327" s="10"/>
      <c r="AA327" s="117">
        <f>ROW()</f>
        <v>327</v>
      </c>
    </row>
    <row r="328" spans="2:27" s="3188" customFormat="1" ht="14.1" customHeight="1">
      <c r="B328" s="1" t="s">
        <v>5567</v>
      </c>
      <c r="G328" s="10">
        <f>G318+G322</f>
        <v>565355.03794734611</v>
      </c>
      <c r="H328" s="10">
        <f>H318+H322</f>
        <v>918914.92434364918</v>
      </c>
      <c r="I328" s="10">
        <f>I318+I322</f>
        <v>506243.99760665192</v>
      </c>
      <c r="J328" s="10">
        <f>J318+J322</f>
        <v>1282547.7693998504</v>
      </c>
      <c r="K328" s="10">
        <f>K318+K322</f>
        <v>374233.79841263039</v>
      </c>
      <c r="L328" s="3205">
        <f>SUM(G328:K328)</f>
        <v>3647295.5277101276</v>
      </c>
      <c r="M328" s="10">
        <f t="shared" ref="M328:S328" si="114">M318+M322</f>
        <v>470527.0119337205</v>
      </c>
      <c r="N328" s="10">
        <f t="shared" si="114"/>
        <v>214770.26515298217</v>
      </c>
      <c r="O328" s="10">
        <f t="shared" si="114"/>
        <v>328054.34368949546</v>
      </c>
      <c r="P328" s="10">
        <f t="shared" si="114"/>
        <v>164902.1928433326</v>
      </c>
      <c r="Q328" s="10">
        <f t="shared" si="114"/>
        <v>25137.84343602915</v>
      </c>
      <c r="R328" s="10">
        <f t="shared" si="114"/>
        <v>36984.003832201503</v>
      </c>
      <c r="S328" s="10">
        <f t="shared" si="114"/>
        <v>52444.824132013404</v>
      </c>
      <c r="T328" s="3205">
        <f>SUM(L328:S328)</f>
        <v>4940116.0127299028</v>
      </c>
      <c r="U328" s="10">
        <f t="shared" ref="U328:W328" si="115">U318+U322</f>
        <v>1246246.2579278343</v>
      </c>
      <c r="V328" s="10">
        <f t="shared" si="115"/>
        <v>119765.87150568879</v>
      </c>
      <c r="W328" s="10">
        <f t="shared" si="115"/>
        <v>108273.42382688157</v>
      </c>
      <c r="X328" s="5">
        <f>SUM(T328:W328)</f>
        <v>6414401.5659903074</v>
      </c>
      <c r="AA328" s="117">
        <f>ROW()</f>
        <v>328</v>
      </c>
    </row>
    <row r="329" spans="2:27" s="3192" customFormat="1" ht="14.1" customHeight="1">
      <c r="B329" s="265" t="str">
        <f>CONCATENATE("Sum of Rows ",AA318, " (weekdays) and ",AA322, " (weekends).")</f>
        <v>Sum of Rows 318 (weekdays) and 322 (weekends).</v>
      </c>
      <c r="G329" s="10"/>
      <c r="H329" s="10"/>
      <c r="I329" s="10"/>
      <c r="J329" s="10"/>
      <c r="K329" s="10"/>
      <c r="L329" s="1955"/>
      <c r="M329" s="10"/>
      <c r="N329" s="10"/>
      <c r="O329" s="10"/>
      <c r="P329" s="10"/>
      <c r="Q329" s="10"/>
      <c r="R329" s="10"/>
      <c r="S329" s="10"/>
      <c r="T329" s="1955"/>
      <c r="U329" s="10"/>
      <c r="V329" s="10"/>
      <c r="W329" s="10"/>
      <c r="AA329" s="117">
        <f>ROW()</f>
        <v>329</v>
      </c>
    </row>
    <row r="330" spans="2:27" s="3188" customFormat="1" ht="14.1" customHeight="1">
      <c r="B330" s="1" t="s">
        <v>5559</v>
      </c>
      <c r="G330" s="10">
        <f>G83+G103</f>
        <v>3550.590472297582</v>
      </c>
      <c r="H330" s="10">
        <f>H83+H103</f>
        <v>5771.0471407004288</v>
      </c>
      <c r="I330" s="10">
        <f>I83+I103</f>
        <v>3186.7337538443717</v>
      </c>
      <c r="J330" s="10">
        <f>J83+J103</f>
        <v>8054.7648550745562</v>
      </c>
      <c r="K330" s="10">
        <f>K83+K103</f>
        <v>2350.2947172452218</v>
      </c>
      <c r="L330" s="3205">
        <f>SUM(G330:K330)</f>
        <v>22913.430939162161</v>
      </c>
      <c r="M330" s="10">
        <f t="shared" ref="M330:S330" si="116">M83+M103</f>
        <v>3014.9519719323625</v>
      </c>
      <c r="N330" s="10">
        <f t="shared" si="116"/>
        <v>1376.1633615343458</v>
      </c>
      <c r="O330" s="10">
        <f t="shared" si="116"/>
        <v>2102.043167177284</v>
      </c>
      <c r="P330" s="10">
        <f t="shared" si="116"/>
        <v>1056.6283738860229</v>
      </c>
      <c r="Q330" s="10">
        <f t="shared" si="116"/>
        <v>161.07341069774535</v>
      </c>
      <c r="R330" s="10">
        <f t="shared" si="116"/>
        <v>236.97894585392442</v>
      </c>
      <c r="S330" s="10">
        <f t="shared" si="116"/>
        <v>336.04579954855541</v>
      </c>
      <c r="T330" s="3205">
        <f>SUM(L330:S330)</f>
        <v>31197.315969792398</v>
      </c>
      <c r="U330" s="10">
        <f t="shared" ref="U330:W330" si="117">U83+U103</f>
        <v>7985.4557072317966</v>
      </c>
      <c r="V330" s="10">
        <f t="shared" si="117"/>
        <v>767.41258484250022</v>
      </c>
      <c r="W330" s="10">
        <f t="shared" si="117"/>
        <v>371.26720638023409</v>
      </c>
      <c r="X330" s="5">
        <f>SUM(T330:W330)</f>
        <v>40321.451468246931</v>
      </c>
      <c r="AA330" s="117">
        <f>ROW()</f>
        <v>330</v>
      </c>
    </row>
    <row r="331" spans="2:27" s="3192" customFormat="1" ht="14.1" customHeight="1">
      <c r="B331" s="265" t="str">
        <f>CONCATENATE("Sum of Rows ",AA83, " (other autos into CBD) and ",AA103, " (other autos through CBD).")</f>
        <v>Sum of Rows 83 (other autos into CBD) and 103 (other autos through CBD).</v>
      </c>
      <c r="G331" s="10"/>
      <c r="H331" s="10"/>
      <c r="I331" s="10"/>
      <c r="J331" s="10"/>
      <c r="K331" s="10"/>
      <c r="L331" s="1955"/>
      <c r="M331" s="10"/>
      <c r="N331" s="10"/>
      <c r="O331" s="10"/>
      <c r="P331" s="10"/>
      <c r="Q331" s="10"/>
      <c r="R331" s="10"/>
      <c r="S331" s="10"/>
      <c r="T331" s="1955"/>
      <c r="U331" s="10"/>
      <c r="V331" s="10"/>
      <c r="W331" s="10"/>
      <c r="AA331" s="117">
        <f>ROW()</f>
        <v>331</v>
      </c>
    </row>
    <row r="332" spans="2:27" s="3188" customFormat="1" ht="14.1" customHeight="1">
      <c r="B332" s="1" t="s">
        <v>5543</v>
      </c>
      <c r="G332" s="10">
        <f>G330*weekday_per_mo</f>
        <v>73970.634839532955</v>
      </c>
      <c r="H332" s="10">
        <f>H330*weekday_per_mo</f>
        <v>120230.14876459226</v>
      </c>
      <c r="I332" s="10">
        <f>I330*weekday_per_mo</f>
        <v>66390.286538424407</v>
      </c>
      <c r="J332" s="10">
        <f>J330*weekday_per_mo</f>
        <v>167807.60114738657</v>
      </c>
      <c r="K332" s="10">
        <f>K330*weekday_per_mo</f>
        <v>48964.473275942117</v>
      </c>
      <c r="L332" s="3205">
        <f>SUM(G332:K332)</f>
        <v>477363.14456587832</v>
      </c>
      <c r="M332" s="10">
        <f t="shared" ref="M332:S332" si="118">M330*weekday_per_mo</f>
        <v>62811.499415257553</v>
      </c>
      <c r="N332" s="10">
        <f t="shared" si="118"/>
        <v>28670.070031965533</v>
      </c>
      <c r="O332" s="10">
        <f t="shared" si="118"/>
        <v>43792.565982860084</v>
      </c>
      <c r="P332" s="10">
        <f t="shared" si="118"/>
        <v>22013.091122625476</v>
      </c>
      <c r="Q332" s="10">
        <f t="shared" si="118"/>
        <v>3355.6960562030276</v>
      </c>
      <c r="R332" s="10">
        <f t="shared" si="118"/>
        <v>4937.0613719567582</v>
      </c>
      <c r="S332" s="10">
        <f t="shared" si="118"/>
        <v>7000.9541572615708</v>
      </c>
      <c r="T332" s="3205">
        <f>SUM(L332:S332)</f>
        <v>649944.08270400821</v>
      </c>
      <c r="U332" s="10">
        <f t="shared" ref="U332:W332" si="119">U330*weekday_per_mo</f>
        <v>166363.66056732909</v>
      </c>
      <c r="V332" s="10">
        <f t="shared" si="119"/>
        <v>15987.762184218755</v>
      </c>
      <c r="W332" s="10">
        <f t="shared" si="119"/>
        <v>7734.7334662548765</v>
      </c>
      <c r="X332" s="5">
        <f>SUM(T332:W332)</f>
        <v>840030.23892181099</v>
      </c>
      <c r="AA332" s="117">
        <f>ROW()</f>
        <v>332</v>
      </c>
    </row>
    <row r="333" spans="2:27" s="3192" customFormat="1" ht="14.1" customHeight="1">
      <c r="B333" s="265" t="str">
        <f>CONCATENATE("Product of (i) commuting autos, from Row ",AA330, ", and (ii) avg number of weekdays per month, from 'Constants' tab.")</f>
        <v>Product of (i) commuting autos, from Row 330, and (ii) avg number of weekdays per month, from 'Constants' tab.</v>
      </c>
      <c r="G333" s="10"/>
      <c r="H333" s="10"/>
      <c r="I333" s="10"/>
      <c r="J333" s="10"/>
      <c r="K333" s="10"/>
      <c r="L333" s="1955"/>
      <c r="M333" s="10"/>
      <c r="N333" s="10"/>
      <c r="O333" s="10"/>
      <c r="P333" s="10"/>
      <c r="Q333" s="10"/>
      <c r="R333" s="10"/>
      <c r="S333" s="10"/>
      <c r="T333" s="1955"/>
      <c r="U333" s="10"/>
      <c r="V333" s="10"/>
      <c r="W333" s="10"/>
      <c r="AA333" s="117">
        <f>ROW()</f>
        <v>333</v>
      </c>
    </row>
    <row r="334" spans="2:27" s="3188" customFormat="1" ht="14.1" customHeight="1">
      <c r="B334" s="1" t="s">
        <v>5560</v>
      </c>
      <c r="G334" s="10">
        <f>G143+G159</f>
        <v>2735.0959612580909</v>
      </c>
      <c r="H334" s="10">
        <f>H143+H159</f>
        <v>4445.5613368853983</v>
      </c>
      <c r="I334" s="10">
        <f>I143+I159</f>
        <v>2324.3197119309079</v>
      </c>
      <c r="J334" s="10">
        <f>J143+J159</f>
        <v>6204.7580524661544</v>
      </c>
      <c r="K334" s="10">
        <f>K143+K159</f>
        <v>1810.4824082243149</v>
      </c>
      <c r="L334" s="3205">
        <f>SUM(G334:K334)</f>
        <v>17520.217470764866</v>
      </c>
      <c r="M334" s="10">
        <f t="shared" ref="M334:S334" si="120">M143+M159</f>
        <v>2185.8655444449914</v>
      </c>
      <c r="N334" s="10">
        <f t="shared" si="120"/>
        <v>997.73001477617095</v>
      </c>
      <c r="O334" s="10">
        <f t="shared" si="120"/>
        <v>1523.9989806948493</v>
      </c>
      <c r="P334" s="10">
        <f t="shared" si="120"/>
        <v>766.06446048295857</v>
      </c>
      <c r="Q334" s="10">
        <f t="shared" si="120"/>
        <v>116.77957786663455</v>
      </c>
      <c r="R334" s="10">
        <f t="shared" si="120"/>
        <v>171.81172944820941</v>
      </c>
      <c r="S334" s="10">
        <f t="shared" si="120"/>
        <v>243.63603182635848</v>
      </c>
      <c r="T334" s="3205">
        <f>SUM(L334:S334)</f>
        <v>23526.103810305038</v>
      </c>
      <c r="U334" s="10">
        <f t="shared" ref="U334:W334" si="121">U143+U159</f>
        <v>5789.5225693900975</v>
      </c>
      <c r="V334" s="10">
        <f t="shared" si="121"/>
        <v>556.38058025367491</v>
      </c>
      <c r="W334" s="10">
        <f t="shared" si="121"/>
        <v>117.76268354246253</v>
      </c>
      <c r="X334" s="5">
        <f>SUM(T334:W334)</f>
        <v>29989.769643491272</v>
      </c>
      <c r="AA334" s="117">
        <f>ROW()</f>
        <v>334</v>
      </c>
    </row>
    <row r="335" spans="2:27" s="3192" customFormat="1" ht="14.1" customHeight="1">
      <c r="B335" s="265" t="str">
        <f>CONCATENATE("Sum of Rows ",AA143, " (other autos into CBD) and ",AA159, " (other autos through CBD).")</f>
        <v>Sum of Rows 143 (other autos into CBD) and 159 (other autos through CBD).</v>
      </c>
      <c r="G335" s="10"/>
      <c r="H335" s="10"/>
      <c r="I335" s="10"/>
      <c r="J335" s="10"/>
      <c r="K335" s="10"/>
      <c r="L335" s="1955"/>
      <c r="M335" s="10"/>
      <c r="N335" s="10"/>
      <c r="O335" s="10"/>
      <c r="P335" s="10"/>
      <c r="Q335" s="10"/>
      <c r="R335" s="10"/>
      <c r="S335" s="10"/>
      <c r="T335" s="1955"/>
      <c r="U335" s="10"/>
      <c r="V335" s="10"/>
      <c r="W335" s="10"/>
      <c r="AA335" s="117">
        <f>ROW()</f>
        <v>335</v>
      </c>
    </row>
    <row r="336" spans="2:27" s="3188" customFormat="1" ht="14.1" customHeight="1">
      <c r="B336" s="1" t="s">
        <v>5543</v>
      </c>
      <c r="G336" s="10">
        <f>G334*wkend_per_mo</f>
        <v>26211.33629539004</v>
      </c>
      <c r="H336" s="10">
        <f>H334*wkend_per_mo</f>
        <v>42603.296145151733</v>
      </c>
      <c r="I336" s="10">
        <f>I334*wkend_per_mo</f>
        <v>22274.730572671204</v>
      </c>
      <c r="J336" s="10">
        <f>J334*wkend_per_mo</f>
        <v>59462.264669467317</v>
      </c>
      <c r="K336" s="10">
        <f>K334*wkend_per_mo</f>
        <v>17350.456412149684</v>
      </c>
      <c r="L336" s="3205">
        <f>SUM(G336:K336)</f>
        <v>167902.08409482997</v>
      </c>
      <c r="M336" s="10">
        <f t="shared" ref="M336:S336" si="122">M334*wkend_per_mo</f>
        <v>20947.878134264502</v>
      </c>
      <c r="N336" s="10">
        <f t="shared" si="122"/>
        <v>9561.5793082716391</v>
      </c>
      <c r="O336" s="10">
        <f t="shared" si="122"/>
        <v>14604.990231658972</v>
      </c>
      <c r="P336" s="10">
        <f t="shared" si="122"/>
        <v>7341.451079628353</v>
      </c>
      <c r="Q336" s="10">
        <f t="shared" si="122"/>
        <v>1119.1376212219145</v>
      </c>
      <c r="R336" s="10">
        <f t="shared" si="122"/>
        <v>1646.5290738786737</v>
      </c>
      <c r="S336" s="10">
        <f t="shared" si="122"/>
        <v>2334.8453050026023</v>
      </c>
      <c r="T336" s="3205">
        <f>SUM(L336:S336)</f>
        <v>225458.49484875664</v>
      </c>
      <c r="U336" s="10">
        <f t="shared" ref="U336:W336" si="123">U334*wkend_per_mo</f>
        <v>55482.924623321771</v>
      </c>
      <c r="V336" s="10">
        <f t="shared" si="123"/>
        <v>5331.9805607643848</v>
      </c>
      <c r="W336" s="10">
        <f t="shared" si="123"/>
        <v>1128.559050615266</v>
      </c>
      <c r="X336" s="5">
        <f>SUM(T336:W336)</f>
        <v>287401.95908345812</v>
      </c>
      <c r="AA336" s="117">
        <f>ROW()</f>
        <v>336</v>
      </c>
    </row>
    <row r="337" spans="2:27" s="3192" customFormat="1" ht="14.1" customHeight="1">
      <c r="B337" s="265" t="str">
        <f>CONCATENATE("Product of (i) commuting autos, from Row ",AA334, ", and (ii) avg number of weekend days per month, from 'Constants' tab.")</f>
        <v>Product of (i) commuting autos, from Row 334, and (ii) avg number of weekend days per month, from 'Constants' tab.</v>
      </c>
      <c r="G337" s="10"/>
      <c r="H337" s="10"/>
      <c r="I337" s="10"/>
      <c r="J337" s="10"/>
      <c r="K337" s="10"/>
      <c r="L337" s="1955"/>
      <c r="M337" s="10"/>
      <c r="N337" s="10"/>
      <c r="O337" s="10"/>
      <c r="P337" s="10"/>
      <c r="Q337" s="10"/>
      <c r="R337" s="10"/>
      <c r="S337" s="10"/>
      <c r="T337" s="1955"/>
      <c r="U337" s="10"/>
      <c r="V337" s="10"/>
      <c r="W337" s="10"/>
      <c r="AA337" s="117">
        <f>ROW()</f>
        <v>337</v>
      </c>
    </row>
    <row r="338" spans="2:27" s="3188" customFormat="1" ht="14.1" customHeight="1">
      <c r="B338" s="1" t="s">
        <v>5568</v>
      </c>
      <c r="G338" s="10">
        <f>G332+G336</f>
        <v>100181.97113492299</v>
      </c>
      <c r="H338" s="10">
        <f>H332+H336</f>
        <v>162833.44490974399</v>
      </c>
      <c r="I338" s="10">
        <f>I332+I336</f>
        <v>88665.017111095614</v>
      </c>
      <c r="J338" s="10">
        <f>J332+J336</f>
        <v>227269.86581685388</v>
      </c>
      <c r="K338" s="10">
        <f>K332+K336</f>
        <v>66314.929688091797</v>
      </c>
      <c r="L338" s="3205">
        <f>SUM(G338:K338)</f>
        <v>645265.22866070829</v>
      </c>
      <c r="M338" s="10">
        <f t="shared" ref="M338:S338" si="124">M332+M336</f>
        <v>83759.377549522062</v>
      </c>
      <c r="N338" s="10">
        <f t="shared" si="124"/>
        <v>38231.649340237171</v>
      </c>
      <c r="O338" s="10">
        <f t="shared" si="124"/>
        <v>58397.556214519056</v>
      </c>
      <c r="P338" s="10">
        <f t="shared" si="124"/>
        <v>29354.54220225383</v>
      </c>
      <c r="Q338" s="10">
        <f t="shared" si="124"/>
        <v>4474.8336774249419</v>
      </c>
      <c r="R338" s="10">
        <f t="shared" si="124"/>
        <v>6583.5904458354316</v>
      </c>
      <c r="S338" s="10">
        <f t="shared" si="124"/>
        <v>9335.7994622641727</v>
      </c>
      <c r="T338" s="3205">
        <f>SUM(L338:S338)</f>
        <v>875402.57755276491</v>
      </c>
      <c r="U338" s="10">
        <f t="shared" ref="U338:W340" si="125">U332+U336</f>
        <v>221846.58519065086</v>
      </c>
      <c r="V338" s="10">
        <f t="shared" si="125"/>
        <v>21319.742744983138</v>
      </c>
      <c r="W338" s="10">
        <f t="shared" si="125"/>
        <v>8863.2925168701422</v>
      </c>
      <c r="X338" s="5">
        <f>SUM(T338:W338)</f>
        <v>1127432.198005269</v>
      </c>
      <c r="AA338" s="117">
        <f>ROW()</f>
        <v>338</v>
      </c>
    </row>
    <row r="339" spans="2:27" s="3188" customFormat="1" ht="14.1" customHeight="1">
      <c r="B339" s="265" t="str">
        <f>CONCATENATE("Sum of Rows ",AA332, " (weekdays) and ",AA336, " (weekends).")</f>
        <v>Sum of Rows 332 (weekdays) and 336 (weekends).</v>
      </c>
      <c r="H339" s="3192"/>
      <c r="I339" s="3192"/>
      <c r="J339" s="3192"/>
      <c r="K339" s="3192"/>
      <c r="L339" s="1955"/>
      <c r="M339" s="3192"/>
      <c r="N339" s="3192"/>
      <c r="O339" s="3192"/>
      <c r="P339" s="3192"/>
      <c r="Q339" s="3192"/>
      <c r="R339" s="3192"/>
      <c r="S339" s="3192"/>
      <c r="T339" s="1955"/>
      <c r="AA339" s="117">
        <f>ROW()</f>
        <v>339</v>
      </c>
    </row>
    <row r="340" spans="2:27" s="3192" customFormat="1" ht="14.1" customHeight="1">
      <c r="B340" s="2" t="s">
        <v>5563</v>
      </c>
      <c r="G340" s="5">
        <f>G328+G338</f>
        <v>665537.00908226916</v>
      </c>
      <c r="H340" s="5">
        <f>H328+H338</f>
        <v>1081748.3692533933</v>
      </c>
      <c r="I340" s="5">
        <f>I328+I338</f>
        <v>594909.01471774757</v>
      </c>
      <c r="J340" s="5">
        <f>J328+J338</f>
        <v>1509817.6352167043</v>
      </c>
      <c r="K340" s="5">
        <f>K328+K338</f>
        <v>440548.72810072219</v>
      </c>
      <c r="L340" s="3195">
        <f>SUM(G340:K340)</f>
        <v>4292560.7563708369</v>
      </c>
      <c r="M340" s="5">
        <f t="shared" ref="M340:S340" si="126">M328+M338</f>
        <v>554286.38948324253</v>
      </c>
      <c r="N340" s="5">
        <f t="shared" si="126"/>
        <v>253001.91449321934</v>
      </c>
      <c r="O340" s="5">
        <f t="shared" si="126"/>
        <v>386451.89990401454</v>
      </c>
      <c r="P340" s="5">
        <f t="shared" si="126"/>
        <v>194256.73504558642</v>
      </c>
      <c r="Q340" s="5">
        <f t="shared" si="126"/>
        <v>29612.67711345409</v>
      </c>
      <c r="R340" s="5">
        <f t="shared" si="126"/>
        <v>43567.594278036937</v>
      </c>
      <c r="S340" s="5">
        <f t="shared" si="126"/>
        <v>61780.623594277575</v>
      </c>
      <c r="T340" s="3195">
        <f>SUM(L340:S340)</f>
        <v>5815518.5902826674</v>
      </c>
      <c r="U340" s="10">
        <f t="shared" si="125"/>
        <v>227636.10776004096</v>
      </c>
      <c r="V340" s="10">
        <f t="shared" si="125"/>
        <v>21876.123325236811</v>
      </c>
      <c r="W340" s="10">
        <f t="shared" si="125"/>
        <v>8981.0552004126039</v>
      </c>
      <c r="X340" s="5">
        <f>SUM(T340:W340)</f>
        <v>6074011.8765683584</v>
      </c>
      <c r="AA340" s="117">
        <f>ROW()</f>
        <v>340</v>
      </c>
    </row>
    <row r="341" spans="2:27" s="3192" customFormat="1" ht="14.1" customHeight="1">
      <c r="B341" s="265" t="str">
        <f>CONCATENATE("Sum of Rows ",AA328, " (regular) and ",AA338, " (other).")</f>
        <v>Sum of Rows 328 (regular) and 338 (other).</v>
      </c>
      <c r="L341" s="1955"/>
      <c r="T341" s="1955"/>
      <c r="AA341" s="117">
        <f>ROW()</f>
        <v>341</v>
      </c>
    </row>
    <row r="342" spans="2:27" s="3192" customFormat="1" ht="14.1" customHeight="1">
      <c r="B342" s="265"/>
      <c r="G342" s="3174" t="str">
        <f t="shared" ref="G342:X342" si="127">G310</f>
        <v>Bronx</v>
      </c>
      <c r="H342" s="3174" t="str">
        <f t="shared" si="127"/>
        <v>Brooklyn</v>
      </c>
      <c r="I342" s="3174" t="str">
        <f t="shared" si="127"/>
        <v>Manhattan</v>
      </c>
      <c r="J342" s="3174" t="str">
        <f t="shared" si="127"/>
        <v>Queens</v>
      </c>
      <c r="K342" s="3174" t="str">
        <f t="shared" si="127"/>
        <v>S.I.</v>
      </c>
      <c r="L342" s="3194" t="str">
        <f t="shared" si="127"/>
        <v>NYC</v>
      </c>
      <c r="M342" s="3174" t="str">
        <f t="shared" si="127"/>
        <v>Nassau</v>
      </c>
      <c r="N342" s="3174" t="str">
        <f t="shared" si="127"/>
        <v>Suffolk</v>
      </c>
      <c r="O342" s="3174" t="str">
        <f t="shared" si="127"/>
        <v>Westchester</v>
      </c>
      <c r="P342" s="3174" t="str">
        <f t="shared" si="127"/>
        <v>Rockland</v>
      </c>
      <c r="Q342" s="3174" t="str">
        <f t="shared" si="127"/>
        <v>Putnam</v>
      </c>
      <c r="R342" s="3174" t="str">
        <f t="shared" si="127"/>
        <v>Dutchess</v>
      </c>
      <c r="S342" s="3174" t="str">
        <f t="shared" si="127"/>
        <v>Orange</v>
      </c>
      <c r="T342" s="3194" t="str">
        <f t="shared" si="127"/>
        <v>MTA Reg Tot</v>
      </c>
      <c r="U342" s="3174" t="str">
        <f t="shared" si="127"/>
        <v>NJ</v>
      </c>
      <c r="V342" s="3174" t="str">
        <f t="shared" si="127"/>
        <v>CT</v>
      </c>
      <c r="W342" s="3174" t="str">
        <f t="shared" si="127"/>
        <v>Other</v>
      </c>
      <c r="X342" s="3174" t="str">
        <f t="shared" si="127"/>
        <v>Total</v>
      </c>
      <c r="AA342" s="117">
        <f>ROW()</f>
        <v>342</v>
      </c>
    </row>
    <row r="343" spans="2:27" s="3192" customFormat="1" ht="14.1" customHeight="1">
      <c r="B343" s="2" t="s">
        <v>5564</v>
      </c>
      <c r="L343" s="1955"/>
      <c r="T343" s="1955"/>
      <c r="AA343" s="117">
        <f>ROW()</f>
        <v>343</v>
      </c>
    </row>
    <row r="344" spans="2:27" s="3188" customFormat="1" ht="14.1" customHeight="1">
      <c r="B344" s="1" t="s">
        <v>5565</v>
      </c>
      <c r="G344" s="10">
        <f>G125</f>
        <v>20774.415890333319</v>
      </c>
      <c r="H344" s="10">
        <f>H125</f>
        <v>33766.252221718183</v>
      </c>
      <c r="I344" s="10">
        <f>I125</f>
        <v>18626.657386839535</v>
      </c>
      <c r="J344" s="10">
        <f>J125</f>
        <v>47128.227348021421</v>
      </c>
      <c r="K344" s="10">
        <f>K125</f>
        <v>13751.515501958285</v>
      </c>
      <c r="L344" s="3205">
        <f>SUM(G344:K344)</f>
        <v>134047.06834887073</v>
      </c>
      <c r="M344" s="10">
        <f t="shared" ref="M344:S344" si="128">M125</f>
        <v>17640.408445576988</v>
      </c>
      <c r="N344" s="10">
        <f t="shared" si="128"/>
        <v>8051.8973473878932</v>
      </c>
      <c r="O344" s="10">
        <f t="shared" si="128"/>
        <v>12299.001902665606</v>
      </c>
      <c r="P344" s="10">
        <f t="shared" si="128"/>
        <v>6182.3061408798549</v>
      </c>
      <c r="Q344" s="10">
        <f t="shared" si="128"/>
        <v>942.43649016049449</v>
      </c>
      <c r="R344" s="10">
        <f t="shared" si="128"/>
        <v>1386.5578744812201</v>
      </c>
      <c r="S344" s="10">
        <f t="shared" si="128"/>
        <v>1966.1955532437903</v>
      </c>
      <c r="T344" s="3205">
        <f>SUM(L344:S344)</f>
        <v>182515.87210326659</v>
      </c>
      <c r="U344" s="10">
        <f t="shared" ref="U344:W344" si="129">U125</f>
        <v>46722.701260593392</v>
      </c>
      <c r="V344" s="10">
        <f t="shared" si="129"/>
        <v>4490.1118057350614</v>
      </c>
      <c r="W344" s="10">
        <f t="shared" si="129"/>
        <v>2172.2751221134813</v>
      </c>
      <c r="X344" s="5">
        <f>SUM(T344:W344)</f>
        <v>235900.96029170853</v>
      </c>
      <c r="AA344" s="117">
        <f>ROW()</f>
        <v>344</v>
      </c>
    </row>
    <row r="345" spans="2:27" s="3192" customFormat="1" ht="14.1" customHeight="1">
      <c r="B345" s="265" t="str">
        <f>CONCATENATE("Copied from Row ",AA125, ", which summed weekday 'into' and 'through' non-work trips.")</f>
        <v>Copied from Row 125, which summed weekday 'into' and 'through' non-work trips.</v>
      </c>
      <c r="G345" s="10"/>
      <c r="H345" s="10"/>
      <c r="I345" s="10"/>
      <c r="J345" s="10"/>
      <c r="K345" s="10"/>
      <c r="L345" s="1955"/>
      <c r="M345" s="10"/>
      <c r="N345" s="10"/>
      <c r="O345" s="10"/>
      <c r="P345" s="10"/>
      <c r="Q345" s="10"/>
      <c r="R345" s="10"/>
      <c r="S345" s="10"/>
      <c r="T345" s="1955"/>
      <c r="U345" s="10"/>
      <c r="V345" s="10"/>
      <c r="W345" s="10"/>
      <c r="AA345" s="117">
        <f>ROW()</f>
        <v>345</v>
      </c>
    </row>
    <row r="346" spans="2:27" s="3188" customFormat="1" ht="14.1" customHeight="1">
      <c r="B346" s="1" t="s">
        <v>5543</v>
      </c>
      <c r="G346" s="10">
        <f>G344*weekday_per_mo</f>
        <v>432800.33104861079</v>
      </c>
      <c r="H346" s="10">
        <f>H344*weekday_per_mo</f>
        <v>703463.58795246214</v>
      </c>
      <c r="I346" s="10">
        <f>I344*weekday_per_mo</f>
        <v>388055.36222582363</v>
      </c>
      <c r="J346" s="10">
        <f>J344*weekday_per_mo</f>
        <v>981838.06975044624</v>
      </c>
      <c r="K346" s="10">
        <f>K344*weekday_per_mo</f>
        <v>286489.90629079757</v>
      </c>
      <c r="L346" s="3205">
        <f>SUM(G346:K346)</f>
        <v>2792647.2572681401</v>
      </c>
      <c r="M346" s="10">
        <f t="shared" ref="M346:S346" si="130">M344*weekday_per_mo</f>
        <v>367508.50928285392</v>
      </c>
      <c r="N346" s="10">
        <f t="shared" si="130"/>
        <v>167747.86140391443</v>
      </c>
      <c r="O346" s="10">
        <f t="shared" si="130"/>
        <v>256229.20630553344</v>
      </c>
      <c r="P346" s="10">
        <f t="shared" si="130"/>
        <v>128798.04460166364</v>
      </c>
      <c r="Q346" s="10">
        <f t="shared" si="130"/>
        <v>19634.093545010302</v>
      </c>
      <c r="R346" s="10">
        <f t="shared" si="130"/>
        <v>28886.622385025417</v>
      </c>
      <c r="S346" s="10">
        <f t="shared" si="130"/>
        <v>40962.407359245626</v>
      </c>
      <c r="T346" s="3205">
        <f>SUM(L346:S346)</f>
        <v>3802414.0021513873</v>
      </c>
      <c r="U346" s="10">
        <f t="shared" ref="U346:W346" si="131">U344*weekday_per_mo</f>
        <v>973389.60959569563</v>
      </c>
      <c r="V346" s="10">
        <f t="shared" si="131"/>
        <v>93543.99595281377</v>
      </c>
      <c r="W346" s="10">
        <f t="shared" si="131"/>
        <v>45255.731710697524</v>
      </c>
      <c r="X346" s="5">
        <f>SUM(T346:W346)</f>
        <v>4914603.3394105947</v>
      </c>
      <c r="AA346" s="117">
        <f>ROW()</f>
        <v>346</v>
      </c>
    </row>
    <row r="347" spans="2:27" s="3192" customFormat="1" ht="14.1" customHeight="1">
      <c r="B347" s="265" t="str">
        <f>CONCATENATE("Product of (i) number of autos, from Row ",AA344, ", and (ii) avg number of weekdays per month, from 'Constants' tab.")</f>
        <v>Product of (i) number of autos, from Row 344, and (ii) avg number of weekdays per month, from 'Constants' tab.</v>
      </c>
      <c r="G347" s="10"/>
      <c r="H347" s="10"/>
      <c r="I347" s="10"/>
      <c r="J347" s="10"/>
      <c r="K347" s="10"/>
      <c r="L347" s="1955"/>
      <c r="M347" s="10"/>
      <c r="N347" s="10"/>
      <c r="O347" s="10"/>
      <c r="P347" s="10"/>
      <c r="Q347" s="10"/>
      <c r="R347" s="10"/>
      <c r="S347" s="10"/>
      <c r="T347" s="1955"/>
      <c r="U347" s="10"/>
      <c r="V347" s="10"/>
      <c r="W347" s="10"/>
      <c r="AA347" s="117">
        <f>ROW()</f>
        <v>347</v>
      </c>
    </row>
    <row r="348" spans="2:27" s="3188" customFormat="1" ht="14.1" customHeight="1">
      <c r="B348" s="1" t="s">
        <v>5548</v>
      </c>
      <c r="G348" s="10">
        <f>G180</f>
        <v>33103.692735369368</v>
      </c>
      <c r="H348" s="10">
        <f>H180</f>
        <v>53805.971935551133</v>
      </c>
      <c r="I348" s="10">
        <f>I180</f>
        <v>28131.943687683441</v>
      </c>
      <c r="J348" s="10">
        <f>J180</f>
        <v>75098.061265707205</v>
      </c>
      <c r="K348" s="10">
        <f>K180</f>
        <v>21912.815562449578</v>
      </c>
      <c r="L348" s="3205">
        <f>SUM(G348:K348)</f>
        <v>212052.48518676072</v>
      </c>
      <c r="M348" s="10">
        <f t="shared" ref="M348:S348" si="132">M180</f>
        <v>28109.703011217895</v>
      </c>
      <c r="N348" s="10">
        <f t="shared" si="132"/>
        <v>12830.567036481323</v>
      </c>
      <c r="O348" s="10">
        <f t="shared" si="132"/>
        <v>19598.258843321586</v>
      </c>
      <c r="P348" s="10">
        <f t="shared" si="132"/>
        <v>9851.4039559063749</v>
      </c>
      <c r="Q348" s="10">
        <f t="shared" si="132"/>
        <v>1501.757168893012</v>
      </c>
      <c r="R348" s="10">
        <f t="shared" si="132"/>
        <v>2209.4573478713919</v>
      </c>
      <c r="S348" s="10">
        <f t="shared" si="132"/>
        <v>3133.1005307599862</v>
      </c>
      <c r="T348" s="3205">
        <f>SUM(L348:S348)</f>
        <v>289286.73308121233</v>
      </c>
      <c r="U348" s="10">
        <f t="shared" ref="U348:W348" si="133">U180</f>
        <v>74451.862062549801</v>
      </c>
      <c r="V348" s="10">
        <f t="shared" si="133"/>
        <v>7154.9198951808958</v>
      </c>
      <c r="W348" s="10">
        <f t="shared" si="133"/>
        <v>3461.4849610569672</v>
      </c>
      <c r="X348" s="5">
        <f>SUM(T348:W348)</f>
        <v>374355</v>
      </c>
      <c r="AA348" s="117">
        <f>ROW()</f>
        <v>348</v>
      </c>
    </row>
    <row r="349" spans="2:27" s="3192" customFormat="1" ht="14.1" customHeight="1">
      <c r="B349" s="265" t="str">
        <f>CONCATENATE("Copied from Row ",AA180, ", which summed weekend 'into' and 'through' non-work trips.")</f>
        <v>Copied from Row 180, which summed weekend 'into' and 'through' non-work trips.</v>
      </c>
      <c r="G349" s="10"/>
      <c r="H349" s="10"/>
      <c r="I349" s="10"/>
      <c r="J349" s="10"/>
      <c r="K349" s="10"/>
      <c r="L349" s="1955"/>
      <c r="M349" s="10"/>
      <c r="N349" s="10"/>
      <c r="O349" s="10"/>
      <c r="P349" s="10"/>
      <c r="Q349" s="10"/>
      <c r="R349" s="10"/>
      <c r="S349" s="10"/>
      <c r="T349" s="1955"/>
      <c r="U349" s="10"/>
      <c r="V349" s="10"/>
      <c r="W349" s="10"/>
      <c r="AA349" s="117">
        <f>ROW()</f>
        <v>349</v>
      </c>
    </row>
    <row r="350" spans="2:27" s="3188" customFormat="1" ht="14.1" customHeight="1">
      <c r="B350" s="1" t="s">
        <v>5543</v>
      </c>
      <c r="G350" s="10">
        <f>G348*wkend_per_mo</f>
        <v>317243.72204728978</v>
      </c>
      <c r="H350" s="10">
        <f>H348*wkend_per_mo</f>
        <v>515640.56438236503</v>
      </c>
      <c r="I350" s="10">
        <f>I348*wkend_per_mo</f>
        <v>269597.79367363302</v>
      </c>
      <c r="J350" s="10">
        <f>J348*wkend_per_mo</f>
        <v>719689.7537963608</v>
      </c>
      <c r="K350" s="10">
        <f>K348*wkend_per_mo</f>
        <v>209997.81580680847</v>
      </c>
      <c r="L350" s="3205">
        <f>SUM(G350:K350)</f>
        <v>2032169.6497064573</v>
      </c>
      <c r="M350" s="10">
        <f t="shared" ref="M350:S350" si="134">M348*wkend_per_mo</f>
        <v>269384.65385750483</v>
      </c>
      <c r="N350" s="10">
        <f t="shared" si="134"/>
        <v>122959.60076627936</v>
      </c>
      <c r="O350" s="10">
        <f t="shared" si="134"/>
        <v>187816.64724849854</v>
      </c>
      <c r="P350" s="10">
        <f t="shared" si="134"/>
        <v>94409.287910769432</v>
      </c>
      <c r="Q350" s="10">
        <f t="shared" si="134"/>
        <v>14391.839535224699</v>
      </c>
      <c r="R350" s="10">
        <f t="shared" si="134"/>
        <v>21173.966250434172</v>
      </c>
      <c r="S350" s="10">
        <f t="shared" si="134"/>
        <v>30025.546753116538</v>
      </c>
      <c r="T350" s="3205">
        <f>SUM(L350:S350)</f>
        <v>2772331.1920282845</v>
      </c>
      <c r="U350" s="10">
        <f t="shared" ref="U350:W350" si="135">U348*wkend_per_mo</f>
        <v>713497.01143276901</v>
      </c>
      <c r="V350" s="10">
        <f t="shared" si="135"/>
        <v>68567.982328816928</v>
      </c>
      <c r="W350" s="10">
        <f t="shared" si="135"/>
        <v>33172.564210129269</v>
      </c>
      <c r="X350" s="5">
        <f>SUM(T350:W350)</f>
        <v>3587568.75</v>
      </c>
      <c r="AA350" s="117">
        <f>ROW()</f>
        <v>350</v>
      </c>
    </row>
    <row r="351" spans="2:27" s="3192" customFormat="1" ht="14.1" customHeight="1">
      <c r="B351" s="265" t="str">
        <f>CONCATENATE("Product of (i) number of autos, from Row ",AA348, ", and (ii) avg number of weekend days per month, from 'Constants' tab.")</f>
        <v>Product of (i) number of autos, from Row 348, and (ii) avg number of weekend days per month, from 'Constants' tab.</v>
      </c>
      <c r="G351" s="10"/>
      <c r="H351" s="10"/>
      <c r="I351" s="10"/>
      <c r="J351" s="10"/>
      <c r="K351" s="10"/>
      <c r="L351" s="1955"/>
      <c r="M351" s="10"/>
      <c r="N351" s="10"/>
      <c r="O351" s="10"/>
      <c r="P351" s="10"/>
      <c r="Q351" s="10"/>
      <c r="R351" s="10"/>
      <c r="S351" s="10"/>
      <c r="T351" s="1955"/>
      <c r="U351" s="10"/>
      <c r="V351" s="10"/>
      <c r="W351" s="10"/>
      <c r="AA351" s="117">
        <f>ROW()</f>
        <v>351</v>
      </c>
    </row>
    <row r="352" spans="2:27" s="3188" customFormat="1" ht="14.1" customHeight="1">
      <c r="B352" s="2" t="s">
        <v>5549</v>
      </c>
      <c r="G352" s="5">
        <f>G346+G350</f>
        <v>750044.05309590057</v>
      </c>
      <c r="H352" s="5">
        <f>H346+H350</f>
        <v>1219104.1523348272</v>
      </c>
      <c r="I352" s="5">
        <f>I346+I350</f>
        <v>657653.1558994567</v>
      </c>
      <c r="J352" s="5">
        <f>J346+J350</f>
        <v>1701527.823546807</v>
      </c>
      <c r="K352" s="5">
        <f>K346+K350</f>
        <v>496487.72209760605</v>
      </c>
      <c r="L352" s="3195">
        <f>SUM(G352:K352)</f>
        <v>4824816.9069745978</v>
      </c>
      <c r="M352" s="5">
        <f t="shared" ref="M352:S352" si="136">M346+M350</f>
        <v>636893.16314035875</v>
      </c>
      <c r="N352" s="5">
        <f t="shared" si="136"/>
        <v>290707.46217019379</v>
      </c>
      <c r="O352" s="5">
        <f t="shared" si="136"/>
        <v>444045.85355403199</v>
      </c>
      <c r="P352" s="5">
        <f t="shared" si="136"/>
        <v>223207.33251243306</v>
      </c>
      <c r="Q352" s="5">
        <f t="shared" si="136"/>
        <v>34025.933080235001</v>
      </c>
      <c r="R352" s="5">
        <f t="shared" si="136"/>
        <v>50060.588635459586</v>
      </c>
      <c r="S352" s="5">
        <f t="shared" si="136"/>
        <v>70987.95411236216</v>
      </c>
      <c r="T352" s="3195">
        <f>SUM(L352:S352)</f>
        <v>6574745.1941796709</v>
      </c>
      <c r="U352" s="5">
        <f t="shared" ref="U352:W352" si="137">U346+U350</f>
        <v>1686886.6210284648</v>
      </c>
      <c r="V352" s="5">
        <f t="shared" si="137"/>
        <v>162111.9782816307</v>
      </c>
      <c r="W352" s="5">
        <f t="shared" si="137"/>
        <v>78428.295920826786</v>
      </c>
      <c r="X352" s="5">
        <f>SUM(T352:W352)</f>
        <v>8502172.0894105919</v>
      </c>
      <c r="AA352" s="117">
        <f>ROW()</f>
        <v>352</v>
      </c>
    </row>
    <row r="353" spans="2:27" s="3188" customFormat="1" ht="14.1" customHeight="1">
      <c r="B353" s="265" t="str">
        <f>CONCATENATE("Sum of Rows ",AA340, " (regular) and ",AA350, " (other).")</f>
        <v>Sum of Rows 340 (regular) and 350 (other).</v>
      </c>
      <c r="H353" s="3192"/>
      <c r="I353" s="3192"/>
      <c r="J353" s="3192"/>
      <c r="K353" s="3192"/>
      <c r="L353" s="1955"/>
      <c r="M353" s="3192"/>
      <c r="N353" s="3192"/>
      <c r="O353" s="3192"/>
      <c r="P353" s="3192"/>
      <c r="Q353" s="3192"/>
      <c r="R353" s="3192"/>
      <c r="S353" s="3192"/>
      <c r="T353" s="1955"/>
      <c r="U353" s="3198"/>
      <c r="V353" s="3198"/>
      <c r="W353" s="3198"/>
      <c r="AA353" s="117">
        <f>ROW()</f>
        <v>353</v>
      </c>
    </row>
    <row r="354" spans="2:27" s="3188" customFormat="1" ht="14.1" customHeight="1">
      <c r="H354" s="3192"/>
      <c r="I354" s="3192"/>
      <c r="J354" s="3192"/>
      <c r="K354" s="3192"/>
      <c r="L354" s="1955"/>
      <c r="M354" s="3192"/>
      <c r="N354" s="3192"/>
      <c r="O354" s="3192"/>
      <c r="P354" s="3192"/>
      <c r="Q354" s="3192"/>
      <c r="R354" s="3192"/>
      <c r="S354" s="3192"/>
      <c r="T354" s="1955"/>
      <c r="U354" s="3198"/>
      <c r="V354" s="3198"/>
      <c r="W354" s="3198"/>
      <c r="AA354" s="117">
        <f>ROW()</f>
        <v>354</v>
      </c>
    </row>
    <row r="355" spans="2:27" s="3188" customFormat="1" ht="14.1" customHeight="1">
      <c r="B355" s="2" t="s">
        <v>5566</v>
      </c>
      <c r="G355" s="5">
        <f>G340+G352</f>
        <v>1415581.0621781698</v>
      </c>
      <c r="H355" s="5">
        <f>H340+H352</f>
        <v>2300852.5215882203</v>
      </c>
      <c r="I355" s="5">
        <f>I340+I352</f>
        <v>1252562.1706172042</v>
      </c>
      <c r="J355" s="5">
        <f>J340+J352</f>
        <v>3211345.4587635114</v>
      </c>
      <c r="K355" s="5">
        <f>K340+K352</f>
        <v>937036.45019832824</v>
      </c>
      <c r="L355" s="3195">
        <f>SUM(G355:K355)</f>
        <v>9117377.6633454338</v>
      </c>
      <c r="M355" s="5">
        <f t="shared" ref="M355:S355" si="138">M340+M352</f>
        <v>1191179.5526236012</v>
      </c>
      <c r="N355" s="5">
        <f t="shared" si="138"/>
        <v>543709.37666341313</v>
      </c>
      <c r="O355" s="5">
        <f t="shared" si="138"/>
        <v>830497.75345804659</v>
      </c>
      <c r="P355" s="5">
        <f t="shared" si="138"/>
        <v>417464.06755801948</v>
      </c>
      <c r="Q355" s="5">
        <f t="shared" si="138"/>
        <v>63638.610193689092</v>
      </c>
      <c r="R355" s="5">
        <f t="shared" si="138"/>
        <v>93628.182913496523</v>
      </c>
      <c r="S355" s="5">
        <f t="shared" si="138"/>
        <v>132768.57770663974</v>
      </c>
      <c r="T355" s="3206">
        <f>SUM(L355:S355)</f>
        <v>12390263.784462342</v>
      </c>
      <c r="U355" s="5">
        <f t="shared" ref="U355:W355" si="139">U340+U352</f>
        <v>1914522.7287885058</v>
      </c>
      <c r="V355" s="5">
        <f t="shared" si="139"/>
        <v>183988.10160686751</v>
      </c>
      <c r="W355" s="5">
        <f t="shared" si="139"/>
        <v>87409.351121239393</v>
      </c>
      <c r="X355" s="5">
        <f>SUM(T355:W355)</f>
        <v>14576183.965978956</v>
      </c>
      <c r="AA355" s="117">
        <f>ROW()</f>
        <v>355</v>
      </c>
    </row>
    <row r="356" spans="2:27" s="3188" customFormat="1" ht="14.1" customHeight="1">
      <c r="B356" s="265" t="str">
        <f>CONCATENATE("Sum of Rows ",AA340, " (work) and ",AA352, " (non-work).")</f>
        <v>Sum of Rows 340 (work) and 352 (non-work).</v>
      </c>
      <c r="H356" s="3192"/>
      <c r="L356" s="1955"/>
      <c r="M356" s="3192"/>
      <c r="N356" s="3192"/>
      <c r="O356" s="3192"/>
      <c r="P356" s="3192"/>
      <c r="Q356" s="3192"/>
      <c r="R356" s="3192"/>
      <c r="S356" s="3192"/>
      <c r="T356" s="1955"/>
      <c r="U356" s="3198"/>
      <c r="V356" s="3198"/>
      <c r="W356" s="3198"/>
      <c r="AA356" s="117">
        <f>ROW()</f>
        <v>356</v>
      </c>
    </row>
    <row r="357" spans="2:27" s="3188" customFormat="1" ht="14.1" customHeight="1">
      <c r="B357" s="1" t="str">
        <f>CONCATENATE("% diff. from trips/mo. calc'd from annual figure in Row ",AA312, ".")</f>
        <v>% diff. from trips/mo. calc'd from annual figure in Row 312.</v>
      </c>
      <c r="G357" s="12">
        <f>1-G355/G312</f>
        <v>1.8840500898218426E-3</v>
      </c>
      <c r="H357" s="12">
        <f>1-H355/H312</f>
        <v>1.8840500898219537E-3</v>
      </c>
      <c r="I357" s="12">
        <f>1-I355/I312</f>
        <v>0</v>
      </c>
      <c r="J357" s="12">
        <f>1-J355/J312</f>
        <v>1.8840500898220647E-3</v>
      </c>
      <c r="K357" s="12">
        <f>1-K355/K312</f>
        <v>1.8840500898219537E-3</v>
      </c>
      <c r="L357" s="1955"/>
      <c r="M357" s="12">
        <f t="shared" ref="M357:S357" si="140">1-M355/M312</f>
        <v>6.7270530740326517E-3</v>
      </c>
      <c r="N357" s="12">
        <f t="shared" si="140"/>
        <v>6.7270530740327628E-3</v>
      </c>
      <c r="O357" s="12">
        <f t="shared" si="140"/>
        <v>6.7270530740325407E-3</v>
      </c>
      <c r="P357" s="12">
        <f t="shared" si="140"/>
        <v>6.7270530740327628E-3</v>
      </c>
      <c r="Q357" s="12">
        <f t="shared" si="140"/>
        <v>6.7270530740327628E-3</v>
      </c>
      <c r="R357" s="12">
        <f t="shared" si="140"/>
        <v>6.7270530740328738E-3</v>
      </c>
      <c r="S357" s="12">
        <f t="shared" si="140"/>
        <v>6.7270530740326517E-3</v>
      </c>
      <c r="T357" s="1955"/>
      <c r="U357" s="12">
        <f t="shared" ref="U357:W357" si="141">1-U355/U312</f>
        <v>0.39725641501293441</v>
      </c>
      <c r="V357" s="12">
        <f t="shared" si="141"/>
        <v>0.39725641501293452</v>
      </c>
      <c r="W357" s="12">
        <f t="shared" si="141"/>
        <v>0.38479182607259099</v>
      </c>
      <c r="AA357" s="117">
        <f>ROW()</f>
        <v>357</v>
      </c>
    </row>
    <row r="358" spans="2:27" s="3188" customFormat="1" ht="14.1" customHeight="1">
      <c r="H358" s="3192"/>
      <c r="I358" s="3192"/>
      <c r="J358" s="3192"/>
      <c r="K358" s="3192"/>
      <c r="L358" s="1955"/>
      <c r="M358" s="3192"/>
      <c r="N358" s="3192"/>
      <c r="O358" s="3192"/>
      <c r="P358" s="3192"/>
      <c r="Q358" s="3192"/>
      <c r="R358" s="3192"/>
      <c r="S358" s="3192"/>
      <c r="T358" s="1955"/>
      <c r="U358" s="3198"/>
      <c r="V358" s="3198"/>
      <c r="W358" s="3198"/>
      <c r="AA358" s="117">
        <f>ROW()</f>
        <v>358</v>
      </c>
    </row>
    <row r="359" spans="2:27" s="3188" customFormat="1" ht="14.1" customHeight="1">
      <c r="B359" s="1" t="s">
        <v>5569</v>
      </c>
      <c r="G359" s="10">
        <f>G328</f>
        <v>565355.03794734611</v>
      </c>
      <c r="H359" s="10">
        <f>H328</f>
        <v>918914.92434364918</v>
      </c>
      <c r="I359" s="10">
        <f>I328</f>
        <v>506243.99760665192</v>
      </c>
      <c r="J359" s="10">
        <f>J328</f>
        <v>1282547.7693998504</v>
      </c>
      <c r="K359" s="10">
        <f>K328</f>
        <v>374233.79841263039</v>
      </c>
      <c r="L359" s="3205">
        <f>SUM(G359:K359)</f>
        <v>3647295.5277101276</v>
      </c>
      <c r="M359" s="10">
        <f t="shared" ref="M359:S359" si="142">M328</f>
        <v>470527.0119337205</v>
      </c>
      <c r="N359" s="10">
        <f t="shared" si="142"/>
        <v>214770.26515298217</v>
      </c>
      <c r="O359" s="10">
        <f t="shared" si="142"/>
        <v>328054.34368949546</v>
      </c>
      <c r="P359" s="10">
        <f t="shared" si="142"/>
        <v>164902.1928433326</v>
      </c>
      <c r="Q359" s="10">
        <f t="shared" si="142"/>
        <v>25137.84343602915</v>
      </c>
      <c r="R359" s="10">
        <f t="shared" si="142"/>
        <v>36984.003832201503</v>
      </c>
      <c r="S359" s="10">
        <f t="shared" si="142"/>
        <v>52444.824132013404</v>
      </c>
      <c r="T359" s="3205">
        <f>SUM(L359:S359)</f>
        <v>4940116.0127299028</v>
      </c>
      <c r="U359" s="10">
        <f t="shared" ref="U359:W359" si="143">U328</f>
        <v>1246246.2579278343</v>
      </c>
      <c r="V359" s="10">
        <f t="shared" si="143"/>
        <v>119765.87150568879</v>
      </c>
      <c r="W359" s="10">
        <f t="shared" si="143"/>
        <v>108273.42382688157</v>
      </c>
      <c r="X359" s="5">
        <f>SUM(T359:W359)</f>
        <v>6414401.5659903074</v>
      </c>
      <c r="AA359" s="117">
        <f>ROW()</f>
        <v>359</v>
      </c>
    </row>
    <row r="360" spans="2:27" s="3188" customFormat="1" ht="14.1" customHeight="1">
      <c r="B360" s="265" t="str">
        <f>CONCATENATE("Copied from Row ",AA328, ".")</f>
        <v>Copied from Row 328.</v>
      </c>
      <c r="H360" s="3192"/>
      <c r="I360" s="3192"/>
      <c r="J360" s="3192"/>
      <c r="K360" s="3192"/>
      <c r="L360" s="1955"/>
      <c r="M360" s="3192"/>
      <c r="N360" s="3192"/>
      <c r="O360" s="3192"/>
      <c r="P360" s="3192"/>
      <c r="Q360" s="3192"/>
      <c r="R360" s="3192"/>
      <c r="S360" s="3192"/>
      <c r="T360" s="1955"/>
      <c r="U360" s="3198"/>
      <c r="V360" s="3198"/>
      <c r="W360" s="3198"/>
      <c r="AA360" s="117">
        <f>ROW()</f>
        <v>360</v>
      </c>
    </row>
    <row r="361" spans="2:27" s="3188" customFormat="1" ht="14.1" customHeight="1">
      <c r="B361" s="1" t="s">
        <v>5587</v>
      </c>
      <c r="G361" s="3188">
        <v>3</v>
      </c>
      <c r="H361" s="3192">
        <v>3</v>
      </c>
      <c r="I361" s="3192">
        <v>3</v>
      </c>
      <c r="J361" s="3192">
        <v>3</v>
      </c>
      <c r="K361" s="3192">
        <v>2</v>
      </c>
      <c r="L361" s="1955"/>
      <c r="M361" s="3192">
        <v>1.5</v>
      </c>
      <c r="N361" s="3192">
        <v>1</v>
      </c>
      <c r="O361" s="3192">
        <v>1.5</v>
      </c>
      <c r="P361" s="3192">
        <v>1</v>
      </c>
      <c r="Q361" s="3192">
        <v>1</v>
      </c>
      <c r="R361" s="3192">
        <f>3/4</f>
        <v>0.75</v>
      </c>
      <c r="S361" s="3192">
        <f>1/2</f>
        <v>0.5</v>
      </c>
      <c r="T361" s="1955"/>
      <c r="U361" s="3198">
        <v>1</v>
      </c>
      <c r="V361" s="3198">
        <f>3/4</f>
        <v>0.75</v>
      </c>
      <c r="W361" s="3198">
        <f>1/2</f>
        <v>0.5</v>
      </c>
      <c r="AA361" s="117">
        <f>ROW()</f>
        <v>361</v>
      </c>
    </row>
    <row r="362" spans="2:27" s="3188" customFormat="1" ht="14.1" customHeight="1">
      <c r="B362" s="265" t="s">
        <v>451</v>
      </c>
      <c r="H362" s="3192"/>
      <c r="I362" s="3192"/>
      <c r="J362" s="3192"/>
      <c r="K362" s="3192"/>
      <c r="L362" s="1955"/>
      <c r="M362" s="3192"/>
      <c r="N362" s="3192"/>
      <c r="O362" s="3192"/>
      <c r="P362" s="3192"/>
      <c r="Q362" s="3192"/>
      <c r="R362" s="3192"/>
      <c r="S362" s="3192"/>
      <c r="T362" s="1955"/>
      <c r="U362" s="3198"/>
      <c r="V362" s="3198"/>
      <c r="W362" s="3198"/>
      <c r="AA362" s="117">
        <f>ROW()</f>
        <v>362</v>
      </c>
    </row>
    <row r="363" spans="2:27" s="3188" customFormat="1" ht="14.1" customHeight="1">
      <c r="B363" s="1" t="s">
        <v>5570</v>
      </c>
      <c r="G363" s="10">
        <f>G326*G361</f>
        <v>112293.82643007577</v>
      </c>
      <c r="H363" s="10">
        <f>H326*H361</f>
        <v>182519.77269522863</v>
      </c>
      <c r="I363" s="10">
        <f>I326*I361</f>
        <v>99799.225141225761</v>
      </c>
      <c r="J363" s="10">
        <f>J326*J361</f>
        <v>254746.46361722358</v>
      </c>
      <c r="K363" s="10">
        <f>K326*K361</f>
        <v>49554.872463616717</v>
      </c>
      <c r="L363" s="3205">
        <f>SUM(G363:K363)</f>
        <v>698914.16034737043</v>
      </c>
      <c r="M363" s="10">
        <f t="shared" ref="M363:S363" si="144">M326*M361</f>
        <v>49359.651003378334</v>
      </c>
      <c r="N363" s="10">
        <f t="shared" si="144"/>
        <v>15020.016655065783</v>
      </c>
      <c r="O363" s="10">
        <f t="shared" si="144"/>
        <v>34413.854048695415</v>
      </c>
      <c r="P363" s="10">
        <f t="shared" si="144"/>
        <v>11532.479513397544</v>
      </c>
      <c r="Q363" s="10">
        <f t="shared" si="144"/>
        <v>1758.0218882378706</v>
      </c>
      <c r="R363" s="10">
        <f t="shared" si="144"/>
        <v>1939.8647426879497</v>
      </c>
      <c r="S363" s="10">
        <f t="shared" si="144"/>
        <v>1833.8714890856468</v>
      </c>
      <c r="T363" s="3205">
        <f>SUM(L363:S363)</f>
        <v>814771.91968791897</v>
      </c>
      <c r="U363" s="10">
        <f t="shared" ref="U363:W363" si="145">U326*U361</f>
        <v>87156.569542138794</v>
      </c>
      <c r="V363" s="10">
        <f t="shared" si="145"/>
        <v>6281.8939930158285</v>
      </c>
      <c r="W363" s="10">
        <f t="shared" si="145"/>
        <v>3536.0356364060312</v>
      </c>
      <c r="X363" s="5">
        <f>SUM(T363:W363)</f>
        <v>911746.41885947972</v>
      </c>
      <c r="AA363" s="117">
        <f>ROW()</f>
        <v>363</v>
      </c>
    </row>
    <row r="364" spans="2:27" s="3192" customFormat="1" ht="14.1" customHeight="1">
      <c r="B364" s="265" t="str">
        <f>CONCATENATE("Product of (i) number of autos used by regular commuters, from Row ",AA326, ", and (ii) non-work trips per these autos, from Row ",AA361, ".")</f>
        <v>Product of (i) number of autos used by regular commuters, from Row 326, and (ii) non-work trips per these autos, from Row 361.</v>
      </c>
      <c r="L364" s="1955"/>
      <c r="T364" s="1955"/>
      <c r="U364" s="3198"/>
      <c r="V364" s="3198"/>
      <c r="W364" s="3198"/>
      <c r="AA364" s="117">
        <f>ROW()</f>
        <v>364</v>
      </c>
    </row>
    <row r="365" spans="2:27" s="3192" customFormat="1" ht="14.1" customHeight="1">
      <c r="B365" s="1" t="s">
        <v>5571</v>
      </c>
      <c r="G365" s="10">
        <f>G359+G363</f>
        <v>677648.86437742191</v>
      </c>
      <c r="H365" s="10">
        <f>H359+H363</f>
        <v>1101434.6970388778</v>
      </c>
      <c r="I365" s="10">
        <f>I359+I363</f>
        <v>606043.22274787771</v>
      </c>
      <c r="J365" s="10">
        <f>J359+J363</f>
        <v>1537294.2330170739</v>
      </c>
      <c r="K365" s="10">
        <f>K359+K363</f>
        <v>423788.67087624711</v>
      </c>
      <c r="L365" s="3205">
        <f>SUM(G365:K365)</f>
        <v>4346209.6880574981</v>
      </c>
      <c r="M365" s="10">
        <f t="shared" ref="M365:S365" si="146">M359+M363</f>
        <v>519886.66293709882</v>
      </c>
      <c r="N365" s="10">
        <f t="shared" si="146"/>
        <v>229790.28180804796</v>
      </c>
      <c r="O365" s="10">
        <f t="shared" si="146"/>
        <v>362468.19773819088</v>
      </c>
      <c r="P365" s="10">
        <f t="shared" si="146"/>
        <v>176434.67235673015</v>
      </c>
      <c r="Q365" s="10">
        <f t="shared" si="146"/>
        <v>26895.865324267023</v>
      </c>
      <c r="R365" s="10">
        <f t="shared" si="146"/>
        <v>38923.86857488945</v>
      </c>
      <c r="S365" s="10">
        <f t="shared" si="146"/>
        <v>54278.695621099054</v>
      </c>
      <c r="T365" s="3205">
        <f>SUM(L365:S365)</f>
        <v>5754887.9324178221</v>
      </c>
      <c r="U365" s="10">
        <f t="shared" ref="U365:W365" si="147">U359+U363</f>
        <v>1333402.8274699731</v>
      </c>
      <c r="V365" s="10">
        <f t="shared" si="147"/>
        <v>126047.76549870461</v>
      </c>
      <c r="W365" s="10">
        <f t="shared" si="147"/>
        <v>111809.4594632876</v>
      </c>
      <c r="X365" s="5">
        <f>SUM(T365:W365)</f>
        <v>7326147.9848497864</v>
      </c>
      <c r="AA365" s="117">
        <f>ROW()</f>
        <v>365</v>
      </c>
    </row>
    <row r="366" spans="2:27" s="3192" customFormat="1" ht="14.1" customHeight="1">
      <c r="B366" s="265" t="str">
        <f>CONCATENATE("Sum of Rows ",AA359, " (work trips) and ",AA363, " (non-work trips).")</f>
        <v>Sum of Rows 359 (work trips) and 363 (non-work trips).</v>
      </c>
      <c r="L366" s="1955"/>
      <c r="T366" s="1955"/>
      <c r="U366" s="3198"/>
      <c r="V366" s="3198"/>
      <c r="W366" s="3198"/>
      <c r="AA366" s="117">
        <f>ROW()</f>
        <v>366</v>
      </c>
    </row>
    <row r="367" spans="2:27" s="3192" customFormat="1" ht="14.1" customHeight="1">
      <c r="B367" s="1" t="s">
        <v>5576</v>
      </c>
      <c r="G367" s="21">
        <f t="shared" ref="G367:L367" si="148">G365/G326</f>
        <v>18.103814410475724</v>
      </c>
      <c r="H367" s="21">
        <f t="shared" si="148"/>
        <v>18.103814410475724</v>
      </c>
      <c r="I367" s="21">
        <f t="shared" si="148"/>
        <v>18.217873592413167</v>
      </c>
      <c r="J367" s="21">
        <f t="shared" si="148"/>
        <v>18.103814410475724</v>
      </c>
      <c r="K367" s="21">
        <f t="shared" si="148"/>
        <v>17.103814410475724</v>
      </c>
      <c r="L367" s="3207">
        <f t="shared" si="148"/>
        <v>18.016830823799602</v>
      </c>
      <c r="M367" s="21">
        <f t="shared" ref="M367:S367" si="149">M365/M326</f>
        <v>15.798936551481576</v>
      </c>
      <c r="N367" s="21">
        <f t="shared" si="149"/>
        <v>15.298936551481576</v>
      </c>
      <c r="O367" s="21">
        <f t="shared" si="149"/>
        <v>15.798936551481578</v>
      </c>
      <c r="P367" s="21">
        <f t="shared" si="149"/>
        <v>15.298936551481576</v>
      </c>
      <c r="Q367" s="21">
        <f t="shared" si="149"/>
        <v>15.29893655148158</v>
      </c>
      <c r="R367" s="21">
        <f t="shared" si="149"/>
        <v>15.048936551481574</v>
      </c>
      <c r="S367" s="21">
        <f t="shared" si="149"/>
        <v>14.798936551481578</v>
      </c>
      <c r="T367" s="3207">
        <f>T365/T326</f>
        <v>17.352592005373349</v>
      </c>
      <c r="U367" s="21">
        <f t="shared" ref="U367:X367" si="150">U365/U326</f>
        <v>15.298936551481576</v>
      </c>
      <c r="V367" s="21">
        <f t="shared" si="150"/>
        <v>15.048936551481578</v>
      </c>
      <c r="W367" s="21">
        <f t="shared" si="150"/>
        <v>15.810001787330529</v>
      </c>
      <c r="X367" s="2146">
        <f t="shared" si="150"/>
        <v>16.870854408610864</v>
      </c>
      <c r="AA367" s="117">
        <f>ROW()</f>
        <v>367</v>
      </c>
    </row>
    <row r="368" spans="2:27" s="3192" customFormat="1" ht="14.1" customHeight="1">
      <c r="B368" s="265" t="str">
        <f>CONCATENATE("Ratio of Row ",AA365, " to Row ",AA326, ".")</f>
        <v>Ratio of Row 365 to Row 326.</v>
      </c>
      <c r="L368" s="1955"/>
      <c r="T368" s="1955"/>
      <c r="AA368" s="117">
        <f>ROW()</f>
        <v>368</v>
      </c>
    </row>
    <row r="369" spans="2:27" s="3192" customFormat="1" ht="14.1" customHeight="1">
      <c r="G369" s="3174" t="str">
        <f>G342</f>
        <v>Bronx</v>
      </c>
      <c r="H369" s="3174" t="str">
        <f t="shared" ref="H369:X369" si="151">H342</f>
        <v>Brooklyn</v>
      </c>
      <c r="I369" s="3174" t="str">
        <f t="shared" si="151"/>
        <v>Manhattan</v>
      </c>
      <c r="J369" s="3174" t="str">
        <f t="shared" si="151"/>
        <v>Queens</v>
      </c>
      <c r="K369" s="3174" t="str">
        <f t="shared" si="151"/>
        <v>S.I.</v>
      </c>
      <c r="L369" s="3194" t="str">
        <f t="shared" si="151"/>
        <v>NYC</v>
      </c>
      <c r="M369" s="3174" t="str">
        <f t="shared" si="151"/>
        <v>Nassau</v>
      </c>
      <c r="N369" s="3174" t="str">
        <f t="shared" si="151"/>
        <v>Suffolk</v>
      </c>
      <c r="O369" s="3174" t="str">
        <f t="shared" si="151"/>
        <v>Westchester</v>
      </c>
      <c r="P369" s="3174" t="str">
        <f t="shared" si="151"/>
        <v>Rockland</v>
      </c>
      <c r="Q369" s="3174" t="str">
        <f t="shared" si="151"/>
        <v>Putnam</v>
      </c>
      <c r="R369" s="3174" t="str">
        <f t="shared" si="151"/>
        <v>Dutchess</v>
      </c>
      <c r="S369" s="3174" t="str">
        <f t="shared" si="151"/>
        <v>Orange</v>
      </c>
      <c r="T369" s="1955"/>
      <c r="U369" s="3174" t="str">
        <f t="shared" si="151"/>
        <v>NJ</v>
      </c>
      <c r="V369" s="3174" t="str">
        <f t="shared" si="151"/>
        <v>CT</v>
      </c>
      <c r="W369" s="3174" t="str">
        <f t="shared" si="151"/>
        <v>Other</v>
      </c>
      <c r="X369" s="3174" t="str">
        <f t="shared" si="151"/>
        <v>Total</v>
      </c>
      <c r="AA369" s="117">
        <f>ROW()</f>
        <v>369</v>
      </c>
    </row>
    <row r="370" spans="2:27" s="3192" customFormat="1" ht="14.1" customHeight="1">
      <c r="B370" s="1" t="s">
        <v>5572</v>
      </c>
      <c r="G370" s="10">
        <f>G355-G365</f>
        <v>737932.19780074793</v>
      </c>
      <c r="H370" s="10">
        <f>H355-H365</f>
        <v>1199417.8245493425</v>
      </c>
      <c r="I370" s="10">
        <f>I355-I365</f>
        <v>646518.94786932645</v>
      </c>
      <c r="J370" s="10">
        <f>J355-J365</f>
        <v>1674051.2257464374</v>
      </c>
      <c r="K370" s="10">
        <f>K355-K365</f>
        <v>513247.77932208113</v>
      </c>
      <c r="L370" s="1855">
        <f>SUM(G370:K370)</f>
        <v>4771167.9752879357</v>
      </c>
      <c r="M370" s="10">
        <f t="shared" ref="M370:S370" si="152">M355-M365</f>
        <v>671292.88968650228</v>
      </c>
      <c r="N370" s="10">
        <f t="shared" si="152"/>
        <v>313919.09485536517</v>
      </c>
      <c r="O370" s="10">
        <f t="shared" si="152"/>
        <v>468029.55571985571</v>
      </c>
      <c r="P370" s="10">
        <f t="shared" si="152"/>
        <v>241029.39520128933</v>
      </c>
      <c r="Q370" s="10">
        <f t="shared" si="152"/>
        <v>36742.744869422066</v>
      </c>
      <c r="R370" s="10">
        <f t="shared" si="152"/>
        <v>54704.314338607073</v>
      </c>
      <c r="S370" s="10">
        <f t="shared" si="152"/>
        <v>78489.882085540681</v>
      </c>
      <c r="T370" s="3195">
        <f>SUM(L370:S370)</f>
        <v>6635375.8520445181</v>
      </c>
      <c r="AA370" s="117">
        <f>ROW()</f>
        <v>370</v>
      </c>
    </row>
    <row r="371" spans="2:27" s="3192" customFormat="1" ht="14.1" customHeight="1">
      <c r="B371" s="265" t="str">
        <f>CONCATENATE("Difference between Row ",AA355, " total and Row ",AA365, " trips by regular auto users.")</f>
        <v>Difference between Row 355 total and Row 365 trips by regular auto users.</v>
      </c>
      <c r="L371" s="1955"/>
      <c r="T371" s="1955"/>
      <c r="AA371" s="117">
        <f>ROW()</f>
        <v>371</v>
      </c>
    </row>
    <row r="372" spans="2:27" s="3192" customFormat="1" ht="14.1" customHeight="1">
      <c r="B372" s="1" t="s">
        <v>5573</v>
      </c>
      <c r="G372" s="10">
        <v>197706</v>
      </c>
      <c r="H372" s="10">
        <v>392319</v>
      </c>
      <c r="I372" s="10">
        <v>170833</v>
      </c>
      <c r="J372" s="10">
        <v>500201</v>
      </c>
      <c r="K372" s="10">
        <v>140558</v>
      </c>
      <c r="L372" s="1855">
        <f>SUM(G372:K372)</f>
        <v>1401617</v>
      </c>
      <c r="M372" s="10">
        <v>405702</v>
      </c>
      <c r="N372" s="10">
        <v>456274</v>
      </c>
      <c r="O372" s="10">
        <v>291706</v>
      </c>
      <c r="P372" s="10">
        <v>85519</v>
      </c>
      <c r="Q372" s="10">
        <v>32732</v>
      </c>
      <c r="R372" s="10">
        <v>95977</v>
      </c>
      <c r="S372" s="10">
        <v>111561</v>
      </c>
      <c r="T372" s="3205">
        <f>SUM(L372:S372)</f>
        <v>2881088</v>
      </c>
      <c r="AA372" s="117">
        <f>ROW()</f>
        <v>372</v>
      </c>
    </row>
    <row r="373" spans="2:27" s="3192" customFormat="1" ht="14.1" customHeight="1">
      <c r="B373" s="265" t="s">
        <v>5588</v>
      </c>
      <c r="L373" s="1955"/>
      <c r="T373" s="1955"/>
      <c r="AA373" s="117">
        <f>ROW()</f>
        <v>373</v>
      </c>
    </row>
    <row r="374" spans="2:27" s="3192" customFormat="1" ht="14.1" customHeight="1">
      <c r="B374" s="1" t="s">
        <v>5574</v>
      </c>
      <c r="G374" s="10">
        <f>G326</f>
        <v>37431.275476691924</v>
      </c>
      <c r="H374" s="10">
        <f>H326</f>
        <v>60839.924231742873</v>
      </c>
      <c r="I374" s="10">
        <f>I326</f>
        <v>33266.408380408589</v>
      </c>
      <c r="J374" s="10">
        <f>J326</f>
        <v>84915.487872407859</v>
      </c>
      <c r="K374" s="10">
        <f>K326</f>
        <v>24777.436231808359</v>
      </c>
      <c r="L374" s="1855">
        <f>SUM(G374:K374)</f>
        <v>241230.5321930596</v>
      </c>
      <c r="M374" s="10">
        <f t="shared" ref="M374:S374" si="153">M326</f>
        <v>32906.434002252223</v>
      </c>
      <c r="N374" s="10">
        <f t="shared" si="153"/>
        <v>15020.016655065783</v>
      </c>
      <c r="O374" s="10">
        <f t="shared" si="153"/>
        <v>22942.569365796946</v>
      </c>
      <c r="P374" s="10">
        <f t="shared" si="153"/>
        <v>11532.479513397544</v>
      </c>
      <c r="Q374" s="10">
        <f t="shared" si="153"/>
        <v>1758.0218882378706</v>
      </c>
      <c r="R374" s="10">
        <f t="shared" si="153"/>
        <v>2586.486323583933</v>
      </c>
      <c r="S374" s="10">
        <f t="shared" si="153"/>
        <v>3667.7429781712935</v>
      </c>
      <c r="T374" s="3205">
        <f>SUM(L374:S374)</f>
        <v>331644.2829195651</v>
      </c>
      <c r="AA374" s="117">
        <f>ROW()</f>
        <v>374</v>
      </c>
    </row>
    <row r="375" spans="2:27" s="3192" customFormat="1" ht="14.1" customHeight="1">
      <c r="B375" s="265" t="str">
        <f>CONCATENATE("Copied from Row ",AA326, ".")</f>
        <v>Copied from Row 326.</v>
      </c>
      <c r="L375" s="1955"/>
      <c r="T375" s="1955"/>
      <c r="AA375" s="117">
        <f>ROW()</f>
        <v>375</v>
      </c>
    </row>
    <row r="376" spans="2:27" s="3196" customFormat="1" ht="14.1" customHeight="1">
      <c r="B376" s="1" t="s">
        <v>5579</v>
      </c>
      <c r="G376" s="23">
        <v>0.9</v>
      </c>
      <c r="H376" s="23">
        <v>0.9</v>
      </c>
      <c r="I376" s="23">
        <v>0.9</v>
      </c>
      <c r="J376" s="23">
        <v>0.9</v>
      </c>
      <c r="K376" s="23">
        <v>0.9</v>
      </c>
      <c r="L376" s="1955"/>
      <c r="M376" s="23">
        <v>0.85</v>
      </c>
      <c r="N376" s="23">
        <v>0.85</v>
      </c>
      <c r="O376" s="23">
        <v>0.85</v>
      </c>
      <c r="P376" s="23">
        <v>0.85</v>
      </c>
      <c r="Q376" s="23">
        <v>0.85</v>
      </c>
      <c r="R376" s="23">
        <v>0.85</v>
      </c>
      <c r="S376" s="23">
        <v>0.85</v>
      </c>
      <c r="T376" s="1955"/>
      <c r="AA376" s="117">
        <f>ROW()</f>
        <v>376</v>
      </c>
    </row>
    <row r="377" spans="2:27" s="3196" customFormat="1" ht="14.1" customHeight="1">
      <c r="B377" s="265" t="s">
        <v>5589</v>
      </c>
      <c r="L377" s="1955"/>
      <c r="T377" s="1955"/>
      <c r="AA377" s="117">
        <f>ROW()</f>
        <v>377</v>
      </c>
    </row>
    <row r="378" spans="2:27" s="2" customFormat="1" ht="14.1" customHeight="1">
      <c r="B378" s="2" t="s">
        <v>5592</v>
      </c>
      <c r="G378" s="5">
        <f>G376*G374</f>
        <v>33688.147929022736</v>
      </c>
      <c r="H378" s="5">
        <f t="shared" ref="H378:S378" si="154">H376*H374</f>
        <v>54755.931808568588</v>
      </c>
      <c r="I378" s="5">
        <f t="shared" si="154"/>
        <v>29939.767542367732</v>
      </c>
      <c r="J378" s="5">
        <f t="shared" si="154"/>
        <v>76423.939085167076</v>
      </c>
      <c r="K378" s="5">
        <f t="shared" si="154"/>
        <v>22299.692608627523</v>
      </c>
      <c r="L378" s="3204">
        <f>SUM(G378:K378)</f>
        <v>217107.47897375366</v>
      </c>
      <c r="M378" s="5">
        <f t="shared" si="154"/>
        <v>27970.468901914388</v>
      </c>
      <c r="N378" s="5">
        <f t="shared" si="154"/>
        <v>12767.014156805915</v>
      </c>
      <c r="O378" s="5">
        <f t="shared" si="154"/>
        <v>19501.183960927403</v>
      </c>
      <c r="P378" s="5">
        <f t="shared" si="154"/>
        <v>9802.6075863879123</v>
      </c>
      <c r="Q378" s="5">
        <f t="shared" si="154"/>
        <v>1494.31860500219</v>
      </c>
      <c r="R378" s="5">
        <f t="shared" si="154"/>
        <v>2198.5133750463428</v>
      </c>
      <c r="S378" s="5">
        <f t="shared" si="154"/>
        <v>3117.5815314455995</v>
      </c>
      <c r="T378" s="3195">
        <f>SUM(L378:S378)</f>
        <v>293959.16709128337</v>
      </c>
      <c r="X378" s="5">
        <f>SUM(G378:K378)+SUM(M378:S378)</f>
        <v>293959.16709128342</v>
      </c>
      <c r="AA378" s="1824">
        <f>ROW()</f>
        <v>378</v>
      </c>
    </row>
    <row r="379" spans="2:27" s="3196" customFormat="1" ht="14.1" customHeight="1">
      <c r="B379" s="265" t="str">
        <f>CONCATENATE("Product of E-ZPass % in Row ",AA376, " and number of cars in Row ",AA374, ".")</f>
        <v>Product of E-ZPass % in Row 376 and number of cars in Row 374.</v>
      </c>
      <c r="L379" s="1955"/>
      <c r="T379" s="1955"/>
      <c r="AA379" s="117">
        <f>ROW()</f>
        <v>379</v>
      </c>
    </row>
    <row r="380" spans="2:27" s="3192" customFormat="1" ht="14.1" customHeight="1">
      <c r="B380" s="1" t="s">
        <v>5596</v>
      </c>
      <c r="G380" s="10">
        <f>G372-G374</f>
        <v>160274.72452330808</v>
      </c>
      <c r="H380" s="10">
        <f>H372-H374</f>
        <v>331479.07576825714</v>
      </c>
      <c r="I380" s="10">
        <f>I372-I374</f>
        <v>137566.5916195914</v>
      </c>
      <c r="J380" s="10">
        <f>J372-J374</f>
        <v>415285.51212759211</v>
      </c>
      <c r="K380" s="10">
        <f>K372-K374</f>
        <v>115780.56376819164</v>
      </c>
      <c r="L380" s="1855">
        <f>SUM(G380:K380)</f>
        <v>1160386.4678069404</v>
      </c>
      <c r="M380" s="10">
        <f t="shared" ref="M380:S380" si="155">M372-M374</f>
        <v>372795.56599774776</v>
      </c>
      <c r="N380" s="10">
        <f t="shared" si="155"/>
        <v>441253.98334493424</v>
      </c>
      <c r="O380" s="10">
        <f t="shared" si="155"/>
        <v>268763.43063420308</v>
      </c>
      <c r="P380" s="10">
        <f t="shared" si="155"/>
        <v>73986.520486602458</v>
      </c>
      <c r="Q380" s="10">
        <f t="shared" si="155"/>
        <v>30973.978111762128</v>
      </c>
      <c r="R380" s="10">
        <f t="shared" si="155"/>
        <v>93390.513676416071</v>
      </c>
      <c r="S380" s="10">
        <f t="shared" si="155"/>
        <v>107893.2570218287</v>
      </c>
      <c r="T380" s="3205">
        <f>SUM(L380:S380)</f>
        <v>2549443.7170804348</v>
      </c>
      <c r="AA380" s="117">
        <f>ROW()</f>
        <v>380</v>
      </c>
    </row>
    <row r="381" spans="2:27" s="3192" customFormat="1" ht="14.1" customHeight="1">
      <c r="B381" s="265" t="str">
        <f>CONCATENATE("Difference between Row ",AA372, " (total) and Row ",AA374, " (households with regular auto users).")</f>
        <v>Difference between Row 372 (total) and Row 374 (households with regular auto users).</v>
      </c>
      <c r="L381" s="1955"/>
      <c r="T381" s="1955"/>
      <c r="AA381" s="117">
        <f>ROW()</f>
        <v>381</v>
      </c>
    </row>
    <row r="382" spans="2:27" s="3192" customFormat="1" ht="14.1" customHeight="1">
      <c r="B382" s="1" t="s">
        <v>5591</v>
      </c>
      <c r="G382" s="23">
        <v>0.2</v>
      </c>
      <c r="H382" s="23">
        <v>0.2</v>
      </c>
      <c r="I382" s="23">
        <v>0.2</v>
      </c>
      <c r="J382" s="23">
        <v>0.2</v>
      </c>
      <c r="K382" s="23">
        <v>0.3</v>
      </c>
      <c r="L382" s="1955"/>
      <c r="M382" s="23">
        <v>0.4</v>
      </c>
      <c r="N382" s="23">
        <v>0.6</v>
      </c>
      <c r="O382" s="23">
        <v>0.4</v>
      </c>
      <c r="P382" s="23">
        <v>0.4</v>
      </c>
      <c r="Q382" s="23">
        <v>0.5</v>
      </c>
      <c r="R382" s="23">
        <v>0.6</v>
      </c>
      <c r="S382" s="23">
        <v>0.6</v>
      </c>
      <c r="T382" s="1955"/>
      <c r="AA382" s="117">
        <f>ROW()</f>
        <v>382</v>
      </c>
    </row>
    <row r="383" spans="2:27" s="3192" customFormat="1" ht="14.1" customHeight="1">
      <c r="B383" s="265" t="s">
        <v>5590</v>
      </c>
      <c r="L383" s="1955"/>
      <c r="T383" s="1955"/>
      <c r="AA383" s="117">
        <f>ROW()</f>
        <v>383</v>
      </c>
    </row>
    <row r="384" spans="2:27" s="3192" customFormat="1" ht="14.1" customHeight="1">
      <c r="B384" s="1" t="s">
        <v>5578</v>
      </c>
      <c r="G384" s="10">
        <f>(1-G382)*G380</f>
        <v>128219.77961864647</v>
      </c>
      <c r="H384" s="10">
        <f>(1-H382)*H380</f>
        <v>265183.26061460574</v>
      </c>
      <c r="I384" s="10">
        <f>(1-I382)*I380</f>
        <v>110053.27329567313</v>
      </c>
      <c r="J384" s="10">
        <f>(1-J382)*J380</f>
        <v>332228.40970207372</v>
      </c>
      <c r="K384" s="10">
        <f>(1-K382)*K380</f>
        <v>81046.394637734149</v>
      </c>
      <c r="L384" s="1855">
        <f>SUM(G384:K384)</f>
        <v>916731.11786873324</v>
      </c>
      <c r="M384" s="10">
        <f t="shared" ref="M384:S384" si="156">(1-M382)*M380</f>
        <v>223677.33959864866</v>
      </c>
      <c r="N384" s="10">
        <f t="shared" si="156"/>
        <v>176501.5933379737</v>
      </c>
      <c r="O384" s="10">
        <f t="shared" si="156"/>
        <v>161258.05838052183</v>
      </c>
      <c r="P384" s="10">
        <f t="shared" si="156"/>
        <v>44391.912291961475</v>
      </c>
      <c r="Q384" s="10">
        <f t="shared" si="156"/>
        <v>15486.989055881064</v>
      </c>
      <c r="R384" s="10">
        <f t="shared" si="156"/>
        <v>37356.205470566427</v>
      </c>
      <c r="S384" s="10">
        <f t="shared" si="156"/>
        <v>43157.302808731481</v>
      </c>
      <c r="T384" s="3205">
        <f>SUM(L384:S384)</f>
        <v>1618560.5188130178</v>
      </c>
      <c r="AA384" s="117">
        <f>ROW()</f>
        <v>384</v>
      </c>
    </row>
    <row r="385" spans="2:27" s="3192" customFormat="1" ht="14.1" customHeight="1">
      <c r="B385" s="265" t="str">
        <f>CONCATENATE("Product of complement of zero-trip HH % in Row ",AA382, " and number of cars in Row ",AA380, ".")</f>
        <v>Product of complement of zero-trip HH % in Row 382 and number of cars in Row 380.</v>
      </c>
      <c r="L385" s="1955"/>
      <c r="T385" s="1955"/>
      <c r="AA385" s="117">
        <f>ROW()</f>
        <v>385</v>
      </c>
    </row>
    <row r="386" spans="2:27" s="3192" customFormat="1" ht="14.1" customHeight="1">
      <c r="B386" s="1" t="s">
        <v>5575</v>
      </c>
      <c r="G386" s="983">
        <f t="shared" ref="G386:L386" si="157">G370/G384</f>
        <v>5.7552134311532814</v>
      </c>
      <c r="H386" s="983">
        <f t="shared" si="157"/>
        <v>4.5229771357720496</v>
      </c>
      <c r="I386" s="983">
        <f t="shared" si="157"/>
        <v>5.8745998961099968</v>
      </c>
      <c r="J386" s="983">
        <f t="shared" si="157"/>
        <v>5.038856331545051</v>
      </c>
      <c r="K386" s="983">
        <f t="shared" si="157"/>
        <v>6.3327650985121009</v>
      </c>
      <c r="L386" s="3208">
        <f t="shared" si="157"/>
        <v>5.2045445848726164</v>
      </c>
      <c r="M386" s="983">
        <f t="shared" ref="M386:S386" si="158">M370/M384</f>
        <v>3.0011662821590441</v>
      </c>
      <c r="N386" s="983">
        <f t="shared" si="158"/>
        <v>1.778562385293927</v>
      </c>
      <c r="O386" s="983">
        <f t="shared" si="158"/>
        <v>2.9023638286369722</v>
      </c>
      <c r="P386" s="983">
        <f t="shared" si="158"/>
        <v>5.4295790101598111</v>
      </c>
      <c r="Q386" s="983">
        <f t="shared" si="158"/>
        <v>2.3724911754534554</v>
      </c>
      <c r="R386" s="983">
        <f t="shared" si="158"/>
        <v>1.4643969763392994</v>
      </c>
      <c r="S386" s="983">
        <f t="shared" si="158"/>
        <v>1.8186929436577486</v>
      </c>
      <c r="T386" s="3208">
        <f>T370/T384</f>
        <v>4.0995537546601071</v>
      </c>
      <c r="AA386" s="117">
        <f>ROW()</f>
        <v>386</v>
      </c>
    </row>
    <row r="387" spans="2:27" s="3192" customFormat="1" ht="14.1" customHeight="1">
      <c r="B387" s="265" t="str">
        <f>CONCATENATE("Ratio of Row ",AA370, " to Row ",AA384, ". Included for possible interest only.")</f>
        <v>Ratio of Row 370 to Row 384. Included for possible interest only.</v>
      </c>
      <c r="L387" s="1955"/>
      <c r="T387" s="1955"/>
      <c r="AA387" s="117">
        <f>ROW()</f>
        <v>387</v>
      </c>
    </row>
    <row r="388" spans="2:27" s="3192" customFormat="1" ht="14.1" customHeight="1">
      <c r="B388" s="1" t="s">
        <v>5580</v>
      </c>
      <c r="C388" s="3196"/>
      <c r="D388" s="3196"/>
      <c r="E388" s="3196"/>
      <c r="F388" s="3196"/>
      <c r="G388" s="726">
        <v>0.05</v>
      </c>
      <c r="H388"/>
      <c r="L388" s="1955"/>
      <c r="T388" s="1955"/>
      <c r="AA388" s="117">
        <f>ROW()</f>
        <v>388</v>
      </c>
    </row>
    <row r="389" spans="2:27" s="3196" customFormat="1" ht="14.1" customHeight="1">
      <c r="B389" s="265" t="s">
        <v>768</v>
      </c>
      <c r="L389" s="1955"/>
      <c r="T389" s="1955"/>
      <c r="AA389" s="117">
        <f>ROW()</f>
        <v>389</v>
      </c>
    </row>
    <row r="390" spans="2:27" s="3192" customFormat="1" ht="14.1" customHeight="1">
      <c r="B390" s="1" t="s">
        <v>5579</v>
      </c>
      <c r="F390"/>
      <c r="G390" s="23">
        <f>G376-$G$388</f>
        <v>0.85</v>
      </c>
      <c r="H390" s="23">
        <f>H376-$G$388</f>
        <v>0.85</v>
      </c>
      <c r="I390" s="23">
        <f>I376-$G$388</f>
        <v>0.85</v>
      </c>
      <c r="J390" s="23">
        <f>J376-$G$388</f>
        <v>0.85</v>
      </c>
      <c r="K390" s="23">
        <f>K376-$G$388</f>
        <v>0.85</v>
      </c>
      <c r="L390" s="1955"/>
      <c r="M390" s="23">
        <f t="shared" ref="M390:S390" si="159">M376-$G$388</f>
        <v>0.79999999999999993</v>
      </c>
      <c r="N390" s="23">
        <f t="shared" si="159"/>
        <v>0.79999999999999993</v>
      </c>
      <c r="O390" s="23">
        <f t="shared" si="159"/>
        <v>0.79999999999999993</v>
      </c>
      <c r="P390" s="23">
        <f t="shared" si="159"/>
        <v>0.79999999999999993</v>
      </c>
      <c r="Q390" s="23">
        <f t="shared" si="159"/>
        <v>0.79999999999999993</v>
      </c>
      <c r="R390" s="23">
        <f t="shared" si="159"/>
        <v>0.79999999999999993</v>
      </c>
      <c r="S390" s="23">
        <f t="shared" si="159"/>
        <v>0.79999999999999993</v>
      </c>
      <c r="T390" s="1955"/>
      <c r="AA390" s="117">
        <f>ROW()</f>
        <v>390</v>
      </c>
    </row>
    <row r="391" spans="2:27" ht="14.1" customHeight="1">
      <c r="B391" s="265" t="str">
        <f>CONCATENATE("Difference between Row ",AA376, " and Row ",AA386, ".")</f>
        <v>Difference between Row 376 and Row 386.</v>
      </c>
      <c r="L391" s="1955"/>
      <c r="T391" s="1955"/>
      <c r="AA391" s="117">
        <f>ROW()</f>
        <v>391</v>
      </c>
    </row>
    <row r="392" spans="2:27" s="2" customFormat="1" ht="14.1" customHeight="1">
      <c r="B392" s="2" t="s">
        <v>5593</v>
      </c>
      <c r="G392" s="5">
        <f>G390*G384</f>
        <v>108986.81267584949</v>
      </c>
      <c r="H392" s="5">
        <f>H390*H384</f>
        <v>225405.77152241487</v>
      </c>
      <c r="I392" s="5">
        <f>I390*I384</f>
        <v>93545.282301322164</v>
      </c>
      <c r="J392" s="5">
        <f>J390*J384</f>
        <v>282394.14824676263</v>
      </c>
      <c r="K392" s="5">
        <f>K390*K384</f>
        <v>68889.435442074027</v>
      </c>
      <c r="L392" s="3204">
        <f>SUM(G392:K392)</f>
        <v>779221.45018842304</v>
      </c>
      <c r="M392" s="5">
        <f t="shared" ref="M392:S392" si="160">M390*M384</f>
        <v>178941.87167891892</v>
      </c>
      <c r="N392" s="5">
        <f t="shared" si="160"/>
        <v>141201.27467037895</v>
      </c>
      <c r="O392" s="5">
        <f t="shared" si="160"/>
        <v>129006.44670441745</v>
      </c>
      <c r="P392" s="5">
        <f t="shared" si="160"/>
        <v>35513.529833569177</v>
      </c>
      <c r="Q392" s="5">
        <f t="shared" si="160"/>
        <v>12389.59124470485</v>
      </c>
      <c r="R392" s="5">
        <f t="shared" si="160"/>
        <v>29884.964376453139</v>
      </c>
      <c r="S392" s="5">
        <f t="shared" si="160"/>
        <v>34525.842246985179</v>
      </c>
      <c r="T392" s="3195">
        <f>SUM(L392:S392)</f>
        <v>1340684.9709438505</v>
      </c>
      <c r="X392" s="5">
        <f>SUM(G392:K392)+SUM(M392:S392)</f>
        <v>1340684.9709438507</v>
      </c>
      <c r="AA392" s="117">
        <f>ROW()</f>
        <v>392</v>
      </c>
    </row>
    <row r="393" spans="2:27" s="3196" customFormat="1" ht="14.1" customHeight="1">
      <c r="B393" s="265" t="str">
        <f>CONCATENATE("Product of E-ZPass % in Row ",AA390, " and number of cars in Row ",AA384, ".")</f>
        <v>Product of E-ZPass % in Row 390 and number of cars in Row 384.</v>
      </c>
      <c r="G393" s="10"/>
      <c r="H393" s="10"/>
      <c r="I393" s="10"/>
      <c r="J393" s="10"/>
      <c r="K393" s="10"/>
      <c r="L393" s="1955"/>
      <c r="M393" s="10"/>
      <c r="N393" s="10"/>
      <c r="O393" s="10"/>
      <c r="P393" s="10"/>
      <c r="Q393" s="10"/>
      <c r="R393" s="10"/>
      <c r="S393" s="10"/>
      <c r="T393" s="1955"/>
      <c r="AA393" s="117">
        <f>ROW()</f>
        <v>393</v>
      </c>
    </row>
    <row r="394" spans="2:27" s="2" customFormat="1" ht="14.1" customHeight="1">
      <c r="B394" s="2" t="s">
        <v>5594</v>
      </c>
      <c r="G394" s="5">
        <f>G378+G392</f>
        <v>142674.96060487223</v>
      </c>
      <c r="H394" s="5">
        <f>H378+H392</f>
        <v>280161.70333098347</v>
      </c>
      <c r="I394" s="5">
        <f>I378+I392</f>
        <v>123485.04984368989</v>
      </c>
      <c r="J394" s="5">
        <f>J378+J392</f>
        <v>358818.08733192971</v>
      </c>
      <c r="K394" s="5">
        <f>K378+K392</f>
        <v>91189.128050701547</v>
      </c>
      <c r="L394" s="3204">
        <f>SUM(G394:K394)</f>
        <v>996328.92916217691</v>
      </c>
      <c r="M394" s="5">
        <f t="shared" ref="M394:S394" si="161">M378+M392</f>
        <v>206912.34058083332</v>
      </c>
      <c r="N394" s="5">
        <f t="shared" si="161"/>
        <v>153968.28882718485</v>
      </c>
      <c r="O394" s="5">
        <f t="shared" si="161"/>
        <v>148507.63066534486</v>
      </c>
      <c r="P394" s="5">
        <f t="shared" si="161"/>
        <v>45316.137419957086</v>
      </c>
      <c r="Q394" s="5">
        <f t="shared" si="161"/>
        <v>13883.909849707041</v>
      </c>
      <c r="R394" s="5">
        <f t="shared" si="161"/>
        <v>32083.477751499482</v>
      </c>
      <c r="S394" s="5">
        <f t="shared" si="161"/>
        <v>37643.423778430777</v>
      </c>
      <c r="T394" s="3195">
        <f>SUM(L394:S394)</f>
        <v>1634644.1380351342</v>
      </c>
      <c r="X394" s="5">
        <f>SUM(G394:K394)+SUM(M394:S394)</f>
        <v>1634644.1380351344</v>
      </c>
      <c r="AA394" s="117">
        <f>ROW()</f>
        <v>394</v>
      </c>
    </row>
    <row r="395" spans="2:27" s="3192" customFormat="1" ht="14.1" customHeight="1">
      <c r="B395" s="265" t="str">
        <f>CONCATENATE("Sum of Rows ",AA378, " (E-ZPass-using HH's that regularly commute to/thru CBD by car) and ",AA392, " (E-ZPass-using HH's that don't commute regularly by car to/thru CBD but do drive to/thru CBD at least once per month).")</f>
        <v>Sum of Rows 378 (E-ZPass-using HH's that regularly commute to/thru CBD by car) and 392 (E-ZPass-using HH's that don't commute regularly by car to/thru CBD but do drive to/thru CBD at least once per month).</v>
      </c>
      <c r="F395"/>
      <c r="L395" s="1955"/>
      <c r="T395" s="1955"/>
      <c r="AA395" s="117">
        <f>ROW()</f>
        <v>395</v>
      </c>
    </row>
    <row r="396" spans="2:27" s="3198" customFormat="1" ht="14.1" customHeight="1">
      <c r="B396" s="2" t="s">
        <v>5595</v>
      </c>
      <c r="G396" s="12">
        <f t="shared" ref="G396:T396" si="162">G394/G312</f>
        <v>0.1005990809268156</v>
      </c>
      <c r="H396" s="12">
        <f t="shared" si="162"/>
        <v>0.12153489283860483</v>
      </c>
      <c r="I396" s="12">
        <f t="shared" si="162"/>
        <v>9.8585964625486189E-2</v>
      </c>
      <c r="J396" s="12">
        <f t="shared" si="162"/>
        <v>0.11152398914446295</v>
      </c>
      <c r="K396" s="12">
        <f t="shared" si="162"/>
        <v>9.713317251057052E-2</v>
      </c>
      <c r="L396" s="3189">
        <f t="shared" si="162"/>
        <v>0.10910036823488627</v>
      </c>
      <c r="M396" s="12">
        <f t="shared" si="162"/>
        <v>0.17253522345259378</v>
      </c>
      <c r="N396" s="12">
        <f t="shared" si="162"/>
        <v>0.28127625260948969</v>
      </c>
      <c r="O396" s="12">
        <f t="shared" si="162"/>
        <v>0.17761470315574043</v>
      </c>
      <c r="P396" s="12">
        <f t="shared" si="162"/>
        <v>0.10782076077042767</v>
      </c>
      <c r="Q396" s="12">
        <f t="shared" si="162"/>
        <v>0.21670039633644531</v>
      </c>
      <c r="R396" s="12">
        <f t="shared" si="162"/>
        <v>0.34036386803862517</v>
      </c>
      <c r="S396" s="12">
        <f t="shared" si="162"/>
        <v>0.28161930416548475</v>
      </c>
      <c r="T396" s="3189">
        <f t="shared" si="162"/>
        <v>0.13153680744021068</v>
      </c>
      <c r="U396" s="3192"/>
      <c r="V396" s="3192"/>
      <c r="W396" s="3192"/>
      <c r="X396" s="12">
        <f>X394/X312</f>
        <v>0.10184093132057249</v>
      </c>
      <c r="AA396" s="117">
        <f>ROW()</f>
        <v>396</v>
      </c>
    </row>
    <row r="397" spans="2:27" s="3198" customFormat="1" ht="14.1" customHeight="1">
      <c r="B397" s="265" t="str">
        <f>CONCATENATE("Ratio of Row ",AA394, " to Row ",AA312, ".")</f>
        <v>Ratio of Row 394 to Row 312.</v>
      </c>
      <c r="G397" s="12"/>
      <c r="H397" s="12"/>
      <c r="I397" s="12"/>
      <c r="J397" s="12"/>
      <c r="K397" s="12"/>
      <c r="L397" s="3189"/>
      <c r="M397" s="12"/>
      <c r="N397" s="12"/>
      <c r="O397" s="12"/>
      <c r="P397" s="12"/>
      <c r="Q397" s="12"/>
      <c r="R397" s="12"/>
      <c r="S397" s="12"/>
      <c r="T397" s="1955"/>
      <c r="X397" s="12"/>
      <c r="AA397" s="117">
        <f>ROW()</f>
        <v>397</v>
      </c>
    </row>
    <row r="398" spans="2:27" s="3192" customFormat="1" ht="14.1" customHeight="1">
      <c r="B398" s="2" t="s">
        <v>5581</v>
      </c>
      <c r="F398"/>
      <c r="G398" s="5">
        <f>12*G394</f>
        <v>1712099.5272584669</v>
      </c>
      <c r="H398" s="5">
        <f>12*H394</f>
        <v>3361940.4399718018</v>
      </c>
      <c r="I398" s="5">
        <f>12*I394</f>
        <v>1481820.5981242787</v>
      </c>
      <c r="J398" s="5">
        <f>12*J394</f>
        <v>4305817.0479831565</v>
      </c>
      <c r="K398" s="5">
        <f>12*K394</f>
        <v>1094269.5366084184</v>
      </c>
      <c r="L398" s="3204">
        <f>SUM(G398:K398)</f>
        <v>11955947.149946121</v>
      </c>
      <c r="M398" s="5">
        <f t="shared" ref="M398:S398" si="163">12*M394</f>
        <v>2482948.0869699996</v>
      </c>
      <c r="N398" s="5">
        <f t="shared" si="163"/>
        <v>1847619.4659262183</v>
      </c>
      <c r="O398" s="5">
        <f t="shared" si="163"/>
        <v>1782091.5679841381</v>
      </c>
      <c r="P398" s="5">
        <f t="shared" si="163"/>
        <v>543793.64903948503</v>
      </c>
      <c r="Q398" s="5">
        <f t="shared" si="163"/>
        <v>166606.9181964845</v>
      </c>
      <c r="R398" s="5">
        <f t="shared" si="163"/>
        <v>385001.7330179938</v>
      </c>
      <c r="S398" s="5">
        <f t="shared" si="163"/>
        <v>451721.08534116932</v>
      </c>
      <c r="T398" s="3195">
        <f>SUM(L398:S398)</f>
        <v>19615729.656421609</v>
      </c>
      <c r="X398" s="5">
        <f>SUM(G398:K398)+SUM(M398:S398)</f>
        <v>19615729.656421609</v>
      </c>
      <c r="AA398" s="117">
        <f>ROW()</f>
        <v>398</v>
      </c>
    </row>
    <row r="399" spans="2:27" s="3192" customFormat="1" ht="14.1" customHeight="1">
      <c r="B399" s="265" t="str">
        <f>CONCATENATE("Row ",AA394, " times 12.")</f>
        <v>Row 394 times 12.</v>
      </c>
      <c r="F399"/>
      <c r="G399"/>
      <c r="H399"/>
      <c r="L399" s="1955"/>
      <c r="T399" s="1955"/>
      <c r="AA399" s="117">
        <f>ROW()</f>
        <v>399</v>
      </c>
    </row>
    <row r="400" spans="2:27" s="3192" customFormat="1" ht="14.1" customHeight="1">
      <c r="F400"/>
      <c r="G400"/>
      <c r="H400"/>
      <c r="L400" s="1955"/>
      <c r="T400" s="1955"/>
      <c r="AA400" s="117">
        <f>ROW()</f>
        <v>400</v>
      </c>
    </row>
    <row r="401" spans="2:27" s="3192" customFormat="1" ht="14.1" customHeight="1">
      <c r="B401" s="2" t="s">
        <v>5600</v>
      </c>
      <c r="F401"/>
      <c r="G401"/>
      <c r="H401"/>
      <c r="L401" s="1955"/>
      <c r="T401" s="1955"/>
      <c r="AA401" s="117">
        <f>ROW()</f>
        <v>401</v>
      </c>
    </row>
    <row r="402" spans="2:27" s="3192" customFormat="1" ht="14.1" customHeight="1">
      <c r="F402"/>
      <c r="G402"/>
      <c r="H402"/>
      <c r="L402" s="1955"/>
      <c r="T402" s="1955"/>
      <c r="AA402" s="117">
        <f>ROW()</f>
        <v>402</v>
      </c>
    </row>
    <row r="403" spans="2:27" s="3192" customFormat="1" ht="14.1" customHeight="1">
      <c r="B403" s="2" t="s">
        <v>5604</v>
      </c>
      <c r="F403"/>
      <c r="G403"/>
      <c r="H403"/>
      <c r="L403" s="1955"/>
      <c r="T403" s="1955"/>
      <c r="AA403" s="117">
        <f>ROW()</f>
        <v>403</v>
      </c>
    </row>
    <row r="404" spans="2:27" s="3192" customFormat="1" ht="14.1" customHeight="1">
      <c r="D404" s="4591" t="s">
        <v>2820</v>
      </c>
      <c r="E404" s="4591"/>
      <c r="F404" s="4591" t="s">
        <v>2821</v>
      </c>
      <c r="G404" s="4591"/>
      <c r="H404" s="4591" t="s">
        <v>5601</v>
      </c>
      <c r="I404" s="4591"/>
      <c r="L404" s="1955"/>
      <c r="T404" s="1955"/>
      <c r="AA404" s="117">
        <f>ROW()</f>
        <v>404</v>
      </c>
    </row>
    <row r="405" spans="2:27" s="3192" customFormat="1" ht="14.1" customHeight="1">
      <c r="D405" s="1892" t="s">
        <v>722</v>
      </c>
      <c r="E405" s="1892" t="s">
        <v>5602</v>
      </c>
      <c r="F405" s="1892" t="s">
        <v>722</v>
      </c>
      <c r="G405" s="1892" t="s">
        <v>5602</v>
      </c>
      <c r="H405" s="1892" t="s">
        <v>722</v>
      </c>
      <c r="I405" s="1892" t="s">
        <v>5603</v>
      </c>
      <c r="L405" s="1955"/>
      <c r="T405" s="1955"/>
      <c r="AA405" s="117">
        <f>ROW()</f>
        <v>405</v>
      </c>
    </row>
    <row r="406" spans="2:27" s="3192" customFormat="1" ht="14.1" customHeight="1">
      <c r="B406" s="1" t="s">
        <v>781</v>
      </c>
      <c r="D406" s="26">
        <f ca="1">'Motor Vs'!W850</f>
        <v>6.6260979127944539</v>
      </c>
      <c r="E406" s="4">
        <f ca="1">'Motor Vs'!W848</f>
        <v>209202.4873175883</v>
      </c>
      <c r="F406" s="26">
        <f ca="1">'Motor Vs'!AF850</f>
        <v>6.3490645636210159</v>
      </c>
      <c r="G406" s="10">
        <f ca="1">'Motor Vs'!AF848</f>
        <v>155931.4255238116</v>
      </c>
      <c r="H406" s="26">
        <f ca="1">(D406*E406+F406*G406)/(E406+G406)</f>
        <v>6.5077900713833667</v>
      </c>
      <c r="I406" s="10">
        <f ca="1">(E406+G406)*wkday_per_yr</f>
        <v>91283478.210349977</v>
      </c>
      <c r="L406" s="1955"/>
      <c r="T406" s="1955"/>
      <c r="AA406" s="117">
        <f>ROW()</f>
        <v>406</v>
      </c>
    </row>
    <row r="407" spans="2:27" s="3192" customFormat="1" ht="14.1" customHeight="1">
      <c r="B407" s="1" t="s">
        <v>1975</v>
      </c>
      <c r="D407" s="26">
        <f ca="1">'Motor Vs Weekends'!W850</f>
        <v>4.3014541081995485</v>
      </c>
      <c r="E407" s="4">
        <f ca="1">'Motor Vs Weekends'!W848</f>
        <v>82272.205073887104</v>
      </c>
      <c r="F407" s="26">
        <f ca="1">'Motor Vs Weekends'!AF850</f>
        <v>4.3014541081995468</v>
      </c>
      <c r="G407" s="10">
        <f ca="1">'Motor Vs Weekends'!AF848</f>
        <v>228585.72762928059</v>
      </c>
      <c r="H407" s="26">
        <f ca="1">(D407*E407+F407*G407)/(E407+G407)</f>
        <v>4.3014541081995468</v>
      </c>
      <c r="I407" s="10">
        <f ca="1">(E407+G407)*wkend_per_yr</f>
        <v>35748662.26086428</v>
      </c>
      <c r="L407" s="1955"/>
      <c r="T407" s="1955"/>
      <c r="AA407" s="117">
        <f>ROW()</f>
        <v>407</v>
      </c>
    </row>
    <row r="408" spans="2:27" s="3192" customFormat="1" ht="14.1" customHeight="1">
      <c r="B408" s="3209" t="s">
        <v>1130</v>
      </c>
      <c r="E408"/>
      <c r="F408"/>
      <c r="G408"/>
      <c r="H408" s="3210">
        <f ca="1">(SUMPRODUCT(I406:I407,H406:H407))/SUM(I406:I407)</f>
        <v>5.8868955568984278</v>
      </c>
      <c r="I408" s="10">
        <f ca="1">I406+I407</f>
        <v>127032140.47121426</v>
      </c>
      <c r="L408" s="1955"/>
      <c r="T408" s="1955"/>
      <c r="AA408" s="117">
        <f>ROW()</f>
        <v>408</v>
      </c>
    </row>
    <row r="409" spans="2:27" s="3192" customFormat="1" ht="14.1" customHeight="1">
      <c r="F409"/>
      <c r="G409"/>
      <c r="H409"/>
      <c r="L409" s="1955"/>
      <c r="T409" s="1955"/>
      <c r="AA409" s="117">
        <f>ROW()</f>
        <v>409</v>
      </c>
    </row>
    <row r="410" spans="2:27" s="3192" customFormat="1" ht="14.1" customHeight="1">
      <c r="B410" s="3754" t="str">
        <f>CONCATENATE("Tolls and daily trip numbers are from 'Motor Vs' and 'Motor Vs' Weekends' tabs, Rows ",'Motor Vs'!O848, " and ",'Motor Vs'!O850, ". Through-trips, trucks and buses are excluded because they would overstate toll paid in a single car entry to CBD. Final weighting is done on annual, not daily basis, to accord weekdays proper weight over weekends.")</f>
        <v>Tolls and daily trip numbers are from 'Motor Vs' and 'Motor Vs' Weekends' tabs, Rows 848 and 850. Through-trips, trucks and buses are excluded because they would overstate toll paid in a single car entry to CBD. Final weighting is done on annual, not daily basis, to accord weekdays proper weight over weekends.</v>
      </c>
      <c r="C410" s="3659"/>
      <c r="D410" s="3659"/>
      <c r="E410" s="3659"/>
      <c r="F410" s="3659"/>
      <c r="G410" s="3659"/>
      <c r="H410" s="3659"/>
      <c r="I410" s="3659"/>
      <c r="L410" s="1955"/>
      <c r="T410" s="1955"/>
      <c r="AA410" s="117">
        <f>ROW()</f>
        <v>410</v>
      </c>
    </row>
    <row r="411" spans="2:27" s="3192" customFormat="1" ht="14.1" customHeight="1">
      <c r="B411" s="3659"/>
      <c r="C411" s="3659"/>
      <c r="D411" s="3659"/>
      <c r="E411" s="3659"/>
      <c r="F411" s="3659"/>
      <c r="G411" s="3659"/>
      <c r="H411" s="3659"/>
      <c r="I411" s="3659"/>
      <c r="L411" s="1955"/>
      <c r="T411" s="1955"/>
      <c r="AA411" s="117">
        <f>ROW()</f>
        <v>411</v>
      </c>
    </row>
    <row r="412" spans="2:27" s="3192" customFormat="1" ht="14.1" customHeight="1">
      <c r="B412" s="3659"/>
      <c r="C412" s="3659"/>
      <c r="D412" s="3659"/>
      <c r="E412" s="3659"/>
      <c r="F412" s="3659"/>
      <c r="G412" s="3659"/>
      <c r="H412" s="3659"/>
      <c r="I412" s="3659"/>
      <c r="L412" s="1955"/>
      <c r="T412" s="1955"/>
      <c r="AA412" s="117">
        <f>ROW()</f>
        <v>412</v>
      </c>
    </row>
    <row r="413" spans="2:27" s="3192" customFormat="1" ht="14.1" customHeight="1">
      <c r="L413" s="1955"/>
      <c r="T413" s="1955"/>
      <c r="AA413" s="117">
        <f>ROW()</f>
        <v>413</v>
      </c>
    </row>
    <row r="414" spans="2:27" s="3192" customFormat="1" ht="14.1" customHeight="1">
      <c r="B414" s="2" t="s">
        <v>5605</v>
      </c>
      <c r="J414" s="3804" t="s">
        <v>5612</v>
      </c>
      <c r="K414" s="3804" t="s">
        <v>5613</v>
      </c>
      <c r="L414" s="1955"/>
      <c r="T414" s="1955"/>
      <c r="AA414" s="117">
        <f>ROW()</f>
        <v>414</v>
      </c>
    </row>
    <row r="415" spans="2:27" s="3198" customFormat="1" ht="14.1" customHeight="1">
      <c r="B415" s="2"/>
      <c r="J415" s="3804"/>
      <c r="K415" s="3804"/>
      <c r="L415" s="1955"/>
      <c r="T415" s="1955"/>
      <c r="AA415" s="117">
        <f>ROW()</f>
        <v>415</v>
      </c>
    </row>
    <row r="416" spans="2:27" s="3192" customFormat="1" ht="14.1" customHeight="1">
      <c r="B416" s="1"/>
      <c r="I416" s="1892" t="s">
        <v>5611</v>
      </c>
      <c r="J416" s="3804"/>
      <c r="K416" s="3804"/>
      <c r="L416" s="1955"/>
      <c r="T416" s="1955"/>
      <c r="AA416" s="117">
        <f>ROW()</f>
        <v>416</v>
      </c>
    </row>
    <row r="417" spans="2:27" s="3192" customFormat="1" ht="14.1" customHeight="1">
      <c r="B417" s="1" t="s">
        <v>5606</v>
      </c>
      <c r="I417" s="10">
        <f>X398</f>
        <v>19615729.656421609</v>
      </c>
      <c r="L417" s="1955"/>
      <c r="T417" s="1955"/>
      <c r="AA417" s="117">
        <f>ROW()</f>
        <v>417</v>
      </c>
    </row>
    <row r="418" spans="2:27" s="3192" customFormat="1" ht="14.1" customHeight="1">
      <c r="B418" s="265" t="str">
        <f>CONCATENATE("Copied from Cell X",AA398, ".")</f>
        <v>Copied from Cell X398.</v>
      </c>
      <c r="L418" s="1955"/>
      <c r="T418" s="1955"/>
      <c r="AA418" s="117">
        <f>ROW()</f>
        <v>418</v>
      </c>
    </row>
    <row r="419" spans="2:27" s="3198" customFormat="1" ht="14.1" customHeight="1">
      <c r="B419" s="1" t="s">
        <v>5607</v>
      </c>
      <c r="I419" s="26">
        <f ca="1">H408</f>
        <v>5.8868955568984278</v>
      </c>
      <c r="L419" s="1955"/>
      <c r="T419" s="1955"/>
      <c r="AA419" s="117">
        <f>ROW()</f>
        <v>419</v>
      </c>
    </row>
    <row r="420" spans="2:27" s="3198" customFormat="1" ht="14.1" customHeight="1">
      <c r="B420" s="265" t="str">
        <f>CONCATENATE("Copied from Cell X",AA400, ".")</f>
        <v>Copied from Cell X400.</v>
      </c>
      <c r="L420" s="1955"/>
      <c r="T420" s="1955"/>
      <c r="AA420" s="117">
        <f>ROW()</f>
        <v>420</v>
      </c>
    </row>
    <row r="421" spans="2:27" s="3198" customFormat="1" ht="14.1" customHeight="1">
      <c r="B421" s="1" t="s">
        <v>5608</v>
      </c>
      <c r="I421" s="716">
        <f>MAX('User Inputs'!J25:J36)</f>
        <v>9.5</v>
      </c>
      <c r="L421" s="1955"/>
      <c r="T421" s="1955"/>
      <c r="AA421" s="117">
        <f>ROW()</f>
        <v>421</v>
      </c>
    </row>
    <row r="422" spans="2:27" s="3198" customFormat="1" ht="14.1" customHeight="1">
      <c r="B422" s="265" t="str">
        <f>CONCATENATE("Maximum undiscounted toll (no PANYNJ or MTA discounts/offsets), from 'User Inputs' tab, Col. N, Rows ",'User Inputs'!N25, "-",'User Inputs'!N36, ".")</f>
        <v>Maximum undiscounted toll (no PANYNJ or MTA discounts/offsets), from 'User Inputs' tab, Col. N, Rows 25-36.</v>
      </c>
      <c r="L422" s="1955"/>
      <c r="T422" s="1955"/>
      <c r="AA422" s="117">
        <f>ROW()</f>
        <v>422</v>
      </c>
    </row>
    <row r="423" spans="2:27" s="3188" customFormat="1" ht="14.1" customHeight="1">
      <c r="B423" s="2" t="s">
        <v>5609</v>
      </c>
      <c r="I423" s="1891">
        <f ca="1">$I$417*I419/1000000</f>
        <v>115.47575175970908</v>
      </c>
      <c r="J423" s="3211">
        <f ca="1">I423/Results!$I$33</f>
        <v>0.106921992370101</v>
      </c>
      <c r="K423" s="3211">
        <f ca="1">I423/Results!$I$55</f>
        <v>9.2380601407767271E-2</v>
      </c>
      <c r="L423" s="1955"/>
      <c r="T423" s="1955"/>
      <c r="AA423" s="117">
        <f>ROW()</f>
        <v>423</v>
      </c>
    </row>
    <row r="424" spans="2:27" s="3198" customFormat="1" ht="14.1" customHeight="1">
      <c r="B424" s="2" t="s">
        <v>5610</v>
      </c>
      <c r="I424" s="1891">
        <f>$I$417*I421/1000000</f>
        <v>186.34943173600527</v>
      </c>
      <c r="J424" s="3211">
        <f ca="1">I424/Results!$I$33</f>
        <v>0.17254577012593081</v>
      </c>
      <c r="K424" s="3211">
        <f ca="1">I424/Results!$I$55</f>
        <v>0.14907954538880422</v>
      </c>
      <c r="L424" s="1955"/>
      <c r="T424" s="1955"/>
      <c r="AA424" s="117">
        <f>ROW()</f>
        <v>424</v>
      </c>
    </row>
    <row r="425" spans="2:27" s="3198" customFormat="1" ht="14.1" customHeight="1">
      <c r="B425" s="2" t="s">
        <v>5614</v>
      </c>
      <c r="I425" s="1891">
        <f ca="1">AVERAGE(I423:I424)</f>
        <v>150.91259174785716</v>
      </c>
      <c r="J425" s="3211">
        <f ca="1">I425/Results!$I$33</f>
        <v>0.13973388124801589</v>
      </c>
      <c r="K425" s="3211">
        <f ca="1">I425/Results!$I$55</f>
        <v>0.12073007339828573</v>
      </c>
      <c r="L425" s="1955"/>
      <c r="T425" s="1955"/>
      <c r="AA425" s="117">
        <f>ROW()</f>
        <v>425</v>
      </c>
    </row>
    <row r="426" spans="2:27" s="3198" customFormat="1" ht="14.1" customHeight="1">
      <c r="B426" s="3754" t="str">
        <f>CONCATENATE("Minimum and maximum losses are respective products of min and max revenue losses in Rows ",AA419, " and ",AA421, ", and number of exempted trips in Row ",AA417, ".")</f>
        <v>Minimum and maximum losses are respective products of min and max revenue losses in Rows 419 and 421, and number of exempted trips in Row 417.</v>
      </c>
      <c r="C426" s="3659"/>
      <c r="D426" s="3659"/>
      <c r="E426" s="3659"/>
      <c r="F426" s="3659"/>
      <c r="G426" s="3659"/>
      <c r="H426" s="3659"/>
      <c r="L426" s="1955"/>
      <c r="T426" s="1955"/>
      <c r="AA426" s="117">
        <f>ROW()</f>
        <v>426</v>
      </c>
    </row>
    <row r="427" spans="2:27" s="3188" customFormat="1" ht="14.1" customHeight="1">
      <c r="B427" s="3659"/>
      <c r="C427" s="3659"/>
      <c r="D427" s="3659"/>
      <c r="E427" s="3659"/>
      <c r="F427" s="3659"/>
      <c r="G427" s="3659"/>
      <c r="H427" s="3659"/>
      <c r="AA427" s="117">
        <f>ROW()</f>
        <v>427</v>
      </c>
    </row>
    <row r="428" spans="2:27" s="3198" customFormat="1" ht="14.1" customHeight="1">
      <c r="B428" s="3197"/>
      <c r="C428" s="3197"/>
      <c r="D428" s="3197"/>
      <c r="E428" s="3197"/>
      <c r="F428" s="3197"/>
      <c r="G428" s="3197"/>
      <c r="H428" s="3197"/>
      <c r="AA428" s="117">
        <f>ROW()</f>
        <v>428</v>
      </c>
    </row>
    <row r="429" spans="2:27" s="3384" customFormat="1" ht="14.1" customHeight="1">
      <c r="B429" s="2" t="s">
        <v>5948</v>
      </c>
      <c r="C429" s="3382"/>
      <c r="D429" s="3382"/>
      <c r="E429" s="3382"/>
      <c r="F429" s="3382"/>
      <c r="G429" s="3382"/>
      <c r="H429" s="3382"/>
      <c r="AA429" s="117">
        <f>ROW()</f>
        <v>429</v>
      </c>
    </row>
    <row r="430" spans="2:27" s="3384" customFormat="1" ht="14.1" customHeight="1">
      <c r="B430" s="3382"/>
      <c r="C430" s="3382"/>
      <c r="D430" s="3382"/>
      <c r="E430" s="3382"/>
      <c r="F430" s="3382"/>
      <c r="G430" s="3382"/>
      <c r="H430" s="3382"/>
      <c r="AA430" s="117">
        <f>ROW()</f>
        <v>430</v>
      </c>
    </row>
    <row r="431" spans="2:27" s="3384" customFormat="1" ht="14.1" customHeight="1">
      <c r="B431" s="3382"/>
      <c r="C431" s="3382"/>
      <c r="D431" s="3382"/>
      <c r="E431" s="3382"/>
      <c r="F431" s="3382"/>
      <c r="G431" s="3383" t="str">
        <f>G110</f>
        <v>Bronx</v>
      </c>
      <c r="H431" s="3383" t="str">
        <f>H110</f>
        <v>Brooklyn</v>
      </c>
      <c r="I431" s="3383" t="str">
        <f>I110</f>
        <v>Manhattan</v>
      </c>
      <c r="J431" s="3383" t="str">
        <f>J110</f>
        <v>Queens</v>
      </c>
      <c r="K431" s="3383" t="str">
        <f>K110</f>
        <v>S.I.</v>
      </c>
      <c r="L431" s="3383"/>
      <c r="M431" s="3383" t="str">
        <f t="shared" ref="M431:S431" si="164">M110</f>
        <v>Nassau</v>
      </c>
      <c r="N431" s="3383" t="str">
        <f t="shared" si="164"/>
        <v>Suffolk</v>
      </c>
      <c r="O431" s="3383" t="str">
        <f t="shared" si="164"/>
        <v>Westchester</v>
      </c>
      <c r="P431" s="3383" t="str">
        <f t="shared" si="164"/>
        <v>Rockland</v>
      </c>
      <c r="Q431" s="3383" t="str">
        <f t="shared" si="164"/>
        <v>Putnam</v>
      </c>
      <c r="R431" s="3383" t="str">
        <f t="shared" si="164"/>
        <v>Dutchess</v>
      </c>
      <c r="S431" s="3383" t="str">
        <f t="shared" si="164"/>
        <v>Orange</v>
      </c>
      <c r="U431" s="3383" t="s">
        <v>5947</v>
      </c>
      <c r="AA431" s="117">
        <f>ROW()</f>
        <v>431</v>
      </c>
    </row>
    <row r="432" spans="2:27" s="3384" customFormat="1" ht="14.1" customHeight="1">
      <c r="B432" s="1" t="s">
        <v>5943</v>
      </c>
      <c r="C432" s="3382"/>
      <c r="D432" s="3382"/>
      <c r="E432" s="3382"/>
      <c r="F432" s="3382"/>
      <c r="G432" s="1122">
        <f>G108</f>
        <v>27221.193620948128</v>
      </c>
      <c r="H432" s="1122">
        <f>H108</f>
        <v>44244.694745369954</v>
      </c>
      <c r="I432" s="1122">
        <f>I108</f>
        <v>24431.625446140184</v>
      </c>
      <c r="J432" s="1122">
        <f>J108</f>
        <v>61753.197222238261</v>
      </c>
      <c r="K432" s="1122">
        <f>K108</f>
        <v>18018.926165546702</v>
      </c>
      <c r="M432" s="1122">
        <f t="shared" ref="M432:S432" si="165">M108</f>
        <v>23114.631784814781</v>
      </c>
      <c r="N432" s="1122">
        <f t="shared" si="165"/>
        <v>10550.585771763319</v>
      </c>
      <c r="O432" s="1122">
        <f t="shared" si="165"/>
        <v>16115.664281692509</v>
      </c>
      <c r="P432" s="1122">
        <f t="shared" si="165"/>
        <v>8100.8175331261755</v>
      </c>
      <c r="Q432" s="1122">
        <f t="shared" si="165"/>
        <v>1234.8961486827143</v>
      </c>
      <c r="R432" s="1122">
        <f t="shared" si="165"/>
        <v>1816.8385848800872</v>
      </c>
      <c r="S432" s="1122">
        <f t="shared" si="165"/>
        <v>2576.3511298722583</v>
      </c>
      <c r="U432" s="5">
        <f>SUM(G432:S432)</f>
        <v>239179.42243507507</v>
      </c>
      <c r="AA432" s="117">
        <f>ROW()</f>
        <v>432</v>
      </c>
    </row>
    <row r="433" spans="2:27" s="3384" customFormat="1" ht="14.1" customHeight="1">
      <c r="B433" s="265" t="str">
        <f>CONCATENATE("Copied from Row ",AA108, ". People in carpools are treated as one commuter.")</f>
        <v>Copied from Row 108. People in carpools are treated as one commuter.</v>
      </c>
      <c r="C433" s="3382"/>
      <c r="D433" s="3382"/>
      <c r="E433" s="3382"/>
      <c r="F433" s="3382"/>
      <c r="AA433" s="117">
        <f>ROW()</f>
        <v>433</v>
      </c>
    </row>
    <row r="434" spans="2:27" s="3384" customFormat="1" ht="14.1" customHeight="1">
      <c r="B434" s="1" t="s">
        <v>5944</v>
      </c>
      <c r="C434" s="3382"/>
      <c r="D434" s="3382"/>
      <c r="E434" s="3382"/>
      <c r="F434" s="3382"/>
      <c r="G434" s="3385">
        <v>473097</v>
      </c>
      <c r="H434" s="3385">
        <v>1016986</v>
      </c>
      <c r="I434" s="3385">
        <v>859271</v>
      </c>
      <c r="J434" s="3385">
        <v>1042981</v>
      </c>
      <c r="K434" s="3385">
        <v>227752</v>
      </c>
      <c r="M434" s="3385">
        <v>639596</v>
      </c>
      <c r="N434" s="3385">
        <v>742373</v>
      </c>
      <c r="O434" s="3386">
        <v>442828</v>
      </c>
      <c r="P434" s="3385">
        <v>140012</v>
      </c>
      <c r="Q434" s="3385">
        <v>16701</v>
      </c>
      <c r="R434" s="3385">
        <v>134704</v>
      </c>
      <c r="S434" s="3385">
        <v>167662</v>
      </c>
      <c r="U434" s="5">
        <f>SUM(G434:S434)</f>
        <v>5903963</v>
      </c>
      <c r="AA434" s="117">
        <f>ROW()</f>
        <v>434</v>
      </c>
    </row>
    <row r="435" spans="2:27" s="3384" customFormat="1" ht="14.1" customHeight="1">
      <c r="B435" s="265" t="s">
        <v>5945</v>
      </c>
      <c r="C435" s="3382"/>
      <c r="D435" s="3382"/>
      <c r="E435" s="3382"/>
      <c r="F435" s="3382"/>
      <c r="G435" s="2841" t="s">
        <v>5949</v>
      </c>
      <c r="H435" s="3382"/>
      <c r="AA435" s="117">
        <f>ROW()</f>
        <v>435</v>
      </c>
    </row>
    <row r="436" spans="2:27" s="3384" customFormat="1" ht="14.1" customHeight="1">
      <c r="B436" s="1" t="s">
        <v>5946</v>
      </c>
      <c r="C436" s="3382"/>
      <c r="D436" s="3382"/>
      <c r="E436" s="3382"/>
      <c r="F436" s="3382"/>
      <c r="G436" s="2430">
        <f>G432/G434</f>
        <v>5.7538292614301358E-2</v>
      </c>
      <c r="H436" s="2430">
        <f>H432/H434</f>
        <v>4.3505706809503726E-2</v>
      </c>
      <c r="I436" s="2430">
        <f>I432/I434</f>
        <v>2.8432968698047744E-2</v>
      </c>
      <c r="J436" s="2430">
        <f>J432/J434</f>
        <v>5.9208362589767465E-2</v>
      </c>
      <c r="K436" s="2430">
        <f>K432/K434</f>
        <v>7.9116434391560561E-2</v>
      </c>
      <c r="M436" s="2430">
        <f t="shared" ref="M436:S436" si="166">M432/M434</f>
        <v>3.6139425175915389E-2</v>
      </c>
      <c r="N436" s="2430">
        <f t="shared" si="166"/>
        <v>1.4211973996580316E-2</v>
      </c>
      <c r="O436" s="2430">
        <f t="shared" si="166"/>
        <v>3.6392604536507424E-2</v>
      </c>
      <c r="P436" s="2430">
        <f t="shared" si="166"/>
        <v>5.785802312034808E-2</v>
      </c>
      <c r="Q436" s="2430">
        <f t="shared" si="166"/>
        <v>7.3941449534920919E-2</v>
      </c>
      <c r="R436" s="2430">
        <f t="shared" si="166"/>
        <v>1.3487636483549762E-2</v>
      </c>
      <c r="S436" s="2430">
        <f t="shared" si="166"/>
        <v>1.5366339002709369E-2</v>
      </c>
      <c r="U436" s="3387">
        <f>U432/U434</f>
        <v>4.0511673673272526E-2</v>
      </c>
      <c r="AA436" s="117">
        <f>ROW()</f>
        <v>436</v>
      </c>
    </row>
    <row r="437" spans="2:27" s="3384" customFormat="1" ht="14.1" customHeight="1">
      <c r="B437" s="265" t="str">
        <f>CONCATENATE("Row ",AA432, " divided by Row ",AA434, ". People in carpools are treated as one commuter.")</f>
        <v>Row 432 divided by Row 434. People in carpools are treated as one commuter.</v>
      </c>
      <c r="C437" s="3382"/>
      <c r="D437" s="3382"/>
      <c r="E437" s="3382"/>
      <c r="F437" s="3382"/>
      <c r="G437" s="3382"/>
      <c r="H437" s="3382"/>
      <c r="AA437" s="117">
        <f>ROW()</f>
        <v>437</v>
      </c>
    </row>
    <row r="438" spans="2:27" s="3384" customFormat="1" ht="14.1" customHeight="1">
      <c r="B438" s="3382"/>
      <c r="C438" s="3382"/>
      <c r="D438" s="3382"/>
      <c r="E438" s="3382"/>
      <c r="F438" s="3382"/>
      <c r="G438" s="3382"/>
      <c r="H438" s="3382"/>
      <c r="AA438" s="117"/>
    </row>
    <row r="439" spans="2:27" s="3384" customFormat="1" ht="14.1" customHeight="1">
      <c r="B439" s="3382"/>
      <c r="C439" s="3382"/>
      <c r="D439" s="3382"/>
      <c r="E439" s="3382"/>
      <c r="F439" s="3382"/>
      <c r="G439" s="3382"/>
      <c r="H439" s="3382"/>
      <c r="AA439" s="117"/>
    </row>
    <row r="440" spans="2:27" s="3384" customFormat="1" ht="14.1" customHeight="1">
      <c r="B440" s="3382"/>
      <c r="C440" s="3382"/>
      <c r="D440" s="3382"/>
      <c r="E440" s="3382"/>
      <c r="F440" s="3382"/>
      <c r="G440" s="3382"/>
      <c r="H440" s="3382"/>
      <c r="AA440" s="117"/>
    </row>
    <row r="441" spans="2:27" s="3384" customFormat="1" ht="14.1" customHeight="1">
      <c r="B441" s="3382"/>
      <c r="C441" s="3382"/>
      <c r="D441" s="3382"/>
      <c r="E441" s="3382"/>
      <c r="F441" s="3382"/>
      <c r="G441" s="3382"/>
      <c r="H441" s="3382"/>
      <c r="AA441" s="117"/>
    </row>
    <row r="442" spans="2:27" s="3384" customFormat="1" ht="14.1" customHeight="1">
      <c r="B442" s="3382"/>
      <c r="C442" s="3382"/>
      <c r="D442" s="3382"/>
      <c r="E442" s="3382"/>
      <c r="F442" s="3382"/>
      <c r="G442" s="3382"/>
      <c r="H442" s="3382"/>
      <c r="AA442" s="117"/>
    </row>
    <row r="443" spans="2:27" s="3384" customFormat="1" ht="14.1" customHeight="1">
      <c r="B443" s="3382"/>
      <c r="C443" s="3382"/>
      <c r="D443" s="3382"/>
      <c r="E443" s="3382"/>
      <c r="F443" s="3382"/>
      <c r="G443" s="3382"/>
      <c r="H443" s="3382"/>
      <c r="AA443" s="117"/>
    </row>
    <row r="444" spans="2:27" s="3384" customFormat="1" ht="14.1" customHeight="1">
      <c r="B444" s="3382"/>
      <c r="C444" s="3382"/>
      <c r="D444" s="3382"/>
      <c r="E444" s="3382"/>
      <c r="F444" s="3382"/>
      <c r="G444" s="3382"/>
      <c r="H444" s="3382"/>
      <c r="AA444" s="117"/>
    </row>
    <row r="445" spans="2:27" s="3198" customFormat="1" ht="14.1" customHeight="1">
      <c r="B445" s="3197"/>
      <c r="C445" s="3197"/>
      <c r="D445" s="3197"/>
      <c r="E445" s="3197"/>
      <c r="F445" s="3197"/>
      <c r="G445" s="3197"/>
      <c r="H445" s="3197"/>
      <c r="AA445" s="117">
        <f>ROW()</f>
        <v>445</v>
      </c>
    </row>
    <row r="446" spans="2:27" s="3198" customFormat="1" ht="14.1" customHeight="1">
      <c r="B446" s="3197"/>
      <c r="C446" s="3197"/>
      <c r="D446" s="3197"/>
      <c r="E446" s="3197"/>
      <c r="F446" s="3197"/>
      <c r="G446" s="3197"/>
      <c r="H446" s="3197"/>
      <c r="AA446" s="117">
        <f>ROW()</f>
        <v>446</v>
      </c>
    </row>
    <row r="447" spans="2:27" s="3198" customFormat="1" ht="14.1" customHeight="1">
      <c r="B447" s="3197"/>
      <c r="C447" s="3197"/>
      <c r="D447" s="3197"/>
      <c r="E447" s="3197"/>
      <c r="F447" s="3197"/>
      <c r="G447" s="3197"/>
      <c r="H447" s="3197"/>
      <c r="AA447" s="117">
        <f>ROW()</f>
        <v>447</v>
      </c>
    </row>
    <row r="448" spans="2:27" s="3169" customFormat="1" ht="14.1" customHeight="1">
      <c r="B448" s="3178" t="s">
        <v>5507</v>
      </c>
      <c r="C448" s="3178"/>
      <c r="D448" s="3178"/>
      <c r="E448" s="3178"/>
      <c r="F448" s="3178"/>
      <c r="G448" s="3178"/>
      <c r="H448" s="3178"/>
      <c r="I448" s="3178"/>
      <c r="J448" s="3178"/>
      <c r="K448" s="3178"/>
      <c r="L448" s="3178"/>
      <c r="M448" s="3178"/>
      <c r="AA448" s="117">
        <f>ROW()</f>
        <v>448</v>
      </c>
    </row>
    <row r="449" spans="2:27" ht="14.1" customHeight="1">
      <c r="B449" s="3033"/>
      <c r="G449" s="10"/>
      <c r="H449" s="10"/>
      <c r="I449" s="10"/>
      <c r="J449" s="10"/>
      <c r="K449" s="10"/>
      <c r="L449" s="3192"/>
      <c r="M449" s="10"/>
      <c r="N449" s="10"/>
      <c r="O449" s="10"/>
      <c r="P449" s="10"/>
      <c r="Q449" s="10"/>
      <c r="R449" s="10"/>
      <c r="S449" s="10"/>
      <c r="T449" s="3192"/>
      <c r="X449" s="2244"/>
      <c r="AA449" s="117">
        <f>ROW()</f>
        <v>449</v>
      </c>
    </row>
    <row r="450" spans="2:27" ht="14.1" customHeight="1">
      <c r="B450" s="24" t="s">
        <v>5389</v>
      </c>
      <c r="G450" s="6"/>
      <c r="H450" s="6"/>
      <c r="I450" s="6"/>
      <c r="J450" s="6"/>
      <c r="K450" s="6"/>
      <c r="L450" s="6"/>
      <c r="M450" s="6"/>
      <c r="N450" s="6"/>
      <c r="O450" s="6"/>
      <c r="P450" s="6"/>
      <c r="Q450" s="6"/>
      <c r="R450" s="6"/>
      <c r="S450" s="6"/>
      <c r="T450" s="6"/>
      <c r="U450" s="6"/>
      <c r="V450" s="6"/>
      <c r="W450" s="6"/>
      <c r="X450" s="6"/>
      <c r="AA450" s="117">
        <f>ROW()</f>
        <v>450</v>
      </c>
    </row>
    <row r="451" spans="2:27" ht="14.1" customHeight="1">
      <c r="B451" s="9"/>
      <c r="G451" s="6"/>
      <c r="H451" s="6"/>
      <c r="I451" s="6"/>
      <c r="J451" s="6"/>
      <c r="K451" s="6"/>
      <c r="L451" s="6"/>
      <c r="M451" s="6"/>
      <c r="N451" s="6"/>
      <c r="O451" s="6"/>
      <c r="P451" s="6"/>
      <c r="Q451" s="6"/>
      <c r="R451" s="6"/>
      <c r="S451" s="6"/>
      <c r="T451" s="6"/>
      <c r="U451" s="6"/>
      <c r="V451" s="8"/>
      <c r="W451" s="6"/>
      <c r="X451" s="3804" t="s">
        <v>4346</v>
      </c>
      <c r="AA451" s="117">
        <f>ROW()</f>
        <v>451</v>
      </c>
    </row>
    <row r="452" spans="2:27" ht="14.1" customHeight="1">
      <c r="B452" s="9"/>
      <c r="G452" s="85" t="str">
        <f>G225</f>
        <v>Bronx</v>
      </c>
      <c r="H452" s="85" t="str">
        <f>H225</f>
        <v>Brooklyn</v>
      </c>
      <c r="I452" s="1892" t="s">
        <v>4350</v>
      </c>
      <c r="J452" s="85" t="str">
        <f>J225</f>
        <v>Queens</v>
      </c>
      <c r="K452" s="85" t="str">
        <f>K225</f>
        <v>S.I.</v>
      </c>
      <c r="L452" s="6"/>
      <c r="M452" s="85" t="str">
        <f t="shared" ref="M452:S452" si="167">M225</f>
        <v>Nassau</v>
      </c>
      <c r="N452" s="85" t="str">
        <f t="shared" si="167"/>
        <v>Suffolk</v>
      </c>
      <c r="O452" s="85" t="str">
        <f t="shared" si="167"/>
        <v>Westchester</v>
      </c>
      <c r="P452" s="85" t="str">
        <f t="shared" si="167"/>
        <v>Rockland</v>
      </c>
      <c r="Q452" s="85" t="str">
        <f t="shared" si="167"/>
        <v>Putnam</v>
      </c>
      <c r="R452" s="85" t="str">
        <f t="shared" si="167"/>
        <v>Dutchess</v>
      </c>
      <c r="S452" s="85" t="str">
        <f t="shared" si="167"/>
        <v>Orange</v>
      </c>
      <c r="T452" s="6"/>
      <c r="U452" s="8"/>
      <c r="V452" s="8" t="s">
        <v>4351</v>
      </c>
      <c r="W452" s="6"/>
      <c r="X452" s="3807"/>
      <c r="AA452" s="117">
        <f>ROW()</f>
        <v>452</v>
      </c>
    </row>
    <row r="453" spans="2:27" ht="14.1" customHeight="1">
      <c r="B453" s="1" t="s">
        <v>4334</v>
      </c>
      <c r="G453" s="2447">
        <v>472913</v>
      </c>
      <c r="H453" s="4">
        <v>885197</v>
      </c>
      <c r="I453" s="4">
        <v>211269</v>
      </c>
      <c r="J453" s="4">
        <v>779776</v>
      </c>
      <c r="K453" s="4">
        <v>166783</v>
      </c>
      <c r="L453" s="5">
        <f>SUM(F453:K453)</f>
        <v>2515938</v>
      </c>
      <c r="M453" s="2447">
        <v>435764</v>
      </c>
      <c r="N453" s="2447">
        <v>478858</v>
      </c>
      <c r="O453" s="2447">
        <v>338527</v>
      </c>
      <c r="P453" s="2447">
        <v>94154</v>
      </c>
      <c r="Q453" s="2447">
        <v>33864</v>
      </c>
      <c r="R453" s="2447">
        <v>102856</v>
      </c>
      <c r="S453" s="2447">
        <v>123349</v>
      </c>
      <c r="T453" s="5">
        <f>SUM(F453:S453)-L453</f>
        <v>4123310</v>
      </c>
      <c r="U453" s="6"/>
      <c r="V453" s="2447">
        <v>528201</v>
      </c>
      <c r="W453" s="6"/>
      <c r="X453" s="2447">
        <f>SUM(G453:K453,M453:S453,V453)</f>
        <v>4651511</v>
      </c>
      <c r="AA453" s="117">
        <f>ROW()</f>
        <v>453</v>
      </c>
    </row>
    <row r="454" spans="2:27" ht="14.1" customHeight="1">
      <c r="B454" s="265" t="s">
        <v>4342</v>
      </c>
      <c r="G454" s="2447"/>
      <c r="H454" s="4"/>
      <c r="I454" s="6"/>
      <c r="J454" s="4"/>
      <c r="K454" s="4"/>
      <c r="L454" s="5"/>
      <c r="M454" s="2447"/>
      <c r="N454" s="2447"/>
      <c r="O454" s="2447"/>
      <c r="P454" s="2447"/>
      <c r="Q454" s="2447"/>
      <c r="R454" s="2447"/>
      <c r="S454" s="2447"/>
      <c r="T454" s="5"/>
      <c r="U454" s="6"/>
      <c r="V454" s="6"/>
      <c r="W454" s="6"/>
      <c r="X454" s="6"/>
      <c r="AA454" s="117">
        <f>ROW()</f>
        <v>454</v>
      </c>
    </row>
    <row r="455" spans="2:27" ht="14.1" customHeight="1">
      <c r="B455" s="265" t="s">
        <v>4335</v>
      </c>
      <c r="G455" s="2447"/>
      <c r="H455" s="4"/>
      <c r="I455" s="6"/>
      <c r="J455" s="4"/>
      <c r="K455" s="4"/>
      <c r="L455" s="5"/>
      <c r="M455" s="2447"/>
      <c r="N455" s="2447"/>
      <c r="O455" s="2447"/>
      <c r="P455" s="2447"/>
      <c r="Q455" s="2447"/>
      <c r="R455" s="2447"/>
      <c r="S455" s="2447"/>
      <c r="T455" s="5"/>
      <c r="U455" s="6"/>
      <c r="V455" s="6"/>
      <c r="W455" s="6"/>
      <c r="X455" s="6"/>
      <c r="AA455" s="117">
        <f>ROW()</f>
        <v>455</v>
      </c>
    </row>
    <row r="456" spans="2:27" ht="14.1" customHeight="1">
      <c r="B456" s="1" t="s">
        <v>4336</v>
      </c>
      <c r="G456" s="2146">
        <f>G$58/G$453</f>
        <v>2.9046759129057564</v>
      </c>
      <c r="H456" s="2146">
        <f>H$58/H$453</f>
        <v>2.8559179482081389</v>
      </c>
      <c r="I456" s="6"/>
      <c r="J456" s="2146">
        <f t="shared" ref="J456:T456" si="168">J$58/J$453</f>
        <v>2.9115258740971766</v>
      </c>
      <c r="K456" s="2146">
        <f t="shared" si="168"/>
        <v>2.8876624116366778</v>
      </c>
      <c r="L456" s="2146">
        <f t="shared" si="168"/>
        <v>3.2888437632405885</v>
      </c>
      <c r="M456" s="2146">
        <f t="shared" si="168"/>
        <v>2.9982582315198134</v>
      </c>
      <c r="N456" s="2146">
        <f t="shared" si="168"/>
        <v>3.0347806656670664</v>
      </c>
      <c r="O456" s="2146">
        <f t="shared" si="168"/>
        <v>2.810189438360899</v>
      </c>
      <c r="P456" s="2146">
        <f t="shared" si="168"/>
        <v>3.1489156063470483</v>
      </c>
      <c r="Q456" s="2146">
        <f t="shared" si="168"/>
        <v>2.9378986534372786</v>
      </c>
      <c r="R456" s="2146">
        <f t="shared" si="168"/>
        <v>2.8461732908143422</v>
      </c>
      <c r="S456" s="2146">
        <f t="shared" si="168"/>
        <v>3.057738611581772</v>
      </c>
      <c r="T456" s="2146">
        <f t="shared" si="168"/>
        <v>3.1652970550358814</v>
      </c>
      <c r="U456" s="6"/>
      <c r="V456" s="6"/>
      <c r="W456" s="6"/>
      <c r="X456" s="6"/>
      <c r="AA456" s="117">
        <f>ROW()</f>
        <v>456</v>
      </c>
    </row>
    <row r="457" spans="2:27" ht="14.1" customHeight="1">
      <c r="B457" s="265" t="str">
        <f>CONCATENATE("Population in Row ", AA58, " divided by number of households in Row ", AA453, ".")</f>
        <v>Population in Row 58 divided by number of households in Row 453.</v>
      </c>
      <c r="G457" s="2"/>
      <c r="H457" s="2"/>
      <c r="I457" s="6"/>
      <c r="J457" s="2"/>
      <c r="K457" s="2"/>
      <c r="L457" s="2"/>
      <c r="M457" s="2"/>
      <c r="N457" s="2"/>
      <c r="O457" s="2"/>
      <c r="P457" s="2"/>
      <c r="Q457" s="2"/>
      <c r="R457" s="2"/>
      <c r="S457" s="2"/>
      <c r="T457" s="2"/>
      <c r="U457" s="6"/>
      <c r="V457" s="6"/>
      <c r="W457" s="6"/>
      <c r="X457" s="6"/>
      <c r="AA457" s="117">
        <f>ROW()</f>
        <v>457</v>
      </c>
    </row>
    <row r="458" spans="2:27" ht="14.1" customHeight="1">
      <c r="B458" s="1" t="s">
        <v>4337</v>
      </c>
      <c r="G458" s="2"/>
      <c r="H458" s="2"/>
      <c r="I458" s="6"/>
      <c r="J458" s="2"/>
      <c r="K458" s="2"/>
      <c r="L458" s="2"/>
      <c r="M458" s="2"/>
      <c r="N458" s="2"/>
      <c r="O458" s="2"/>
      <c r="P458" s="2"/>
      <c r="Q458" s="2"/>
      <c r="R458" s="2"/>
      <c r="S458" s="2"/>
      <c r="T458" s="2"/>
      <c r="U458" s="6"/>
      <c r="V458" s="6"/>
      <c r="W458" s="6"/>
      <c r="X458" s="6"/>
      <c r="AA458" s="117">
        <f>ROW()</f>
        <v>458</v>
      </c>
    </row>
    <row r="459" spans="2:27" ht="14.1" customHeight="1">
      <c r="B459" s="1" t="s">
        <v>4339</v>
      </c>
      <c r="G459" s="1669">
        <v>0.80800000000000005</v>
      </c>
      <c r="H459" s="1669">
        <v>0.72499999999999998</v>
      </c>
      <c r="I459" s="1669">
        <v>0.79100000000000004</v>
      </c>
      <c r="J459" s="1669">
        <v>0.65000000000000013</v>
      </c>
      <c r="K459" s="1669">
        <v>0.52600000000000002</v>
      </c>
      <c r="L459" s="1669">
        <f>SUMPRODUCT(F459:K459,F453:K453)/SUM(F453:K453)</f>
        <v>0.70970650548622427</v>
      </c>
      <c r="M459" s="1669">
        <v>0.40400000000000003</v>
      </c>
      <c r="N459" s="1669">
        <v>0.438</v>
      </c>
      <c r="O459" s="1669">
        <v>0.47499999999999998</v>
      </c>
      <c r="P459" s="1669">
        <v>0.45900000000000007</v>
      </c>
      <c r="Q459" s="1669">
        <v>0.40200000000000002</v>
      </c>
      <c r="R459" s="1669">
        <v>0.54800000000000004</v>
      </c>
      <c r="S459" s="1669">
        <v>0.53800000000000003</v>
      </c>
      <c r="T459" s="1669">
        <f>SUMPRODUCT(L459:S459,L453:S453)/SUM(L453:S453)</f>
        <v>0.60915216537199501</v>
      </c>
      <c r="U459" s="6"/>
      <c r="V459" s="1669">
        <v>0.442</v>
      </c>
      <c r="W459" s="6"/>
      <c r="X459" s="6"/>
      <c r="AA459" s="117">
        <f>ROW()</f>
        <v>459</v>
      </c>
    </row>
    <row r="460" spans="2:27" ht="14.1" customHeight="1">
      <c r="B460" s="1" t="s">
        <v>4340</v>
      </c>
      <c r="G460" s="1669">
        <v>0.89500000000000002</v>
      </c>
      <c r="H460" s="1669">
        <v>0.82699999999999996</v>
      </c>
      <c r="I460" s="1669">
        <v>0.875</v>
      </c>
      <c r="J460" s="1669">
        <v>0.78400000000000014</v>
      </c>
      <c r="K460" s="1669">
        <v>0.67700000000000005</v>
      </c>
      <c r="L460" s="1669">
        <f>SUMPRODUCT(F460:K460,F453:K453)/SUM(F453:K453)</f>
        <v>0.8205416445079331</v>
      </c>
      <c r="M460" s="1669">
        <v>0.53900000000000003</v>
      </c>
      <c r="N460" s="1669">
        <v>0.59299999999999997</v>
      </c>
      <c r="O460" s="1669">
        <v>0.59399999999999997</v>
      </c>
      <c r="P460" s="1669">
        <v>0.59400000000000008</v>
      </c>
      <c r="Q460" s="1669">
        <v>0.57000000000000006</v>
      </c>
      <c r="R460" s="1669">
        <v>0.69900000000000007</v>
      </c>
      <c r="S460" s="1669">
        <v>0.68600000000000005</v>
      </c>
      <c r="T460" s="1669">
        <f>SUMPRODUCT(L460:S460,L453:S453)/SUM(L453:S453)</f>
        <v>0.73147550050808685</v>
      </c>
      <c r="U460" s="6"/>
      <c r="V460" s="1669">
        <v>0.54800000000000004</v>
      </c>
      <c r="W460" s="6"/>
      <c r="X460" s="6"/>
      <c r="AA460" s="117">
        <f>ROW()</f>
        <v>460</v>
      </c>
    </row>
    <row r="461" spans="2:27" ht="14.1" customHeight="1">
      <c r="B461" s="1" t="s">
        <v>4341</v>
      </c>
      <c r="G461" s="1669">
        <v>0.96799999999999997</v>
      </c>
      <c r="H461" s="1669">
        <v>0.92799999999999994</v>
      </c>
      <c r="I461" s="1669">
        <v>0.93899999999999995</v>
      </c>
      <c r="J461" s="1669">
        <v>0.92000000000000015</v>
      </c>
      <c r="K461" s="1669">
        <v>0.85699999999999998</v>
      </c>
      <c r="L461" s="1669">
        <f>SUMPRODUCT(F453:K453,F461:K461)/SUM(F453:K453)</f>
        <v>0.92925626227673352</v>
      </c>
      <c r="M461" s="1669">
        <v>0.753</v>
      </c>
      <c r="N461" s="1669">
        <v>0.81299999999999994</v>
      </c>
      <c r="O461" s="1669">
        <v>0.755</v>
      </c>
      <c r="P461" s="1669">
        <v>0.78700000000000014</v>
      </c>
      <c r="Q461" s="1669">
        <v>0.79800000000000004</v>
      </c>
      <c r="R461" s="1669">
        <v>0.88000000000000012</v>
      </c>
      <c r="S461" s="1669">
        <v>0.88300000000000001</v>
      </c>
      <c r="T461" s="1669">
        <f>SUMPRODUCT(L461:S461,L453:S453)/SUM(L453:S453)</f>
        <v>0.87588223781379526</v>
      </c>
      <c r="U461" s="6"/>
      <c r="V461" s="1669">
        <v>0.7</v>
      </c>
      <c r="W461" s="6"/>
      <c r="X461" s="6"/>
      <c r="AA461" s="117">
        <f>ROW()</f>
        <v>461</v>
      </c>
    </row>
    <row r="462" spans="2:27" ht="14.1" customHeight="1">
      <c r="B462" s="265" t="s">
        <v>4343</v>
      </c>
      <c r="G462" s="6"/>
      <c r="H462" s="6"/>
      <c r="I462" s="6"/>
      <c r="J462" s="6"/>
      <c r="K462" s="6"/>
      <c r="L462" s="6"/>
      <c r="M462" s="6"/>
      <c r="N462" s="6"/>
      <c r="O462" s="6"/>
      <c r="P462" s="6"/>
      <c r="Q462" s="6"/>
      <c r="R462" s="6"/>
      <c r="S462" s="6"/>
      <c r="T462" s="6"/>
      <c r="U462" s="6"/>
      <c r="V462" s="6"/>
      <c r="W462" s="6"/>
      <c r="X462" s="6"/>
      <c r="AA462" s="117">
        <f>ROW()</f>
        <v>462</v>
      </c>
    </row>
    <row r="463" spans="2:27" ht="14.1" customHeight="1">
      <c r="B463" s="265" t="s">
        <v>4338</v>
      </c>
      <c r="G463" s="6"/>
      <c r="H463" s="6"/>
      <c r="I463" s="6"/>
      <c r="J463" s="6"/>
      <c r="K463" s="6"/>
      <c r="L463" s="6"/>
      <c r="M463" s="6"/>
      <c r="N463" s="6"/>
      <c r="O463" s="6"/>
      <c r="P463" s="6"/>
      <c r="Q463" s="6"/>
      <c r="R463" s="6"/>
      <c r="S463" s="6"/>
      <c r="T463" s="6"/>
      <c r="U463" s="6"/>
      <c r="V463" s="6"/>
      <c r="W463" s="6"/>
      <c r="X463" s="6"/>
      <c r="AA463" s="117">
        <f>ROW()</f>
        <v>463</v>
      </c>
    </row>
    <row r="464" spans="2:27" ht="14.1" customHeight="1">
      <c r="B464" s="1" t="s">
        <v>4344</v>
      </c>
      <c r="G464" s="2447">
        <f>G460*G453</f>
        <v>423257.13500000001</v>
      </c>
      <c r="H464" s="2447">
        <f>H460*H453</f>
        <v>732057.91899999999</v>
      </c>
      <c r="I464" s="2447">
        <f>I460*I453</f>
        <v>184860.375</v>
      </c>
      <c r="J464" s="2447">
        <f>J460*J453</f>
        <v>611344.38400000008</v>
      </c>
      <c r="K464" s="2447">
        <f>K460*K453</f>
        <v>112912.09100000001</v>
      </c>
      <c r="L464" s="6"/>
      <c r="M464" s="2447">
        <f t="shared" ref="M464:S464" si="169">M460*M453</f>
        <v>234876.796</v>
      </c>
      <c r="N464" s="2447">
        <f t="shared" si="169"/>
        <v>283962.79399999999</v>
      </c>
      <c r="O464" s="2447">
        <f t="shared" si="169"/>
        <v>201085.038</v>
      </c>
      <c r="P464" s="2447">
        <f t="shared" si="169"/>
        <v>55927.47600000001</v>
      </c>
      <c r="Q464" s="2447">
        <f t="shared" si="169"/>
        <v>19302.480000000003</v>
      </c>
      <c r="R464" s="2447">
        <f t="shared" si="169"/>
        <v>71896.344000000012</v>
      </c>
      <c r="S464" s="2447">
        <f t="shared" si="169"/>
        <v>84617.414000000004</v>
      </c>
      <c r="T464" s="6"/>
      <c r="U464" s="2447"/>
      <c r="V464" s="2447">
        <f>V460*V453</f>
        <v>289454.14800000004</v>
      </c>
      <c r="W464" s="6"/>
      <c r="X464" s="2447">
        <f>SUM(G464:K464,M464:S464,V464)</f>
        <v>3305554.3939999999</v>
      </c>
      <c r="AA464" s="117">
        <f>ROW()</f>
        <v>464</v>
      </c>
    </row>
    <row r="465" spans="2:27" ht="14.1" customHeight="1">
      <c r="B465" s="265" t="str">
        <f>CONCATENATE("Number of households in Row ", AA453, " multiplied by percentages in Row ", AA460, " -- notwithstanding slight inconsistency bewteen 'under $100,000' and '$100,000/year and less.'")</f>
        <v>Number of households in Row 453 multiplied by percentages in Row 460 -- notwithstanding slight inconsistency bewteen 'under $100,000' and '$100,000/year and less.'</v>
      </c>
      <c r="G465" s="6"/>
      <c r="H465" s="6"/>
      <c r="I465" s="6"/>
      <c r="J465" s="6"/>
      <c r="K465" s="6"/>
      <c r="L465" s="6"/>
      <c r="M465" s="6"/>
      <c r="N465" s="6"/>
      <c r="O465" s="6"/>
      <c r="P465" s="6"/>
      <c r="Q465" s="6"/>
      <c r="R465" s="6"/>
      <c r="S465" s="6"/>
      <c r="T465" s="6"/>
      <c r="U465" s="6"/>
      <c r="V465" s="6"/>
      <c r="W465" s="6"/>
      <c r="X465" s="6"/>
      <c r="AA465" s="117">
        <f>ROW()</f>
        <v>465</v>
      </c>
    </row>
    <row r="466" spans="2:27" ht="14.1" customHeight="1">
      <c r="B466" s="265" t="s">
        <v>4347</v>
      </c>
      <c r="G466" s="2448">
        <v>300</v>
      </c>
      <c r="H466" s="2448">
        <v>300</v>
      </c>
      <c r="I466" s="2448">
        <v>300</v>
      </c>
      <c r="J466" s="2448">
        <v>300</v>
      </c>
      <c r="K466" s="2448">
        <v>300</v>
      </c>
      <c r="L466" s="6"/>
      <c r="M466" s="2448">
        <v>200</v>
      </c>
      <c r="N466" s="2448">
        <v>100</v>
      </c>
      <c r="O466" s="2448">
        <v>200</v>
      </c>
      <c r="P466" s="2448">
        <v>100</v>
      </c>
      <c r="Q466" s="2448">
        <v>100</v>
      </c>
      <c r="R466" s="2448">
        <v>100</v>
      </c>
      <c r="S466" s="2448">
        <v>100</v>
      </c>
      <c r="T466" s="6"/>
      <c r="U466" s="2448"/>
      <c r="V466" s="2448">
        <v>0</v>
      </c>
      <c r="W466" s="6"/>
      <c r="X466" s="6"/>
      <c r="AA466" s="117">
        <f>ROW()</f>
        <v>466</v>
      </c>
    </row>
    <row r="467" spans="2:27" s="2" customFormat="1" ht="14.1" customHeight="1">
      <c r="B467" s="2" t="s">
        <v>4345</v>
      </c>
      <c r="G467" s="2450">
        <f>G464*G466/1000000</f>
        <v>126.9771405</v>
      </c>
      <c r="H467" s="2450">
        <f>H464*H466/1000000</f>
        <v>219.6173757</v>
      </c>
      <c r="I467" s="2450">
        <f>I464*I466/1000000</f>
        <v>55.458112499999999</v>
      </c>
      <c r="J467" s="2450">
        <f>J464*J466/1000000</f>
        <v>183.40331520000001</v>
      </c>
      <c r="K467" s="2450">
        <f>K464*K466/1000000</f>
        <v>33.873627300000003</v>
      </c>
      <c r="L467" s="2450"/>
      <c r="M467" s="2450">
        <f t="shared" ref="M467:S467" si="170">M464*M466/1000000</f>
        <v>46.9753592</v>
      </c>
      <c r="N467" s="2450">
        <f t="shared" si="170"/>
        <v>28.396279399999997</v>
      </c>
      <c r="O467" s="2450">
        <f t="shared" si="170"/>
        <v>40.217007600000002</v>
      </c>
      <c r="P467" s="2450">
        <f t="shared" si="170"/>
        <v>5.5927476000000009</v>
      </c>
      <c r="Q467" s="2450">
        <f t="shared" si="170"/>
        <v>1.9302480000000002</v>
      </c>
      <c r="R467" s="2450">
        <f t="shared" si="170"/>
        <v>7.189634400000001</v>
      </c>
      <c r="S467" s="2450">
        <f t="shared" si="170"/>
        <v>8.4617414000000011</v>
      </c>
      <c r="T467" s="2450"/>
      <c r="U467" s="2450"/>
      <c r="V467" s="2450">
        <f>V464*V466/1000000</f>
        <v>0</v>
      </c>
      <c r="W467" s="2450"/>
      <c r="X467" s="2450">
        <f>SUM(G467:W467)</f>
        <v>758.09258880000004</v>
      </c>
      <c r="AA467" s="1824">
        <f>ROW()</f>
        <v>467</v>
      </c>
    </row>
    <row r="468" spans="2:27" ht="14.1" customHeight="1">
      <c r="B468" s="265" t="str">
        <f>CONCATENATE("Number of eligible households in Row ", AA464, " multiplied by per-HH vouchers in Row ", AA466, ".")</f>
        <v>Number of eligible households in Row 464 multiplied by per-HH vouchers in Row 466.</v>
      </c>
      <c r="G468" s="6"/>
      <c r="H468" s="6"/>
      <c r="I468" s="6"/>
      <c r="J468" s="6"/>
      <c r="K468" s="6"/>
      <c r="L468" s="6"/>
      <c r="M468" s="6"/>
      <c r="N468" s="6"/>
      <c r="O468" s="6"/>
      <c r="P468" s="6"/>
      <c r="Q468" s="6"/>
      <c r="R468" s="6"/>
      <c r="S468" s="6"/>
      <c r="T468" s="6"/>
      <c r="U468" s="6"/>
      <c r="V468" s="6"/>
      <c r="W468" s="6"/>
      <c r="X468" s="6"/>
      <c r="AA468" s="117">
        <f>ROW()</f>
        <v>468</v>
      </c>
    </row>
    <row r="469" spans="2:27" ht="14.1" customHeight="1">
      <c r="B469" s="2" t="s">
        <v>4349</v>
      </c>
      <c r="G469" s="2450">
        <f ca="1">G271*IF(G452="Manhatt N96",0.15,(IF(G452="Manhatt S96",0.85,1)))</f>
        <v>107.90253172207623</v>
      </c>
      <c r="H469" s="2450">
        <f ca="1">$I271*IF(H452="Manhatt N96",0.15,(IF(H452="Manhatt S96",0.85,1)))</f>
        <v>169.65261845572223</v>
      </c>
      <c r="I469" s="2450">
        <f ca="1">$I271*IF(I452="Manhatt N96",0.15,(IF(I452="Manhatt S96",0.85,1)))</f>
        <v>25.447892768358333</v>
      </c>
      <c r="J469" s="2450">
        <f ca="1">J271*IF(J452="Manhatt N96",0.15,(IF(J452="Manhatt S96",0.85,1)))</f>
        <v>231.84118858954255</v>
      </c>
      <c r="K469" s="2450">
        <f ca="1">K271*IF(K452="Manhatt N96",0.15,(IF(K452="Manhatt S96",0.85,1)))</f>
        <v>57.22595860934419</v>
      </c>
      <c r="L469" s="2450"/>
      <c r="M469" s="2450">
        <f t="shared" ref="M469:S469" ca="1" si="171">M271*IF(M452="Manhatt N96",0.15,(IF(M452="Manhatt S96",0.85,1)))</f>
        <v>84.781803357226892</v>
      </c>
      <c r="N469" s="2450">
        <f t="shared" ca="1" si="171"/>
        <v>38.768176837377951</v>
      </c>
      <c r="O469" s="2450">
        <f t="shared" ca="1" si="171"/>
        <v>67.742694267874924</v>
      </c>
      <c r="P469" s="2450">
        <f t="shared" ca="1" si="171"/>
        <v>24.366756555815947</v>
      </c>
      <c r="Q469" s="2450">
        <f t="shared" ca="1" si="171"/>
        <v>5.1430051790972948</v>
      </c>
      <c r="R469" s="2450">
        <f t="shared" ca="1" si="171"/>
        <v>7.4154929373525924</v>
      </c>
      <c r="S469" s="2450">
        <f t="shared" ca="1" si="171"/>
        <v>7.8662271397756545</v>
      </c>
      <c r="T469" s="2450"/>
      <c r="U469" s="2450"/>
      <c r="V469" s="2450">
        <f ca="1">$I271*IF(V452="Manhatt N96",0.15,(IF(V452="Manhatt S96",0.85,1)))</f>
        <v>144.20472568736389</v>
      </c>
      <c r="W469" s="2450"/>
      <c r="X469" s="2450">
        <f ca="1">SUM(G469:W469)</f>
        <v>972.35907210692869</v>
      </c>
      <c r="AA469" s="117">
        <f>ROW()</f>
        <v>469</v>
      </c>
    </row>
    <row r="470" spans="2:27" ht="14.1" customHeight="1">
      <c r="B470" s="265" t="s">
        <v>5524</v>
      </c>
      <c r="G470" s="2449"/>
      <c r="H470" s="2449"/>
      <c r="I470" s="2449"/>
      <c r="J470" s="2449"/>
      <c r="K470" s="2449"/>
      <c r="L470" s="6"/>
      <c r="M470" s="2449"/>
      <c r="N470" s="2449"/>
      <c r="O470" s="2449"/>
      <c r="P470" s="2449"/>
      <c r="Q470" s="2449"/>
      <c r="R470" s="2449"/>
      <c r="S470" s="2449"/>
      <c r="T470" s="6"/>
      <c r="U470" s="6"/>
      <c r="V470" s="6"/>
      <c r="W470" s="6"/>
      <c r="X470" s="6"/>
      <c r="AA470" s="117">
        <f>ROW()</f>
        <v>470</v>
      </c>
    </row>
    <row r="471" spans="2:27" ht="14.1" customHeight="1">
      <c r="B471" s="2" t="s">
        <v>4348</v>
      </c>
      <c r="G471" s="2450">
        <f ca="1">G469-G467</f>
        <v>-19.074608777923771</v>
      </c>
      <c r="H471" s="2450">
        <f ca="1">H469-H467</f>
        <v>-49.964757244277763</v>
      </c>
      <c r="I471" s="2450">
        <f ca="1">I469-I467</f>
        <v>-30.010219731641666</v>
      </c>
      <c r="J471" s="2450">
        <f ca="1">J469-J467</f>
        <v>48.437873389542546</v>
      </c>
      <c r="K471" s="2450">
        <f ca="1">K469-K467</f>
        <v>23.352331309344187</v>
      </c>
      <c r="L471" s="6"/>
      <c r="M471" s="2450">
        <f t="shared" ref="M471:S471" ca="1" si="172">M469-M467</f>
        <v>37.806444157226892</v>
      </c>
      <c r="N471" s="2450">
        <f t="shared" ca="1" si="172"/>
        <v>10.371897437377953</v>
      </c>
      <c r="O471" s="2450">
        <f t="shared" ca="1" si="172"/>
        <v>27.525686667874922</v>
      </c>
      <c r="P471" s="2450">
        <f t="shared" ca="1" si="172"/>
        <v>18.774008955815944</v>
      </c>
      <c r="Q471" s="2450">
        <f t="shared" ca="1" si="172"/>
        <v>3.2127571790972946</v>
      </c>
      <c r="R471" s="2450">
        <f t="shared" ca="1" si="172"/>
        <v>0.22585853735259143</v>
      </c>
      <c r="S471" s="2450">
        <f t="shared" ca="1" si="172"/>
        <v>-0.59551426022434661</v>
      </c>
      <c r="T471" s="6"/>
      <c r="U471" s="6"/>
      <c r="V471" s="2450">
        <f ca="1">V469-V467</f>
        <v>144.20472568736389</v>
      </c>
      <c r="W471" s="6"/>
      <c r="X471" s="2450">
        <f ca="1">SUM(G471:W471)</f>
        <v>214.26648330692865</v>
      </c>
      <c r="AA471" s="117">
        <f>ROW()</f>
        <v>471</v>
      </c>
    </row>
    <row r="472" spans="2:27" ht="14.1" customHeight="1">
      <c r="B472" s="265" t="str">
        <f>CONCATENATE("Row ",AA469," less Row ",AA467,".")</f>
        <v>Row 469 less Row 467.</v>
      </c>
      <c r="W472" s="6"/>
      <c r="X472" s="6"/>
      <c r="AA472" s="117">
        <f>ROW()</f>
        <v>472</v>
      </c>
    </row>
    <row r="473" spans="2:27" ht="14.1" customHeight="1">
      <c r="B473" s="2" t="s">
        <v>4352</v>
      </c>
      <c r="G473" s="2449">
        <f ca="1">G471*1000000/G453</f>
        <v>-40.33428723237418</v>
      </c>
      <c r="H473" s="2449">
        <f ca="1">H471*1000000/H453</f>
        <v>-56.444788272302958</v>
      </c>
      <c r="I473" s="2449">
        <f ca="1">I471*1000000/I453</f>
        <v>-142.04743588336038</v>
      </c>
      <c r="J473" s="2449">
        <f ca="1">J471*1000000/J453</f>
        <v>62.117676601411873</v>
      </c>
      <c r="K473" s="2449">
        <f ca="1">K471*1000000/K453</f>
        <v>140.01625650902182</v>
      </c>
      <c r="L473" s="6"/>
      <c r="M473" s="2449">
        <f t="shared" ref="M473:S473" ca="1" si="173">M471*1000000/M453</f>
        <v>86.758989171264474</v>
      </c>
      <c r="N473" s="2449">
        <f t="shared" ca="1" si="173"/>
        <v>21.659651582260199</v>
      </c>
      <c r="O473" s="2449">
        <f t="shared" ca="1" si="173"/>
        <v>81.310166302466044</v>
      </c>
      <c r="P473" s="2449">
        <f t="shared" ca="1" si="173"/>
        <v>199.39682813067893</v>
      </c>
      <c r="Q473" s="2449">
        <f t="shared" ca="1" si="173"/>
        <v>94.872347599140525</v>
      </c>
      <c r="R473" s="2449">
        <f t="shared" ca="1" si="173"/>
        <v>2.1958712894978554</v>
      </c>
      <c r="S473" s="2449">
        <f t="shared" ca="1" si="173"/>
        <v>-4.8278807304829927</v>
      </c>
      <c r="T473" s="6"/>
      <c r="U473" s="6"/>
      <c r="V473" s="2449">
        <f ca="1">V471*1000000/V453</f>
        <v>273.0110804170456</v>
      </c>
      <c r="W473" s="6"/>
      <c r="X473" s="2449">
        <f ca="1">X471*1000000/X453</f>
        <v>46.063845341208186</v>
      </c>
      <c r="AA473" s="117">
        <f>ROW()</f>
        <v>473</v>
      </c>
    </row>
    <row r="474" spans="2:27" ht="14.1" customHeight="1">
      <c r="B474" s="265" t="str">
        <f>CONCATENATE("Row ",AA471," divided by Row ",AA453," (adjusted for units, i.e., multiplied by one million).")</f>
        <v>Row 471 divided by Row 453 (adjusted for units, i.e., multiplied by one million).</v>
      </c>
      <c r="G474" s="2449"/>
      <c r="H474" s="2449"/>
      <c r="I474" s="2449"/>
      <c r="J474" s="2449"/>
      <c r="K474" s="2449"/>
      <c r="L474" s="6"/>
      <c r="M474" s="2449"/>
      <c r="N474" s="2449"/>
      <c r="O474" s="2449"/>
      <c r="P474" s="2449"/>
      <c r="Q474" s="2449"/>
      <c r="R474" s="2449"/>
      <c r="S474" s="2449"/>
      <c r="T474" s="6"/>
      <c r="U474" s="6"/>
      <c r="V474" s="6"/>
      <c r="W474" s="6"/>
      <c r="X474" s="6"/>
      <c r="AA474" s="117">
        <f>ROW()</f>
        <v>474</v>
      </c>
    </row>
    <row r="475" spans="2:27" ht="14.1" customHeight="1">
      <c r="B475" s="2"/>
      <c r="G475" s="2449"/>
      <c r="H475" s="2449"/>
      <c r="I475" s="2449"/>
      <c r="J475" s="2449"/>
      <c r="K475" s="2449"/>
      <c r="L475" s="6"/>
      <c r="M475" s="2449"/>
      <c r="N475" s="2449"/>
      <c r="O475" s="2449"/>
      <c r="P475" s="2449"/>
      <c r="Q475" s="2449"/>
      <c r="R475" s="2449"/>
      <c r="S475" s="2449"/>
      <c r="T475" s="6"/>
      <c r="U475" s="6"/>
      <c r="V475" s="6"/>
      <c r="W475" s="6"/>
      <c r="X475" s="6"/>
      <c r="AA475" s="117">
        <f>ROW()</f>
        <v>475</v>
      </c>
    </row>
    <row r="476" spans="2:27" ht="14.1" customHeight="1">
      <c r="B476" s="2"/>
      <c r="G476" s="2449"/>
      <c r="H476" s="2449"/>
      <c r="I476" s="2449"/>
      <c r="J476" s="2449"/>
      <c r="K476" s="2449"/>
      <c r="L476" s="6"/>
      <c r="M476" s="2449"/>
      <c r="N476" s="2449"/>
      <c r="O476" s="2449"/>
      <c r="P476" s="2449"/>
      <c r="Q476" s="2449"/>
      <c r="R476" s="2449"/>
      <c r="S476" s="2449"/>
      <c r="T476" s="6"/>
      <c r="U476" s="6"/>
      <c r="V476" s="6"/>
      <c r="W476" s="6"/>
      <c r="X476" s="6"/>
      <c r="AA476" s="117">
        <f>ROW()</f>
        <v>476</v>
      </c>
    </row>
    <row r="477" spans="2:27" ht="14.1" customHeight="1">
      <c r="B477" s="9"/>
      <c r="G477" s="6"/>
      <c r="H477" s="6"/>
      <c r="I477" s="6"/>
      <c r="J477" s="6"/>
      <c r="K477" s="6"/>
      <c r="L477" s="6"/>
      <c r="M477" s="6"/>
      <c r="N477" s="6"/>
      <c r="O477" s="6"/>
      <c r="P477" s="6"/>
      <c r="Q477" s="6"/>
      <c r="R477" s="6"/>
      <c r="S477" s="6"/>
      <c r="T477" s="6"/>
      <c r="U477" s="6"/>
      <c r="V477" s="6"/>
      <c r="W477" s="6"/>
      <c r="X477" s="6"/>
      <c r="AA477" s="117">
        <f>ROW()</f>
        <v>477</v>
      </c>
    </row>
    <row r="478" spans="2:27" ht="14.1" customHeight="1">
      <c r="B478" s="2451" t="s">
        <v>4353</v>
      </c>
      <c r="AA478" s="117">
        <f>ROW()</f>
        <v>478</v>
      </c>
    </row>
    <row r="479" spans="2:27" ht="14.1" customHeight="1">
      <c r="AA479" s="117">
        <f>ROW()</f>
        <v>479</v>
      </c>
    </row>
    <row r="480" spans="2:27" ht="14.1" customHeight="1">
      <c r="B480" s="24" t="s">
        <v>575</v>
      </c>
      <c r="AA480" s="117">
        <f>ROW()</f>
        <v>480</v>
      </c>
    </row>
    <row r="481" spans="2:27" ht="14.1" customHeight="1">
      <c r="AA481" s="117">
        <f>ROW()</f>
        <v>481</v>
      </c>
    </row>
    <row r="482" spans="2:27" ht="14.1" customHeight="1">
      <c r="B482" s="6" t="s">
        <v>642</v>
      </c>
      <c r="H482" s="8" t="s">
        <v>2284</v>
      </c>
      <c r="I482" s="8" t="s">
        <v>641</v>
      </c>
      <c r="J482" s="8" t="s">
        <v>1444</v>
      </c>
      <c r="K482" s="8" t="s">
        <v>1484</v>
      </c>
      <c r="L482" s="8" t="s">
        <v>228</v>
      </c>
      <c r="M482" s="8"/>
      <c r="P482" s="1132">
        <f>0.8*I58</f>
        <v>1296693.6000000001</v>
      </c>
      <c r="AA482" s="117">
        <f>ROW()</f>
        <v>482</v>
      </c>
    </row>
    <row r="483" spans="2:27" ht="14.1" customHeight="1">
      <c r="P483" s="1132">
        <v>1720000</v>
      </c>
      <c r="AA483" s="117">
        <f>ROW()</f>
        <v>483</v>
      </c>
    </row>
    <row r="484" spans="2:27" ht="14.1" customHeight="1">
      <c r="B484" t="s">
        <v>1142</v>
      </c>
      <c r="H484" s="1132">
        <v>102000</v>
      </c>
      <c r="I484" s="1132">
        <v>353000</v>
      </c>
      <c r="J484" s="1132">
        <v>192000</v>
      </c>
      <c r="K484" s="1132">
        <v>136000</v>
      </c>
      <c r="L484" s="1132">
        <f>SUM(H484:K484)</f>
        <v>783000</v>
      </c>
      <c r="P484" s="206">
        <f>P482/P483</f>
        <v>0.75389162790697684</v>
      </c>
      <c r="AA484" s="117">
        <f>ROW()</f>
        <v>484</v>
      </c>
    </row>
    <row r="485" spans="2:27" s="265" customFormat="1" ht="14.1" customHeight="1">
      <c r="B485" s="4581" t="str">
        <f>CONCATENATE("NYC DOT, 'Sustainable Streets Index' report, 2008, Appendix (p. 36). Presumably excludes trucks and buses and thus is consistent w/ 798,000 auto figure in Motor Vs worksheet, Row ",'Motor Vs'!O27, ".")</f>
        <v>NYC DOT, 'Sustainable Streets Index' report, 2008, Appendix (p. 36). Presumably excludes trucks and buses and thus is consistent w/ 798,000 auto figure in Motor Vs worksheet, Row 27.</v>
      </c>
      <c r="C485" s="4187"/>
      <c r="D485" s="4187"/>
      <c r="E485" s="4187"/>
      <c r="F485" s="4187"/>
      <c r="G485" s="4187"/>
      <c r="H485"/>
      <c r="I485"/>
      <c r="J485"/>
      <c r="K485"/>
      <c r="L485"/>
      <c r="AA485" s="117">
        <f>ROW()</f>
        <v>485</v>
      </c>
    </row>
    <row r="486" spans="2:27" ht="14.1" customHeight="1">
      <c r="B486" s="4187"/>
      <c r="C486" s="4187"/>
      <c r="D486" s="4187"/>
      <c r="E486" s="4187"/>
      <c r="F486" s="4187"/>
      <c r="G486" s="4187"/>
      <c r="AA486" s="117">
        <f>ROW()</f>
        <v>486</v>
      </c>
    </row>
    <row r="487" spans="2:27" ht="14.1" customHeight="1">
      <c r="B487" s="4187"/>
      <c r="C487" s="4187"/>
      <c r="D487" s="4187"/>
      <c r="E487" s="4187"/>
      <c r="F487" s="4187"/>
      <c r="G487" s="4187"/>
      <c r="AA487" s="117">
        <f>ROW()</f>
        <v>487</v>
      </c>
    </row>
    <row r="488" spans="2:27" ht="14.1" customHeight="1">
      <c r="AA488" s="117">
        <f>ROW()</f>
        <v>488</v>
      </c>
    </row>
    <row r="489" spans="2:27" ht="14.1" customHeight="1">
      <c r="B489" t="s">
        <v>2237</v>
      </c>
      <c r="G489" s="12">
        <f>'Motor Vs'!L30/'Motor Vs'!I27</f>
        <v>8.8075880758807581E-2</v>
      </c>
      <c r="AA489" s="117">
        <f>ROW()</f>
        <v>489</v>
      </c>
    </row>
    <row r="490" spans="2:27" ht="14.1" customHeight="1">
      <c r="B490" s="265" t="str">
        <f>CONCATENATE("From Motor Vs worksheet, Rows ",'Motor Vs'!O27, " and ",'Motor Vs'!O30, ".")</f>
        <v>From Motor Vs worksheet, Rows 27 and 30.</v>
      </c>
    </row>
    <row r="491" spans="2:27" ht="14.1" customHeight="1">
      <c r="B491" s="265"/>
    </row>
    <row r="492" spans="2:27" ht="14.1" customHeight="1">
      <c r="B492" t="s">
        <v>2238</v>
      </c>
      <c r="G492" s="1132">
        <f>G489*L484</f>
        <v>68963.414634146335</v>
      </c>
    </row>
    <row r="493" spans="2:27" ht="14.1" customHeight="1">
      <c r="B493" s="265" t="s">
        <v>854</v>
      </c>
      <c r="G493" s="126"/>
    </row>
    <row r="494" spans="2:27" ht="14.1" customHeight="1">
      <c r="B494" s="265"/>
    </row>
    <row r="495" spans="2:27" ht="14.1" customHeight="1">
      <c r="B495" t="s">
        <v>2239</v>
      </c>
      <c r="H495" s="1132">
        <v>0</v>
      </c>
      <c r="I495" s="1132">
        <f>G492-J495-K495</f>
        <v>38963.414634146335</v>
      </c>
      <c r="J495" s="1132">
        <v>5000</v>
      </c>
      <c r="K495" s="1132">
        <v>25000</v>
      </c>
      <c r="L495" s="1132">
        <f>SUM(H495:K495)</f>
        <v>68963.414634146335</v>
      </c>
    </row>
    <row r="496" spans="2:27" ht="14.1" customHeight="1">
      <c r="B496" s="4581" t="s">
        <v>477</v>
      </c>
      <c r="C496" s="4187"/>
      <c r="D496" s="4187"/>
      <c r="E496" s="4187"/>
      <c r="F496" s="4187"/>
      <c r="G496" s="4187"/>
      <c r="H496" s="1132"/>
      <c r="I496" s="1132"/>
      <c r="J496" s="1132"/>
      <c r="K496" s="1132"/>
    </row>
    <row r="497" spans="2:12" ht="14.1" customHeight="1">
      <c r="B497" s="4187"/>
      <c r="C497" s="4187"/>
      <c r="D497" s="4187"/>
      <c r="E497" s="4187"/>
      <c r="F497" s="4187"/>
      <c r="G497" s="4187"/>
      <c r="H497" s="1132"/>
      <c r="I497" s="1132"/>
      <c r="J497" s="1132"/>
      <c r="K497" s="1132"/>
    </row>
    <row r="498" spans="2:12" ht="14.1" customHeight="1">
      <c r="B498" s="4187"/>
      <c r="C498" s="4187"/>
      <c r="D498" s="4187"/>
      <c r="E498" s="4187"/>
      <c r="F498" s="4187"/>
      <c r="G498" s="4187"/>
      <c r="H498" s="1132"/>
      <c r="I498" s="1132"/>
      <c r="J498" s="1132"/>
      <c r="K498" s="1132"/>
    </row>
    <row r="499" spans="2:12" ht="14.1" customHeight="1">
      <c r="B499" s="4187"/>
      <c r="C499" s="4187"/>
      <c r="D499" s="4187"/>
      <c r="E499" s="4187"/>
      <c r="F499" s="4187"/>
      <c r="G499" s="4187"/>
      <c r="H499" s="1132"/>
      <c r="I499" s="1132"/>
      <c r="J499" s="1132"/>
      <c r="K499" s="1132"/>
    </row>
    <row r="500" spans="2:12" ht="14.1" customHeight="1">
      <c r="B500" s="217"/>
      <c r="C500" s="217"/>
      <c r="D500" s="217"/>
      <c r="E500" s="217"/>
      <c r="F500" s="217"/>
      <c r="G500" s="217"/>
      <c r="H500" s="1132"/>
      <c r="I500" s="1132"/>
      <c r="J500" s="1132"/>
      <c r="K500" s="1132"/>
    </row>
    <row r="501" spans="2:12" ht="14.1" customHeight="1">
      <c r="B501" t="s">
        <v>855</v>
      </c>
      <c r="H501" s="1132">
        <f>H484-H495</f>
        <v>102000</v>
      </c>
      <c r="I501" s="1132">
        <f>I484-I495</f>
        <v>314036.58536585368</v>
      </c>
      <c r="J501" s="1132">
        <f>J484-J495</f>
        <v>187000</v>
      </c>
      <c r="K501" s="1132">
        <f>K484-K495</f>
        <v>111000</v>
      </c>
      <c r="L501">
        <f>SUM(H501:K501)</f>
        <v>714036.58536585374</v>
      </c>
    </row>
    <row r="504" spans="2:12" ht="14.1" customHeight="1">
      <c r="B504" t="s">
        <v>1537</v>
      </c>
    </row>
    <row r="506" spans="2:12" ht="14.1" customHeight="1">
      <c r="B506" s="6" t="s">
        <v>2618</v>
      </c>
    </row>
    <row r="507" spans="2:12" ht="14.1" customHeight="1">
      <c r="F507" s="8" t="s">
        <v>228</v>
      </c>
      <c r="G507" s="4412" t="s">
        <v>1463</v>
      </c>
      <c r="H507" s="4412"/>
      <c r="I507" s="4412"/>
      <c r="J507" s="4412" t="s">
        <v>1464</v>
      </c>
      <c r="K507" s="4412"/>
      <c r="L507" s="4412"/>
    </row>
    <row r="508" spans="2:12" ht="14.1" customHeight="1">
      <c r="B508" s="6" t="s">
        <v>487</v>
      </c>
    </row>
    <row r="509" spans="2:12" ht="14.1" customHeight="1">
      <c r="B509" t="s">
        <v>2512</v>
      </c>
      <c r="F509" s="1132">
        <v>64107</v>
      </c>
      <c r="G509" s="25">
        <v>0</v>
      </c>
      <c r="H509" s="25"/>
      <c r="I509" s="870"/>
      <c r="J509" s="25"/>
      <c r="K509">
        <v>2</v>
      </c>
    </row>
    <row r="510" spans="2:12" ht="14.1" customHeight="1">
      <c r="B510" t="s">
        <v>2513</v>
      </c>
      <c r="F510" s="1132">
        <v>37298</v>
      </c>
      <c r="G510" s="25">
        <v>0</v>
      </c>
      <c r="H510" s="25"/>
      <c r="I510" s="870"/>
      <c r="J510" s="25"/>
      <c r="K510">
        <v>2</v>
      </c>
    </row>
    <row r="511" spans="2:12" ht="14.1" customHeight="1">
      <c r="B511" t="s">
        <v>1535</v>
      </c>
      <c r="F511" s="1132">
        <v>93791</v>
      </c>
      <c r="G511" s="25">
        <v>0</v>
      </c>
      <c r="H511" s="25"/>
      <c r="I511" s="870"/>
      <c r="J511" s="25"/>
      <c r="K511">
        <v>2</v>
      </c>
    </row>
    <row r="512" spans="2:12" ht="14.1" customHeight="1">
      <c r="B512" t="s">
        <v>739</v>
      </c>
      <c r="F512" s="1132">
        <v>54459</v>
      </c>
      <c r="G512" s="25">
        <v>0</v>
      </c>
      <c r="H512" s="25"/>
      <c r="I512" s="870"/>
      <c r="J512" s="25"/>
      <c r="K512">
        <v>2</v>
      </c>
    </row>
    <row r="513" spans="2:12" ht="14.1" customHeight="1">
      <c r="B513" s="6" t="s">
        <v>2514</v>
      </c>
      <c r="C513" s="6"/>
      <c r="D513" s="6"/>
      <c r="E513" s="6"/>
      <c r="F513" s="1127">
        <f>SUM(F509:F512)</f>
        <v>249655</v>
      </c>
      <c r="G513" s="6"/>
      <c r="H513" s="6"/>
      <c r="I513" s="871"/>
      <c r="J513" s="6"/>
      <c r="K513" s="6"/>
      <c r="L513" s="6"/>
    </row>
    <row r="514" spans="2:12" ht="14.1" customHeight="1">
      <c r="F514" s="44"/>
    </row>
    <row r="515" spans="2:12" ht="14.1" customHeight="1">
      <c r="B515" s="6" t="s">
        <v>345</v>
      </c>
      <c r="C515" s="6"/>
      <c r="D515" s="6"/>
      <c r="E515" s="6"/>
      <c r="F515" s="168"/>
      <c r="G515" s="6"/>
      <c r="H515" s="6"/>
      <c r="I515" s="6"/>
      <c r="J515" s="6"/>
      <c r="K515" s="6"/>
      <c r="L515" s="6"/>
    </row>
    <row r="516" spans="2:12" ht="14.1" customHeight="1">
      <c r="B516" t="s">
        <v>2649</v>
      </c>
      <c r="F516" s="1132">
        <v>93611</v>
      </c>
      <c r="G516" s="25">
        <v>0</v>
      </c>
      <c r="H516" s="25"/>
      <c r="I516" s="870"/>
      <c r="J516" s="25"/>
      <c r="K516">
        <v>2</v>
      </c>
    </row>
    <row r="517" spans="2:12" ht="14.1" customHeight="1">
      <c r="B517" t="s">
        <v>2650</v>
      </c>
      <c r="F517" s="1132">
        <v>17037</v>
      </c>
      <c r="G517" s="25">
        <v>0</v>
      </c>
      <c r="H517" s="25"/>
      <c r="I517" s="870"/>
      <c r="J517" s="25"/>
      <c r="K517">
        <v>2</v>
      </c>
    </row>
    <row r="518" spans="2:12" ht="14.1" customHeight="1">
      <c r="B518" t="s">
        <v>2651</v>
      </c>
      <c r="F518" s="1132">
        <v>20576</v>
      </c>
      <c r="G518" s="25">
        <v>0</v>
      </c>
      <c r="H518" s="25"/>
      <c r="I518" s="870"/>
      <c r="J518" s="25"/>
      <c r="K518">
        <v>2</v>
      </c>
    </row>
    <row r="519" spans="2:12" ht="14.1" customHeight="1">
      <c r="B519" t="s">
        <v>2652</v>
      </c>
      <c r="F519" s="1132">
        <v>20213</v>
      </c>
      <c r="G519" s="25">
        <v>0</v>
      </c>
      <c r="H519" s="25"/>
      <c r="I519" s="870"/>
      <c r="J519" s="25"/>
      <c r="K519">
        <v>2</v>
      </c>
    </row>
    <row r="520" spans="2:12" ht="14.1" customHeight="1">
      <c r="B520" t="s">
        <v>2653</v>
      </c>
      <c r="F520" s="1132">
        <v>61874</v>
      </c>
      <c r="G520" s="25">
        <v>0</v>
      </c>
      <c r="H520" s="25"/>
      <c r="I520" s="870"/>
      <c r="J520" s="25"/>
      <c r="K520">
        <v>2</v>
      </c>
    </row>
    <row r="521" spans="2:12" ht="14.1" customHeight="1">
      <c r="B521" t="s">
        <v>2727</v>
      </c>
      <c r="F521" s="1132">
        <v>23925</v>
      </c>
      <c r="G521" s="25">
        <v>0</v>
      </c>
      <c r="H521" s="25"/>
      <c r="I521" s="870"/>
      <c r="J521" s="25"/>
      <c r="K521">
        <v>2</v>
      </c>
    </row>
    <row r="522" spans="2:12" ht="14.1" customHeight="1">
      <c r="B522" t="s">
        <v>2728</v>
      </c>
      <c r="F522" s="1132">
        <v>24423</v>
      </c>
      <c r="G522" s="25">
        <v>0</v>
      </c>
      <c r="H522" s="25"/>
      <c r="I522" s="870"/>
      <c r="J522" s="25"/>
      <c r="K522">
        <v>2</v>
      </c>
    </row>
    <row r="523" spans="2:12" ht="14.1" customHeight="1">
      <c r="B523" t="s">
        <v>2729</v>
      </c>
      <c r="F523" s="1132"/>
      <c r="G523" s="25">
        <v>0</v>
      </c>
      <c r="H523" s="25"/>
      <c r="I523" s="870"/>
      <c r="J523" s="25"/>
      <c r="K523">
        <v>2</v>
      </c>
    </row>
    <row r="524" spans="2:12" ht="14.1" customHeight="1">
      <c r="B524" t="s">
        <v>2730</v>
      </c>
      <c r="F524" s="1132">
        <v>11214</v>
      </c>
      <c r="G524" s="25">
        <v>0</v>
      </c>
      <c r="H524" s="25"/>
      <c r="I524" s="870"/>
      <c r="J524" s="25"/>
      <c r="K524">
        <v>2</v>
      </c>
    </row>
    <row r="525" spans="2:12" ht="14.1" customHeight="1">
      <c r="B525" s="6" t="s">
        <v>2731</v>
      </c>
      <c r="C525" s="6"/>
      <c r="D525" s="6"/>
      <c r="E525" s="6"/>
      <c r="F525" s="1127">
        <f>SUM(F516:F524)</f>
        <v>272873</v>
      </c>
      <c r="G525" s="25">
        <v>0</v>
      </c>
      <c r="H525" s="25"/>
      <c r="I525" s="871"/>
      <c r="J525" s="25"/>
      <c r="K525">
        <v>2</v>
      </c>
      <c r="L525" s="6"/>
    </row>
    <row r="526" spans="2:12" ht="14.1" customHeight="1">
      <c r="F526" s="44"/>
      <c r="I526" s="870"/>
    </row>
    <row r="527" spans="2:12" ht="14.1" customHeight="1">
      <c r="B527" s="6" t="s">
        <v>485</v>
      </c>
      <c r="C527" s="6"/>
      <c r="D527" s="6"/>
      <c r="E527" s="6"/>
      <c r="F527" s="168"/>
      <c r="G527" s="6"/>
      <c r="H527" s="6"/>
      <c r="I527" s="870"/>
      <c r="J527" s="6"/>
      <c r="L527" s="6"/>
    </row>
    <row r="528" spans="2:12" ht="14.1" customHeight="1">
      <c r="B528" t="s">
        <v>2732</v>
      </c>
      <c r="F528" s="1132">
        <v>31435</v>
      </c>
      <c r="G528" s="32">
        <f>Revenues!K70</f>
        <v>4.6079516859587315</v>
      </c>
      <c r="H528">
        <v>2</v>
      </c>
      <c r="I528" s="870">
        <f>F528*G528*H528</f>
        <v>289701.92249622545</v>
      </c>
      <c r="J528" s="32">
        <f>G528</f>
        <v>4.6079516859587315</v>
      </c>
    </row>
    <row r="529" spans="2:12" ht="14.1" customHeight="1">
      <c r="B529" t="s">
        <v>2733</v>
      </c>
      <c r="F529" s="1132">
        <v>38786</v>
      </c>
      <c r="G529" s="32">
        <f>Revenues!K72</f>
        <v>2.1963763621865864</v>
      </c>
      <c r="H529">
        <v>2</v>
      </c>
      <c r="I529" s="870">
        <f>F529*G529*H529</f>
        <v>170377.30716753789</v>
      </c>
      <c r="J529" s="32">
        <f>G529</f>
        <v>2.1963763621865864</v>
      </c>
    </row>
    <row r="530" spans="2:12" ht="14.1" customHeight="1">
      <c r="B530" t="s">
        <v>2734</v>
      </c>
      <c r="F530" s="1132">
        <v>48303</v>
      </c>
      <c r="G530" s="32">
        <f>Revenues!K71</f>
        <v>4.8724180268669652</v>
      </c>
      <c r="H530">
        <v>2</v>
      </c>
      <c r="I530" s="870">
        <f>F530*G530*H530</f>
        <v>470704.81590351003</v>
      </c>
      <c r="J530" s="32">
        <f>G530</f>
        <v>4.8724180268669652</v>
      </c>
    </row>
    <row r="531" spans="2:12" ht="14.1" customHeight="1">
      <c r="B531" t="s">
        <v>2735</v>
      </c>
      <c r="F531" s="1132">
        <v>52998</v>
      </c>
      <c r="G531" s="32">
        <f>Revenues!K67</f>
        <v>5.1292260572505599</v>
      </c>
      <c r="H531">
        <v>2</v>
      </c>
      <c r="I531" s="870">
        <f>F531*G531*H531</f>
        <v>543677.4451643303</v>
      </c>
      <c r="J531" s="32">
        <f>G531</f>
        <v>5.1292260572505599</v>
      </c>
    </row>
    <row r="532" spans="2:12" ht="14.1" customHeight="1">
      <c r="B532" s="6" t="s">
        <v>1536</v>
      </c>
      <c r="C532" s="6"/>
      <c r="D532" s="6"/>
      <c r="E532" s="6"/>
      <c r="F532" s="1127">
        <f>SUM(F528:F531)</f>
        <v>171522</v>
      </c>
      <c r="G532" s="6"/>
      <c r="H532" s="6"/>
      <c r="I532" s="871">
        <f>SUM(I528:I531)</f>
        <v>1474461.4907316037</v>
      </c>
      <c r="J532" s="6"/>
      <c r="K532" s="6"/>
      <c r="L532" s="6"/>
    </row>
    <row r="533" spans="2:12" ht="14.1" customHeight="1">
      <c r="F533" s="44"/>
    </row>
    <row r="534" spans="2:12" ht="14.1" customHeight="1">
      <c r="B534" s="6" t="s">
        <v>486</v>
      </c>
      <c r="C534" s="6"/>
      <c r="D534" s="6"/>
      <c r="E534" s="6"/>
      <c r="F534" s="168"/>
      <c r="G534" s="6"/>
      <c r="H534" s="6"/>
      <c r="I534" s="6"/>
      <c r="J534" s="6"/>
      <c r="K534" s="6"/>
      <c r="L534" s="6"/>
    </row>
    <row r="535" spans="2:12" ht="14.1" customHeight="1">
      <c r="B535" t="s">
        <v>2736</v>
      </c>
      <c r="F535" s="1132">
        <v>151639</v>
      </c>
      <c r="G535" s="716">
        <f>AVERAGE('Weekday Hours'!$H$188:$H$189)</f>
        <v>7</v>
      </c>
      <c r="H535">
        <v>1</v>
      </c>
      <c r="J535" s="32">
        <f>G535</f>
        <v>7</v>
      </c>
    </row>
    <row r="536" spans="2:12" ht="14.1" customHeight="1">
      <c r="B536" t="s">
        <v>2737</v>
      </c>
      <c r="F536" s="1132">
        <v>48161</v>
      </c>
      <c r="G536" s="716">
        <f>AVERAGE('Weekday Hours'!$H$188:$H$189)</f>
        <v>7</v>
      </c>
      <c r="H536">
        <v>1</v>
      </c>
      <c r="J536" s="32">
        <f>G536</f>
        <v>7</v>
      </c>
    </row>
    <row r="537" spans="2:12" ht="14.1" customHeight="1">
      <c r="B537" t="s">
        <v>2420</v>
      </c>
      <c r="F537" s="1132">
        <v>61812</v>
      </c>
      <c r="G537" s="716">
        <f>AVERAGE('Weekday Hours'!$H$188:$H$189)</f>
        <v>7</v>
      </c>
      <c r="H537">
        <v>1</v>
      </c>
      <c r="J537" s="32">
        <f>G537</f>
        <v>7</v>
      </c>
    </row>
    <row r="538" spans="2:12" ht="14.1" customHeight="1">
      <c r="B538" s="6" t="s">
        <v>2421</v>
      </c>
      <c r="C538" s="6"/>
      <c r="D538" s="6"/>
      <c r="E538" s="6"/>
      <c r="F538" s="1127">
        <f>SUM(F535:F537)</f>
        <v>261612</v>
      </c>
      <c r="G538" s="716">
        <f>AVERAGE('Weekday Hours'!$H$188:$H$189)</f>
        <v>7</v>
      </c>
      <c r="H538">
        <v>1</v>
      </c>
      <c r="J538" s="32">
        <f>G538</f>
        <v>7</v>
      </c>
      <c r="K538" s="6"/>
      <c r="L538" s="6"/>
    </row>
    <row r="539" spans="2:12" ht="14.1" customHeight="1">
      <c r="F539" s="44"/>
    </row>
    <row r="540" spans="2:12" ht="14.1" customHeight="1">
      <c r="B540" s="6" t="s">
        <v>1532</v>
      </c>
      <c r="C540" s="6"/>
      <c r="D540" s="6"/>
      <c r="E540" s="6"/>
      <c r="F540" s="1127">
        <f>F513+F525+F532+F538</f>
        <v>955662</v>
      </c>
      <c r="G540" s="6"/>
      <c r="H540" s="6"/>
      <c r="I540" s="6"/>
      <c r="J540" s="6"/>
      <c r="K540" s="6"/>
      <c r="L540" s="6"/>
    </row>
  </sheetData>
  <customSheetViews>
    <customSheetView guid="{BD5E6263-A0AD-4076-921A-D4EBD62848EF}" showPageBreaks="1" fitToPage="1" printArea="1" hiddenColumns="1" showRuler="0" topLeftCell="A14">
      <selection activeCell="I44" sqref="I44"/>
      <pageMargins left="0.75" right="0.75" top="1" bottom="1" header="0.5" footer="0.5"/>
      <pageSetup scale="92" orientation="landscape" r:id="rId1"/>
      <headerFooter alignWithMargins="0"/>
    </customSheetView>
    <customSheetView guid="{1D5AE30A-CA7C-4B32-AEA4-9F37A560AAA8}" showPageBreaks="1" fitToPage="1" printArea="1" hiddenColumns="1" showRuler="0" topLeftCell="A14">
      <selection activeCell="I44" sqref="I44"/>
      <pageMargins left="0.75" right="0.75" top="1" bottom="1" header="0.5" footer="0.5"/>
      <pageSetup scale="91" orientation="landscape" r:id="rId2"/>
      <headerFooter alignWithMargins="0"/>
    </customSheetView>
  </customSheetViews>
  <mergeCells count="47">
    <mergeCell ref="Y202:Y203"/>
    <mergeCell ref="W200:W202"/>
    <mergeCell ref="S200:S202"/>
    <mergeCell ref="U200:U202"/>
    <mergeCell ref="B426:H427"/>
    <mergeCell ref="F278:F280"/>
    <mergeCell ref="G278:X280"/>
    <mergeCell ref="G285:W286"/>
    <mergeCell ref="X202:X203"/>
    <mergeCell ref="J414:J416"/>
    <mergeCell ref="K414:K416"/>
    <mergeCell ref="D404:E404"/>
    <mergeCell ref="F404:G404"/>
    <mergeCell ref="H404:I404"/>
    <mergeCell ref="E278:E280"/>
    <mergeCell ref="B410:I412"/>
    <mergeCell ref="J55:Q57"/>
    <mergeCell ref="G200:G202"/>
    <mergeCell ref="H200:H202"/>
    <mergeCell ref="I200:I202"/>
    <mergeCell ref="J200:J202"/>
    <mergeCell ref="K200:K202"/>
    <mergeCell ref="M75:P78"/>
    <mergeCell ref="M95:P98"/>
    <mergeCell ref="N200:N202"/>
    <mergeCell ref="O200:O202"/>
    <mergeCell ref="X451:X452"/>
    <mergeCell ref="G507:I507"/>
    <mergeCell ref="J507:L507"/>
    <mergeCell ref="B485:G487"/>
    <mergeCell ref="B496:G499"/>
    <mergeCell ref="B3:O5"/>
    <mergeCell ref="B12:O14"/>
    <mergeCell ref="D292:F301"/>
    <mergeCell ref="U51:W68"/>
    <mergeCell ref="M138:P138"/>
    <mergeCell ref="M151:P154"/>
    <mergeCell ref="P200:P202"/>
    <mergeCell ref="V200:V202"/>
    <mergeCell ref="M136:P137"/>
    <mergeCell ref="Q200:Q202"/>
    <mergeCell ref="R200:R202"/>
    <mergeCell ref="M200:M202"/>
    <mergeCell ref="B8:O9"/>
    <mergeCell ref="B264:K268"/>
    <mergeCell ref="E201:F201"/>
    <mergeCell ref="B202:D203"/>
  </mergeCells>
  <phoneticPr fontId="6" type="noConversion"/>
  <pageMargins left="0.75" right="0.75" top="1" bottom="1" header="0.5" footer="0.5"/>
  <pageSetup scale="91" orientation="landscape" r:id="rId3"/>
  <headerFooter alignWithMargins="0"/>
  <drawing r:id="rId4"/>
</worksheet>
</file>

<file path=xl/worksheets/sheet18.xml><?xml version="1.0" encoding="utf-8"?>
<worksheet xmlns="http://schemas.openxmlformats.org/spreadsheetml/2006/main" xmlns:r="http://schemas.openxmlformats.org/officeDocument/2006/relationships">
  <sheetPr codeName="Sheet53"/>
  <dimension ref="B1:O186"/>
  <sheetViews>
    <sheetView zoomScaleNormal="100" workbookViewId="0"/>
  </sheetViews>
  <sheetFormatPr defaultColWidth="12.75" defaultRowHeight="15" customHeight="1"/>
  <cols>
    <col min="1" max="1" width="2.75" customWidth="1"/>
    <col min="15" max="15" width="2.75" customWidth="1"/>
  </cols>
  <sheetData>
    <row r="1" spans="2:15" ht="15" customHeight="1">
      <c r="O1" s="21">
        <f>ROW()</f>
        <v>1</v>
      </c>
    </row>
    <row r="2" spans="2:15" ht="15" customHeight="1">
      <c r="B2" s="115" t="s">
        <v>1509</v>
      </c>
      <c r="I2" s="2274">
        <f>'Title Page'!K1</f>
        <v>40914</v>
      </c>
      <c r="O2" s="21">
        <f>ROW()</f>
        <v>2</v>
      </c>
    </row>
    <row r="3" spans="2:15" ht="15" customHeight="1">
      <c r="O3" s="21">
        <f>ROW()</f>
        <v>3</v>
      </c>
    </row>
    <row r="4" spans="2:15" ht="15" customHeight="1">
      <c r="O4" s="21">
        <f>ROW()</f>
        <v>4</v>
      </c>
    </row>
    <row r="5" spans="2:15" ht="15" customHeight="1">
      <c r="O5" s="21">
        <f>ROW()</f>
        <v>5</v>
      </c>
    </row>
    <row r="6" spans="2:15" ht="15" customHeight="1">
      <c r="O6" s="21">
        <f>ROW()</f>
        <v>6</v>
      </c>
    </row>
    <row r="7" spans="2:15" ht="15" customHeight="1">
      <c r="B7" s="3787" t="s">
        <v>4948</v>
      </c>
      <c r="C7" s="3779"/>
      <c r="D7" s="3779"/>
      <c r="E7" s="3779"/>
      <c r="F7" s="3779"/>
      <c r="G7" s="3779"/>
      <c r="H7" s="3779"/>
      <c r="I7" s="3779"/>
      <c r="O7" s="21">
        <f>ROW()</f>
        <v>7</v>
      </c>
    </row>
    <row r="8" spans="2:15" ht="15" customHeight="1">
      <c r="B8" s="3779"/>
      <c r="C8" s="3779"/>
      <c r="D8" s="3779"/>
      <c r="E8" s="3779"/>
      <c r="F8" s="3779"/>
      <c r="G8" s="3779"/>
      <c r="H8" s="3779"/>
      <c r="I8" s="3779"/>
      <c r="O8" s="21">
        <f>ROW()</f>
        <v>8</v>
      </c>
    </row>
    <row r="9" spans="2:15" ht="15" customHeight="1">
      <c r="B9" s="3779"/>
      <c r="C9" s="3779"/>
      <c r="D9" s="3779"/>
      <c r="E9" s="3779"/>
      <c r="F9" s="3779"/>
      <c r="G9" s="3779"/>
      <c r="H9" s="3779"/>
      <c r="I9" s="3779"/>
      <c r="O9" s="21">
        <f>ROW()</f>
        <v>9</v>
      </c>
    </row>
    <row r="10" spans="2:15" ht="15" customHeight="1">
      <c r="O10" s="21">
        <f>ROW()</f>
        <v>10</v>
      </c>
    </row>
    <row r="11" spans="2:15" ht="15" customHeight="1">
      <c r="B11" s="2" t="s">
        <v>4959</v>
      </c>
      <c r="O11" s="21">
        <f>ROW()</f>
        <v>11</v>
      </c>
    </row>
    <row r="12" spans="2:15" ht="15" customHeight="1">
      <c r="B12" s="1" t="s">
        <v>4949</v>
      </c>
      <c r="O12" s="21">
        <f>ROW()</f>
        <v>12</v>
      </c>
    </row>
    <row r="13" spans="2:15" ht="15" customHeight="1">
      <c r="B13" s="3787" t="s">
        <v>4950</v>
      </c>
      <c r="C13" s="3779"/>
      <c r="D13" s="3779"/>
      <c r="E13" s="3779"/>
      <c r="F13" s="3779"/>
      <c r="G13" s="3779"/>
      <c r="H13" s="3779"/>
      <c r="I13" s="3779"/>
      <c r="O13" s="21">
        <f>ROW()</f>
        <v>13</v>
      </c>
    </row>
    <row r="14" spans="2:15" ht="15" customHeight="1">
      <c r="B14" s="3779"/>
      <c r="C14" s="3779"/>
      <c r="D14" s="3779"/>
      <c r="E14" s="3779"/>
      <c r="F14" s="3779"/>
      <c r="G14" s="3779"/>
      <c r="H14" s="3779"/>
      <c r="I14" s="3779"/>
      <c r="O14" s="21">
        <f>ROW()</f>
        <v>14</v>
      </c>
    </row>
    <row r="15" spans="2:15" ht="15" customHeight="1">
      <c r="B15" s="2888"/>
      <c r="C15" s="2888"/>
      <c r="D15" s="2888"/>
      <c r="E15" s="2888"/>
      <c r="F15" s="2888"/>
      <c r="G15" s="2888"/>
      <c r="H15" s="2888"/>
      <c r="I15" s="2888"/>
      <c r="O15" s="21">
        <f>ROW()</f>
        <v>15</v>
      </c>
    </row>
    <row r="16" spans="2:15" ht="15" customHeight="1">
      <c r="B16" s="24" t="s">
        <v>4930</v>
      </c>
      <c r="C16" s="2888"/>
      <c r="D16" s="2888"/>
      <c r="E16" s="2888"/>
      <c r="F16" s="2888"/>
      <c r="G16" s="2888"/>
      <c r="H16" s="2888"/>
      <c r="I16" s="2888"/>
      <c r="O16" s="21">
        <f>ROW()</f>
        <v>16</v>
      </c>
    </row>
    <row r="17" spans="2:15" ht="15" customHeight="1">
      <c r="O17" s="21">
        <f>ROW()</f>
        <v>17</v>
      </c>
    </row>
    <row r="18" spans="2:15" ht="15" customHeight="1">
      <c r="B18" s="3787" t="s">
        <v>6105</v>
      </c>
      <c r="C18" s="3779"/>
      <c r="D18" s="3779"/>
      <c r="E18" s="3779"/>
      <c r="F18" s="3779"/>
      <c r="G18" s="3779"/>
      <c r="H18" s="3779"/>
      <c r="I18" s="3779"/>
      <c r="O18" s="21">
        <f>ROW()</f>
        <v>18</v>
      </c>
    </row>
    <row r="19" spans="2:15" ht="15" customHeight="1">
      <c r="B19" s="3779"/>
      <c r="C19" s="3779"/>
      <c r="D19" s="3779"/>
      <c r="E19" s="3779"/>
      <c r="F19" s="3779"/>
      <c r="G19" s="3779"/>
      <c r="H19" s="3779"/>
      <c r="I19" s="3779"/>
      <c r="O19" s="21">
        <f>ROW()</f>
        <v>19</v>
      </c>
    </row>
    <row r="20" spans="2:15" ht="15" customHeight="1">
      <c r="B20" s="3779"/>
      <c r="C20" s="3779"/>
      <c r="D20" s="3779"/>
      <c r="E20" s="3779"/>
      <c r="F20" s="3779"/>
      <c r="G20" s="3779"/>
      <c r="H20" s="3779"/>
      <c r="I20" s="3779"/>
      <c r="O20" s="21">
        <f>ROW()</f>
        <v>20</v>
      </c>
    </row>
    <row r="21" spans="2:15" ht="15" customHeight="1">
      <c r="O21" s="21">
        <f>ROW()</f>
        <v>21</v>
      </c>
    </row>
    <row r="22" spans="2:15" ht="15" customHeight="1">
      <c r="B22" s="3787" t="s">
        <v>4960</v>
      </c>
      <c r="C22" s="3779"/>
      <c r="D22" s="3779"/>
      <c r="E22" s="3779"/>
      <c r="F22" s="3779"/>
      <c r="G22" s="3779"/>
      <c r="H22" s="3779"/>
      <c r="I22" s="3779"/>
      <c r="O22" s="21">
        <f>ROW()</f>
        <v>22</v>
      </c>
    </row>
    <row r="23" spans="2:15" ht="15" customHeight="1">
      <c r="B23" s="3779"/>
      <c r="C23" s="3779"/>
      <c r="D23" s="3779"/>
      <c r="E23" s="3779"/>
      <c r="F23" s="3779"/>
      <c r="G23" s="3779"/>
      <c r="H23" s="3779"/>
      <c r="I23" s="3779"/>
      <c r="O23" s="21">
        <f>ROW()</f>
        <v>23</v>
      </c>
    </row>
    <row r="24" spans="2:15" ht="15" customHeight="1">
      <c r="B24" s="3779"/>
      <c r="C24" s="3779"/>
      <c r="D24" s="3779"/>
      <c r="E24" s="3779"/>
      <c r="F24" s="3779"/>
      <c r="G24" s="3779"/>
      <c r="H24" s="3779"/>
      <c r="I24" s="3779"/>
      <c r="O24" s="21">
        <f>ROW()</f>
        <v>24</v>
      </c>
    </row>
    <row r="25" spans="2:15" ht="15" customHeight="1">
      <c r="B25" s="2086"/>
      <c r="O25" s="21">
        <f>ROW()</f>
        <v>25</v>
      </c>
    </row>
    <row r="26" spans="2:15" ht="15" customHeight="1">
      <c r="B26" s="3787" t="s">
        <v>5628</v>
      </c>
      <c r="C26" s="3779"/>
      <c r="D26" s="3779"/>
      <c r="E26" s="3779"/>
      <c r="F26" s="3779"/>
      <c r="G26" s="3779"/>
      <c r="H26" s="3779"/>
      <c r="I26" s="3779"/>
      <c r="O26" s="21">
        <f>ROW()</f>
        <v>26</v>
      </c>
    </row>
    <row r="27" spans="2:15" ht="15" customHeight="1">
      <c r="B27" s="3779"/>
      <c r="C27" s="3779"/>
      <c r="D27" s="3779"/>
      <c r="E27" s="3779"/>
      <c r="F27" s="3779"/>
      <c r="G27" s="3779"/>
      <c r="H27" s="3779"/>
      <c r="I27" s="3779"/>
      <c r="O27" s="21">
        <f>ROW()</f>
        <v>27</v>
      </c>
    </row>
    <row r="28" spans="2:15" ht="15" customHeight="1">
      <c r="B28" s="3779"/>
      <c r="C28" s="3779"/>
      <c r="D28" s="3779"/>
      <c r="E28" s="3779"/>
      <c r="F28" s="3779"/>
      <c r="G28" s="3779"/>
      <c r="H28" s="3779"/>
      <c r="I28" s="3779"/>
      <c r="O28" s="21">
        <f>ROW()</f>
        <v>28</v>
      </c>
    </row>
    <row r="29" spans="2:15" ht="15" customHeight="1">
      <c r="B29" s="3779"/>
      <c r="C29" s="3779"/>
      <c r="D29" s="3779"/>
      <c r="E29" s="3779"/>
      <c r="F29" s="3779"/>
      <c r="G29" s="3779"/>
      <c r="H29" s="3779"/>
      <c r="I29" s="3779"/>
      <c r="O29" s="21">
        <f>ROW()</f>
        <v>29</v>
      </c>
    </row>
    <row r="30" spans="2:15" ht="15" customHeight="1">
      <c r="B30" s="3779"/>
      <c r="C30" s="3779"/>
      <c r="D30" s="3779"/>
      <c r="E30" s="3779"/>
      <c r="F30" s="3779"/>
      <c r="G30" s="3779"/>
      <c r="H30" s="3779"/>
      <c r="I30" s="3779"/>
      <c r="O30" s="21">
        <f>ROW()</f>
        <v>30</v>
      </c>
    </row>
    <row r="31" spans="2:15" ht="15" customHeight="1">
      <c r="O31" s="21">
        <f>ROW()</f>
        <v>31</v>
      </c>
    </row>
    <row r="32" spans="2:15" ht="15" customHeight="1">
      <c r="B32" s="24" t="s">
        <v>4931</v>
      </c>
      <c r="O32" s="21">
        <f>ROW()</f>
        <v>32</v>
      </c>
    </row>
    <row r="33" spans="2:15" ht="15" customHeight="1">
      <c r="O33" s="21">
        <f>ROW()</f>
        <v>33</v>
      </c>
    </row>
    <row r="34" spans="2:15" ht="15" customHeight="1">
      <c r="B34" s="3787" t="s">
        <v>4961</v>
      </c>
      <c r="C34" s="3779"/>
      <c r="D34" s="3779"/>
      <c r="E34" s="3779"/>
      <c r="F34" s="3779"/>
      <c r="G34" s="3779"/>
      <c r="H34" s="3779"/>
      <c r="I34" s="3779"/>
      <c r="O34" s="21">
        <f>ROW()</f>
        <v>34</v>
      </c>
    </row>
    <row r="35" spans="2:15" ht="15" customHeight="1">
      <c r="B35" s="3779"/>
      <c r="C35" s="3779"/>
      <c r="D35" s="3779"/>
      <c r="E35" s="3779"/>
      <c r="F35" s="3779"/>
      <c r="G35" s="3779"/>
      <c r="H35" s="3779"/>
      <c r="I35" s="3779"/>
      <c r="O35" s="21">
        <f>ROW()</f>
        <v>35</v>
      </c>
    </row>
    <row r="36" spans="2:15" ht="15" customHeight="1">
      <c r="B36" s="3779"/>
      <c r="C36" s="3779"/>
      <c r="D36" s="3779"/>
      <c r="E36" s="3779"/>
      <c r="F36" s="3779"/>
      <c r="G36" s="3779"/>
      <c r="H36" s="3779"/>
      <c r="I36" s="3779"/>
      <c r="O36" s="21">
        <f>ROW()</f>
        <v>36</v>
      </c>
    </row>
    <row r="37" spans="2:15" ht="15" customHeight="1">
      <c r="B37" s="2901"/>
      <c r="C37" s="2901"/>
      <c r="D37" s="2901"/>
      <c r="E37" s="2901"/>
      <c r="F37" s="2901"/>
      <c r="G37" s="2901"/>
      <c r="H37" s="2901"/>
      <c r="I37" s="2901"/>
      <c r="O37" s="21">
        <f>ROW()</f>
        <v>37</v>
      </c>
    </row>
    <row r="38" spans="2:15" ht="15" customHeight="1">
      <c r="B38" s="3787" t="s">
        <v>5629</v>
      </c>
      <c r="C38" s="3779"/>
      <c r="D38" s="3779"/>
      <c r="E38" s="3779"/>
      <c r="F38" s="3779"/>
      <c r="G38" s="3779"/>
      <c r="H38" s="3779"/>
      <c r="I38" s="3779"/>
      <c r="O38" s="21">
        <f>ROW()</f>
        <v>38</v>
      </c>
    </row>
    <row r="39" spans="2:15" ht="15" customHeight="1">
      <c r="B39" s="3779"/>
      <c r="C39" s="3779"/>
      <c r="D39" s="3779"/>
      <c r="E39" s="3779"/>
      <c r="F39" s="3779"/>
      <c r="G39" s="3779"/>
      <c r="H39" s="3779"/>
      <c r="I39" s="3779"/>
      <c r="O39" s="21">
        <f>ROW()</f>
        <v>39</v>
      </c>
    </row>
    <row r="40" spans="2:15" ht="15" customHeight="1">
      <c r="B40" s="3779"/>
      <c r="C40" s="3779"/>
      <c r="D40" s="3779"/>
      <c r="E40" s="3779"/>
      <c r="F40" s="3779"/>
      <c r="G40" s="3779"/>
      <c r="H40" s="3779"/>
      <c r="I40" s="3779"/>
      <c r="O40" s="21">
        <f>ROW()</f>
        <v>40</v>
      </c>
    </row>
    <row r="41" spans="2:15" ht="15" customHeight="1">
      <c r="B41" s="3779"/>
      <c r="C41" s="3779"/>
      <c r="D41" s="3779"/>
      <c r="E41" s="3779"/>
      <c r="F41" s="3779"/>
      <c r="G41" s="3779"/>
      <c r="H41" s="3779"/>
      <c r="I41" s="3779"/>
      <c r="O41" s="21">
        <f>ROW()</f>
        <v>41</v>
      </c>
    </row>
    <row r="42" spans="2:15" ht="15" customHeight="1">
      <c r="B42" s="3779"/>
      <c r="C42" s="3779"/>
      <c r="D42" s="3779"/>
      <c r="E42" s="3779"/>
      <c r="F42" s="3779"/>
      <c r="G42" s="3779"/>
      <c r="H42" s="3779"/>
      <c r="I42" s="3779"/>
      <c r="O42" s="21">
        <f>ROW()</f>
        <v>42</v>
      </c>
    </row>
    <row r="43" spans="2:15" ht="15" customHeight="1">
      <c r="B43" s="2901"/>
      <c r="C43" s="2901"/>
      <c r="D43" s="2901"/>
      <c r="E43" s="2901"/>
      <c r="F43" s="2901"/>
      <c r="G43" s="2901"/>
      <c r="H43" s="2901"/>
      <c r="I43" s="2901"/>
      <c r="O43" s="21">
        <f>ROW()</f>
        <v>43</v>
      </c>
    </row>
    <row r="44" spans="2:15" ht="15" customHeight="1">
      <c r="B44" s="3787" t="s">
        <v>4951</v>
      </c>
      <c r="C44" s="3779"/>
      <c r="D44" s="3779"/>
      <c r="E44" s="3779"/>
      <c r="F44" s="3779"/>
      <c r="G44" s="3779"/>
      <c r="H44" s="3779"/>
      <c r="I44" s="3779"/>
      <c r="O44" s="21">
        <f>ROW()</f>
        <v>44</v>
      </c>
    </row>
    <row r="45" spans="2:15" ht="15" customHeight="1">
      <c r="B45" s="3779"/>
      <c r="C45" s="3779"/>
      <c r="D45" s="3779"/>
      <c r="E45" s="3779"/>
      <c r="F45" s="3779"/>
      <c r="G45" s="3779"/>
      <c r="H45" s="3779"/>
      <c r="I45" s="3779"/>
      <c r="O45" s="21">
        <f>ROW()</f>
        <v>45</v>
      </c>
    </row>
    <row r="46" spans="2:15" ht="15" customHeight="1">
      <c r="B46" s="3779"/>
      <c r="C46" s="3779"/>
      <c r="D46" s="3779"/>
      <c r="E46" s="3779"/>
      <c r="F46" s="3779"/>
      <c r="G46" s="3779"/>
      <c r="H46" s="3779"/>
      <c r="I46" s="3779"/>
      <c r="O46" s="21">
        <f>ROW()</f>
        <v>46</v>
      </c>
    </row>
    <row r="47" spans="2:15" ht="15" customHeight="1">
      <c r="B47" s="2901"/>
      <c r="C47" s="2901"/>
      <c r="D47" s="2901"/>
      <c r="E47" s="2901"/>
      <c r="F47" s="2901"/>
      <c r="G47" s="2901"/>
      <c r="H47" s="2901"/>
      <c r="I47" s="2901"/>
      <c r="O47" s="21">
        <f>ROW()</f>
        <v>47</v>
      </c>
    </row>
    <row r="48" spans="2:15" ht="15" customHeight="1">
      <c r="B48" s="3787" t="s">
        <v>5301</v>
      </c>
      <c r="C48" s="3779"/>
      <c r="D48" s="3779"/>
      <c r="E48" s="3779"/>
      <c r="F48" s="3779"/>
      <c r="G48" s="3779"/>
      <c r="H48" s="3779"/>
      <c r="I48" s="3779"/>
      <c r="O48" s="21">
        <f>ROW()</f>
        <v>48</v>
      </c>
    </row>
    <row r="49" spans="2:15" ht="15" customHeight="1">
      <c r="B49" s="3779"/>
      <c r="C49" s="3779"/>
      <c r="D49" s="3779"/>
      <c r="E49" s="3779"/>
      <c r="F49" s="3779"/>
      <c r="G49" s="3779"/>
      <c r="H49" s="3779"/>
      <c r="I49" s="3779"/>
      <c r="O49" s="21">
        <f>ROW()</f>
        <v>49</v>
      </c>
    </row>
    <row r="50" spans="2:15" ht="15" customHeight="1">
      <c r="B50" s="2901"/>
      <c r="C50" s="2901"/>
      <c r="D50" s="2901"/>
      <c r="E50" s="2901"/>
      <c r="F50" s="2901"/>
      <c r="G50" s="2901"/>
      <c r="H50" s="2901"/>
      <c r="I50" s="2901"/>
      <c r="O50" s="21">
        <f>ROW()</f>
        <v>50</v>
      </c>
    </row>
    <row r="51" spans="2:15" ht="15" customHeight="1">
      <c r="B51" s="2" t="s">
        <v>4952</v>
      </c>
      <c r="E51" s="265" t="str">
        <f>CONCATENATE("(See Row ",O131," for source.)")</f>
        <v>(See Row 131 for source.)</v>
      </c>
      <c r="O51" s="21">
        <f>ROW()</f>
        <v>51</v>
      </c>
    </row>
    <row r="52" spans="2:15" ht="15" customHeight="1">
      <c r="B52" s="2904"/>
      <c r="D52" s="4598" t="s">
        <v>4938</v>
      </c>
      <c r="E52" s="4598" t="s">
        <v>4939</v>
      </c>
      <c r="F52" s="4598" t="s">
        <v>4932</v>
      </c>
      <c r="G52" s="4598" t="s">
        <v>4933</v>
      </c>
      <c r="H52" s="4598" t="s">
        <v>4934</v>
      </c>
      <c r="J52" s="4598" t="s">
        <v>4935</v>
      </c>
      <c r="O52" s="21">
        <f>ROW()</f>
        <v>52</v>
      </c>
    </row>
    <row r="53" spans="2:15" ht="15" customHeight="1">
      <c r="B53" s="2904"/>
      <c r="D53" s="4598"/>
      <c r="E53" s="4598"/>
      <c r="F53" s="4598"/>
      <c r="G53" s="4598"/>
      <c r="H53" s="4598"/>
      <c r="J53" s="4598"/>
      <c r="O53" s="21">
        <f>ROW()</f>
        <v>53</v>
      </c>
    </row>
    <row r="54" spans="2:15" ht="15" customHeight="1">
      <c r="B54" s="2904"/>
      <c r="D54" s="4598"/>
      <c r="E54" s="4598"/>
      <c r="F54" s="4598"/>
      <c r="G54" s="4598"/>
      <c r="H54" s="4598"/>
      <c r="J54" s="4598"/>
      <c r="O54" s="21">
        <f>ROW()</f>
        <v>54</v>
      </c>
    </row>
    <row r="55" spans="2:15" ht="15" customHeight="1">
      <c r="B55" s="2370"/>
      <c r="D55" s="4598"/>
      <c r="E55" s="4598"/>
      <c r="F55" s="4598"/>
      <c r="G55" s="4598"/>
      <c r="H55" s="4598"/>
      <c r="J55" s="4598"/>
      <c r="O55" s="21">
        <f>ROW()</f>
        <v>55</v>
      </c>
    </row>
    <row r="56" spans="2:15" ht="15" customHeight="1">
      <c r="B56" s="131" t="s">
        <v>4953</v>
      </c>
      <c r="D56" s="1179">
        <f>D163</f>
        <v>49974</v>
      </c>
      <c r="E56" s="1179">
        <f>E163</f>
        <v>6808</v>
      </c>
      <c r="F56" s="1179">
        <f>F163</f>
        <v>3369</v>
      </c>
      <c r="G56" s="1179">
        <f>G163</f>
        <v>1215</v>
      </c>
      <c r="H56" s="1179">
        <f>H163</f>
        <v>446</v>
      </c>
      <c r="J56" s="1179">
        <f>SUM(D56:I56)</f>
        <v>61812</v>
      </c>
      <c r="O56" s="21">
        <f>ROW()</f>
        <v>56</v>
      </c>
    </row>
    <row r="57" spans="2:15" ht="15" customHeight="1">
      <c r="B57" s="265" t="str">
        <f>CONCATENATE("Copied from sums of hourly data in table, below, and shown in Row ",O163,".")</f>
        <v>Copied from sums of hourly data in table, below, and shown in Row 163.</v>
      </c>
      <c r="O57" s="21">
        <f>ROW()</f>
        <v>57</v>
      </c>
    </row>
    <row r="58" spans="2:15" ht="15" customHeight="1">
      <c r="O58" s="21">
        <f>ROW()</f>
        <v>58</v>
      </c>
    </row>
    <row r="59" spans="2:15" ht="15" customHeight="1">
      <c r="B59" s="2" t="s">
        <v>4962</v>
      </c>
      <c r="O59" s="21">
        <f>ROW()</f>
        <v>59</v>
      </c>
    </row>
    <row r="60" spans="2:15" ht="15" customHeight="1">
      <c r="B60" s="265"/>
      <c r="D60" s="1892" t="s">
        <v>4954</v>
      </c>
      <c r="E60" s="1892" t="s">
        <v>810</v>
      </c>
      <c r="F60" s="4591" t="s">
        <v>1509</v>
      </c>
      <c r="G60" s="4591"/>
      <c r="H60" s="4591"/>
      <c r="J60" s="1892" t="s">
        <v>4935</v>
      </c>
      <c r="O60" s="21">
        <f>ROW()</f>
        <v>60</v>
      </c>
    </row>
    <row r="61" spans="2:15" ht="15" customHeight="1">
      <c r="B61" s="1816" t="s">
        <v>837</v>
      </c>
      <c r="D61" s="5">
        <f>'Motor Vs'!I76+'Motor Vs'!J76</f>
        <v>444179.99999999994</v>
      </c>
      <c r="E61" s="5">
        <f>'Motor Vs'!N76</f>
        <v>11431.578947368422</v>
      </c>
      <c r="F61" s="4596">
        <f>'Motor Vs'!M76</f>
        <v>38200</v>
      </c>
      <c r="G61" s="4596"/>
      <c r="H61" s="4596"/>
      <c r="J61" s="2496">
        <f>SUM(D61:I61)</f>
        <v>493811.57894736837</v>
      </c>
      <c r="O61" s="21">
        <f>ROW()</f>
        <v>61</v>
      </c>
    </row>
    <row r="62" spans="2:15" ht="15" customHeight="1">
      <c r="B62" s="1816" t="s">
        <v>4936</v>
      </c>
      <c r="D62" s="2905">
        <f>D61/$J61</f>
        <v>0.89949288136749361</v>
      </c>
      <c r="E62" s="2905">
        <f>E61/$J61</f>
        <v>2.3149677801675903E-2</v>
      </c>
      <c r="F62" s="4597">
        <f>F61/$J61</f>
        <v>7.7357440830830432E-2</v>
      </c>
      <c r="G62" s="4597"/>
      <c r="H62" s="4597"/>
      <c r="J62" s="2082">
        <f>SUM(D62:I62)</f>
        <v>0.99999999999999989</v>
      </c>
      <c r="O62" s="21">
        <f>ROW()</f>
        <v>62</v>
      </c>
    </row>
    <row r="63" spans="2:15" ht="15" customHeight="1">
      <c r="B63" s="1816" t="s">
        <v>4941</v>
      </c>
      <c r="D63" s="2907">
        <f>D61/($J61-$E61)</f>
        <v>0.9208093204527551</v>
      </c>
      <c r="F63" s="4597">
        <f>F61/($J61-$E61)</f>
        <v>7.9190679547244916E-2</v>
      </c>
      <c r="G63" s="4597"/>
      <c r="H63" s="4597"/>
      <c r="J63" s="2082">
        <f>SUM(D63:I63)</f>
        <v>1</v>
      </c>
      <c r="O63" s="21">
        <f>ROW()</f>
        <v>63</v>
      </c>
    </row>
    <row r="64" spans="2:15" ht="15" customHeight="1">
      <c r="B64" s="265" t="str">
        <f>CONCATENATE("Figures are taken from 'Motor Vs' worksheet, Row ",'Motor Vs'!O68, ", and exclude through-trips and medallion taxis.")</f>
        <v>Figures are taken from 'Motor Vs' worksheet, Row 68, and exclude through-trips and medallion taxis.</v>
      </c>
      <c r="C64" s="1892"/>
      <c r="D64" s="1892"/>
      <c r="O64" s="21">
        <f>ROW()</f>
        <v>64</v>
      </c>
    </row>
    <row r="65" spans="2:15" ht="15" customHeight="1">
      <c r="O65" s="21">
        <f>ROW()</f>
        <v>65</v>
      </c>
    </row>
    <row r="66" spans="2:15" ht="15" customHeight="1">
      <c r="B66" s="2" t="s">
        <v>5302</v>
      </c>
      <c r="O66" s="21">
        <f>ROW()</f>
        <v>66</v>
      </c>
    </row>
    <row r="67" spans="2:15" ht="15" customHeight="1">
      <c r="B67" s="2"/>
      <c r="H67" s="4591" t="s">
        <v>5303</v>
      </c>
      <c r="I67" s="4591"/>
      <c r="O67" s="21">
        <f>ROW()</f>
        <v>67</v>
      </c>
    </row>
    <row r="68" spans="2:15" ht="15" customHeight="1">
      <c r="D68" s="1892" t="s">
        <v>4942</v>
      </c>
      <c r="E68" s="1892" t="s">
        <v>4943</v>
      </c>
      <c r="F68" s="1892" t="s">
        <v>4944</v>
      </c>
      <c r="G68" s="1892" t="s">
        <v>4945</v>
      </c>
      <c r="H68" s="1892" t="s">
        <v>4946</v>
      </c>
      <c r="I68" s="1892" t="s">
        <v>4947</v>
      </c>
      <c r="O68" s="21">
        <f>ROW()</f>
        <v>68</v>
      </c>
    </row>
    <row r="69" spans="2:15" ht="15" customHeight="1">
      <c r="B69" s="1816" t="s">
        <v>145</v>
      </c>
      <c r="D69" s="2906">
        <v>26672000</v>
      </c>
      <c r="E69" s="2906">
        <v>1662000</v>
      </c>
      <c r="F69" s="2906">
        <v>232000</v>
      </c>
      <c r="G69" s="2906">
        <v>34000</v>
      </c>
      <c r="H69" s="2906">
        <v>16000</v>
      </c>
      <c r="I69" s="2906">
        <f>2000+403</f>
        <v>2403</v>
      </c>
      <c r="J69" s="2496">
        <f>SUM(D69:I69)</f>
        <v>28618403</v>
      </c>
      <c r="O69" s="21">
        <f>ROW()</f>
        <v>69</v>
      </c>
    </row>
    <row r="70" spans="2:15" ht="15" customHeight="1">
      <c r="B70" s="1816"/>
      <c r="D70" s="2907">
        <f t="shared" ref="D70:I70" si="0">D69/$J69</f>
        <v>0.93198771433891681</v>
      </c>
      <c r="E70" s="2905">
        <f t="shared" si="0"/>
        <v>5.8074519392294528E-2</v>
      </c>
      <c r="F70" s="2905">
        <f t="shared" si="0"/>
        <v>8.1066717803924982E-3</v>
      </c>
      <c r="G70" s="2905">
        <f t="shared" si="0"/>
        <v>1.1880467264368316E-3</v>
      </c>
      <c r="H70" s="2905">
        <f t="shared" si="0"/>
        <v>5.5908081244086187E-4</v>
      </c>
      <c r="I70" s="2905">
        <f t="shared" si="0"/>
        <v>8.3966949518461946E-5</v>
      </c>
      <c r="J70" s="2082">
        <f>SUM(D70:I70)</f>
        <v>1</v>
      </c>
      <c r="O70" s="21">
        <f>ROW()</f>
        <v>70</v>
      </c>
    </row>
    <row r="71" spans="2:15" ht="15" customHeight="1">
      <c r="B71" s="1816" t="s">
        <v>144</v>
      </c>
      <c r="D71" s="2906">
        <v>16265000</v>
      </c>
      <c r="E71" s="2906">
        <v>621000</v>
      </c>
      <c r="F71" s="2906">
        <v>166000</v>
      </c>
      <c r="G71" s="2906">
        <v>11000</v>
      </c>
      <c r="H71" s="2906">
        <v>7000</v>
      </c>
      <c r="I71" s="2906">
        <f>1000+96</f>
        <v>1096</v>
      </c>
      <c r="J71" s="2496">
        <f>SUM(D71:I71)</f>
        <v>17071096</v>
      </c>
      <c r="O71" s="21">
        <f>ROW()</f>
        <v>71</v>
      </c>
    </row>
    <row r="72" spans="2:15" ht="15" customHeight="1">
      <c r="D72" s="2905">
        <f t="shared" ref="D72:I72" si="1">D71/$J71</f>
        <v>0.95278006754809419</v>
      </c>
      <c r="E72" s="2905">
        <f t="shared" si="1"/>
        <v>3.6377277709644419E-2</v>
      </c>
      <c r="F72" s="2905">
        <f t="shared" si="1"/>
        <v>9.7240388080530975E-3</v>
      </c>
      <c r="G72" s="2905">
        <f t="shared" si="1"/>
        <v>6.443640174011089E-4</v>
      </c>
      <c r="H72" s="2905">
        <f t="shared" si="1"/>
        <v>4.1004982925525111E-4</v>
      </c>
      <c r="I72" s="2905">
        <f t="shared" si="1"/>
        <v>6.4202087551965033E-5</v>
      </c>
      <c r="J72" s="2082">
        <f>SUM(D72:I72)</f>
        <v>1</v>
      </c>
      <c r="O72" s="21">
        <f>ROW()</f>
        <v>72</v>
      </c>
    </row>
    <row r="73" spans="2:15" ht="15" customHeight="1">
      <c r="D73" s="2905"/>
      <c r="E73" s="2905"/>
      <c r="F73" s="2905"/>
      <c r="G73" s="2905"/>
      <c r="H73" s="2905"/>
      <c r="I73" s="2905"/>
      <c r="J73" s="2082"/>
      <c r="O73" s="21">
        <f>ROW()</f>
        <v>73</v>
      </c>
    </row>
    <row r="74" spans="2:15" ht="15" customHeight="1">
      <c r="B74" s="4602" t="str">
        <f>CONCATENATE("We have highlighted the cells in Rows ",O63, " and ",O70, " because of their approximate equality, which suggests that Queens-Midtown Tunnel data may be a good proxy for truck crossings into the CBD in general.")</f>
        <v>We have highlighted the cells in Rows 63 and 70 because of their approximate equality, which suggests that Queens-Midtown Tunnel data may be a good proxy for truck crossings into the CBD in general.</v>
      </c>
      <c r="C74" s="4603"/>
      <c r="D74" s="4603"/>
      <c r="E74" s="4603"/>
      <c r="F74" s="4603"/>
      <c r="G74" s="4603"/>
      <c r="H74" s="4603"/>
      <c r="I74" s="4603"/>
      <c r="J74" s="2082"/>
      <c r="O74" s="21">
        <f>ROW()</f>
        <v>74</v>
      </c>
    </row>
    <row r="75" spans="2:15" ht="15" customHeight="1">
      <c r="B75" s="4603"/>
      <c r="C75" s="4603"/>
      <c r="D75" s="4603"/>
      <c r="E75" s="4603"/>
      <c r="F75" s="4603"/>
      <c r="G75" s="4603"/>
      <c r="H75" s="4603"/>
      <c r="I75" s="4603"/>
      <c r="O75" s="21">
        <f>ROW()</f>
        <v>75</v>
      </c>
    </row>
    <row r="76" spans="2:15" ht="15" customHeight="1">
      <c r="O76" s="21">
        <f>ROW()</f>
        <v>76</v>
      </c>
    </row>
    <row r="77" spans="2:15" ht="15" customHeight="1">
      <c r="B77" s="3787" t="s">
        <v>4955</v>
      </c>
      <c r="C77" s="3779"/>
      <c r="D77" s="3779"/>
      <c r="E77" s="3779"/>
      <c r="F77" s="3779"/>
      <c r="G77" s="3779"/>
      <c r="H77" s="3779"/>
      <c r="I77" s="3779"/>
      <c r="O77" s="21">
        <f>ROW()</f>
        <v>77</v>
      </c>
    </row>
    <row r="78" spans="2:15" ht="15" customHeight="1">
      <c r="B78" s="3779"/>
      <c r="C78" s="3779"/>
      <c r="D78" s="3779"/>
      <c r="E78" s="3779"/>
      <c r="F78" s="3779"/>
      <c r="G78" s="3779"/>
      <c r="H78" s="3779"/>
      <c r="I78" s="3779"/>
      <c r="O78" s="21">
        <f>ROW()</f>
        <v>78</v>
      </c>
    </row>
    <row r="79" spans="2:15" ht="15" customHeight="1">
      <c r="B79" s="1" t="s">
        <v>5304</v>
      </c>
      <c r="K79" s="23">
        <v>0.5</v>
      </c>
      <c r="O79" s="21">
        <f>ROW()</f>
        <v>79</v>
      </c>
    </row>
    <row r="80" spans="2:15" s="3263" customFormat="1" ht="15" customHeight="1">
      <c r="B80" s="1"/>
      <c r="K80" s="23"/>
      <c r="O80" s="21">
        <f>ROW()</f>
        <v>80</v>
      </c>
    </row>
    <row r="81" spans="2:15" ht="15" customHeight="1">
      <c r="B81" s="1" t="s">
        <v>4956</v>
      </c>
      <c r="O81" s="21">
        <f>ROW()</f>
        <v>81</v>
      </c>
    </row>
    <row r="82" spans="2:15" s="3263" customFormat="1" ht="15" customHeight="1">
      <c r="B82" s="1"/>
      <c r="O82" s="21">
        <f>ROW()</f>
        <v>82</v>
      </c>
    </row>
    <row r="83" spans="2:15" ht="15" customHeight="1">
      <c r="B83" s="2" t="s">
        <v>6145</v>
      </c>
      <c r="O83" s="21">
        <f>ROW()</f>
        <v>83</v>
      </c>
    </row>
    <row r="84" spans="2:15" ht="15" customHeight="1">
      <c r="D84" s="3804" t="str">
        <f>CONCATENATE("Cars
(includes ",(1-K79)*100, "% of Vehicles recorded by MTA as 2-Axle trucks)")</f>
        <v>Cars
(includes 50% of Vehicles recorded by MTA as 2-Axle trucks)</v>
      </c>
      <c r="E84" s="3804" t="str">
        <f>CONCATENATE("Trucks (includes ",(K79)*100, "% of Vehicles recorded by MTA as 2-Axle trucks)")</f>
        <v>Trucks (includes 50% of Vehicles recorded by MTA as 2-Axle trucks)</v>
      </c>
      <c r="O84" s="21">
        <f>ROW()</f>
        <v>84</v>
      </c>
    </row>
    <row r="85" spans="2:15" ht="15" customHeight="1">
      <c r="D85" s="3804"/>
      <c r="E85" s="3804"/>
      <c r="F85" s="1892"/>
      <c r="G85" s="1892"/>
      <c r="H85" s="1892"/>
      <c r="I85" s="1892"/>
      <c r="J85" s="1892"/>
      <c r="K85" s="1892"/>
      <c r="O85" s="21">
        <f>ROW()</f>
        <v>85</v>
      </c>
    </row>
    <row r="86" spans="2:15" ht="15" customHeight="1">
      <c r="D86" s="3804"/>
      <c r="E86" s="3804"/>
      <c r="F86" s="1892"/>
      <c r="G86" s="1892"/>
      <c r="H86" s="1892"/>
      <c r="I86" s="1892"/>
      <c r="J86" s="1892"/>
      <c r="K86" s="1892"/>
      <c r="O86" s="21">
        <f>ROW()</f>
        <v>86</v>
      </c>
    </row>
    <row r="87" spans="2:15" ht="15" customHeight="1">
      <c r="D87" s="3807"/>
      <c r="E87" s="3807"/>
      <c r="F87" s="1892"/>
      <c r="G87" s="1892"/>
      <c r="H87" s="1892"/>
      <c r="I87" s="1892"/>
      <c r="J87" s="1892"/>
      <c r="K87" s="1892"/>
      <c r="O87" s="21">
        <f>ROW()</f>
        <v>87</v>
      </c>
    </row>
    <row r="88" spans="2:15" ht="15" customHeight="1">
      <c r="D88" s="3807"/>
      <c r="E88" s="3807"/>
      <c r="J88" s="1892" t="s">
        <v>4935</v>
      </c>
      <c r="K88" s="1892" t="s">
        <v>4957</v>
      </c>
      <c r="O88" s="21">
        <f>ROW()</f>
        <v>88</v>
      </c>
    </row>
    <row r="89" spans="2:15" ht="15" customHeight="1">
      <c r="D89" s="2906">
        <f>D69+(1-K79)*E69</f>
        <v>27503000</v>
      </c>
      <c r="E89" s="2906">
        <f>K79*E69</f>
        <v>831000</v>
      </c>
      <c r="F89" s="10">
        <f>F69</f>
        <v>232000</v>
      </c>
      <c r="G89" s="10">
        <f>G69</f>
        <v>34000</v>
      </c>
      <c r="H89" s="10">
        <f>H69</f>
        <v>16000</v>
      </c>
      <c r="I89" s="10">
        <f>I69</f>
        <v>2403</v>
      </c>
      <c r="J89" s="2496">
        <f>SUM(D89:I89)</f>
        <v>28618403</v>
      </c>
      <c r="K89" s="5">
        <f>SUM(E89:I89)</f>
        <v>1115403</v>
      </c>
      <c r="O89" s="21">
        <f>ROW()</f>
        <v>89</v>
      </c>
    </row>
    <row r="90" spans="2:15" ht="15" customHeight="1">
      <c r="C90" s="1816" t="s">
        <v>4963</v>
      </c>
      <c r="D90" s="2908">
        <f t="shared" ref="D90:I90" si="2">D89/$J89</f>
        <v>0.96102497403506404</v>
      </c>
      <c r="E90" s="2908">
        <f t="shared" si="2"/>
        <v>2.9037259696147264E-2</v>
      </c>
      <c r="F90" s="2908">
        <f t="shared" si="2"/>
        <v>8.1066717803924982E-3</v>
      </c>
      <c r="G90" s="2908">
        <f t="shared" si="2"/>
        <v>1.1880467264368316E-3</v>
      </c>
      <c r="H90" s="2908">
        <f t="shared" si="2"/>
        <v>5.5908081244086187E-4</v>
      </c>
      <c r="I90" s="2908">
        <f t="shared" si="2"/>
        <v>8.3966949518461946E-5</v>
      </c>
      <c r="J90" s="2082">
        <f>SUM(D90:I90)</f>
        <v>0.99999999999999989</v>
      </c>
      <c r="O90" s="21">
        <f>ROW()</f>
        <v>90</v>
      </c>
    </row>
    <row r="91" spans="2:15" ht="15" customHeight="1">
      <c r="B91" s="2919"/>
      <c r="C91" s="2919" t="s">
        <v>4964</v>
      </c>
      <c r="D91" s="2718"/>
      <c r="E91" s="2920">
        <f>E89/$K89</f>
        <v>0.74502220273748587</v>
      </c>
      <c r="F91" s="2920">
        <f>F89/$K89</f>
        <v>0.20799657164271568</v>
      </c>
      <c r="G91" s="2920">
        <f>G89/$K89</f>
        <v>3.0482256189018678E-2</v>
      </c>
      <c r="H91" s="3216">
        <f>H89/$K89</f>
        <v>1.4344591147773495E-2</v>
      </c>
      <c r="I91" s="3216">
        <f>I89/$K89</f>
        <v>2.1543782830062319E-3</v>
      </c>
      <c r="K91" s="2082">
        <f>SUM(D91:I91)</f>
        <v>1</v>
      </c>
      <c r="O91" s="21">
        <f>ROW()</f>
        <v>91</v>
      </c>
    </row>
    <row r="92" spans="2:15" ht="15" customHeight="1">
      <c r="O92" s="21">
        <f>ROW()</f>
        <v>92</v>
      </c>
    </row>
    <row r="93" spans="2:15" ht="15" customHeight="1">
      <c r="B93" s="4222" t="str">
        <f>CONCATENATE("The percentages in Row ",O91, " represent our best estimate of the breakdown by type of truck (using the PA's classification system), of trucks entering the Manhattan CBD.")</f>
        <v>The percentages in Row 91 represent our best estimate of the breakdown by type of truck (using the PA's classification system), of trucks entering the Manhattan CBD.</v>
      </c>
      <c r="C93" s="4223"/>
      <c r="D93" s="4223"/>
      <c r="E93" s="4223"/>
      <c r="F93" s="4223"/>
      <c r="G93" s="4223"/>
      <c r="H93" s="4223"/>
      <c r="I93" s="4223"/>
      <c r="O93" s="21">
        <f>ROW()</f>
        <v>93</v>
      </c>
    </row>
    <row r="94" spans="2:15" ht="15" customHeight="1">
      <c r="B94" s="4223"/>
      <c r="C94" s="4223"/>
      <c r="D94" s="4223"/>
      <c r="E94" s="4223"/>
      <c r="F94" s="4223"/>
      <c r="G94" s="4223"/>
      <c r="H94" s="4223"/>
      <c r="I94" s="4223"/>
      <c r="O94" s="21">
        <f>ROW()</f>
        <v>94</v>
      </c>
    </row>
    <row r="95" spans="2:15" ht="15" customHeight="1">
      <c r="O95" s="21">
        <f>ROW()</f>
        <v>95</v>
      </c>
    </row>
    <row r="96" spans="2:15" ht="15" customHeight="1">
      <c r="B96" s="24" t="s">
        <v>4958</v>
      </c>
      <c r="O96" s="21">
        <f>ROW()</f>
        <v>96</v>
      </c>
    </row>
    <row r="97" spans="2:15" ht="15" customHeight="1">
      <c r="O97" s="21">
        <f>ROW()</f>
        <v>97</v>
      </c>
    </row>
    <row r="98" spans="2:15" ht="15" customHeight="1">
      <c r="B98" s="3787" t="s">
        <v>6146</v>
      </c>
      <c r="C98" s="3779"/>
      <c r="D98" s="3779"/>
      <c r="E98" s="3779"/>
      <c r="F98" s="3779"/>
      <c r="G98" s="3779"/>
      <c r="H98" s="3779"/>
      <c r="I98" s="3779"/>
      <c r="O98" s="21">
        <f>ROW()</f>
        <v>98</v>
      </c>
    </row>
    <row r="99" spans="2:15" ht="15" customHeight="1">
      <c r="B99" s="3779"/>
      <c r="C99" s="3779"/>
      <c r="D99" s="3779"/>
      <c r="E99" s="3779"/>
      <c r="F99" s="3779"/>
      <c r="G99" s="3779"/>
      <c r="H99" s="3779"/>
      <c r="I99" s="3779"/>
      <c r="O99" s="21">
        <f>ROW()</f>
        <v>99</v>
      </c>
    </row>
    <row r="100" spans="2:15" ht="15" customHeight="1">
      <c r="B100" s="3018"/>
      <c r="C100" s="3018"/>
      <c r="D100" s="3018"/>
      <c r="E100" s="3018"/>
      <c r="F100" s="3018"/>
      <c r="G100" s="3018"/>
      <c r="H100" s="3018"/>
      <c r="I100" s="3018"/>
      <c r="O100" s="21">
        <f>ROW()</f>
        <v>100</v>
      </c>
    </row>
    <row r="101" spans="2:15" ht="15" customHeight="1">
      <c r="B101" s="1" t="s">
        <v>4965</v>
      </c>
      <c r="O101" s="21">
        <f>ROW()</f>
        <v>101</v>
      </c>
    </row>
    <row r="102" spans="2:15" ht="15" customHeight="1">
      <c r="I102" s="1892" t="s">
        <v>6144</v>
      </c>
      <c r="K102" s="3023">
        <v>0.75</v>
      </c>
      <c r="O102" s="21">
        <f>ROW()</f>
        <v>102</v>
      </c>
    </row>
    <row r="103" spans="2:15" ht="15" customHeight="1">
      <c r="O103" s="21">
        <f>ROW()</f>
        <v>103</v>
      </c>
    </row>
    <row r="104" spans="2:15" ht="15" customHeight="1">
      <c r="B104" s="4592" t="s">
        <v>5305</v>
      </c>
      <c r="C104" s="4593"/>
      <c r="E104" s="1892" t="s">
        <v>4943</v>
      </c>
      <c r="F104" s="1892" t="s">
        <v>4944</v>
      </c>
      <c r="G104" s="1892" t="s">
        <v>4945</v>
      </c>
      <c r="H104" s="1892" t="s">
        <v>4946</v>
      </c>
      <c r="I104" s="1892" t="s">
        <v>4947</v>
      </c>
      <c r="K104" s="3021" t="s">
        <v>5306</v>
      </c>
      <c r="O104" s="21">
        <f>ROW()</f>
        <v>104</v>
      </c>
    </row>
    <row r="105" spans="2:15" ht="15" customHeight="1">
      <c r="B105" s="4594"/>
      <c r="C105" s="4595"/>
      <c r="E105" s="3023">
        <v>1.3</v>
      </c>
      <c r="F105" s="117">
        <v>2.25</v>
      </c>
      <c r="G105" s="117">
        <f>F105+$K$102</f>
        <v>3</v>
      </c>
      <c r="H105" s="117">
        <f>G105+$K$102</f>
        <v>3.75</v>
      </c>
      <c r="I105" s="117">
        <f>H105+$K$102</f>
        <v>4.5</v>
      </c>
      <c r="K105" s="3022">
        <f>SUMPRODUCT(E91:I91,E105:I105)</f>
        <v>1.5914548373995769</v>
      </c>
      <c r="O105" s="21">
        <f>ROW()</f>
        <v>105</v>
      </c>
    </row>
    <row r="106" spans="2:15" ht="15" customHeight="1">
      <c r="O106" s="21">
        <f>ROW()</f>
        <v>106</v>
      </c>
    </row>
    <row r="107" spans="2:15" ht="15" customHeight="1">
      <c r="B107" s="2" t="s">
        <v>5307</v>
      </c>
      <c r="E107" s="716">
        <f>E105*'User Inputs'!$J$29</f>
        <v>12.35</v>
      </c>
      <c r="F107" s="716">
        <f>F105*'User Inputs'!$J$29</f>
        <v>21.375</v>
      </c>
      <c r="G107" s="716">
        <f>G105*'User Inputs'!$J$29</f>
        <v>28.5</v>
      </c>
      <c r="H107" s="716">
        <f>H105*'User Inputs'!$J$29</f>
        <v>35.625</v>
      </c>
      <c r="I107" s="716">
        <f>I105*'User Inputs'!$J$29</f>
        <v>42.75</v>
      </c>
      <c r="O107" s="21">
        <f>ROW()</f>
        <v>107</v>
      </c>
    </row>
    <row r="108" spans="2:15" ht="15" customHeight="1">
      <c r="O108" s="21">
        <f>ROW()</f>
        <v>108</v>
      </c>
    </row>
    <row r="109" spans="2:15" ht="15" customHeight="1">
      <c r="B109" s="24" t="s">
        <v>4975</v>
      </c>
      <c r="O109" s="21">
        <f>ROW()</f>
        <v>109</v>
      </c>
    </row>
    <row r="110" spans="2:15" ht="15" customHeight="1">
      <c r="O110" s="21">
        <f>ROW()</f>
        <v>110</v>
      </c>
    </row>
    <row r="111" spans="2:15" ht="15" customHeight="1">
      <c r="B111" s="4601" t="s">
        <v>2488</v>
      </c>
      <c r="C111" s="4601"/>
      <c r="D111" s="1892" t="s">
        <v>4942</v>
      </c>
      <c r="E111" s="1892" t="s">
        <v>4943</v>
      </c>
      <c r="F111" s="1892" t="s">
        <v>4944</v>
      </c>
      <c r="G111" s="1892" t="s">
        <v>4945</v>
      </c>
      <c r="H111" s="1892" t="s">
        <v>4946</v>
      </c>
      <c r="I111" s="1892" t="s">
        <v>4970</v>
      </c>
      <c r="J111" s="1892" t="s">
        <v>4971</v>
      </c>
      <c r="O111" s="21">
        <f>ROW()</f>
        <v>111</v>
      </c>
    </row>
    <row r="112" spans="2:15" ht="15" customHeight="1">
      <c r="B112" s="2903"/>
      <c r="C112" s="2924" t="s">
        <v>4967</v>
      </c>
      <c r="D112" s="2925">
        <v>2</v>
      </c>
      <c r="E112" s="2925">
        <v>2</v>
      </c>
      <c r="F112" s="2925">
        <v>3</v>
      </c>
      <c r="G112" s="2925">
        <v>4</v>
      </c>
      <c r="H112" s="2925">
        <v>5</v>
      </c>
      <c r="I112" s="2925">
        <v>6</v>
      </c>
      <c r="J112" s="2925">
        <v>7</v>
      </c>
      <c r="O112" s="21">
        <f>ROW()</f>
        <v>112</v>
      </c>
    </row>
    <row r="113" spans="2:15" ht="15" customHeight="1">
      <c r="C113" s="2924" t="s">
        <v>4966</v>
      </c>
      <c r="D113" s="2925">
        <v>4</v>
      </c>
      <c r="E113" s="2925">
        <f t="shared" ref="E113:J113" si="3">(E112-1)*4+2</f>
        <v>6</v>
      </c>
      <c r="F113" s="2925">
        <f t="shared" si="3"/>
        <v>10</v>
      </c>
      <c r="G113" s="2925">
        <f t="shared" si="3"/>
        <v>14</v>
      </c>
      <c r="H113" s="2925">
        <f t="shared" si="3"/>
        <v>18</v>
      </c>
      <c r="I113" s="2925">
        <f t="shared" si="3"/>
        <v>22</v>
      </c>
      <c r="J113" s="2925">
        <f t="shared" si="3"/>
        <v>26</v>
      </c>
      <c r="O113" s="21">
        <f>ROW()</f>
        <v>113</v>
      </c>
    </row>
    <row r="114" spans="2:15" ht="15" customHeight="1">
      <c r="C114" s="2388" t="s">
        <v>4969</v>
      </c>
      <c r="D114" s="2923">
        <v>8</v>
      </c>
      <c r="E114" s="2923">
        <v>16</v>
      </c>
      <c r="F114" s="2923">
        <v>24</v>
      </c>
      <c r="G114" s="2923">
        <v>32</v>
      </c>
      <c r="H114" s="2923">
        <v>40</v>
      </c>
      <c r="I114" s="2923">
        <v>48</v>
      </c>
      <c r="J114" s="2923">
        <v>56</v>
      </c>
      <c r="O114" s="21">
        <f>ROW()</f>
        <v>114</v>
      </c>
    </row>
    <row r="115" spans="2:15" ht="15" customHeight="1">
      <c r="B115" s="4599" t="s">
        <v>4968</v>
      </c>
      <c r="C115" s="4600"/>
      <c r="D115" s="2926">
        <f t="shared" ref="D115:J115" si="4">D114/$D114</f>
        <v>1</v>
      </c>
      <c r="E115" s="2926">
        <f t="shared" si="4"/>
        <v>2</v>
      </c>
      <c r="F115" s="2926">
        <f t="shared" si="4"/>
        <v>3</v>
      </c>
      <c r="G115" s="2926">
        <f t="shared" si="4"/>
        <v>4</v>
      </c>
      <c r="H115" s="2926">
        <f t="shared" si="4"/>
        <v>5</v>
      </c>
      <c r="I115" s="2926">
        <f t="shared" si="4"/>
        <v>6</v>
      </c>
      <c r="J115" s="2926">
        <f t="shared" si="4"/>
        <v>7</v>
      </c>
      <c r="O115" s="21">
        <f>ROW()</f>
        <v>115</v>
      </c>
    </row>
    <row r="116" spans="2:15" ht="15" customHeight="1">
      <c r="C116" s="2388" t="s">
        <v>4973</v>
      </c>
      <c r="D116" s="2923">
        <v>6</v>
      </c>
      <c r="E116" s="2923">
        <v>14</v>
      </c>
      <c r="F116" s="2923">
        <v>21</v>
      </c>
      <c r="G116" s="2923">
        <v>28</v>
      </c>
      <c r="H116" s="2923">
        <v>35</v>
      </c>
      <c r="I116" s="2923">
        <v>42</v>
      </c>
      <c r="J116" s="2923">
        <v>49</v>
      </c>
      <c r="O116" s="21">
        <f>ROW()</f>
        <v>116</v>
      </c>
    </row>
    <row r="117" spans="2:15" ht="15" customHeight="1">
      <c r="B117" s="4599" t="s">
        <v>4968</v>
      </c>
      <c r="C117" s="4600"/>
      <c r="D117" s="2926">
        <f t="shared" ref="D117:J117" si="5">D116/$D116</f>
        <v>1</v>
      </c>
      <c r="E117" s="2926">
        <f t="shared" si="5"/>
        <v>2.3333333333333335</v>
      </c>
      <c r="F117" s="2926">
        <f t="shared" si="5"/>
        <v>3.5</v>
      </c>
      <c r="G117" s="2926">
        <f t="shared" si="5"/>
        <v>4.666666666666667</v>
      </c>
      <c r="H117" s="2926">
        <f t="shared" si="5"/>
        <v>5.833333333333333</v>
      </c>
      <c r="I117" s="2926">
        <f t="shared" si="5"/>
        <v>7</v>
      </c>
      <c r="J117" s="2926">
        <f t="shared" si="5"/>
        <v>8.1666666666666661</v>
      </c>
      <c r="O117" s="21">
        <f>ROW()</f>
        <v>117</v>
      </c>
    </row>
    <row r="118" spans="2:15" ht="15" customHeight="1">
      <c r="D118" s="3754" t="s">
        <v>4976</v>
      </c>
      <c r="E118" s="3754"/>
      <c r="F118" s="3754"/>
      <c r="G118" s="3754"/>
      <c r="H118" s="3754"/>
      <c r="I118" s="3754"/>
      <c r="J118" s="3754"/>
      <c r="O118" s="21">
        <f>ROW()</f>
        <v>118</v>
      </c>
    </row>
    <row r="119" spans="2:15" ht="15" customHeight="1">
      <c r="D119" s="3659"/>
      <c r="E119" s="3659"/>
      <c r="F119" s="3659"/>
      <c r="G119" s="3659"/>
      <c r="H119" s="3659"/>
      <c r="I119" s="3659"/>
      <c r="J119" s="3659"/>
      <c r="O119" s="21">
        <f>ROW()</f>
        <v>119</v>
      </c>
    </row>
    <row r="120" spans="2:15" ht="15" customHeight="1">
      <c r="D120" s="2902"/>
      <c r="E120" s="2902"/>
      <c r="F120" s="2902"/>
      <c r="G120" s="2902"/>
      <c r="H120" s="2902"/>
      <c r="I120" s="2902"/>
      <c r="J120" s="2902"/>
      <c r="O120" s="21">
        <f>ROW()</f>
        <v>120</v>
      </c>
    </row>
    <row r="121" spans="2:15" ht="15" customHeight="1">
      <c r="B121" s="4601" t="s">
        <v>4972</v>
      </c>
      <c r="C121" s="4601"/>
      <c r="D121" s="1892" t="s">
        <v>4942</v>
      </c>
      <c r="E121" s="1892" t="s">
        <v>4943</v>
      </c>
      <c r="F121" s="1892" t="s">
        <v>4944</v>
      </c>
      <c r="G121" s="1892" t="s">
        <v>4945</v>
      </c>
      <c r="H121" s="1892" t="s">
        <v>4946</v>
      </c>
      <c r="I121" s="1892" t="s">
        <v>4970</v>
      </c>
      <c r="J121" s="1892" t="s">
        <v>4971</v>
      </c>
      <c r="O121" s="21">
        <f>ROW()</f>
        <v>121</v>
      </c>
    </row>
    <row r="122" spans="2:15" ht="15" customHeight="1">
      <c r="B122" s="2903"/>
      <c r="C122" s="2924" t="s">
        <v>4967</v>
      </c>
      <c r="D122" s="2925">
        <v>2</v>
      </c>
      <c r="E122" s="2925">
        <v>2</v>
      </c>
      <c r="F122" s="2925">
        <v>3</v>
      </c>
      <c r="G122" s="2925">
        <v>4</v>
      </c>
      <c r="H122" s="2925">
        <v>5</v>
      </c>
      <c r="I122" s="2925">
        <v>6</v>
      </c>
      <c r="J122" s="2925">
        <v>7</v>
      </c>
      <c r="O122" s="21">
        <f>ROW()</f>
        <v>122</v>
      </c>
    </row>
    <row r="123" spans="2:15" ht="15" customHeight="1">
      <c r="C123" s="2924" t="s">
        <v>4966</v>
      </c>
      <c r="D123" s="2925">
        <v>4</v>
      </c>
      <c r="E123" s="2925">
        <f t="shared" ref="E123:J123" si="6">(E122-1)*4+2</f>
        <v>6</v>
      </c>
      <c r="F123" s="2925">
        <f t="shared" si="6"/>
        <v>10</v>
      </c>
      <c r="G123" s="2925">
        <f t="shared" si="6"/>
        <v>14</v>
      </c>
      <c r="H123" s="2925">
        <f t="shared" si="6"/>
        <v>18</v>
      </c>
      <c r="I123" s="2925">
        <f t="shared" si="6"/>
        <v>22</v>
      </c>
      <c r="J123" s="2925">
        <f t="shared" si="6"/>
        <v>26</v>
      </c>
      <c r="O123" s="21">
        <f>ROW()</f>
        <v>123</v>
      </c>
    </row>
    <row r="124" spans="2:15" ht="15" customHeight="1">
      <c r="C124" s="2388" t="s">
        <v>2093</v>
      </c>
      <c r="D124" s="2923">
        <v>4.8</v>
      </c>
      <c r="E124" s="2923">
        <v>8.66</v>
      </c>
      <c r="F124" s="2923">
        <v>14.18</v>
      </c>
      <c r="G124" s="2923">
        <v>18.12</v>
      </c>
      <c r="H124" s="2923">
        <v>23.63</v>
      </c>
      <c r="I124" s="2923">
        <v>27.57</v>
      </c>
      <c r="J124" s="2923">
        <v>33.08</v>
      </c>
      <c r="K124" s="2921"/>
      <c r="L124" s="2922"/>
      <c r="M124" s="2922"/>
      <c r="N124" s="2922"/>
      <c r="O124" s="21">
        <f>ROW()</f>
        <v>124</v>
      </c>
    </row>
    <row r="125" spans="2:15" ht="15" customHeight="1">
      <c r="B125" s="4599" t="s">
        <v>4968</v>
      </c>
      <c r="C125" s="4600"/>
      <c r="D125" s="2926">
        <f t="shared" ref="D125:J125" si="7">D124/$D124</f>
        <v>1</v>
      </c>
      <c r="E125" s="2926">
        <f t="shared" si="7"/>
        <v>1.8041666666666667</v>
      </c>
      <c r="F125" s="2926">
        <f t="shared" si="7"/>
        <v>2.9541666666666666</v>
      </c>
      <c r="G125" s="2926">
        <f t="shared" si="7"/>
        <v>3.7750000000000004</v>
      </c>
      <c r="H125" s="2926">
        <f t="shared" si="7"/>
        <v>4.9229166666666666</v>
      </c>
      <c r="I125" s="2926">
        <f t="shared" si="7"/>
        <v>5.7437500000000004</v>
      </c>
      <c r="J125" s="2926">
        <f t="shared" si="7"/>
        <v>6.8916666666666666</v>
      </c>
      <c r="K125" s="2921"/>
      <c r="L125" s="2921"/>
      <c r="M125" s="2921"/>
      <c r="N125" s="2921"/>
      <c r="O125" s="21">
        <f>ROW()</f>
        <v>125</v>
      </c>
    </row>
    <row r="126" spans="2:15" ht="15" customHeight="1">
      <c r="D126" s="4604" t="s">
        <v>5632</v>
      </c>
      <c r="E126" s="4604"/>
      <c r="F126" s="4604"/>
      <c r="G126" s="4604"/>
      <c r="H126" s="4604"/>
      <c r="I126" s="4604"/>
      <c r="J126" s="4604"/>
      <c r="K126" s="2921"/>
      <c r="L126" s="2921"/>
      <c r="M126" s="2921"/>
      <c r="N126" s="2921"/>
      <c r="O126" s="21">
        <f>ROW()</f>
        <v>126</v>
      </c>
    </row>
    <row r="127" spans="2:15" ht="15" customHeight="1">
      <c r="D127" s="3810"/>
      <c r="E127" s="3810"/>
      <c r="F127" s="3810"/>
      <c r="G127" s="3810"/>
      <c r="H127" s="3810"/>
      <c r="I127" s="3810"/>
      <c r="J127" s="3810"/>
      <c r="O127" s="21">
        <f>ROW()</f>
        <v>127</v>
      </c>
    </row>
    <row r="128" spans="2:15" ht="15" customHeight="1">
      <c r="D128" s="2902"/>
      <c r="E128" s="2902"/>
      <c r="F128" s="2902"/>
      <c r="G128" s="2902"/>
      <c r="H128" s="2902"/>
      <c r="I128" s="2902"/>
      <c r="J128" s="2902"/>
      <c r="O128" s="21">
        <f>ROW()</f>
        <v>128</v>
      </c>
    </row>
    <row r="129" spans="2:15" ht="15" customHeight="1">
      <c r="B129" s="24" t="s">
        <v>4974</v>
      </c>
      <c r="E129" s="265" t="str">
        <f>CONCATENATE("These data are distilled at the bottom, in Row ",O163, ", and are used above, in Row ",O56, ".")</f>
        <v>These data are distilled at the bottom, in Row 163, and are used above, in Row 56.</v>
      </c>
      <c r="O129" s="21">
        <f>ROW()</f>
        <v>129</v>
      </c>
    </row>
    <row r="130" spans="2:15" ht="15" customHeight="1">
      <c r="O130" s="21">
        <f>ROW()</f>
        <v>130</v>
      </c>
    </row>
    <row r="131" spans="2:15" ht="15" customHeight="1">
      <c r="B131" s="2" t="s">
        <v>4937</v>
      </c>
      <c r="O131" s="21">
        <f>ROW()</f>
        <v>131</v>
      </c>
    </row>
    <row r="132" spans="2:15" ht="15" customHeight="1">
      <c r="O132" s="21">
        <f>ROW()</f>
        <v>132</v>
      </c>
    </row>
    <row r="133" spans="2:15" ht="15" customHeight="1">
      <c r="B133" s="2904"/>
      <c r="D133" s="4598" t="s">
        <v>4938</v>
      </c>
      <c r="E133" s="4598" t="s">
        <v>4939</v>
      </c>
      <c r="F133" s="4598" t="s">
        <v>4932</v>
      </c>
      <c r="G133" s="4598" t="s">
        <v>4933</v>
      </c>
      <c r="H133" s="4598" t="s">
        <v>4934</v>
      </c>
      <c r="J133" s="4598" t="s">
        <v>4935</v>
      </c>
      <c r="O133" s="21">
        <f>ROW()</f>
        <v>133</v>
      </c>
    </row>
    <row r="134" spans="2:15" ht="15" customHeight="1">
      <c r="B134" s="2904"/>
      <c r="D134" s="4598"/>
      <c r="E134" s="4598"/>
      <c r="F134" s="4598"/>
      <c r="G134" s="4598"/>
      <c r="H134" s="4598"/>
      <c r="J134" s="4598"/>
      <c r="O134" s="21">
        <f>ROW()</f>
        <v>134</v>
      </c>
    </row>
    <row r="135" spans="2:15" ht="15" customHeight="1">
      <c r="B135" s="2904"/>
      <c r="D135" s="4598"/>
      <c r="E135" s="4598"/>
      <c r="F135" s="4598"/>
      <c r="G135" s="4598"/>
      <c r="H135" s="4598"/>
      <c r="J135" s="4598"/>
      <c r="O135" s="21">
        <f>ROW()</f>
        <v>135</v>
      </c>
    </row>
    <row r="136" spans="2:15" ht="15" customHeight="1">
      <c r="B136" s="2370"/>
      <c r="D136" s="4598"/>
      <c r="E136" s="4598"/>
      <c r="F136" s="4598"/>
      <c r="G136" s="4598"/>
      <c r="H136" s="4598"/>
      <c r="J136" s="4598"/>
      <c r="O136" s="21">
        <f>ROW()</f>
        <v>136</v>
      </c>
    </row>
    <row r="137" spans="2:15" ht="15" customHeight="1">
      <c r="B137" s="2101" t="s">
        <v>728</v>
      </c>
      <c r="D137" s="2101"/>
      <c r="F137" s="2889"/>
      <c r="G137" s="2889"/>
      <c r="H137" s="2889"/>
      <c r="O137" s="21">
        <f>ROW()</f>
        <v>137</v>
      </c>
    </row>
    <row r="138" spans="2:15" ht="15" customHeight="1">
      <c r="B138" s="2370">
        <v>12</v>
      </c>
      <c r="D138" s="2377">
        <v>852</v>
      </c>
      <c r="E138">
        <v>61</v>
      </c>
      <c r="F138" s="2370">
        <v>25</v>
      </c>
      <c r="G138" s="2370">
        <v>46</v>
      </c>
      <c r="H138" s="2370">
        <v>16</v>
      </c>
      <c r="J138" s="1179">
        <f>SUM(D138:I138)</f>
        <v>1000</v>
      </c>
      <c r="O138" s="21">
        <f>ROW()</f>
        <v>138</v>
      </c>
    </row>
    <row r="139" spans="2:15" ht="15" customHeight="1">
      <c r="B139" s="2370">
        <v>1</v>
      </c>
      <c r="D139" s="2377">
        <v>522</v>
      </c>
      <c r="E139">
        <v>30</v>
      </c>
      <c r="F139" s="2370">
        <v>23</v>
      </c>
      <c r="G139" s="2370">
        <v>43</v>
      </c>
      <c r="H139" s="2370">
        <v>17</v>
      </c>
      <c r="J139" s="1179">
        <f t="shared" ref="J139:J162" si="8">SUM(D139:I139)</f>
        <v>635</v>
      </c>
      <c r="O139" s="21">
        <f>ROW()</f>
        <v>139</v>
      </c>
    </row>
    <row r="140" spans="2:15" ht="15" customHeight="1">
      <c r="B140" s="2370">
        <v>2</v>
      </c>
      <c r="D140" s="2377">
        <v>377</v>
      </c>
      <c r="E140">
        <v>11</v>
      </c>
      <c r="F140" s="2370">
        <v>23</v>
      </c>
      <c r="G140" s="2370">
        <v>48</v>
      </c>
      <c r="H140" s="2370">
        <v>19</v>
      </c>
      <c r="J140" s="1179">
        <f t="shared" si="8"/>
        <v>478</v>
      </c>
      <c r="O140" s="21">
        <f>ROW()</f>
        <v>140</v>
      </c>
    </row>
    <row r="141" spans="2:15" ht="15" customHeight="1">
      <c r="B141" s="2370">
        <v>3</v>
      </c>
      <c r="D141" s="2377">
        <v>366</v>
      </c>
      <c r="E141">
        <v>14</v>
      </c>
      <c r="F141" s="2370">
        <v>62</v>
      </c>
      <c r="G141" s="2370">
        <v>56</v>
      </c>
      <c r="H141" s="2370">
        <v>24</v>
      </c>
      <c r="J141" s="1179">
        <f t="shared" si="8"/>
        <v>522</v>
      </c>
      <c r="O141" s="21">
        <f>ROW()</f>
        <v>141</v>
      </c>
    </row>
    <row r="142" spans="2:15" ht="15" customHeight="1">
      <c r="B142" s="2370">
        <v>4</v>
      </c>
      <c r="D142" s="2377">
        <v>641</v>
      </c>
      <c r="E142">
        <v>25</v>
      </c>
      <c r="F142" s="2370">
        <v>140</v>
      </c>
      <c r="G142" s="2370">
        <v>99</v>
      </c>
      <c r="H142" s="2370">
        <v>45</v>
      </c>
      <c r="J142" s="1179">
        <f t="shared" si="8"/>
        <v>950</v>
      </c>
      <c r="O142" s="21">
        <f>ROW()</f>
        <v>142</v>
      </c>
    </row>
    <row r="143" spans="2:15" ht="15" customHeight="1">
      <c r="B143" s="2370">
        <v>5</v>
      </c>
      <c r="D143" s="2377">
        <v>2097</v>
      </c>
      <c r="E143">
        <v>136</v>
      </c>
      <c r="F143" s="2370">
        <v>321</v>
      </c>
      <c r="G143" s="2370">
        <v>131</v>
      </c>
      <c r="H143" s="2370">
        <v>75</v>
      </c>
      <c r="J143" s="1179">
        <f t="shared" si="8"/>
        <v>2760</v>
      </c>
      <c r="O143" s="21">
        <f>ROW()</f>
        <v>143</v>
      </c>
    </row>
    <row r="144" spans="2:15" ht="15" customHeight="1">
      <c r="B144" s="2370">
        <v>6</v>
      </c>
      <c r="D144" s="2377">
        <v>4243</v>
      </c>
      <c r="E144">
        <v>429</v>
      </c>
      <c r="F144" s="2370">
        <v>380</v>
      </c>
      <c r="G144" s="2370">
        <v>128</v>
      </c>
      <c r="H144" s="2370">
        <v>51</v>
      </c>
      <c r="J144" s="1179">
        <f t="shared" si="8"/>
        <v>5231</v>
      </c>
      <c r="O144" s="21">
        <f>ROW()</f>
        <v>144</v>
      </c>
    </row>
    <row r="145" spans="2:15" ht="15" customHeight="1">
      <c r="B145" s="2370">
        <v>7</v>
      </c>
      <c r="D145" s="2377">
        <v>3608</v>
      </c>
      <c r="E145">
        <v>805</v>
      </c>
      <c r="F145" s="2370">
        <v>342</v>
      </c>
      <c r="G145" s="2370">
        <v>53</v>
      </c>
      <c r="H145" s="2370">
        <v>20</v>
      </c>
      <c r="J145" s="1179">
        <f t="shared" si="8"/>
        <v>4828</v>
      </c>
      <c r="O145" s="21">
        <f>ROW()</f>
        <v>145</v>
      </c>
    </row>
    <row r="146" spans="2:15" ht="15" customHeight="1">
      <c r="B146" s="2370">
        <v>8</v>
      </c>
      <c r="D146" s="2377">
        <v>3175</v>
      </c>
      <c r="E146">
        <v>879</v>
      </c>
      <c r="F146" s="2370">
        <v>305</v>
      </c>
      <c r="G146" s="2370">
        <v>43</v>
      </c>
      <c r="H146" s="2370">
        <v>11</v>
      </c>
      <c r="J146" s="1179">
        <f t="shared" si="8"/>
        <v>4413</v>
      </c>
      <c r="O146" s="21">
        <f>ROW()</f>
        <v>146</v>
      </c>
    </row>
    <row r="147" spans="2:15" ht="15" customHeight="1">
      <c r="B147" s="2370">
        <v>9</v>
      </c>
      <c r="D147" s="2377">
        <v>3390</v>
      </c>
      <c r="E147">
        <v>587</v>
      </c>
      <c r="F147" s="2370">
        <v>321</v>
      </c>
      <c r="G147" s="2370">
        <v>60</v>
      </c>
      <c r="H147" s="2370">
        <v>20</v>
      </c>
      <c r="J147" s="1179">
        <f t="shared" si="8"/>
        <v>4378</v>
      </c>
      <c r="O147" s="21">
        <f>ROW()</f>
        <v>147</v>
      </c>
    </row>
    <row r="148" spans="2:15" ht="15" customHeight="1">
      <c r="B148" s="2370">
        <v>10</v>
      </c>
      <c r="D148" s="2377">
        <v>3307</v>
      </c>
      <c r="E148">
        <v>292</v>
      </c>
      <c r="F148" s="2370">
        <v>251</v>
      </c>
      <c r="G148" s="2370">
        <v>57</v>
      </c>
      <c r="H148" s="2370">
        <v>19</v>
      </c>
      <c r="J148" s="1179">
        <f t="shared" si="8"/>
        <v>3926</v>
      </c>
      <c r="O148" s="21">
        <f>ROW()</f>
        <v>148</v>
      </c>
    </row>
    <row r="149" spans="2:15" ht="15" customHeight="1">
      <c r="B149" s="2370">
        <v>11</v>
      </c>
      <c r="D149" s="2377">
        <v>2854</v>
      </c>
      <c r="E149">
        <v>209</v>
      </c>
      <c r="F149" s="2370">
        <v>182</v>
      </c>
      <c r="G149" s="2370">
        <v>58</v>
      </c>
      <c r="H149" s="2370">
        <v>20</v>
      </c>
      <c r="J149" s="1179">
        <f t="shared" si="8"/>
        <v>3323</v>
      </c>
      <c r="O149" s="21">
        <f>ROW()</f>
        <v>149</v>
      </c>
    </row>
    <row r="150" spans="2:15" ht="15" customHeight="1">
      <c r="B150" s="2101" t="s">
        <v>288</v>
      </c>
      <c r="D150" s="2904"/>
      <c r="F150" s="2904"/>
      <c r="G150" s="2904"/>
      <c r="H150" s="2904"/>
      <c r="J150" s="1179">
        <f t="shared" si="8"/>
        <v>0</v>
      </c>
      <c r="O150" s="21">
        <f>ROW()</f>
        <v>150</v>
      </c>
    </row>
    <row r="151" spans="2:15" ht="15" customHeight="1">
      <c r="B151" s="2370">
        <v>12</v>
      </c>
      <c r="D151" s="2377">
        <v>2533</v>
      </c>
      <c r="E151">
        <v>195</v>
      </c>
      <c r="F151" s="2370">
        <v>174</v>
      </c>
      <c r="G151" s="2370">
        <v>55</v>
      </c>
      <c r="H151" s="2370">
        <v>20</v>
      </c>
      <c r="J151" s="1179">
        <f t="shared" si="8"/>
        <v>2977</v>
      </c>
      <c r="O151" s="21">
        <f>ROW()</f>
        <v>151</v>
      </c>
    </row>
    <row r="152" spans="2:15" ht="15" customHeight="1">
      <c r="B152" s="2370">
        <v>1</v>
      </c>
      <c r="D152" s="2377">
        <v>2380</v>
      </c>
      <c r="E152">
        <v>221</v>
      </c>
      <c r="F152" s="2370">
        <v>176</v>
      </c>
      <c r="G152" s="2370">
        <v>37</v>
      </c>
      <c r="H152" s="2370">
        <v>13</v>
      </c>
      <c r="J152" s="1179">
        <f t="shared" si="8"/>
        <v>2827</v>
      </c>
      <c r="O152" s="21">
        <f>ROW()</f>
        <v>152</v>
      </c>
    </row>
    <row r="153" spans="2:15" ht="15" customHeight="1">
      <c r="B153" s="2370">
        <v>2</v>
      </c>
      <c r="D153" s="2377">
        <v>2416</v>
      </c>
      <c r="E153">
        <v>262</v>
      </c>
      <c r="F153" s="2370">
        <v>155</v>
      </c>
      <c r="G153" s="2370">
        <v>24</v>
      </c>
      <c r="H153" s="2370">
        <v>13</v>
      </c>
      <c r="J153" s="1179">
        <f t="shared" si="8"/>
        <v>2870</v>
      </c>
      <c r="O153" s="21">
        <f>ROW()</f>
        <v>153</v>
      </c>
    </row>
    <row r="154" spans="2:15" ht="15" customHeight="1">
      <c r="B154" s="2370">
        <v>3</v>
      </c>
      <c r="D154" s="2377">
        <v>2379</v>
      </c>
      <c r="E154">
        <v>373</v>
      </c>
      <c r="F154" s="2370">
        <v>109</v>
      </c>
      <c r="G154" s="2370">
        <v>24</v>
      </c>
      <c r="H154" s="2370">
        <v>6</v>
      </c>
      <c r="J154" s="1179">
        <f t="shared" si="8"/>
        <v>2891</v>
      </c>
      <c r="O154" s="21">
        <f>ROW()</f>
        <v>154</v>
      </c>
    </row>
    <row r="155" spans="2:15" ht="15" customHeight="1">
      <c r="B155" s="2370">
        <v>4</v>
      </c>
      <c r="D155" s="2377">
        <v>1944</v>
      </c>
      <c r="E155">
        <v>517</v>
      </c>
      <c r="F155" s="2370">
        <v>86</v>
      </c>
      <c r="G155" s="2370">
        <v>19</v>
      </c>
      <c r="H155" s="2370">
        <v>4</v>
      </c>
      <c r="J155" s="1179">
        <f t="shared" si="8"/>
        <v>2570</v>
      </c>
      <c r="O155" s="21">
        <f>ROW()</f>
        <v>155</v>
      </c>
    </row>
    <row r="156" spans="2:15" ht="15" customHeight="1">
      <c r="B156" s="2370">
        <v>5</v>
      </c>
      <c r="D156" s="2377">
        <v>1578</v>
      </c>
      <c r="E156">
        <v>400</v>
      </c>
      <c r="F156" s="2370">
        <v>51</v>
      </c>
      <c r="G156" s="2370">
        <v>13</v>
      </c>
      <c r="H156" s="2370">
        <v>2</v>
      </c>
      <c r="J156" s="1179">
        <f t="shared" si="8"/>
        <v>2044</v>
      </c>
      <c r="O156" s="21">
        <f>ROW()</f>
        <v>156</v>
      </c>
    </row>
    <row r="157" spans="2:15" ht="15" customHeight="1">
      <c r="B157" s="2370">
        <v>6</v>
      </c>
      <c r="D157" s="2377">
        <v>1912</v>
      </c>
      <c r="E157">
        <v>408</v>
      </c>
      <c r="F157" s="2370">
        <v>52</v>
      </c>
      <c r="G157" s="2370">
        <v>14</v>
      </c>
      <c r="H157" s="2370">
        <v>5</v>
      </c>
      <c r="J157" s="1179">
        <f t="shared" si="8"/>
        <v>2391</v>
      </c>
      <c r="O157" s="21">
        <f>ROW()</f>
        <v>157</v>
      </c>
    </row>
    <row r="158" spans="2:15" ht="15" customHeight="1">
      <c r="B158" s="2370">
        <v>7</v>
      </c>
      <c r="D158" s="2377">
        <v>2182</v>
      </c>
      <c r="E158">
        <v>322</v>
      </c>
      <c r="F158" s="2370">
        <v>47</v>
      </c>
      <c r="G158" s="2370">
        <v>24</v>
      </c>
      <c r="H158" s="2370">
        <v>4</v>
      </c>
      <c r="J158" s="1179">
        <f t="shared" si="8"/>
        <v>2579</v>
      </c>
      <c r="O158" s="21">
        <f>ROW()</f>
        <v>158</v>
      </c>
    </row>
    <row r="159" spans="2:15" ht="15" customHeight="1">
      <c r="B159" s="2370">
        <v>8</v>
      </c>
      <c r="D159" s="2377">
        <v>1933</v>
      </c>
      <c r="E159">
        <v>225</v>
      </c>
      <c r="F159" s="2370">
        <v>32</v>
      </c>
      <c r="G159" s="2370">
        <v>44</v>
      </c>
      <c r="H159" s="2370">
        <v>7</v>
      </c>
      <c r="J159" s="1179">
        <f t="shared" si="8"/>
        <v>2241</v>
      </c>
      <c r="O159" s="21">
        <f>ROW()</f>
        <v>159</v>
      </c>
    </row>
    <row r="160" spans="2:15" ht="15" customHeight="1">
      <c r="B160" s="2370">
        <v>9</v>
      </c>
      <c r="D160" s="2377">
        <v>1886</v>
      </c>
      <c r="E160">
        <v>164</v>
      </c>
      <c r="F160" s="2370">
        <v>36</v>
      </c>
      <c r="G160" s="2370">
        <v>48</v>
      </c>
      <c r="H160" s="2370">
        <v>8</v>
      </c>
      <c r="J160" s="1179">
        <f t="shared" si="8"/>
        <v>2142</v>
      </c>
      <c r="O160" s="21">
        <f>ROW()</f>
        <v>160</v>
      </c>
    </row>
    <row r="161" spans="2:15" ht="15" customHeight="1">
      <c r="B161" s="2370">
        <v>10</v>
      </c>
      <c r="D161" s="2377">
        <v>1839</v>
      </c>
      <c r="E161" s="1">
        <v>138</v>
      </c>
      <c r="F161" s="2370">
        <v>34</v>
      </c>
      <c r="G161" s="2370">
        <v>54</v>
      </c>
      <c r="H161" s="2370">
        <v>9</v>
      </c>
      <c r="J161" s="1179">
        <f t="shared" si="8"/>
        <v>2074</v>
      </c>
      <c r="O161" s="21">
        <f>ROW()</f>
        <v>161</v>
      </c>
    </row>
    <row r="162" spans="2:15" ht="15" customHeight="1">
      <c r="B162" s="2370">
        <v>11</v>
      </c>
      <c r="D162" s="2377">
        <v>1560</v>
      </c>
      <c r="E162" s="1">
        <v>105</v>
      </c>
      <c r="F162" s="2370">
        <v>42</v>
      </c>
      <c r="G162" s="2370">
        <v>37</v>
      </c>
      <c r="H162" s="2370">
        <v>18</v>
      </c>
      <c r="J162" s="1179">
        <f t="shared" si="8"/>
        <v>1762</v>
      </c>
      <c r="O162" s="21">
        <f>ROW()</f>
        <v>162</v>
      </c>
    </row>
    <row r="163" spans="2:15" ht="15" customHeight="1">
      <c r="B163" s="1816" t="s">
        <v>837</v>
      </c>
      <c r="D163" s="2385">
        <f>SUM(D138:D162)</f>
        <v>49974</v>
      </c>
      <c r="E163" s="2385">
        <f>SUM(E138:E162)</f>
        <v>6808</v>
      </c>
      <c r="F163" s="2385">
        <f>SUM(F138:F162)</f>
        <v>3369</v>
      </c>
      <c r="G163" s="2385">
        <f>SUM(G138:G162)</f>
        <v>1215</v>
      </c>
      <c r="H163" s="2385">
        <f>SUM(H138:H162)</f>
        <v>446</v>
      </c>
      <c r="J163" s="2496">
        <f>SUM(D163:I163)</f>
        <v>61812</v>
      </c>
      <c r="O163" s="21">
        <f>ROW()</f>
        <v>163</v>
      </c>
    </row>
    <row r="164" spans="2:15" ht="15" customHeight="1">
      <c r="B164" s="1816" t="s">
        <v>4936</v>
      </c>
      <c r="D164" s="2905">
        <f>D163/$J163</f>
        <v>0.8084837895554261</v>
      </c>
      <c r="E164" s="2905">
        <f>E163/$J163</f>
        <v>0.11014042580728661</v>
      </c>
      <c r="F164" s="2905">
        <f>F163/$J163</f>
        <v>5.4503979809745681E-2</v>
      </c>
      <c r="G164" s="2905">
        <f>G163/$J163</f>
        <v>1.9656377402446128E-2</v>
      </c>
      <c r="H164" s="2905">
        <f>H163/$J163</f>
        <v>7.215427425095451E-3</v>
      </c>
      <c r="J164" s="2082">
        <f>SUM(D164:I164)</f>
        <v>0.99999999999999978</v>
      </c>
      <c r="O164" s="21">
        <f>ROW()</f>
        <v>164</v>
      </c>
    </row>
    <row r="165" spans="2:15" ht="15" customHeight="1">
      <c r="B165" s="1816" t="s">
        <v>4941</v>
      </c>
      <c r="D165" s="2905">
        <f>D163/($J163-$E163)</f>
        <v>0.9085521053014326</v>
      </c>
      <c r="F165" s="2905">
        <f>F163/($J163-$E163)</f>
        <v>6.125009090247982E-2</v>
      </c>
      <c r="G165" s="2905">
        <f>G163/($J163-$E163)</f>
        <v>2.2089302596174823E-2</v>
      </c>
      <c r="H165" s="2905">
        <f>H163/($J163-$E163)</f>
        <v>8.1085011999127328E-3</v>
      </c>
      <c r="J165" s="2082">
        <f>SUM(D165:I165)</f>
        <v>0.99999999999999989</v>
      </c>
      <c r="O165" s="21">
        <f>ROW()</f>
        <v>165</v>
      </c>
    </row>
    <row r="166" spans="2:15" ht="15" customHeight="1">
      <c r="B166" s="1816" t="s">
        <v>4940</v>
      </c>
      <c r="D166" s="2905">
        <f>D165</f>
        <v>0.9085521053014326</v>
      </c>
      <c r="F166" s="4597">
        <f>SUM(F165:H165)</f>
        <v>9.1447894698567372E-2</v>
      </c>
      <c r="G166" s="4597"/>
      <c r="H166" s="4597"/>
      <c r="J166" s="2082">
        <f>SUM(D166:I166)</f>
        <v>1</v>
      </c>
      <c r="O166" s="21">
        <f>ROW()</f>
        <v>166</v>
      </c>
    </row>
    <row r="167" spans="2:15" ht="15" customHeight="1">
      <c r="O167" s="21">
        <f>ROW()</f>
        <v>167</v>
      </c>
    </row>
    <row r="168" spans="2:15" ht="15" customHeight="1">
      <c r="B168" s="24" t="s">
        <v>5873</v>
      </c>
      <c r="O168" s="21">
        <f>ROW()</f>
        <v>168</v>
      </c>
    </row>
    <row r="169" spans="2:15" ht="15" customHeight="1">
      <c r="O169" s="21">
        <f>ROW()</f>
        <v>169</v>
      </c>
    </row>
    <row r="170" spans="2:15" ht="15" customHeight="1">
      <c r="B170" s="1" t="s">
        <v>5874</v>
      </c>
      <c r="J170">
        <v>1.5</v>
      </c>
      <c r="O170" s="21">
        <f>ROW()</f>
        <v>170</v>
      </c>
    </row>
    <row r="171" spans="2:15" ht="15" customHeight="1">
      <c r="B171" s="265" t="s">
        <v>768</v>
      </c>
      <c r="O171" s="21">
        <f>ROW()</f>
        <v>171</v>
      </c>
    </row>
    <row r="186" spans="4:15" ht="15" customHeight="1">
      <c r="D186" s="2925"/>
      <c r="E186" s="2925"/>
      <c r="F186" s="2925"/>
      <c r="G186" s="2925"/>
      <c r="H186" s="2925"/>
      <c r="I186" s="2925"/>
      <c r="J186" s="2925"/>
      <c r="K186" s="2921"/>
      <c r="L186" s="2921"/>
      <c r="M186" s="2921"/>
      <c r="N186" s="2921"/>
      <c r="O186" s="2921"/>
    </row>
  </sheetData>
  <mergeCells count="41">
    <mergeCell ref="F166:H166"/>
    <mergeCell ref="F63:H63"/>
    <mergeCell ref="D133:D136"/>
    <mergeCell ref="F133:F136"/>
    <mergeCell ref="G133:G136"/>
    <mergeCell ref="H133:H136"/>
    <mergeCell ref="B77:I78"/>
    <mergeCell ref="B93:I94"/>
    <mergeCell ref="D84:D88"/>
    <mergeCell ref="E84:E88"/>
    <mergeCell ref="B98:I99"/>
    <mergeCell ref="B74:I75"/>
    <mergeCell ref="D126:J127"/>
    <mergeCell ref="B125:C125"/>
    <mergeCell ref="B117:C117"/>
    <mergeCell ref="D118:J119"/>
    <mergeCell ref="B7:I9"/>
    <mergeCell ref="B26:I30"/>
    <mergeCell ref="B18:I20"/>
    <mergeCell ref="B22:I24"/>
    <mergeCell ref="B34:I36"/>
    <mergeCell ref="B13:I14"/>
    <mergeCell ref="J133:J136"/>
    <mergeCell ref="E133:E136"/>
    <mergeCell ref="B115:C115"/>
    <mergeCell ref="B111:C111"/>
    <mergeCell ref="B121:C121"/>
    <mergeCell ref="J52:J55"/>
    <mergeCell ref="B38:I42"/>
    <mergeCell ref="B44:I46"/>
    <mergeCell ref="B48:I49"/>
    <mergeCell ref="D52:D55"/>
    <mergeCell ref="E52:E55"/>
    <mergeCell ref="F52:F55"/>
    <mergeCell ref="G52:G55"/>
    <mergeCell ref="H67:I67"/>
    <mergeCell ref="B104:C105"/>
    <mergeCell ref="F61:H61"/>
    <mergeCell ref="F62:H62"/>
    <mergeCell ref="H52:H55"/>
    <mergeCell ref="F60:H60"/>
  </mergeCells>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26"/>
  <dimension ref="B1:X613"/>
  <sheetViews>
    <sheetView showGridLines="0" showRuler="0" zoomScaleNormal="100" workbookViewId="0"/>
  </sheetViews>
  <sheetFormatPr defaultColWidth="11.75" defaultRowHeight="15" customHeight="1"/>
  <cols>
    <col min="1" max="1" width="2.75" customWidth="1"/>
    <col min="2" max="14" width="11.375" customWidth="1"/>
    <col min="15" max="15" width="1.75" style="117" customWidth="1"/>
  </cols>
  <sheetData>
    <row r="1" spans="2:15" ht="15" customHeight="1">
      <c r="O1" s="117">
        <f>ROW()</f>
        <v>1</v>
      </c>
    </row>
    <row r="2" spans="2:15" ht="15" customHeight="1">
      <c r="B2" s="115" t="s">
        <v>2343</v>
      </c>
      <c r="K2" s="181">
        <f>'Title Page'!K1</f>
        <v>40914</v>
      </c>
      <c r="O2" s="117">
        <f>ROW()</f>
        <v>2</v>
      </c>
    </row>
    <row r="3" spans="2:15" ht="15" customHeight="1">
      <c r="B3" s="115"/>
      <c r="H3" s="181"/>
      <c r="O3" s="117">
        <f>ROW()</f>
        <v>3</v>
      </c>
    </row>
    <row r="4" spans="2:15" ht="15" customHeight="1">
      <c r="B4" s="115"/>
      <c r="H4" s="181"/>
      <c r="O4" s="117">
        <f>ROW()</f>
        <v>4</v>
      </c>
    </row>
    <row r="5" spans="2:15" ht="15" customHeight="1">
      <c r="B5" s="4605" t="s">
        <v>3204</v>
      </c>
      <c r="C5" s="3659"/>
      <c r="D5" s="3659"/>
      <c r="E5" s="3659"/>
      <c r="F5" s="3659"/>
      <c r="G5" s="3659"/>
      <c r="H5" s="3659"/>
      <c r="I5" s="3659"/>
      <c r="J5" s="3659"/>
      <c r="K5" s="3659"/>
      <c r="L5" s="3659"/>
      <c r="M5" s="3659"/>
      <c r="O5" s="117">
        <f>ROW()</f>
        <v>5</v>
      </c>
    </row>
    <row r="6" spans="2:15" ht="15" customHeight="1">
      <c r="B6" s="3659"/>
      <c r="C6" s="3659"/>
      <c r="D6" s="3659"/>
      <c r="E6" s="3659"/>
      <c r="F6" s="3659"/>
      <c r="G6" s="3659"/>
      <c r="H6" s="3659"/>
      <c r="I6" s="3659"/>
      <c r="J6" s="3659"/>
      <c r="K6" s="3659"/>
      <c r="L6" s="3659"/>
      <c r="M6" s="3659"/>
      <c r="O6" s="117">
        <f>ROW()</f>
        <v>6</v>
      </c>
    </row>
    <row r="7" spans="2:15" ht="15" customHeight="1">
      <c r="B7" s="3659"/>
      <c r="C7" s="3659"/>
      <c r="D7" s="3659"/>
      <c r="E7" s="3659"/>
      <c r="F7" s="3659"/>
      <c r="G7" s="3659"/>
      <c r="H7" s="3659"/>
      <c r="I7" s="3659"/>
      <c r="J7" s="3659"/>
      <c r="K7" s="3659"/>
      <c r="L7" s="3659"/>
      <c r="M7" s="3659"/>
      <c r="O7" s="117">
        <f>ROW()</f>
        <v>7</v>
      </c>
    </row>
    <row r="8" spans="2:15" ht="15" customHeight="1">
      <c r="B8" s="879"/>
      <c r="C8" s="879"/>
      <c r="D8" s="879"/>
      <c r="E8" s="879"/>
      <c r="F8" s="879"/>
      <c r="G8" s="879"/>
      <c r="H8" s="879"/>
      <c r="I8" s="879"/>
      <c r="J8" s="879"/>
      <c r="K8" s="879"/>
      <c r="L8" s="879"/>
      <c r="M8" s="879"/>
      <c r="O8" s="117">
        <f>ROW()</f>
        <v>8</v>
      </c>
    </row>
    <row r="9" spans="2:15" ht="15" customHeight="1">
      <c r="B9" s="312" t="s">
        <v>5042</v>
      </c>
      <c r="C9" s="281"/>
      <c r="D9" s="281"/>
      <c r="E9" s="281"/>
      <c r="F9" s="281"/>
      <c r="G9" s="281"/>
      <c r="H9" s="281"/>
      <c r="I9" s="281"/>
      <c r="J9" s="281"/>
      <c r="K9" s="281"/>
      <c r="L9" s="281"/>
      <c r="M9" s="281"/>
      <c r="O9" s="117">
        <f>ROW()</f>
        <v>9</v>
      </c>
    </row>
    <row r="10" spans="2:15" ht="15" customHeight="1">
      <c r="B10" s="312"/>
      <c r="C10" s="281"/>
      <c r="D10" s="281"/>
      <c r="E10" s="281"/>
      <c r="F10" s="281"/>
      <c r="G10" s="281"/>
      <c r="H10" s="281"/>
      <c r="I10" s="281"/>
      <c r="J10" s="281"/>
      <c r="K10" s="281"/>
      <c r="L10" s="281"/>
      <c r="M10" s="281"/>
      <c r="O10" s="117">
        <f>ROW()</f>
        <v>10</v>
      </c>
    </row>
    <row r="11" spans="2:15" ht="15" customHeight="1">
      <c r="B11" s="312" t="s">
        <v>5031</v>
      </c>
      <c r="C11" s="281"/>
      <c r="D11" s="281"/>
      <c r="E11" s="281"/>
      <c r="F11" s="281"/>
      <c r="G11" s="281"/>
      <c r="H11" s="281"/>
      <c r="I11" s="281"/>
      <c r="J11" s="281"/>
      <c r="K11" s="281"/>
      <c r="L11" s="281"/>
      <c r="M11" s="281"/>
      <c r="O11" s="117">
        <f>ROW()</f>
        <v>11</v>
      </c>
    </row>
    <row r="12" spans="2:15" ht="15" customHeight="1">
      <c r="B12" s="312" t="s">
        <v>5032</v>
      </c>
      <c r="C12" s="879"/>
      <c r="D12" s="879"/>
      <c r="E12" s="879"/>
      <c r="F12" s="879"/>
      <c r="G12" s="879"/>
      <c r="H12" s="879"/>
      <c r="I12" s="879"/>
      <c r="J12" s="879"/>
      <c r="K12" s="879"/>
      <c r="L12" s="879"/>
      <c r="M12" s="879"/>
      <c r="O12" s="117">
        <f>ROW()</f>
        <v>12</v>
      </c>
    </row>
    <row r="13" spans="2:15" ht="15" customHeight="1">
      <c r="B13" s="312" t="s">
        <v>5035</v>
      </c>
      <c r="O13" s="117">
        <f>ROW()</f>
        <v>13</v>
      </c>
    </row>
    <row r="14" spans="2:15" s="3608" customFormat="1" ht="15" customHeight="1">
      <c r="B14" s="312" t="s">
        <v>6444</v>
      </c>
      <c r="O14" s="117">
        <f>ROW()</f>
        <v>14</v>
      </c>
    </row>
    <row r="15" spans="2:15" ht="15" customHeight="1">
      <c r="B15" s="312" t="s">
        <v>6382</v>
      </c>
      <c r="O15" s="117">
        <f>ROW()</f>
        <v>15</v>
      </c>
    </row>
    <row r="16" spans="2:15" ht="15" customHeight="1">
      <c r="B16" s="312" t="s">
        <v>6383</v>
      </c>
      <c r="O16" s="117">
        <f>ROW()</f>
        <v>16</v>
      </c>
    </row>
    <row r="17" spans="2:15" ht="15" customHeight="1">
      <c r="B17" s="312" t="s">
        <v>6384</v>
      </c>
      <c r="O17" s="117">
        <f>ROW()</f>
        <v>17</v>
      </c>
    </row>
    <row r="18" spans="2:15" ht="15" customHeight="1">
      <c r="B18" s="312" t="s">
        <v>6385</v>
      </c>
      <c r="O18" s="117">
        <f>ROW()</f>
        <v>18</v>
      </c>
    </row>
    <row r="19" spans="2:15" ht="15" customHeight="1">
      <c r="B19" s="312" t="s">
        <v>6386</v>
      </c>
      <c r="O19" s="117">
        <f>ROW()</f>
        <v>19</v>
      </c>
    </row>
    <row r="20" spans="2:15" ht="15" customHeight="1">
      <c r="B20" s="312" t="s">
        <v>6387</v>
      </c>
      <c r="C20" s="1952"/>
      <c r="D20" s="1952"/>
      <c r="E20" s="1952"/>
      <c r="F20" s="1952"/>
      <c r="G20" s="1952"/>
      <c r="H20" s="1952"/>
      <c r="I20" s="1952"/>
      <c r="J20" s="1952"/>
      <c r="K20" s="1952"/>
      <c r="L20" s="1952"/>
      <c r="M20" s="1952"/>
      <c r="O20" s="117">
        <f>ROW()</f>
        <v>20</v>
      </c>
    </row>
    <row r="21" spans="2:15" ht="15" customHeight="1">
      <c r="B21" s="312" t="s">
        <v>6388</v>
      </c>
      <c r="C21" s="1952"/>
      <c r="D21" s="1952"/>
      <c r="E21" s="1952"/>
      <c r="F21" s="1952"/>
      <c r="G21" s="1952"/>
      <c r="H21" s="1952"/>
      <c r="I21" s="1952"/>
      <c r="J21" s="1952"/>
      <c r="K21" s="1952"/>
      <c r="L21" s="1952"/>
      <c r="M21" s="1952"/>
      <c r="O21" s="117">
        <f>ROW()</f>
        <v>21</v>
      </c>
    </row>
    <row r="22" spans="2:15" ht="15" customHeight="1">
      <c r="B22" s="312" t="s">
        <v>6389</v>
      </c>
      <c r="O22" s="117">
        <f>ROW()</f>
        <v>22</v>
      </c>
    </row>
    <row r="23" spans="2:15" s="3600" customFormat="1" ht="15" customHeight="1">
      <c r="B23" s="312" t="s">
        <v>6390</v>
      </c>
      <c r="O23" s="117">
        <f>ROW()</f>
        <v>23</v>
      </c>
    </row>
    <row r="24" spans="2:15" ht="15" customHeight="1">
      <c r="B24" s="312" t="s">
        <v>6391</v>
      </c>
      <c r="O24" s="117">
        <f>ROW()</f>
        <v>24</v>
      </c>
    </row>
    <row r="25" spans="2:15" ht="15" customHeight="1">
      <c r="B25" s="312" t="s">
        <v>6392</v>
      </c>
      <c r="O25" s="117">
        <f>ROW()</f>
        <v>25</v>
      </c>
    </row>
    <row r="26" spans="2:15" ht="15" customHeight="1">
      <c r="B26" s="280"/>
      <c r="O26" s="117">
        <f>ROW()</f>
        <v>26</v>
      </c>
    </row>
    <row r="27" spans="2:15" ht="15" customHeight="1">
      <c r="B27" s="467" t="s">
        <v>4984</v>
      </c>
      <c r="O27" s="117">
        <f>ROW()</f>
        <v>27</v>
      </c>
    </row>
    <row r="28" spans="2:15" ht="15" customHeight="1">
      <c r="B28" s="518"/>
      <c r="O28" s="117">
        <f>ROW()</f>
        <v>28</v>
      </c>
    </row>
    <row r="29" spans="2:15" ht="15" customHeight="1">
      <c r="B29" s="518" t="s">
        <v>4985</v>
      </c>
      <c r="K29" s="4676" t="s">
        <v>4995</v>
      </c>
      <c r="L29" s="4677"/>
      <c r="M29" s="4677"/>
      <c r="N29" s="4678"/>
      <c r="O29" s="117">
        <f>ROW()</f>
        <v>29</v>
      </c>
    </row>
    <row r="30" spans="2:15" ht="15" customHeight="1">
      <c r="B30" s="2936">
        <v>2.5</v>
      </c>
      <c r="C30" s="1" t="s">
        <v>4999</v>
      </c>
      <c r="K30" s="2918"/>
      <c r="L30" s="1893" t="s">
        <v>4987</v>
      </c>
      <c r="M30" s="1893" t="s">
        <v>4988</v>
      </c>
      <c r="N30" s="2929" t="s">
        <v>677</v>
      </c>
      <c r="O30" s="117">
        <f>ROW()</f>
        <v>30</v>
      </c>
    </row>
    <row r="31" spans="2:15" ht="15" customHeight="1">
      <c r="B31" s="2936">
        <v>0.4</v>
      </c>
      <c r="C31" s="1" t="s">
        <v>5000</v>
      </c>
      <c r="K31" s="2918"/>
      <c r="L31" s="2911">
        <v>4</v>
      </c>
      <c r="M31" s="2911">
        <v>10</v>
      </c>
      <c r="N31" s="2912">
        <f>24-L31-M31</f>
        <v>10</v>
      </c>
      <c r="O31" s="117">
        <f>ROW()</f>
        <v>31</v>
      </c>
    </row>
    <row r="32" spans="2:15" ht="15" customHeight="1">
      <c r="B32" s="1510">
        <v>0.2</v>
      </c>
      <c r="C32" s="1" t="s">
        <v>5012</v>
      </c>
      <c r="F32" s="171">
        <v>6</v>
      </c>
      <c r="K32" s="2930" t="s">
        <v>5299</v>
      </c>
      <c r="L32" s="2931">
        <f>L31/24</f>
        <v>0.16666666666666666</v>
      </c>
      <c r="M32" s="2931">
        <f>M31/24</f>
        <v>0.41666666666666669</v>
      </c>
      <c r="N32" s="2932">
        <f>N31/24</f>
        <v>0.41666666666666669</v>
      </c>
      <c r="O32" s="117">
        <f>ROW()</f>
        <v>32</v>
      </c>
    </row>
    <row r="33" spans="2:15" ht="15" customHeight="1">
      <c r="B33" s="2937">
        <v>1</v>
      </c>
      <c r="C33" s="1" t="s">
        <v>5011</v>
      </c>
      <c r="F33" s="171">
        <v>12</v>
      </c>
      <c r="K33" s="2930" t="s">
        <v>4990</v>
      </c>
      <c r="L33" s="629">
        <v>0.2</v>
      </c>
      <c r="M33" s="629">
        <v>0.35</v>
      </c>
      <c r="N33" s="2933">
        <f>1-M33-L33</f>
        <v>0.45</v>
      </c>
      <c r="O33" s="117">
        <f>ROW()</f>
        <v>33</v>
      </c>
    </row>
    <row r="34" spans="2:15" ht="15" customHeight="1">
      <c r="B34" s="1815" t="s">
        <v>4986</v>
      </c>
      <c r="K34" s="844" t="s">
        <v>4991</v>
      </c>
      <c r="L34" s="2911"/>
      <c r="M34" s="2911"/>
      <c r="N34" s="2912"/>
      <c r="O34" s="117">
        <f>ROW()</f>
        <v>34</v>
      </c>
    </row>
    <row r="35" spans="2:15" ht="15" customHeight="1">
      <c r="B35" s="316" t="s">
        <v>4993</v>
      </c>
      <c r="G35" s="2934">
        <f>1/2</f>
        <v>0.5</v>
      </c>
      <c r="K35" s="2930" t="s">
        <v>4691</v>
      </c>
      <c r="L35" s="2934">
        <f>G36</f>
        <v>1</v>
      </c>
      <c r="M35" s="2934">
        <f>G35</f>
        <v>0.5</v>
      </c>
      <c r="N35" s="2935">
        <v>0</v>
      </c>
      <c r="O35" s="117">
        <f>ROW()</f>
        <v>35</v>
      </c>
    </row>
    <row r="36" spans="2:15" ht="15" customHeight="1">
      <c r="B36" s="316" t="s">
        <v>4994</v>
      </c>
      <c r="G36" s="2934">
        <v>1</v>
      </c>
      <c r="K36" s="3605" t="s">
        <v>5010</v>
      </c>
      <c r="L36" s="4674">
        <f>SUMPRODUCT(L35:N35,L33:N33)</f>
        <v>0.375</v>
      </c>
      <c r="M36" s="4674"/>
      <c r="N36" s="4675"/>
      <c r="O36" s="117">
        <f>ROW()</f>
        <v>36</v>
      </c>
    </row>
    <row r="37" spans="2:15" ht="15" customHeight="1">
      <c r="B37" s="316" t="s">
        <v>4998</v>
      </c>
      <c r="G37" s="2934">
        <f>1/2</f>
        <v>0.5</v>
      </c>
      <c r="K37" s="493" t="s">
        <v>4992</v>
      </c>
      <c r="L37" s="2913"/>
      <c r="M37" s="2913"/>
      <c r="N37" s="2914"/>
      <c r="O37" s="117">
        <f>ROW()</f>
        <v>37</v>
      </c>
    </row>
    <row r="38" spans="2:15" ht="15" customHeight="1">
      <c r="B38" s="4182" t="s">
        <v>6209</v>
      </c>
      <c r="C38" s="3726"/>
      <c r="D38" s="3726"/>
      <c r="E38" s="3726"/>
      <c r="F38" s="3726"/>
      <c r="G38" s="3726"/>
      <c r="O38" s="117">
        <f>ROW()</f>
        <v>38</v>
      </c>
    </row>
    <row r="39" spans="2:15" ht="15" customHeight="1">
      <c r="B39" s="3726"/>
      <c r="C39" s="3726"/>
      <c r="D39" s="3726"/>
      <c r="E39" s="3726"/>
      <c r="F39" s="3726"/>
      <c r="G39" s="3726"/>
      <c r="K39" s="4676" t="s">
        <v>4996</v>
      </c>
      <c r="L39" s="4677"/>
      <c r="M39" s="4677"/>
      <c r="N39" s="4678"/>
      <c r="O39" s="117">
        <f>ROW()</f>
        <v>39</v>
      </c>
    </row>
    <row r="40" spans="2:15" ht="15" customHeight="1">
      <c r="K40" s="2918"/>
      <c r="L40" s="1893" t="s">
        <v>4987</v>
      </c>
      <c r="M40" s="1893" t="s">
        <v>4988</v>
      </c>
      <c r="N40" s="2929" t="s">
        <v>677</v>
      </c>
      <c r="O40" s="117">
        <f>ROW()</f>
        <v>40</v>
      </c>
    </row>
    <row r="41" spans="2:15" ht="15" customHeight="1">
      <c r="B41" s="518" t="s">
        <v>5013</v>
      </c>
      <c r="G41" s="1892" t="s">
        <v>781</v>
      </c>
      <c r="I41" s="1892" t="s">
        <v>1975</v>
      </c>
      <c r="K41" s="2918"/>
      <c r="L41" s="2911">
        <v>4</v>
      </c>
      <c r="M41" s="2911">
        <v>10</v>
      </c>
      <c r="N41" s="2912">
        <f>24-L41-M41</f>
        <v>10</v>
      </c>
      <c r="O41" s="117">
        <f>ROW()</f>
        <v>41</v>
      </c>
    </row>
    <row r="42" spans="2:15" ht="15" customHeight="1">
      <c r="B42" s="3629" t="s">
        <v>1521</v>
      </c>
      <c r="C42" s="3754" t="str">
        <f>CONCATENATE("sum of stndrd drop in Row ",O30, ", NYS surcharge in Row ",O37, ", + night or peak-hr surchrg in Row ",O35, " (wkdays) or ",O45, " (wkends).")</f>
        <v>sum of stndrd drop in Row 30, NYS surcharge in Row 37, + night or peak-hr surchrg in Row 35 (wkdays) or 45 (wkends).</v>
      </c>
      <c r="D42" s="3659"/>
      <c r="E42" s="3659"/>
      <c r="F42" s="3659"/>
      <c r="G42" s="716">
        <f>$B$30+$G$37+$L$36</f>
        <v>3.375</v>
      </c>
      <c r="I42" s="716">
        <f>$B$30+$G$37+L46</f>
        <v>3.2250000000000001</v>
      </c>
      <c r="K42" s="2930" t="s">
        <v>4989</v>
      </c>
      <c r="L42" s="2931">
        <f>L41/24</f>
        <v>0.16666666666666666</v>
      </c>
      <c r="M42" s="2931">
        <f>M41/24</f>
        <v>0.41666666666666669</v>
      </c>
      <c r="N42" s="2932">
        <f>N41/24</f>
        <v>0.41666666666666669</v>
      </c>
      <c r="O42" s="117">
        <f>ROW()</f>
        <v>42</v>
      </c>
    </row>
    <row r="43" spans="2:15" ht="15" customHeight="1">
      <c r="B43" s="1591"/>
      <c r="C43" s="3659"/>
      <c r="D43" s="3659"/>
      <c r="E43" s="3659"/>
      <c r="F43" s="3659"/>
      <c r="K43" s="2930" t="s">
        <v>4990</v>
      </c>
      <c r="L43" s="629">
        <v>0.2</v>
      </c>
      <c r="M43" s="629">
        <v>0.45</v>
      </c>
      <c r="N43" s="2933">
        <f>1-M43-L43</f>
        <v>0.35000000000000003</v>
      </c>
      <c r="O43" s="117">
        <f>ROW()</f>
        <v>43</v>
      </c>
    </row>
    <row r="44" spans="2:15" ht="15" customHeight="1">
      <c r="B44" s="3629" t="s">
        <v>2896</v>
      </c>
      <c r="C44" s="265" t="s">
        <v>5001</v>
      </c>
      <c r="E44" s="716"/>
      <c r="F44" s="716"/>
      <c r="G44" s="716">
        <f>$B$31/$B$32</f>
        <v>2</v>
      </c>
      <c r="I44" s="716">
        <f>$B$31/$B$32</f>
        <v>2</v>
      </c>
      <c r="K44" s="844" t="s">
        <v>4997</v>
      </c>
      <c r="L44" s="2911"/>
      <c r="M44" s="2911"/>
      <c r="N44" s="2912"/>
      <c r="O44" s="117">
        <f>ROW()</f>
        <v>44</v>
      </c>
    </row>
    <row r="45" spans="2:15" ht="15" customHeight="1">
      <c r="B45" s="3629" t="s">
        <v>429</v>
      </c>
      <c r="C45" s="265" t="s">
        <v>5002</v>
      </c>
      <c r="E45" s="716"/>
      <c r="F45" s="716"/>
      <c r="G45" s="716">
        <f>$B$31*60/$B$33</f>
        <v>24</v>
      </c>
      <c r="I45" s="716">
        <f>$B$31*60/$B$33</f>
        <v>24</v>
      </c>
      <c r="K45" s="2930" t="s">
        <v>4691</v>
      </c>
      <c r="L45" s="2934">
        <v>0</v>
      </c>
      <c r="M45" s="2934">
        <f>G35</f>
        <v>0.5</v>
      </c>
      <c r="N45" s="2935">
        <v>0</v>
      </c>
      <c r="O45" s="117">
        <f>ROW()</f>
        <v>45</v>
      </c>
    </row>
    <row r="46" spans="2:15" ht="15" customHeight="1">
      <c r="K46" s="3605" t="s">
        <v>5010</v>
      </c>
      <c r="L46" s="4674">
        <f>SUMPRODUCT(L45:N45,L43:N43)</f>
        <v>0.22500000000000001</v>
      </c>
      <c r="M46" s="4674"/>
      <c r="N46" s="4675"/>
      <c r="O46" s="117">
        <f>ROW()</f>
        <v>46</v>
      </c>
    </row>
    <row r="47" spans="2:15" ht="15" customHeight="1">
      <c r="B47" s="518" t="s">
        <v>6247</v>
      </c>
      <c r="K47" s="493" t="s">
        <v>4992</v>
      </c>
      <c r="L47" s="2913"/>
      <c r="M47" s="2913"/>
      <c r="N47" s="2914"/>
      <c r="O47" s="117">
        <f>ROW()</f>
        <v>47</v>
      </c>
    </row>
    <row r="48" spans="2:15" ht="15" customHeight="1">
      <c r="B48" s="1815" t="s">
        <v>5014</v>
      </c>
      <c r="D48" s="23"/>
      <c r="E48" s="23"/>
      <c r="F48" s="716"/>
      <c r="G48" s="716"/>
      <c r="H48" s="716"/>
      <c r="O48" s="117">
        <f>ROW()</f>
        <v>48</v>
      </c>
    </row>
    <row r="49" spans="2:15" ht="15" customHeight="1">
      <c r="B49" s="1406" t="s">
        <v>2896</v>
      </c>
      <c r="D49" s="7" t="s">
        <v>5016</v>
      </c>
      <c r="J49">
        <v>3</v>
      </c>
      <c r="K49">
        <v>3</v>
      </c>
      <c r="L49">
        <f>L79</f>
        <v>2.8</v>
      </c>
      <c r="M49">
        <v>2.19</v>
      </c>
      <c r="N49">
        <f>L49</f>
        <v>2.8</v>
      </c>
      <c r="O49" s="117">
        <f>ROW()</f>
        <v>49</v>
      </c>
    </row>
    <row r="50" spans="2:15" ht="15" customHeight="1">
      <c r="B50" s="1406" t="s">
        <v>5003</v>
      </c>
      <c r="D50" s="7" t="s">
        <v>5016</v>
      </c>
      <c r="J50">
        <v>10</v>
      </c>
      <c r="K50">
        <v>12</v>
      </c>
      <c r="L50" s="2943">
        <v>10</v>
      </c>
      <c r="M50">
        <v>6.8</v>
      </c>
      <c r="N50" s="2943">
        <f>L50*'Motor Vs Weekends'!H933/'Motor Vs'!H933</f>
        <v>12.406800428282004</v>
      </c>
      <c r="O50" s="117">
        <f>ROW()</f>
        <v>50</v>
      </c>
    </row>
    <row r="51" spans="2:15" ht="15" customHeight="1">
      <c r="B51" s="1406" t="s">
        <v>5019</v>
      </c>
      <c r="G51" s="265" t="s">
        <v>5017</v>
      </c>
      <c r="J51">
        <v>0.5</v>
      </c>
      <c r="K51">
        <v>0.5</v>
      </c>
      <c r="L51">
        <v>0.5</v>
      </c>
      <c r="M51">
        <v>0.5</v>
      </c>
      <c r="N51">
        <v>0.5</v>
      </c>
      <c r="O51" s="117">
        <f>ROW()</f>
        <v>51</v>
      </c>
    </row>
    <row r="52" spans="2:15" ht="15" customHeight="1">
      <c r="B52" s="1815" t="s">
        <v>5015</v>
      </c>
      <c r="E52" s="3919" t="str">
        <f>CONCATENATE("Results to right use Excel's Normal Distribution function, operating on: assumed average speed (Row ",O50, "), std dev calculated w/ factor in Row ",O51, ", and threshold speeds in TLC rate structure shown in Row ",O32, " and ",O33, ".")</f>
        <v>Results to right use Excel's Normal Distribution function, operating on: assumed average speed (Row 50), std dev calculated w/ factor in Row 51, and threshold speeds in TLC rate structure shown in Row 32 and 33.</v>
      </c>
      <c r="F52" s="4109"/>
      <c r="G52" s="4109"/>
      <c r="H52" s="4109"/>
      <c r="I52" s="4462"/>
      <c r="O52" s="117">
        <f>ROW()</f>
        <v>52</v>
      </c>
    </row>
    <row r="53" spans="2:15" ht="15" customHeight="1">
      <c r="B53" s="1406" t="s">
        <v>6445</v>
      </c>
      <c r="E53" s="4110"/>
      <c r="F53" s="4111"/>
      <c r="G53" s="4111"/>
      <c r="H53" s="4111"/>
      <c r="I53" s="4463"/>
      <c r="J53" s="2938">
        <f>1-NORMDIST($F$32,J50,$J$51*J50,TRUE)</f>
        <v>0.78814460141660325</v>
      </c>
      <c r="K53" s="2938">
        <f>1-NORMDIST($F$32,K50,$J$51*K50,TRUE)</f>
        <v>0.84134474606854293</v>
      </c>
      <c r="L53" s="2938">
        <f>1-NORMDIST($F$32,L50,$J$51*L50,TRUE)</f>
        <v>0.78814460141660325</v>
      </c>
      <c r="M53" s="2938">
        <f>1-NORMDIST($F$32,M50,$J$51*M50,TRUE)</f>
        <v>0.59300976979154085</v>
      </c>
      <c r="N53" s="2938">
        <f>1-NORMDIST($F$32,N50,$J$51*N50,TRUE)</f>
        <v>0.8491485576725617</v>
      </c>
      <c r="O53" s="117">
        <f>ROW()</f>
        <v>53</v>
      </c>
    </row>
    <row r="54" spans="2:15" ht="15" customHeight="1">
      <c r="B54" s="1406" t="s">
        <v>6446</v>
      </c>
      <c r="E54" s="4112"/>
      <c r="F54" s="4113"/>
      <c r="G54" s="4113"/>
      <c r="H54" s="4113"/>
      <c r="I54" s="4464"/>
      <c r="J54" s="2939">
        <f>NORMDIST($F$33,J50,$J$51*J50,TRUE)</f>
        <v>0.65542174161032418</v>
      </c>
      <c r="K54" s="2939">
        <f>NORMDIST($F$33,K50,$J$51*K50,TRUE)</f>
        <v>0.5</v>
      </c>
      <c r="L54" s="2939">
        <f>NORMDIST($F$33,L50,$J$51*L50,TRUE)</f>
        <v>0.65542174161032418</v>
      </c>
      <c r="M54" s="2939">
        <f>NORMDIST($F$33,M50,$J$51*M50,TRUE)</f>
        <v>0.93691880112875903</v>
      </c>
      <c r="N54" s="2939">
        <f>NORMDIST($F$33,N50,$J$51*N50,TRUE)</f>
        <v>0.47385729714987401</v>
      </c>
      <c r="O54" s="117">
        <f>ROW()</f>
        <v>54</v>
      </c>
    </row>
    <row r="55" spans="2:15" ht="15" customHeight="1">
      <c r="B55" s="316"/>
      <c r="H55" s="12"/>
      <c r="O55" s="117">
        <f>ROW()</f>
        <v>55</v>
      </c>
    </row>
    <row r="56" spans="2:15" ht="15" customHeight="1">
      <c r="B56" s="1815" t="s">
        <v>5029</v>
      </c>
      <c r="E56" s="2942" t="s">
        <v>2129</v>
      </c>
      <c r="G56" s="3798" t="s">
        <v>5030</v>
      </c>
      <c r="H56" s="3799"/>
      <c r="I56" s="3799"/>
      <c r="J56" s="3799"/>
      <c r="K56" s="3799"/>
      <c r="L56" s="3799"/>
      <c r="M56" s="4217"/>
      <c r="O56" s="117">
        <f>ROW()</f>
        <v>56</v>
      </c>
    </row>
    <row r="57" spans="2:15" ht="15" customHeight="1">
      <c r="B57" s="316"/>
      <c r="G57" s="3800"/>
      <c r="H57" s="3801"/>
      <c r="I57" s="3801"/>
      <c r="J57" s="3801"/>
      <c r="K57" s="3801"/>
      <c r="L57" s="3801"/>
      <c r="M57" s="4098"/>
      <c r="O57" s="117">
        <f>ROW()</f>
        <v>57</v>
      </c>
    </row>
    <row r="58" spans="2:15" ht="15" customHeight="1">
      <c r="B58" s="518" t="s">
        <v>5018</v>
      </c>
      <c r="O58" s="117">
        <f>ROW()</f>
        <v>58</v>
      </c>
    </row>
    <row r="59" spans="2:15" ht="15" customHeight="1">
      <c r="D59" s="3804" t="s">
        <v>5004</v>
      </c>
      <c r="E59" s="3804" t="s">
        <v>5009</v>
      </c>
      <c r="O59" s="117">
        <f>ROW()</f>
        <v>59</v>
      </c>
    </row>
    <row r="60" spans="2:15" ht="15" customHeight="1">
      <c r="B60" s="1892" t="s">
        <v>2896</v>
      </c>
      <c r="C60" s="1892" t="s">
        <v>5003</v>
      </c>
      <c r="D60" s="3807"/>
      <c r="E60" s="3807"/>
      <c r="F60" s="1892" t="s">
        <v>5005</v>
      </c>
      <c r="G60" s="1892" t="s">
        <v>5006</v>
      </c>
      <c r="H60" s="1892" t="s">
        <v>5007</v>
      </c>
      <c r="I60" s="1892" t="s">
        <v>5008</v>
      </c>
      <c r="O60" s="117">
        <f>ROW()</f>
        <v>60</v>
      </c>
    </row>
    <row r="61" spans="2:15" ht="15" customHeight="1">
      <c r="B61" s="3784" t="s">
        <v>2589</v>
      </c>
      <c r="C61" s="3784"/>
      <c r="D61" s="3784"/>
      <c r="E61" s="3784"/>
      <c r="F61" s="3784" t="s">
        <v>1881</v>
      </c>
      <c r="G61" s="3784"/>
      <c r="H61" s="3784"/>
      <c r="I61" s="3784"/>
      <c r="O61" s="117">
        <f>ROW()</f>
        <v>61</v>
      </c>
    </row>
    <row r="62" spans="2:15" ht="15" customHeight="1">
      <c r="B62">
        <f>J49</f>
        <v>3</v>
      </c>
      <c r="C62">
        <f>J50</f>
        <v>10</v>
      </c>
      <c r="D62" s="23">
        <f>J53</f>
        <v>0.78814460141660325</v>
      </c>
      <c r="E62" s="23">
        <f>J54</f>
        <v>0.65542174161032418</v>
      </c>
      <c r="F62" s="716">
        <f>$G$42</f>
        <v>3.375</v>
      </c>
      <c r="G62" s="716">
        <f>(B62-$B$32)*$G$44*IF($E$56="YES",1,D62)</f>
        <v>5.6</v>
      </c>
      <c r="H62" s="716">
        <f>1/$C$62*E62*$G$45</f>
        <v>1.573012179864778</v>
      </c>
      <c r="I62" s="716">
        <f>SUM(F62:H62)</f>
        <v>10.548012179864777</v>
      </c>
      <c r="J62" s="4679" t="str">
        <f>CONCATENATE("Result in table highlighted in same color as this note closely matches Schaller result, shown in Row ",O102, ", adjusted for NYS Surcharge. However, average speed had to be specified to be close or equal to ",L50, " mph to achieve this match.")</f>
        <v>Result in table highlighted in same color as this note closely matches Schaller result, shown in Row 102, adjusted for NYS Surcharge. However, average speed had to be specified to be close or equal to 10 mph to achieve this match.</v>
      </c>
      <c r="K62" s="4680"/>
      <c r="L62" s="4680"/>
      <c r="M62" s="4680"/>
      <c r="N62" s="4681"/>
      <c r="O62" s="117">
        <f>ROW()</f>
        <v>62</v>
      </c>
    </row>
    <row r="63" spans="2:15" ht="15" customHeight="1">
      <c r="B63">
        <f>K49</f>
        <v>3</v>
      </c>
      <c r="C63">
        <f>K50</f>
        <v>12</v>
      </c>
      <c r="D63" s="23">
        <f>K53</f>
        <v>0.84134474606854293</v>
      </c>
      <c r="E63" s="23">
        <f>K54</f>
        <v>0.5</v>
      </c>
      <c r="F63" s="716">
        <f>$G$42</f>
        <v>3.375</v>
      </c>
      <c r="G63" s="716">
        <f>(B63-$B$32)*$G$44*IF($E$56="YES",1,D63)</f>
        <v>5.6</v>
      </c>
      <c r="H63" s="716">
        <f>1/$C$62*E63*$G$45</f>
        <v>1.2000000000000002</v>
      </c>
      <c r="I63" s="716">
        <f>SUM(F63:H63)</f>
        <v>10.175000000000001</v>
      </c>
      <c r="J63" s="3987"/>
      <c r="K63" s="3985"/>
      <c r="L63" s="3985"/>
      <c r="M63" s="3985"/>
      <c r="N63" s="3986"/>
      <c r="O63" s="117">
        <f>ROW()</f>
        <v>63</v>
      </c>
    </row>
    <row r="64" spans="2:15" ht="15" customHeight="1">
      <c r="B64">
        <f>L49</f>
        <v>2.8</v>
      </c>
      <c r="C64">
        <f>L50</f>
        <v>10</v>
      </c>
      <c r="D64" s="23">
        <f>L53</f>
        <v>0.78814460141660325</v>
      </c>
      <c r="E64" s="23">
        <f>L54</f>
        <v>0.65542174161032418</v>
      </c>
      <c r="F64" s="716">
        <f>$G$42</f>
        <v>3.375</v>
      </c>
      <c r="G64" s="716">
        <f>(B64-$B$32)*$G$44*IF($E$56="YES",1,D64)</f>
        <v>5.1999999999999993</v>
      </c>
      <c r="H64" s="716">
        <f>1/$C$62*E64*$G$45</f>
        <v>1.573012179864778</v>
      </c>
      <c r="I64" s="2944">
        <f>SUM(F64:H64)</f>
        <v>10.148012179864777</v>
      </c>
      <c r="J64" s="3987"/>
      <c r="K64" s="3985"/>
      <c r="L64" s="3985"/>
      <c r="M64" s="3985"/>
      <c r="N64" s="3986"/>
      <c r="O64" s="117">
        <f>ROW()</f>
        <v>64</v>
      </c>
    </row>
    <row r="65" spans="2:15" ht="15" customHeight="1">
      <c r="B65">
        <f>M49</f>
        <v>2.19</v>
      </c>
      <c r="C65" s="21">
        <f>M50</f>
        <v>6.8</v>
      </c>
      <c r="D65" s="23">
        <f>M53</f>
        <v>0.59300976979154085</v>
      </c>
      <c r="E65" s="23">
        <f>M54</f>
        <v>0.93691880112875903</v>
      </c>
      <c r="F65" s="716">
        <f>$G$42</f>
        <v>3.375</v>
      </c>
      <c r="G65" s="716">
        <f>(B65-$B$32)*$G$44*IF($E$56="YES",1,D65)</f>
        <v>3.98</v>
      </c>
      <c r="H65" s="716">
        <f>1/$C$62*E65*$G$45</f>
        <v>2.248605122709022</v>
      </c>
      <c r="I65" s="716">
        <f>SUM(F65:H65)</f>
        <v>9.6036051227090233</v>
      </c>
      <c r="J65" s="4682"/>
      <c r="K65" s="4683"/>
      <c r="L65" s="4683"/>
      <c r="M65" s="4683"/>
      <c r="N65" s="4684"/>
      <c r="O65" s="117">
        <f>ROW()</f>
        <v>65</v>
      </c>
    </row>
    <row r="66" spans="2:15" ht="15" customHeight="1">
      <c r="B66">
        <f>N49</f>
        <v>2.8</v>
      </c>
      <c r="C66" s="21">
        <f>N50</f>
        <v>12.406800428282004</v>
      </c>
      <c r="D66" s="23">
        <f>N53</f>
        <v>0.8491485576725617</v>
      </c>
      <c r="E66" s="23">
        <f>N54</f>
        <v>0.47385729714987401</v>
      </c>
      <c r="F66" s="716">
        <f>$G$42</f>
        <v>3.375</v>
      </c>
      <c r="G66" s="716">
        <f>(B66-$B$32)*$G$44*IF($E$56="YES",1,D66)</f>
        <v>5.1999999999999993</v>
      </c>
      <c r="H66" s="716">
        <f>1/$C$62*E66*$G$45</f>
        <v>1.1372575131596978</v>
      </c>
      <c r="I66" s="716">
        <f>SUM(F66:H66)</f>
        <v>9.7122575131596971</v>
      </c>
      <c r="O66" s="117">
        <f>ROW()</f>
        <v>66</v>
      </c>
    </row>
    <row r="67" spans="2:15" ht="15" customHeight="1" thickBot="1">
      <c r="O67" s="117">
        <f>ROW()</f>
        <v>67</v>
      </c>
    </row>
    <row r="68" spans="2:15" ht="15" customHeight="1">
      <c r="B68" s="467" t="s">
        <v>5033</v>
      </c>
      <c r="C68" s="281"/>
      <c r="D68" s="281"/>
      <c r="E68" s="281"/>
      <c r="F68" s="281"/>
      <c r="G68" s="281"/>
      <c r="H68" s="281"/>
      <c r="L68" s="4652" t="s">
        <v>3186</v>
      </c>
      <c r="N68" s="4652" t="s">
        <v>3187</v>
      </c>
      <c r="O68" s="117">
        <f>ROW()</f>
        <v>68</v>
      </c>
    </row>
    <row r="69" spans="2:15" ht="15" customHeight="1">
      <c r="L69" s="4653"/>
      <c r="N69" s="4653"/>
      <c r="O69" s="117">
        <f>ROW()</f>
        <v>69</v>
      </c>
    </row>
    <row r="70" spans="2:15" ht="15" customHeight="1">
      <c r="B70" s="4617" t="s">
        <v>5862</v>
      </c>
      <c r="C70" s="3786"/>
      <c r="D70" s="3786"/>
      <c r="E70" s="3786"/>
      <c r="F70" s="3786"/>
      <c r="G70" s="3786"/>
      <c r="H70" s="3786"/>
      <c r="I70" s="3786"/>
      <c r="J70" s="3786"/>
      <c r="K70" s="4618"/>
      <c r="L70" s="4653"/>
      <c r="M70" s="214"/>
      <c r="N70" s="4653"/>
      <c r="O70" s="117">
        <f>ROW()</f>
        <v>70</v>
      </c>
    </row>
    <row r="71" spans="2:15" ht="15" customHeight="1" thickBot="1">
      <c r="B71" s="3786"/>
      <c r="C71" s="3786"/>
      <c r="D71" s="3786"/>
      <c r="E71" s="3786"/>
      <c r="F71" s="3786"/>
      <c r="G71" s="3786"/>
      <c r="H71" s="3786"/>
      <c r="I71" s="3786"/>
      <c r="J71" s="3786"/>
      <c r="K71" s="4618"/>
      <c r="L71" s="4654"/>
      <c r="M71" s="214"/>
      <c r="N71" s="4654"/>
      <c r="O71" s="117">
        <f>ROW()</f>
        <v>71</v>
      </c>
    </row>
    <row r="72" spans="2:15" ht="15" customHeight="1">
      <c r="B72" s="214"/>
      <c r="C72" s="214"/>
      <c r="D72" s="214"/>
      <c r="E72" s="214"/>
      <c r="F72" s="214"/>
      <c r="G72" s="214"/>
      <c r="H72" s="214"/>
      <c r="I72" s="214"/>
      <c r="J72" s="214"/>
      <c r="K72" s="214"/>
      <c r="L72" s="214"/>
      <c r="M72" s="214"/>
      <c r="N72" s="214"/>
      <c r="O72" s="117">
        <f>ROW()</f>
        <v>72</v>
      </c>
    </row>
    <row r="73" spans="2:15" ht="15" customHeight="1">
      <c r="B73" s="214" t="s">
        <v>2344</v>
      </c>
      <c r="C73" s="214"/>
      <c r="D73" s="214"/>
      <c r="E73" s="214"/>
      <c r="F73" s="214"/>
      <c r="G73" s="214"/>
      <c r="H73" s="214"/>
      <c r="L73" s="301">
        <v>1820</v>
      </c>
      <c r="O73" s="117">
        <f>ROW()</f>
        <v>73</v>
      </c>
    </row>
    <row r="74" spans="2:15" ht="15" customHeight="1">
      <c r="B74" s="314" t="s">
        <v>1673</v>
      </c>
      <c r="C74" s="314"/>
      <c r="D74" s="314"/>
      <c r="E74" s="314"/>
      <c r="F74" s="314"/>
      <c r="G74" s="314"/>
      <c r="H74" s="314"/>
      <c r="O74" s="117">
        <f>ROW()</f>
        <v>74</v>
      </c>
    </row>
    <row r="75" spans="2:15" ht="15" customHeight="1">
      <c r="B75" s="214" t="s">
        <v>2265</v>
      </c>
      <c r="C75" s="214"/>
      <c r="D75" s="214"/>
      <c r="E75" s="214"/>
      <c r="F75" s="214"/>
      <c r="G75" s="214"/>
      <c r="H75" s="214"/>
      <c r="L75" s="302">
        <v>172</v>
      </c>
      <c r="O75" s="117">
        <f>ROW()</f>
        <v>75</v>
      </c>
    </row>
    <row r="76" spans="2:15" ht="15" customHeight="1">
      <c r="B76" s="314" t="s">
        <v>2220</v>
      </c>
      <c r="C76" s="214"/>
      <c r="D76" s="214"/>
      <c r="E76" s="214"/>
      <c r="F76" s="214"/>
      <c r="G76" s="214"/>
      <c r="H76" s="214"/>
      <c r="O76" s="117">
        <f>ROW()</f>
        <v>76</v>
      </c>
    </row>
    <row r="77" spans="2:15" ht="15" customHeight="1">
      <c r="B77" s="214" t="s">
        <v>318</v>
      </c>
      <c r="C77" s="214"/>
      <c r="D77" s="214"/>
      <c r="E77" s="214"/>
      <c r="F77" s="214"/>
      <c r="G77" s="214"/>
      <c r="H77" s="214"/>
      <c r="L77" s="302">
        <v>1.4</v>
      </c>
      <c r="N77" s="302">
        <v>1.5</v>
      </c>
      <c r="O77" s="117">
        <f>ROW()</f>
        <v>77</v>
      </c>
    </row>
    <row r="78" spans="2:15" ht="15" customHeight="1">
      <c r="B78" s="314" t="str">
        <f>CONCATENATE("Schaller, p. 3: 'With an average of 1.4 passengers per trip …' NB: data collated by FareShare (see Row ",O159, ") suggest higher factors.")</f>
        <v>Schaller, p. 3: 'With an average of 1.4 passengers per trip …' NB: data collated by FareShare (see Row 159) suggest higher factors.</v>
      </c>
      <c r="C78" s="314"/>
      <c r="D78" s="314"/>
      <c r="E78" s="314"/>
      <c r="F78" s="314"/>
      <c r="G78" s="314"/>
      <c r="H78" s="314"/>
      <c r="N78" s="4619" t="s">
        <v>3174</v>
      </c>
      <c r="O78" s="117">
        <f>ROW()</f>
        <v>78</v>
      </c>
    </row>
    <row r="79" spans="2:15" ht="15" customHeight="1">
      <c r="B79" s="214" t="s">
        <v>649</v>
      </c>
      <c r="C79" s="214"/>
      <c r="D79" s="214"/>
      <c r="E79" s="214"/>
      <c r="F79" s="214"/>
      <c r="G79" s="214"/>
      <c r="H79" s="214"/>
      <c r="L79" s="302">
        <v>2.8</v>
      </c>
      <c r="N79" s="4620"/>
      <c r="O79" s="117">
        <f>ROW()</f>
        <v>79</v>
      </c>
    </row>
    <row r="80" spans="2:15" ht="15" customHeight="1">
      <c r="B80" s="314" t="s">
        <v>1944</v>
      </c>
      <c r="C80" s="214"/>
      <c r="D80" s="214"/>
      <c r="E80" s="214"/>
      <c r="F80" s="214"/>
      <c r="G80" s="214"/>
      <c r="H80" s="214"/>
      <c r="N80" s="4621"/>
      <c r="O80" s="117">
        <f>ROW()</f>
        <v>80</v>
      </c>
    </row>
    <row r="81" spans="2:17" ht="15" customHeight="1">
      <c r="B81" s="214" t="s">
        <v>2434</v>
      </c>
      <c r="E81" s="8"/>
      <c r="L81" s="306">
        <v>0.8</v>
      </c>
      <c r="O81" s="117">
        <f>ROW()</f>
        <v>81</v>
      </c>
    </row>
    <row r="82" spans="2:17" ht="15" customHeight="1">
      <c r="B82" s="4182" t="s">
        <v>3294</v>
      </c>
      <c r="C82" s="3726"/>
      <c r="D82" s="3726"/>
      <c r="E82" s="3726"/>
      <c r="F82" s="3726"/>
      <c r="G82" s="3726"/>
      <c r="H82" s="3726"/>
      <c r="I82" s="3726"/>
      <c r="J82" s="3726"/>
      <c r="K82" s="3726"/>
      <c r="L82" s="314"/>
      <c r="M82" s="314"/>
      <c r="N82" s="314"/>
      <c r="O82" s="117">
        <f>ROW()</f>
        <v>82</v>
      </c>
    </row>
    <row r="83" spans="2:17" ht="15" customHeight="1">
      <c r="B83" s="3726"/>
      <c r="C83" s="3726"/>
      <c r="D83" s="3726"/>
      <c r="E83" s="3726"/>
      <c r="F83" s="3726"/>
      <c r="G83" s="3726"/>
      <c r="H83" s="3726"/>
      <c r="I83" s="3726"/>
      <c r="J83" s="3726"/>
      <c r="K83" s="3726"/>
      <c r="L83" s="314"/>
      <c r="M83" s="314"/>
      <c r="N83" s="314"/>
      <c r="O83" s="117">
        <f>ROW()</f>
        <v>83</v>
      </c>
    </row>
    <row r="84" spans="2:17" ht="15" customHeight="1">
      <c r="B84" s="3726"/>
      <c r="C84" s="3726"/>
      <c r="D84" s="3726"/>
      <c r="E84" s="3726"/>
      <c r="F84" s="3726"/>
      <c r="G84" s="3726"/>
      <c r="H84" s="3726"/>
      <c r="I84" s="3726"/>
      <c r="J84" s="3726"/>
      <c r="K84" s="3726"/>
      <c r="L84" s="954"/>
      <c r="M84" s="954"/>
      <c r="N84" s="954"/>
      <c r="O84" s="117">
        <f>ROW()</f>
        <v>84</v>
      </c>
    </row>
    <row r="85" spans="2:17" ht="15" customHeight="1">
      <c r="B85" s="214" t="s">
        <v>738</v>
      </c>
      <c r="C85" s="214"/>
      <c r="D85" s="214"/>
      <c r="E85" s="214"/>
      <c r="F85" s="214"/>
      <c r="G85" s="214"/>
      <c r="H85" s="214"/>
      <c r="L85" s="305">
        <f>(L79-L107*L81)/(1-L81)</f>
        <v>4</v>
      </c>
      <c r="O85" s="117">
        <f>ROW()</f>
        <v>85</v>
      </c>
    </row>
    <row r="86" spans="2:17" ht="15" customHeight="1">
      <c r="B86" s="4182" t="str">
        <f>CONCATENATE("Algebra (what non-CBD trips must average for 100% of trips to be average above). Uses figures in rows ",O79, " (average length), ",O81, " (% w/ CBD component), and ",O107, " (average length of CBD trips).")</f>
        <v>Algebra (what non-CBD trips must average for 100% of trips to be average above). Uses figures in rows 79 (average length), 81 (% w/ CBD component), and 107 (average length of CBD trips).</v>
      </c>
      <c r="C86" s="4182"/>
      <c r="D86" s="4182"/>
      <c r="E86" s="4182"/>
      <c r="F86" s="4182"/>
      <c r="G86" s="4182"/>
      <c r="H86" s="4182"/>
      <c r="I86" s="4182"/>
      <c r="J86" s="4182"/>
      <c r="K86" s="314"/>
      <c r="L86" s="314"/>
      <c r="M86" s="314"/>
      <c r="N86" s="314"/>
      <c r="O86" s="117">
        <f>ROW()</f>
        <v>86</v>
      </c>
    </row>
    <row r="87" spans="2:17" ht="15" customHeight="1">
      <c r="B87" s="4182"/>
      <c r="C87" s="4182"/>
      <c r="D87" s="4182"/>
      <c r="E87" s="4182"/>
      <c r="F87" s="4182"/>
      <c r="G87" s="4182"/>
      <c r="H87" s="4182"/>
      <c r="I87" s="4182"/>
      <c r="J87" s="4182"/>
      <c r="K87" s="314"/>
      <c r="L87" s="314"/>
      <c r="M87" s="314"/>
      <c r="N87" s="314"/>
      <c r="O87" s="117">
        <f>ROW()</f>
        <v>87</v>
      </c>
    </row>
    <row r="88" spans="2:17" ht="15" customHeight="1">
      <c r="B88" s="214" t="s">
        <v>2433</v>
      </c>
      <c r="C88" s="214"/>
      <c r="D88" s="214"/>
      <c r="E88" s="214"/>
      <c r="F88" s="214"/>
      <c r="G88" s="214"/>
      <c r="H88" s="214"/>
      <c r="L88" s="306">
        <v>0.35</v>
      </c>
      <c r="O88" s="117">
        <f>ROW()</f>
        <v>88</v>
      </c>
    </row>
    <row r="89" spans="2:17" ht="15" customHeight="1">
      <c r="B89" s="314" t="s">
        <v>1293</v>
      </c>
      <c r="C89" s="314"/>
      <c r="D89" s="314"/>
      <c r="E89" s="314"/>
      <c r="F89" s="314"/>
      <c r="G89" s="314"/>
      <c r="H89" s="314"/>
      <c r="O89" s="117">
        <f>ROW()</f>
        <v>89</v>
      </c>
    </row>
    <row r="90" spans="2:17" ht="15" customHeight="1">
      <c r="O90" s="117">
        <f>ROW()</f>
        <v>90</v>
      </c>
    </row>
    <row r="91" spans="2:17" ht="15" customHeight="1">
      <c r="B91" s="467" t="s">
        <v>5034</v>
      </c>
      <c r="C91" s="281"/>
      <c r="D91" s="281"/>
      <c r="E91" s="281"/>
      <c r="F91" s="281"/>
      <c r="G91" s="281"/>
      <c r="H91" s="281"/>
      <c r="O91" s="117">
        <f>ROW()</f>
        <v>91</v>
      </c>
    </row>
    <row r="92" spans="2:17" ht="15" customHeight="1">
      <c r="O92" s="117">
        <f>ROW()</f>
        <v>92</v>
      </c>
    </row>
    <row r="93" spans="2:17" ht="15" customHeight="1">
      <c r="B93" s="316" t="s">
        <v>6438</v>
      </c>
      <c r="L93" s="276">
        <f>L73/Constants!$J$8</f>
        <v>4.9863013698630141</v>
      </c>
      <c r="N93" s="276">
        <f>(L73-weekday_per_yr*Taxis!L93)/wkend_per_yr</f>
        <v>4.9863013698630132</v>
      </c>
      <c r="O93" s="117">
        <f>ROW()</f>
        <v>93</v>
      </c>
      <c r="Q93" s="26"/>
    </row>
    <row r="94" spans="2:17" ht="15" customHeight="1">
      <c r="B94" s="314" t="str">
        <f>CONCATENATE("See note in Row ",O98, ".")</f>
        <v>See note in Row 98.</v>
      </c>
      <c r="C94" s="314"/>
      <c r="D94" s="314"/>
      <c r="E94" s="314"/>
      <c r="F94" s="314"/>
      <c r="G94" s="314"/>
      <c r="H94" s="314"/>
      <c r="I94" s="314"/>
      <c r="J94" s="314"/>
      <c r="K94" s="3624"/>
      <c r="O94" s="117">
        <f>ROW()</f>
        <v>94</v>
      </c>
    </row>
    <row r="95" spans="2:17" ht="15" customHeight="1">
      <c r="B95" s="316" t="s">
        <v>5028</v>
      </c>
      <c r="C95" s="2917"/>
      <c r="D95" s="2917"/>
      <c r="E95" s="2917"/>
      <c r="F95" s="2917"/>
      <c r="G95" s="2917"/>
      <c r="H95" s="2917"/>
      <c r="I95" s="2917"/>
      <c r="J95" s="2917"/>
      <c r="K95" s="2916"/>
      <c r="L95" s="2941">
        <f>L93*wkday_per_yr</f>
        <v>1246.5753424657535</v>
      </c>
      <c r="N95" s="2941">
        <f>N93*wkend_per_yr</f>
        <v>573.42465753424653</v>
      </c>
      <c r="O95" s="117">
        <f>ROW()</f>
        <v>95</v>
      </c>
    </row>
    <row r="96" spans="2:17" ht="15" customHeight="1">
      <c r="B96" s="314" t="str">
        <f>CONCATENATE("Product of daily revenues in Row ",O93," and # weekdays or weekend days in year from 'Constants' worksheet.")</f>
        <v>Product of daily revenues in Row 93 and # weekdays or weekend days in year from 'Constants' worksheet.</v>
      </c>
      <c r="C96" s="2917"/>
      <c r="D96" s="2917"/>
      <c r="E96" s="2917"/>
      <c r="F96" s="2917"/>
      <c r="G96" s="2917"/>
      <c r="H96" s="2917"/>
      <c r="I96" s="2917"/>
      <c r="J96" s="2917"/>
      <c r="K96" s="2916"/>
      <c r="O96" s="117">
        <f>ROW()</f>
        <v>96</v>
      </c>
    </row>
    <row r="97" spans="2:15" ht="15" customHeight="1">
      <c r="B97" s="323" t="s">
        <v>3196</v>
      </c>
      <c r="C97" s="214"/>
      <c r="D97" s="214"/>
      <c r="E97" s="214"/>
      <c r="F97" s="214"/>
      <c r="G97" s="214"/>
      <c r="H97" s="214"/>
      <c r="L97" s="221">
        <f>ROUND(L75*1000000/Constants!$J$8,-2)</f>
        <v>471200</v>
      </c>
      <c r="N97" s="221">
        <f>L97</f>
        <v>471200</v>
      </c>
      <c r="O97" s="117">
        <f>ROW()</f>
        <v>97</v>
      </c>
    </row>
    <row r="98" spans="2:15" ht="15" customHeight="1">
      <c r="B98" s="4182" t="str">
        <f>CONCATENATE("Fare 'boarding' data in Row ",O171, " indicate that weekend and weekday taxi usage are almost identical. We thus calculate each by dividing annual fares in Row ",O75, " by number of days in year.")</f>
        <v>Fare 'boarding' data in Row 171 indicate that weekend and weekday taxi usage are almost identical. We thus calculate each by dividing annual fares in Row 75 by number of days in year.</v>
      </c>
      <c r="C98" s="4182"/>
      <c r="D98" s="4182"/>
      <c r="E98" s="4182"/>
      <c r="F98" s="4182"/>
      <c r="G98" s="4182"/>
      <c r="H98" s="4182"/>
      <c r="I98" s="4182"/>
      <c r="J98" s="4182"/>
      <c r="K98" s="4167"/>
      <c r="N98" s="3619"/>
      <c r="O98" s="117">
        <f>ROW()</f>
        <v>98</v>
      </c>
    </row>
    <row r="99" spans="2:15" ht="15" customHeight="1">
      <c r="B99" s="4182"/>
      <c r="C99" s="4182"/>
      <c r="D99" s="4182"/>
      <c r="E99" s="4182"/>
      <c r="F99" s="4182"/>
      <c r="G99" s="4182"/>
      <c r="H99" s="4182"/>
      <c r="I99" s="4182"/>
      <c r="J99" s="4182"/>
      <c r="K99" s="4167"/>
      <c r="O99" s="117">
        <f>ROW()</f>
        <v>99</v>
      </c>
    </row>
    <row r="100" spans="2:15" ht="15" customHeight="1">
      <c r="B100" s="323" t="s">
        <v>3197</v>
      </c>
      <c r="C100" s="1536"/>
      <c r="D100" s="1536"/>
      <c r="E100" s="1536"/>
      <c r="F100" s="1536"/>
      <c r="G100" s="1536"/>
      <c r="H100" s="1536"/>
      <c r="I100" s="1536"/>
      <c r="J100" s="1536"/>
      <c r="K100" s="1536"/>
      <c r="L100" s="221">
        <f>L97*L77</f>
        <v>659680</v>
      </c>
      <c r="N100" s="221">
        <f>N97*N77</f>
        <v>706800</v>
      </c>
      <c r="O100" s="117">
        <f>ROW()</f>
        <v>100</v>
      </c>
    </row>
    <row r="101" spans="2:15" ht="15" customHeight="1">
      <c r="B101" s="314" t="str">
        <f>CONCATENATE("Product of number of fare trips in Row ",O97," and average per-fare number of passengers in Row ",O77, ".")</f>
        <v>Product of number of fare trips in Row 97 and average per-fare number of passengers in Row 77.</v>
      </c>
      <c r="C101" s="1536"/>
      <c r="D101" s="1536"/>
      <c r="E101" s="1536"/>
      <c r="F101" s="1536"/>
      <c r="G101" s="1536"/>
      <c r="H101" s="1536"/>
      <c r="I101" s="1536"/>
      <c r="J101" s="1536"/>
      <c r="K101" s="1536"/>
      <c r="O101" s="117">
        <f>ROW()</f>
        <v>101</v>
      </c>
    </row>
    <row r="102" spans="2:15" ht="15" customHeight="1">
      <c r="B102" s="214" t="s">
        <v>2958</v>
      </c>
      <c r="C102" s="214"/>
      <c r="D102" s="214"/>
      <c r="E102" s="214"/>
      <c r="F102" s="214"/>
      <c r="G102" s="214"/>
      <c r="H102" s="214"/>
      <c r="L102" s="303">
        <v>9.61</v>
      </c>
      <c r="N102" s="303">
        <f>I66-G37</f>
        <v>9.2122575131596971</v>
      </c>
      <c r="O102" s="117">
        <f>ROW()</f>
        <v>102</v>
      </c>
    </row>
    <row r="103" spans="2:15" ht="15" customHeight="1">
      <c r="B103" s="4182" t="str">
        <f>CONCATENATE("Weekday figure is from Schaller, p. 1: 'The average fare is $9.61 for a 2.8 mile trip, or $11.44 when surcharges and tips are included (taking into account the November 2006 increase in wait time).' Weekend figure is from Row ",O66,", netting NYS Surcharge in Row ",O37,".")</f>
        <v>Weekday figure is from Schaller, p. 1: 'The average fare is $9.61 for a 2.8 mile trip, or $11.44 when surcharges and tips are included (taking into account the November 2006 increase in wait time).' Weekend figure is from Row 66, netting NYS Surcharge in Row 37.</v>
      </c>
      <c r="C103" s="4182"/>
      <c r="D103" s="4182"/>
      <c r="E103" s="4182"/>
      <c r="F103" s="4182"/>
      <c r="G103" s="4182"/>
      <c r="H103" s="4182"/>
      <c r="I103" s="4182"/>
      <c r="J103" s="4182"/>
      <c r="K103" s="4167"/>
      <c r="O103" s="117">
        <f>ROW()</f>
        <v>103</v>
      </c>
    </row>
    <row r="104" spans="2:15" ht="15" customHeight="1">
      <c r="B104" s="4182"/>
      <c r="C104" s="4182"/>
      <c r="D104" s="4182"/>
      <c r="E104" s="4182"/>
      <c r="F104" s="4182"/>
      <c r="G104" s="4182"/>
      <c r="H104" s="4182"/>
      <c r="I104" s="4182"/>
      <c r="J104" s="4182"/>
      <c r="K104" s="4167"/>
      <c r="O104" s="117">
        <f>ROW()</f>
        <v>104</v>
      </c>
    </row>
    <row r="105" spans="2:15" ht="15" customHeight="1">
      <c r="B105" s="214" t="s">
        <v>2454</v>
      </c>
      <c r="C105" s="297"/>
      <c r="D105" s="297"/>
      <c r="E105" s="297"/>
      <c r="F105" s="297"/>
      <c r="G105" s="297"/>
      <c r="H105" s="297"/>
      <c r="L105" s="276">
        <f>H64</f>
        <v>1.573012179864778</v>
      </c>
      <c r="N105" s="276">
        <f>H66</f>
        <v>1.1372575131596978</v>
      </c>
      <c r="O105" s="117">
        <f>ROW()</f>
        <v>105</v>
      </c>
    </row>
    <row r="106" spans="2:15" ht="15" customHeight="1">
      <c r="B106" s="314" t="str">
        <f>CONCATENATE("Derived from inputting typical trip length and speeds into fare calculator, in Rows ",O64, " and ",O66, ".")</f>
        <v>Derived from inputting typical trip length and speeds into fare calculator, in Rows 64 and 66.</v>
      </c>
      <c r="O106" s="117">
        <f>ROW()</f>
        <v>106</v>
      </c>
    </row>
    <row r="107" spans="2:15" ht="15" customHeight="1">
      <c r="B107" s="214" t="s">
        <v>737</v>
      </c>
      <c r="C107" s="214"/>
      <c r="D107" s="214"/>
      <c r="E107" s="214"/>
      <c r="F107" s="214"/>
      <c r="G107" s="214"/>
      <c r="H107" s="214"/>
      <c r="L107" s="304">
        <v>2.5</v>
      </c>
      <c r="O107" s="117">
        <f>ROW()</f>
        <v>107</v>
      </c>
    </row>
    <row r="108" spans="2:15" ht="15" customHeight="1">
      <c r="B108" s="314" t="str">
        <f>CONCATENATE("Komanoff est., informed by calculation of mean distance between randomly selected CBD 'pairs' in 'Distances' worksheet, Row ",Distances!O224, ".")</f>
        <v>Komanoff est., informed by calculation of mean distance between randomly selected CBD 'pairs' in 'Distances' worksheet, Row 224.</v>
      </c>
      <c r="C108" s="214"/>
      <c r="D108" s="214"/>
      <c r="E108" s="214"/>
      <c r="F108" s="214"/>
      <c r="G108" s="214"/>
      <c r="H108" s="214"/>
      <c r="L108" s="21"/>
      <c r="O108" s="117">
        <f>ROW()</f>
        <v>108</v>
      </c>
    </row>
    <row r="109" spans="2:15" ht="15" customHeight="1">
      <c r="B109" s="214" t="s">
        <v>366</v>
      </c>
      <c r="C109" s="214"/>
      <c r="D109" s="214"/>
      <c r="E109" s="214"/>
      <c r="F109" s="214"/>
      <c r="G109" s="214"/>
      <c r="H109" s="214"/>
      <c r="L109" s="304">
        <v>1.8</v>
      </c>
      <c r="O109" s="117">
        <f>ROW()</f>
        <v>109</v>
      </c>
    </row>
    <row r="110" spans="2:15" ht="15" customHeight="1">
      <c r="B110" s="314" t="str">
        <f>CONCATENATE("See Row ",O108, " note.")</f>
        <v>See Row 108 note.</v>
      </c>
      <c r="C110" s="214"/>
      <c r="D110" s="214"/>
      <c r="E110" s="214"/>
      <c r="F110" s="214"/>
      <c r="G110" s="214"/>
      <c r="H110" s="214"/>
      <c r="O110" s="117">
        <f>ROW()</f>
        <v>110</v>
      </c>
    </row>
    <row r="111" spans="2:15" ht="15" customHeight="1">
      <c r="B111" s="214" t="s">
        <v>1703</v>
      </c>
      <c r="C111" s="214"/>
      <c r="D111" s="214"/>
      <c r="E111" s="214"/>
      <c r="F111" s="214"/>
      <c r="G111" s="214"/>
      <c r="H111" s="214"/>
      <c r="L111" s="211">
        <f>1-L88</f>
        <v>0.65</v>
      </c>
      <c r="N111" s="4622" t="s">
        <v>3178</v>
      </c>
      <c r="O111" s="117">
        <f>ROW()</f>
        <v>111</v>
      </c>
    </row>
    <row r="112" spans="2:15" ht="15" customHeight="1">
      <c r="B112" s="314" t="str">
        <f>CONCATENATE("Complement of percentage in Row ",O88, ".")</f>
        <v>Complement of percentage in Row 88.</v>
      </c>
      <c r="C112" s="214"/>
      <c r="D112" s="214"/>
      <c r="E112" s="214"/>
      <c r="F112" s="214"/>
      <c r="G112" s="214"/>
      <c r="H112" s="214"/>
      <c r="L112" s="3314"/>
      <c r="N112" s="4623"/>
      <c r="O112" s="117">
        <f>ROW()</f>
        <v>112</v>
      </c>
    </row>
    <row r="113" spans="2:15" ht="15" customHeight="1">
      <c r="B113" s="214" t="s">
        <v>2702</v>
      </c>
      <c r="C113" s="214"/>
      <c r="D113" s="214"/>
      <c r="E113" s="214"/>
      <c r="F113" s="214"/>
      <c r="G113" s="214"/>
      <c r="H113" s="214"/>
      <c r="L113" s="248">
        <f>1/L111</f>
        <v>1.5384615384615383</v>
      </c>
      <c r="N113" s="4623"/>
      <c r="O113" s="117">
        <f>ROW()</f>
        <v>113</v>
      </c>
    </row>
    <row r="114" spans="2:15" ht="15" customHeight="1">
      <c r="B114" s="314" t="str">
        <f>CONCATENATE("Reciprocal of percentage in Row ",O111, ".")</f>
        <v>Reciprocal of percentage in Row 111.</v>
      </c>
      <c r="C114" s="214"/>
      <c r="D114" s="214"/>
      <c r="E114" s="214"/>
      <c r="F114" s="214"/>
      <c r="G114" s="214"/>
      <c r="H114" s="214"/>
      <c r="N114" s="4624"/>
      <c r="O114" s="117">
        <f>ROW()</f>
        <v>114</v>
      </c>
    </row>
    <row r="115" spans="2:15" ht="15" customHeight="1">
      <c r="B115" s="214" t="s">
        <v>2854</v>
      </c>
      <c r="C115" s="214"/>
      <c r="D115" s="214"/>
      <c r="E115" s="214"/>
      <c r="F115" s="214"/>
      <c r="G115" s="214"/>
      <c r="H115" s="214"/>
      <c r="L115" s="248">
        <f>L113*L79</f>
        <v>4.3076923076923066</v>
      </c>
      <c r="N115" s="1938">
        <f>N97/L97</f>
        <v>1</v>
      </c>
      <c r="O115" s="117">
        <f>ROW()</f>
        <v>115</v>
      </c>
    </row>
    <row r="116" spans="2:15" ht="15" customHeight="1">
      <c r="B116" s="314" t="str">
        <f>CONCATENATE("Product of average fare-trip length in Row ",O79," and cruising-to-fare multiplier in Row ",O113, ".")</f>
        <v>Product of average fare-trip length in Row 79 and cruising-to-fare multiplier in Row 113.</v>
      </c>
      <c r="C116" s="214"/>
      <c r="D116" s="214"/>
      <c r="E116" s="214"/>
      <c r="F116" s="214"/>
      <c r="G116" s="214"/>
      <c r="H116" s="214"/>
      <c r="N116" s="1939" t="str">
        <f>CONCATENATE("Row ",O97, ".")</f>
        <v>Row 97.</v>
      </c>
      <c r="O116" s="117">
        <f>ROW()</f>
        <v>116</v>
      </c>
    </row>
    <row r="117" spans="2:15" ht="15" customHeight="1">
      <c r="B117" s="316" t="s">
        <v>6378</v>
      </c>
      <c r="C117" s="214"/>
      <c r="D117" s="214"/>
      <c r="E117" s="214"/>
      <c r="F117" s="214"/>
      <c r="G117" s="214"/>
      <c r="H117" s="214"/>
      <c r="L117" s="1537">
        <v>1.4</v>
      </c>
      <c r="O117" s="117">
        <f>ROW()</f>
        <v>117</v>
      </c>
    </row>
    <row r="118" spans="2:15" ht="15" customHeight="1">
      <c r="B118" s="314" t="str">
        <f>CONCATENATE("Komanoff estimate. Is necessary to calculate parameter in Row ",O119,".")</f>
        <v>Komanoff estimate. Is necessary to calculate parameter in Row 119.</v>
      </c>
      <c r="C118" s="214"/>
      <c r="D118" s="214"/>
      <c r="E118" s="214"/>
      <c r="F118" s="214"/>
      <c r="G118" s="214"/>
      <c r="H118" s="214"/>
      <c r="O118" s="117">
        <f>ROW()</f>
        <v>118</v>
      </c>
    </row>
    <row r="119" spans="2:15" ht="15" customHeight="1">
      <c r="B119" s="214" t="s">
        <v>2646</v>
      </c>
      <c r="C119" s="214"/>
      <c r="D119" s="214"/>
      <c r="E119" s="214"/>
      <c r="F119" s="214"/>
      <c r="G119" s="214"/>
      <c r="H119" s="214"/>
      <c r="L119" s="211">
        <f>L81/(L81*1+(1-L81)*L117)</f>
        <v>0.7407407407407407</v>
      </c>
      <c r="O119" s="117">
        <f>ROW()</f>
        <v>119</v>
      </c>
    </row>
    <row r="120" spans="2:15" ht="15" customHeight="1">
      <c r="B120" s="314" t="str">
        <f>CONCATENATE("Calculated algebraically from % of taxi trips w/ a CBD component (Row ",O80,") and multiple in Row ",O117,".")</f>
        <v>Calculated algebraically from % of taxi trips w/ a CBD component (Row 80) and multiple in Row 117.</v>
      </c>
      <c r="C120" s="214"/>
      <c r="D120" s="214"/>
      <c r="E120" s="214"/>
      <c r="F120" s="214"/>
      <c r="G120" s="214"/>
      <c r="H120" s="214"/>
      <c r="I120" s="755"/>
      <c r="L120" s="22"/>
      <c r="O120" s="117">
        <f>ROW()</f>
        <v>120</v>
      </c>
    </row>
    <row r="121" spans="2:15" ht="15" customHeight="1">
      <c r="B121" s="214" t="s">
        <v>934</v>
      </c>
      <c r="C121" s="214"/>
      <c r="D121" s="214"/>
      <c r="E121" s="214"/>
      <c r="F121" s="214"/>
      <c r="G121" s="214"/>
      <c r="H121" s="214"/>
      <c r="I121" s="755"/>
      <c r="J121" s="34"/>
      <c r="L121" s="22"/>
      <c r="O121" s="117">
        <f>ROW()</f>
        <v>121</v>
      </c>
    </row>
    <row r="122" spans="2:15" ht="15" customHeight="1">
      <c r="B122" s="1406" t="s">
        <v>4727</v>
      </c>
      <c r="C122" s="214"/>
      <c r="D122" s="314" t="str">
        <f>CONCATENATE("See Row ",O108, " note.")</f>
        <v>See Row 108 note.</v>
      </c>
      <c r="E122" s="214"/>
      <c r="F122" s="214"/>
      <c r="G122" s="214"/>
      <c r="H122" s="214"/>
      <c r="I122" s="755"/>
      <c r="J122" s="34"/>
      <c r="L122" s="248">
        <v>2</v>
      </c>
      <c r="O122" s="117">
        <f>ROW()</f>
        <v>122</v>
      </c>
    </row>
    <row r="123" spans="2:15" ht="15" customHeight="1">
      <c r="B123" s="1406" t="s">
        <v>4728</v>
      </c>
      <c r="C123" s="214"/>
      <c r="D123" s="314" t="s">
        <v>4729</v>
      </c>
      <c r="E123" s="214"/>
      <c r="F123" s="214"/>
      <c r="G123" s="214"/>
      <c r="H123" s="214"/>
      <c r="I123" s="755"/>
      <c r="J123" s="34"/>
      <c r="L123" s="248">
        <v>5.25</v>
      </c>
      <c r="O123" s="117">
        <f>ROW()</f>
        <v>123</v>
      </c>
    </row>
    <row r="124" spans="2:15" ht="15" customHeight="1">
      <c r="B124" s="1406" t="s">
        <v>455</v>
      </c>
      <c r="C124" s="214"/>
      <c r="D124" s="214"/>
      <c r="E124" s="214"/>
      <c r="G124" s="214"/>
      <c r="H124" s="214"/>
      <c r="I124" s="755"/>
      <c r="J124" s="34"/>
      <c r="L124" s="248">
        <f>(F355*L79-G358*L123-G359*L122)/(G356+G357)</f>
        <v>2.9999999999999982</v>
      </c>
      <c r="O124" s="117">
        <f>ROW()</f>
        <v>124</v>
      </c>
    </row>
    <row r="125" spans="2:15" ht="15" customHeight="1">
      <c r="B125" s="326" t="str">
        <f>CONCATENATE("Calculated algebraically from two prior rows and Rows ",O355,"-",O359,".")</f>
        <v>Calculated algebraically from two prior rows and Rows 355-359.</v>
      </c>
      <c r="C125" s="214"/>
      <c r="D125" s="214"/>
      <c r="E125" s="214"/>
      <c r="F125" s="215"/>
      <c r="G125" s="214"/>
      <c r="H125" s="214"/>
      <c r="I125" s="755"/>
      <c r="J125" s="34"/>
      <c r="O125" s="117">
        <f>ROW()</f>
        <v>125</v>
      </c>
    </row>
    <row r="126" spans="2:15" ht="15" customHeight="1">
      <c r="B126" s="214" t="s">
        <v>2959</v>
      </c>
      <c r="C126" s="214"/>
      <c r="D126" s="214"/>
      <c r="E126" s="214"/>
      <c r="F126" s="215"/>
      <c r="G126" s="214"/>
      <c r="H126" s="214"/>
      <c r="I126" s="755"/>
      <c r="J126" s="34"/>
      <c r="L126" s="248">
        <f>ROUND(100*L119*L115,0)/100</f>
        <v>3.19</v>
      </c>
      <c r="O126" s="117">
        <f>ROW()</f>
        <v>126</v>
      </c>
    </row>
    <row r="127" spans="2:15" ht="15" customHeight="1">
      <c r="B127" s="314" t="str">
        <f>CONCATENATE("Product of loaded miles per trip Row ",O115," and % of all taxi miles that occur w/i CBD in Row ",O119, ".")</f>
        <v>Product of loaded miles per trip Row 115 and % of all taxi miles that occur w/i CBD in Row 119.</v>
      </c>
      <c r="C127" s="214"/>
      <c r="D127" s="214"/>
      <c r="E127" s="214"/>
      <c r="F127" s="215"/>
      <c r="G127" s="214"/>
      <c r="H127" s="214"/>
      <c r="I127" s="755"/>
      <c r="J127" s="34"/>
      <c r="O127" s="117">
        <f>ROW()</f>
        <v>127</v>
      </c>
    </row>
    <row r="128" spans="2:15" ht="15" customHeight="1">
      <c r="B128" s="214" t="s">
        <v>2855</v>
      </c>
      <c r="C128" s="214"/>
      <c r="D128" s="214"/>
      <c r="E128" s="214"/>
      <c r="F128" s="215"/>
      <c r="G128" s="214"/>
      <c r="H128" s="214"/>
      <c r="I128" s="755"/>
      <c r="J128" s="34"/>
      <c r="L128" s="248">
        <f>ROUND(100*(L115-L126),0)/100</f>
        <v>1.1200000000000001</v>
      </c>
      <c r="O128" s="117">
        <f>ROW()</f>
        <v>128</v>
      </c>
    </row>
    <row r="129" spans="2:15" ht="15" customHeight="1">
      <c r="B129" s="314" t="str">
        <f>CONCATENATE("Difference between Rows ",O115," and ",O126, ".")</f>
        <v>Difference between Rows 115 and 126.</v>
      </c>
      <c r="C129" s="214"/>
      <c r="D129" s="214"/>
      <c r="E129" s="214"/>
      <c r="F129" s="215"/>
      <c r="G129" s="214"/>
      <c r="H129" s="214"/>
      <c r="I129" s="755"/>
      <c r="J129" s="34"/>
      <c r="O129" s="117">
        <f>ROW()</f>
        <v>129</v>
      </c>
    </row>
    <row r="130" spans="2:15" ht="15" customHeight="1">
      <c r="B130" s="214" t="s">
        <v>1190</v>
      </c>
      <c r="C130" s="626"/>
      <c r="D130" s="626"/>
      <c r="E130" s="626"/>
      <c r="F130" s="626"/>
      <c r="G130" s="626"/>
      <c r="L130" s="211">
        <v>0.75</v>
      </c>
      <c r="O130" s="117">
        <f>ROW()</f>
        <v>130</v>
      </c>
    </row>
    <row r="131" spans="2:15" ht="15" customHeight="1">
      <c r="B131" s="314" t="s">
        <v>232</v>
      </c>
      <c r="C131" s="214"/>
      <c r="D131" s="214"/>
      <c r="E131" s="214"/>
      <c r="F131" s="214"/>
      <c r="G131" s="214"/>
      <c r="H131" s="214"/>
      <c r="I131" s="755"/>
      <c r="J131" s="34"/>
      <c r="K131" s="22"/>
      <c r="O131" s="117">
        <f>ROW()</f>
        <v>131</v>
      </c>
    </row>
    <row r="132" spans="2:15" ht="15" customHeight="1">
      <c r="B132" s="314"/>
      <c r="C132" s="214"/>
      <c r="D132" s="214"/>
      <c r="E132" s="214"/>
      <c r="F132" s="214"/>
      <c r="G132" s="214"/>
      <c r="H132" s="214"/>
      <c r="I132" s="755"/>
      <c r="J132" s="34"/>
      <c r="K132" s="22"/>
      <c r="O132" s="117">
        <f>ROW()</f>
        <v>132</v>
      </c>
    </row>
    <row r="133" spans="2:15" ht="15" customHeight="1">
      <c r="B133" s="467" t="s">
        <v>5020</v>
      </c>
      <c r="C133" s="214"/>
      <c r="D133" s="214"/>
      <c r="E133" s="214"/>
      <c r="F133" s="214"/>
      <c r="G133" s="214"/>
      <c r="H133" s="214"/>
      <c r="I133" s="755"/>
      <c r="J133" s="2915"/>
      <c r="K133" s="22"/>
      <c r="O133" s="117">
        <f>ROW()</f>
        <v>133</v>
      </c>
    </row>
    <row r="134" spans="2:15" ht="15" customHeight="1">
      <c r="B134" s="314"/>
      <c r="C134" s="214"/>
      <c r="D134" s="214"/>
      <c r="E134" s="214"/>
      <c r="F134" s="214"/>
      <c r="G134" s="214"/>
      <c r="H134" s="214"/>
      <c r="I134" s="755"/>
      <c r="J134" s="2915"/>
      <c r="K134" s="22"/>
      <c r="O134" s="117">
        <f>ROW()</f>
        <v>134</v>
      </c>
    </row>
    <row r="135" spans="2:15" ht="15" customHeight="1">
      <c r="B135" s="316" t="s">
        <v>6439</v>
      </c>
      <c r="C135" s="214"/>
      <c r="D135" s="214"/>
      <c r="E135" s="214"/>
      <c r="F135" s="214"/>
      <c r="G135" s="214"/>
      <c r="H135" s="214"/>
      <c r="I135" s="755"/>
      <c r="J135" s="2915"/>
      <c r="K135" s="22"/>
      <c r="L135" s="276">
        <f>G37</f>
        <v>0.5</v>
      </c>
      <c r="N135" s="276">
        <f>G37</f>
        <v>0.5</v>
      </c>
      <c r="O135" s="117">
        <f>ROW()</f>
        <v>135</v>
      </c>
    </row>
    <row r="136" spans="2:15" ht="15" customHeight="1">
      <c r="B136" s="314" t="str">
        <f>CONCATENATE("Copied from Row ",O37, ".")</f>
        <v>Copied from Row 37.</v>
      </c>
      <c r="C136" s="214"/>
      <c r="D136" s="214"/>
      <c r="E136" s="214"/>
      <c r="F136" s="214"/>
      <c r="G136" s="214"/>
      <c r="H136" s="214"/>
      <c r="I136" s="755"/>
      <c r="J136" s="2915"/>
      <c r="K136" s="22"/>
      <c r="O136" s="117">
        <f>ROW()</f>
        <v>136</v>
      </c>
    </row>
    <row r="137" spans="2:15" ht="15" customHeight="1">
      <c r="B137" s="316" t="s">
        <v>5021</v>
      </c>
      <c r="C137" s="214"/>
      <c r="D137" s="214"/>
      <c r="E137" s="214"/>
      <c r="F137" s="214"/>
      <c r="G137" s="214"/>
      <c r="H137" s="214"/>
      <c r="I137" s="755"/>
      <c r="J137" s="2915"/>
      <c r="K137" s="22"/>
      <c r="L137" s="2941">
        <f>L97*L135</f>
        <v>235600</v>
      </c>
      <c r="N137" s="2941">
        <f>N97*N135</f>
        <v>235600</v>
      </c>
      <c r="O137" s="117">
        <f>ROW()</f>
        <v>137</v>
      </c>
    </row>
    <row r="138" spans="2:15" ht="15" customHeight="1">
      <c r="B138" s="314" t="str">
        <f>CONCATENATE("Product of daily fare rides in Row ",O97," and per-ride surcharge in Row ",O135, ".")</f>
        <v>Product of daily fare rides in Row 97 and per-ride surcharge in Row 135.</v>
      </c>
      <c r="C138" s="214"/>
      <c r="D138" s="214"/>
      <c r="E138" s="214"/>
      <c r="F138" s="214"/>
      <c r="G138" s="214"/>
      <c r="H138" s="214"/>
      <c r="I138" s="755"/>
      <c r="J138" s="2915"/>
      <c r="K138" s="22"/>
      <c r="O138" s="117">
        <f>ROW()</f>
        <v>138</v>
      </c>
    </row>
    <row r="139" spans="2:15" ht="15" customHeight="1">
      <c r="B139" s="316" t="s">
        <v>5022</v>
      </c>
      <c r="C139" s="214"/>
      <c r="D139" s="214"/>
      <c r="E139" s="214"/>
      <c r="F139" s="214"/>
      <c r="G139" s="214"/>
      <c r="H139" s="214"/>
      <c r="I139" s="755"/>
      <c r="J139" s="2915"/>
      <c r="K139" s="22"/>
      <c r="L139" s="2940">
        <f>L137*wkday_per_yr/1000000</f>
        <v>58.9</v>
      </c>
      <c r="N139" s="2940">
        <f>N137*wkend_per_yr/1000000</f>
        <v>27.094000000000001</v>
      </c>
      <c r="O139" s="117">
        <f>ROW()</f>
        <v>139</v>
      </c>
    </row>
    <row r="140" spans="2:15" ht="15" customHeight="1">
      <c r="B140" s="314" t="str">
        <f>CONCATENATE("Product of increases in daily revenue in Row ",O137," and # weekdays or weekend days in year from 'Constants' worksheet.")</f>
        <v>Product of increases in daily revenue in Row 137 and # weekdays or weekend days in year from 'Constants' worksheet.</v>
      </c>
      <c r="C140" s="214"/>
      <c r="D140" s="214"/>
      <c r="E140" s="214"/>
      <c r="F140" s="214"/>
      <c r="G140" s="214"/>
      <c r="H140" s="214"/>
      <c r="I140" s="755"/>
      <c r="J140" s="2915"/>
      <c r="K140" s="22"/>
      <c r="O140" s="117">
        <f>ROW()</f>
        <v>140</v>
      </c>
    </row>
    <row r="141" spans="2:15" ht="15" customHeight="1">
      <c r="B141" s="316" t="s">
        <v>5037</v>
      </c>
      <c r="C141" s="214"/>
      <c r="D141" s="214"/>
      <c r="E141" s="214"/>
      <c r="F141" s="214"/>
      <c r="G141" s="214"/>
      <c r="H141" s="214"/>
      <c r="I141" s="755"/>
      <c r="J141" s="2928"/>
      <c r="K141" s="22"/>
      <c r="L141" s="301">
        <f>L73+L139+N139</f>
        <v>1905.9940000000001</v>
      </c>
      <c r="O141" s="117">
        <f>ROW()</f>
        <v>141</v>
      </c>
    </row>
    <row r="142" spans="2:15" ht="15" customHeight="1">
      <c r="B142" s="314" t="str">
        <f>CONCATENATE("Sum of 2005 revenue in Row ",O73," and additional revenues est'd in Row ",O139, ".")</f>
        <v>Sum of 2005 revenue in Row 73 and additional revenues est'd in Row 139.</v>
      </c>
      <c r="C142" s="214"/>
      <c r="D142" s="214"/>
      <c r="E142" s="214"/>
      <c r="F142" s="214"/>
      <c r="G142" s="214"/>
      <c r="H142" s="214"/>
      <c r="I142" s="755"/>
      <c r="J142" s="2928"/>
      <c r="K142" s="22"/>
      <c r="O142" s="117">
        <f>ROW()</f>
        <v>142</v>
      </c>
    </row>
    <row r="143" spans="2:15" ht="15" customHeight="1">
      <c r="B143" s="316" t="s">
        <v>5023</v>
      </c>
      <c r="C143" s="214"/>
      <c r="D143" s="214"/>
      <c r="E143" s="214"/>
      <c r="F143" s="214"/>
      <c r="I143" s="755"/>
      <c r="K143" s="1580" t="s">
        <v>4729</v>
      </c>
      <c r="L143" s="211">
        <v>0</v>
      </c>
      <c r="N143" s="211">
        <v>0</v>
      </c>
      <c r="O143" s="117">
        <f>ROW()</f>
        <v>143</v>
      </c>
    </row>
    <row r="144" spans="2:15" ht="15" customHeight="1">
      <c r="B144" s="316" t="s">
        <v>5024</v>
      </c>
      <c r="C144" s="214"/>
      <c r="D144" s="214"/>
      <c r="E144" s="214"/>
      <c r="F144" s="214"/>
      <c r="I144" s="755"/>
      <c r="K144" s="1580" t="s">
        <v>4729</v>
      </c>
      <c r="L144" s="211">
        <v>0</v>
      </c>
      <c r="N144" s="211">
        <v>0</v>
      </c>
      <c r="O144" s="117">
        <f>ROW()</f>
        <v>144</v>
      </c>
    </row>
    <row r="145" spans="2:24" ht="15" customHeight="1">
      <c r="B145" s="316" t="s">
        <v>5025</v>
      </c>
      <c r="C145" s="214"/>
      <c r="D145" s="214"/>
      <c r="E145" s="214"/>
      <c r="F145" s="214"/>
      <c r="G145" s="214"/>
      <c r="H145" s="214"/>
      <c r="I145" s="755"/>
      <c r="J145" s="2915"/>
      <c r="K145" s="22"/>
      <c r="L145" s="2941">
        <f>L93*wkday_per_yr*((1+L143)*(1+L144)-1)</f>
        <v>0</v>
      </c>
      <c r="N145" s="2941">
        <f>N93*wkend_per_yr*((1+N143)*(1+N144)-1)</f>
        <v>0</v>
      </c>
      <c r="O145" s="117">
        <f>ROW()</f>
        <v>145</v>
      </c>
    </row>
    <row r="146" spans="2:24" ht="15" customHeight="1">
      <c r="B146" s="316" t="s">
        <v>5026</v>
      </c>
      <c r="C146" s="214"/>
      <c r="D146" s="214"/>
      <c r="E146" s="214"/>
      <c r="F146" s="214"/>
      <c r="G146" s="214"/>
      <c r="H146" s="214"/>
      <c r="I146" s="755"/>
      <c r="J146" s="2915"/>
      <c r="K146" s="22"/>
      <c r="L146" s="2941">
        <f>L139+L145</f>
        <v>58.9</v>
      </c>
      <c r="N146" s="2941">
        <f>N139+N145</f>
        <v>27.094000000000001</v>
      </c>
      <c r="O146" s="117">
        <f>ROW()</f>
        <v>146</v>
      </c>
    </row>
    <row r="147" spans="2:24" ht="15" customHeight="1">
      <c r="B147" s="314" t="str">
        <f>CONCATENATE("Sum of items in Rows ",O139," and ",O145, ".")</f>
        <v>Sum of items in Rows 139 and 145.</v>
      </c>
      <c r="C147" s="214"/>
      <c r="D147" s="214"/>
      <c r="E147" s="214"/>
      <c r="F147" s="214"/>
      <c r="G147" s="214"/>
      <c r="H147" s="214"/>
      <c r="I147" s="755"/>
      <c r="J147" s="2915"/>
      <c r="K147" s="22"/>
      <c r="O147" s="117">
        <f>ROW()</f>
        <v>147</v>
      </c>
    </row>
    <row r="148" spans="2:24" ht="15" customHeight="1">
      <c r="B148" s="316" t="s">
        <v>5027</v>
      </c>
      <c r="C148" s="214"/>
      <c r="D148" s="214"/>
      <c r="E148" s="214"/>
      <c r="F148" s="214"/>
      <c r="G148" s="214"/>
      <c r="H148" s="214"/>
      <c r="I148" s="755"/>
      <c r="J148" s="2915"/>
      <c r="K148" s="22"/>
      <c r="L148" s="241">
        <f>L146/L95</f>
        <v>4.7249450549450546E-2</v>
      </c>
      <c r="N148" s="241">
        <f>N146/N95</f>
        <v>4.7249450549450553E-2</v>
      </c>
      <c r="O148" s="117">
        <f>ROW()</f>
        <v>148</v>
      </c>
    </row>
    <row r="149" spans="2:24" ht="15" customHeight="1">
      <c r="B149" s="314" t="str">
        <f>CONCATENATE("Ratio of increase in Row ",O146," to base revenue in Row ",O95, ".")</f>
        <v>Ratio of increase in Row 146 to base revenue in Row 95.</v>
      </c>
      <c r="C149" s="214"/>
      <c r="D149" s="214"/>
      <c r="E149" s="214"/>
      <c r="F149" s="214"/>
      <c r="G149" s="214"/>
      <c r="H149" s="214"/>
      <c r="I149" s="755"/>
      <c r="J149" s="2915"/>
      <c r="K149" s="22"/>
      <c r="O149" s="117">
        <f>ROW()</f>
        <v>149</v>
      </c>
    </row>
    <row r="150" spans="2:24" ht="15" customHeight="1">
      <c r="B150" s="214" t="s">
        <v>2958</v>
      </c>
      <c r="C150" s="214"/>
      <c r="D150" s="214"/>
      <c r="E150" s="214"/>
      <c r="F150" s="214"/>
      <c r="G150" s="214"/>
      <c r="H150" s="214"/>
      <c r="L150" s="303">
        <f>L102*(1+L148)</f>
        <v>10.064067219780219</v>
      </c>
      <c r="N150" s="303">
        <f>N102*(1+N148)</f>
        <v>9.6475316189765401</v>
      </c>
      <c r="O150" s="117">
        <f>ROW()</f>
        <v>150</v>
      </c>
    </row>
    <row r="151" spans="2:24" ht="15" customHeight="1">
      <c r="B151" s="314" t="str">
        <f>CONCATENATE("Average 2005 fare in Row ",O102," increased with percent in Row ",O148, ".")</f>
        <v>Average 2005 fare in Row 102 increased with percent in Row 148.</v>
      </c>
      <c r="C151" s="214"/>
      <c r="D151" s="214"/>
      <c r="E151" s="214"/>
      <c r="F151" s="214"/>
      <c r="G151" s="214"/>
      <c r="H151" s="214"/>
      <c r="I151" s="755"/>
      <c r="J151" s="2915"/>
      <c r="K151" s="22"/>
      <c r="O151" s="117">
        <f>ROW()</f>
        <v>151</v>
      </c>
    </row>
    <row r="152" spans="2:24" ht="15" customHeight="1">
      <c r="B152" s="314"/>
      <c r="C152" s="214"/>
      <c r="D152" s="214"/>
      <c r="E152" s="214"/>
      <c r="F152" s="214"/>
      <c r="G152" s="214"/>
      <c r="H152" s="214"/>
      <c r="I152" s="755"/>
      <c r="J152" s="2915"/>
      <c r="K152" s="22"/>
      <c r="O152" s="117">
        <f>ROW()</f>
        <v>152</v>
      </c>
    </row>
    <row r="153" spans="2:24" s="3608" customFormat="1" ht="15" customHeight="1">
      <c r="B153" s="467" t="s">
        <v>6443</v>
      </c>
      <c r="C153" s="214"/>
      <c r="D153" s="214"/>
      <c r="E153" s="214"/>
      <c r="F153" s="214"/>
      <c r="G153" s="214"/>
      <c r="H153" s="214"/>
      <c r="I153" s="755"/>
      <c r="J153" s="3607"/>
      <c r="K153" s="22"/>
      <c r="O153" s="117">
        <f>ROW()</f>
        <v>153</v>
      </c>
    </row>
    <row r="154" spans="2:24" s="3608" customFormat="1" ht="15" customHeight="1">
      <c r="B154" s="314"/>
      <c r="C154" s="214"/>
      <c r="D154" s="214"/>
      <c r="E154" s="214"/>
      <c r="F154" s="214"/>
      <c r="G154" s="214"/>
      <c r="H154" s="214"/>
      <c r="I154" s="755"/>
      <c r="J154" s="3607"/>
      <c r="K154" s="22"/>
      <c r="M154" s="4667" t="s">
        <v>6442</v>
      </c>
      <c r="N154" s="4668"/>
      <c r="O154" s="117">
        <f>ROW()</f>
        <v>154</v>
      </c>
    </row>
    <row r="155" spans="2:24" s="3608" customFormat="1" ht="15" customHeight="1">
      <c r="B155" s="4201" t="s">
        <v>6422</v>
      </c>
      <c r="C155" s="4673"/>
      <c r="D155" s="4673"/>
      <c r="E155" s="4673"/>
      <c r="F155" s="4673"/>
      <c r="G155" s="4673"/>
      <c r="H155" s="4673"/>
      <c r="I155" s="4673"/>
      <c r="J155" s="4673"/>
      <c r="K155" s="4673"/>
      <c r="M155" s="4669"/>
      <c r="N155" s="4670"/>
      <c r="O155" s="117">
        <f>ROW()</f>
        <v>155</v>
      </c>
    </row>
    <row r="156" spans="2:24" s="3608" customFormat="1" ht="15" customHeight="1">
      <c r="B156" s="4673"/>
      <c r="C156" s="4673"/>
      <c r="D156" s="4673"/>
      <c r="E156" s="4673"/>
      <c r="F156" s="4673"/>
      <c r="G156" s="4673"/>
      <c r="H156" s="4673"/>
      <c r="I156" s="4673"/>
      <c r="J156" s="4673"/>
      <c r="K156" s="4673"/>
      <c r="M156" s="4669"/>
      <c r="N156" s="4670"/>
      <c r="O156" s="117">
        <f>ROW()</f>
        <v>156</v>
      </c>
    </row>
    <row r="157" spans="2:24" s="3608" customFormat="1" ht="15" customHeight="1">
      <c r="B157" s="4201" t="s">
        <v>6423</v>
      </c>
      <c r="C157" s="4673"/>
      <c r="D157" s="4673"/>
      <c r="E157" s="4673"/>
      <c r="F157" s="4673"/>
      <c r="G157" s="4673"/>
      <c r="H157" s="4673"/>
      <c r="I157" s="4673"/>
      <c r="J157" s="4673"/>
      <c r="K157" s="4673"/>
      <c r="M157" s="4669"/>
      <c r="N157" s="4670"/>
      <c r="O157" s="117">
        <f>ROW()</f>
        <v>157</v>
      </c>
      <c r="P157"/>
      <c r="Q157"/>
      <c r="R157"/>
      <c r="S157"/>
      <c r="T157"/>
      <c r="U157"/>
      <c r="V157"/>
      <c r="W157"/>
      <c r="X157"/>
    </row>
    <row r="158" spans="2:24" s="3608" customFormat="1" ht="15" customHeight="1">
      <c r="B158" s="4673"/>
      <c r="C158" s="4673"/>
      <c r="D158" s="4673"/>
      <c r="E158" s="4673"/>
      <c r="F158" s="4673"/>
      <c r="G158" s="4673"/>
      <c r="H158" s="4673"/>
      <c r="I158" s="4673"/>
      <c r="J158" s="4673"/>
      <c r="K158" s="4673"/>
      <c r="M158" s="4669"/>
      <c r="N158" s="4670"/>
      <c r="O158" s="117">
        <f>ROW()</f>
        <v>158</v>
      </c>
      <c r="P158"/>
      <c r="Q158"/>
      <c r="R158"/>
      <c r="S158"/>
      <c r="T158"/>
      <c r="U158"/>
      <c r="V158"/>
      <c r="W158"/>
      <c r="X158"/>
    </row>
    <row r="159" spans="2:24" s="3608" customFormat="1" ht="15" customHeight="1">
      <c r="B159" s="4617" t="s">
        <v>6441</v>
      </c>
      <c r="C159" s="3786"/>
      <c r="D159" s="3786"/>
      <c r="E159" s="3786"/>
      <c r="F159" s="3786"/>
      <c r="G159" s="3786"/>
      <c r="H159" s="3786"/>
      <c r="I159" s="3786"/>
      <c r="J159" s="3786"/>
      <c r="K159" s="3786"/>
      <c r="M159" s="4669"/>
      <c r="N159" s="4670"/>
      <c r="O159" s="117">
        <f>ROW()</f>
        <v>159</v>
      </c>
      <c r="P159"/>
      <c r="Q159"/>
      <c r="R159"/>
      <c r="S159"/>
      <c r="T159"/>
      <c r="U159"/>
      <c r="V159"/>
      <c r="W159"/>
      <c r="X159"/>
    </row>
    <row r="160" spans="2:24" s="3608" customFormat="1" ht="15" customHeight="1">
      <c r="B160" s="3786"/>
      <c r="C160" s="3786"/>
      <c r="D160" s="3786"/>
      <c r="E160" s="3786"/>
      <c r="F160" s="3786"/>
      <c r="G160" s="3786"/>
      <c r="H160" s="3786"/>
      <c r="I160" s="3786"/>
      <c r="J160" s="3786"/>
      <c r="K160" s="3786"/>
      <c r="M160" s="4669"/>
      <c r="N160" s="4670"/>
      <c r="O160" s="117">
        <f>ROW()</f>
        <v>160</v>
      </c>
      <c r="P160"/>
      <c r="Q160"/>
      <c r="R160"/>
      <c r="S160"/>
      <c r="T160"/>
      <c r="U160"/>
      <c r="V160"/>
      <c r="W160"/>
      <c r="X160"/>
    </row>
    <row r="161" spans="2:23" s="3608" customFormat="1" ht="15" customHeight="1">
      <c r="B161" s="3786"/>
      <c r="C161" s="3786"/>
      <c r="D161" s="3786"/>
      <c r="E161" s="3786"/>
      <c r="F161" s="3786"/>
      <c r="G161" s="3786"/>
      <c r="H161" s="3786"/>
      <c r="I161" s="3786"/>
      <c r="J161" s="3786"/>
      <c r="K161" s="3786"/>
      <c r="M161" s="4671"/>
      <c r="N161" s="4672"/>
      <c r="O161" s="117">
        <f>ROW()</f>
        <v>161</v>
      </c>
    </row>
    <row r="162" spans="2:23" s="3608" customFormat="1" ht="15" customHeight="1">
      <c r="B162" s="4201" t="s">
        <v>6425</v>
      </c>
      <c r="C162" s="4673"/>
      <c r="D162" s="4673"/>
      <c r="E162" s="4673"/>
      <c r="F162" s="4673"/>
      <c r="G162" s="4673"/>
      <c r="H162" s="4673"/>
      <c r="I162" s="4673"/>
      <c r="J162" s="4673"/>
      <c r="K162" s="4673"/>
      <c r="O162" s="117">
        <f>ROW()</f>
        <v>162</v>
      </c>
    </row>
    <row r="163" spans="2:23" s="3610" customFormat="1" ht="15" customHeight="1">
      <c r="B163" s="4673"/>
      <c r="C163" s="4673"/>
      <c r="D163" s="4673"/>
      <c r="E163" s="4673"/>
      <c r="F163" s="4673"/>
      <c r="G163" s="4673"/>
      <c r="H163" s="4673"/>
      <c r="I163" s="4673"/>
      <c r="J163" s="4673"/>
      <c r="K163" s="4673"/>
      <c r="O163" s="117">
        <f>ROW()</f>
        <v>163</v>
      </c>
    </row>
    <row r="164" spans="2:23" s="3610" customFormat="1" ht="15" customHeight="1">
      <c r="B164" s="314"/>
      <c r="C164" s="214"/>
      <c r="D164" s="214"/>
      <c r="E164" s="214"/>
      <c r="F164" s="214"/>
      <c r="G164" s="214"/>
      <c r="H164" s="214"/>
      <c r="I164" s="755"/>
      <c r="J164" s="3609"/>
      <c r="K164" s="22"/>
      <c r="O164" s="117">
        <f>ROW()</f>
        <v>164</v>
      </c>
    </row>
    <row r="165" spans="2:23" s="3608" customFormat="1" ht="15" customHeight="1">
      <c r="B165" s="314"/>
      <c r="C165" s="214"/>
      <c r="D165" s="214"/>
      <c r="E165" s="3784" t="s">
        <v>6426</v>
      </c>
      <c r="F165" s="3784"/>
      <c r="G165" s="3784"/>
      <c r="H165" s="3784"/>
      <c r="I165" s="3784"/>
      <c r="J165" s="3784"/>
      <c r="K165" s="3784"/>
      <c r="L165" s="3784"/>
      <c r="M165" s="3784"/>
      <c r="O165" s="117">
        <f>ROW()</f>
        <v>165</v>
      </c>
      <c r="P165" s="3784" t="s">
        <v>6427</v>
      </c>
      <c r="Q165" s="3784"/>
      <c r="R165" s="3784"/>
      <c r="S165" s="3784"/>
      <c r="T165" s="3784"/>
      <c r="U165" s="3784"/>
      <c r="V165" s="3784"/>
      <c r="W165" s="3784"/>
    </row>
    <row r="166" spans="2:23" s="3610" customFormat="1" ht="15" customHeight="1">
      <c r="B166" s="314"/>
      <c r="C166" s="214"/>
      <c r="D166" s="214"/>
      <c r="E166" s="3811" t="s">
        <v>6424</v>
      </c>
      <c r="F166" s="3811"/>
      <c r="G166" s="3811"/>
      <c r="H166" s="3811"/>
      <c r="I166" s="3811"/>
      <c r="J166" s="3811"/>
      <c r="K166" s="3811"/>
      <c r="L166" s="3811"/>
      <c r="M166" s="3811"/>
      <c r="O166" s="117">
        <f>ROW()</f>
        <v>166</v>
      </c>
      <c r="P166" s="3811" t="s">
        <v>6428</v>
      </c>
      <c r="Q166" s="3811"/>
      <c r="R166" s="3811"/>
      <c r="S166" s="3811"/>
      <c r="T166" s="3811"/>
      <c r="U166" s="3811"/>
      <c r="V166" s="3811"/>
      <c r="W166" s="3811"/>
    </row>
    <row r="167" spans="2:23" s="3608" customFormat="1" ht="15" customHeight="1">
      <c r="B167" s="4655" t="str">
        <f>CONCATENATE("% of time cruising (Row ",O176, ") is est'd via a formula that takes into account the period's fare trips relative to 24-hr avg (Row ",O175, "). The lower the fare trips ratio, the higher the cruising %. The formula uses square root to attenuate the proportionality.")</f>
        <v>% of time cruising (Row 176) is est'd via a formula that takes into account the period's fare trips relative to 24-hr avg (Row 175). The lower the fare trips ratio, the higher the cruising %. The formula uses square root to attenuate the proportionality.</v>
      </c>
      <c r="C167" s="4656"/>
      <c r="D167" s="4656"/>
      <c r="E167" s="4656"/>
      <c r="F167" s="4634" t="s">
        <v>1472</v>
      </c>
      <c r="G167" s="4634" t="s">
        <v>6404</v>
      </c>
      <c r="H167" s="4634" t="s">
        <v>2445</v>
      </c>
      <c r="I167" s="4634" t="s">
        <v>6405</v>
      </c>
      <c r="J167" s="4634" t="s">
        <v>1152</v>
      </c>
      <c r="K167" s="4634" t="s">
        <v>1151</v>
      </c>
      <c r="L167" s="4634" t="s">
        <v>6406</v>
      </c>
      <c r="M167" s="4634" t="s">
        <v>2684</v>
      </c>
      <c r="O167" s="117">
        <f>ROW()</f>
        <v>167</v>
      </c>
      <c r="Q167" s="4634" t="s">
        <v>1472</v>
      </c>
      <c r="R167" s="4634" t="s">
        <v>985</v>
      </c>
      <c r="S167" s="4634" t="s">
        <v>987</v>
      </c>
      <c r="T167" s="4634" t="s">
        <v>1367</v>
      </c>
      <c r="U167" s="4634" t="s">
        <v>988</v>
      </c>
      <c r="V167" s="4634" t="s">
        <v>986</v>
      </c>
      <c r="W167" s="4634" t="s">
        <v>2684</v>
      </c>
    </row>
    <row r="168" spans="2:23" s="3608" customFormat="1" ht="15" customHeight="1">
      <c r="B168" s="4656"/>
      <c r="C168" s="4656"/>
      <c r="D168" s="4656"/>
      <c r="E168" s="4656"/>
      <c r="F168" s="3807"/>
      <c r="G168" s="3807"/>
      <c r="H168" s="3807"/>
      <c r="I168" s="3807"/>
      <c r="J168" s="3807"/>
      <c r="K168" s="3807"/>
      <c r="L168" s="3807"/>
      <c r="M168" s="3807"/>
      <c r="O168" s="117">
        <f>ROW()</f>
        <v>168</v>
      </c>
      <c r="Q168" s="3807"/>
      <c r="R168" s="3807"/>
      <c r="S168" s="3807"/>
      <c r="T168" s="3807"/>
      <c r="U168" s="3807"/>
      <c r="V168" s="3807"/>
      <c r="W168" s="3807"/>
    </row>
    <row r="169" spans="2:23" s="3608" customFormat="1" ht="15" customHeight="1">
      <c r="B169" s="4656"/>
      <c r="C169" s="4656"/>
      <c r="D169" s="4656"/>
      <c r="E169" s="4656"/>
      <c r="F169" s="3" t="s">
        <v>5297</v>
      </c>
      <c r="G169" s="3" t="s">
        <v>5633</v>
      </c>
      <c r="H169" s="3" t="s">
        <v>6407</v>
      </c>
      <c r="I169" s="3" t="s">
        <v>6408</v>
      </c>
      <c r="J169" s="3" t="s">
        <v>212</v>
      </c>
      <c r="K169" s="3" t="s">
        <v>6409</v>
      </c>
      <c r="L169" s="3" t="s">
        <v>6410</v>
      </c>
      <c r="M169" s="2370"/>
      <c r="O169" s="117">
        <f>ROW()</f>
        <v>169</v>
      </c>
      <c r="Q169" s="3618" t="s">
        <v>6429</v>
      </c>
      <c r="R169" s="3618" t="s">
        <v>6430</v>
      </c>
      <c r="S169" s="3618" t="s">
        <v>6431</v>
      </c>
      <c r="T169" s="3618" t="s">
        <v>6432</v>
      </c>
      <c r="U169" s="3618" t="s">
        <v>6433</v>
      </c>
      <c r="V169" s="3618" t="s">
        <v>6434</v>
      </c>
      <c r="W169" s="2370"/>
    </row>
    <row r="170" spans="2:23" s="3608" customFormat="1" ht="15" customHeight="1">
      <c r="B170" s="4656"/>
      <c r="C170" s="4656"/>
      <c r="D170" s="4656"/>
      <c r="E170" s="4656"/>
      <c r="F170" s="2370"/>
      <c r="G170" s="2370"/>
      <c r="H170" s="2370"/>
      <c r="I170" s="2370"/>
      <c r="J170" s="2370"/>
      <c r="K170" s="2370"/>
      <c r="L170" s="2370"/>
      <c r="M170" s="2370"/>
      <c r="O170" s="117">
        <f>ROW()</f>
        <v>170</v>
      </c>
    </row>
    <row r="171" spans="2:23" s="3608" customFormat="1" ht="15" customHeight="1">
      <c r="B171" s="314"/>
      <c r="C171" s="3"/>
      <c r="D171" s="214"/>
      <c r="E171" s="2924" t="s">
        <v>6435</v>
      </c>
      <c r="F171" s="2102">
        <v>245110.2</v>
      </c>
      <c r="G171" s="2102">
        <v>17227</v>
      </c>
      <c r="H171" s="2102">
        <v>258331.4</v>
      </c>
      <c r="I171" s="2102">
        <v>108389.8</v>
      </c>
      <c r="J171" s="2102">
        <v>362644.2</v>
      </c>
      <c r="K171" s="2102">
        <v>686902</v>
      </c>
      <c r="L171" s="2102">
        <v>375159.4</v>
      </c>
      <c r="M171" s="2382">
        <f>SUM(F171:L171)</f>
        <v>2053764</v>
      </c>
      <c r="O171" s="117">
        <f>ROW()</f>
        <v>171</v>
      </c>
      <c r="Q171" s="2102">
        <v>670265.5</v>
      </c>
      <c r="R171" s="2102">
        <v>165784</v>
      </c>
      <c r="S171" s="2102">
        <v>498336</v>
      </c>
      <c r="T171" s="2102">
        <v>331674.5</v>
      </c>
      <c r="U171" s="2102">
        <v>207362.5</v>
      </c>
      <c r="V171" s="2102">
        <v>192978.5</v>
      </c>
      <c r="W171" s="2382">
        <f>SUM(Q171:V171)</f>
        <v>2066401</v>
      </c>
    </row>
    <row r="172" spans="2:23" s="3610" customFormat="1" ht="15" customHeight="1">
      <c r="B172" s="314"/>
      <c r="C172" s="214"/>
      <c r="D172" s="214"/>
      <c r="E172" s="2924" t="s">
        <v>2677</v>
      </c>
      <c r="F172" s="2370">
        <v>6</v>
      </c>
      <c r="G172" s="2370">
        <v>1</v>
      </c>
      <c r="H172" s="2370">
        <v>3</v>
      </c>
      <c r="I172" s="2370">
        <v>1</v>
      </c>
      <c r="J172" s="2370">
        <v>4</v>
      </c>
      <c r="K172" s="2370">
        <v>6</v>
      </c>
      <c r="L172" s="2370">
        <v>3</v>
      </c>
      <c r="M172" s="2382">
        <f>SUM(F172:L172)</f>
        <v>24</v>
      </c>
      <c r="O172" s="117">
        <f>ROW()</f>
        <v>172</v>
      </c>
      <c r="Q172" s="2102">
        <v>10</v>
      </c>
      <c r="R172" s="2102">
        <v>2</v>
      </c>
      <c r="S172" s="2102">
        <v>5</v>
      </c>
      <c r="T172" s="2102">
        <v>3</v>
      </c>
      <c r="U172" s="2102">
        <v>2</v>
      </c>
      <c r="V172" s="2102">
        <v>2</v>
      </c>
      <c r="W172" s="2382">
        <f>SUM(Q172:V172)</f>
        <v>24</v>
      </c>
    </row>
    <row r="173" spans="2:23" s="3610" customFormat="1" ht="15" customHeight="1">
      <c r="B173" s="5232" t="s">
        <v>6454</v>
      </c>
      <c r="C173" s="214"/>
      <c r="D173" s="214"/>
      <c r="E173" s="2924" t="s">
        <v>6436</v>
      </c>
      <c r="F173" s="2102">
        <f t="shared" ref="F173:M173" si="0">F171/F172</f>
        <v>40851.700000000004</v>
      </c>
      <c r="G173" s="2102">
        <f t="shared" si="0"/>
        <v>17227</v>
      </c>
      <c r="H173" s="2102">
        <f t="shared" si="0"/>
        <v>86110.46666666666</v>
      </c>
      <c r="I173" s="2102">
        <f t="shared" si="0"/>
        <v>108389.8</v>
      </c>
      <c r="J173" s="2102">
        <f t="shared" si="0"/>
        <v>90661.05</v>
      </c>
      <c r="K173" s="2102">
        <f t="shared" si="0"/>
        <v>114483.66666666667</v>
      </c>
      <c r="L173" s="2102">
        <f t="shared" si="0"/>
        <v>125053.13333333335</v>
      </c>
      <c r="M173" s="2382">
        <f t="shared" si="0"/>
        <v>85573.5</v>
      </c>
      <c r="O173" s="117">
        <f>ROW()</f>
        <v>173</v>
      </c>
      <c r="Q173" s="2102">
        <f t="shared" ref="Q173:U173" si="1">Q171/Q172</f>
        <v>67026.55</v>
      </c>
      <c r="R173" s="2102">
        <f t="shared" si="1"/>
        <v>82892</v>
      </c>
      <c r="S173" s="2102">
        <f t="shared" si="1"/>
        <v>99667.199999999997</v>
      </c>
      <c r="T173" s="2102">
        <f t="shared" si="1"/>
        <v>110558.16666666667</v>
      </c>
      <c r="U173" s="2102">
        <f t="shared" si="1"/>
        <v>103681.25</v>
      </c>
      <c r="V173" s="2102">
        <f t="shared" ref="V173:W173" si="2">V171/V172</f>
        <v>96489.25</v>
      </c>
      <c r="W173" s="2102">
        <f t="shared" si="2"/>
        <v>86100.041666666672</v>
      </c>
    </row>
    <row r="174" spans="2:23" s="3610" customFormat="1" ht="15" customHeight="1">
      <c r="B174" s="5233"/>
      <c r="C174" s="214"/>
      <c r="D174" s="214"/>
      <c r="E174" s="2924" t="s">
        <v>6413</v>
      </c>
      <c r="F174" s="2379">
        <f t="shared" ref="F174:M174" si="3">F171/$M$171</f>
        <v>0.1193468188165729</v>
      </c>
      <c r="G174" s="2379">
        <f t="shared" si="3"/>
        <v>8.3880134231586485E-3</v>
      </c>
      <c r="H174" s="2379">
        <f t="shared" si="3"/>
        <v>0.12578436470792165</v>
      </c>
      <c r="I174" s="2379">
        <f t="shared" si="3"/>
        <v>5.2776170971932511E-2</v>
      </c>
      <c r="J174" s="2379">
        <f t="shared" si="3"/>
        <v>0.17657540009465547</v>
      </c>
      <c r="K174" s="2379">
        <f t="shared" si="3"/>
        <v>0.33446004506846938</v>
      </c>
      <c r="L174" s="2379">
        <f t="shared" si="3"/>
        <v>0.18266918691728945</v>
      </c>
      <c r="M174" s="3611">
        <f t="shared" si="3"/>
        <v>1</v>
      </c>
      <c r="O174" s="117">
        <f>ROW()</f>
        <v>174</v>
      </c>
      <c r="Q174" s="2379">
        <f t="shared" ref="Q174:W174" si="4">Q171/$W$171</f>
        <v>0.32436371256111474</v>
      </c>
      <c r="R174" s="2379">
        <f t="shared" si="4"/>
        <v>8.0228377744687496E-2</v>
      </c>
      <c r="S174" s="2379">
        <f t="shared" si="4"/>
        <v>0.24116132347980862</v>
      </c>
      <c r="T174" s="2379">
        <f t="shared" si="4"/>
        <v>0.16050829437267985</v>
      </c>
      <c r="U174" s="2379">
        <f t="shared" si="4"/>
        <v>0.10034959332675507</v>
      </c>
      <c r="V174" s="2379">
        <f t="shared" si="4"/>
        <v>9.3388698514954266E-2</v>
      </c>
      <c r="W174" s="3611">
        <f t="shared" si="4"/>
        <v>1</v>
      </c>
    </row>
    <row r="175" spans="2:23" s="3610" customFormat="1" ht="15" customHeight="1">
      <c r="B175" s="5233"/>
      <c r="C175" s="214"/>
      <c r="D175" s="214"/>
      <c r="E175" s="2924" t="s">
        <v>6437</v>
      </c>
      <c r="F175" s="2376">
        <f t="shared" ref="F175:M175" si="5">F173/$M$173</f>
        <v>0.4773872752662916</v>
      </c>
      <c r="G175" s="2376">
        <f t="shared" si="5"/>
        <v>0.20131232215580758</v>
      </c>
      <c r="H175" s="2376">
        <f t="shared" si="5"/>
        <v>1.0062749176633732</v>
      </c>
      <c r="I175" s="2376">
        <f t="shared" si="5"/>
        <v>1.2666281033263802</v>
      </c>
      <c r="J175" s="2376">
        <f t="shared" si="5"/>
        <v>1.0594524005679329</v>
      </c>
      <c r="K175" s="2376">
        <f t="shared" si="5"/>
        <v>1.3378401802738777</v>
      </c>
      <c r="L175" s="2376">
        <f t="shared" si="5"/>
        <v>1.4613534953383156</v>
      </c>
      <c r="M175" s="2376">
        <f t="shared" si="5"/>
        <v>1</v>
      </c>
      <c r="O175" s="117">
        <f>ROW()</f>
        <v>175</v>
      </c>
      <c r="Q175" s="2376">
        <f t="shared" ref="Q175:W175" si="6">Q173/$W$173</f>
        <v>0.7784729101466753</v>
      </c>
      <c r="R175" s="2376">
        <f t="shared" si="6"/>
        <v>0.96274053293624995</v>
      </c>
      <c r="S175" s="2376">
        <f t="shared" si="6"/>
        <v>1.1575743527030813</v>
      </c>
      <c r="T175" s="2376">
        <f t="shared" si="6"/>
        <v>1.2840663549814386</v>
      </c>
      <c r="U175" s="2376">
        <f t="shared" si="6"/>
        <v>1.2041951199210608</v>
      </c>
      <c r="V175" s="2376">
        <f t="shared" si="6"/>
        <v>1.1206643821794511</v>
      </c>
      <c r="W175" s="2376">
        <f t="shared" si="6"/>
        <v>1</v>
      </c>
    </row>
    <row r="176" spans="2:23" s="3610" customFormat="1" ht="15" customHeight="1">
      <c r="B176" s="5233"/>
      <c r="C176" s="214"/>
      <c r="D176" s="3614"/>
      <c r="E176" s="3615" t="s">
        <v>6414</v>
      </c>
      <c r="F176" s="3620">
        <f t="shared" ref="F176:L176" si="7">1-$F$182*F175^0.5</f>
        <v>0.58544069290888556</v>
      </c>
      <c r="G176" s="3620">
        <f t="shared" si="7"/>
        <v>0.73079294961667385</v>
      </c>
      <c r="H176" s="3620">
        <f t="shared" si="7"/>
        <v>0.39812046856632988</v>
      </c>
      <c r="I176" s="3620">
        <f t="shared" si="7"/>
        <v>0.3247325587609774</v>
      </c>
      <c r="J176" s="3620">
        <f t="shared" si="7"/>
        <v>0.38242177482973394</v>
      </c>
      <c r="K176" s="3620">
        <f t="shared" si="7"/>
        <v>0.306009751582491</v>
      </c>
      <c r="L176" s="3620">
        <f t="shared" si="7"/>
        <v>0.27468127121809849</v>
      </c>
      <c r="M176" s="3625">
        <f>SUMPRODUCT(F174:L174,F176:L176)</f>
        <v>0.36326597430849544</v>
      </c>
      <c r="O176" s="117">
        <f>ROW()</f>
        <v>176</v>
      </c>
      <c r="Q176" s="3612">
        <f t="shared" ref="Q176:V176" si="8">1-$F$182*Q175^0.5</f>
        <v>0.47061332879189044</v>
      </c>
      <c r="R176" s="3612">
        <f t="shared" si="8"/>
        <v>0.41128394632297482</v>
      </c>
      <c r="S176" s="3612">
        <f t="shared" si="8"/>
        <v>0.35445622381351305</v>
      </c>
      <c r="T176" s="3612">
        <f t="shared" si="8"/>
        <v>0.32010008987107674</v>
      </c>
      <c r="U176" s="3612">
        <f t="shared" si="8"/>
        <v>0.34158505243913095</v>
      </c>
      <c r="V176" s="3612">
        <f t="shared" si="8"/>
        <v>0.36483137862091897</v>
      </c>
      <c r="W176" s="3611">
        <f>SUMPRODUCT(Q174:V174,Q176:V176)</f>
        <v>0.39085543054346689</v>
      </c>
    </row>
    <row r="177" spans="2:23" s="3610" customFormat="1" ht="15" customHeight="1">
      <c r="B177" s="5233"/>
      <c r="C177"/>
      <c r="D177" s="3616"/>
      <c r="E177" s="3617" t="s">
        <v>6453</v>
      </c>
      <c r="F177" s="3621">
        <f t="shared" ref="F177:M177" si="9">1/(1-F176)</f>
        <v>2.4122000951246614</v>
      </c>
      <c r="G177" s="3621">
        <f t="shared" si="9"/>
        <v>3.714612966399252</v>
      </c>
      <c r="H177" s="3621">
        <f t="shared" si="9"/>
        <v>1.6614620497527328</v>
      </c>
      <c r="I177" s="3621">
        <f t="shared" si="9"/>
        <v>1.4808947372986589</v>
      </c>
      <c r="J177" s="3621">
        <f t="shared" si="9"/>
        <v>1.61922807385947</v>
      </c>
      <c r="K177" s="3621">
        <f t="shared" si="9"/>
        <v>1.4409424372752764</v>
      </c>
      <c r="L177" s="3621">
        <f t="shared" si="9"/>
        <v>1.3787042307309472</v>
      </c>
      <c r="M177" s="3622">
        <f t="shared" si="9"/>
        <v>1.5705144686024624</v>
      </c>
      <c r="O177" s="117">
        <f>ROW()</f>
        <v>177</v>
      </c>
      <c r="Q177" s="3626">
        <f t="shared" ref="Q177:W177" si="10">1/(1-Q176)</f>
        <v>1.8889784242544436</v>
      </c>
      <c r="R177" s="3626">
        <f t="shared" si="10"/>
        <v>1.698611739486569</v>
      </c>
      <c r="S177" s="3626">
        <f t="shared" si="10"/>
        <v>1.5490816221750956</v>
      </c>
      <c r="T177" s="3626">
        <f t="shared" si="10"/>
        <v>1.47080472449302</v>
      </c>
      <c r="U177" s="3626">
        <f t="shared" si="10"/>
        <v>1.5187990547671339</v>
      </c>
      <c r="V177" s="3626">
        <f t="shared" si="10"/>
        <v>1.5743850787666358</v>
      </c>
      <c r="W177" s="3627">
        <f t="shared" si="10"/>
        <v>1.6416464171915386</v>
      </c>
    </row>
    <row r="178" spans="2:23" s="3610" customFormat="1" ht="15" customHeight="1">
      <c r="B178" s="5233"/>
      <c r="C178" s="214"/>
      <c r="D178" s="214"/>
      <c r="E178" s="2924" t="s">
        <v>6415</v>
      </c>
      <c r="F178" s="3612">
        <f t="shared" ref="F178:L178" si="11">F174*F177</f>
        <v>0.2878884077021629</v>
      </c>
      <c r="G178" s="3612">
        <f t="shared" si="11"/>
        <v>3.115822342399609E-2</v>
      </c>
      <c r="H178" s="3612">
        <f t="shared" si="11"/>
        <v>0.2089859484144688</v>
      </c>
      <c r="I178" s="3612">
        <f t="shared" si="11"/>
        <v>7.8155953847109105E-2</v>
      </c>
      <c r="J178" s="3612">
        <f t="shared" si="11"/>
        <v>0.28591584498623424</v>
      </c>
      <c r="K178" s="3612">
        <f t="shared" si="11"/>
        <v>0.48193767251215908</v>
      </c>
      <c r="L178" s="3612">
        <f t="shared" si="11"/>
        <v>0.25184678082704914</v>
      </c>
      <c r="M178" s="2393">
        <f>SUM(F178:L178)</f>
        <v>1.6258888317131794</v>
      </c>
      <c r="O178" s="117">
        <f>ROW()</f>
        <v>178</v>
      </c>
      <c r="Q178" s="3612">
        <f t="shared" ref="Q178:U178" si="12">Q174*Q177</f>
        <v>0.61271605463901579</v>
      </c>
      <c r="R178" s="3612">
        <f t="shared" si="12"/>
        <v>0.13627686427708915</v>
      </c>
      <c r="S178" s="3612">
        <f t="shared" si="12"/>
        <v>0.37357857418199492</v>
      </c>
      <c r="T178" s="3612">
        <f t="shared" si="12"/>
        <v>0.23607635768365395</v>
      </c>
      <c r="U178" s="3612">
        <f t="shared" si="12"/>
        <v>0.1524108674909419</v>
      </c>
      <c r="V178" s="3612">
        <f t="shared" ref="V178" si="13">V174*V177</f>
        <v>0.14702977346737989</v>
      </c>
      <c r="W178" s="2393">
        <f>SUM(Q178:V178)</f>
        <v>1.6580884917400756</v>
      </c>
    </row>
    <row r="179" spans="2:23" s="3608" customFormat="1" ht="15" customHeight="1">
      <c r="B179" s="5233"/>
      <c r="C179" s="214"/>
      <c r="D179" s="214"/>
      <c r="E179" s="2924" t="s">
        <v>6416</v>
      </c>
      <c r="F179" s="3612">
        <f t="shared" ref="F179:M179" si="14">F178/$M$178</f>
        <v>0.17706524707400711</v>
      </c>
      <c r="G179" s="3612">
        <f t="shared" si="14"/>
        <v>1.9163809244673296E-2</v>
      </c>
      <c r="H179" s="3612">
        <f t="shared" si="14"/>
        <v>0.12853643148176547</v>
      </c>
      <c r="I179" s="3612">
        <f t="shared" si="14"/>
        <v>4.806967876441904E-2</v>
      </c>
      <c r="J179" s="3612">
        <f t="shared" si="14"/>
        <v>0.17585202592539378</v>
      </c>
      <c r="K179" s="3612">
        <f t="shared" si="14"/>
        <v>0.29641489818485756</v>
      </c>
      <c r="L179" s="3612">
        <f t="shared" si="14"/>
        <v>0.15489790932488368</v>
      </c>
      <c r="M179" s="3612">
        <f t="shared" si="14"/>
        <v>1</v>
      </c>
      <c r="O179" s="117">
        <f>ROW()</f>
        <v>179</v>
      </c>
      <c r="Q179" s="3612">
        <f t="shared" ref="Q179:W179" si="15">Q178/$W$178</f>
        <v>0.36953157668684072</v>
      </c>
      <c r="R179" s="3612">
        <f t="shared" si="15"/>
        <v>8.2189138249234114E-2</v>
      </c>
      <c r="S179" s="3612">
        <f t="shared" si="15"/>
        <v>0.2253067770767434</v>
      </c>
      <c r="T179" s="3612">
        <f t="shared" si="15"/>
        <v>0.14237862385493333</v>
      </c>
      <c r="U179" s="3612">
        <f t="shared" si="15"/>
        <v>9.1919622052858474E-2</v>
      </c>
      <c r="V179" s="3612">
        <f t="shared" si="15"/>
        <v>8.8674262079389971E-2</v>
      </c>
      <c r="W179" s="3612">
        <f t="shared" si="15"/>
        <v>1</v>
      </c>
    </row>
    <row r="180" spans="2:23" s="3610" customFormat="1" ht="15" customHeight="1">
      <c r="B180" s="5233"/>
      <c r="C180" s="214"/>
      <c r="D180" s="214"/>
      <c r="E180" s="2924" t="s">
        <v>6417</v>
      </c>
      <c r="F180" s="2379">
        <f t="shared" ref="F180:M180" si="16">F179/F172</f>
        <v>2.9510874512334518E-2</v>
      </c>
      <c r="G180" s="2379">
        <f t="shared" si="16"/>
        <v>1.9163809244673296E-2</v>
      </c>
      <c r="H180" s="2379">
        <f t="shared" si="16"/>
        <v>4.2845477160588487E-2</v>
      </c>
      <c r="I180" s="2379">
        <f t="shared" si="16"/>
        <v>4.806967876441904E-2</v>
      </c>
      <c r="J180" s="2379">
        <f t="shared" si="16"/>
        <v>4.3963006481348446E-2</v>
      </c>
      <c r="K180" s="2379">
        <f t="shared" si="16"/>
        <v>4.9402483030809595E-2</v>
      </c>
      <c r="L180" s="2379">
        <f t="shared" si="16"/>
        <v>5.163263644162789E-2</v>
      </c>
      <c r="M180" s="2379">
        <f t="shared" si="16"/>
        <v>4.1666666666666664E-2</v>
      </c>
      <c r="O180" s="117">
        <f>ROW()</f>
        <v>180</v>
      </c>
      <c r="Q180" s="2379">
        <f t="shared" ref="Q180:U180" si="17">Q179/Q172</f>
        <v>3.6953157668684074E-2</v>
      </c>
      <c r="R180" s="2379">
        <f t="shared" si="17"/>
        <v>4.1094569124617057E-2</v>
      </c>
      <c r="S180" s="2379">
        <f t="shared" si="17"/>
        <v>4.5061355415348683E-2</v>
      </c>
      <c r="T180" s="2379">
        <f t="shared" si="17"/>
        <v>4.7459541284977778E-2</v>
      </c>
      <c r="U180" s="2379">
        <f t="shared" si="17"/>
        <v>4.5959811026429237E-2</v>
      </c>
      <c r="V180" s="2379">
        <f t="shared" ref="V180:W180" si="18">V179/V172</f>
        <v>4.4337131039694985E-2</v>
      </c>
      <c r="W180" s="2379">
        <f t="shared" si="18"/>
        <v>4.1666666666666664E-2</v>
      </c>
    </row>
    <row r="181" spans="2:23" s="3610" customFormat="1" ht="15" customHeight="1">
      <c r="B181" s="3810"/>
      <c r="C181" s="214"/>
      <c r="D181" s="214"/>
      <c r="E181" s="2924" t="s">
        <v>6418</v>
      </c>
      <c r="F181" s="2379">
        <f t="shared" ref="F181:M181" si="19">F180/$M$180</f>
        <v>0.70826098829602846</v>
      </c>
      <c r="G181" s="2379">
        <f t="shared" si="19"/>
        <v>0.45993142187215913</v>
      </c>
      <c r="H181" s="2379">
        <f t="shared" si="19"/>
        <v>1.0282914518541237</v>
      </c>
      <c r="I181" s="2379">
        <f t="shared" si="19"/>
        <v>1.153672290346057</v>
      </c>
      <c r="J181" s="2379">
        <f t="shared" si="19"/>
        <v>1.0551121555523628</v>
      </c>
      <c r="K181" s="2379">
        <f t="shared" si="19"/>
        <v>1.1856595927394304</v>
      </c>
      <c r="L181" s="2379">
        <f t="shared" si="19"/>
        <v>1.2391832745990694</v>
      </c>
      <c r="M181" s="2379">
        <f t="shared" si="19"/>
        <v>1</v>
      </c>
      <c r="O181" s="117">
        <f>ROW()</f>
        <v>181</v>
      </c>
      <c r="Q181" s="2379">
        <f t="shared" ref="Q181:W181" si="20">Q180/$W$180</f>
        <v>0.88687578404841783</v>
      </c>
      <c r="R181" s="2379">
        <f t="shared" si="20"/>
        <v>0.98626965899080943</v>
      </c>
      <c r="S181" s="2379">
        <f t="shared" si="20"/>
        <v>1.0814725299683685</v>
      </c>
      <c r="T181" s="2379">
        <f t="shared" si="20"/>
        <v>1.1390289908394668</v>
      </c>
      <c r="U181" s="2379">
        <f t="shared" si="20"/>
        <v>1.1030354646343017</v>
      </c>
      <c r="V181" s="2379">
        <f t="shared" si="20"/>
        <v>1.0640911449526798</v>
      </c>
      <c r="W181" s="2379">
        <f t="shared" si="20"/>
        <v>1</v>
      </c>
    </row>
    <row r="182" spans="2:23" s="3610" customFormat="1" ht="15" customHeight="1">
      <c r="B182" s="314"/>
      <c r="C182" s="214"/>
      <c r="D182" s="214"/>
      <c r="E182" s="3612"/>
      <c r="F182" s="4665">
        <v>0.6</v>
      </c>
      <c r="G182" s="4666"/>
      <c r="H182" s="3612"/>
      <c r="I182" s="3612"/>
      <c r="J182" s="3612"/>
      <c r="K182" s="3612"/>
      <c r="L182" s="3612"/>
      <c r="M182" s="3612"/>
      <c r="O182" s="117">
        <f>ROW()</f>
        <v>182</v>
      </c>
    </row>
    <row r="183" spans="2:23" s="3610" customFormat="1" ht="15" customHeight="1">
      <c r="B183" s="4657" t="str">
        <f>CONCATENATE("VMT multiple in Row ",O177, " is calculated as reciprocal of complement of % of time taxicabs spend cruising in Row ",O176, ". A multiple of, say, 1.75 indicates that for every mile with a fare, taxicabs spend 0.75 miles cruising for fares.")</f>
        <v>VMT multiple in Row 177 is calculated as reciprocal of complement of % of time taxicabs spend cruising in Row 176. A multiple of, say, 1.75 indicates that for every mile with a fare, taxicabs spend 0.75 miles cruising for fares.</v>
      </c>
      <c r="C183" s="4658"/>
      <c r="D183" s="4658"/>
      <c r="E183" s="4658"/>
      <c r="F183" s="4659" t="str">
        <f>CONCATENATE("This constant is used in formula that converts Row ",O175, " values into Row ",O176, " values. Its value was chosen to cause Cell M",O176, " to be close to 35% -- the approximate % of all taxi miles spent cruising.")</f>
        <v>This constant is used in formula that converts Row 175 values into Row 176 values. Its value was chosen to cause Cell M176 to be close to 35% -- the approximate % of all taxi miles spent cruising.</v>
      </c>
      <c r="G183" s="4660"/>
      <c r="H183" s="2370"/>
      <c r="I183" s="1892" t="s">
        <v>6419</v>
      </c>
      <c r="J183" s="1892" t="s">
        <v>677</v>
      </c>
      <c r="K183" s="2370"/>
      <c r="L183" s="2370"/>
      <c r="M183" s="2370"/>
      <c r="O183" s="117">
        <f>ROW()</f>
        <v>183</v>
      </c>
    </row>
    <row r="184" spans="2:23" s="3610" customFormat="1" ht="15" customHeight="1">
      <c r="B184" s="4658"/>
      <c r="C184" s="4658"/>
      <c r="D184" s="4658"/>
      <c r="E184" s="4658"/>
      <c r="F184" s="4661"/>
      <c r="G184" s="4662"/>
      <c r="H184" s="2924" t="s">
        <v>4710</v>
      </c>
      <c r="I184" s="2102">
        <v>757099.2</v>
      </c>
      <c r="J184" s="2102">
        <f>M171-I184</f>
        <v>1296664.8</v>
      </c>
      <c r="K184" s="2370"/>
      <c r="L184" s="2370"/>
      <c r="M184" s="2370"/>
      <c r="O184" s="117">
        <f>ROW()</f>
        <v>184</v>
      </c>
    </row>
    <row r="185" spans="2:23" s="3610" customFormat="1" ht="15" customHeight="1">
      <c r="B185" s="4658"/>
      <c r="C185" s="4658"/>
      <c r="D185" s="4658"/>
      <c r="E185" s="4658"/>
      <c r="F185" s="4661"/>
      <c r="G185" s="4662"/>
      <c r="H185" s="2924" t="s">
        <v>6411</v>
      </c>
      <c r="I185" s="2370">
        <v>6</v>
      </c>
      <c r="J185" s="2370">
        <v>18</v>
      </c>
      <c r="K185" s="2370"/>
      <c r="L185" s="2370"/>
      <c r="M185" s="2370"/>
      <c r="O185" s="117">
        <f>ROW()</f>
        <v>185</v>
      </c>
    </row>
    <row r="186" spans="2:23" s="3610" customFormat="1" ht="15" customHeight="1">
      <c r="B186" s="4658"/>
      <c r="C186" s="4658"/>
      <c r="D186" s="4658"/>
      <c r="E186" s="4658"/>
      <c r="F186" s="4661"/>
      <c r="G186" s="4662"/>
      <c r="H186" s="2924" t="s">
        <v>6412</v>
      </c>
      <c r="I186" s="2102">
        <f>I184/I185</f>
        <v>126183.2</v>
      </c>
      <c r="J186" s="2102">
        <f>J184/J185</f>
        <v>72036.933333333334</v>
      </c>
      <c r="K186" s="2370"/>
      <c r="L186" s="2370"/>
      <c r="M186" s="2370"/>
      <c r="O186" s="117">
        <f>ROW()</f>
        <v>186</v>
      </c>
    </row>
    <row r="187" spans="2:23" s="3610" customFormat="1" ht="15" customHeight="1">
      <c r="B187" s="314"/>
      <c r="C187" s="214"/>
      <c r="D187" s="214"/>
      <c r="E187" s="2370"/>
      <c r="F187" s="4661"/>
      <c r="G187" s="4662"/>
      <c r="H187" s="3623" t="s">
        <v>6420</v>
      </c>
      <c r="I187" s="3613">
        <f>I186/J186</f>
        <v>1.7516459149658414</v>
      </c>
      <c r="J187" s="2370"/>
      <c r="K187" s="2370"/>
      <c r="L187" s="2370"/>
      <c r="M187" s="2370"/>
      <c r="O187" s="117">
        <f>ROW()</f>
        <v>187</v>
      </c>
    </row>
    <row r="188" spans="2:23" s="3610" customFormat="1" ht="15" customHeight="1">
      <c r="B188" s="314"/>
      <c r="C188" s="214"/>
      <c r="D188" s="214"/>
      <c r="E188" s="2370"/>
      <c r="F188" s="4663"/>
      <c r="G188" s="4664"/>
      <c r="H188" s="2924" t="s">
        <v>6421</v>
      </c>
      <c r="I188" s="3613">
        <f>I186/$M$173</f>
        <v>1.4745592969786208</v>
      </c>
      <c r="J188" s="3613">
        <f>J186/$M$173</f>
        <v>0.84181356767379312</v>
      </c>
      <c r="K188" s="2370"/>
      <c r="L188" s="2370"/>
      <c r="M188" s="2370"/>
      <c r="O188" s="117">
        <f>ROW()</f>
        <v>188</v>
      </c>
    </row>
    <row r="189" spans="2:23" s="3610" customFormat="1" ht="15" customHeight="1">
      <c r="B189" s="314"/>
      <c r="C189" s="214"/>
      <c r="D189" s="214"/>
      <c r="E189" s="2370"/>
      <c r="F189" s="2370"/>
      <c r="G189" s="2370"/>
      <c r="H189" s="2370"/>
      <c r="I189" s="2370"/>
      <c r="J189" s="2370"/>
      <c r="K189" s="2370"/>
      <c r="L189" s="2370"/>
      <c r="M189" s="2370"/>
      <c r="O189" s="117">
        <f>ROW()</f>
        <v>189</v>
      </c>
    </row>
    <row r="190" spans="2:23" ht="15" customHeight="1">
      <c r="B190" s="467" t="s">
        <v>6393</v>
      </c>
      <c r="C190" s="281"/>
      <c r="D190" s="281"/>
      <c r="E190" s="281"/>
      <c r="F190" s="281"/>
      <c r="G190" s="281"/>
      <c r="H190" s="281"/>
      <c r="I190" s="281"/>
      <c r="O190" s="117">
        <f>ROW()</f>
        <v>190</v>
      </c>
    </row>
    <row r="191" spans="2:23" ht="15" customHeight="1">
      <c r="B191" s="214"/>
      <c r="C191" s="281"/>
      <c r="D191" s="281"/>
      <c r="E191" s="281"/>
      <c r="F191" s="281"/>
      <c r="G191" s="281"/>
      <c r="H191" s="281"/>
      <c r="I191" s="281"/>
      <c r="O191" s="117">
        <f>ROW()</f>
        <v>191</v>
      </c>
    </row>
    <row r="192" spans="2:23" ht="15" customHeight="1">
      <c r="B192" s="214" t="s">
        <v>3150</v>
      </c>
      <c r="L192" s="221">
        <v>13237</v>
      </c>
      <c r="N192" s="221">
        <f>L192</f>
        <v>13237</v>
      </c>
      <c r="O192" s="117">
        <f>ROW()</f>
        <v>192</v>
      </c>
    </row>
    <row r="193" spans="2:17" ht="15" customHeight="1">
      <c r="B193" s="326" t="s">
        <v>3145</v>
      </c>
      <c r="C193" s="326"/>
      <c r="D193" s="326"/>
      <c r="E193" s="326"/>
      <c r="F193" s="326"/>
      <c r="G193" s="326"/>
      <c r="H193" s="326"/>
      <c r="O193" s="117">
        <f>ROW()</f>
        <v>193</v>
      </c>
    </row>
    <row r="194" spans="2:17" ht="15" customHeight="1">
      <c r="B194" s="323" t="s">
        <v>3153</v>
      </c>
      <c r="C194" s="281"/>
      <c r="D194" s="281"/>
      <c r="E194" s="281"/>
      <c r="F194" s="281"/>
      <c r="G194" s="281"/>
      <c r="H194" s="281"/>
      <c r="I194" s="281"/>
      <c r="L194" s="221">
        <f>L97</f>
        <v>471200</v>
      </c>
      <c r="N194" s="221">
        <f>N97</f>
        <v>471200</v>
      </c>
      <c r="O194" s="117">
        <f>ROW()</f>
        <v>194</v>
      </c>
    </row>
    <row r="195" spans="2:17" ht="15" customHeight="1">
      <c r="B195" s="326" t="str">
        <f>CONCATENATE("Copied from Row ",O97,".")</f>
        <v>Copied from Row 97.</v>
      </c>
      <c r="C195" s="281"/>
      <c r="D195" s="281"/>
      <c r="E195" s="281"/>
      <c r="F195" s="281"/>
      <c r="G195" s="281"/>
      <c r="H195" s="281"/>
      <c r="I195" s="281"/>
      <c r="O195" s="117">
        <f>ROW()</f>
        <v>195</v>
      </c>
    </row>
    <row r="196" spans="2:17" ht="15" customHeight="1">
      <c r="B196" s="214" t="s">
        <v>4885</v>
      </c>
      <c r="C196" s="281"/>
      <c r="D196" s="281"/>
      <c r="E196" s="281"/>
      <c r="F196" s="281"/>
      <c r="G196" s="281"/>
      <c r="H196" s="281"/>
      <c r="I196" s="281"/>
      <c r="L196" s="248">
        <f ca="1">L308</f>
        <v>1.0957856781968176</v>
      </c>
      <c r="N196" s="248">
        <f ca="1">L414/K414</f>
        <v>1.1047280073380426</v>
      </c>
      <c r="O196" s="117">
        <f>ROW()</f>
        <v>196</v>
      </c>
      <c r="Q196" s="2136"/>
    </row>
    <row r="197" spans="2:17" ht="15" customHeight="1">
      <c r="B197" s="326" t="str">
        <f>CONCATENATE("Copied from Row ",O308,". Reflects applicable time savings from congestion pricing.")</f>
        <v>Copied from Row 308. Reflects applicable time savings from congestion pricing.</v>
      </c>
      <c r="C197" s="281"/>
      <c r="D197" s="281"/>
      <c r="E197" s="281"/>
      <c r="F197" s="281"/>
      <c r="G197" s="281"/>
      <c r="H197" s="281"/>
      <c r="I197" s="281"/>
      <c r="O197" s="117">
        <f>ROW()</f>
        <v>197</v>
      </c>
    </row>
    <row r="198" spans="2:17" ht="15" customHeight="1">
      <c r="B198" s="214" t="s">
        <v>3151</v>
      </c>
      <c r="C198" s="281"/>
      <c r="D198" s="281"/>
      <c r="E198" s="281"/>
      <c r="F198" s="281"/>
      <c r="G198" s="281"/>
      <c r="H198" s="281"/>
      <c r="I198" s="281"/>
      <c r="L198" s="248">
        <f>Elasticities!G53</f>
        <v>-0.22</v>
      </c>
      <c r="N198" s="248">
        <f>L198</f>
        <v>-0.22</v>
      </c>
      <c r="O198" s="117">
        <f>ROW()</f>
        <v>198</v>
      </c>
    </row>
    <row r="199" spans="2:17" ht="15" customHeight="1">
      <c r="B199" s="326" t="str">
        <f>CONCATENATE("Source: Schaller. 'Imported' from (and fully sourced in) 'Elasticities' worksheet, Row ",Elasticities!O53, ".")</f>
        <v>Source: Schaller. 'Imported' from (and fully sourced in) 'Elasticities' worksheet, Row 53.</v>
      </c>
      <c r="C199" s="281"/>
      <c r="D199" s="281"/>
      <c r="E199" s="281"/>
      <c r="F199" s="281"/>
      <c r="G199" s="281"/>
      <c r="H199" s="281"/>
      <c r="I199" s="281"/>
      <c r="J199" s="4608" t="s">
        <v>3165</v>
      </c>
      <c r="K199" s="1922"/>
      <c r="O199" s="117">
        <f>ROW()</f>
        <v>199</v>
      </c>
    </row>
    <row r="200" spans="2:17" ht="15" customHeight="1">
      <c r="B200" s="214" t="s">
        <v>4876</v>
      </c>
      <c r="C200" s="281"/>
      <c r="D200" s="281"/>
      <c r="E200" s="281"/>
      <c r="F200" s="281"/>
      <c r="G200" s="281"/>
      <c r="H200" s="281"/>
      <c r="I200" s="281"/>
      <c r="J200" s="4611"/>
      <c r="K200" s="1950">
        <f ca="1">L200-1</f>
        <v>-1.9922625113971693E-2</v>
      </c>
      <c r="L200" s="1924">
        <f ca="1">L196^L198</f>
        <v>0.98007737488602831</v>
      </c>
      <c r="N200" s="1924">
        <f ca="1">N196^N198</f>
        <v>0.97832650532005816</v>
      </c>
      <c r="O200" s="117">
        <f>ROW()</f>
        <v>200</v>
      </c>
    </row>
    <row r="201" spans="2:17" ht="15" customHeight="1">
      <c r="B201" s="326" t="str">
        <f>CONCATENATE("Calculated as Row ",O196, " raised to the Row ",O198," power -- standard elasticity calculation.")</f>
        <v>Calculated as Row 196 raised to the Row 198 power -- standard elasticity calculation.</v>
      </c>
      <c r="C201" s="326"/>
      <c r="D201" s="281"/>
      <c r="E201" s="281"/>
      <c r="F201" s="281"/>
      <c r="G201" s="281"/>
      <c r="H201" s="281"/>
      <c r="I201" s="281"/>
      <c r="J201" s="4614"/>
      <c r="K201" s="1923"/>
      <c r="O201" s="117">
        <f>ROW()</f>
        <v>201</v>
      </c>
    </row>
    <row r="202" spans="2:17" ht="15" customHeight="1">
      <c r="B202" s="214" t="s">
        <v>4877</v>
      </c>
      <c r="C202" s="281"/>
      <c r="D202" s="281"/>
      <c r="E202" s="281"/>
      <c r="F202" s="281"/>
      <c r="G202" s="281"/>
      <c r="H202" s="281"/>
      <c r="I202" s="281"/>
      <c r="L202" s="248">
        <f ca="1">G403/F403</f>
        <v>0.89528819059977038</v>
      </c>
      <c r="N202" s="248">
        <f ca="1">L403/K403</f>
        <v>0.93358831160440736</v>
      </c>
      <c r="O202" s="117">
        <f>ROW()</f>
        <v>202</v>
      </c>
    </row>
    <row r="203" spans="2:17" ht="15" customHeight="1">
      <c r="B203" s="326" t="str">
        <f>CONCATENATE("Calculated as ratio of durations of average trip, before and after pricing, in Row ",O375,".")</f>
        <v>Calculated as ratio of durations of average trip, before and after pricing, in Row 375.</v>
      </c>
      <c r="C203" s="281"/>
      <c r="D203" s="281"/>
      <c r="E203" s="281"/>
      <c r="F203" s="281"/>
      <c r="G203" s="281"/>
      <c r="H203" s="281"/>
      <c r="I203" s="281"/>
      <c r="O203" s="117">
        <f>ROW()</f>
        <v>203</v>
      </c>
    </row>
    <row r="204" spans="2:17" ht="15" customHeight="1">
      <c r="B204" s="214" t="s">
        <v>3152</v>
      </c>
      <c r="C204" s="281"/>
      <c r="D204" s="281"/>
      <c r="E204" s="281"/>
      <c r="F204" s="281"/>
      <c r="G204" s="281"/>
      <c r="H204" s="281"/>
      <c r="I204" s="281"/>
      <c r="L204" s="248">
        <f>Elasticities!G54</f>
        <v>-0.8</v>
      </c>
      <c r="N204" s="248">
        <f>L204</f>
        <v>-0.8</v>
      </c>
      <c r="O204" s="117">
        <f>ROW()</f>
        <v>204</v>
      </c>
    </row>
    <row r="205" spans="2:17" ht="15" customHeight="1">
      <c r="B205" s="326" t="str">
        <f>CONCATENATE("Source: Sugg'd by Schaller, applied by Komanoff. Imported from (and sourced in) 'Elasticities' worksheet, Row ",Elasticities!O54, ".")</f>
        <v>Source: Sugg'd by Schaller, applied by Komanoff. Imported from (and sourced in) 'Elasticities' worksheet, Row 54.</v>
      </c>
      <c r="C205" s="281"/>
      <c r="D205" s="281"/>
      <c r="E205" s="281"/>
      <c r="F205" s="281"/>
      <c r="G205" s="281"/>
      <c r="H205" s="281"/>
      <c r="I205" s="281"/>
      <c r="J205" s="4608" t="s">
        <v>3165</v>
      </c>
      <c r="K205" s="1922"/>
      <c r="O205" s="117">
        <f>ROW()</f>
        <v>205</v>
      </c>
    </row>
    <row r="206" spans="2:17" ht="15" customHeight="1">
      <c r="B206" s="316" t="s">
        <v>5865</v>
      </c>
      <c r="C206" s="281"/>
      <c r="D206" s="281"/>
      <c r="E206" s="281"/>
      <c r="F206" s="281"/>
      <c r="G206" s="281"/>
      <c r="H206" s="281"/>
      <c r="I206" s="281"/>
      <c r="J206" s="4611"/>
      <c r="K206" s="1950">
        <f ca="1">L206-1</f>
        <v>9.2520803044436661E-2</v>
      </c>
      <c r="L206" s="1924">
        <f ca="1">L202^L204</f>
        <v>1.0925208030444371</v>
      </c>
      <c r="N206" s="1924">
        <f ca="1">N202^N204</f>
        <v>1.0565150194794857</v>
      </c>
      <c r="O206" s="117">
        <f>ROW()</f>
        <v>206</v>
      </c>
    </row>
    <row r="207" spans="2:17" ht="15" customHeight="1">
      <c r="B207" s="326" t="str">
        <f>CONCATENATE("Calculated as Row ",O202, " raised to the Row ",O204," power -- standard elasticity calculation.")</f>
        <v>Calculated as Row 202 raised to the Row 204 power -- standard elasticity calculation.</v>
      </c>
      <c r="C207" s="326"/>
      <c r="D207" s="281"/>
      <c r="E207" s="281"/>
      <c r="F207" s="281"/>
      <c r="G207" s="281"/>
      <c r="H207" s="281"/>
      <c r="I207" s="281"/>
      <c r="J207" s="4614"/>
      <c r="K207" s="1923"/>
      <c r="O207" s="117">
        <f>ROW()</f>
        <v>207</v>
      </c>
    </row>
    <row r="208" spans="2:17" ht="15" customHeight="1">
      <c r="B208" s="316" t="s">
        <v>5866</v>
      </c>
      <c r="C208" s="281"/>
      <c r="D208" s="281"/>
      <c r="E208" s="281"/>
      <c r="F208" s="281"/>
      <c r="G208" s="281"/>
      <c r="H208" s="281"/>
      <c r="I208" s="281"/>
      <c r="J208" s="1935" t="s">
        <v>3172</v>
      </c>
      <c r="K208" s="1936">
        <f ca="1">L208-1</f>
        <v>7.0754920656167064E-2</v>
      </c>
      <c r="L208" s="1934">
        <f ca="1">L200*L206</f>
        <v>1.0707549206561675</v>
      </c>
      <c r="N208" s="1934">
        <f ca="1">N200*N206</f>
        <v>1.0336166468255183</v>
      </c>
      <c r="O208" s="117">
        <f>ROW()</f>
        <v>208</v>
      </c>
    </row>
    <row r="209" spans="2:17" ht="15" customHeight="1">
      <c r="B209" s="326" t="str">
        <f>CONCATENATE("Product of factor from change in taxi fare in Row ",O200, " times factor from change in taxi trip duration in Row ",O206,".")</f>
        <v>Product of factor from change in taxi fare in Row 200 times factor from change in taxi trip duration in Row 206.</v>
      </c>
      <c r="C209" s="326"/>
      <c r="D209" s="281"/>
      <c r="E209" s="281"/>
      <c r="F209" s="281"/>
      <c r="G209" s="281"/>
      <c r="H209" s="281"/>
      <c r="I209" s="281"/>
      <c r="K209" s="117"/>
      <c r="O209" s="117">
        <f>ROW()</f>
        <v>209</v>
      </c>
    </row>
    <row r="210" spans="2:17" ht="15" customHeight="1">
      <c r="B210" s="1815" t="s">
        <v>3180</v>
      </c>
      <c r="C210" s="326"/>
      <c r="D210" s="281"/>
      <c r="E210" s="281"/>
      <c r="F210" s="281"/>
      <c r="G210" s="281"/>
      <c r="H210" s="281"/>
      <c r="I210" s="281"/>
      <c r="J210" s="1177"/>
      <c r="L210" s="1919">
        <f ca="1">L194*(L208-1)</f>
        <v>33339.718613186131</v>
      </c>
      <c r="N210" s="1919">
        <f ca="1">N194*(N208-1)</f>
        <v>15840.163984184246</v>
      </c>
      <c r="O210" s="117">
        <f>ROW()</f>
        <v>210</v>
      </c>
    </row>
    <row r="211" spans="2:17" ht="15" customHeight="1">
      <c r="B211" s="326" t="str">
        <f>CONCATENATE("Product of baseline trips in Row ",O194, " times one less than the usage factor in Row ",O208,".")</f>
        <v>Product of baseline trips in Row 194 times one less than the usage factor in Row 208.</v>
      </c>
      <c r="J211" s="1177"/>
      <c r="N211" s="9"/>
      <c r="O211" s="117">
        <f>ROW()</f>
        <v>211</v>
      </c>
    </row>
    <row r="212" spans="2:17" ht="15" customHeight="1">
      <c r="B212" s="326"/>
      <c r="L212" s="4608" t="s">
        <v>3181</v>
      </c>
      <c r="M212" s="4609"/>
      <c r="N212" s="4610"/>
      <c r="O212" s="117">
        <f>ROW()</f>
        <v>212</v>
      </c>
    </row>
    <row r="213" spans="2:17" ht="15" customHeight="1">
      <c r="B213" s="467" t="s">
        <v>6394</v>
      </c>
      <c r="L213" s="4611"/>
      <c r="M213" s="4612"/>
      <c r="N213" s="4613"/>
      <c r="O213" s="117">
        <f>ROW()</f>
        <v>213</v>
      </c>
    </row>
    <row r="214" spans="2:17" ht="15" customHeight="1">
      <c r="B214" s="1921" t="s">
        <v>3158</v>
      </c>
      <c r="L214" s="4614"/>
      <c r="M214" s="4615"/>
      <c r="N214" s="4616"/>
      <c r="O214" s="117">
        <f>ROW()</f>
        <v>214</v>
      </c>
    </row>
    <row r="215" spans="2:17" ht="15" customHeight="1">
      <c r="B215" s="323" t="s">
        <v>3159</v>
      </c>
      <c r="L215" s="1948">
        <f>-Subways!AN343</f>
        <v>-2947.8453852271791</v>
      </c>
      <c r="N215" s="1949">
        <f>0.5*L215</f>
        <v>-1473.9226926135896</v>
      </c>
      <c r="O215" s="117">
        <f>ROW()</f>
        <v>215</v>
      </c>
    </row>
    <row r="216" spans="2:17" ht="15" customHeight="1">
      <c r="B216" s="326" t="str">
        <f>CONCATENATE("Calculated in 'Subways' worksheet, last column, Row ",Subways!O343, "; reflects fact that taxi occupancy &gt; 1; i.e., above row is # of taxi trips, not # of taxi passengers.")</f>
        <v>Calculated in 'Subways' worksheet, last column, Row 343; reflects fact that taxi occupancy &gt; 1; i.e., above row is # of taxi trips, not # of taxi passengers.</v>
      </c>
      <c r="O216" s="117">
        <f>ROW()</f>
        <v>216</v>
      </c>
    </row>
    <row r="217" spans="2:17" ht="15" customHeight="1">
      <c r="B217" s="323" t="s">
        <v>3161</v>
      </c>
      <c r="L217" s="221">
        <f ca="1">Elasticities!I94*('Motor Vs'!I76-'Motor Vs'!W848)</f>
        <v>2449.4611788143488</v>
      </c>
      <c r="N217" s="221">
        <f ca="1">Elasticities!I94*('Motor Vs Weekends'!I76-'Motor Vs Weekends'!W848)</f>
        <v>477.9827589903619</v>
      </c>
      <c r="O217" s="117">
        <f>ROW()</f>
        <v>217</v>
      </c>
      <c r="Q217" s="2136"/>
    </row>
    <row r="218" spans="2:17" ht="15" customHeight="1">
      <c r="B218" s="326" t="str">
        <f>CONCATENATE("Calculated as product of difference between final and initial cordon entries for auto work trips, and cross-elasticity of taxi trips w/r/t auto work trips.")</f>
        <v>Calculated as product of difference between final and initial cordon entries for auto work trips, and cross-elasticity of taxi trips w/r/t auto work trips.</v>
      </c>
      <c r="O218" s="117">
        <f>ROW()</f>
        <v>218</v>
      </c>
    </row>
    <row r="219" spans="2:17" ht="15" customHeight="1">
      <c r="B219" s="323" t="s">
        <v>3162</v>
      </c>
      <c r="L219" s="221">
        <f ca="1">L217/$L$77</f>
        <v>1749.6151277245349</v>
      </c>
      <c r="N219" s="221">
        <f ca="1">N217/$L$77</f>
        <v>341.41625642168708</v>
      </c>
      <c r="O219" s="117">
        <f>ROW()</f>
        <v>219</v>
      </c>
    </row>
    <row r="220" spans="2:17" ht="15" customHeight="1">
      <c r="B220" s="326" t="str">
        <f>CONCATENATE("Row ",O217, " divided by avg taxi passenger occupancy in Row ",O$77, ".")</f>
        <v>Row 217 divided by avg taxi passenger occupancy in Row 77.</v>
      </c>
      <c r="O220" s="117">
        <f>ROW()</f>
        <v>220</v>
      </c>
    </row>
    <row r="221" spans="2:17" ht="15" customHeight="1">
      <c r="B221" s="323" t="s">
        <v>3163</v>
      </c>
      <c r="L221" s="221">
        <f ca="1">Elasticities!J94*('Motor Vs'!J76-'Motor Vs'!AF848)</f>
        <v>686.96208485218597</v>
      </c>
      <c r="N221" s="221">
        <f ca="1">Elasticities!J94*('Motor Vs Weekends'!J76-'Motor Vs Weekends'!AF848)</f>
        <v>1210.4818092679839</v>
      </c>
      <c r="O221" s="117">
        <f>ROW()</f>
        <v>221</v>
      </c>
      <c r="Q221" s="2136"/>
    </row>
    <row r="222" spans="2:17" ht="15" customHeight="1">
      <c r="B222" s="326" t="str">
        <f>CONCATENATE("Calculated as product of difference between final and initial cordon entries for auto non-work trips, and cross-elasticity of taxi trips w/r/t auto non-work trips.")</f>
        <v>Calculated as product of difference between final and initial cordon entries for auto non-work trips, and cross-elasticity of taxi trips w/r/t auto non-work trips.</v>
      </c>
      <c r="O222" s="117">
        <f>ROW()</f>
        <v>222</v>
      </c>
    </row>
    <row r="223" spans="2:17" ht="15" customHeight="1">
      <c r="B223" s="323" t="s">
        <v>3164</v>
      </c>
      <c r="L223" s="221">
        <f ca="1">L221/$L$77</f>
        <v>490.68720346584718</v>
      </c>
      <c r="N223" s="221">
        <f ca="1">N221/$L$77</f>
        <v>864.62986376284562</v>
      </c>
      <c r="O223" s="117">
        <f>ROW()</f>
        <v>223</v>
      </c>
    </row>
    <row r="224" spans="2:17" ht="15" customHeight="1">
      <c r="B224" s="326" t="str">
        <f>CONCATENATE("Row ",O221, " divided by avg taxi passenger occupancy in Row ",O$77, ".")</f>
        <v>Row 221 divided by avg taxi passenger occupancy in Row 77.</v>
      </c>
      <c r="O224" s="117">
        <f>ROW()</f>
        <v>224</v>
      </c>
    </row>
    <row r="225" spans="2:15" ht="15" customHeight="1">
      <c r="B225" s="1815" t="s">
        <v>3160</v>
      </c>
      <c r="L225" s="1919">
        <f ca="1">L215+L219+L223</f>
        <v>-707.543054036797</v>
      </c>
      <c r="N225" s="1919">
        <f ca="1">N215+N219+N223</f>
        <v>-267.87657242905698</v>
      </c>
      <c r="O225" s="117">
        <f>ROW()</f>
        <v>225</v>
      </c>
    </row>
    <row r="226" spans="2:15" ht="15" customHeight="1">
      <c r="B226" s="326" t="str">
        <f>CONCATENATE("Sum of Rows ",O215, ",",O219, " and ",O223, ".")</f>
        <v>Sum of Rows 215,219 and 223.</v>
      </c>
      <c r="K226" s="4625" t="s">
        <v>781</v>
      </c>
      <c r="L226" s="4625"/>
      <c r="M226" s="4625" t="s">
        <v>1975</v>
      </c>
      <c r="N226" s="4625"/>
      <c r="O226" s="117">
        <f>ROW()</f>
        <v>226</v>
      </c>
    </row>
    <row r="227" spans="2:15" ht="15" customHeight="1">
      <c r="B227" s="1815" t="s">
        <v>6379</v>
      </c>
      <c r="J227" s="1935" t="s">
        <v>3172</v>
      </c>
      <c r="K227" s="1936">
        <f ca="1">L227/L97</f>
        <v>6.9253343716360619E-2</v>
      </c>
      <c r="L227" s="1919">
        <f ca="1">L210+L225</f>
        <v>32632.175559149335</v>
      </c>
      <c r="M227" s="1936">
        <f ca="1">N227/N97</f>
        <v>3.3048148157375189E-2</v>
      </c>
      <c r="N227" s="1919">
        <f ca="1">N210+N225</f>
        <v>15572.287411755189</v>
      </c>
      <c r="O227" s="117">
        <f>ROW()</f>
        <v>227</v>
      </c>
    </row>
    <row r="228" spans="2:15" ht="15" customHeight="1">
      <c r="B228" s="326" t="str">
        <f>CONCATENATE("Sum of Rows ",O210, " and ",O225, ".")</f>
        <v>Sum of Rows 210 and 225.</v>
      </c>
      <c r="O228" s="117">
        <f>ROW()</f>
        <v>228</v>
      </c>
    </row>
    <row r="229" spans="2:15" ht="15" customHeight="1">
      <c r="B229" s="323" t="s">
        <v>3213</v>
      </c>
      <c r="C229" s="281"/>
      <c r="D229" s="281"/>
      <c r="E229" s="281"/>
      <c r="F229" s="281"/>
      <c r="G229" s="281"/>
      <c r="H229" s="281"/>
      <c r="I229" s="281"/>
      <c r="L229" s="221">
        <f ca="1">L194+L227</f>
        <v>503832.17555914936</v>
      </c>
      <c r="N229" s="221">
        <f ca="1">N194+N227</f>
        <v>486772.28741175518</v>
      </c>
      <c r="O229" s="117">
        <f>ROW()</f>
        <v>229</v>
      </c>
    </row>
    <row r="230" spans="2:15" ht="15" customHeight="1">
      <c r="B230" s="326" t="str">
        <f>CONCATENATE("Sum of Baseline fare trips in Rows ",O194, " and Change in trips in Row ",O227, ".")</f>
        <v>Sum of Baseline fare trips in Rows 194 and Change in trips in Row 227.</v>
      </c>
      <c r="C230" s="281"/>
      <c r="D230" s="281"/>
      <c r="E230" s="281"/>
      <c r="F230" s="281"/>
      <c r="G230" s="281"/>
      <c r="H230" s="281"/>
      <c r="I230" s="281"/>
      <c r="O230" s="117">
        <f>ROW()</f>
        <v>230</v>
      </c>
    </row>
    <row r="231" spans="2:15" ht="15" customHeight="1">
      <c r="B231" s="323" t="s">
        <v>3214</v>
      </c>
      <c r="L231" s="1965">
        <f ca="1">L229*weekday_per_yr/1000000</f>
        <v>125.95804388978735</v>
      </c>
      <c r="M231" s="1964"/>
      <c r="N231" s="1965">
        <f ca="1">N229*wkend_per_yr/1000000</f>
        <v>55.978813052351846</v>
      </c>
      <c r="O231" s="117">
        <f>ROW()</f>
        <v>231</v>
      </c>
    </row>
    <row r="232" spans="2:15" ht="15" customHeight="1">
      <c r="B232" s="326" t="str">
        <f>CONCATENATE("Daily fares in Row ",O231, " multiplied by respective number of weekdays and weekend/holidays from 'Constants' worksheet.")</f>
        <v>Daily fares in Row 231 multiplied by respective number of weekdays and weekend/holidays from 'Constants' worksheet.</v>
      </c>
      <c r="L232" s="231"/>
      <c r="N232" s="231"/>
      <c r="O232" s="117">
        <f>ROW()</f>
        <v>232</v>
      </c>
    </row>
    <row r="233" spans="2:15" ht="15" customHeight="1">
      <c r="B233" s="323" t="s">
        <v>3215</v>
      </c>
      <c r="M233" s="1965">
        <f ca="1">L231+N231</f>
        <v>181.9368569421392</v>
      </c>
      <c r="O233" s="117">
        <f>ROW()</f>
        <v>233</v>
      </c>
    </row>
    <row r="234" spans="2:15" ht="15" customHeight="1">
      <c r="B234" s="323" t="s">
        <v>3216</v>
      </c>
      <c r="H234" s="7" t="str">
        <f>CONCATENATE("Same procedure as for Rows ",O231, " and ",O233, " but operating on Row ",O194, ".")</f>
        <v>Same procedure as for Rows 231 and 233 but operating on Row 194.</v>
      </c>
      <c r="M234" s="1965">
        <f>L194*weekday_per_yr/1000000+N194*wkend_per_yr/1000000</f>
        <v>171.988</v>
      </c>
      <c r="O234" s="117">
        <f>ROW()</f>
        <v>234</v>
      </c>
    </row>
    <row r="235" spans="2:15" ht="15" customHeight="1">
      <c r="B235" s="1815" t="s">
        <v>3217</v>
      </c>
      <c r="M235" s="375">
        <f ca="1">M233/M234-1</f>
        <v>5.7846227307365661E-2</v>
      </c>
      <c r="O235" s="117">
        <f>ROW()</f>
        <v>235</v>
      </c>
    </row>
    <row r="236" spans="2:15" ht="15" customHeight="1">
      <c r="B236" s="323"/>
      <c r="M236" s="1966"/>
      <c r="O236" s="117">
        <f>ROW()</f>
        <v>236</v>
      </c>
    </row>
    <row r="237" spans="2:15" ht="15" customHeight="1" thickBot="1">
      <c r="B237" s="467" t="s">
        <v>6395</v>
      </c>
      <c r="O237" s="117">
        <f>ROW()</f>
        <v>237</v>
      </c>
    </row>
    <row r="238" spans="2:15" ht="15" customHeight="1">
      <c r="L238" s="4652" t="s">
        <v>3186</v>
      </c>
      <c r="N238" s="4652" t="s">
        <v>3187</v>
      </c>
      <c r="O238" s="117">
        <f>ROW()</f>
        <v>238</v>
      </c>
    </row>
    <row r="239" spans="2:15" ht="15" customHeight="1">
      <c r="B239" s="4689" t="s">
        <v>3166</v>
      </c>
      <c r="C239" s="4690"/>
      <c r="D239" s="4690"/>
      <c r="E239" s="4690"/>
      <c r="F239" s="4690"/>
      <c r="G239" s="4690"/>
      <c r="H239" s="4690"/>
      <c r="I239" s="4690"/>
      <c r="J239" s="4691"/>
      <c r="L239" s="4653"/>
      <c r="N239" s="4653"/>
      <c r="O239" s="117">
        <f>ROW()</f>
        <v>239</v>
      </c>
    </row>
    <row r="240" spans="2:15" ht="15" customHeight="1">
      <c r="B240" s="4692"/>
      <c r="C240" s="4673"/>
      <c r="D240" s="4673"/>
      <c r="E240" s="4673"/>
      <c r="F240" s="4673"/>
      <c r="G240" s="4673"/>
      <c r="H240" s="4673"/>
      <c r="I240" s="4673"/>
      <c r="J240" s="4693"/>
      <c r="L240" s="4653"/>
      <c r="M240" s="214"/>
      <c r="N240" s="4653"/>
      <c r="O240" s="117">
        <f>ROW()</f>
        <v>240</v>
      </c>
    </row>
    <row r="241" spans="2:15" ht="15" customHeight="1" thickBot="1">
      <c r="B241" s="4694"/>
      <c r="C241" s="4695"/>
      <c r="D241" s="4695"/>
      <c r="E241" s="4695"/>
      <c r="F241" s="4695"/>
      <c r="G241" s="4695"/>
      <c r="H241" s="4695"/>
      <c r="I241" s="4695"/>
      <c r="J241" s="4696"/>
      <c r="L241" s="4654"/>
      <c r="M241" s="214"/>
      <c r="N241" s="4654"/>
      <c r="O241" s="117">
        <f>ROW()</f>
        <v>241</v>
      </c>
    </row>
    <row r="242" spans="2:15" ht="15" customHeight="1">
      <c r="O242" s="117">
        <f>ROW()</f>
        <v>242</v>
      </c>
    </row>
    <row r="243" spans="2:15" ht="15" customHeight="1">
      <c r="B243" s="323" t="s">
        <v>3154</v>
      </c>
      <c r="L243" s="211">
        <v>0.75</v>
      </c>
      <c r="N243" s="211">
        <v>0.75</v>
      </c>
      <c r="O243" s="117">
        <f>ROW()</f>
        <v>243</v>
      </c>
    </row>
    <row r="244" spans="2:15" ht="15" customHeight="1">
      <c r="B244" s="326" t="s">
        <v>3816</v>
      </c>
      <c r="O244" s="117">
        <f>ROW()</f>
        <v>244</v>
      </c>
    </row>
    <row r="245" spans="2:15" ht="15" customHeight="1">
      <c r="B245" s="323" t="s">
        <v>3205</v>
      </c>
      <c r="L245" s="211">
        <f>1-L243</f>
        <v>0.25</v>
      </c>
      <c r="N245" s="211">
        <f>1-N243</f>
        <v>0.25</v>
      </c>
      <c r="O245" s="117">
        <f>ROW()</f>
        <v>245</v>
      </c>
    </row>
    <row r="246" spans="2:15" ht="15" customHeight="1">
      <c r="B246" s="326" t="str">
        <f>CONCATENATE("One minus Row ",O243, ".")</f>
        <v>One minus Row 243.</v>
      </c>
      <c r="O246" s="117">
        <f>ROW()</f>
        <v>246</v>
      </c>
    </row>
    <row r="247" spans="2:15" ht="15" customHeight="1">
      <c r="B247" s="323" t="s">
        <v>3285</v>
      </c>
      <c r="L247" s="221">
        <f>L97*$L79</f>
        <v>1319360</v>
      </c>
      <c r="N247" s="221">
        <f>N97*$L79</f>
        <v>1319360</v>
      </c>
      <c r="O247" s="117">
        <f>ROW()</f>
        <v>247</v>
      </c>
    </row>
    <row r="248" spans="2:15" ht="15" customHeight="1">
      <c r="B248" s="326" t="str">
        <f>CONCATENATE("Product of daily fare trips in Row ",O97," and average length of fare trips in Row ",O79, ".")</f>
        <v>Product of daily fare trips in Row 97 and average length of fare trips in Row 79.</v>
      </c>
      <c r="O248" s="117">
        <f>ROW()</f>
        <v>248</v>
      </c>
    </row>
    <row r="249" spans="2:15" ht="15" customHeight="1">
      <c r="B249" s="323" t="s">
        <v>3286</v>
      </c>
      <c r="L249" s="221">
        <f>$L88/(1-$L88)*L247</f>
        <v>710424.61538461538</v>
      </c>
      <c r="N249" s="221">
        <f>$L88/(1-$L88)*N247</f>
        <v>710424.61538461538</v>
      </c>
      <c r="O249" s="117">
        <f>ROW()</f>
        <v>249</v>
      </c>
    </row>
    <row r="250" spans="2:15" ht="15" customHeight="1">
      <c r="B250" s="326" t="str">
        <f>CONCATENATE("Product of ratio of taxi VMT spent cruising in Row ",O88," to complement of same, and aggregate average length of fare trips in Row ",O247, ".")</f>
        <v>Product of ratio of taxi VMT spent cruising in Row 88 to complement of same, and aggregate average length of fare trips in Row 247.</v>
      </c>
      <c r="O250" s="117">
        <f>ROW()</f>
        <v>250</v>
      </c>
    </row>
    <row r="251" spans="2:15" ht="15" customHeight="1">
      <c r="B251" s="323" t="s">
        <v>3289</v>
      </c>
      <c r="L251" s="221">
        <f>L247+L249</f>
        <v>2029784.6153846155</v>
      </c>
      <c r="N251" s="221">
        <f>N247+N249</f>
        <v>2029784.6153846155</v>
      </c>
      <c r="O251" s="117">
        <f>ROW()</f>
        <v>251</v>
      </c>
    </row>
    <row r="252" spans="2:15" ht="15" customHeight="1">
      <c r="B252" s="326" t="str">
        <f>CONCATENATE("Sum of baseline fare miles in Row ",O247, " and baseline cruising miles in Row ",O247, ".")</f>
        <v>Sum of baseline fare miles in Row 247 and baseline cruising miles in Row 247.</v>
      </c>
      <c r="O252" s="117">
        <f>ROW()</f>
        <v>252</v>
      </c>
    </row>
    <row r="253" spans="2:15" ht="15" customHeight="1">
      <c r="B253" s="323" t="s">
        <v>3292</v>
      </c>
      <c r="L253" s="221">
        <f ca="1">-L227*L245*$L79</f>
        <v>-22842.522891404533</v>
      </c>
      <c r="N253" s="221">
        <f ca="1">-N227*N245*$L79</f>
        <v>-10900.601188228631</v>
      </c>
      <c r="O253" s="117">
        <f>ROW()</f>
        <v>253</v>
      </c>
    </row>
    <row r="254" spans="2:15" ht="15" customHeight="1">
      <c r="B254" s="326" t="str">
        <f>CONCATENATE("Product of predicted incrs in fare trips in Row ",O227, ", share of incrs assumed to come from cruising in Row ",O245, ", and avg length of fare trips in Row ",O79, ".")</f>
        <v>Product of predicted incrs in fare trips in Row 227, share of incrs assumed to come from cruising in Row 245, and avg length of fare trips in Row 79.</v>
      </c>
      <c r="O254" s="117">
        <f>ROW()</f>
        <v>254</v>
      </c>
    </row>
    <row r="255" spans="2:15" ht="15" customHeight="1">
      <c r="B255" s="323" t="s">
        <v>3287</v>
      </c>
      <c r="L255" s="221">
        <f ca="1">L249+L253</f>
        <v>687582.0924932108</v>
      </c>
      <c r="N255" s="221">
        <f ca="1">N249+N253</f>
        <v>699524.01419638679</v>
      </c>
      <c r="O255" s="117">
        <f>ROW()</f>
        <v>255</v>
      </c>
    </row>
    <row r="256" spans="2:15" ht="15" customHeight="1">
      <c r="B256" s="326" t="str">
        <f>CONCATENATE("Sum of baseline cruising miles in Row ",O249, " and change in same in Row ",O253, ".")</f>
        <v>Sum of baseline cruising miles in Row 249 and change in same in Row 253.</v>
      </c>
      <c r="O256" s="117">
        <f>ROW()</f>
        <v>256</v>
      </c>
    </row>
    <row r="257" spans="2:15" ht="15" customHeight="1">
      <c r="B257" s="323" t="s">
        <v>3291</v>
      </c>
      <c r="L257" s="221">
        <f ca="1">L227*$L79</f>
        <v>91370.091565618131</v>
      </c>
      <c r="N257" s="221">
        <f ca="1">N227*$L79</f>
        <v>43602.404752914525</v>
      </c>
      <c r="O257" s="117">
        <f>ROW()</f>
        <v>257</v>
      </c>
    </row>
    <row r="258" spans="2:15" ht="15" customHeight="1">
      <c r="B258" s="326" t="str">
        <f>CONCATENATE("Product of predicted incrs in fare trips in Row ",O227, " and avg length of fare trips in Row ",O79, ".")</f>
        <v>Product of predicted incrs in fare trips in Row 227 and avg length of fare trips in Row 79.</v>
      </c>
      <c r="O258" s="117">
        <f>ROW()</f>
        <v>258</v>
      </c>
    </row>
    <row r="259" spans="2:15" ht="15" customHeight="1">
      <c r="B259" s="323" t="s">
        <v>3288</v>
      </c>
      <c r="L259" s="221">
        <f ca="1">L247+L257</f>
        <v>1410730.0915656181</v>
      </c>
      <c r="N259" s="221">
        <f ca="1">N247+N257</f>
        <v>1362962.4047529146</v>
      </c>
      <c r="O259" s="117">
        <f>ROW()</f>
        <v>259</v>
      </c>
    </row>
    <row r="260" spans="2:15" ht="15" customHeight="1">
      <c r="B260" s="326" t="str">
        <f>CONCATENATE("Sum of baseline fare miles in Row ",O247, " and change in same in Row ",O257, ".")</f>
        <v>Sum of baseline fare miles in Row 247 and change in same in Row 257.</v>
      </c>
      <c r="O260" s="117">
        <f>ROW()</f>
        <v>260</v>
      </c>
    </row>
    <row r="261" spans="2:15" ht="15" customHeight="1">
      <c r="B261" s="323" t="s">
        <v>3290</v>
      </c>
      <c r="L261" s="221">
        <f ca="1">L259+L255</f>
        <v>2098312.1840588287</v>
      </c>
      <c r="N261" s="221">
        <f ca="1">N259+N255</f>
        <v>2062486.4189493014</v>
      </c>
      <c r="O261" s="117">
        <f>ROW()</f>
        <v>261</v>
      </c>
    </row>
    <row r="262" spans="2:15" ht="15" customHeight="1">
      <c r="B262" s="326" t="str">
        <f>CONCATENATE("Sum of baseline fare miles in Row ",O259, " and baseline cruising miles in Row ",O255, ".")</f>
        <v>Sum of baseline fare miles in Row 259 and baseline cruising miles in Row 255.</v>
      </c>
      <c r="O262" s="117">
        <f>ROW()</f>
        <v>262</v>
      </c>
    </row>
    <row r="263" spans="2:15" ht="15" customHeight="1">
      <c r="B263" s="323" t="s">
        <v>3293</v>
      </c>
      <c r="L263" s="221">
        <f ca="1">L261-L251</f>
        <v>68527.568674213253</v>
      </c>
      <c r="N263" s="221">
        <f ca="1">N261-N251</f>
        <v>32701.803564685863</v>
      </c>
      <c r="O263" s="117">
        <f>ROW()</f>
        <v>263</v>
      </c>
    </row>
    <row r="264" spans="2:15" ht="15" customHeight="1">
      <c r="B264" s="326" t="str">
        <f>CONCATENATE("Difference between Rows ",O261, " and ",O251, ".")</f>
        <v>Difference between Rows 261 and 251.</v>
      </c>
      <c r="O264" s="117">
        <f>ROW()</f>
        <v>264</v>
      </c>
    </row>
    <row r="265" spans="2:15" ht="15" customHeight="1">
      <c r="B265" s="323" t="s">
        <v>3295</v>
      </c>
      <c r="L265" s="221">
        <f ca="1">$L119*L263</f>
        <v>50761.161980898702</v>
      </c>
      <c r="N265" s="221">
        <f ca="1">$L119*N263</f>
        <v>24223.558196063601</v>
      </c>
      <c r="O265" s="117">
        <f>ROW()</f>
        <v>265</v>
      </c>
    </row>
    <row r="266" spans="2:15" ht="15" customHeight="1">
      <c r="B266" s="326" t="str">
        <f>CONCATENATE("Product of share of all taxicab miles occurring in CBD in Row ",O119, " and change in al miles in Row ",O263, ".")</f>
        <v>Product of share of all taxicab miles occurring in CBD in Row 119 and change in al miles in Row 263.</v>
      </c>
      <c r="O266" s="117">
        <f>ROW()</f>
        <v>266</v>
      </c>
    </row>
    <row r="267" spans="2:15" ht="15" customHeight="1">
      <c r="B267" s="323" t="s">
        <v>3296</v>
      </c>
      <c r="L267" s="221">
        <f ca="1">L263-L265</f>
        <v>17766.406693314551</v>
      </c>
      <c r="N267" s="221">
        <f ca="1">N263-N265</f>
        <v>8478.2453686222616</v>
      </c>
      <c r="O267" s="117">
        <f>ROW()</f>
        <v>267</v>
      </c>
    </row>
    <row r="268" spans="2:15" ht="15" customHeight="1">
      <c r="B268" s="326" t="str">
        <f>CONCATENATE("Difference between Rows ",O263, " and ",O265, ".")</f>
        <v>Difference between Rows 263 and 265.</v>
      </c>
      <c r="O268" s="117">
        <f>ROW()</f>
        <v>268</v>
      </c>
    </row>
    <row r="269" spans="2:15" ht="15" customHeight="1">
      <c r="B269" s="323" t="s">
        <v>3155</v>
      </c>
      <c r="J269" s="902"/>
      <c r="K269" s="2017"/>
      <c r="L269" s="2016">
        <f ca="1">L255/(L255+L259)</f>
        <v>0.32768341036994791</v>
      </c>
      <c r="M269" s="86"/>
      <c r="N269" s="2016">
        <f ca="1">N255/(N255+N259)</f>
        <v>0.33916539171819005</v>
      </c>
      <c r="O269" s="117">
        <f>ROW()</f>
        <v>269</v>
      </c>
    </row>
    <row r="270" spans="2:15" ht="15" customHeight="1">
      <c r="B270" s="326" t="str">
        <f>CONCATENATE("Calculated as ratio of cruising miles in Row ",O255, " to sum of same plus fare miles in Row ",O259,".")</f>
        <v>Calculated as ratio of cruising miles in Row 255 to sum of same plus fare miles in Row 259.</v>
      </c>
      <c r="I270" s="1920"/>
      <c r="J270" s="2017"/>
      <c r="K270" s="2017"/>
      <c r="L270" s="1299"/>
      <c r="M270" s="86"/>
      <c r="N270" s="1299"/>
      <c r="O270" s="117">
        <f>ROW()</f>
        <v>270</v>
      </c>
    </row>
    <row r="271" spans="2:15" ht="15" customHeight="1">
      <c r="B271" s="323" t="s">
        <v>3316</v>
      </c>
      <c r="I271" s="1920"/>
      <c r="J271" s="2017"/>
      <c r="K271" s="2017"/>
      <c r="L271" s="2016">
        <f ca="1">ROUND(1000*L269,0)/1000</f>
        <v>0.32800000000000001</v>
      </c>
      <c r="M271" s="86"/>
      <c r="N271" s="2016">
        <f ca="1">ROUND(100*N269,0)/100</f>
        <v>0.34</v>
      </c>
      <c r="O271" s="117">
        <f>ROW()</f>
        <v>271</v>
      </c>
    </row>
    <row r="272" spans="2:15" ht="15" customHeight="1">
      <c r="B272" s="326" t="s">
        <v>3317</v>
      </c>
      <c r="I272" s="1920"/>
      <c r="J272" s="2017"/>
      <c r="K272" s="2017"/>
      <c r="L272" s="1299"/>
      <c r="M272" s="86"/>
      <c r="N272" s="1299"/>
      <c r="O272" s="117">
        <f>ROW()</f>
        <v>272</v>
      </c>
    </row>
    <row r="273" spans="2:15" ht="15" customHeight="1">
      <c r="B273" s="323" t="s">
        <v>3156</v>
      </c>
      <c r="I273" s="4608" t="s">
        <v>3315</v>
      </c>
      <c r="J273" s="4626"/>
      <c r="K273" s="4627"/>
      <c r="L273" s="1950">
        <f ca="1">L271-$L88</f>
        <v>-2.1999999999999964E-2</v>
      </c>
      <c r="M273" s="2020"/>
      <c r="N273" s="1950">
        <f ca="1">N271-$L88</f>
        <v>-9.9999999999999534E-3</v>
      </c>
      <c r="O273" s="117">
        <f>ROW()</f>
        <v>273</v>
      </c>
    </row>
    <row r="274" spans="2:15" ht="15" customHeight="1">
      <c r="B274" s="326" t="str">
        <f>CONCATENATE("Calculated as Row ",O271, " less Row ",O88,".")</f>
        <v>Calculated as Row 271 less Row 88.</v>
      </c>
      <c r="I274" s="4628"/>
      <c r="J274" s="4629"/>
      <c r="K274" s="4630"/>
      <c r="L274" s="1951"/>
      <c r="M274" s="1951"/>
      <c r="N274" s="1951"/>
      <c r="O274" s="117">
        <f>ROW()</f>
        <v>274</v>
      </c>
    </row>
    <row r="275" spans="2:15" ht="15" customHeight="1">
      <c r="B275" s="323" t="s">
        <v>3157</v>
      </c>
      <c r="I275" s="4631"/>
      <c r="J275" s="4632"/>
      <c r="K275" s="4633"/>
      <c r="L275" s="1950">
        <f ca="1">L273/$L$88</f>
        <v>-6.2857142857142764E-2</v>
      </c>
      <c r="M275" s="2021"/>
      <c r="N275" s="1950">
        <f ca="1">N273/$L$88</f>
        <v>-2.8571428571428439E-2</v>
      </c>
      <c r="O275" s="117">
        <f>ROW()</f>
        <v>275</v>
      </c>
    </row>
    <row r="276" spans="2:15" ht="15" customHeight="1">
      <c r="B276" s="326" t="str">
        <f>CONCATENATE("Calculated as Row ",O273, " divided by Row ",O88,".")</f>
        <v>Calculated as Row 273 divided by Row 88.</v>
      </c>
      <c r="O276" s="117">
        <f>ROW()</f>
        <v>276</v>
      </c>
    </row>
    <row r="277" spans="2:15" ht="15" customHeight="1">
      <c r="B277" s="326"/>
      <c r="O277" s="117">
        <f>ROW()</f>
        <v>277</v>
      </c>
    </row>
    <row r="278" spans="2:15" ht="15" customHeight="1">
      <c r="B278" s="467" t="s">
        <v>6396</v>
      </c>
      <c r="O278" s="117">
        <f>ROW()</f>
        <v>278</v>
      </c>
    </row>
    <row r="279" spans="2:15" ht="15" customHeight="1">
      <c r="B279" s="326"/>
      <c r="O279" s="117">
        <f>ROW()</f>
        <v>279</v>
      </c>
    </row>
    <row r="280" spans="2:15" ht="15" customHeight="1">
      <c r="B280" s="214" t="s">
        <v>3146</v>
      </c>
      <c r="C280" s="326"/>
      <c r="D280" s="326"/>
      <c r="E280" s="326"/>
      <c r="F280" s="326"/>
      <c r="G280" s="326"/>
      <c r="H280" s="326"/>
      <c r="L280" s="210">
        <v>30</v>
      </c>
      <c r="N280" s="210">
        <v>30</v>
      </c>
      <c r="O280" s="117">
        <f>ROW()</f>
        <v>280</v>
      </c>
    </row>
    <row r="281" spans="2:15" ht="15" customHeight="1">
      <c r="B281" s="326" t="s">
        <v>2505</v>
      </c>
      <c r="O281" s="117">
        <f>ROW()</f>
        <v>281</v>
      </c>
    </row>
    <row r="282" spans="2:15" ht="15" customHeight="1">
      <c r="B282" s="323" t="s">
        <v>3206</v>
      </c>
      <c r="L282" s="248">
        <f>L194/(L192*L280)</f>
        <v>1.1865729898516784</v>
      </c>
      <c r="N282" s="248">
        <f>N194/(N192*N280)</f>
        <v>1.1865729898516784</v>
      </c>
      <c r="O282" s="117">
        <f>ROW()</f>
        <v>282</v>
      </c>
    </row>
    <row r="283" spans="2:15" ht="15" customHeight="1">
      <c r="B283" s="326" t="str">
        <f>CONCATENATE("Komanoff est. Was 1.35 in BTA versions through 08 Sept 2010, which also had 12,779 medallion cabs. Reduction offsets updated fig. in Row ",O192, ".")</f>
        <v>Komanoff est. Was 1.35 in BTA versions through 08 Sept 2010, which also had 12,779 medallion cabs. Reduction offsets updated fig. in Row 192.</v>
      </c>
      <c r="J283" s="200"/>
      <c r="L283" s="161"/>
      <c r="O283" s="117">
        <f>ROW()</f>
        <v>283</v>
      </c>
    </row>
    <row r="284" spans="2:15" ht="15" customHeight="1">
      <c r="B284" s="214" t="s">
        <v>3147</v>
      </c>
      <c r="L284" s="221">
        <f>L192*L280*L282</f>
        <v>471200</v>
      </c>
      <c r="N284" s="221">
        <f>L192*N280*N282</f>
        <v>471200</v>
      </c>
      <c r="O284" s="117">
        <f>ROW()</f>
        <v>284</v>
      </c>
    </row>
    <row r="285" spans="2:15" ht="15" customHeight="1">
      <c r="B285" s="326" t="str">
        <f>CONCATENATE("Product of Rows ",O192, ", ",O280, " and ",O282, " Should approx'ly match Row ",O97, " as explained in note in Row ",O283, ".")</f>
        <v>Product of Rows 192, 280 and 282 Should approx'ly match Row 97 as explained in note in Row 283.</v>
      </c>
      <c r="O285" s="117">
        <f>ROW()</f>
        <v>285</v>
      </c>
    </row>
    <row r="286" spans="2:15" ht="15" customHeight="1">
      <c r="B286" s="214" t="s">
        <v>3148</v>
      </c>
      <c r="L286" s="241">
        <v>7.4999999999999997E-2</v>
      </c>
      <c r="M286" s="1920"/>
      <c r="N286" s="241">
        <f>L286</f>
        <v>7.4999999999999997E-2</v>
      </c>
      <c r="O286" s="117">
        <f>ROW()</f>
        <v>286</v>
      </c>
    </row>
    <row r="287" spans="2:15" ht="15" customHeight="1">
      <c r="B287" s="326" t="s">
        <v>133</v>
      </c>
      <c r="O287" s="117">
        <f>ROW()</f>
        <v>287</v>
      </c>
    </row>
    <row r="288" spans="2:15" ht="15" customHeight="1">
      <c r="B288" s="316" t="s">
        <v>5863</v>
      </c>
      <c r="L288" s="221">
        <f>L286*L284</f>
        <v>35340</v>
      </c>
      <c r="N288" s="221">
        <f>N286*N284</f>
        <v>35340</v>
      </c>
      <c r="O288" s="117">
        <f>ROW()</f>
        <v>288</v>
      </c>
    </row>
    <row r="289" spans="2:15" ht="15" customHeight="1">
      <c r="B289" s="326" t="str">
        <f>CONCATENATE("Product of Rows ",O284," and ",O286, ".")</f>
        <v>Product of Rows 284 and 286.</v>
      </c>
      <c r="L289" s="575"/>
      <c r="O289" s="117">
        <f>ROW()</f>
        <v>289</v>
      </c>
    </row>
    <row r="290" spans="2:15" ht="15" customHeight="1">
      <c r="B290" s="214" t="str">
        <f>CONCATENATE("% of medallion fares that breach cordon zone outward and return without fare (so not counted in Row ",O288, "), baseline.")</f>
        <v>% of medallion fares that breach cordon zone outward and return without fare (so not counted in Row 288), baseline.</v>
      </c>
      <c r="L290" s="211">
        <v>0.05</v>
      </c>
      <c r="N290" s="211">
        <f>L290</f>
        <v>0.05</v>
      </c>
      <c r="O290" s="117">
        <f>ROW()</f>
        <v>290</v>
      </c>
    </row>
    <row r="291" spans="2:15" ht="15" customHeight="1">
      <c r="B291" s="326" t="s">
        <v>133</v>
      </c>
      <c r="O291" s="117">
        <f>ROW()</f>
        <v>291</v>
      </c>
    </row>
    <row r="292" spans="2:15" ht="15" customHeight="1">
      <c r="B292" s="214" t="str">
        <f>CONCATENATE("No. of times/day that medallion taxicabs breach cordon zone outward and return w/o fare (so not counted in Row ",O288, "), baseline.")</f>
        <v>No. of times/day that medallion taxicabs breach cordon zone outward and return w/o fare (so not counted in Row 288), baseline.</v>
      </c>
      <c r="L292" s="221">
        <f>L290*L284</f>
        <v>23560</v>
      </c>
      <c r="N292" s="221">
        <f>N290*N284</f>
        <v>23560</v>
      </c>
      <c r="O292" s="117">
        <f>ROW()</f>
        <v>292</v>
      </c>
    </row>
    <row r="293" spans="2:15" ht="15" customHeight="1">
      <c r="B293" s="326" t="str">
        <f>CONCATENATE("Product of Rows ",O284," and ",O290, ".")</f>
        <v>Product of Rows 284 and 290.</v>
      </c>
      <c r="L293" s="575"/>
      <c r="O293" s="117">
        <f>ROW()</f>
        <v>293</v>
      </c>
    </row>
    <row r="294" spans="2:15" ht="15" customHeight="1">
      <c r="B294" s="214" t="str">
        <f>CONCATENATE("% of medallion cab shifts that begin by breaching cordon zone inward w/o fare (so not counted in Row ",O288, "), baseline.")</f>
        <v>% of medallion cab shifts that begin by breaching cordon zone inward w/o fare (so not counted in Row 288), baseline.</v>
      </c>
      <c r="L294" s="211">
        <v>0.4</v>
      </c>
      <c r="N294" s="211">
        <f>L294</f>
        <v>0.4</v>
      </c>
      <c r="O294" s="117">
        <f>ROW()</f>
        <v>294</v>
      </c>
    </row>
    <row r="295" spans="2:15" ht="15" customHeight="1">
      <c r="B295" s="326" t="s">
        <v>133</v>
      </c>
      <c r="O295" s="117">
        <f>ROW()</f>
        <v>295</v>
      </c>
    </row>
    <row r="296" spans="2:15" ht="15" customHeight="1">
      <c r="B296" s="214" t="str">
        <f>CONCATENATE("No. of medallion cabs that breach cordon zone inward at shift start w/o fare (so not counted in Row ",O288, "), baseline.")</f>
        <v>No. of medallion cabs that breach cordon zone inward at shift start w/o fare (so not counted in Row 288), baseline.</v>
      </c>
      <c r="L296" s="221">
        <f>L282*L294*$L192</f>
        <v>6282.666666666667</v>
      </c>
      <c r="N296" s="221">
        <f>N282*N294*$L192</f>
        <v>6282.666666666667</v>
      </c>
      <c r="O296" s="117">
        <f>ROW()</f>
        <v>296</v>
      </c>
    </row>
    <row r="297" spans="2:15" ht="15" customHeight="1">
      <c r="B297" s="326" t="str">
        <f>CONCATENATE("Product of Rows ",O192, ", ",O282, " and ",O294, ".")</f>
        <v>Product of Rows 192, 282 and 294.</v>
      </c>
      <c r="L297" s="575"/>
      <c r="O297" s="117">
        <f>ROW()</f>
        <v>297</v>
      </c>
    </row>
    <row r="298" spans="2:15" ht="15" customHeight="1">
      <c r="B298" s="316" t="s">
        <v>5864</v>
      </c>
      <c r="L298" s="221">
        <f>L288+L292+L296</f>
        <v>65182.666666666664</v>
      </c>
      <c r="N298" s="221">
        <f>N288+N292+N296</f>
        <v>65182.666666666664</v>
      </c>
      <c r="O298" s="117">
        <f>ROW()</f>
        <v>298</v>
      </c>
    </row>
    <row r="299" spans="2:15" ht="15" customHeight="1">
      <c r="B299" s="326" t="str">
        <f>CONCATENATE("Sum of three prior 'number' Rows, i.e., ",O288, ", ",O292, " and ",O296, ".")</f>
        <v>Sum of three prior 'number' Rows, i.e., 288, 292 and 296.</v>
      </c>
      <c r="C299" s="281"/>
      <c r="D299" s="281"/>
      <c r="E299" s="281"/>
      <c r="F299" s="281"/>
      <c r="G299" s="281"/>
      <c r="H299" s="281"/>
      <c r="I299" s="281"/>
      <c r="O299" s="117">
        <f>ROW()</f>
        <v>299</v>
      </c>
    </row>
    <row r="300" spans="2:15" ht="15" customHeight="1">
      <c r="B300" s="323" t="s">
        <v>4878</v>
      </c>
      <c r="L300" s="221">
        <f ca="1">L243*L227</f>
        <v>24474.131669362003</v>
      </c>
      <c r="N300" s="221">
        <f ca="1">N243*N227</f>
        <v>11679.215558816391</v>
      </c>
      <c r="O300" s="117">
        <f>ROW()</f>
        <v>300</v>
      </c>
    </row>
    <row r="301" spans="2:15" ht="15" customHeight="1">
      <c r="B301" s="326" t="str">
        <f>CONCATENATE("Product of Row ",O243," (assumed share of change in taxi rides met by change in taxi shifts) and Row ",O227," (predicted change in number of such rides).")</f>
        <v>Product of Row 243 (assumed share of change in taxi rides met by change in taxi shifts) and Row 227 (predicted change in number of such rides).</v>
      </c>
      <c r="O301" s="117">
        <f>ROW()</f>
        <v>301</v>
      </c>
    </row>
    <row r="302" spans="2:15" ht="15" customHeight="1">
      <c r="B302" s="214" t="s">
        <v>3149</v>
      </c>
      <c r="L302" s="1541">
        <f>L97/L298</f>
        <v>7.2289156626506026</v>
      </c>
      <c r="N302" s="1541">
        <f>N97/N298</f>
        <v>7.2289156626506026</v>
      </c>
      <c r="O302" s="117">
        <f>ROW()</f>
        <v>302</v>
      </c>
    </row>
    <row r="303" spans="2:15" ht="15" customHeight="1">
      <c r="B303" s="314" t="str">
        <f>CONCATENATE("Quotient of Rows ",O97, " and ",O298, ".")</f>
        <v>Quotient of Rows 97 and 298.</v>
      </c>
      <c r="I303" s="23"/>
      <c r="O303" s="117">
        <f>ROW()</f>
        <v>303</v>
      </c>
    </row>
    <row r="304" spans="2:15" ht="15" customHeight="1">
      <c r="B304" s="323" t="s">
        <v>3182</v>
      </c>
      <c r="L304" s="221">
        <f ca="1">L300/L302</f>
        <v>3385.5882142617438</v>
      </c>
      <c r="N304" s="221">
        <f ca="1">N300/N302</f>
        <v>1615.6248189696007</v>
      </c>
      <c r="O304" s="117">
        <f>ROW()</f>
        <v>304</v>
      </c>
    </row>
    <row r="305" spans="2:15" ht="15" customHeight="1">
      <c r="B305" s="314" t="str">
        <f>CONCATENATE("Quotient of Rows ",O300, " (change in fare trips accounted for by change in number of cabs in service) and Row ",O302, " (fare trips per CBD-entering trips).")</f>
        <v>Quotient of Rows 300 (change in fare trips accounted for by change in number of cabs in service) and Row 302 (fare trips per CBD-entering trips).</v>
      </c>
      <c r="O305" s="117">
        <f>ROW()</f>
        <v>305</v>
      </c>
    </row>
    <row r="306" spans="2:15" ht="15" customHeight="1">
      <c r="B306" s="316" t="s">
        <v>5715</v>
      </c>
      <c r="L306" s="375">
        <f ca="1">L227/L97</f>
        <v>6.9253343716361063E-2</v>
      </c>
      <c r="N306" s="375">
        <f ca="1">N227/N97</f>
        <v>3.3048148157375189E-2</v>
      </c>
      <c r="O306" s="117">
        <f>ROW()</f>
        <v>306</v>
      </c>
    </row>
    <row r="307" spans="2:15" ht="15" customHeight="1">
      <c r="B307" s="314" t="str">
        <f>CONCATENATE("Quotient of Rows ",O227, " and ",O97, ".")</f>
        <v>Quotient of Rows 227 and 97.</v>
      </c>
      <c r="O307" s="117">
        <f>ROW()</f>
        <v>307</v>
      </c>
    </row>
    <row r="308" spans="2:15" ht="15" customHeight="1">
      <c r="B308" s="323" t="s">
        <v>4879</v>
      </c>
      <c r="C308" s="752"/>
      <c r="D308" s="752"/>
      <c r="E308" s="752"/>
      <c r="F308" s="752"/>
      <c r="G308" s="752"/>
      <c r="H308" s="752"/>
      <c r="L308" s="1541">
        <f ca="1">F414/E414</f>
        <v>1.0957856781968176</v>
      </c>
      <c r="N308" s="1541">
        <f ca="1">L414/K414</f>
        <v>1.1047280073380426</v>
      </c>
      <c r="O308" s="117">
        <f>ROW()</f>
        <v>308</v>
      </c>
    </row>
    <row r="309" spans="2:15" ht="15" customHeight="1">
      <c r="B309" s="314" t="str">
        <f>CONCATENATE("equals one plus % change in effective fare due to surcharge, as calc'd in Row ",O414, ".")</f>
        <v>equals one plus % change in effective fare due to surcharge, as calc'd in Row 414.</v>
      </c>
      <c r="C309" s="752"/>
      <c r="D309" s="752"/>
      <c r="E309" s="752"/>
      <c r="F309" s="752"/>
      <c r="G309" s="752"/>
      <c r="H309" s="752"/>
      <c r="L309" s="314"/>
      <c r="O309" s="117">
        <f>ROW()</f>
        <v>309</v>
      </c>
    </row>
    <row r="310" spans="2:15" ht="15" customHeight="1">
      <c r="B310" s="323" t="s">
        <v>3344</v>
      </c>
      <c r="C310" s="752"/>
      <c r="D310" s="752"/>
      <c r="E310" s="752"/>
      <c r="F310" s="752"/>
      <c r="G310" s="752"/>
      <c r="H310" s="752"/>
      <c r="L310" s="221">
        <f>L282*$L$192</f>
        <v>15706.666666666666</v>
      </c>
      <c r="N310" s="221">
        <f>N282*$L$192</f>
        <v>15706.666666666666</v>
      </c>
      <c r="O310" s="117">
        <f>ROW()</f>
        <v>310</v>
      </c>
    </row>
    <row r="311" spans="2:15" ht="15" customHeight="1">
      <c r="B311" s="326" t="str">
        <f>CONCATENATE("Product of Shifts per cab per day in Row ",O282," and number of medallion cabs in Row",O192, ".")</f>
        <v>Product of Shifts per cab per day in Row 282 and number of medallion cabs in Row192.</v>
      </c>
      <c r="C311" s="752"/>
      <c r="D311" s="752"/>
      <c r="E311" s="752"/>
      <c r="F311" s="752"/>
      <c r="G311" s="752"/>
      <c r="H311" s="752"/>
      <c r="L311" s="314"/>
      <c r="O311" s="117">
        <f>ROW()</f>
        <v>311</v>
      </c>
    </row>
    <row r="312" spans="2:15" ht="15" customHeight="1">
      <c r="B312" s="323" t="s">
        <v>3207</v>
      </c>
      <c r="C312" s="752"/>
      <c r="D312" s="752"/>
      <c r="E312" s="752"/>
      <c r="F312" s="752"/>
      <c r="G312" s="752"/>
      <c r="H312" s="752"/>
      <c r="L312" s="221">
        <f ca="1">L243*L227/F384</f>
        <v>850.7806342642042</v>
      </c>
      <c r="N312" s="221">
        <f ca="1">N243*N227/K384</f>
        <v>317.82291973304547</v>
      </c>
      <c r="O312" s="117">
        <f>ROW()</f>
        <v>312</v>
      </c>
    </row>
    <row r="313" spans="2:15" ht="15" customHeight="1">
      <c r="B313" s="326" t="str">
        <f>CONCATENATE("Product of Change in Fares/day in Row ",O227," and % of Change satisfied via Change in Shifts in Row",O227, " div. by baseline fares per shift in Row ",O384, ".")</f>
        <v>Product of Change in Fares/day in Row 227 and % of Change satisfied via Change in Shifts in Row227 div. by baseline fares per shift in Row 384.</v>
      </c>
      <c r="C313" s="752"/>
      <c r="D313" s="752"/>
      <c r="E313" s="752"/>
      <c r="F313" s="752"/>
      <c r="G313" s="752"/>
      <c r="H313" s="752"/>
      <c r="L313" s="314"/>
      <c r="O313" s="117">
        <f>ROW()</f>
        <v>313</v>
      </c>
    </row>
    <row r="314" spans="2:15" ht="15" customHeight="1">
      <c r="B314" s="323" t="s">
        <v>3345</v>
      </c>
      <c r="C314" s="752"/>
      <c r="D314" s="752"/>
      <c r="E314" s="752"/>
      <c r="F314" s="752"/>
      <c r="G314" s="752"/>
      <c r="H314" s="752"/>
      <c r="L314" s="221">
        <f ca="1">L310+L312</f>
        <v>16557.447300930871</v>
      </c>
      <c r="N314" s="221">
        <f ca="1">N310+N312</f>
        <v>16024.489586399712</v>
      </c>
      <c r="O314" s="117">
        <f>ROW()</f>
        <v>314</v>
      </c>
    </row>
    <row r="315" spans="2:15" ht="15" customHeight="1">
      <c r="B315" s="326" t="str">
        <f>CONCATENATE("Sum of Rows ",O310," and ",O312, ".")</f>
        <v>Sum of Rows 310 and 312.</v>
      </c>
      <c r="C315" s="752"/>
      <c r="D315" s="752"/>
      <c r="E315" s="752"/>
      <c r="F315" s="752"/>
      <c r="G315" s="752"/>
      <c r="H315" s="752"/>
      <c r="L315" s="314"/>
      <c r="O315" s="117">
        <f>ROW()</f>
        <v>315</v>
      </c>
    </row>
    <row r="316" spans="2:15" ht="15" customHeight="1">
      <c r="B316" s="323" t="s">
        <v>3208</v>
      </c>
      <c r="C316" s="752"/>
      <c r="D316" s="752"/>
      <c r="E316" s="752"/>
      <c r="F316" s="752"/>
      <c r="G316" s="752"/>
      <c r="H316" s="752"/>
      <c r="L316" s="1541">
        <f ca="1">L314/L310</f>
        <v>1.0541668485312525</v>
      </c>
      <c r="M316" s="717"/>
      <c r="N316" s="1541">
        <f ca="1">N314/N310</f>
        <v>1.0202349057554996</v>
      </c>
      <c r="O316" s="117">
        <f>ROW()</f>
        <v>316</v>
      </c>
    </row>
    <row r="317" spans="2:15" ht="15" customHeight="1">
      <c r="B317" s="326"/>
      <c r="C317" s="752"/>
      <c r="D317" s="752"/>
      <c r="E317" s="752"/>
      <c r="F317" s="752"/>
      <c r="G317" s="752"/>
      <c r="H317" s="752"/>
      <c r="L317" s="314"/>
      <c r="O317" s="117">
        <f>ROW()</f>
        <v>317</v>
      </c>
    </row>
    <row r="318" spans="2:15" ht="15" customHeight="1">
      <c r="B318" s="467" t="s">
        <v>6397</v>
      </c>
      <c r="E318" s="8"/>
      <c r="I318" s="23"/>
      <c r="O318" s="117">
        <f>ROW()</f>
        <v>318</v>
      </c>
    </row>
    <row r="319" spans="2:15" ht="15" customHeight="1">
      <c r="B319" s="308"/>
      <c r="E319" s="8"/>
      <c r="I319" s="23"/>
      <c r="O319" s="117">
        <f>ROW()</f>
        <v>319</v>
      </c>
    </row>
    <row r="320" spans="2:15" ht="15" customHeight="1">
      <c r="B320" s="213" t="s">
        <v>1701</v>
      </c>
      <c r="E320" s="8"/>
      <c r="F320" s="8"/>
      <c r="O320" s="117">
        <f>ROW()</f>
        <v>320</v>
      </c>
    </row>
    <row r="321" spans="2:17" ht="15" customHeight="1">
      <c r="B321" s="314" t="s">
        <v>2830</v>
      </c>
      <c r="O321" s="117">
        <f>ROW()</f>
        <v>321</v>
      </c>
    </row>
    <row r="322" spans="2:17" ht="15" customHeight="1">
      <c r="B322" s="215"/>
      <c r="G322" s="4607" t="s">
        <v>3176</v>
      </c>
      <c r="H322" s="4607"/>
      <c r="I322" s="4607"/>
      <c r="K322" s="4607" t="s">
        <v>3177</v>
      </c>
      <c r="L322" s="4607"/>
      <c r="M322" s="4607"/>
      <c r="N322" s="1584"/>
      <c r="O322" s="117">
        <f>ROW()</f>
        <v>322</v>
      </c>
    </row>
    <row r="323" spans="2:17" ht="15" customHeight="1">
      <c r="B323" s="215"/>
      <c r="G323" s="252" t="s">
        <v>1726</v>
      </c>
      <c r="H323" s="288" t="s">
        <v>1727</v>
      </c>
      <c r="I323" s="252" t="s">
        <v>2586</v>
      </c>
      <c r="K323" s="252" t="s">
        <v>1726</v>
      </c>
      <c r="L323" s="288" t="s">
        <v>1727</v>
      </c>
      <c r="M323" s="252" t="s">
        <v>2586</v>
      </c>
      <c r="N323" s="1584"/>
      <c r="O323" s="117">
        <f>ROW()</f>
        <v>323</v>
      </c>
    </row>
    <row r="324" spans="2:17" ht="15" customHeight="1">
      <c r="B324" s="1406" t="s">
        <v>4692</v>
      </c>
      <c r="G324" s="1568">
        <f>1/(L119/'Motor Vs'!H933+(1-L119)/'Motor Vs'!H938)</f>
        <v>12.047252815084985</v>
      </c>
      <c r="H324" s="295">
        <f ca="1">1/(L119/'Motor Vs'!H934+(1-L119)/'Motor Vs'!H939)</f>
        <v>13.818588967527164</v>
      </c>
      <c r="I324" s="1564">
        <f ca="1">H324/G324-1</f>
        <v>0.14703237158136151</v>
      </c>
      <c r="K324" s="1568">
        <f>1/(L119/'Motor Vs Weekends'!H933+(1-L119)/'Motor Vs Weekends'!H938)</f>
        <v>15.178252475055999</v>
      </c>
      <c r="L324" s="295">
        <f ca="1">1/(L119/'Motor Vs Weekends'!H934+(1-L119)/'Motor Vs Weekends'!H939)</f>
        <v>16.617086865203735</v>
      </c>
      <c r="M324" s="1564">
        <f ca="1">L324/K324-1</f>
        <v>9.4795787098173712E-2</v>
      </c>
      <c r="N324" s="1584"/>
      <c r="O324" s="117">
        <f>ROW()</f>
        <v>324</v>
      </c>
    </row>
    <row r="325" spans="2:17" ht="15" customHeight="1">
      <c r="B325" s="320" t="s">
        <v>1728</v>
      </c>
      <c r="E325" s="7" t="s">
        <v>1175</v>
      </c>
      <c r="G325" s="1569">
        <f>15/60</f>
        <v>0.25</v>
      </c>
      <c r="H325" s="307">
        <f>15/60</f>
        <v>0.25</v>
      </c>
      <c r="I325" s="1565"/>
      <c r="K325" s="1569">
        <f>15/60</f>
        <v>0.25</v>
      </c>
      <c r="L325" s="307">
        <f>15/60</f>
        <v>0.25</v>
      </c>
      <c r="M325" s="1565"/>
      <c r="O325" s="117">
        <f>ROW()</f>
        <v>325</v>
      </c>
    </row>
    <row r="326" spans="2:17" ht="15" customHeight="1">
      <c r="B326" s="320" t="s">
        <v>2244</v>
      </c>
      <c r="E326" s="7" t="s">
        <v>1175</v>
      </c>
      <c r="G326" s="1569">
        <f>24/60</f>
        <v>0.4</v>
      </c>
      <c r="H326" s="307">
        <f>24/60</f>
        <v>0.4</v>
      </c>
      <c r="I326" s="1565"/>
      <c r="K326" s="1569">
        <f>24/60</f>
        <v>0.4</v>
      </c>
      <c r="L326" s="307">
        <f>24/60</f>
        <v>0.4</v>
      </c>
      <c r="M326" s="1565"/>
      <c r="O326" s="117">
        <f>ROW()</f>
        <v>326</v>
      </c>
    </row>
    <row r="327" spans="2:17" ht="15" customHeight="1">
      <c r="B327" s="320" t="s">
        <v>2584</v>
      </c>
      <c r="E327" s="7" t="s">
        <v>917</v>
      </c>
      <c r="G327" s="1569">
        <f>$L$107*60/G324</f>
        <v>12.450971379315398</v>
      </c>
      <c r="H327" s="307">
        <f ca="1">$L$107*60/H324</f>
        <v>10.854943319646512</v>
      </c>
      <c r="I327" s="1820"/>
      <c r="K327" s="1569">
        <f>$L$107*60/K324</f>
        <v>9.8825606074553445</v>
      </c>
      <c r="L327" s="307">
        <f ca="1">$L$107*60/L324</f>
        <v>9.0268529746992403</v>
      </c>
      <c r="M327" s="1820"/>
      <c r="O327" s="117">
        <f>ROW()</f>
        <v>327</v>
      </c>
    </row>
    <row r="328" spans="2:17" s="6" customFormat="1" ht="15" customHeight="1">
      <c r="B328" s="324" t="s">
        <v>2585</v>
      </c>
      <c r="G328" s="1570">
        <f>SUM(G325:G327)</f>
        <v>13.100971379315398</v>
      </c>
      <c r="H328" s="506">
        <f ca="1">SUM(H325:H327)</f>
        <v>11.504943319646513</v>
      </c>
      <c r="I328" s="447">
        <f ca="1">1-H328/G328</f>
        <v>0.12182516955870848</v>
      </c>
      <c r="K328" s="1570">
        <f>SUM(K325:K327)</f>
        <v>10.532560607455345</v>
      </c>
      <c r="L328" s="506">
        <f ca="1">SUM(L325:L327)</f>
        <v>9.6768529746992407</v>
      </c>
      <c r="M328" s="447">
        <f ca="1">1-L328/K328</f>
        <v>8.1244026466878561E-2</v>
      </c>
      <c r="O328" s="117">
        <f>ROW()</f>
        <v>328</v>
      </c>
      <c r="Q328"/>
    </row>
    <row r="329" spans="2:17" s="6" customFormat="1" ht="15" customHeight="1">
      <c r="B329" s="325" t="s">
        <v>2383</v>
      </c>
      <c r="G329" s="1571">
        <f>G327*$L$88/$L$111</f>
        <v>6.7043692042467518</v>
      </c>
      <c r="H329" s="1571">
        <f ca="1">H327*$L$271/(1-$L$271)</f>
        <v>5.2982461441131798</v>
      </c>
      <c r="I329" s="47"/>
      <c r="K329" s="1571">
        <f>K327*$L$88/$L$111</f>
        <v>5.3213787886297998</v>
      </c>
      <c r="L329" s="1571">
        <f ca="1">L327*$N$271/(1-$N$271)</f>
        <v>4.650196986966276</v>
      </c>
      <c r="M329" s="47"/>
      <c r="O329" s="117">
        <f>ROW()</f>
        <v>329</v>
      </c>
    </row>
    <row r="330" spans="2:17" s="6" customFormat="1" ht="15" customHeight="1">
      <c r="B330" s="326" t="s">
        <v>3175</v>
      </c>
      <c r="C330" s="1573"/>
      <c r="D330" s="1573"/>
      <c r="E330" s="1573"/>
      <c r="F330" s="1573"/>
      <c r="G330" s="1573"/>
      <c r="H330" s="1573"/>
      <c r="I330" s="1573"/>
      <c r="K330" s="1573"/>
      <c r="L330" s="1573"/>
      <c r="M330" s="1573"/>
      <c r="O330" s="117">
        <f>ROW()</f>
        <v>330</v>
      </c>
    </row>
    <row r="331" spans="2:17" s="6" customFormat="1" ht="15" customHeight="1">
      <c r="B331" s="324" t="s">
        <v>2072</v>
      </c>
      <c r="G331" s="1572">
        <f>G328+G329</f>
        <v>19.805340583562149</v>
      </c>
      <c r="H331" s="1572">
        <f ca="1">H328+H329</f>
        <v>16.803189463759693</v>
      </c>
      <c r="I331" s="47"/>
      <c r="K331" s="1572">
        <f>K328+K329</f>
        <v>15.853939396085146</v>
      </c>
      <c r="L331" s="1572">
        <f ca="1">L328+L329</f>
        <v>14.327049961665516</v>
      </c>
      <c r="M331" s="47"/>
      <c r="O331" s="117">
        <f>ROW()</f>
        <v>331</v>
      </c>
    </row>
    <row r="332" spans="2:17" ht="15" customHeight="1">
      <c r="L332" s="6"/>
      <c r="O332" s="117">
        <f>ROW()</f>
        <v>332</v>
      </c>
    </row>
    <row r="333" spans="2:17" ht="15" customHeight="1">
      <c r="B333" s="213" t="s">
        <v>2126</v>
      </c>
      <c r="O333" s="117">
        <f>ROW()</f>
        <v>333</v>
      </c>
    </row>
    <row r="334" spans="2:17" ht="15" customHeight="1">
      <c r="B334" s="6"/>
      <c r="G334" s="4607" t="s">
        <v>3176</v>
      </c>
      <c r="H334" s="4607"/>
      <c r="I334" s="4607"/>
      <c r="K334" s="4607" t="s">
        <v>3177</v>
      </c>
      <c r="L334" s="4607"/>
      <c r="M334" s="4607"/>
      <c r="O334" s="117">
        <f>ROW()</f>
        <v>334</v>
      </c>
    </row>
    <row r="335" spans="2:17" ht="15" customHeight="1">
      <c r="B335" s="7"/>
      <c r="G335" s="252" t="s">
        <v>1726</v>
      </c>
      <c r="H335" s="288" t="s">
        <v>1727</v>
      </c>
      <c r="I335" s="252" t="s">
        <v>2586</v>
      </c>
      <c r="K335" s="252" t="s">
        <v>1726</v>
      </c>
      <c r="L335" s="288" t="s">
        <v>1727</v>
      </c>
      <c r="M335" s="252" t="s">
        <v>2586</v>
      </c>
      <c r="O335" s="117">
        <f>ROW()</f>
        <v>335</v>
      </c>
    </row>
    <row r="336" spans="2:17" ht="15" customHeight="1">
      <c r="B336" s="320" t="s">
        <v>1707</v>
      </c>
      <c r="G336" s="295">
        <f>'Motor Vs'!H933</f>
        <v>10.502037542577714</v>
      </c>
      <c r="H336" s="295">
        <f ca="1">'Motor Vs'!H934</f>
        <v>12.218785405623393</v>
      </c>
      <c r="I336" s="1564">
        <f ca="1">H336/G336-1</f>
        <v>0.16346807522688644</v>
      </c>
      <c r="K336" s="295">
        <f>'Motor Vs Weekends'!H933</f>
        <v>13.029668388108686</v>
      </c>
      <c r="L336" s="295">
        <f ca="1">'Motor Vs Weekends'!H934</f>
        <v>14.387730733094925</v>
      </c>
      <c r="M336" s="1564">
        <f ca="1">L336/K336-1</f>
        <v>0.1042284657240895</v>
      </c>
      <c r="O336" s="117">
        <f>ROW()</f>
        <v>336</v>
      </c>
    </row>
    <row r="337" spans="2:15" ht="15" customHeight="1">
      <c r="B337" s="320" t="s">
        <v>1728</v>
      </c>
      <c r="G337" s="307">
        <f>G325</f>
        <v>0.25</v>
      </c>
      <c r="H337" s="307">
        <f>H325</f>
        <v>0.25</v>
      </c>
      <c r="I337" s="1565"/>
      <c r="K337" s="307">
        <f>K325</f>
        <v>0.25</v>
      </c>
      <c r="L337" s="307">
        <f>L325</f>
        <v>0.25</v>
      </c>
      <c r="M337" s="1565"/>
      <c r="O337" s="117">
        <f>ROW()</f>
        <v>337</v>
      </c>
    </row>
    <row r="338" spans="2:15" ht="15" customHeight="1">
      <c r="B338" s="320" t="s">
        <v>2244</v>
      </c>
      <c r="G338" s="307">
        <f>G326</f>
        <v>0.4</v>
      </c>
      <c r="H338" s="307">
        <f>H326</f>
        <v>0.4</v>
      </c>
      <c r="I338" s="1565"/>
      <c r="K338" s="307">
        <f>K326</f>
        <v>0.4</v>
      </c>
      <c r="L338" s="307">
        <f>L326</f>
        <v>0.4</v>
      </c>
      <c r="M338" s="1565"/>
      <c r="O338" s="117">
        <f>ROW()</f>
        <v>338</v>
      </c>
    </row>
    <row r="339" spans="2:15" ht="15" customHeight="1">
      <c r="B339" s="320" t="s">
        <v>2584</v>
      </c>
      <c r="E339" s="7"/>
      <c r="G339" s="1569">
        <f>$L$107*60/G336</f>
        <v>14.28294265678112</v>
      </c>
      <c r="H339" s="307">
        <f ca="1">$L$107*60/H336</f>
        <v>12.276179261726474</v>
      </c>
      <c r="I339" s="1820"/>
      <c r="K339" s="1569">
        <f>$L$107*60/K336</f>
        <v>11.512188609258471</v>
      </c>
      <c r="L339" s="307">
        <f ca="1">$L$107*60/L336</f>
        <v>10.425549572940451</v>
      </c>
      <c r="M339" s="1820"/>
      <c r="O339" s="117">
        <f>ROW()</f>
        <v>339</v>
      </c>
    </row>
    <row r="340" spans="2:15" ht="15" customHeight="1">
      <c r="B340" s="324" t="s">
        <v>2585</v>
      </c>
      <c r="C340" s="6"/>
      <c r="D340" s="6"/>
      <c r="E340" s="6"/>
      <c r="F340" s="6"/>
      <c r="G340" s="506">
        <f>SUM(G337:G339)</f>
        <v>14.932942656781121</v>
      </c>
      <c r="H340" s="506">
        <f ca="1">SUM(H337:H339)</f>
        <v>12.926179261726475</v>
      </c>
      <c r="I340" s="447">
        <f ca="1">1-H340/G340</f>
        <v>0.1343849930437766</v>
      </c>
      <c r="K340" s="506">
        <f>SUM(K337:K339)</f>
        <v>12.162188609258472</v>
      </c>
      <c r="L340" s="506">
        <f ca="1">SUM(L337:L339)</f>
        <v>11.075549572940451</v>
      </c>
      <c r="M340" s="447">
        <f ca="1">1-L340/K340</f>
        <v>8.9345682033808993E-2</v>
      </c>
      <c r="O340" s="117">
        <f>ROW()</f>
        <v>340</v>
      </c>
    </row>
    <row r="341" spans="2:15" ht="15" customHeight="1">
      <c r="B341" s="325" t="s">
        <v>2383</v>
      </c>
      <c r="C341" s="6"/>
      <c r="D341" s="6"/>
      <c r="E341" s="6"/>
      <c r="F341" s="6"/>
      <c r="G341" s="1571">
        <f>G339*$L$88/$L$111</f>
        <v>7.6908152767282951</v>
      </c>
      <c r="H341" s="1571">
        <f ca="1">H339*$L$271/(1-$L$271)</f>
        <v>5.9919446396522096</v>
      </c>
      <c r="I341" s="47"/>
      <c r="K341" s="1571">
        <f>K339*$L$88/$L$111</f>
        <v>6.198870789600714</v>
      </c>
      <c r="L341" s="1571">
        <f ca="1">L339*$N$271/(1-$N$271)</f>
        <v>5.3707376587875064</v>
      </c>
      <c r="M341" s="47"/>
      <c r="O341" s="117">
        <f>ROW()</f>
        <v>341</v>
      </c>
    </row>
    <row r="342" spans="2:15" ht="15" customHeight="1">
      <c r="L342" s="564"/>
      <c r="O342" s="117">
        <f>ROW()</f>
        <v>342</v>
      </c>
    </row>
    <row r="343" spans="2:15" ht="15" customHeight="1">
      <c r="B343" s="213" t="s">
        <v>1295</v>
      </c>
      <c r="L343" s="1821"/>
      <c r="O343" s="117">
        <f>ROW()</f>
        <v>343</v>
      </c>
    </row>
    <row r="344" spans="2:15" ht="15" customHeight="1">
      <c r="B344" s="6"/>
      <c r="G344" s="4607" t="s">
        <v>3176</v>
      </c>
      <c r="H344" s="4607"/>
      <c r="I344" s="4607"/>
      <c r="K344" s="4607" t="s">
        <v>3177</v>
      </c>
      <c r="L344" s="4607"/>
      <c r="M344" s="4607"/>
      <c r="O344" s="117">
        <f>ROW()</f>
        <v>344</v>
      </c>
    </row>
    <row r="345" spans="2:15" ht="15" customHeight="1">
      <c r="B345" s="7"/>
      <c r="G345" s="252" t="s">
        <v>1726</v>
      </c>
      <c r="H345" s="288" t="s">
        <v>1727</v>
      </c>
      <c r="I345" s="252" t="s">
        <v>2586</v>
      </c>
      <c r="K345" s="252" t="s">
        <v>1726</v>
      </c>
      <c r="L345" s="288" t="s">
        <v>1727</v>
      </c>
      <c r="M345" s="252" t="s">
        <v>2586</v>
      </c>
      <c r="O345" s="117">
        <f>ROW()</f>
        <v>345</v>
      </c>
    </row>
    <row r="346" spans="2:15" ht="15" customHeight="1">
      <c r="B346" s="320" t="s">
        <v>1707</v>
      </c>
      <c r="G346" s="1574">
        <f>'Motor Vs'!H938</f>
        <v>20.784928325827366</v>
      </c>
      <c r="H346" s="1574">
        <f ca="1">'Motor Vs'!H939</f>
        <v>22.07742960977286</v>
      </c>
      <c r="I346" s="1564">
        <f ca="1">H346/G346-1</f>
        <v>6.2184543708020845E-2</v>
      </c>
      <c r="K346" s="1574">
        <f>'Motor Vs Weekends'!H938</f>
        <v>28.700001284590645</v>
      </c>
      <c r="L346" s="1574">
        <f ca="1">'Motor Vs Weekends'!H939</f>
        <v>29.817653244264481</v>
      </c>
      <c r="M346" s="1564">
        <f ca="1">L346/K346-1</f>
        <v>3.894257524907907E-2</v>
      </c>
      <c r="O346" s="117">
        <f>ROW()</f>
        <v>346</v>
      </c>
    </row>
    <row r="347" spans="2:15" ht="15" customHeight="1">
      <c r="B347" s="320" t="s">
        <v>1728</v>
      </c>
      <c r="G347" s="307">
        <f>G325</f>
        <v>0.25</v>
      </c>
      <c r="H347" s="307">
        <f>H325</f>
        <v>0.25</v>
      </c>
      <c r="I347" s="1565"/>
      <c r="K347" s="307">
        <f>K325</f>
        <v>0.25</v>
      </c>
      <c r="L347" s="307">
        <f>L325</f>
        <v>0.25</v>
      </c>
      <c r="M347" s="1565"/>
      <c r="O347" s="117">
        <f>ROW()</f>
        <v>347</v>
      </c>
    </row>
    <row r="348" spans="2:15" ht="15" customHeight="1">
      <c r="B348" s="320" t="s">
        <v>2244</v>
      </c>
      <c r="G348" s="307">
        <f>G326</f>
        <v>0.4</v>
      </c>
      <c r="H348" s="307">
        <f>H326</f>
        <v>0.4</v>
      </c>
      <c r="I348" s="1565"/>
      <c r="K348" s="307">
        <f>K326</f>
        <v>0.4</v>
      </c>
      <c r="L348" s="307">
        <f>L326</f>
        <v>0.4</v>
      </c>
      <c r="M348" s="1565"/>
      <c r="O348" s="117">
        <f>ROW()</f>
        <v>348</v>
      </c>
    </row>
    <row r="349" spans="2:15" ht="15" customHeight="1">
      <c r="B349" s="320" t="s">
        <v>2584</v>
      </c>
      <c r="E349" s="7"/>
      <c r="G349" s="1569">
        <f>$L$85*60/G346</f>
        <v>11.54682836706133</v>
      </c>
      <c r="H349" s="307">
        <f ca="1">$L$85*60/H346</f>
        <v>10.870830719068895</v>
      </c>
      <c r="I349" s="1820"/>
      <c r="K349" s="1569">
        <f>$L$85*60/K346</f>
        <v>8.3623689636856824</v>
      </c>
      <c r="L349" s="307">
        <f ca="1">$L$85*60/L346</f>
        <v>8.0489231675589608</v>
      </c>
      <c r="M349" s="1820"/>
      <c r="O349" s="117">
        <f>ROW()</f>
        <v>349</v>
      </c>
    </row>
    <row r="350" spans="2:15" ht="15" customHeight="1">
      <c r="B350" s="324" t="s">
        <v>2585</v>
      </c>
      <c r="C350" s="6"/>
      <c r="D350" s="6"/>
      <c r="E350" s="6"/>
      <c r="F350" s="6"/>
      <c r="G350" s="506">
        <f>SUM(G347:G349)</f>
        <v>12.196828367061331</v>
      </c>
      <c r="H350" s="506">
        <f ca="1">SUM(H347:H349)</f>
        <v>11.520830719068895</v>
      </c>
      <c r="I350" s="447">
        <f ca="1">1-H350/G350</f>
        <v>5.5424051864010004E-2</v>
      </c>
      <c r="K350" s="506">
        <f>SUM(K347:K349)</f>
        <v>9.0123689636856827</v>
      </c>
      <c r="L350" s="506">
        <f ca="1">SUM(L347:L349)</f>
        <v>8.6989231675589611</v>
      </c>
      <c r="M350" s="447">
        <f ca="1">1-L350/K350</f>
        <v>3.4779512178175986E-2</v>
      </c>
      <c r="O350" s="117">
        <f>ROW()</f>
        <v>350</v>
      </c>
    </row>
    <row r="351" spans="2:15" ht="15" customHeight="1">
      <c r="B351" s="325" t="s">
        <v>2383</v>
      </c>
      <c r="C351" s="6"/>
      <c r="D351" s="6"/>
      <c r="E351" s="6"/>
      <c r="F351" s="6"/>
      <c r="G351" s="1571">
        <f>G349*$L$88/$L$111</f>
        <v>6.2175229668791774</v>
      </c>
      <c r="H351" s="1571">
        <f ca="1">H349*$L$271/(1-$L$271)</f>
        <v>5.3060007081169616</v>
      </c>
      <c r="I351" s="47"/>
      <c r="K351" s="1571">
        <f>K349*$L$88/$L$111</f>
        <v>4.5028140573692133</v>
      </c>
      <c r="L351" s="1571">
        <f ca="1">L349*$N$271/(1-$N$271)</f>
        <v>4.1464149651061319</v>
      </c>
      <c r="M351" s="47"/>
      <c r="O351" s="117">
        <f>ROW()</f>
        <v>351</v>
      </c>
    </row>
    <row r="352" spans="2:15" ht="15" customHeight="1">
      <c r="B352" s="9"/>
      <c r="C352" s="6"/>
      <c r="D352" s="6"/>
      <c r="E352" s="6"/>
      <c r="F352" s="6"/>
      <c r="G352" s="125"/>
      <c r="H352" s="125"/>
      <c r="I352" s="47"/>
      <c r="M352" s="8"/>
      <c r="O352" s="117">
        <f>ROW()</f>
        <v>352</v>
      </c>
    </row>
    <row r="353" spans="2:15" ht="15" customHeight="1">
      <c r="B353" s="213" t="s">
        <v>1702</v>
      </c>
      <c r="C353" s="6"/>
      <c r="D353" s="6"/>
      <c r="E353" s="6"/>
      <c r="F353" s="6"/>
      <c r="G353" s="125"/>
      <c r="H353" s="125"/>
      <c r="I353" s="47"/>
      <c r="O353" s="117">
        <f>ROW()</f>
        <v>353</v>
      </c>
    </row>
    <row r="354" spans="2:15" ht="15" customHeight="1">
      <c r="B354" s="6"/>
      <c r="C354" s="6"/>
      <c r="D354" s="6"/>
      <c r="E354" s="6"/>
      <c r="F354" s="6"/>
      <c r="G354" s="125"/>
      <c r="H354" s="125"/>
      <c r="I354" s="47"/>
      <c r="O354" s="117">
        <f>ROW()</f>
        <v>354</v>
      </c>
    </row>
    <row r="355" spans="2:15" ht="15" customHeight="1">
      <c r="B355" s="325" t="s">
        <v>1296</v>
      </c>
      <c r="C355" s="6"/>
      <c r="D355" s="6"/>
      <c r="E355" s="6"/>
      <c r="F355" s="294">
        <f>L97</f>
        <v>471200</v>
      </c>
      <c r="G355" s="125"/>
      <c r="H355" s="125"/>
      <c r="I355" s="8" t="s">
        <v>2127</v>
      </c>
      <c r="K355" s="294">
        <f>N194</f>
        <v>471200</v>
      </c>
      <c r="L355" s="125"/>
      <c r="M355" s="125"/>
      <c r="N355" s="8" t="s">
        <v>2127</v>
      </c>
      <c r="O355" s="117">
        <f>ROW()</f>
        <v>355</v>
      </c>
    </row>
    <row r="356" spans="2:15" ht="15" customHeight="1">
      <c r="B356" s="325" t="s">
        <v>6205</v>
      </c>
      <c r="C356" s="6"/>
      <c r="D356" s="6"/>
      <c r="E356" s="6"/>
      <c r="F356" s="6"/>
      <c r="G356" s="293">
        <f>H356*$F$355</f>
        <v>35340</v>
      </c>
      <c r="H356" s="1587">
        <f>L286</f>
        <v>7.4999999999999997E-2</v>
      </c>
      <c r="I356" s="1120">
        <f>L124</f>
        <v>2.9999999999999982</v>
      </c>
      <c r="K356" s="6"/>
      <c r="L356" s="293">
        <f>$N$115*G356</f>
        <v>35340</v>
      </c>
      <c r="M356" s="1587">
        <f>L356/K$355</f>
        <v>7.4999999999999997E-2</v>
      </c>
      <c r="N356" s="1120">
        <f>I356</f>
        <v>2.9999999999999982</v>
      </c>
      <c r="O356" s="117">
        <f>ROW()</f>
        <v>356</v>
      </c>
    </row>
    <row r="357" spans="2:15" ht="15" customHeight="1">
      <c r="B357" s="325" t="s">
        <v>6206</v>
      </c>
      <c r="C357" s="6"/>
      <c r="D357" s="6"/>
      <c r="E357" s="6"/>
      <c r="F357" s="6"/>
      <c r="G357" s="293">
        <f>H357*$F$355</f>
        <v>35340</v>
      </c>
      <c r="H357" s="1587">
        <f>H356</f>
        <v>7.4999999999999997E-2</v>
      </c>
      <c r="I357" s="295">
        <f>L124</f>
        <v>2.9999999999999982</v>
      </c>
      <c r="K357" s="6"/>
      <c r="L357" s="293">
        <f>$N$115*G357</f>
        <v>35340</v>
      </c>
      <c r="M357" s="1587">
        <f>M356</f>
        <v>7.4999999999999997E-2</v>
      </c>
      <c r="N357" s="1120">
        <f>I357</f>
        <v>2.9999999999999982</v>
      </c>
      <c r="O357" s="117">
        <f>ROW()</f>
        <v>357</v>
      </c>
    </row>
    <row r="358" spans="2:15" ht="15" customHeight="1">
      <c r="B358" s="325" t="s">
        <v>6207</v>
      </c>
      <c r="C358" s="6"/>
      <c r="D358" s="6"/>
      <c r="E358" s="6"/>
      <c r="F358" s="6"/>
      <c r="G358" s="293">
        <f>L97*(1-L81)</f>
        <v>94239.999999999985</v>
      </c>
      <c r="H358" s="1587">
        <f>G358/F$355</f>
        <v>0.19999999999999996</v>
      </c>
      <c r="I358" s="295">
        <f>L123</f>
        <v>5.25</v>
      </c>
      <c r="K358" s="6"/>
      <c r="L358" s="293">
        <f>$N$115*G358</f>
        <v>94239.999999999985</v>
      </c>
      <c r="M358" s="1587">
        <f>L358/K$355</f>
        <v>0.19999999999999996</v>
      </c>
      <c r="N358" s="1120">
        <f>I358</f>
        <v>5.25</v>
      </c>
      <c r="O358" s="117">
        <f>ROW()</f>
        <v>358</v>
      </c>
    </row>
    <row r="359" spans="2:15" ht="15" customHeight="1">
      <c r="B359" s="325" t="s">
        <v>6208</v>
      </c>
      <c r="C359" s="6"/>
      <c r="D359" s="6"/>
      <c r="E359" s="6"/>
      <c r="F359" s="6"/>
      <c r="G359" s="293">
        <f>H359*F355</f>
        <v>306280.00000000006</v>
      </c>
      <c r="H359" s="1587">
        <f>1-H356-H357-H358</f>
        <v>0.65000000000000013</v>
      </c>
      <c r="I359" s="295">
        <f>L122</f>
        <v>2</v>
      </c>
      <c r="K359" s="6"/>
      <c r="L359" s="293">
        <f>$N$115*G359</f>
        <v>306280.00000000006</v>
      </c>
      <c r="M359" s="1587">
        <f>1-M356-M357-M358</f>
        <v>0.65000000000000013</v>
      </c>
      <c r="N359" s="1120">
        <f>I359</f>
        <v>2</v>
      </c>
      <c r="O359" s="117">
        <f>ROW()</f>
        <v>359</v>
      </c>
    </row>
    <row r="360" spans="2:15" ht="15" customHeight="1">
      <c r="B360" s="324"/>
      <c r="C360" s="6"/>
      <c r="D360" s="6"/>
      <c r="E360" s="6"/>
      <c r="F360" s="6"/>
      <c r="G360" s="125"/>
      <c r="H360" s="125"/>
      <c r="I360" s="47"/>
      <c r="O360" s="117">
        <f>ROW()</f>
        <v>360</v>
      </c>
    </row>
    <row r="361" spans="2:15" ht="15" customHeight="1">
      <c r="B361" s="324"/>
      <c r="C361" s="6"/>
      <c r="D361" s="6"/>
      <c r="E361" s="6"/>
      <c r="I361" s="4606" t="s">
        <v>6210</v>
      </c>
      <c r="N361" s="4606" t="s">
        <v>6210</v>
      </c>
      <c r="O361" s="117">
        <f>ROW()</f>
        <v>361</v>
      </c>
    </row>
    <row r="362" spans="2:15" ht="15" customHeight="1">
      <c r="B362" s="324"/>
      <c r="C362" s="6"/>
      <c r="D362" s="6"/>
      <c r="E362" s="6"/>
      <c r="G362" s="4606" t="s">
        <v>2334</v>
      </c>
      <c r="H362" s="4606" t="s">
        <v>2703</v>
      </c>
      <c r="I362" s="3807"/>
      <c r="L362" s="4606" t="s">
        <v>2334</v>
      </c>
      <c r="M362" s="4606" t="s">
        <v>2703</v>
      </c>
      <c r="N362" s="3807"/>
      <c r="O362" s="117">
        <f>ROW()</f>
        <v>362</v>
      </c>
    </row>
    <row r="363" spans="2:15" ht="15" customHeight="1">
      <c r="B363" s="324"/>
      <c r="C363" s="6"/>
      <c r="D363" s="6"/>
      <c r="E363" s="6"/>
      <c r="F363" s="8" t="s">
        <v>2335</v>
      </c>
      <c r="G363" s="3807"/>
      <c r="H363" s="3807"/>
      <c r="I363" s="3807"/>
      <c r="K363" s="8" t="s">
        <v>2335</v>
      </c>
      <c r="L363" s="3807"/>
      <c r="M363" s="3807"/>
      <c r="N363" s="3807"/>
      <c r="O363" s="117">
        <f>ROW()</f>
        <v>363</v>
      </c>
    </row>
    <row r="364" spans="2:15" ht="15" customHeight="1">
      <c r="B364" s="324"/>
      <c r="C364" s="6"/>
      <c r="D364" s="6"/>
      <c r="E364" s="6"/>
      <c r="F364" s="509">
        <f>G364*I356</f>
        <v>2.2499999999999987</v>
      </c>
      <c r="G364" s="23">
        <v>0.75</v>
      </c>
      <c r="H364" s="1538">
        <f>G356*F364</f>
        <v>79514.999999999956</v>
      </c>
      <c r="I364" s="4360" t="str">
        <f>CONCATENATE("fare miles in Row ",$O368, " x multiplier in Row ",$O113,".")</f>
        <v>fare miles in Row 368 x multiplier in Row 113.</v>
      </c>
      <c r="K364" s="509">
        <f>L364*N356</f>
        <v>2.2499999999999987</v>
      </c>
      <c r="L364" s="23">
        <v>0.75</v>
      </c>
      <c r="M364" s="1538">
        <f>L356*K364</f>
        <v>79514.999999999956</v>
      </c>
      <c r="N364" s="4360" t="str">
        <f>CONCATENATE("fare miles in Row ",$O368, " x multiplier in Row ",$O113,".")</f>
        <v>fare miles in Row 368 x multiplier in Row 113.</v>
      </c>
      <c r="O364" s="117">
        <f>ROW()</f>
        <v>364</v>
      </c>
    </row>
    <row r="365" spans="2:15" ht="15" customHeight="1">
      <c r="B365" s="324"/>
      <c r="C365" s="6"/>
      <c r="D365" s="6"/>
      <c r="E365" s="6"/>
      <c r="F365" s="509">
        <f>G365*I357</f>
        <v>2.2499999999999987</v>
      </c>
      <c r="G365" s="23">
        <f>G364</f>
        <v>0.75</v>
      </c>
      <c r="H365" s="1538">
        <f>G357*F365</f>
        <v>79514.999999999956</v>
      </c>
      <c r="I365" s="4361"/>
      <c r="K365" s="509">
        <f>L365*N357</f>
        <v>2.2499999999999987</v>
      </c>
      <c r="L365" s="23">
        <f>L364</f>
        <v>0.75</v>
      </c>
      <c r="M365" s="1538">
        <f>L357*K365</f>
        <v>79514.999999999956</v>
      </c>
      <c r="N365" s="4361"/>
      <c r="O365" s="117">
        <f>ROW()</f>
        <v>365</v>
      </c>
    </row>
    <row r="366" spans="2:15" ht="15" customHeight="1">
      <c r="B366" s="324"/>
      <c r="C366" s="6"/>
      <c r="D366" s="6"/>
      <c r="E366" s="6"/>
      <c r="F366" s="509">
        <f>G366*I358</f>
        <v>0</v>
      </c>
      <c r="G366" s="23">
        <v>0</v>
      </c>
      <c r="H366" s="1538">
        <f>G358*F366</f>
        <v>0</v>
      </c>
      <c r="I366" s="4361"/>
      <c r="K366" s="509">
        <f>L366*N358</f>
        <v>0</v>
      </c>
      <c r="L366" s="23">
        <v>0</v>
      </c>
      <c r="M366" s="1538">
        <f>L358*K366</f>
        <v>0</v>
      </c>
      <c r="N366" s="4361"/>
      <c r="O366" s="117">
        <f>ROW()</f>
        <v>366</v>
      </c>
    </row>
    <row r="367" spans="2:15" ht="15" customHeight="1">
      <c r="B367" s="324"/>
      <c r="C367" s="6"/>
      <c r="D367" s="6"/>
      <c r="E367" s="6"/>
      <c r="F367" s="509">
        <f>G367*I359</f>
        <v>2</v>
      </c>
      <c r="G367" s="23">
        <v>1</v>
      </c>
      <c r="H367" s="1538">
        <f>G359*F367</f>
        <v>612560.00000000012</v>
      </c>
      <c r="I367" s="4361"/>
      <c r="K367" s="509">
        <f>L367*N359</f>
        <v>2</v>
      </c>
      <c r="L367" s="23">
        <v>1</v>
      </c>
      <c r="M367" s="1538">
        <f>L359*K367</f>
        <v>612560.00000000012</v>
      </c>
      <c r="N367" s="4361"/>
      <c r="O367" s="117">
        <f>ROW()</f>
        <v>367</v>
      </c>
    </row>
    <row r="368" spans="2:15" ht="15" customHeight="1">
      <c r="B368" s="324"/>
      <c r="C368" s="6"/>
      <c r="D368" s="6"/>
      <c r="E368" s="6"/>
      <c r="H368" s="607">
        <f>SUM(H364:H367)</f>
        <v>771590</v>
      </c>
      <c r="I368" s="1539">
        <f>H368*$L113</f>
        <v>1187061.5384615383</v>
      </c>
      <c r="M368" s="607">
        <f>SUM(M364:M367)</f>
        <v>771590</v>
      </c>
      <c r="N368" s="1539">
        <f>M368*$L113</f>
        <v>1187061.5384615383</v>
      </c>
      <c r="O368" s="117">
        <f>ROW()</f>
        <v>368</v>
      </c>
    </row>
    <row r="369" spans="2:17" ht="15" customHeight="1">
      <c r="B369" s="324"/>
      <c r="C369" s="6"/>
      <c r="D369" s="6"/>
      <c r="E369" s="6"/>
      <c r="F369" s="6"/>
      <c r="G369" s="125"/>
      <c r="H369" s="125"/>
      <c r="I369" s="47"/>
      <c r="L369" s="607"/>
      <c r="M369" s="1937"/>
      <c r="O369" s="117">
        <f>ROW()</f>
        <v>369</v>
      </c>
    </row>
    <row r="370" spans="2:17" ht="15" customHeight="1">
      <c r="B370" s="1406" t="s">
        <v>4696</v>
      </c>
      <c r="C370" s="6"/>
      <c r="D370" s="6"/>
      <c r="E370" s="6"/>
      <c r="F370" s="6"/>
      <c r="G370" s="125"/>
      <c r="H370" s="125"/>
      <c r="I370" s="47"/>
      <c r="L370" s="607"/>
      <c r="M370" s="1937"/>
      <c r="O370" s="117">
        <f>ROW()</f>
        <v>370</v>
      </c>
    </row>
    <row r="371" spans="2:17" ht="15" customHeight="1">
      <c r="C371" s="6"/>
      <c r="D371" s="6"/>
      <c r="E371" s="6"/>
      <c r="F371" s="6"/>
      <c r="G371" s="125"/>
      <c r="H371" s="125"/>
      <c r="I371" s="47"/>
      <c r="L371" s="575"/>
      <c r="O371" s="117">
        <f>ROW()</f>
        <v>371</v>
      </c>
    </row>
    <row r="372" spans="2:17" ht="15" customHeight="1">
      <c r="C372" s="6"/>
      <c r="D372" s="6"/>
      <c r="E372" s="6"/>
      <c r="F372" s="4607" t="s">
        <v>3176</v>
      </c>
      <c r="G372" s="4607"/>
      <c r="H372" s="4607"/>
      <c r="I372" s="1946"/>
      <c r="K372" s="4607" t="s">
        <v>3177</v>
      </c>
      <c r="L372" s="4607"/>
      <c r="M372" s="4607"/>
      <c r="O372" s="117">
        <f>ROW()</f>
        <v>372</v>
      </c>
    </row>
    <row r="373" spans="2:17" ht="15" customHeight="1">
      <c r="B373" s="9"/>
      <c r="C373" s="6"/>
      <c r="D373" s="6"/>
      <c r="E373" s="6"/>
      <c r="F373" s="289"/>
      <c r="G373" s="289"/>
      <c r="H373" s="290"/>
      <c r="I373" s="262" t="s">
        <v>1972</v>
      </c>
      <c r="K373" s="289"/>
      <c r="L373" s="289"/>
      <c r="M373" s="290"/>
      <c r="N373" s="262" t="s">
        <v>1972</v>
      </c>
      <c r="O373" s="117">
        <f>ROW()</f>
        <v>373</v>
      </c>
    </row>
    <row r="374" spans="2:17" ht="15" customHeight="1">
      <c r="B374" s="7"/>
      <c r="F374" s="264" t="s">
        <v>1726</v>
      </c>
      <c r="G374" s="291" t="s">
        <v>1727</v>
      </c>
      <c r="H374" s="264" t="s">
        <v>2586</v>
      </c>
      <c r="I374" s="264" t="s">
        <v>1973</v>
      </c>
      <c r="K374" s="264" t="s">
        <v>1726</v>
      </c>
      <c r="L374" s="291" t="s">
        <v>1727</v>
      </c>
      <c r="M374" s="264" t="s">
        <v>2586</v>
      </c>
      <c r="N374" s="264" t="s">
        <v>1973</v>
      </c>
      <c r="O374" s="117">
        <f>ROW()</f>
        <v>374</v>
      </c>
    </row>
    <row r="375" spans="2:17" ht="15" customHeight="1">
      <c r="B375" s="320" t="s">
        <v>1708</v>
      </c>
      <c r="F375" s="1941">
        <f>$H$356*G324+$H$357*G324+$H$358*G346+$H$359*G336</f>
        <v>12.790397990103736</v>
      </c>
      <c r="G375" s="1941">
        <f ca="1">$H$356*H324+$H$357*H324+$H$358*H346+$H$359*H336</f>
        <v>14.430484780738853</v>
      </c>
      <c r="H375" s="236">
        <f ca="1">G375/F375-1</f>
        <v>0.12822797163185173</v>
      </c>
      <c r="K375" s="1941">
        <f>$M$356*K324+$M$357*K324+$M$358*K346+$M$359*K336</f>
        <v>16.486022580447177</v>
      </c>
      <c r="L375" s="1941">
        <f ca="1">$M$356*L324+$M$357*L324+$M$358*L346+$M$359*L336</f>
        <v>17.808118655145158</v>
      </c>
      <c r="M375" s="236">
        <f ca="1">L375/K375-1</f>
        <v>8.019496929878156E-2</v>
      </c>
      <c r="O375" s="117">
        <f>ROW()</f>
        <v>375</v>
      </c>
      <c r="Q375" s="2782"/>
    </row>
    <row r="376" spans="2:17" ht="15" customHeight="1">
      <c r="B376" s="320" t="s">
        <v>1728</v>
      </c>
      <c r="F376" s="1942">
        <f>G325</f>
        <v>0.25</v>
      </c>
      <c r="G376" s="1942">
        <f>H325</f>
        <v>0.25</v>
      </c>
      <c r="H376" s="229"/>
      <c r="K376" s="1942">
        <f>F376</f>
        <v>0.25</v>
      </c>
      <c r="L376" s="1942">
        <f>G376</f>
        <v>0.25</v>
      </c>
      <c r="M376" s="229"/>
      <c r="O376" s="117">
        <f>ROW()</f>
        <v>376</v>
      </c>
      <c r="Q376" s="509"/>
    </row>
    <row r="377" spans="2:17" ht="15" customHeight="1">
      <c r="B377" s="320" t="s">
        <v>2244</v>
      </c>
      <c r="F377" s="1942">
        <f>G326</f>
        <v>0.4</v>
      </c>
      <c r="G377" s="1942">
        <f>H326</f>
        <v>0.4</v>
      </c>
      <c r="H377" s="210"/>
      <c r="K377" s="1942">
        <f>F377</f>
        <v>0.4</v>
      </c>
      <c r="L377" s="1942">
        <f>G377</f>
        <v>0.4</v>
      </c>
      <c r="M377" s="210"/>
      <c r="O377" s="117">
        <f>ROW()</f>
        <v>377</v>
      </c>
      <c r="Q377" s="509"/>
    </row>
    <row r="378" spans="2:17" ht="15" customHeight="1">
      <c r="B378" s="320" t="s">
        <v>2584</v>
      </c>
      <c r="F378" s="1941">
        <f>$L$79*60/F375</f>
        <v>13.13485320237775</v>
      </c>
      <c r="G378" s="1941">
        <f ca="1">$L$79*60/G375</f>
        <v>11.642020524787821</v>
      </c>
      <c r="H378" s="257">
        <f ca="1">1-G378/F378</f>
        <v>0.11365430999409176</v>
      </c>
      <c r="K378" s="1941">
        <f>$L$79*60/K375</f>
        <v>10.190450679065069</v>
      </c>
      <c r="L378" s="1941">
        <f ca="1">$L$79*60/L375</f>
        <v>9.4338994058454961</v>
      </c>
      <c r="M378" s="257">
        <f ca="1">1-L378/K378</f>
        <v>7.4241198652166385E-2</v>
      </c>
      <c r="O378" s="117">
        <f>ROW()</f>
        <v>378</v>
      </c>
      <c r="Q378" s="509"/>
    </row>
    <row r="379" spans="2:17" ht="15" customHeight="1">
      <c r="B379" s="324" t="s">
        <v>2585</v>
      </c>
      <c r="C379" s="6"/>
      <c r="D379" s="6"/>
      <c r="E379" s="6"/>
      <c r="F379" s="1943">
        <f>SUM(F376:F378)</f>
        <v>13.78485320237775</v>
      </c>
      <c r="G379" s="1943">
        <f ca="1">SUM(G376:G378)</f>
        <v>12.292020524787821</v>
      </c>
      <c r="H379" s="258">
        <f ca="1">1-G379/F379</f>
        <v>0.1082951450895705</v>
      </c>
      <c r="K379" s="1943">
        <f>SUM(K376:K378)</f>
        <v>10.84045067906507</v>
      </c>
      <c r="L379" s="1943">
        <f ca="1">SUM(L376:L378)</f>
        <v>10.083899405845496</v>
      </c>
      <c r="M379" s="258">
        <f ca="1">1-L379/K379</f>
        <v>6.9789651336232272E-2</v>
      </c>
      <c r="O379" s="117">
        <f>ROW()</f>
        <v>379</v>
      </c>
    </row>
    <row r="380" spans="2:17" s="9" customFormat="1" ht="15" customHeight="1">
      <c r="B380" s="325" t="s">
        <v>2383</v>
      </c>
      <c r="F380" s="2018">
        <f>F378*$L$88/$L$111</f>
        <v>7.0726132628187877</v>
      </c>
      <c r="G380" s="2018">
        <f ca="1">G378*$L$271/(1-$L$271)</f>
        <v>5.6824147799559608</v>
      </c>
      <c r="H380" s="2019"/>
      <c r="I380" s="365"/>
      <c r="J380" s="365"/>
      <c r="K380" s="2018">
        <f>K378*$L$88/$L$111</f>
        <v>5.487165750265806</v>
      </c>
      <c r="L380" s="2018">
        <f ca="1">L378*$N$271/(1-$N$271)</f>
        <v>4.8598875727082866</v>
      </c>
      <c r="M380" s="1587"/>
      <c r="O380" s="117">
        <f>ROW()</f>
        <v>380</v>
      </c>
      <c r="Q380" s="2136"/>
    </row>
    <row r="381" spans="2:17" ht="15" customHeight="1">
      <c r="B381" s="324" t="s">
        <v>1709</v>
      </c>
      <c r="C381" s="6"/>
      <c r="D381" s="6"/>
      <c r="E381" s="6"/>
      <c r="F381" s="1943">
        <f>F379+F380</f>
        <v>20.857466465196538</v>
      </c>
      <c r="G381" s="1943">
        <f ca="1">G379+G380</f>
        <v>17.974435304743782</v>
      </c>
      <c r="H381" s="273">
        <f ca="1">1-G381/F381</f>
        <v>0.13822537676200886</v>
      </c>
      <c r="K381" s="1943">
        <f>K379+K380</f>
        <v>16.327616429330874</v>
      </c>
      <c r="L381" s="1943">
        <f ca="1">L379+L380</f>
        <v>14.943786978553783</v>
      </c>
      <c r="M381" s="273">
        <f ca="1">1-L381/K381</f>
        <v>8.4753917190949157E-2</v>
      </c>
      <c r="O381" s="117">
        <f>ROW()</f>
        <v>381</v>
      </c>
    </row>
    <row r="382" spans="2:17" ht="15" customHeight="1">
      <c r="B382" s="325"/>
      <c r="C382" s="6"/>
      <c r="D382" s="6"/>
      <c r="E382" s="6"/>
      <c r="F382" s="292"/>
      <c r="G382" s="292"/>
      <c r="H382" s="204"/>
      <c r="K382" s="292"/>
      <c r="L382" s="292"/>
      <c r="M382" s="204"/>
      <c r="O382" s="117">
        <f>ROW()</f>
        <v>382</v>
      </c>
    </row>
    <row r="383" spans="2:17" ht="15" customHeight="1">
      <c r="B383" s="320" t="s">
        <v>1904</v>
      </c>
      <c r="F383" s="238">
        <f>60/F381</f>
        <v>2.8766676959600055</v>
      </c>
      <c r="G383" s="238">
        <f ca="1">60/G381</f>
        <v>3.3380742695246122</v>
      </c>
      <c r="H383" s="257">
        <f ca="1">G383/F383-1</f>
        <v>0.16039620224908369</v>
      </c>
      <c r="K383" s="238">
        <f>60/K381</f>
        <v>3.6747556056140689</v>
      </c>
      <c r="L383" s="238">
        <f ca="1">60/L381</f>
        <v>4.0150465264331965</v>
      </c>
      <c r="M383" s="257">
        <f ca="1">L383/K383-1</f>
        <v>9.2602327158642028E-2</v>
      </c>
      <c r="O383" s="117">
        <f>ROW()</f>
        <v>383</v>
      </c>
    </row>
    <row r="384" spans="2:17" s="6" customFormat="1" ht="15" customHeight="1">
      <c r="B384" s="1940" t="s">
        <v>3179</v>
      </c>
      <c r="E384" s="299">
        <v>10</v>
      </c>
      <c r="F384" s="239">
        <f>F383*$E$384</f>
        <v>28.766676959600055</v>
      </c>
      <c r="G384" s="239">
        <f ca="1">G383*$E$384</f>
        <v>33.38074269524612</v>
      </c>
      <c r="H384" s="273">
        <f ca="1">G384/F384-1</f>
        <v>0.16039620224908369</v>
      </c>
      <c r="I384" s="230">
        <f ca="1">G384-F384</f>
        <v>4.614065735646065</v>
      </c>
      <c r="K384" s="239">
        <f>K383*$E$384</f>
        <v>36.747556056140688</v>
      </c>
      <c r="L384" s="239">
        <f ca="1">L383*$E$384</f>
        <v>40.150465264331963</v>
      </c>
      <c r="M384" s="273">
        <f ca="1">L384/K384-1</f>
        <v>9.2602327158642028E-2</v>
      </c>
      <c r="N384" s="230">
        <f ca="1">L384-K384</f>
        <v>3.4029092081912751</v>
      </c>
      <c r="O384" s="117">
        <f>ROW()</f>
        <v>384</v>
      </c>
    </row>
    <row r="385" spans="2:17" s="6" customFormat="1" ht="15" customHeight="1">
      <c r="B385" s="1940"/>
      <c r="E385" s="665"/>
      <c r="F385" s="1588"/>
      <c r="G385" s="1588"/>
      <c r="H385" s="447"/>
      <c r="I385" s="1589"/>
      <c r="K385" s="1588"/>
      <c r="L385" s="1588"/>
      <c r="M385" s="447"/>
      <c r="N385" s="1589"/>
      <c r="O385" s="117">
        <f>ROW()</f>
        <v>385</v>
      </c>
    </row>
    <row r="386" spans="2:17" s="6" customFormat="1" ht="15" customHeight="1">
      <c r="B386" s="3630"/>
      <c r="C386" s="4697" t="s">
        <v>6452</v>
      </c>
      <c r="D386" s="4698"/>
      <c r="E386" s="4698"/>
      <c r="F386" s="4698"/>
      <c r="G386" s="4698"/>
      <c r="H386" s="4698"/>
      <c r="I386" s="4698"/>
      <c r="J386" s="4698"/>
      <c r="K386" s="4698"/>
      <c r="L386" s="4698"/>
      <c r="M386" s="4699"/>
      <c r="N386" s="1589"/>
      <c r="O386" s="117">
        <f>ROW()</f>
        <v>386</v>
      </c>
    </row>
    <row r="387" spans="2:17" s="6" customFormat="1" ht="15" customHeight="1">
      <c r="B387" s="3631"/>
      <c r="C387" s="4700"/>
      <c r="D387" s="4700"/>
      <c r="E387" s="4700"/>
      <c r="F387" s="4700"/>
      <c r="G387" s="4700"/>
      <c r="H387" s="4700"/>
      <c r="I387" s="4700"/>
      <c r="J387" s="4700"/>
      <c r="K387" s="4700"/>
      <c r="L387" s="4700"/>
      <c r="M387" s="4701"/>
      <c r="N387" s="1589"/>
      <c r="O387" s="117">
        <f>ROW()</f>
        <v>387</v>
      </c>
    </row>
    <row r="388" spans="2:17" s="6" customFormat="1" ht="15" customHeight="1">
      <c r="B388" s="3631" t="s">
        <v>6447</v>
      </c>
      <c r="C388" s="3632"/>
      <c r="D388" s="3632"/>
      <c r="E388" s="3633"/>
      <c r="F388" s="3634"/>
      <c r="G388" s="3635">
        <f>L474/L192</f>
        <v>0</v>
      </c>
      <c r="H388" s="3636" t="str">
        <f>CONCATENATE("ratio of increase in Row ",O474, " to baseline number in Row ",O192, ".")</f>
        <v>ratio of increase in Row 474 to baseline number in Row 192.</v>
      </c>
      <c r="I388" s="3632"/>
      <c r="J388" s="3632"/>
      <c r="K388" s="3634"/>
      <c r="L388" s="3634"/>
      <c r="M388" s="3637"/>
      <c r="N388" s="1589"/>
      <c r="O388" s="117">
        <f>ROW()</f>
        <v>388</v>
      </c>
    </row>
    <row r="389" spans="2:17" s="6" customFormat="1" ht="15" customHeight="1">
      <c r="B389" s="3631" t="s">
        <v>6450</v>
      </c>
      <c r="C389" s="3632"/>
      <c r="D389" s="3632"/>
      <c r="E389" s="3633"/>
      <c r="F389" s="3638" t="s">
        <v>6448</v>
      </c>
      <c r="G389" s="3639">
        <f ca="1">G384/(1+$G$388)</f>
        <v>33.38074269524612</v>
      </c>
      <c r="H389" s="3636" t="str">
        <f>CONCATENATE("Row ",O384, " prorated by increase in Cell G",O388, ".")</f>
        <v>Row 384 prorated by increase in Cell G388.</v>
      </c>
      <c r="I389" s="3640"/>
      <c r="J389" s="3632"/>
      <c r="K389" s="3638" t="s">
        <v>6449</v>
      </c>
      <c r="L389" s="3639">
        <f ca="1">L384/(1+$G$388)</f>
        <v>40.150465264331963</v>
      </c>
      <c r="M389" s="3637"/>
      <c r="N389" s="1589"/>
      <c r="O389" s="117">
        <f>ROW()</f>
        <v>389</v>
      </c>
    </row>
    <row r="390" spans="2:17" s="6" customFormat="1" ht="15" customHeight="1">
      <c r="B390" s="3650" t="s">
        <v>6451</v>
      </c>
      <c r="C390" s="3651"/>
      <c r="D390" s="3651"/>
      <c r="E390" s="3652"/>
      <c r="F390" s="3653" t="s">
        <v>6448</v>
      </c>
      <c r="G390" s="3654">
        <f ca="1">G389-F384</f>
        <v>4.614065735646065</v>
      </c>
      <c r="H390" s="3655">
        <f ca="1">G390/F384</f>
        <v>0.16039620224908366</v>
      </c>
      <c r="I390" s="3656"/>
      <c r="J390" s="3651"/>
      <c r="K390" s="3653" t="s">
        <v>6449</v>
      </c>
      <c r="L390" s="3654">
        <f ca="1">L389-K384</f>
        <v>3.4029092081912751</v>
      </c>
      <c r="M390" s="3657">
        <f ca="1">L390/K384</f>
        <v>9.2602327158641973E-2</v>
      </c>
      <c r="N390" s="1589"/>
      <c r="O390" s="117">
        <f>ROW()</f>
        <v>390</v>
      </c>
    </row>
    <row r="391" spans="2:17" s="6" customFormat="1" ht="15" customHeight="1">
      <c r="B391" s="3641"/>
      <c r="C391" s="3642"/>
      <c r="D391" s="3642"/>
      <c r="E391" s="3643"/>
      <c r="F391" s="3644"/>
      <c r="G391" s="3648"/>
      <c r="H391" s="3645"/>
      <c r="I391" s="3646"/>
      <c r="J391" s="3642"/>
      <c r="K391" s="3644"/>
      <c r="L391" s="3649"/>
      <c r="M391" s="3647"/>
      <c r="N391" s="1589"/>
      <c r="O391" s="117">
        <f>ROW()</f>
        <v>391</v>
      </c>
    </row>
    <row r="392" spans="2:17" s="6" customFormat="1" ht="15" customHeight="1">
      <c r="B392" s="1940"/>
      <c r="E392" s="665"/>
      <c r="F392" s="1588"/>
      <c r="G392" s="1588"/>
      <c r="H392" s="447"/>
      <c r="I392" s="1589"/>
      <c r="K392" s="1588"/>
      <c r="L392" s="1588"/>
      <c r="M392" s="447"/>
      <c r="N392" s="1589"/>
      <c r="O392" s="117">
        <f>ROW()</f>
        <v>392</v>
      </c>
    </row>
    <row r="393" spans="2:17" s="6" customFormat="1" ht="15" customHeight="1">
      <c r="B393" s="325" t="s">
        <v>2897</v>
      </c>
      <c r="E393" s="665"/>
      <c r="G393" s="1588"/>
      <c r="H393" s="1588"/>
      <c r="I393" s="447"/>
      <c r="J393" s="1589"/>
      <c r="O393" s="117">
        <f>ROW()</f>
        <v>393</v>
      </c>
    </row>
    <row r="394" spans="2:17" ht="15" customHeight="1">
      <c r="B394" s="326" t="s">
        <v>334</v>
      </c>
      <c r="O394" s="117">
        <f>ROW()</f>
        <v>394</v>
      </c>
    </row>
    <row r="395" spans="2:17" ht="15" customHeight="1">
      <c r="B395" s="326"/>
      <c r="O395" s="117">
        <f>ROW()</f>
        <v>395</v>
      </c>
    </row>
    <row r="396" spans="2:17" ht="15" customHeight="1">
      <c r="B396" s="325" t="s">
        <v>3211</v>
      </c>
      <c r="J396" s="3804" t="s">
        <v>3212</v>
      </c>
      <c r="O396" s="117">
        <f>ROW()</f>
        <v>396</v>
      </c>
    </row>
    <row r="397" spans="2:17" ht="15" customHeight="1">
      <c r="B397" s="326"/>
      <c r="J397" s="3804"/>
      <c r="O397" s="117">
        <f>ROW()</f>
        <v>397</v>
      </c>
    </row>
    <row r="398" spans="2:17" ht="15" customHeight="1">
      <c r="B398" s="325" t="str">
        <f>CONCATENATE("Travel + pickup + dropoff, min. (Row ",O379, ")")</f>
        <v>Travel + pickup + dropoff, min. (Row 379)</v>
      </c>
      <c r="F398" s="1819">
        <f>F379</f>
        <v>13.78485320237775</v>
      </c>
      <c r="G398" s="1819">
        <f ca="1">G379</f>
        <v>12.292020524787821</v>
      </c>
      <c r="H398" s="1819"/>
      <c r="I398" s="1819"/>
      <c r="J398" s="1819">
        <v>12.4</v>
      </c>
      <c r="K398" s="1819">
        <f>K379</f>
        <v>10.84045067906507</v>
      </c>
      <c r="L398" s="1819">
        <f ca="1">L379</f>
        <v>10.083899405845496</v>
      </c>
      <c r="O398" s="117">
        <f>ROW()</f>
        <v>398</v>
      </c>
    </row>
    <row r="399" spans="2:17" ht="15" customHeight="1">
      <c r="B399" s="325" t="s">
        <v>3209</v>
      </c>
      <c r="F399" s="1819">
        <f>(F384/$J$398)^2</f>
        <v>5.3819049382022941</v>
      </c>
      <c r="G399" s="1819">
        <f ca="1">F399*(1/L316)*($L$192/($L$192+$L$474))*(1+K227)*(G379/F379)</f>
        <v>4.8677516905555072</v>
      </c>
      <c r="H399" s="1819"/>
      <c r="I399" s="1819"/>
      <c r="J399" s="1819">
        <v>17.5</v>
      </c>
      <c r="K399" s="1819">
        <f>(K384/$J$399)^2</f>
        <v>4.4094134729769872</v>
      </c>
      <c r="L399" s="1819">
        <f ca="1">K399*(1/N316)*($L$192/($L$192+$L$474))*(1+M227)*(L379/K379)</f>
        <v>4.1531955200560251</v>
      </c>
      <c r="O399" s="117">
        <f>ROW()</f>
        <v>399</v>
      </c>
      <c r="Q399" s="2136"/>
    </row>
    <row r="400" spans="2:17" s="3595" customFormat="1" ht="15" customHeight="1">
      <c r="B400" s="4702" t="s">
        <v>6403</v>
      </c>
      <c r="C400" s="4703"/>
      <c r="D400" s="4703"/>
      <c r="E400" s="4703"/>
      <c r="F400" s="4703"/>
      <c r="G400" s="4703"/>
      <c r="H400" s="4703"/>
      <c r="I400" s="4703"/>
      <c r="J400" s="4703"/>
      <c r="K400" s="4703"/>
      <c r="L400" s="4703"/>
      <c r="M400" s="4703"/>
      <c r="O400" s="117">
        <f>ROW()</f>
        <v>400</v>
      </c>
      <c r="Q400" s="2136"/>
    </row>
    <row r="401" spans="2:15" ht="15" customHeight="1">
      <c r="B401" s="4703"/>
      <c r="C401" s="4703"/>
      <c r="D401" s="4703"/>
      <c r="E401" s="4703"/>
      <c r="F401" s="4703"/>
      <c r="G401" s="4703"/>
      <c r="H401" s="4703"/>
      <c r="I401" s="4703"/>
      <c r="J401" s="4703"/>
      <c r="K401" s="4703"/>
      <c r="L401" s="4703"/>
      <c r="M401" s="4703"/>
      <c r="O401" s="117">
        <f>ROW()</f>
        <v>401</v>
      </c>
    </row>
    <row r="402" spans="2:15" s="3595" customFormat="1" ht="15" customHeight="1">
      <c r="B402" s="4703"/>
      <c r="C402" s="4703"/>
      <c r="D402" s="4703"/>
      <c r="E402" s="4703"/>
      <c r="F402" s="4703"/>
      <c r="G402" s="4703"/>
      <c r="H402" s="4703"/>
      <c r="I402" s="4703"/>
      <c r="J402" s="4703"/>
      <c r="K402" s="4703"/>
      <c r="L402" s="4703"/>
      <c r="M402" s="4703"/>
      <c r="O402" s="117">
        <f>ROW()</f>
        <v>402</v>
      </c>
    </row>
    <row r="403" spans="2:15" ht="15" customHeight="1">
      <c r="B403" s="1940" t="s">
        <v>3210</v>
      </c>
      <c r="F403" s="3606">
        <f>F398+F399</f>
        <v>19.166758140580043</v>
      </c>
      <c r="G403" s="3606">
        <f ca="1">G398+G399</f>
        <v>17.159772215343327</v>
      </c>
      <c r="H403" s="3606"/>
      <c r="I403" s="3606"/>
      <c r="J403" s="3606"/>
      <c r="K403" s="3606">
        <f>K398+K399</f>
        <v>15.249864152042058</v>
      </c>
      <c r="L403" s="3606">
        <f ca="1">L398+L399</f>
        <v>14.237094925901522</v>
      </c>
      <c r="O403" s="117">
        <f>ROW()</f>
        <v>403</v>
      </c>
    </row>
    <row r="404" spans="2:15" ht="15" customHeight="1">
      <c r="B404" s="326"/>
      <c r="O404" s="117">
        <f>ROW()</f>
        <v>404</v>
      </c>
    </row>
    <row r="405" spans="2:15" ht="15" customHeight="1">
      <c r="B405" s="467" t="s">
        <v>6398</v>
      </c>
      <c r="F405" s="300"/>
      <c r="O405" s="117">
        <f>ROW()</f>
        <v>405</v>
      </c>
    </row>
    <row r="406" spans="2:15" ht="15" customHeight="1">
      <c r="B406" s="518"/>
      <c r="F406" s="300"/>
      <c r="O406" s="117">
        <f>ROW()</f>
        <v>406</v>
      </c>
    </row>
    <row r="407" spans="2:15" ht="15" customHeight="1">
      <c r="B407" s="518"/>
      <c r="E407" s="4643" t="s">
        <v>3176</v>
      </c>
      <c r="F407" s="4643"/>
      <c r="G407" s="4643"/>
      <c r="H407" s="4643"/>
      <c r="K407" s="4643" t="s">
        <v>3177</v>
      </c>
      <c r="L407" s="4643"/>
      <c r="M407" s="4643"/>
      <c r="N407" s="4643"/>
      <c r="O407" s="117">
        <f>ROW()</f>
        <v>407</v>
      </c>
    </row>
    <row r="408" spans="2:15" ht="15" customHeight="1">
      <c r="B408" s="308"/>
      <c r="F408" s="300"/>
      <c r="O408" s="117">
        <f>ROW()</f>
        <v>408</v>
      </c>
    </row>
    <row r="409" spans="2:15" ht="15" customHeight="1">
      <c r="E409" s="2" t="s">
        <v>1015</v>
      </c>
      <c r="K409" s="2" t="s">
        <v>1015</v>
      </c>
      <c r="O409" s="117">
        <f>ROW()</f>
        <v>409</v>
      </c>
    </row>
    <row r="410" spans="2:15" ht="15" customHeight="1">
      <c r="E410" s="252" t="s">
        <v>1726</v>
      </c>
      <c r="F410" s="288" t="s">
        <v>1727</v>
      </c>
      <c r="G410" s="2869" t="s">
        <v>2711</v>
      </c>
      <c r="H410" s="2869" t="s">
        <v>4886</v>
      </c>
      <c r="K410" s="252" t="s">
        <v>1726</v>
      </c>
      <c r="L410" s="288" t="s">
        <v>1727</v>
      </c>
      <c r="M410" s="2869" t="s">
        <v>2711</v>
      </c>
      <c r="N410" s="2869" t="s">
        <v>4886</v>
      </c>
      <c r="O410" s="117">
        <f>ROW()</f>
        <v>410</v>
      </c>
    </row>
    <row r="411" spans="2:15" ht="15" customHeight="1">
      <c r="B411" s="1591" t="s">
        <v>1521</v>
      </c>
      <c r="C411" s="265" t="str">
        <f>CONCATENATE("'Before' is from Row ",O42, ".")</f>
        <v>'Before' is from Row 42.</v>
      </c>
      <c r="E411" s="1947">
        <f>G42</f>
        <v>3.375</v>
      </c>
      <c r="F411" s="276">
        <f>E411+'User Inputs'!$J$80</f>
        <v>3.625</v>
      </c>
      <c r="G411" s="257">
        <f>F411/E411-1</f>
        <v>7.4074074074074181E-2</v>
      </c>
      <c r="H411" s="276">
        <f>F411-E411</f>
        <v>0.25</v>
      </c>
      <c r="K411" s="1947">
        <f>I42</f>
        <v>3.2250000000000001</v>
      </c>
      <c r="L411" s="276">
        <f>K411+'User Inputs'!$J$85</f>
        <v>3.4750000000000001</v>
      </c>
      <c r="M411" s="257">
        <f>L411/K411-1</f>
        <v>7.7519379844961156E-2</v>
      </c>
      <c r="N411" s="276">
        <f>L411-K411</f>
        <v>0.25</v>
      </c>
      <c r="O411" s="117">
        <f>ROW()</f>
        <v>411</v>
      </c>
    </row>
    <row r="412" spans="2:15" ht="15" customHeight="1">
      <c r="B412" s="1591" t="s">
        <v>2896</v>
      </c>
      <c r="C412" s="265" t="str">
        <f>CONCATENATE("'Row ",O414, " less ",O413, " and ",O411, ".")</f>
        <v>'Row 414 less 413 and 411.</v>
      </c>
      <c r="E412" s="276">
        <f>E414-E411-E413</f>
        <v>5.116055039915441</v>
      </c>
      <c r="F412" s="276">
        <f>E412*(1+'User Inputs'!$J$81)</f>
        <v>5.729981644705294</v>
      </c>
      <c r="G412" s="257">
        <f>F412/E412-1</f>
        <v>0.12000000000000011</v>
      </c>
      <c r="H412" s="276">
        <f>F412-E412</f>
        <v>0.61392660478985306</v>
      </c>
      <c r="K412" s="276">
        <f>K414-K411-K413</f>
        <v>5.2852741058168426</v>
      </c>
      <c r="L412" s="276">
        <f>K412*(1+'User Inputs'!$J$86)</f>
        <v>5.9195069985148647</v>
      </c>
      <c r="M412" s="257">
        <f>L412/K412-1</f>
        <v>0.12000000000000011</v>
      </c>
      <c r="N412" s="276">
        <f>L412-K412</f>
        <v>0.63423289269802208</v>
      </c>
      <c r="O412" s="117">
        <f>ROW()</f>
        <v>412</v>
      </c>
    </row>
    <row r="413" spans="2:15" ht="15" customHeight="1">
      <c r="B413" s="1591" t="s">
        <v>429</v>
      </c>
      <c r="C413" s="265" t="str">
        <f>CONCATENATE("'Before' is from Row ",O105, ".")</f>
        <v>'Before' is from Row 105.</v>
      </c>
      <c r="E413" s="276">
        <f>L105</f>
        <v>1.573012179864778</v>
      </c>
      <c r="F413" s="276">
        <f ca="1">E413*(1+'User Inputs'!$J$82)*(F375/G375)</f>
        <v>1.6730790791399335</v>
      </c>
      <c r="G413" s="257">
        <f ca="1">F413/E413-1</f>
        <v>6.3614828007089841E-2</v>
      </c>
      <c r="H413" s="276">
        <f ca="1">F413-E413</f>
        <v>0.10006689927515544</v>
      </c>
      <c r="K413" s="276">
        <f>N105</f>
        <v>1.1372575131596978</v>
      </c>
      <c r="L413" s="276">
        <f ca="1">K413*(1+'User Inputs'!$J$87)*(K375/L375)</f>
        <v>1.2633913826478478</v>
      </c>
      <c r="M413" s="257">
        <f ca="1">L413/K413-1</f>
        <v>0.11091056161740021</v>
      </c>
      <c r="N413" s="276">
        <f ca="1">L413-K413</f>
        <v>0.12613386948814997</v>
      </c>
      <c r="O413" s="117">
        <f>ROW()</f>
        <v>413</v>
      </c>
    </row>
    <row r="414" spans="2:15" ht="15" customHeight="1">
      <c r="B414" s="1591" t="s">
        <v>837</v>
      </c>
      <c r="C414" s="265" t="str">
        <f>CONCATENATE("'Before' is from Row ",O150, ".")</f>
        <v>'Before' is from Row 150.</v>
      </c>
      <c r="E414" s="276">
        <f>L150</f>
        <v>10.064067219780219</v>
      </c>
      <c r="F414" s="276">
        <f ca="1">SUM(F411:F413)</f>
        <v>11.028060723845227</v>
      </c>
      <c r="G414" s="232">
        <f ca="1">F414/E414-1</f>
        <v>9.5785678196817603E-2</v>
      </c>
      <c r="H414" s="276">
        <f ca="1">F414-E414</f>
        <v>0.96399350406500872</v>
      </c>
      <c r="K414" s="276">
        <f>N150</f>
        <v>9.6475316189765401</v>
      </c>
      <c r="L414" s="276">
        <f ca="1">SUM(L411:L413)</f>
        <v>10.657898381162713</v>
      </c>
      <c r="M414" s="257">
        <f ca="1">L414/K414-1</f>
        <v>0.10472800733804255</v>
      </c>
      <c r="N414" s="276">
        <f ca="1">L414-K414</f>
        <v>1.0103667621861732</v>
      </c>
      <c r="O414" s="117">
        <f>ROW()</f>
        <v>414</v>
      </c>
    </row>
    <row r="415" spans="2:15" ht="15" customHeight="1">
      <c r="G415" s="748"/>
      <c r="H415" s="748"/>
      <c r="I415" s="445"/>
      <c r="M415" s="748"/>
      <c r="N415" s="748"/>
      <c r="O415" s="117">
        <f>ROW()</f>
        <v>415</v>
      </c>
    </row>
    <row r="416" spans="2:15" ht="15" customHeight="1">
      <c r="E416" s="2" t="s">
        <v>1016</v>
      </c>
      <c r="I416" s="445"/>
      <c r="K416" s="2" t="s">
        <v>1016</v>
      </c>
      <c r="O416" s="117">
        <f>ROW()</f>
        <v>416</v>
      </c>
    </row>
    <row r="417" spans="2:15" ht="15" customHeight="1">
      <c r="E417" s="252" t="s">
        <v>1726</v>
      </c>
      <c r="F417" s="288" t="s">
        <v>1727</v>
      </c>
      <c r="G417" s="2869" t="s">
        <v>2711</v>
      </c>
      <c r="H417" s="2869" t="s">
        <v>4886</v>
      </c>
      <c r="I417" s="4644" t="s">
        <v>5045</v>
      </c>
      <c r="J417" s="4645"/>
      <c r="K417" s="252" t="s">
        <v>1726</v>
      </c>
      <c r="L417" s="288" t="s">
        <v>1727</v>
      </c>
      <c r="M417" s="2869" t="s">
        <v>2711</v>
      </c>
      <c r="N417" s="2869" t="s">
        <v>4886</v>
      </c>
      <c r="O417" s="117">
        <f>ROW()</f>
        <v>417</v>
      </c>
    </row>
    <row r="418" spans="2:15" ht="15" customHeight="1">
      <c r="B418" s="1591" t="s">
        <v>1521</v>
      </c>
      <c r="E418" s="1947">
        <f>G42</f>
        <v>3.375</v>
      </c>
      <c r="F418" s="276">
        <f>E418+'User Inputs'!$J$80</f>
        <v>3.625</v>
      </c>
      <c r="G418" s="257">
        <f>F418/E418-1</f>
        <v>7.4074074074074181E-2</v>
      </c>
      <c r="H418" s="276">
        <f>F418-E418</f>
        <v>0.25</v>
      </c>
      <c r="I418" s="4646"/>
      <c r="J418" s="4647"/>
      <c r="K418" s="1947">
        <f>I42</f>
        <v>3.2250000000000001</v>
      </c>
      <c r="L418" s="276">
        <f>K418+'User Inputs'!$J$85</f>
        <v>3.4750000000000001</v>
      </c>
      <c r="M418" s="257">
        <f>L418/K418-1</f>
        <v>7.7519379844961156E-2</v>
      </c>
      <c r="N418" s="276">
        <f>L418-K418</f>
        <v>0.25</v>
      </c>
      <c r="O418" s="117">
        <f>ROW()</f>
        <v>418</v>
      </c>
    </row>
    <row r="419" spans="2:15" ht="15" customHeight="1">
      <c r="B419" s="1591" t="s">
        <v>2896</v>
      </c>
      <c r="E419" s="276">
        <f>E412*$L107/$L79</f>
        <v>4.5679062856387871</v>
      </c>
      <c r="F419" s="276">
        <f>E419*(1+'User Inputs'!$J$81)</f>
        <v>5.1160550399154419</v>
      </c>
      <c r="G419" s="257">
        <f>F419/E419-1</f>
        <v>0.12000000000000011</v>
      </c>
      <c r="H419" s="276">
        <f>F419-E419</f>
        <v>0.54814875427665477</v>
      </c>
      <c r="I419" s="4646"/>
      <c r="J419" s="4647"/>
      <c r="K419" s="276">
        <f>K412*$L107/$L79</f>
        <v>4.7189947373364669</v>
      </c>
      <c r="L419" s="276">
        <f>K419*(1+'User Inputs'!$J$86)</f>
        <v>5.2852741058168435</v>
      </c>
      <c r="M419" s="257">
        <f>L419/K419-1</f>
        <v>0.12000000000000011</v>
      </c>
      <c r="N419" s="276">
        <f>L419-K419</f>
        <v>0.56627936848037663</v>
      </c>
      <c r="O419" s="117">
        <f>ROW()</f>
        <v>419</v>
      </c>
    </row>
    <row r="420" spans="2:15" ht="15" customHeight="1">
      <c r="B420" s="1591" t="s">
        <v>429</v>
      </c>
      <c r="E420" s="276">
        <f>E413*($L107/$L79)*(F375/G336)</f>
        <v>1.7105058135982623</v>
      </c>
      <c r="F420" s="276">
        <f ca="1">E420*(G336/H336)*(1+'User Inputs'!$J$82)</f>
        <v>1.7642142659717057</v>
      </c>
      <c r="G420" s="257">
        <f ca="1">F420/E420-1</f>
        <v>3.1399163888523152E-2</v>
      </c>
      <c r="H420" s="276">
        <f ca="1">F420-E420</f>
        <v>5.370845237344346E-2</v>
      </c>
      <c r="I420" s="4646"/>
      <c r="J420" s="4647"/>
      <c r="K420" s="276">
        <f ca="1">K413*($L107/$L79)*(L375/K336)</f>
        <v>1.3877954836658886</v>
      </c>
      <c r="L420" s="276">
        <f ca="1">K420*(K336/L336)*(1+'User Inputs'!$J$87)</f>
        <v>1.508161247506894</v>
      </c>
      <c r="M420" s="257">
        <f ca="1">L420/K420-1</f>
        <v>8.6731629593617798E-2</v>
      </c>
      <c r="N420" s="276">
        <f ca="1">L420-K420</f>
        <v>0.12036576384100539</v>
      </c>
      <c r="O420" s="117">
        <f>ROW()</f>
        <v>420</v>
      </c>
    </row>
    <row r="421" spans="2:15" ht="15" customHeight="1">
      <c r="B421" s="1591" t="s">
        <v>837</v>
      </c>
      <c r="E421" s="276">
        <f>SUM(E418:E420)</f>
        <v>9.65341209923705</v>
      </c>
      <c r="F421" s="276">
        <f ca="1">SUM(F418:F420)</f>
        <v>10.505269305887147</v>
      </c>
      <c r="G421" s="257">
        <f ca="1">F421/E421-1</f>
        <v>8.8244156355598014E-2</v>
      </c>
      <c r="H421" s="276">
        <f ca="1">F421-E421</f>
        <v>0.8518572066500969</v>
      </c>
      <c r="I421" s="4648"/>
      <c r="J421" s="4649"/>
      <c r="K421" s="276">
        <f ca="1">SUM(K418:K420)</f>
        <v>9.3317902210023558</v>
      </c>
      <c r="L421" s="276">
        <f ca="1">SUM(L418:L420)</f>
        <v>10.268435353323738</v>
      </c>
      <c r="M421" s="257">
        <f ca="1">L421/K421-1</f>
        <v>0.10037143036213414</v>
      </c>
      <c r="N421" s="276">
        <f ca="1">L421-K421</f>
        <v>0.93664513232138269</v>
      </c>
      <c r="O421" s="117">
        <f>ROW()</f>
        <v>421</v>
      </c>
    </row>
    <row r="422" spans="2:15" ht="15" customHeight="1">
      <c r="B422" s="320"/>
      <c r="E422" s="1944"/>
      <c r="F422" s="1944"/>
      <c r="G422" s="445"/>
      <c r="H422" s="1945"/>
      <c r="I422" s="445"/>
      <c r="O422" s="117">
        <f>ROW()</f>
        <v>422</v>
      </c>
    </row>
    <row r="423" spans="2:15" ht="15" customHeight="1">
      <c r="B423" s="320" t="s">
        <v>576</v>
      </c>
      <c r="J423" s="257">
        <f>'User Inputs'!J89</f>
        <v>0.1</v>
      </c>
      <c r="O423" s="117">
        <f>ROW()</f>
        <v>423</v>
      </c>
    </row>
    <row r="424" spans="2:15" ht="15" customHeight="1">
      <c r="O424" s="117">
        <f>ROW()</f>
        <v>424</v>
      </c>
    </row>
    <row r="425" spans="2:15" ht="15" customHeight="1">
      <c r="E425" s="4643" t="s">
        <v>3176</v>
      </c>
      <c r="F425" s="4643"/>
      <c r="G425" s="4643"/>
      <c r="H425" s="4643"/>
      <c r="M425" s="2261" t="s">
        <v>3177</v>
      </c>
      <c r="N425" s="3265"/>
      <c r="O425" s="117">
        <f>ROW()</f>
        <v>425</v>
      </c>
    </row>
    <row r="426" spans="2:15" ht="15" customHeight="1">
      <c r="O426" s="117">
        <f>ROW()</f>
        <v>426</v>
      </c>
    </row>
    <row r="427" spans="2:15" ht="15" customHeight="1">
      <c r="B427" s="325" t="str">
        <f>CONCATENATE("Effective fare change, $ (Row ",$O$414, " Cols. H &amp; N)")</f>
        <v>Effective fare change, $ (Row 414 Cols. H &amp; N)</v>
      </c>
      <c r="G427" s="803">
        <f ca="1">H414</f>
        <v>0.96399350406500872</v>
      </c>
      <c r="M427" s="803">
        <f ca="1">N414</f>
        <v>1.0103667621861732</v>
      </c>
      <c r="O427" s="117">
        <f>ROW()</f>
        <v>427</v>
      </c>
    </row>
    <row r="428" spans="2:15" ht="15" customHeight="1">
      <c r="O428" s="117">
        <f>ROW()</f>
        <v>428</v>
      </c>
    </row>
    <row r="429" spans="2:15" ht="15" customHeight="1">
      <c r="B429" s="4168" t="s">
        <v>4880</v>
      </c>
      <c r="C429" s="4168"/>
      <c r="D429" s="4168"/>
      <c r="E429" s="4168"/>
      <c r="G429" s="803">
        <f ca="1">IF(OR('User Inputs'!$J80&gt;0,'User Inputs'!$J81&gt;1,'User Inputs'!$J82),(1-$J$423)*G427,0)</f>
        <v>0.86759415365850789</v>
      </c>
      <c r="M429" s="803">
        <f ca="1">IF(OR('User Inputs'!$J80&gt;0,'User Inputs'!$J81&gt;1,'User Inputs'!$J82),(1-$J$423)*M427,0)</f>
        <v>0.90933008596755582</v>
      </c>
      <c r="O429" s="117">
        <f>ROW()</f>
        <v>429</v>
      </c>
    </row>
    <row r="430" spans="2:15" ht="15" customHeight="1">
      <c r="B430" s="4168"/>
      <c r="C430" s="4168"/>
      <c r="D430" s="4168"/>
      <c r="E430" s="4168"/>
      <c r="G430" s="741"/>
      <c r="O430" s="117">
        <f>ROW()</f>
        <v>430</v>
      </c>
    </row>
    <row r="431" spans="2:15" ht="15" customHeight="1">
      <c r="B431" s="753"/>
      <c r="C431" s="753"/>
      <c r="D431" s="753"/>
      <c r="E431" s="753"/>
      <c r="G431" s="741"/>
      <c r="O431" s="117">
        <f>ROW()</f>
        <v>431</v>
      </c>
    </row>
    <row r="432" spans="2:15" ht="15" customHeight="1">
      <c r="B432" s="467" t="s">
        <v>6399</v>
      </c>
      <c r="C432" s="626"/>
      <c r="D432" s="626"/>
      <c r="E432" s="626"/>
      <c r="F432" s="626"/>
      <c r="G432" s="626"/>
      <c r="H432" s="626"/>
      <c r="O432" s="117">
        <f>ROW()</f>
        <v>432</v>
      </c>
    </row>
    <row r="433" spans="2:15" ht="15" customHeight="1">
      <c r="C433" s="626"/>
      <c r="D433" s="626"/>
      <c r="E433" s="626"/>
      <c r="F433" s="626"/>
      <c r="G433" s="626"/>
      <c r="H433" s="626"/>
      <c r="I433" s="626"/>
      <c r="J433" s="213" t="s">
        <v>781</v>
      </c>
      <c r="K433" s="626"/>
      <c r="M433" s="213" t="s">
        <v>1975</v>
      </c>
      <c r="O433" s="117">
        <f>ROW()</f>
        <v>433</v>
      </c>
    </row>
    <row r="434" spans="2:15" ht="15" customHeight="1">
      <c r="B434" s="626"/>
      <c r="C434" s="626"/>
      <c r="D434" s="626"/>
      <c r="E434" s="626"/>
      <c r="F434" s="626"/>
      <c r="G434" s="626"/>
      <c r="H434" s="626"/>
      <c r="I434" s="626"/>
      <c r="J434" s="626"/>
      <c r="K434" s="626"/>
      <c r="O434" s="117">
        <f>ROW()</f>
        <v>434</v>
      </c>
    </row>
    <row r="435" spans="2:15" ht="15" customHeight="1">
      <c r="B435" s="323" t="s">
        <v>3194</v>
      </c>
      <c r="C435" s="1536"/>
      <c r="D435" s="1536"/>
      <c r="E435" s="1536"/>
      <c r="F435" s="1536"/>
      <c r="G435" s="1536"/>
      <c r="H435" s="1536"/>
      <c r="I435" s="1536"/>
      <c r="J435" s="221">
        <f ca="1">L227</f>
        <v>32632.175559149335</v>
      </c>
      <c r="L435" s="1585"/>
      <c r="M435" s="221">
        <f ca="1">N227</f>
        <v>15572.287411755189</v>
      </c>
      <c r="N435" s="1586"/>
      <c r="O435" s="117">
        <f>ROW()</f>
        <v>435</v>
      </c>
    </row>
    <row r="436" spans="2:15" ht="15" customHeight="1">
      <c r="B436" s="326" t="s">
        <v>2075</v>
      </c>
      <c r="C436" s="626"/>
      <c r="D436" s="626"/>
      <c r="E436" s="626"/>
      <c r="F436" s="626"/>
      <c r="G436" s="626"/>
      <c r="H436" s="626"/>
      <c r="I436" s="626"/>
      <c r="J436" s="626"/>
      <c r="O436" s="117">
        <f>ROW()</f>
        <v>436</v>
      </c>
    </row>
    <row r="437" spans="2:15" ht="15" customHeight="1">
      <c r="B437" s="323" t="s">
        <v>3195</v>
      </c>
      <c r="C437" s="626"/>
      <c r="D437" s="626"/>
      <c r="E437" s="626"/>
      <c r="F437" s="626"/>
      <c r="G437" s="626"/>
      <c r="H437" s="626"/>
      <c r="I437" s="626"/>
      <c r="J437" s="221">
        <f ca="1">J435*L77</f>
        <v>45685.045782809066</v>
      </c>
      <c r="L437" s="626"/>
      <c r="M437" s="221">
        <f ca="1">M435*N77</f>
        <v>23358.431117632783</v>
      </c>
      <c r="O437" s="117">
        <f>ROW()</f>
        <v>437</v>
      </c>
    </row>
    <row r="438" spans="2:15" ht="15" customHeight="1">
      <c r="B438" s="326" t="str">
        <f>CONCATENATE("Product of change in fares in Row ",O435, " and average cab occupancy in Row ",O77, ".")</f>
        <v>Product of change in fares in Row 435 and average cab occupancy in Row 77.</v>
      </c>
      <c r="C438" s="626"/>
      <c r="D438" s="626"/>
      <c r="E438" s="626"/>
      <c r="F438" s="626"/>
      <c r="G438" s="626"/>
      <c r="H438" s="626"/>
      <c r="I438" s="626"/>
      <c r="J438" s="626"/>
      <c r="L438" s="626"/>
      <c r="M438" s="626"/>
      <c r="O438" s="117">
        <f>ROW()</f>
        <v>438</v>
      </c>
    </row>
    <row r="439" spans="2:15" ht="15" customHeight="1">
      <c r="B439" s="214" t="s">
        <v>2076</v>
      </c>
      <c r="C439" s="626"/>
      <c r="D439" s="626"/>
      <c r="E439" s="626"/>
      <c r="F439" s="626"/>
      <c r="G439" s="626"/>
      <c r="H439" s="626"/>
      <c r="I439" s="762" t="s">
        <v>2292</v>
      </c>
      <c r="J439" s="762" t="s">
        <v>2598</v>
      </c>
      <c r="L439" s="762" t="s">
        <v>2292</v>
      </c>
      <c r="M439" s="762" t="s">
        <v>2598</v>
      </c>
      <c r="O439" s="117">
        <f>ROW()</f>
        <v>439</v>
      </c>
    </row>
    <row r="440" spans="2:15" ht="15" customHeight="1">
      <c r="B440" s="320" t="s">
        <v>966</v>
      </c>
      <c r="C440" s="626"/>
      <c r="D440" s="4182" t="str">
        <f>CONCATENATE("Mode share assumptions are by Komanoff and should be considered rough approximations, pending more rigorous estimation. Mode splits are product of mode shares and change in weekday passengers shown in Row ",O437, ".")</f>
        <v>Mode share assumptions are by Komanoff and should be considered rough approximations, pending more rigorous estimation. Mode splits are product of mode shares and change in weekday passengers shown in Row 437.</v>
      </c>
      <c r="E440" s="4182"/>
      <c r="F440" s="4182"/>
      <c r="G440" s="4182"/>
      <c r="H440" s="4182"/>
      <c r="I440" s="257">
        <v>0.45</v>
      </c>
      <c r="J440" s="221">
        <f ca="1">-I440*$J$437</f>
        <v>-20558.270602264081</v>
      </c>
      <c r="L440" s="257">
        <v>0.4</v>
      </c>
      <c r="M440" s="221">
        <f ca="1">-L440*$M$437</f>
        <v>-9343.3724470531142</v>
      </c>
      <c r="O440" s="117">
        <f>ROW()</f>
        <v>440</v>
      </c>
    </row>
    <row r="441" spans="2:15" ht="15" customHeight="1">
      <c r="B441" s="320" t="s">
        <v>967</v>
      </c>
      <c r="C441" s="626"/>
      <c r="D441" s="4182"/>
      <c r="E441" s="4182"/>
      <c r="F441" s="4182"/>
      <c r="G441" s="4182"/>
      <c r="H441" s="4182"/>
      <c r="I441" s="257">
        <v>0.33</v>
      </c>
      <c r="J441" s="221">
        <f ca="1">-I441*$J$437</f>
        <v>-15076.065108326993</v>
      </c>
      <c r="L441" s="257">
        <v>0.25</v>
      </c>
      <c r="M441" s="221">
        <f ca="1">-L441*$M$437</f>
        <v>-5839.6077794081957</v>
      </c>
      <c r="O441" s="117">
        <f>ROW()</f>
        <v>441</v>
      </c>
    </row>
    <row r="442" spans="2:15" ht="15" customHeight="1">
      <c r="B442" s="320" t="s">
        <v>1348</v>
      </c>
      <c r="C442" s="626"/>
      <c r="D442" s="4182"/>
      <c r="E442" s="4182"/>
      <c r="F442" s="4182"/>
      <c r="G442" s="4182"/>
      <c r="H442" s="4182"/>
      <c r="I442" s="257">
        <v>0.15</v>
      </c>
      <c r="J442" s="1566">
        <f ca="1">-I442*$J$437</f>
        <v>-6852.7568674213599</v>
      </c>
      <c r="L442" s="257">
        <v>0.25</v>
      </c>
      <c r="M442" s="1566">
        <f ca="1">-L442*$M$437</f>
        <v>-5839.6077794081957</v>
      </c>
      <c r="O442" s="117">
        <f>ROW()</f>
        <v>442</v>
      </c>
    </row>
    <row r="443" spans="2:15" ht="15" customHeight="1">
      <c r="B443" s="320" t="s">
        <v>1349</v>
      </c>
      <c r="C443" s="626"/>
      <c r="D443" s="4182"/>
      <c r="E443" s="4182"/>
      <c r="F443" s="4182"/>
      <c r="G443" s="4182"/>
      <c r="H443" s="4182"/>
      <c r="I443" s="257">
        <v>0.05</v>
      </c>
      <c r="J443" s="221">
        <f ca="1">-I443*$J$437</f>
        <v>-2284.2522891404533</v>
      </c>
      <c r="L443" s="257">
        <v>0.08</v>
      </c>
      <c r="M443" s="221">
        <f ca="1">-L443*$M$437</f>
        <v>-1868.6744894106228</v>
      </c>
      <c r="O443" s="117">
        <f>ROW()</f>
        <v>443</v>
      </c>
    </row>
    <row r="444" spans="2:15" ht="15" customHeight="1">
      <c r="B444" s="320" t="s">
        <v>1350</v>
      </c>
      <c r="C444" s="626"/>
      <c r="D444" s="4182"/>
      <c r="E444" s="4182"/>
      <c r="F444" s="4182"/>
      <c r="G444" s="4182"/>
      <c r="H444" s="4182"/>
      <c r="I444" s="257">
        <f>1-SUM(I440:I443)</f>
        <v>1.9999999999999907E-2</v>
      </c>
      <c r="J444" s="221">
        <f ca="1">-I444*$J$437</f>
        <v>-913.70091565617702</v>
      </c>
      <c r="L444" s="257">
        <f>1-SUM(L440:L443)</f>
        <v>2.0000000000000018E-2</v>
      </c>
      <c r="M444" s="221">
        <f ca="1">-L444*$M$437</f>
        <v>-467.16862235265609</v>
      </c>
      <c r="O444" s="117">
        <f>ROW()</f>
        <v>444</v>
      </c>
    </row>
    <row r="445" spans="2:15" ht="15" customHeight="1">
      <c r="C445" s="626"/>
      <c r="D445" s="626"/>
      <c r="E445" s="626"/>
      <c r="F445" s="626"/>
      <c r="G445" s="626"/>
      <c r="H445" s="626"/>
      <c r="L445" s="445"/>
      <c r="M445" s="1585"/>
      <c r="O445" s="117">
        <f>ROW()</f>
        <v>445</v>
      </c>
    </row>
    <row r="446" spans="2:15" ht="15" customHeight="1">
      <c r="B446" s="213"/>
      <c r="C446" s="626"/>
      <c r="D446" s="626"/>
      <c r="E446" s="626"/>
      <c r="F446" s="626"/>
      <c r="G446" s="626"/>
      <c r="H446" s="626"/>
      <c r="I446" s="762" t="s">
        <v>2820</v>
      </c>
      <c r="J446" s="762" t="s">
        <v>308</v>
      </c>
      <c r="K446" s="762" t="s">
        <v>1130</v>
      </c>
      <c r="L446" s="762" t="s">
        <v>2820</v>
      </c>
      <c r="M446" s="762" t="s">
        <v>308</v>
      </c>
      <c r="O446" s="117">
        <f>ROW()</f>
        <v>446</v>
      </c>
    </row>
    <row r="447" spans="2:15" ht="15" customHeight="1">
      <c r="B447" s="214" t="s">
        <v>2404</v>
      </c>
      <c r="C447" s="626"/>
      <c r="D447" s="626"/>
      <c r="E447" s="626"/>
      <c r="F447" s="626"/>
      <c r="G447" s="626"/>
      <c r="H447" s="626"/>
      <c r="I447" s="257">
        <v>0.5</v>
      </c>
      <c r="J447" s="257">
        <f>1-I447</f>
        <v>0.5</v>
      </c>
      <c r="L447" s="257">
        <f>1-M447</f>
        <v>0.18992034370336253</v>
      </c>
      <c r="M447" s="257">
        <f>((J447/I447)*('Weekday Hours'!J22/'Weekday Hours'!K22)*('Weekend Hours'!K22/'Weekend Hours'!J22))/(1+(J447/I447)*('Weekday Hours'!J22/'Weekday Hours'!K22)*('Weekend Hours'!K22/'Weekend Hours'!J22))</f>
        <v>0.81007965629663747</v>
      </c>
      <c r="O447" s="117">
        <f>ROW()</f>
        <v>447</v>
      </c>
    </row>
    <row r="448" spans="2:15" ht="15" customHeight="1">
      <c r="B448" s="214" t="s">
        <v>309</v>
      </c>
      <c r="C448" s="626"/>
      <c r="D448" s="626"/>
      <c r="E448" s="626"/>
      <c r="F448" s="626"/>
      <c r="G448" s="626"/>
      <c r="H448" s="626"/>
      <c r="I448" s="221">
        <f ca="1">I447*$J442</f>
        <v>-3426.3784337106799</v>
      </c>
      <c r="J448" s="221">
        <f ca="1">J447*$J442</f>
        <v>-3426.3784337106799</v>
      </c>
      <c r="K448" s="1567">
        <f ca="1">I448+J448</f>
        <v>-6852.7568674213599</v>
      </c>
      <c r="L448" s="221">
        <f ca="1">L447*$M442</f>
        <v>-1109.0603165580342</v>
      </c>
      <c r="M448" s="221">
        <f ca="1">M447*$M442</f>
        <v>-4730.5474628501615</v>
      </c>
      <c r="N448" s="1567">
        <f ca="1">L448+M448</f>
        <v>-5839.6077794081957</v>
      </c>
      <c r="O448" s="117">
        <f>ROW()</f>
        <v>448</v>
      </c>
    </row>
    <row r="449" spans="2:15" ht="15" customHeight="1">
      <c r="B449" s="214" t="s">
        <v>310</v>
      </c>
      <c r="C449" s="626"/>
      <c r="D449" s="626"/>
      <c r="E449" s="626"/>
      <c r="F449" s="626"/>
      <c r="G449" s="626"/>
      <c r="H449" s="626"/>
      <c r="I449" s="221">
        <f ca="1">I448/H.I.S.!G128</f>
        <v>-2979.4595075745046</v>
      </c>
      <c r="J449" s="221">
        <f ca="1">J448/H.I.S.!H128</f>
        <v>-2284.2522891404533</v>
      </c>
      <c r="K449" s="220">
        <f ca="1">I449+J449</f>
        <v>-5263.7117967149579</v>
      </c>
      <c r="L449" s="221">
        <f ca="1">L448/H.I.S.!G128</f>
        <v>-964.40027526785593</v>
      </c>
      <c r="M449" s="221">
        <f ca="1">M448/H.I.S.!H128</f>
        <v>-3153.6983085667744</v>
      </c>
      <c r="N449" s="220">
        <f ca="1">L449+M449</f>
        <v>-4118.0985838346305</v>
      </c>
      <c r="O449" s="117">
        <f>ROW()</f>
        <v>449</v>
      </c>
    </row>
    <row r="450" spans="2:15" ht="15" customHeight="1">
      <c r="C450" s="626"/>
      <c r="D450" s="626"/>
      <c r="E450" s="626"/>
      <c r="F450" s="626"/>
      <c r="G450" s="626"/>
      <c r="H450" s="626"/>
      <c r="I450" s="626"/>
      <c r="J450" s="1585"/>
      <c r="K450" s="1585"/>
      <c r="L450" s="1586"/>
      <c r="O450" s="117">
        <f>ROW()</f>
        <v>450</v>
      </c>
    </row>
    <row r="451" spans="2:15" ht="15" customHeight="1">
      <c r="B451" s="326" t="s">
        <v>2415</v>
      </c>
      <c r="C451" s="626"/>
      <c r="D451" s="626"/>
      <c r="E451" s="626"/>
      <c r="F451" s="626"/>
      <c r="G451" s="626"/>
      <c r="H451" s="626"/>
      <c r="I451" s="626"/>
      <c r="J451" s="1585"/>
      <c r="K451" s="1585"/>
      <c r="L451" s="1586"/>
      <c r="O451" s="117">
        <f>ROW()</f>
        <v>451</v>
      </c>
    </row>
    <row r="452" spans="2:15" ht="15" customHeight="1">
      <c r="C452" s="626"/>
      <c r="D452" s="626"/>
      <c r="E452" s="626"/>
      <c r="F452" s="626"/>
      <c r="G452" s="626"/>
      <c r="H452" s="626"/>
      <c r="I452" s="626"/>
      <c r="O452" s="117">
        <f>ROW()</f>
        <v>452</v>
      </c>
    </row>
    <row r="453" spans="2:15" s="3595" customFormat="1" ht="15" customHeight="1">
      <c r="B453" s="467" t="s">
        <v>6400</v>
      </c>
      <c r="C453" s="626"/>
      <c r="D453" s="626"/>
      <c r="E453" s="626"/>
      <c r="F453" s="626"/>
      <c r="G453" s="626"/>
      <c r="H453" s="626"/>
      <c r="I453" s="626"/>
      <c r="O453" s="117">
        <f>ROW()</f>
        <v>453</v>
      </c>
    </row>
    <row r="454" spans="2:15" s="3595" customFormat="1" ht="15" customHeight="1">
      <c r="C454" s="626"/>
      <c r="D454" s="626"/>
      <c r="E454" s="626"/>
      <c r="F454" s="626"/>
      <c r="G454" s="626"/>
      <c r="H454" s="626"/>
      <c r="I454" s="626"/>
      <c r="O454" s="117">
        <f>ROW()</f>
        <v>454</v>
      </c>
    </row>
    <row r="455" spans="2:15" s="3595" customFormat="1" ht="15" customHeight="1">
      <c r="B455" s="4617" t="str">
        <f>CONCATENATE("In late December 2011, Mayor Michael Bloomberg and Governor Andrew Cuomo announced an agreement to alter certain regulations applicable to for-hire vehicles in New York City. One provision commits the City " &amp; "to auctioning 2,000 new taxi medallions during 2012-2014. This represents a ",ROUND(2000/L192*100,1), "% increase in the size of the fleet of yellow cabs.")</f>
        <v>In late December 2011, Mayor Michael Bloomberg and Governor Andrew Cuomo announced an agreement to alter certain regulations applicable to for-hire vehicles in New York City. One provision commits the City to auctioning 2,000 new taxi medallions during 2012-2014. This represents a 15.1% increase in the size of the fleet of yellow cabs.</v>
      </c>
      <c r="C455" s="4636"/>
      <c r="D455" s="4636"/>
      <c r="E455" s="4636"/>
      <c r="F455" s="4636"/>
      <c r="G455" s="4636"/>
      <c r="H455" s="4636"/>
      <c r="I455" s="4636"/>
      <c r="J455" s="4636"/>
      <c r="K455" s="4636"/>
      <c r="L455" s="4636"/>
      <c r="M455" s="4636"/>
      <c r="O455" s="117">
        <f>ROW()</f>
        <v>455</v>
      </c>
    </row>
    <row r="456" spans="2:15" s="3595" customFormat="1" ht="15" customHeight="1">
      <c r="B456" s="4636"/>
      <c r="C456" s="4636"/>
      <c r="D456" s="4636"/>
      <c r="E456" s="4636"/>
      <c r="F456" s="4636"/>
      <c r="G456" s="4636"/>
      <c r="H456" s="4636"/>
      <c r="I456" s="4636"/>
      <c r="J456" s="4636"/>
      <c r="K456" s="4636"/>
      <c r="L456" s="4636"/>
      <c r="M456" s="4636"/>
      <c r="O456" s="117">
        <f>ROW()</f>
        <v>456</v>
      </c>
    </row>
    <row r="457" spans="2:15" s="3595" customFormat="1" ht="15" customHeight="1">
      <c r="B457" s="3786"/>
      <c r="C457" s="3786"/>
      <c r="D457" s="3786"/>
      <c r="E457" s="3786"/>
      <c r="F457" s="3786"/>
      <c r="G457" s="3786"/>
      <c r="H457" s="3786"/>
      <c r="I457" s="3786"/>
      <c r="J457" s="3786"/>
      <c r="K457" s="3786"/>
      <c r="L457" s="3786"/>
      <c r="M457" s="3786"/>
      <c r="O457" s="117">
        <f>ROW()</f>
        <v>457</v>
      </c>
    </row>
    <row r="458" spans="2:15" s="3595" customFormat="1" ht="15" customHeight="1">
      <c r="B458" s="4617" t="str">
        <f>CONCATENATE("Currently, medallion taxis account for an estimated ",ROUND('Motor Vs'!L102*100,1), "% of VMT (vehicle miles traveled) within the Manhattan CBD. On a first approximation, a ",ROUND(2000/L192*100,0), "% increase in the number of yellow cabs would be expected to add ",ROUNDDOWN(2000/L192*'Motor Vs'!L102*100,0), "-",,ROUNDDOWN(2000/L192*'Motor Vs'!L102*100,0)+1, " percent (the product of ",ROUND('Motor Vs'!L102*100,1), "% and ",ROUND(2000/L192*100,0), "%) to CBD traffic (VMT). The impact of this additional traffic on travel speeds within the Manhattan CBD could be considerable.")</f>
        <v>Currently, medallion taxis account for an estimated 41.2% of VMT (vehicle miles traveled) within the Manhattan CBD. On a first approximation, a 15% increase in the number of yellow cabs would be expected to add 6-7 percent (the product of 41.2% and 15%) to CBD traffic (VMT). The impact of this additional traffic on travel speeds within the Manhattan CBD could be considerable.</v>
      </c>
      <c r="C458" s="4636"/>
      <c r="D458" s="4636"/>
      <c r="E458" s="4636"/>
      <c r="F458" s="4636"/>
      <c r="G458" s="4636"/>
      <c r="H458" s="4636"/>
      <c r="I458" s="4636"/>
      <c r="J458" s="4636"/>
      <c r="K458" s="4636"/>
      <c r="L458" s="4636"/>
      <c r="M458" s="4636"/>
      <c r="O458" s="117">
        <f>ROW()</f>
        <v>458</v>
      </c>
    </row>
    <row r="459" spans="2:15" s="3595" customFormat="1" ht="15" customHeight="1">
      <c r="B459" s="4636"/>
      <c r="C459" s="4636"/>
      <c r="D459" s="4636"/>
      <c r="E459" s="4636"/>
      <c r="F459" s="4636"/>
      <c r="G459" s="4636"/>
      <c r="H459" s="4636"/>
      <c r="I459" s="4636"/>
      <c r="J459" s="4636"/>
      <c r="K459" s="4636"/>
      <c r="L459" s="4636"/>
      <c r="M459" s="4636"/>
      <c r="O459" s="117">
        <f>ROW()</f>
        <v>459</v>
      </c>
    </row>
    <row r="460" spans="2:15" s="3595" customFormat="1" ht="15" customHeight="1">
      <c r="B460" s="3786"/>
      <c r="C460" s="3786"/>
      <c r="D460" s="3786"/>
      <c r="E460" s="3786"/>
      <c r="F460" s="3786"/>
      <c r="G460" s="3786"/>
      <c r="H460" s="3786"/>
      <c r="I460" s="3786"/>
      <c r="J460" s="3786"/>
      <c r="K460" s="3786"/>
      <c r="L460" s="3786"/>
      <c r="M460" s="3786"/>
      <c r="O460" s="117">
        <f>ROW()</f>
        <v>460</v>
      </c>
    </row>
    <row r="461" spans="2:15" s="3595" customFormat="1" ht="15" customHeight="1">
      <c r="B461" s="4636" t="str">
        <f>CONCATENATE("Indeed, the average medallion taxi logs an estimated ",ROUND('Motor Vs'!L101/Taxis!L192,0)," miles driven within the Manhattan CBD on weekdays. (Calculated as the quotient of total taxi miles within the CBD from the 'Motor Vs' worksheet tab, Row ",'Motor Vs'!O101,", and the current number of taxi medallions from Row ",O192," of this worksheet. By comparison, the typical automobile driven into the CBD accumulates just ",2*'Motor Vs'!I85," miles. (The figure is slightly higher for through-trips, e.g., from Brooklyn to New Jersey.) Again, on a first approximation, adding 2,000 new cabs could be expected to have the same impact on CBD traffic as adding ",ROUNDDOWN(2000/1000*('Motor Vs'!L101/Taxis!L192)/(2*'Motor Vs'!I85),-1), ",000 CBD-bound commuter automobiles.")</f>
        <v>Indeed, the average medallion taxi logs an estimated 107 miles driven within the Manhattan CBD on weekdays. (Calculated as the quotient of total taxi miles within the CBD from the 'Motor Vs' worksheet tab, Row 101, and the current number of taxi medallions from Row 192 of this worksheet. By comparison, the typical automobile driven into the CBD accumulates just 2.5 miles. (The figure is slightly higher for through-trips, e.g., from Brooklyn to New Jersey.) Again, on a first approximation, adding 2,000 new cabs could be expected to have the same impact on CBD traffic as adding 80,000 CBD-bound commuter automobiles.</v>
      </c>
      <c r="C461" s="4636"/>
      <c r="D461" s="4636"/>
      <c r="E461" s="4636"/>
      <c r="F461" s="4636"/>
      <c r="G461" s="4636"/>
      <c r="H461" s="4636"/>
      <c r="I461" s="4636"/>
      <c r="J461" s="4636"/>
      <c r="K461" s="4636"/>
      <c r="L461" s="4636"/>
      <c r="M461" s="4636"/>
      <c r="O461" s="117">
        <f>ROW()</f>
        <v>461</v>
      </c>
    </row>
    <row r="462" spans="2:15" s="3595" customFormat="1" ht="15" customHeight="1">
      <c r="B462" s="4636"/>
      <c r="C462" s="4636"/>
      <c r="D462" s="4636"/>
      <c r="E462" s="4636"/>
      <c r="F462" s="4636"/>
      <c r="G462" s="4636"/>
      <c r="H462" s="4636"/>
      <c r="I462" s="4636"/>
      <c r="J462" s="4636"/>
      <c r="K462" s="4636"/>
      <c r="L462" s="4636"/>
      <c r="M462" s="4636"/>
      <c r="O462" s="117">
        <f>ROW()</f>
        <v>462</v>
      </c>
    </row>
    <row r="463" spans="2:15" s="3595" customFormat="1" ht="15" customHeight="1">
      <c r="B463" s="4636"/>
      <c r="C463" s="4636"/>
      <c r="D463" s="4636"/>
      <c r="E463" s="4636"/>
      <c r="F463" s="4636"/>
      <c r="G463" s="4636"/>
      <c r="H463" s="4636"/>
      <c r="I463" s="4636"/>
      <c r="J463" s="4636"/>
      <c r="K463" s="4636"/>
      <c r="L463" s="4636"/>
      <c r="M463" s="4636"/>
      <c r="O463" s="117">
        <f>ROW()</f>
        <v>463</v>
      </c>
    </row>
    <row r="464" spans="2:15" s="3595" customFormat="1" ht="15" customHeight="1">
      <c r="B464" s="4636"/>
      <c r="C464" s="4636"/>
      <c r="D464" s="4636"/>
      <c r="E464" s="4636"/>
      <c r="F464" s="4636"/>
      <c r="G464" s="4636"/>
      <c r="H464" s="4636"/>
      <c r="I464" s="4636"/>
      <c r="J464" s="4636"/>
      <c r="K464" s="4636"/>
      <c r="L464" s="4636"/>
      <c r="M464" s="4636"/>
      <c r="O464" s="117">
        <f>ROW()</f>
        <v>464</v>
      </c>
    </row>
    <row r="465" spans="2:15" s="3595" customFormat="1" ht="15" customHeight="1">
      <c r="B465" s="4636" t="s">
        <v>6370</v>
      </c>
      <c r="C465" s="4636"/>
      <c r="D465" s="4636"/>
      <c r="E465" s="4636"/>
      <c r="F465" s="4636"/>
      <c r="G465" s="4636"/>
      <c r="H465" s="4636"/>
      <c r="I465" s="4636"/>
      <c r="J465" s="4636"/>
      <c r="K465" s="4636"/>
      <c r="L465" s="4636"/>
      <c r="M465" s="4636"/>
      <c r="O465" s="117">
        <f>ROW()</f>
        <v>465</v>
      </c>
    </row>
    <row r="466" spans="2:15" s="3595" customFormat="1" ht="15" customHeight="1">
      <c r="B466" s="4636"/>
      <c r="C466" s="4636"/>
      <c r="D466" s="4636"/>
      <c r="E466" s="4636"/>
      <c r="F466" s="4636"/>
      <c r="G466" s="4636"/>
      <c r="H466" s="4636"/>
      <c r="I466" s="4636"/>
      <c r="J466" s="4636"/>
      <c r="K466" s="4636"/>
      <c r="L466" s="4636"/>
      <c r="M466" s="4636"/>
      <c r="O466" s="117">
        <f>ROW()</f>
        <v>466</v>
      </c>
    </row>
    <row r="467" spans="2:15" s="3595" customFormat="1" ht="15" customHeight="1">
      <c r="B467" s="4636"/>
      <c r="C467" s="4636"/>
      <c r="D467" s="4636"/>
      <c r="E467" s="4636"/>
      <c r="F467" s="4636"/>
      <c r="G467" s="4636"/>
      <c r="H467" s="4636"/>
      <c r="I467" s="4636"/>
      <c r="J467" s="4636"/>
      <c r="K467" s="4636"/>
      <c r="L467" s="4636"/>
      <c r="M467" s="4636"/>
      <c r="O467" s="117">
        <f>ROW()</f>
        <v>467</v>
      </c>
    </row>
    <row r="468" spans="2:15" s="3595" customFormat="1" ht="15" customHeight="1">
      <c r="B468" s="4636"/>
      <c r="C468" s="4636"/>
      <c r="D468" s="4636"/>
      <c r="E468" s="4636"/>
      <c r="F468" s="4636"/>
      <c r="G468" s="4636"/>
      <c r="H468" s="4636"/>
      <c r="I468" s="4636"/>
      <c r="J468" s="4636"/>
      <c r="K468" s="4636"/>
      <c r="L468" s="4636"/>
      <c r="M468" s="4636"/>
      <c r="O468" s="117">
        <f>ROW()</f>
        <v>468</v>
      </c>
    </row>
    <row r="469" spans="2:15" s="3595" customFormat="1" ht="15" customHeight="1">
      <c r="B469" s="4617" t="str">
        <f>CONCATENATE("However, modeling the impact is a bit more involved than simply inputting the increased number of medallion taxis into Cell L",O192, ", the cell in this worksheet which displays the current number of medallions. That is because the BTA model is calibrated to reflect current (early 2012) traffic conditions and to calculate the " &amp; "impacts of congestion charging, rather than of 'exogenous' changes such as the number of medallion taxis. ")</f>
        <v xml:space="preserve">However, modeling the impact is a bit more involved than simply inputting the increased number of medallion taxis into Cell L192, the cell in this worksheet which displays the current number of medallions. That is because the BTA model is calibrated to reflect current (early 2012) traffic conditions and to calculate the impacts of congestion charging, rather than of 'exogenous' changes such as the number of medallion taxis. </v>
      </c>
      <c r="C469" s="4636"/>
      <c r="D469" s="4636"/>
      <c r="E469" s="4636"/>
      <c r="F469" s="4636"/>
      <c r="G469" s="4636"/>
      <c r="H469" s="4636"/>
      <c r="I469" s="4636"/>
      <c r="J469" s="4636"/>
      <c r="K469" s="4636"/>
      <c r="L469" s="4636"/>
      <c r="M469" s="4636"/>
      <c r="O469" s="117">
        <f>ROW()</f>
        <v>469</v>
      </c>
    </row>
    <row r="470" spans="2:15" s="3595" customFormat="1" ht="15" customHeight="1">
      <c r="B470" s="4636"/>
      <c r="C470" s="4636"/>
      <c r="D470" s="4636"/>
      <c r="E470" s="4636"/>
      <c r="F470" s="4636"/>
      <c r="G470" s="4636"/>
      <c r="H470" s="4636"/>
      <c r="I470" s="4636"/>
      <c r="J470" s="4636"/>
      <c r="K470" s="4636"/>
      <c r="L470" s="4636"/>
      <c r="M470" s="4636"/>
      <c r="O470" s="117">
        <f>ROW()</f>
        <v>470</v>
      </c>
    </row>
    <row r="471" spans="2:15" s="3595" customFormat="1" ht="15" customHeight="1">
      <c r="B471" s="3786"/>
      <c r="C471" s="3786"/>
      <c r="D471" s="3786"/>
      <c r="E471" s="3786"/>
      <c r="F471" s="3786"/>
      <c r="G471" s="3786"/>
      <c r="H471" s="3786"/>
      <c r="I471" s="3786"/>
      <c r="J471" s="3786"/>
      <c r="K471" s="3786"/>
      <c r="L471" s="3786"/>
      <c r="M471" s="3786"/>
      <c r="O471" s="117">
        <f>ROW()</f>
        <v>471</v>
      </c>
    </row>
    <row r="472" spans="2:15" s="3595" customFormat="1" ht="15" customHeight="1">
      <c r="B472" s="4617" t="s">
        <v>6376</v>
      </c>
      <c r="C472" s="3786"/>
      <c r="D472" s="3786"/>
      <c r="E472" s="3786"/>
      <c r="F472" s="3786"/>
      <c r="G472" s="3786"/>
      <c r="H472" s="3786"/>
      <c r="I472" s="3786"/>
      <c r="J472" s="3786"/>
      <c r="K472" s="3786"/>
      <c r="L472" s="3786"/>
      <c r="M472" s="3786"/>
      <c r="O472" s="117">
        <f>ROW()</f>
        <v>472</v>
      </c>
    </row>
    <row r="473" spans="2:15" s="3595" customFormat="1" ht="15" customHeight="1">
      <c r="B473" s="3786"/>
      <c r="C473" s="3786"/>
      <c r="D473" s="3786"/>
      <c r="E473" s="3786"/>
      <c r="F473" s="3786"/>
      <c r="G473" s="3786"/>
      <c r="H473" s="3786"/>
      <c r="I473" s="3786"/>
      <c r="J473" s="3786"/>
      <c r="K473" s="3786"/>
      <c r="L473" s="3786"/>
      <c r="M473" s="3786"/>
      <c r="O473" s="117">
        <f>ROW()</f>
        <v>473</v>
      </c>
    </row>
    <row r="474" spans="2:15" s="3595" customFormat="1" ht="15" customHeight="1">
      <c r="B474" s="1406" t="s">
        <v>6372</v>
      </c>
      <c r="C474" s="3594"/>
      <c r="D474" s="3594"/>
      <c r="E474" s="3594"/>
      <c r="F474" s="3594"/>
      <c r="G474" s="3594"/>
      <c r="H474" s="3594"/>
      <c r="I474" s="3594"/>
      <c r="J474" s="3594"/>
      <c r="K474" s="3594"/>
      <c r="L474" s="3604">
        <v>0</v>
      </c>
      <c r="M474" s="3594"/>
      <c r="O474" s="117">
        <f>ROW()</f>
        <v>474</v>
      </c>
    </row>
    <row r="475" spans="2:15" s="3595" customFormat="1" ht="15" customHeight="1">
      <c r="B475" s="1406" t="str">
        <f>CONCATENATE("Second, go to the 'Results' worksheet tab and, in Cell H",Results!M25, ", select 'Baseline' as the scenario.")</f>
        <v>Second, go to the 'Results' worksheet tab and, in Cell H25, select 'Baseline' as the scenario.</v>
      </c>
      <c r="C475"/>
      <c r="D475"/>
      <c r="E475"/>
      <c r="F475"/>
      <c r="G475"/>
      <c r="H475"/>
      <c r="I475"/>
      <c r="J475"/>
      <c r="K475"/>
      <c r="L475" s="3594"/>
      <c r="M475" s="3594"/>
      <c r="O475" s="117">
        <f>ROW()</f>
        <v>475</v>
      </c>
    </row>
    <row r="476" spans="2:15" s="3595" customFormat="1" ht="15" customHeight="1">
      <c r="B476" s="316" t="s">
        <v>6377</v>
      </c>
      <c r="C476"/>
      <c r="D476"/>
      <c r="E476"/>
      <c r="F476"/>
      <c r="G476"/>
      <c r="H476"/>
      <c r="I476"/>
      <c r="J476"/>
      <c r="K476"/>
      <c r="L476" s="3594"/>
      <c r="M476" s="3594"/>
      <c r="O476" s="117">
        <f>ROW()</f>
        <v>476</v>
      </c>
    </row>
    <row r="477" spans="2:15" s="3595" customFormat="1" ht="15" customHeight="1">
      <c r="B477"/>
      <c r="C477"/>
      <c r="D477"/>
      <c r="E477"/>
      <c r="F477"/>
      <c r="G477"/>
      <c r="H477"/>
      <c r="I477"/>
      <c r="J477"/>
      <c r="K477"/>
      <c r="O477" s="117">
        <f>ROW()</f>
        <v>477</v>
      </c>
    </row>
    <row r="478" spans="2:15" ht="15" customHeight="1">
      <c r="B478" s="467" t="s">
        <v>6401</v>
      </c>
      <c r="C478" s="626"/>
      <c r="D478" s="626"/>
      <c r="E478" s="626"/>
      <c r="F478" s="626"/>
      <c r="G478" s="626"/>
      <c r="H478" s="626"/>
      <c r="I478" s="626"/>
      <c r="O478" s="117">
        <f>ROW()</f>
        <v>478</v>
      </c>
    </row>
    <row r="479" spans="2:15" ht="15" customHeight="1">
      <c r="C479" s="626"/>
      <c r="D479" s="626"/>
      <c r="E479" s="626"/>
      <c r="F479" s="626"/>
      <c r="G479" s="626"/>
      <c r="H479" s="626"/>
      <c r="O479" s="117">
        <f>ROW()</f>
        <v>479</v>
      </c>
    </row>
    <row r="480" spans="2:15" ht="15" customHeight="1">
      <c r="B480" s="214" t="s">
        <v>1561</v>
      </c>
      <c r="C480" s="626"/>
      <c r="D480" s="626"/>
      <c r="E480" s="626"/>
      <c r="F480" s="626"/>
      <c r="G480" s="626"/>
      <c r="H480" s="626"/>
      <c r="O480" s="117">
        <f>ROW()</f>
        <v>480</v>
      </c>
    </row>
    <row r="481" spans="2:15" ht="15" customHeight="1">
      <c r="B481" s="1674"/>
      <c r="C481" s="626"/>
      <c r="D481" s="626"/>
      <c r="E481" s="626"/>
      <c r="F481" s="626"/>
      <c r="G481" s="626"/>
      <c r="H481" s="626"/>
      <c r="O481" s="117">
        <f>ROW()</f>
        <v>481</v>
      </c>
    </row>
    <row r="482" spans="2:15" ht="15" customHeight="1">
      <c r="B482" s="1674"/>
      <c r="C482" s="626"/>
      <c r="D482" s="626"/>
      <c r="E482" s="1678" t="s">
        <v>2559</v>
      </c>
      <c r="F482" s="1678" t="s">
        <v>2563</v>
      </c>
      <c r="G482" s="2329" t="s">
        <v>2562</v>
      </c>
      <c r="O482" s="117">
        <f>ROW()</f>
        <v>482</v>
      </c>
    </row>
    <row r="483" spans="2:15" ht="15" customHeight="1">
      <c r="C483" s="626"/>
      <c r="E483" s="4651" t="s">
        <v>2578</v>
      </c>
      <c r="F483" s="4651" t="s">
        <v>2577</v>
      </c>
      <c r="G483" s="4687" t="s">
        <v>5159</v>
      </c>
      <c r="O483" s="117">
        <f>ROW()</f>
        <v>483</v>
      </c>
    </row>
    <row r="484" spans="2:15" ht="15" customHeight="1">
      <c r="D484" s="1573" t="s">
        <v>2576</v>
      </c>
      <c r="E484" s="4651"/>
      <c r="F484" s="4651"/>
      <c r="G484" s="4688"/>
      <c r="H484" s="4685" t="str">
        <f>CONCATENATE("(1) is from 'Delays' worksheet, beginning in Row ",Delays!O177, " adj'd for car vs. avg motor v. (2) multiplies (1) x number of miles in typical intra-CBD taxi trip, from Row ",O107, ". Weighted Avg applies hourly VMT w/i CBD, from 'Motor Vs' worksheet, Row ",'Motor Vs'!O149, ".")</f>
        <v>(1) is from 'Delays' worksheet, beginning in Row 177 adj'd for car vs. avg motor v. (2) multiplies (1) x number of miles in typical intra-CBD taxi trip, from Row 107. Weighted Avg applies hourly VMT w/i CBD, from 'Motor Vs' worksheet, Row 149.</v>
      </c>
      <c r="I484" s="4686"/>
      <c r="J484" s="4686"/>
      <c r="K484" s="4686"/>
      <c r="L484" s="4686"/>
      <c r="O484" s="117">
        <f>ROW()</f>
        <v>484</v>
      </c>
    </row>
    <row r="485" spans="2:15" ht="15" customHeight="1">
      <c r="D485" s="118" t="str">
        <f>Delays!D177</f>
        <v>Graveyard</v>
      </c>
      <c r="E485" s="231">
        <f>Delays!B177*Delays!$E$188</f>
        <v>0.39827058270955307</v>
      </c>
      <c r="F485" s="1675">
        <f t="shared" ref="F485:F491" si="21">E485*$L$107</f>
        <v>0.99567645677388272</v>
      </c>
      <c r="G485" s="223">
        <f ca="1">'Value of Time'!$M$91</f>
        <v>41.450576392516979</v>
      </c>
      <c r="H485" s="4686"/>
      <c r="I485" s="4686"/>
      <c r="J485" s="4686"/>
      <c r="K485" s="4686"/>
      <c r="L485" s="4686"/>
      <c r="O485" s="117">
        <f>ROW()</f>
        <v>485</v>
      </c>
    </row>
    <row r="486" spans="2:15" ht="15" customHeight="1">
      <c r="D486" s="118" t="str">
        <f>Delays!D178</f>
        <v>A.M. Pre-pk</v>
      </c>
      <c r="E486" s="231">
        <f>Delays!B178*Delays!$E$188</f>
        <v>0.39827058270955307</v>
      </c>
      <c r="F486" s="1675">
        <f t="shared" si="21"/>
        <v>0.99567645677388272</v>
      </c>
      <c r="G486" s="223">
        <f ca="1">'Value of Time'!$M$91</f>
        <v>41.450576392516979</v>
      </c>
      <c r="H486" s="4686"/>
      <c r="I486" s="4686"/>
      <c r="J486" s="4686"/>
      <c r="K486" s="4686"/>
      <c r="L486" s="4686"/>
      <c r="O486" s="117">
        <f>ROW()</f>
        <v>486</v>
      </c>
    </row>
    <row r="487" spans="2:15" ht="15" customHeight="1">
      <c r="D487" s="118" t="str">
        <f>Delays!D179</f>
        <v>A.M. Peak</v>
      </c>
      <c r="E487" s="231">
        <f>Delays!B179*Delays!$E$188</f>
        <v>9.8662485262139299</v>
      </c>
      <c r="F487" s="1675">
        <f t="shared" si="21"/>
        <v>24.665621315534825</v>
      </c>
      <c r="G487" s="223">
        <f ca="1">'Value of Time'!$M$91</f>
        <v>41.450576392516979</v>
      </c>
      <c r="H487" s="4686"/>
      <c r="I487" s="4686"/>
      <c r="J487" s="4686"/>
      <c r="K487" s="4686"/>
      <c r="L487" s="4686"/>
      <c r="O487" s="117">
        <f>ROW()</f>
        <v>487</v>
      </c>
    </row>
    <row r="488" spans="2:15" ht="15" customHeight="1">
      <c r="D488" s="118" t="str">
        <f>Delays!D180</f>
        <v>A.M. Post-pk</v>
      </c>
      <c r="E488" s="231">
        <f>Delays!B180*Delays!$E$188</f>
        <v>8.9972945275749048</v>
      </c>
      <c r="F488" s="1675">
        <f t="shared" si="21"/>
        <v>22.493236318937264</v>
      </c>
      <c r="G488" s="223">
        <f ca="1">'Value of Time'!$M$91</f>
        <v>41.450576392516979</v>
      </c>
      <c r="O488" s="117">
        <f>ROW()</f>
        <v>488</v>
      </c>
    </row>
    <row r="489" spans="2:15" ht="15" customHeight="1">
      <c r="D489" s="118" t="str">
        <f>Delays!D181</f>
        <v>Midday Pk</v>
      </c>
      <c r="E489" s="231">
        <f>Delays!B181*Delays!$E$188</f>
        <v>6.6438774479275455</v>
      </c>
      <c r="F489" s="1675">
        <f t="shared" si="21"/>
        <v>16.609693619818863</v>
      </c>
      <c r="G489" s="223">
        <f ca="1">'Value of Time'!$M$91</f>
        <v>41.450576392516979</v>
      </c>
      <c r="H489" s="4641" t="str">
        <f>CONCATENATE("(3) is from 'Value of Time' worksheet, Row ",'Value of Time'!O91, ". Ideally, value of time would be varied according to time period, but this calculation is primarily illustrative and doesn't require that level of precision.")</f>
        <v>(3) is from 'Value of Time' worksheet, Row 91. Ideally, value of time would be varied according to time period, but this calculation is primarily illustrative and doesn't require that level of precision.</v>
      </c>
      <c r="I489" s="4642"/>
      <c r="J489" s="4642"/>
      <c r="K489" s="4642"/>
      <c r="L489" s="4642"/>
      <c r="O489" s="117">
        <f>ROW()</f>
        <v>489</v>
      </c>
    </row>
    <row r="490" spans="2:15" ht="15" customHeight="1">
      <c r="D490" s="118" t="str">
        <f>Delays!D182</f>
        <v>P.M. Peak</v>
      </c>
      <c r="E490" s="231">
        <f>Delays!B182*Delays!$E$188</f>
        <v>15.822204058552247</v>
      </c>
      <c r="F490" s="1675">
        <f t="shared" si="21"/>
        <v>39.55551014638062</v>
      </c>
      <c r="G490" s="223">
        <f ca="1">'Value of Time'!$M$91</f>
        <v>41.450576392516979</v>
      </c>
      <c r="H490" s="4642"/>
      <c r="I490" s="4642"/>
      <c r="J490" s="4642"/>
      <c r="K490" s="4642"/>
      <c r="L490" s="4642"/>
      <c r="O490" s="117">
        <f>ROW()</f>
        <v>490</v>
      </c>
    </row>
    <row r="491" spans="2:15" ht="15" customHeight="1">
      <c r="D491" s="118" t="str">
        <f>Delays!D183</f>
        <v>P.M. Post-pk</v>
      </c>
      <c r="E491" s="231">
        <f>Delays!B183*Delays!$E$188</f>
        <v>8.4541982784255154</v>
      </c>
      <c r="F491" s="1675">
        <f t="shared" si="21"/>
        <v>21.135495696063789</v>
      </c>
      <c r="G491" s="223">
        <f ca="1">'Value of Time'!$M$91</f>
        <v>41.450576392516979</v>
      </c>
      <c r="H491" s="3786"/>
      <c r="I491" s="3786"/>
      <c r="J491" s="3786"/>
      <c r="K491" s="3786"/>
      <c r="L491" s="3786"/>
      <c r="O491" s="117">
        <f>ROW()</f>
        <v>491</v>
      </c>
    </row>
    <row r="492" spans="2:15" ht="15" customHeight="1">
      <c r="D492" s="146" t="s">
        <v>1562</v>
      </c>
      <c r="E492" s="1676">
        <f>(E485*'Motor Vs'!G149+E486*'Motor Vs'!H149+E487*'Motor Vs'!I149+E488*'Motor Vs'!J149+E489*'Motor Vs'!K149+E490*'Motor Vs'!L149+E491*'Motor Vs'!M149)/SUM('Motor Vs'!G149:M149)</f>
        <v>8.5656668138089227</v>
      </c>
      <c r="F492" s="1676">
        <f>(F485*'Motor Vs'!G149+F486*'Motor Vs'!H149+F487*'Motor Vs'!I149+F488*'Motor Vs'!J149+F489*'Motor Vs'!K149+F490*'Motor Vs'!L149+F491*'Motor Vs'!M149)/SUM('Motor Vs'!G149:M149)</f>
        <v>21.414167034522311</v>
      </c>
      <c r="G492" s="455">
        <f ca="1">G491*F492/60</f>
        <v>14.793826109109764</v>
      </c>
      <c r="I492" s="626"/>
      <c r="O492" s="117">
        <f>ROW()</f>
        <v>492</v>
      </c>
    </row>
    <row r="493" spans="2:15" ht="15" customHeight="1">
      <c r="D493" s="146" t="s">
        <v>1563</v>
      </c>
      <c r="E493" s="626"/>
      <c r="F493" s="626"/>
      <c r="G493" s="455">
        <f ca="1">ROUND(G492,0)</f>
        <v>15</v>
      </c>
      <c r="O493" s="117">
        <f>ROW()</f>
        <v>493</v>
      </c>
    </row>
    <row r="494" spans="2:15" ht="15" customHeight="1">
      <c r="C494" s="4637" t="s">
        <v>3940</v>
      </c>
      <c r="D494" s="4227"/>
      <c r="E494" s="1677"/>
      <c r="F494" s="1677"/>
      <c r="G494" s="4638">
        <f ca="1">G492/H421</f>
        <v>17.366556265088189</v>
      </c>
      <c r="H494" s="4639" t="str">
        <f>CONCATENATE("Ratio of delay cost to fare surcharge uses average intra-CBD surcharge from Row ",O421,".")</f>
        <v>Ratio of delay cost to fare surcharge uses average intra-CBD surcharge from Row 421.</v>
      </c>
      <c r="I494" s="4640"/>
      <c r="J494" s="4640"/>
      <c r="K494" s="4640"/>
      <c r="L494" s="4640"/>
      <c r="O494" s="117">
        <f>ROW()</f>
        <v>494</v>
      </c>
    </row>
    <row r="495" spans="2:15" ht="15" customHeight="1">
      <c r="C495" s="4230"/>
      <c r="D495" s="4231"/>
      <c r="E495" s="1677"/>
      <c r="F495" s="1677"/>
      <c r="G495" s="3885"/>
      <c r="H495" s="4640"/>
      <c r="I495" s="4640"/>
      <c r="J495" s="4640"/>
      <c r="K495" s="4640"/>
      <c r="L495" s="4640"/>
      <c r="O495" s="117">
        <f>ROW()</f>
        <v>495</v>
      </c>
    </row>
    <row r="496" spans="2:15" ht="15" customHeight="1">
      <c r="C496" s="2330"/>
      <c r="D496" s="2331" t="s">
        <v>3941</v>
      </c>
      <c r="E496" s="1677"/>
      <c r="F496" s="1677"/>
      <c r="G496" s="2332">
        <f ca="1">1/G494</f>
        <v>5.758193995031069E-2</v>
      </c>
      <c r="H496" s="2333" t="str">
        <f>CONCATENATE("Reciprocal of Row ",O494, ".")</f>
        <v>Reciprocal of Row 494.</v>
      </c>
      <c r="I496" s="2328"/>
      <c r="J496" s="2328"/>
      <c r="K496" s="2328"/>
      <c r="L496" s="2328"/>
      <c r="O496" s="117">
        <f>ROW()</f>
        <v>496</v>
      </c>
    </row>
    <row r="497" spans="2:15" ht="15" customHeight="1">
      <c r="C497" s="626"/>
      <c r="D497" s="626"/>
      <c r="E497" s="626"/>
      <c r="F497" s="626"/>
      <c r="G497" s="626"/>
      <c r="H497" s="626"/>
      <c r="I497" s="626"/>
      <c r="O497" s="117">
        <f>ROW()</f>
        <v>497</v>
      </c>
    </row>
    <row r="498" spans="2:15" ht="15" customHeight="1">
      <c r="B498" s="467" t="s">
        <v>6402</v>
      </c>
      <c r="O498" s="117">
        <f>ROW()</f>
        <v>498</v>
      </c>
    </row>
    <row r="499" spans="2:15" ht="15" customHeight="1">
      <c r="O499" s="117">
        <f>ROW()</f>
        <v>499</v>
      </c>
    </row>
    <row r="500" spans="2:15" ht="15" customHeight="1">
      <c r="B500" s="4650" t="s">
        <v>1216</v>
      </c>
      <c r="C500" s="4650"/>
      <c r="D500" s="4650"/>
      <c r="E500" s="4650"/>
      <c r="F500" s="4650"/>
      <c r="G500" s="4650"/>
      <c r="H500" s="4650"/>
      <c r="I500" s="4650"/>
      <c r="J500" s="4650"/>
      <c r="K500" s="4650"/>
      <c r="L500" s="4650"/>
      <c r="M500" s="4650"/>
      <c r="O500" s="117">
        <f>ROW()</f>
        <v>500</v>
      </c>
    </row>
    <row r="501" spans="2:15" ht="15" customHeight="1">
      <c r="B501" s="4650"/>
      <c r="C501" s="4650"/>
      <c r="D501" s="4650"/>
      <c r="E501" s="4650"/>
      <c r="F501" s="4650"/>
      <c r="G501" s="4650"/>
      <c r="H501" s="4650"/>
      <c r="I501" s="4650"/>
      <c r="J501" s="4650"/>
      <c r="K501" s="4650"/>
      <c r="L501" s="4650"/>
      <c r="M501" s="4650"/>
      <c r="O501" s="117">
        <f>ROW()</f>
        <v>501</v>
      </c>
    </row>
    <row r="502" spans="2:15" ht="15" customHeight="1">
      <c r="B502" s="1694" t="s">
        <v>2506</v>
      </c>
      <c r="O502" s="117">
        <f>ROW()</f>
        <v>502</v>
      </c>
    </row>
    <row r="503" spans="2:15" ht="15" customHeight="1">
      <c r="B503" s="4636" t="s">
        <v>730</v>
      </c>
      <c r="C503" s="4636"/>
      <c r="D503" s="4636"/>
      <c r="E503" s="4636"/>
      <c r="F503" s="4636"/>
      <c r="G503" s="4636"/>
      <c r="H503" s="4636"/>
      <c r="I503" s="4636"/>
      <c r="J503" s="4636"/>
      <c r="K503" s="4636"/>
      <c r="L503" s="4636"/>
      <c r="M503" s="4636"/>
      <c r="O503" s="117">
        <f>ROW()</f>
        <v>503</v>
      </c>
    </row>
    <row r="504" spans="2:15" ht="15" customHeight="1">
      <c r="B504" s="4636"/>
      <c r="C504" s="4636"/>
      <c r="D504" s="4636"/>
      <c r="E504" s="4636"/>
      <c r="F504" s="4636"/>
      <c r="G504" s="4636"/>
      <c r="H504" s="4636"/>
      <c r="I504" s="4636"/>
      <c r="J504" s="4636"/>
      <c r="K504" s="4636"/>
      <c r="L504" s="4636"/>
      <c r="M504" s="4636"/>
      <c r="O504" s="117">
        <f>ROW()</f>
        <v>504</v>
      </c>
    </row>
    <row r="505" spans="2:15" ht="15" customHeight="1">
      <c r="B505" s="4636"/>
      <c r="C505" s="4636"/>
      <c r="D505" s="4636"/>
      <c r="E505" s="4636"/>
      <c r="F505" s="4636"/>
      <c r="G505" s="4636"/>
      <c r="H505" s="4636"/>
      <c r="I505" s="4636"/>
      <c r="J505" s="4636"/>
      <c r="K505" s="4636"/>
      <c r="L505" s="4636"/>
      <c r="M505" s="4636"/>
      <c r="O505" s="117">
        <f>ROW()</f>
        <v>505</v>
      </c>
    </row>
    <row r="506" spans="2:15" ht="15" customHeight="1">
      <c r="B506" s="4636"/>
      <c r="C506" s="4636"/>
      <c r="D506" s="4636"/>
      <c r="E506" s="4636"/>
      <c r="F506" s="4636"/>
      <c r="G506" s="4636"/>
      <c r="H506" s="4636"/>
      <c r="I506" s="4636"/>
      <c r="J506" s="4636"/>
      <c r="K506" s="4636"/>
      <c r="L506" s="4636"/>
      <c r="M506" s="4636"/>
      <c r="O506" s="117">
        <f>ROW()</f>
        <v>506</v>
      </c>
    </row>
    <row r="507" spans="2:15" ht="15" customHeight="1">
      <c r="B507" s="1694" t="s">
        <v>731</v>
      </c>
      <c r="O507" s="117">
        <f>ROW()</f>
        <v>507</v>
      </c>
    </row>
    <row r="508" spans="2:15" ht="15" customHeight="1">
      <c r="B508" s="4636" t="s">
        <v>1331</v>
      </c>
      <c r="C508" s="4636"/>
      <c r="D508" s="4636"/>
      <c r="E508" s="4636"/>
      <c r="F508" s="4636"/>
      <c r="G508" s="4636"/>
      <c r="H508" s="4636"/>
      <c r="I508" s="4636"/>
      <c r="J508" s="4636"/>
      <c r="K508" s="4636"/>
      <c r="L508" s="4636"/>
      <c r="M508" s="4636"/>
      <c r="O508" s="117">
        <f>ROW()</f>
        <v>508</v>
      </c>
    </row>
    <row r="509" spans="2:15" ht="15" customHeight="1">
      <c r="B509" s="4636"/>
      <c r="C509" s="4636"/>
      <c r="D509" s="4636"/>
      <c r="E509" s="4636"/>
      <c r="F509" s="4636"/>
      <c r="G509" s="4636"/>
      <c r="H509" s="4636"/>
      <c r="I509" s="4636"/>
      <c r="J509" s="4636"/>
      <c r="K509" s="4636"/>
      <c r="L509" s="4636"/>
      <c r="M509" s="4636"/>
      <c r="O509" s="117">
        <f>ROW()</f>
        <v>509</v>
      </c>
    </row>
    <row r="510" spans="2:15" ht="15" customHeight="1">
      <c r="B510" s="4636"/>
      <c r="C510" s="4636"/>
      <c r="D510" s="4636"/>
      <c r="E510" s="4636"/>
      <c r="F510" s="4636"/>
      <c r="G510" s="4636"/>
      <c r="H510" s="4636"/>
      <c r="I510" s="4636"/>
      <c r="J510" s="4636"/>
      <c r="K510" s="4636"/>
      <c r="L510" s="4636"/>
      <c r="M510" s="4636"/>
      <c r="O510" s="117">
        <f>ROW()</f>
        <v>510</v>
      </c>
    </row>
    <row r="511" spans="2:15" ht="15" customHeight="1">
      <c r="B511" s="1694" t="s">
        <v>1332</v>
      </c>
      <c r="O511" s="117">
        <f>ROW()</f>
        <v>511</v>
      </c>
    </row>
    <row r="512" spans="2:15" ht="15" customHeight="1">
      <c r="B512" s="4636" t="s">
        <v>1215</v>
      </c>
      <c r="C512" s="4636"/>
      <c r="D512" s="4636"/>
      <c r="E512" s="4636"/>
      <c r="F512" s="4636"/>
      <c r="G512" s="4636"/>
      <c r="H512" s="4636"/>
      <c r="I512" s="4636"/>
      <c r="J512" s="4636"/>
      <c r="K512" s="4636"/>
      <c r="L512" s="4636"/>
      <c r="M512" s="4636"/>
      <c r="O512" s="117">
        <f>ROW()</f>
        <v>512</v>
      </c>
    </row>
    <row r="513" spans="2:15" ht="15" customHeight="1">
      <c r="B513" s="4636"/>
      <c r="C513" s="4636"/>
      <c r="D513" s="4636"/>
      <c r="E513" s="4636"/>
      <c r="F513" s="4636"/>
      <c r="G513" s="4636"/>
      <c r="H513" s="4636"/>
      <c r="I513" s="4636"/>
      <c r="J513" s="4636"/>
      <c r="K513" s="4636"/>
      <c r="L513" s="4636"/>
      <c r="M513" s="4636"/>
      <c r="O513" s="117">
        <f>ROW()</f>
        <v>513</v>
      </c>
    </row>
    <row r="514" spans="2:15" ht="15" customHeight="1">
      <c r="B514" s="4636"/>
      <c r="C514" s="4636"/>
      <c r="D514" s="4636"/>
      <c r="E514" s="4636"/>
      <c r="F514" s="4636"/>
      <c r="G514" s="4636"/>
      <c r="H514" s="4636"/>
      <c r="I514" s="4636"/>
      <c r="J514" s="4636"/>
      <c r="K514" s="4636"/>
      <c r="L514" s="4636"/>
      <c r="M514" s="4636"/>
      <c r="O514" s="117">
        <f>ROW()</f>
        <v>514</v>
      </c>
    </row>
    <row r="515" spans="2:15" ht="15" customHeight="1">
      <c r="B515" s="4636"/>
      <c r="C515" s="4636"/>
      <c r="D515" s="4636"/>
      <c r="E515" s="4636"/>
      <c r="F515" s="4636"/>
      <c r="G515" s="4636"/>
      <c r="H515" s="4636"/>
      <c r="I515" s="4636"/>
      <c r="J515" s="4636"/>
      <c r="K515" s="4636"/>
      <c r="L515" s="4636"/>
      <c r="M515" s="4636"/>
      <c r="O515" s="117">
        <f>ROW()</f>
        <v>515</v>
      </c>
    </row>
    <row r="516" spans="2:15" ht="15" customHeight="1">
      <c r="B516" s="1694" t="s">
        <v>1333</v>
      </c>
      <c r="O516" s="117">
        <f>ROW()</f>
        <v>516</v>
      </c>
    </row>
    <row r="517" spans="2:15" ht="15" customHeight="1">
      <c r="B517" s="4636" t="s">
        <v>2575</v>
      </c>
      <c r="C517" s="4636"/>
      <c r="D517" s="4636"/>
      <c r="E517" s="4636"/>
      <c r="F517" s="4636"/>
      <c r="G517" s="4636"/>
      <c r="H517" s="4636"/>
      <c r="I517" s="4636"/>
      <c r="J517" s="4636"/>
      <c r="K517" s="4636"/>
      <c r="L517" s="4636"/>
      <c r="M517" s="4636"/>
      <c r="O517" s="117">
        <f>ROW()</f>
        <v>517</v>
      </c>
    </row>
    <row r="518" spans="2:15" ht="15" customHeight="1">
      <c r="B518" s="4636"/>
      <c r="C518" s="4636"/>
      <c r="D518" s="4636"/>
      <c r="E518" s="4636"/>
      <c r="F518" s="4636"/>
      <c r="G518" s="4636"/>
      <c r="H518" s="4636"/>
      <c r="I518" s="4636"/>
      <c r="J518" s="4636"/>
      <c r="K518" s="4636"/>
      <c r="L518" s="4636"/>
      <c r="M518" s="4636"/>
      <c r="O518" s="117">
        <f>ROW()</f>
        <v>518</v>
      </c>
    </row>
    <row r="519" spans="2:15" ht="15" customHeight="1">
      <c r="B519" s="4636"/>
      <c r="C519" s="4636"/>
      <c r="D519" s="4636"/>
      <c r="E519" s="4636"/>
      <c r="F519" s="4636"/>
      <c r="G519" s="4636"/>
      <c r="H519" s="4636"/>
      <c r="I519" s="4636"/>
      <c r="J519" s="4636"/>
      <c r="K519" s="4636"/>
      <c r="L519" s="4636"/>
      <c r="M519" s="4636"/>
      <c r="O519" s="117">
        <f>ROW()</f>
        <v>519</v>
      </c>
    </row>
    <row r="520" spans="2:15" ht="15" customHeight="1">
      <c r="B520" s="4636"/>
      <c r="C520" s="4636"/>
      <c r="D520" s="4636"/>
      <c r="E520" s="4636"/>
      <c r="F520" s="4636"/>
      <c r="G520" s="4636"/>
      <c r="H520" s="4636"/>
      <c r="I520" s="4636"/>
      <c r="J520" s="4636"/>
      <c r="K520" s="4636"/>
      <c r="L520" s="4636"/>
      <c r="M520" s="4636"/>
      <c r="O520" s="117">
        <f>ROW()</f>
        <v>520</v>
      </c>
    </row>
    <row r="521" spans="2:15" ht="15" customHeight="1">
      <c r="B521" s="4636"/>
      <c r="C521" s="4636"/>
      <c r="D521" s="4636"/>
      <c r="E521" s="4636"/>
      <c r="F521" s="4636"/>
      <c r="G521" s="4636"/>
      <c r="H521" s="4636"/>
      <c r="I521" s="4636"/>
      <c r="J521" s="4636"/>
      <c r="K521" s="4636"/>
      <c r="L521" s="4636"/>
      <c r="M521" s="4636"/>
      <c r="O521" s="117">
        <f>ROW()</f>
        <v>521</v>
      </c>
    </row>
    <row r="522" spans="2:15" ht="15" customHeight="1">
      <c r="B522" s="467" t="s">
        <v>6380</v>
      </c>
      <c r="C522" s="1850"/>
      <c r="D522" s="1850"/>
      <c r="E522" s="1850"/>
      <c r="F522" s="1850"/>
      <c r="G522" s="1850"/>
      <c r="H522" s="1850"/>
      <c r="I522" s="1850"/>
      <c r="J522" s="1850"/>
      <c r="K522" s="1850"/>
      <c r="M522" s="1388"/>
      <c r="O522" s="117">
        <f>ROW()</f>
        <v>522</v>
      </c>
    </row>
    <row r="523" spans="2:15" ht="15" customHeight="1">
      <c r="B523" s="1850"/>
      <c r="C523" s="1850"/>
      <c r="D523" s="1850"/>
      <c r="E523" s="1850"/>
      <c r="F523" s="1850"/>
      <c r="G523" s="1850"/>
      <c r="H523" s="1850"/>
      <c r="I523" s="1850"/>
      <c r="J523" s="1850"/>
      <c r="K523" s="1850"/>
      <c r="L523" s="1388"/>
      <c r="M523" s="1388"/>
      <c r="O523" s="117">
        <f>ROW()</f>
        <v>523</v>
      </c>
    </row>
    <row r="524" spans="2:15" ht="15" customHeight="1">
      <c r="B524" s="1817" t="s">
        <v>3010</v>
      </c>
      <c r="C524" s="1850"/>
      <c r="D524" s="1850"/>
      <c r="E524" s="1850"/>
      <c r="F524" s="1850"/>
      <c r="G524" s="1850"/>
      <c r="H524" s="1850"/>
      <c r="I524" s="1850"/>
      <c r="J524" s="1850"/>
      <c r="K524" s="1850"/>
      <c r="L524" s="1388"/>
      <c r="M524" s="1388"/>
      <c r="O524" s="117">
        <f>ROW()</f>
        <v>524</v>
      </c>
    </row>
    <row r="525" spans="2:15" ht="15" customHeight="1">
      <c r="B525" s="1850"/>
      <c r="C525" s="1850"/>
      <c r="D525" s="1850"/>
      <c r="E525" s="1850"/>
      <c r="F525" s="1850"/>
      <c r="G525" s="1850"/>
      <c r="H525" s="1850"/>
      <c r="I525" s="1850"/>
      <c r="J525" s="1850"/>
      <c r="K525" s="1850"/>
      <c r="L525" s="1388"/>
      <c r="M525" s="1388"/>
      <c r="O525" s="117">
        <f>ROW()</f>
        <v>525</v>
      </c>
    </row>
    <row r="526" spans="2:15" ht="15" customHeight="1">
      <c r="B526" s="1817" t="s">
        <v>2516</v>
      </c>
      <c r="C526" s="1850"/>
      <c r="D526" s="1850"/>
      <c r="E526" s="1850"/>
      <c r="F526" s="1850"/>
      <c r="G526" s="1850"/>
      <c r="H526" s="1850"/>
      <c r="I526" s="1850"/>
      <c r="J526" s="1851">
        <f>L192</f>
        <v>13237</v>
      </c>
      <c r="K526" s="1850"/>
      <c r="L526" s="1388"/>
      <c r="M526" s="1388"/>
      <c r="O526" s="117">
        <f>ROW()</f>
        <v>526</v>
      </c>
    </row>
    <row r="527" spans="2:15" ht="15" customHeight="1">
      <c r="B527" s="326" t="str">
        <f>CONCATENATE("from Row ",O192, ".")</f>
        <v>from Row 192.</v>
      </c>
      <c r="C527" s="1850"/>
      <c r="D527" s="1850"/>
      <c r="E527" s="1850"/>
      <c r="F527" s="1850"/>
      <c r="G527" s="1850"/>
      <c r="H527" s="1850"/>
      <c r="I527" s="1850"/>
      <c r="J527" s="1850"/>
      <c r="K527" s="1850"/>
      <c r="L527" s="1388"/>
      <c r="M527" s="1388"/>
      <c r="O527" s="117">
        <f>ROW()</f>
        <v>527</v>
      </c>
    </row>
    <row r="528" spans="2:15" ht="15" customHeight="1">
      <c r="B528" s="1817" t="s">
        <v>3011</v>
      </c>
      <c r="C528" s="1850"/>
      <c r="D528" s="1850"/>
      <c r="E528" s="1850"/>
      <c r="F528" s="1850"/>
      <c r="G528" s="1850"/>
      <c r="H528" s="1850"/>
      <c r="I528" s="1850"/>
      <c r="J528" s="1851">
        <v>3715</v>
      </c>
      <c r="K528" s="1850"/>
      <c r="L528" s="1388"/>
      <c r="M528" s="1388"/>
      <c r="O528" s="117">
        <f>ROW()</f>
        <v>528</v>
      </c>
    </row>
    <row r="529" spans="2:15" ht="15" customHeight="1">
      <c r="B529" s="326" t="str">
        <f>CONCATENATE("NYT City Room article cited in Row ",O526, ".")</f>
        <v>NYT City Room article cited in Row 526.</v>
      </c>
      <c r="C529" s="1850"/>
      <c r="D529" s="1850"/>
      <c r="E529" s="1850"/>
      <c r="F529" s="1850"/>
      <c r="G529" s="1850"/>
      <c r="H529" s="1850"/>
      <c r="I529" s="1850"/>
      <c r="J529" s="1850"/>
      <c r="K529" s="1850"/>
      <c r="L529" s="1388"/>
      <c r="M529" s="1388"/>
      <c r="O529" s="117">
        <f>ROW()</f>
        <v>529</v>
      </c>
    </row>
    <row r="530" spans="2:15" ht="15" customHeight="1">
      <c r="B530" s="1817" t="s">
        <v>3012</v>
      </c>
      <c r="C530" s="1850"/>
      <c r="D530" s="1850"/>
      <c r="E530" s="1850"/>
      <c r="F530" s="1850"/>
      <c r="G530" s="1850"/>
      <c r="H530" s="1850"/>
      <c r="I530" s="1850"/>
      <c r="J530" s="1851">
        <f>J526-J528</f>
        <v>9522</v>
      </c>
      <c r="K530" s="1850"/>
      <c r="L530" s="1388"/>
      <c r="M530" s="1388"/>
      <c r="O530" s="117">
        <f>ROW()</f>
        <v>530</v>
      </c>
    </row>
    <row r="531" spans="2:15" ht="15" customHeight="1">
      <c r="B531" s="326" t="str">
        <f>CONCATENATE("Difference between Rows ",O526, " and ",O528, ".")</f>
        <v>Difference between Rows 526 and 528.</v>
      </c>
      <c r="C531" s="1850"/>
      <c r="D531" s="1850"/>
      <c r="E531" s="1850"/>
      <c r="F531" s="1850"/>
      <c r="G531" s="1850"/>
      <c r="H531" s="1850"/>
      <c r="I531" s="1850"/>
      <c r="J531" s="1850"/>
      <c r="K531" s="1850"/>
      <c r="L531" s="1388"/>
      <c r="M531" s="1388"/>
      <c r="O531" s="117">
        <f>ROW()</f>
        <v>531</v>
      </c>
    </row>
    <row r="532" spans="2:15" ht="15" customHeight="1">
      <c r="B532" s="1817" t="s">
        <v>3013</v>
      </c>
      <c r="C532" s="1850"/>
      <c r="D532" s="1850"/>
      <c r="E532" s="1850"/>
      <c r="F532" s="1850"/>
      <c r="G532" s="1850"/>
      <c r="H532" s="1850"/>
      <c r="I532" s="1850"/>
      <c r="J532" s="1851">
        <f>314/0.39</f>
        <v>805.12820512820508</v>
      </c>
      <c r="K532" s="1850"/>
      <c r="L532" s="1388"/>
      <c r="M532" s="1388"/>
      <c r="O532" s="117">
        <f>ROW()</f>
        <v>532</v>
      </c>
    </row>
    <row r="533" spans="2:15" ht="15" customHeight="1">
      <c r="B533" s="326" t="str">
        <f>CONCATENATE("Schaller data in Row ",O89, ". Cruising miles divided by cruising mileage percent of total taxicab miles.")</f>
        <v>Schaller data in Row 89. Cruising miles divided by cruising mileage percent of total taxicab miles.</v>
      </c>
      <c r="C533" s="1850"/>
      <c r="D533" s="1850"/>
      <c r="E533" s="1850"/>
      <c r="F533" s="1850"/>
      <c r="G533" s="1850"/>
      <c r="H533" s="1850"/>
      <c r="I533" s="1850"/>
      <c r="J533" s="1850"/>
      <c r="K533" s="1850"/>
      <c r="L533" s="1388"/>
      <c r="M533" s="1388"/>
      <c r="O533" s="117">
        <f>ROW()</f>
        <v>533</v>
      </c>
    </row>
    <row r="534" spans="2:15" ht="15" customHeight="1">
      <c r="B534" s="1817" t="s">
        <v>3014</v>
      </c>
      <c r="C534" s="1850"/>
      <c r="D534" s="1850"/>
      <c r="E534" s="1850"/>
      <c r="F534" s="1850"/>
      <c r="G534" s="1850"/>
      <c r="H534" s="1850"/>
      <c r="I534" s="1850"/>
      <c r="J534" s="1851">
        <f>J532*1000000/J526</f>
        <v>60824.06928520096</v>
      </c>
      <c r="K534" s="1850"/>
      <c r="L534" s="1388"/>
      <c r="M534" s="1388"/>
      <c r="O534" s="117">
        <f>ROW()</f>
        <v>534</v>
      </c>
    </row>
    <row r="535" spans="2:15" ht="15" customHeight="1">
      <c r="B535" s="326" t="str">
        <f>CONCATENATE("Ratio of Rows ",O532, " and ",O526, ".")</f>
        <v>Ratio of Rows 532 and 526.</v>
      </c>
      <c r="C535" s="1850"/>
      <c r="D535" s="1850"/>
      <c r="E535" s="1850"/>
      <c r="F535" s="1850"/>
      <c r="G535" s="1850"/>
      <c r="H535" s="1850"/>
      <c r="I535" s="1850"/>
      <c r="J535" s="1851"/>
      <c r="K535" s="1850"/>
      <c r="L535" s="1388"/>
      <c r="M535" s="1388"/>
      <c r="O535" s="117">
        <f>ROW()</f>
        <v>535</v>
      </c>
    </row>
    <row r="536" spans="2:15" ht="15" customHeight="1">
      <c r="B536" s="1817" t="s">
        <v>3015</v>
      </c>
      <c r="C536" s="1850"/>
      <c r="D536" s="1850"/>
      <c r="E536" s="1850"/>
      <c r="F536" s="1850"/>
      <c r="G536" s="1850"/>
      <c r="H536" s="1850"/>
      <c r="I536" s="1850"/>
      <c r="J536" s="1851">
        <v>35</v>
      </c>
      <c r="K536" s="1850"/>
      <c r="L536" s="1388"/>
      <c r="M536" s="1388"/>
      <c r="O536" s="117">
        <f>ROW()</f>
        <v>536</v>
      </c>
    </row>
    <row r="537" spans="2:15" ht="15" customHeight="1">
      <c r="B537" s="1817" t="s">
        <v>3016</v>
      </c>
      <c r="C537" s="1850"/>
      <c r="D537" s="1850"/>
      <c r="E537" s="1850"/>
      <c r="F537" s="1850"/>
      <c r="G537" s="1850"/>
      <c r="H537" s="1850"/>
      <c r="I537" s="1850"/>
      <c r="J537" s="1851">
        <v>12</v>
      </c>
      <c r="K537" s="1850"/>
      <c r="L537" s="1388"/>
      <c r="M537" s="1388"/>
      <c r="O537" s="117">
        <f>ROW()</f>
        <v>537</v>
      </c>
    </row>
    <row r="538" spans="2:15" ht="15" customHeight="1">
      <c r="B538" s="326" t="str">
        <f>CONCATENATE("NYT City Room article cited in Row ",O526, " says 12-14 mpg for conventional and says quashed reg would have required 30 mpg or more instead.")</f>
        <v>NYT City Room article cited in Row 526 says 12-14 mpg for conventional and says quashed reg would have required 30 mpg or more instead.</v>
      </c>
      <c r="C538" s="1850"/>
      <c r="D538" s="1850"/>
      <c r="E538" s="1850"/>
      <c r="F538" s="1850"/>
      <c r="G538" s="1850"/>
      <c r="H538" s="1850"/>
      <c r="I538" s="1850"/>
      <c r="J538" s="1851"/>
      <c r="K538" s="1850"/>
      <c r="L538" s="1388"/>
      <c r="M538" s="1388"/>
      <c r="O538" s="117">
        <f>ROW()</f>
        <v>538</v>
      </c>
    </row>
    <row r="539" spans="2:15" ht="15" customHeight="1">
      <c r="B539" s="1817" t="s">
        <v>3017</v>
      </c>
      <c r="C539" s="1850"/>
      <c r="D539" s="1850"/>
      <c r="E539" s="1850"/>
      <c r="F539" s="1850"/>
      <c r="G539" s="1850"/>
      <c r="H539" s="1850"/>
      <c r="I539" s="1850"/>
      <c r="J539" s="1851">
        <f>$J$534/J536</f>
        <v>1737.8305510057417</v>
      </c>
      <c r="K539" s="1850"/>
      <c r="L539" s="1388"/>
      <c r="M539" s="1388"/>
      <c r="O539" s="117">
        <f>ROW()</f>
        <v>539</v>
      </c>
    </row>
    <row r="540" spans="2:15" ht="15" customHeight="1">
      <c r="B540" s="1817" t="s">
        <v>3018</v>
      </c>
      <c r="C540" s="1850"/>
      <c r="D540" s="1850"/>
      <c r="E540" s="1850"/>
      <c r="F540" s="1850"/>
      <c r="G540" s="1850"/>
      <c r="H540" s="1850"/>
      <c r="I540" s="1850"/>
      <c r="J540" s="1851">
        <f>$J$534/J537</f>
        <v>5068.6724404334136</v>
      </c>
      <c r="K540" s="1850"/>
      <c r="L540" s="1388"/>
      <c r="M540" s="1388"/>
      <c r="O540" s="117">
        <f>ROW()</f>
        <v>540</v>
      </c>
    </row>
    <row r="541" spans="2:15" ht="15" customHeight="1">
      <c r="B541" s="326" t="str">
        <f>CONCATENATE("Ratio of Row ",O534, " to either ",O536, " or ",O537, ".")</f>
        <v>Ratio of Row 534 to either 536 or 537.</v>
      </c>
      <c r="C541" s="1850"/>
      <c r="D541" s="1850"/>
      <c r="E541" s="1850"/>
      <c r="F541" s="1850"/>
      <c r="G541" s="1850"/>
      <c r="H541" s="1850"/>
      <c r="I541" s="1850"/>
      <c r="J541" s="1851"/>
      <c r="K541" s="1850"/>
      <c r="L541" s="1388"/>
      <c r="M541" s="1388"/>
      <c r="O541" s="117">
        <f>ROW()</f>
        <v>541</v>
      </c>
    </row>
    <row r="542" spans="2:15" ht="15" customHeight="1">
      <c r="B542" s="1817" t="s">
        <v>3019</v>
      </c>
      <c r="C542" s="1850"/>
      <c r="D542" s="1850"/>
      <c r="E542" s="1850"/>
      <c r="F542" s="1850"/>
      <c r="G542" s="1850"/>
      <c r="H542" s="1850"/>
      <c r="I542" s="1850"/>
      <c r="J542" s="1851">
        <f>J540-J539</f>
        <v>3330.841889427672</v>
      </c>
      <c r="K542" s="1850"/>
      <c r="L542" s="1388"/>
      <c r="M542" s="1388"/>
      <c r="O542" s="117">
        <f>ROW()</f>
        <v>542</v>
      </c>
    </row>
    <row r="543" spans="2:15" ht="15" customHeight="1" thickBot="1">
      <c r="B543" s="326" t="str">
        <f>CONCATENATE("Difference between Rows ",O539, " and ",O540, ".")</f>
        <v>Difference between Rows 539 and 540.</v>
      </c>
      <c r="C543" s="1850"/>
      <c r="D543" s="1850"/>
      <c r="E543" s="1850"/>
      <c r="F543" s="1850"/>
      <c r="G543" s="1850"/>
      <c r="H543" s="1850"/>
      <c r="I543" s="1850"/>
      <c r="J543" s="1851"/>
      <c r="K543" s="1850"/>
      <c r="L543" s="1388"/>
      <c r="M543" s="1388"/>
      <c r="O543" s="117">
        <f>ROW()</f>
        <v>543</v>
      </c>
    </row>
    <row r="544" spans="2:15" ht="15" customHeight="1" thickBot="1">
      <c r="B544" s="1852" t="s">
        <v>3020</v>
      </c>
      <c r="C544" s="1853"/>
      <c r="D544" s="1853"/>
      <c r="E544" s="1853"/>
      <c r="F544" s="1853"/>
      <c r="G544" s="1853"/>
      <c r="H544" s="1853"/>
      <c r="I544" s="1853"/>
      <c r="J544" s="1854">
        <f>J542*J530/1000000</f>
        <v>31.716276471130293</v>
      </c>
      <c r="K544" s="1850"/>
      <c r="L544" s="1388"/>
      <c r="M544" s="1388"/>
      <c r="O544" s="117">
        <f>ROW()</f>
        <v>544</v>
      </c>
    </row>
    <row r="545" spans="2:15" ht="15" customHeight="1">
      <c r="B545" s="1388"/>
      <c r="C545" s="1388"/>
      <c r="D545" s="1388"/>
      <c r="E545" s="1388"/>
      <c r="F545" s="1388"/>
      <c r="G545" s="1388"/>
      <c r="H545" s="1388"/>
      <c r="I545" s="1388"/>
      <c r="J545" s="1388"/>
      <c r="K545" s="1388"/>
      <c r="L545" s="1388"/>
      <c r="M545" s="1388"/>
      <c r="O545" s="117">
        <f>ROW()</f>
        <v>545</v>
      </c>
    </row>
    <row r="546" spans="2:15" ht="15" customHeight="1">
      <c r="B546" t="s">
        <v>684</v>
      </c>
      <c r="C546" s="1388"/>
      <c r="D546" s="1388"/>
      <c r="E546" s="1388"/>
      <c r="F546" s="1388"/>
      <c r="G546" s="1388"/>
      <c r="H546" s="1388"/>
      <c r="I546" s="1388"/>
      <c r="J546" s="1388"/>
      <c r="K546" s="1388"/>
      <c r="L546" s="1388"/>
      <c r="M546" s="1388"/>
      <c r="O546" s="117">
        <f>ROW()</f>
        <v>546</v>
      </c>
    </row>
    <row r="547" spans="2:15" ht="15" customHeight="1">
      <c r="B547" s="1388"/>
      <c r="C547" s="1388"/>
      <c r="D547" s="1388"/>
      <c r="E547" s="1388"/>
      <c r="F547" s="1388"/>
      <c r="G547" s="1388"/>
      <c r="H547" s="1388"/>
      <c r="I547" s="1388"/>
      <c r="J547" s="1388"/>
      <c r="K547" s="1388"/>
      <c r="L547" s="1388"/>
      <c r="M547" s="1388"/>
      <c r="O547" s="117">
        <f>ROW()</f>
        <v>547</v>
      </c>
    </row>
    <row r="548" spans="2:15" ht="15" customHeight="1">
      <c r="B548" s="467" t="s">
        <v>6381</v>
      </c>
      <c r="C548" s="1388"/>
      <c r="D548" s="1388"/>
      <c r="E548" s="1388"/>
      <c r="F548" s="1388"/>
      <c r="G548" s="1388"/>
      <c r="H548" s="1388"/>
      <c r="I548" s="1388"/>
      <c r="J548" s="1388"/>
      <c r="K548" s="1388"/>
      <c r="L548" s="1388"/>
      <c r="M548" s="1388"/>
      <c r="O548" s="117">
        <f>ROW()</f>
        <v>548</v>
      </c>
    </row>
    <row r="549" spans="2:15" ht="15" customHeight="1">
      <c r="B549" s="1388"/>
      <c r="C549" s="1388"/>
      <c r="D549" s="1388"/>
      <c r="E549" s="1388"/>
      <c r="F549" s="1388"/>
      <c r="G549" s="1388"/>
      <c r="H549" s="1388"/>
      <c r="I549" s="1388"/>
      <c r="J549" s="1388"/>
      <c r="K549" s="1388"/>
      <c r="L549" s="1388"/>
      <c r="M549" s="1388"/>
      <c r="O549" s="117">
        <f>ROW()</f>
        <v>549</v>
      </c>
    </row>
    <row r="550" spans="2:15" ht="15" customHeight="1">
      <c r="B550" s="214" t="s">
        <v>2344</v>
      </c>
      <c r="C550" s="214"/>
      <c r="D550" s="214"/>
      <c r="E550" s="214"/>
      <c r="F550" s="214"/>
      <c r="G550" s="214"/>
      <c r="H550" s="214"/>
      <c r="L550" s="301">
        <f>L73</f>
        <v>1820</v>
      </c>
      <c r="M550" s="1388"/>
      <c r="O550" s="117">
        <f>ROW()</f>
        <v>550</v>
      </c>
    </row>
    <row r="551" spans="2:15" ht="15" customHeight="1">
      <c r="B551" s="314" t="str">
        <f>CONCATENATE("Reproduced from Row ",O73, " (drawn from Schaller).")</f>
        <v>Reproduced from Row 73 (drawn from Schaller).</v>
      </c>
      <c r="C551" s="314"/>
      <c r="D551" s="314"/>
      <c r="E551" s="314"/>
      <c r="F551" s="314"/>
      <c r="G551" s="314"/>
      <c r="H551" s="314"/>
      <c r="M551" s="1388"/>
      <c r="O551" s="117">
        <f>ROW()</f>
        <v>551</v>
      </c>
    </row>
    <row r="552" spans="2:15" ht="15" customHeight="1">
      <c r="B552" s="323" t="s">
        <v>3422</v>
      </c>
      <c r="C552" s="1388"/>
      <c r="D552" s="1388"/>
      <c r="E552" s="1388"/>
      <c r="F552" s="1388"/>
      <c r="G552" s="1388"/>
      <c r="H552" s="1388"/>
      <c r="I552" s="1388"/>
      <c r="J552" s="1388"/>
      <c r="K552" s="1388"/>
      <c r="L552" s="2090">
        <v>0.1</v>
      </c>
      <c r="M552" s="1388"/>
      <c r="O552" s="117">
        <f>ROW()</f>
        <v>552</v>
      </c>
    </row>
    <row r="553" spans="2:15" ht="15" customHeight="1">
      <c r="B553" s="323" t="s">
        <v>3423</v>
      </c>
      <c r="C553" s="1388"/>
      <c r="D553" s="1388"/>
      <c r="E553" s="1388"/>
      <c r="F553" s="1388"/>
      <c r="G553" s="1388"/>
      <c r="H553" s="1388"/>
      <c r="I553" s="1388"/>
      <c r="J553" s="1388"/>
      <c r="K553" s="1388"/>
      <c r="L553" s="2091">
        <f>(1+L552)^L198</f>
        <v>0.97925006549150273</v>
      </c>
      <c r="M553" s="1388"/>
      <c r="O553" s="117">
        <f>ROW()</f>
        <v>553</v>
      </c>
    </row>
    <row r="554" spans="2:15" ht="15" customHeight="1">
      <c r="B554" s="314" t="str">
        <f>CONCATENATE("Calculated as Sum of 1 + Row ",O196, ", raised to the Row ",O198," power -- standard elasticity calculation.")</f>
        <v>Calculated as Sum of 1 + Row 196, raised to the Row 198 power -- standard elasticity calculation.</v>
      </c>
      <c r="C554" s="1388"/>
      <c r="D554" s="1388"/>
      <c r="E554" s="1388"/>
      <c r="F554" s="1388"/>
      <c r="G554" s="1388"/>
      <c r="H554" s="1388"/>
      <c r="I554" s="1388"/>
      <c r="J554" s="1388"/>
      <c r="K554" s="1388"/>
      <c r="L554" s="1388"/>
      <c r="M554" s="1388"/>
      <c r="O554" s="117">
        <f>ROW()</f>
        <v>554</v>
      </c>
    </row>
    <row r="555" spans="2:15" ht="15" customHeight="1">
      <c r="B555" s="323" t="s">
        <v>3424</v>
      </c>
      <c r="C555" s="1388"/>
      <c r="D555" s="1388"/>
      <c r="E555" s="1388"/>
      <c r="F555" s="1388"/>
      <c r="G555" s="1388"/>
      <c r="H555" s="1388"/>
      <c r="I555" s="1388"/>
      <c r="J555" s="1388"/>
      <c r="K555" s="1388"/>
      <c r="L555" s="301">
        <f>L550*(1+L552)*L553</f>
        <v>1960.4586311139888</v>
      </c>
      <c r="M555" s="1388"/>
      <c r="O555" s="117">
        <f>ROW()</f>
        <v>555</v>
      </c>
    </row>
    <row r="556" spans="2:15" ht="15" customHeight="1">
      <c r="B556" s="314" t="str">
        <f>CONCATENATE("Calculated as Product of Row ",O550, ", Row ",O553, ", and 1 + Row ",O552, ".")</f>
        <v>Calculated as Product of Row 550, Row 553, and 1 + Row 552.</v>
      </c>
      <c r="C556" s="1388"/>
      <c r="D556" s="1388"/>
      <c r="E556" s="1388"/>
      <c r="F556" s="1388"/>
      <c r="G556" s="1388"/>
      <c r="H556" s="1388"/>
      <c r="I556" s="1388"/>
      <c r="J556" s="1388"/>
      <c r="K556" s="1388"/>
      <c r="M556" s="1388"/>
      <c r="O556" s="117">
        <f>ROW()</f>
        <v>556</v>
      </c>
    </row>
    <row r="557" spans="2:15" ht="15" customHeight="1">
      <c r="B557" s="323" t="s">
        <v>4881</v>
      </c>
      <c r="C557" s="1388"/>
      <c r="D557" s="1388"/>
      <c r="E557" s="1388"/>
      <c r="F557" s="1388"/>
      <c r="G557" s="1388"/>
      <c r="H557" s="1388"/>
      <c r="I557" s="1388"/>
      <c r="J557" s="1388"/>
      <c r="K557" s="1388"/>
      <c r="L557" s="301">
        <f>L555-L550</f>
        <v>140.45863111398876</v>
      </c>
      <c r="M557" s="1388"/>
      <c r="O557" s="117">
        <f>ROW()</f>
        <v>557</v>
      </c>
    </row>
    <row r="558" spans="2:15" ht="15" customHeight="1">
      <c r="B558" s="314" t="str">
        <f>CONCATENATE("Difference between Rows ",O555, " and ",O550, ".")</f>
        <v>Difference between Rows 555 and 550.</v>
      </c>
      <c r="C558" s="1388"/>
      <c r="D558" s="1388"/>
      <c r="E558" s="1388"/>
      <c r="F558" s="1388"/>
      <c r="G558" s="1388"/>
      <c r="H558" s="1388"/>
      <c r="I558" s="1388"/>
      <c r="J558" s="1388"/>
      <c r="K558" s="1388"/>
      <c r="L558" s="1388"/>
      <c r="M558" s="1388"/>
      <c r="O558" s="117">
        <f>ROW()</f>
        <v>558</v>
      </c>
    </row>
    <row r="559" spans="2:15" ht="15" customHeight="1">
      <c r="B559" s="323" t="s">
        <v>4882</v>
      </c>
      <c r="C559" s="1388"/>
      <c r="D559" s="1388"/>
      <c r="E559" s="1388"/>
      <c r="F559" s="1388"/>
      <c r="G559" s="1388"/>
      <c r="H559" s="1388"/>
      <c r="I559" s="1388"/>
      <c r="J559" s="1388"/>
      <c r="K559" s="1388"/>
      <c r="L559" s="2090">
        <f>L557/L550</f>
        <v>7.7175072040653159E-2</v>
      </c>
      <c r="M559" s="1388"/>
      <c r="O559" s="117">
        <f>ROW()</f>
        <v>559</v>
      </c>
    </row>
    <row r="560" spans="2:15" ht="15" customHeight="1">
      <c r="B560" s="1388"/>
      <c r="C560" s="1388"/>
      <c r="D560" s="1388"/>
      <c r="E560" s="1388"/>
      <c r="F560" s="1388"/>
      <c r="G560" s="1388"/>
      <c r="H560" s="1388"/>
      <c r="I560" s="1388"/>
      <c r="J560" s="1388"/>
      <c r="K560" s="1388"/>
      <c r="L560" s="1388"/>
      <c r="M560" s="1388"/>
      <c r="O560" s="117">
        <f>ROW()</f>
        <v>560</v>
      </c>
    </row>
    <row r="561" spans="2:15" ht="15" customHeight="1">
      <c r="B561" s="1388"/>
      <c r="C561" s="1388"/>
      <c r="D561" s="1388"/>
      <c r="E561" s="1388"/>
      <c r="F561" s="1388"/>
      <c r="G561" s="1388"/>
      <c r="H561" s="1388"/>
      <c r="I561" s="1388"/>
      <c r="J561" s="1388"/>
      <c r="K561" s="1388"/>
      <c r="L561" s="1388"/>
      <c r="M561" s="1388"/>
      <c r="O561" s="117">
        <f>ROW()</f>
        <v>561</v>
      </c>
    </row>
    <row r="562" spans="2:15" ht="15" customHeight="1">
      <c r="B562" s="1388"/>
      <c r="C562" s="1388"/>
      <c r="D562" s="1388"/>
      <c r="E562" s="1388"/>
      <c r="F562" s="1388"/>
      <c r="G562" s="1388"/>
      <c r="H562" s="1388"/>
      <c r="I562" s="1388"/>
      <c r="J562" s="1388"/>
      <c r="K562" s="1388"/>
      <c r="L562" s="1388"/>
      <c r="M562" s="1388"/>
      <c r="O562" s="117">
        <f>ROW()</f>
        <v>562</v>
      </c>
    </row>
    <row r="563" spans="2:15" ht="15" customHeight="1">
      <c r="B563" s="518" t="s">
        <v>6211</v>
      </c>
      <c r="L563" s="33"/>
      <c r="O563" s="117">
        <f>ROW()</f>
        <v>563</v>
      </c>
    </row>
    <row r="564" spans="2:15" ht="15" customHeight="1">
      <c r="O564" s="117">
        <f>ROW()</f>
        <v>564</v>
      </c>
    </row>
    <row r="565" spans="2:15" ht="15" customHeight="1">
      <c r="B565" s="4636" t="s">
        <v>2960</v>
      </c>
      <c r="C565" s="4636"/>
      <c r="D565" s="4636"/>
      <c r="E565" s="4636"/>
      <c r="F565" s="4636"/>
      <c r="G565" s="4636"/>
      <c r="H565" s="4636"/>
      <c r="I565" s="4636"/>
      <c r="J565" s="4636"/>
      <c r="K565" s="4636"/>
      <c r="L565" s="4636"/>
      <c r="M565" s="4636"/>
      <c r="O565" s="117">
        <f>ROW()</f>
        <v>565</v>
      </c>
    </row>
    <row r="566" spans="2:15" ht="15" customHeight="1">
      <c r="B566" s="4636"/>
      <c r="C566" s="4636"/>
      <c r="D566" s="4636"/>
      <c r="E566" s="4636"/>
      <c r="F566" s="4636"/>
      <c r="G566" s="4636"/>
      <c r="H566" s="4636"/>
      <c r="I566" s="4636"/>
      <c r="J566" s="4636"/>
      <c r="K566" s="4636"/>
      <c r="L566" s="4636"/>
      <c r="M566" s="4636"/>
      <c r="O566" s="117">
        <f>ROW()</f>
        <v>566</v>
      </c>
    </row>
    <row r="567" spans="2:15" ht="15" customHeight="1">
      <c r="B567" s="1388"/>
      <c r="C567" s="1388"/>
      <c r="D567" s="1388"/>
      <c r="E567" s="1388"/>
      <c r="F567" s="1388"/>
      <c r="G567" s="1388"/>
      <c r="H567" s="1388"/>
      <c r="I567" s="1388"/>
      <c r="J567" s="1388"/>
      <c r="K567" s="1388"/>
      <c r="L567" s="1388"/>
      <c r="M567" s="1388"/>
      <c r="O567" s="117">
        <f>ROW()</f>
        <v>567</v>
      </c>
    </row>
    <row r="568" spans="2:15" ht="15" customHeight="1">
      <c r="B568" s="1818" t="s">
        <v>2966</v>
      </c>
      <c r="C568" s="1388"/>
      <c r="D568" s="1388"/>
      <c r="E568" s="1388"/>
      <c r="F568" s="1388"/>
      <c r="G568" s="1388"/>
      <c r="H568" s="1388"/>
      <c r="I568" s="1388"/>
      <c r="J568" s="1388"/>
      <c r="K568" s="1388"/>
      <c r="L568" s="1388"/>
      <c r="M568" s="1388"/>
      <c r="O568" s="117">
        <f>ROW()</f>
        <v>568</v>
      </c>
    </row>
    <row r="569" spans="2:15" ht="15" customHeight="1">
      <c r="B569" s="1818"/>
      <c r="C569" s="1388"/>
      <c r="D569" s="1388"/>
      <c r="E569" s="1388"/>
      <c r="F569" s="1388"/>
      <c r="G569" s="1388"/>
      <c r="H569" s="1388"/>
      <c r="I569" s="1388"/>
      <c r="J569" s="1388"/>
      <c r="K569" s="1388"/>
      <c r="L569" s="1388"/>
      <c r="M569" s="1388"/>
      <c r="O569" s="117">
        <f>ROW()</f>
        <v>569</v>
      </c>
    </row>
    <row r="570" spans="2:15" ht="15" customHeight="1">
      <c r="B570" s="1822" t="s">
        <v>2967</v>
      </c>
      <c r="C570" s="1388"/>
      <c r="D570" s="1388"/>
      <c r="E570" s="1388"/>
      <c r="F570" s="1388"/>
      <c r="G570" s="1388"/>
      <c r="H570" s="1388"/>
      <c r="I570" s="1388"/>
      <c r="J570" s="1388"/>
      <c r="K570" s="1388"/>
      <c r="L570" s="1388"/>
      <c r="M570" s="1388"/>
      <c r="O570" s="117">
        <f>ROW()</f>
        <v>570</v>
      </c>
    </row>
    <row r="571" spans="2:15" ht="15" customHeight="1">
      <c r="B571" s="1827" t="s">
        <v>4883</v>
      </c>
      <c r="C571" s="1817"/>
      <c r="D571" s="1817"/>
      <c r="E571" s="1817"/>
      <c r="F571" s="1817"/>
      <c r="G571" s="1817"/>
      <c r="H571" s="1817"/>
      <c r="I571" s="1817"/>
      <c r="J571" s="1826">
        <v>2</v>
      </c>
      <c r="K571" s="1817"/>
      <c r="L571" s="1817"/>
      <c r="M571" s="1817"/>
      <c r="O571" s="117">
        <f>ROW()</f>
        <v>571</v>
      </c>
    </row>
    <row r="572" spans="2:15" ht="15" customHeight="1">
      <c r="B572" s="326" t="s">
        <v>133</v>
      </c>
      <c r="O572" s="117">
        <f>ROW()</f>
        <v>572</v>
      </c>
    </row>
    <row r="573" spans="2:15" ht="15" customHeight="1">
      <c r="B573" s="1817" t="s">
        <v>2962</v>
      </c>
      <c r="J573" s="1819">
        <f>F379</f>
        <v>13.78485320237775</v>
      </c>
      <c r="O573" s="117">
        <f>ROW()</f>
        <v>573</v>
      </c>
    </row>
    <row r="574" spans="2:15" ht="15" customHeight="1">
      <c r="B574" s="326" t="str">
        <f>CONCATENATE("from Row ",O379, ".")</f>
        <v>from Row 379.</v>
      </c>
      <c r="O574" s="117">
        <f>ROW()</f>
        <v>574</v>
      </c>
    </row>
    <row r="575" spans="2:15" ht="15" customHeight="1">
      <c r="B575" s="1817" t="s">
        <v>4884</v>
      </c>
      <c r="J575" s="39">
        <f>J571/J573</f>
        <v>0.14508678261840466</v>
      </c>
      <c r="O575" s="117">
        <f>ROW()</f>
        <v>575</v>
      </c>
    </row>
    <row r="576" spans="2:15" ht="15" customHeight="1">
      <c r="B576" s="326" t="str">
        <f>CONCATENATE("Algebra on Rows ",O573, " and ",O571, ".")</f>
        <v>Algebra on Rows 573 and 571.</v>
      </c>
      <c r="O576" s="117">
        <f>ROW()</f>
        <v>576</v>
      </c>
    </row>
    <row r="577" spans="2:15" ht="15" customHeight="1">
      <c r="B577" s="1817" t="s">
        <v>2963</v>
      </c>
      <c r="J577" s="117">
        <f>Elasticities!G54</f>
        <v>-0.8</v>
      </c>
      <c r="O577" s="117">
        <f>ROW()</f>
        <v>577</v>
      </c>
    </row>
    <row r="578" spans="2:15" ht="15" customHeight="1">
      <c r="B578" s="326" t="s">
        <v>2964</v>
      </c>
      <c r="O578" s="117">
        <f>ROW()</f>
        <v>578</v>
      </c>
    </row>
    <row r="579" spans="2:15" ht="15" customHeight="1">
      <c r="B579" s="1823" t="s">
        <v>2965</v>
      </c>
      <c r="C579" s="2"/>
      <c r="D579" s="2"/>
      <c r="E579" s="2"/>
      <c r="F579" s="2"/>
      <c r="G579" s="2"/>
      <c r="H579" s="2"/>
      <c r="I579" s="2"/>
      <c r="J579" s="1824">
        <f>(1+J575)^J577</f>
        <v>0.89728266722698991</v>
      </c>
      <c r="K579" s="2"/>
      <c r="O579" s="117">
        <f>ROW()</f>
        <v>579</v>
      </c>
    </row>
    <row r="580" spans="2:15" ht="15" customHeight="1">
      <c r="B580" s="326" t="str">
        <f>CONCATENATE("Sum of one and Row ",O575, ", raised to the exponent given in Row ",O577, ".")</f>
        <v>Sum of one and Row 575, raised to the exponent given in Row 577.</v>
      </c>
      <c r="O580" s="117">
        <f>ROW()</f>
        <v>580</v>
      </c>
    </row>
    <row r="581" spans="2:15" ht="15" customHeight="1">
      <c r="O581" s="117">
        <f>ROW()</f>
        <v>581</v>
      </c>
    </row>
    <row r="582" spans="2:15" ht="15" customHeight="1">
      <c r="B582" s="1822" t="s">
        <v>2968</v>
      </c>
      <c r="O582" s="117">
        <f>ROW()</f>
        <v>582</v>
      </c>
    </row>
    <row r="583" spans="2:15" ht="15" customHeight="1">
      <c r="B583" s="1827" t="s">
        <v>2974</v>
      </c>
      <c r="J583" s="1828">
        <v>0.45</v>
      </c>
      <c r="O583" s="117">
        <f>ROW()</f>
        <v>583</v>
      </c>
    </row>
    <row r="584" spans="2:15" ht="15" customHeight="1">
      <c r="B584" s="326" t="s">
        <v>2961</v>
      </c>
      <c r="O584" s="117">
        <f>ROW()</f>
        <v>584</v>
      </c>
    </row>
    <row r="585" spans="2:15" ht="15" customHeight="1">
      <c r="B585" s="1817" t="s">
        <v>2969</v>
      </c>
      <c r="J585">
        <f>Elasticities!G53</f>
        <v>-0.22</v>
      </c>
      <c r="O585" s="117">
        <f>ROW()</f>
        <v>585</v>
      </c>
    </row>
    <row r="586" spans="2:15" ht="15" customHeight="1">
      <c r="B586" s="326" t="s">
        <v>2964</v>
      </c>
      <c r="O586" s="117">
        <f>ROW()</f>
        <v>586</v>
      </c>
    </row>
    <row r="587" spans="2:15" ht="15" customHeight="1">
      <c r="B587" s="1823" t="s">
        <v>2972</v>
      </c>
      <c r="C587" s="2"/>
      <c r="D587" s="2"/>
      <c r="E587" s="2"/>
      <c r="F587" s="2"/>
      <c r="G587" s="2"/>
      <c r="H587" s="2"/>
      <c r="I587" s="2"/>
      <c r="J587" s="1824">
        <f>(1-J583)^J585</f>
        <v>1.1405654408293882</v>
      </c>
      <c r="O587" s="117">
        <f>ROW()</f>
        <v>587</v>
      </c>
    </row>
    <row r="588" spans="2:15" ht="15" customHeight="1">
      <c r="B588" s="326" t="str">
        <f>CONCATENATE("Sum of one and Row ",O583, ", raised to the exponent given in Row ",O585, ".")</f>
        <v>Sum of one and Row 583, raised to the exponent given in Row 585.</v>
      </c>
      <c r="O588" s="117">
        <f>ROW()</f>
        <v>588</v>
      </c>
    </row>
    <row r="589" spans="2:15" ht="15" customHeight="1">
      <c r="O589" s="117">
        <f>ROW()</f>
        <v>589</v>
      </c>
    </row>
    <row r="590" spans="2:15" ht="15" customHeight="1">
      <c r="B590" s="1822" t="s">
        <v>2970</v>
      </c>
      <c r="O590" s="117">
        <f>ROW()</f>
        <v>590</v>
      </c>
    </row>
    <row r="591" spans="2:15" ht="15" customHeight="1">
      <c r="B591" s="1823" t="s">
        <v>2971</v>
      </c>
      <c r="J591" s="1824">
        <f>J579*J587</f>
        <v>1.023409600894321</v>
      </c>
      <c r="O591" s="117">
        <f>ROW()</f>
        <v>591</v>
      </c>
    </row>
    <row r="592" spans="2:15" ht="15" customHeight="1">
      <c r="B592" s="326" t="str">
        <f>CONCATENATE("Product of Rows ",O587, " and ",O579, ".")</f>
        <v>Product of Rows 587 and 579.</v>
      </c>
      <c r="O592" s="117">
        <f>ROW()</f>
        <v>592</v>
      </c>
    </row>
    <row r="593" spans="2:15" ht="15" customHeight="1">
      <c r="B593" s="1823" t="s">
        <v>2973</v>
      </c>
      <c r="J593" s="1825">
        <f>J591-1</f>
        <v>2.3409600894320981E-2</v>
      </c>
      <c r="O593" s="117">
        <f>ROW()</f>
        <v>593</v>
      </c>
    </row>
    <row r="594" spans="2:15" ht="15" customHeight="1">
      <c r="O594" s="117">
        <f>ROW()</f>
        <v>594</v>
      </c>
    </row>
    <row r="595" spans="2:15" ht="15" customHeight="1">
      <c r="B595" s="4635" t="s">
        <v>2975</v>
      </c>
      <c r="C595" s="4184"/>
      <c r="D595" s="4184"/>
      <c r="E595" s="4184"/>
      <c r="F595" s="4184"/>
      <c r="G595" s="4184"/>
      <c r="H595" s="4184"/>
      <c r="I595" s="4184"/>
      <c r="J595" s="4184"/>
      <c r="O595" s="117">
        <f>ROW()</f>
        <v>595</v>
      </c>
    </row>
    <row r="596" spans="2:15" ht="15" customHeight="1">
      <c r="B596" s="4184"/>
      <c r="C596" s="4184"/>
      <c r="D596" s="4184"/>
      <c r="E596" s="4184"/>
      <c r="F596" s="4184"/>
      <c r="G596" s="4184"/>
      <c r="H596" s="4184"/>
      <c r="I596" s="4184"/>
      <c r="J596" s="4184"/>
      <c r="O596" s="117">
        <f>ROW()</f>
        <v>596</v>
      </c>
    </row>
    <row r="597" spans="2:15" ht="15" customHeight="1">
      <c r="B597" s="4184"/>
      <c r="C597" s="4184"/>
      <c r="D597" s="4184"/>
      <c r="E597" s="4184"/>
      <c r="F597" s="4184"/>
      <c r="G597" s="4184"/>
      <c r="H597" s="4184"/>
      <c r="I597" s="4184"/>
      <c r="J597" s="4184"/>
      <c r="O597" s="117">
        <f>ROW()</f>
        <v>597</v>
      </c>
    </row>
    <row r="598" spans="2:15" ht="15" customHeight="1">
      <c r="O598" s="117">
        <f>ROW()</f>
        <v>598</v>
      </c>
    </row>
    <row r="599" spans="2:15" ht="15" customHeight="1">
      <c r="B599" s="1829" t="s">
        <v>2976</v>
      </c>
      <c r="O599" s="117">
        <f>ROW()</f>
        <v>599</v>
      </c>
    </row>
    <row r="600" spans="2:15" ht="15" customHeight="1">
      <c r="O600" s="117">
        <f>ROW()</f>
        <v>600</v>
      </c>
    </row>
    <row r="601" spans="2:15" ht="15" customHeight="1">
      <c r="B601" s="1827" t="s">
        <v>2977</v>
      </c>
      <c r="J601" s="1828">
        <v>0.25</v>
      </c>
      <c r="O601" s="117">
        <f>ROW()</f>
        <v>601</v>
      </c>
    </row>
    <row r="602" spans="2:15" ht="15" customHeight="1">
      <c r="B602" s="326" t="s">
        <v>768</v>
      </c>
      <c r="O602" s="117">
        <f>ROW()</f>
        <v>602</v>
      </c>
    </row>
    <row r="603" spans="2:15" ht="15" customHeight="1">
      <c r="B603" s="1827" t="s">
        <v>2978</v>
      </c>
      <c r="J603" s="1828">
        <v>0.25</v>
      </c>
      <c r="O603" s="117">
        <f>ROW()</f>
        <v>603</v>
      </c>
    </row>
    <row r="604" spans="2:15" ht="15" customHeight="1">
      <c r="B604" s="326" t="s">
        <v>768</v>
      </c>
      <c r="O604" s="117">
        <f>ROW()</f>
        <v>604</v>
      </c>
    </row>
    <row r="605" spans="2:15" ht="15" customHeight="1">
      <c r="B605" s="1817" t="s">
        <v>2979</v>
      </c>
      <c r="J605" s="1122">
        <f>ROUND(J601*J603*L97,-2)</f>
        <v>29500</v>
      </c>
      <c r="O605" s="117">
        <f>ROW()</f>
        <v>605</v>
      </c>
    </row>
    <row r="606" spans="2:15" ht="15" customHeight="1">
      <c r="B606" s="326" t="str">
        <f>CONCATENATE("Product of Rows ",O97, ", ",O601, " and ",O603, ".")</f>
        <v>Product of Rows 97, 601 and 603.</v>
      </c>
      <c r="O606" s="117">
        <f>ROW()</f>
        <v>606</v>
      </c>
    </row>
    <row r="607" spans="2:15" ht="15" customHeight="1">
      <c r="B607" s="1827" t="s">
        <v>2980</v>
      </c>
      <c r="J607" s="1828">
        <v>0.9</v>
      </c>
      <c r="O607" s="117">
        <f>ROW()</f>
        <v>607</v>
      </c>
    </row>
    <row r="608" spans="2:15" ht="15" customHeight="1">
      <c r="B608" s="326" t="s">
        <v>768</v>
      </c>
      <c r="O608" s="117">
        <f>ROW()</f>
        <v>608</v>
      </c>
    </row>
    <row r="609" spans="2:15" ht="15" customHeight="1">
      <c r="B609" s="1817" t="s">
        <v>2981</v>
      </c>
      <c r="J609" s="1179">
        <f>J605/2</f>
        <v>14750</v>
      </c>
      <c r="O609" s="117">
        <f>ROW()</f>
        <v>609</v>
      </c>
    </row>
    <row r="610" spans="2:15" ht="15" customHeight="1">
      <c r="B610" s="326" t="str">
        <f>CONCATENATE("Row ",O605, " divided by two.")</f>
        <v>Row 605 divided by two.</v>
      </c>
      <c r="O610" s="117">
        <f>ROW()</f>
        <v>610</v>
      </c>
    </row>
    <row r="611" spans="2:15" ht="15" customHeight="1">
      <c r="B611" s="1817" t="s">
        <v>2982</v>
      </c>
      <c r="J611" s="39">
        <f>J607/2</f>
        <v>0.45</v>
      </c>
      <c r="O611" s="117">
        <f>ROW()</f>
        <v>611</v>
      </c>
    </row>
    <row r="612" spans="2:15" ht="15" customHeight="1">
      <c r="B612" s="326" t="str">
        <f>CONCATENATE("Row ",O607, " divided by two (derived using algebra).")</f>
        <v>Row 607 divided by two (derived using algebra).</v>
      </c>
      <c r="O612" s="117">
        <f>ROW()</f>
        <v>612</v>
      </c>
    </row>
    <row r="613" spans="2:15" ht="15" customHeight="1">
      <c r="B613" s="1817" t="s">
        <v>2983</v>
      </c>
      <c r="J613" s="509">
        <f>J609/L97</f>
        <v>3.1303056027164683E-2</v>
      </c>
      <c r="O613" s="117">
        <f>ROW()</f>
        <v>613</v>
      </c>
    </row>
  </sheetData>
  <customSheetViews>
    <customSheetView guid="{BD5E6263-A0AD-4076-921A-D4EBD62848EF}" showGridLines="0" showRuler="0">
      <selection activeCell="A34" sqref="A34"/>
      <pageMargins left="0.75" right="0.75" top="1" bottom="1" header="0.5" footer="0.5"/>
      <pageSetup orientation="portrait" verticalDpi="1200" r:id="rId1"/>
      <headerFooter alignWithMargins="0"/>
    </customSheetView>
    <customSheetView guid="{1D5AE30A-CA7C-4B32-AEA4-9F37A560AAA8}" showGridLines="0" showRuler="0">
      <selection activeCell="A34" sqref="A34"/>
      <pageMargins left="0.75" right="0.75" top="1" bottom="1" header="0.5" footer="0.5"/>
      <pageSetup orientation="portrait" verticalDpi="1200" r:id="rId2"/>
      <headerFooter alignWithMargins="0"/>
    </customSheetView>
  </customSheetViews>
  <mergeCells count="109">
    <mergeCell ref="B173:B181"/>
    <mergeCell ref="J167:J168"/>
    <mergeCell ref="K167:K168"/>
    <mergeCell ref="P165:W165"/>
    <mergeCell ref="P166:W166"/>
    <mergeCell ref="Q167:Q168"/>
    <mergeCell ref="R167:R168"/>
    <mergeCell ref="S167:S168"/>
    <mergeCell ref="T167:T168"/>
    <mergeCell ref="V167:V168"/>
    <mergeCell ref="U167:U168"/>
    <mergeCell ref="W167:W168"/>
    <mergeCell ref="H362:H363"/>
    <mergeCell ref="G362:G363"/>
    <mergeCell ref="F372:H372"/>
    <mergeCell ref="J205:J207"/>
    <mergeCell ref="H484:L487"/>
    <mergeCell ref="E483:E484"/>
    <mergeCell ref="G483:G484"/>
    <mergeCell ref="L238:L241"/>
    <mergeCell ref="B239:J241"/>
    <mergeCell ref="C386:M387"/>
    <mergeCell ref="K334:M334"/>
    <mergeCell ref="G322:I322"/>
    <mergeCell ref="B400:M402"/>
    <mergeCell ref="B455:M457"/>
    <mergeCell ref="B458:M460"/>
    <mergeCell ref="B461:M464"/>
    <mergeCell ref="B465:M468"/>
    <mergeCell ref="B429:E430"/>
    <mergeCell ref="E425:H425"/>
    <mergeCell ref="E52:I54"/>
    <mergeCell ref="G56:M57"/>
    <mergeCell ref="L36:N36"/>
    <mergeCell ref="K29:N29"/>
    <mergeCell ref="K39:N39"/>
    <mergeCell ref="L46:N46"/>
    <mergeCell ref="B38:G39"/>
    <mergeCell ref="C42:F43"/>
    <mergeCell ref="J62:N65"/>
    <mergeCell ref="N238:N241"/>
    <mergeCell ref="D59:D60"/>
    <mergeCell ref="E59:E60"/>
    <mergeCell ref="B61:E61"/>
    <mergeCell ref="F61:I61"/>
    <mergeCell ref="L68:L71"/>
    <mergeCell ref="N68:N71"/>
    <mergeCell ref="B167:E170"/>
    <mergeCell ref="B183:E186"/>
    <mergeCell ref="F183:G188"/>
    <mergeCell ref="F182:G182"/>
    <mergeCell ref="M154:N161"/>
    <mergeCell ref="B155:K156"/>
    <mergeCell ref="J199:J201"/>
    <mergeCell ref="L167:L168"/>
    <mergeCell ref="M167:M168"/>
    <mergeCell ref="B157:K158"/>
    <mergeCell ref="B159:K161"/>
    <mergeCell ref="B162:K163"/>
    <mergeCell ref="E165:M165"/>
    <mergeCell ref="E166:M166"/>
    <mergeCell ref="G167:G168"/>
    <mergeCell ref="H167:H168"/>
    <mergeCell ref="I167:I168"/>
    <mergeCell ref="N364:N367"/>
    <mergeCell ref="K372:M372"/>
    <mergeCell ref="E407:H407"/>
    <mergeCell ref="I417:J421"/>
    <mergeCell ref="K407:N407"/>
    <mergeCell ref="B500:M501"/>
    <mergeCell ref="B508:M510"/>
    <mergeCell ref="B565:M566"/>
    <mergeCell ref="B517:M521"/>
    <mergeCell ref="J396:J397"/>
    <mergeCell ref="F483:F484"/>
    <mergeCell ref="D440:H444"/>
    <mergeCell ref="B595:J597"/>
    <mergeCell ref="B503:M506"/>
    <mergeCell ref="B512:M515"/>
    <mergeCell ref="B469:M471"/>
    <mergeCell ref="B472:M473"/>
    <mergeCell ref="C494:D495"/>
    <mergeCell ref="G494:G495"/>
    <mergeCell ref="H494:L495"/>
    <mergeCell ref="H489:L491"/>
    <mergeCell ref="B5:M7"/>
    <mergeCell ref="I361:I363"/>
    <mergeCell ref="B82:K84"/>
    <mergeCell ref="I364:I367"/>
    <mergeCell ref="K103:K104"/>
    <mergeCell ref="B103:J104"/>
    <mergeCell ref="G334:I334"/>
    <mergeCell ref="L212:N214"/>
    <mergeCell ref="B70:K71"/>
    <mergeCell ref="B86:J87"/>
    <mergeCell ref="B98:J99"/>
    <mergeCell ref="K98:K99"/>
    <mergeCell ref="N361:N363"/>
    <mergeCell ref="L362:L363"/>
    <mergeCell ref="N78:N80"/>
    <mergeCell ref="K322:M322"/>
    <mergeCell ref="N111:N114"/>
    <mergeCell ref="K344:M344"/>
    <mergeCell ref="K226:L226"/>
    <mergeCell ref="M226:N226"/>
    <mergeCell ref="I273:K275"/>
    <mergeCell ref="G344:I344"/>
    <mergeCell ref="F167:F168"/>
    <mergeCell ref="M362:M363"/>
  </mergeCells>
  <phoneticPr fontId="6" type="noConversion"/>
  <pageMargins left="0.1" right="0.1" top="0.5" bottom="0.5" header="0.5" footer="0.5"/>
  <pageSetup orientation="landscape" verticalDpi="1200" r:id="rId3"/>
  <headerFooter alignWithMargins="0"/>
</worksheet>
</file>

<file path=xl/worksheets/sheet20.xml><?xml version="1.0" encoding="utf-8"?>
<worksheet xmlns="http://schemas.openxmlformats.org/spreadsheetml/2006/main" xmlns:r="http://schemas.openxmlformats.org/officeDocument/2006/relationships">
  <sheetPr codeName="Sheet48"/>
  <dimension ref="B1:Z405"/>
  <sheetViews>
    <sheetView zoomScaleNormal="100" workbookViewId="0"/>
  </sheetViews>
  <sheetFormatPr defaultRowHeight="15" customHeight="1"/>
  <cols>
    <col min="1" max="1" width="2.625" customWidth="1"/>
    <col min="2" max="7" width="10.75" customWidth="1"/>
    <col min="8" max="10" width="13.75" customWidth="1"/>
    <col min="11" max="11" width="11.75" customWidth="1"/>
    <col min="12" max="12" width="13.75" customWidth="1"/>
    <col min="13" max="13" width="11.75" customWidth="1"/>
    <col min="15" max="15" width="1.875" customWidth="1"/>
  </cols>
  <sheetData>
    <row r="1" spans="2:15" ht="15" customHeight="1">
      <c r="B1" s="115" t="s">
        <v>1932</v>
      </c>
      <c r="I1" s="181">
        <f>'Title Page'!K1</f>
        <v>40914</v>
      </c>
      <c r="O1" s="621">
        <f>ROW()</f>
        <v>1</v>
      </c>
    </row>
    <row r="2" spans="2:15" ht="15" customHeight="1">
      <c r="O2" s="621">
        <f>ROW()</f>
        <v>2</v>
      </c>
    </row>
    <row r="3" spans="2:15" ht="15" customHeight="1">
      <c r="O3" s="621">
        <f>ROW()</f>
        <v>3</v>
      </c>
    </row>
    <row r="4" spans="2:15" ht="15" customHeight="1">
      <c r="B4" s="3787" t="s">
        <v>4386</v>
      </c>
      <c r="C4" s="3779"/>
      <c r="D4" s="3779"/>
      <c r="E4" s="3779"/>
      <c r="F4" s="3779"/>
      <c r="G4" s="3779"/>
      <c r="H4" s="3779"/>
      <c r="I4" s="3779"/>
      <c r="K4" s="4709" t="s">
        <v>3009</v>
      </c>
      <c r="L4" s="4710"/>
      <c r="M4" s="4711"/>
      <c r="O4" s="621">
        <f>ROW()</f>
        <v>4</v>
      </c>
    </row>
    <row r="5" spans="2:15" ht="15" customHeight="1">
      <c r="B5" s="3779"/>
      <c r="C5" s="3779"/>
      <c r="D5" s="3779"/>
      <c r="E5" s="3779"/>
      <c r="F5" s="3779"/>
      <c r="G5" s="3779"/>
      <c r="H5" s="3779"/>
      <c r="I5" s="3779"/>
      <c r="K5" s="4712"/>
      <c r="L5" s="4713"/>
      <c r="M5" s="4714"/>
      <c r="O5" s="621">
        <f>ROW()</f>
        <v>5</v>
      </c>
    </row>
    <row r="6" spans="2:15" s="3291" customFormat="1" ht="15" customHeight="1">
      <c r="B6" s="3288"/>
      <c r="C6" s="3288"/>
      <c r="D6" s="3288"/>
      <c r="E6" s="3288"/>
      <c r="F6" s="3288"/>
      <c r="G6" s="3288"/>
      <c r="H6" s="3288"/>
      <c r="I6" s="3288"/>
      <c r="K6" s="4712"/>
      <c r="L6" s="4713"/>
      <c r="M6" s="4714"/>
      <c r="O6" s="621">
        <f>ROW()</f>
        <v>6</v>
      </c>
    </row>
    <row r="7" spans="2:15" s="3291" customFormat="1" ht="15" customHeight="1">
      <c r="B7" s="3794" t="s">
        <v>5793</v>
      </c>
      <c r="C7" s="3796"/>
      <c r="D7" s="3796"/>
      <c r="E7" s="3796"/>
      <c r="F7" s="3796"/>
      <c r="G7" s="3796"/>
      <c r="H7" s="3796"/>
      <c r="I7" s="3796"/>
      <c r="K7" s="4712"/>
      <c r="L7" s="4713"/>
      <c r="M7" s="4714"/>
      <c r="O7" s="621">
        <f>ROW()</f>
        <v>7</v>
      </c>
    </row>
    <row r="8" spans="2:15" s="3291" customFormat="1" ht="15" customHeight="1">
      <c r="B8" s="3796"/>
      <c r="C8" s="3796"/>
      <c r="D8" s="3796"/>
      <c r="E8" s="3796"/>
      <c r="F8" s="3796"/>
      <c r="G8" s="3796"/>
      <c r="H8" s="3796"/>
      <c r="I8" s="3796"/>
      <c r="K8" s="4712"/>
      <c r="L8" s="4713"/>
      <c r="M8" s="4714"/>
      <c r="O8" s="621">
        <f>ROW()</f>
        <v>8</v>
      </c>
    </row>
    <row r="9" spans="2:15" s="3291" customFormat="1" ht="15" customHeight="1">
      <c r="B9" s="3796"/>
      <c r="C9" s="3796"/>
      <c r="D9" s="3796"/>
      <c r="E9" s="3796"/>
      <c r="F9" s="3796"/>
      <c r="G9" s="3796"/>
      <c r="H9" s="3796"/>
      <c r="I9" s="3796"/>
      <c r="K9" s="4715"/>
      <c r="L9" s="4716"/>
      <c r="M9" s="4717"/>
      <c r="O9" s="621">
        <f>ROW()</f>
        <v>9</v>
      </c>
    </row>
    <row r="10" spans="2:15" ht="15" customHeight="1">
      <c r="O10" s="621">
        <f>ROW()</f>
        <v>10</v>
      </c>
    </row>
    <row r="11" spans="2:15" ht="15" customHeight="1">
      <c r="B11" s="24" t="s">
        <v>4387</v>
      </c>
      <c r="O11" s="621">
        <f>ROW()</f>
        <v>11</v>
      </c>
    </row>
    <row r="12" spans="2:15" ht="15" customHeight="1">
      <c r="O12" s="621">
        <f>ROW()</f>
        <v>12</v>
      </c>
    </row>
    <row r="13" spans="2:15" ht="15" customHeight="1">
      <c r="B13" s="3794" t="s">
        <v>4422</v>
      </c>
      <c r="C13" s="3796"/>
      <c r="D13" s="3796"/>
      <c r="E13" s="3796"/>
      <c r="F13" s="3796"/>
      <c r="G13" s="3796"/>
      <c r="H13" s="3796"/>
      <c r="I13" s="3796"/>
      <c r="O13" s="621">
        <f>ROW()</f>
        <v>13</v>
      </c>
    </row>
    <row r="14" spans="2:15" ht="15" customHeight="1">
      <c r="B14" s="3796"/>
      <c r="C14" s="3796"/>
      <c r="D14" s="3796"/>
      <c r="E14" s="3796"/>
      <c r="F14" s="3796"/>
      <c r="G14" s="3796"/>
      <c r="H14" s="3796"/>
      <c r="I14" s="3796"/>
      <c r="O14" s="621">
        <f>ROW()</f>
        <v>14</v>
      </c>
    </row>
    <row r="15" spans="2:15" ht="15" customHeight="1">
      <c r="B15" s="3796"/>
      <c r="C15" s="3796"/>
      <c r="D15" s="3796"/>
      <c r="E15" s="3796"/>
      <c r="F15" s="3796"/>
      <c r="G15" s="3796"/>
      <c r="H15" s="3796"/>
      <c r="I15" s="3796"/>
      <c r="O15" s="621">
        <f>ROW()</f>
        <v>15</v>
      </c>
    </row>
    <row r="16" spans="2:15" ht="15" customHeight="1">
      <c r="B16" s="2461"/>
      <c r="C16" s="2461"/>
      <c r="D16" s="2461"/>
      <c r="E16" s="2461"/>
      <c r="F16" s="2461"/>
      <c r="G16" s="2461"/>
      <c r="H16" s="2461"/>
      <c r="I16" s="2461"/>
      <c r="O16" s="621">
        <f>ROW()</f>
        <v>16</v>
      </c>
    </row>
    <row r="17" spans="2:26" ht="15" customHeight="1">
      <c r="E17" s="4232" t="s">
        <v>5526</v>
      </c>
      <c r="F17" s="3807"/>
      <c r="G17" s="3807"/>
      <c r="O17" s="621">
        <f>ROW()</f>
        <v>17</v>
      </c>
      <c r="R17" s="3784" t="s">
        <v>966</v>
      </c>
      <c r="S17" s="3784"/>
      <c r="T17" s="3784"/>
      <c r="U17" s="3784"/>
      <c r="V17" s="3784" t="s">
        <v>967</v>
      </c>
      <c r="W17" s="3784"/>
      <c r="X17" s="3784"/>
      <c r="Y17" s="3784"/>
      <c r="Z17" s="3784"/>
    </row>
    <row r="18" spans="2:26" ht="15" customHeight="1">
      <c r="C18" s="1816"/>
      <c r="D18" s="1816"/>
      <c r="E18" s="3807"/>
      <c r="F18" s="3807"/>
      <c r="G18" s="3807"/>
      <c r="H18" s="1892" t="s">
        <v>966</v>
      </c>
      <c r="I18" s="1892" t="s">
        <v>967</v>
      </c>
      <c r="O18" s="621">
        <f>ROW()</f>
        <v>18</v>
      </c>
      <c r="R18" s="2462" t="s">
        <v>4416</v>
      </c>
      <c r="S18" s="2462" t="s">
        <v>4420</v>
      </c>
      <c r="T18" s="2462" t="s">
        <v>4421</v>
      </c>
      <c r="U18" s="2462" t="s">
        <v>4417</v>
      </c>
      <c r="V18" s="2462" t="s">
        <v>1436</v>
      </c>
      <c r="W18" s="2462" t="s">
        <v>4416</v>
      </c>
      <c r="X18" s="2462" t="s">
        <v>4420</v>
      </c>
      <c r="Y18" s="2462" t="s">
        <v>4421</v>
      </c>
      <c r="Z18" s="2462" t="s">
        <v>4417</v>
      </c>
    </row>
    <row r="19" spans="2:26" ht="15" customHeight="1">
      <c r="B19" s="4746" t="s">
        <v>4423</v>
      </c>
      <c r="C19" s="4747"/>
      <c r="D19" s="4747"/>
      <c r="E19" s="4747"/>
      <c r="G19" s="1816" t="s">
        <v>4418</v>
      </c>
      <c r="H19" s="22">
        <f>SUM(R19:T19)</f>
        <v>0.49171094090413736</v>
      </c>
      <c r="I19" s="22">
        <f>SUM(V19:Y19)</f>
        <v>0.53068744930308587</v>
      </c>
      <c r="J19" s="265" t="s">
        <v>4453</v>
      </c>
      <c r="O19" s="621">
        <f>ROW()</f>
        <v>19</v>
      </c>
      <c r="Q19" s="1816" t="s">
        <v>4418</v>
      </c>
      <c r="R19" s="2482">
        <v>2.8665007525330931E-2</v>
      </c>
      <c r="S19" s="2482">
        <v>0.37827499055372665</v>
      </c>
      <c r="T19" s="2482">
        <v>8.477094282507977E-2</v>
      </c>
      <c r="U19" s="2482">
        <v>0.50828905909586286</v>
      </c>
      <c r="V19" s="2482">
        <v>0.12795116688624636</v>
      </c>
      <c r="W19" s="2482">
        <v>7.0498567931296784E-4</v>
      </c>
      <c r="X19" s="2482">
        <v>0.33057299649401423</v>
      </c>
      <c r="Y19" s="2482">
        <v>7.1458300243512282E-2</v>
      </c>
      <c r="Z19" s="2482">
        <v>0.46931255069691424</v>
      </c>
    </row>
    <row r="20" spans="2:26" ht="15" customHeight="1">
      <c r="B20" s="4747"/>
      <c r="C20" s="4747"/>
      <c r="D20" s="4747"/>
      <c r="E20" s="4747"/>
      <c r="G20" s="1816" t="s">
        <v>4419</v>
      </c>
      <c r="H20" s="22">
        <f>SUM(R20:T20)</f>
        <v>0.48187249521940934</v>
      </c>
      <c r="I20" s="22">
        <f>SUM(V20:Y20)</f>
        <v>0.51489585928002524</v>
      </c>
      <c r="O20" s="621">
        <f>ROW()</f>
        <v>20</v>
      </c>
      <c r="Q20" s="1816" t="s">
        <v>4419</v>
      </c>
      <c r="R20" s="2482">
        <v>2.4024874747677599E-2</v>
      </c>
      <c r="S20" s="2482">
        <v>0.37286438259816201</v>
      </c>
      <c r="T20" s="2482">
        <v>8.4983237873569706E-2</v>
      </c>
      <c r="U20" s="2482">
        <v>0.518127504780591</v>
      </c>
      <c r="V20" s="2482">
        <v>0.11764481718818801</v>
      </c>
      <c r="W20" s="2482">
        <v>6.4292986937395996E-4</v>
      </c>
      <c r="X20" s="2482">
        <v>0.325408084587891</v>
      </c>
      <c r="Y20" s="2482">
        <v>7.1200027634572297E-2</v>
      </c>
      <c r="Z20" s="2482">
        <v>0.48510414071997499</v>
      </c>
    </row>
    <row r="21" spans="2:26" ht="15" customHeight="1">
      <c r="G21" s="131"/>
      <c r="H21" s="22"/>
      <c r="I21" s="22"/>
      <c r="O21" s="621">
        <f>ROW()</f>
        <v>21</v>
      </c>
      <c r="Q21" s="3754" t="s">
        <v>4388</v>
      </c>
      <c r="R21" s="3659"/>
      <c r="S21" s="3659"/>
      <c r="T21" s="3659"/>
      <c r="U21" s="3659"/>
      <c r="V21" s="3659"/>
      <c r="W21" s="3659"/>
      <c r="X21" s="3659"/>
    </row>
    <row r="22" spans="2:26" ht="15" customHeight="1">
      <c r="E22" s="4232" t="s">
        <v>4424</v>
      </c>
      <c r="F22" s="3807"/>
      <c r="G22" s="3807"/>
      <c r="O22" s="621">
        <f>ROW()</f>
        <v>22</v>
      </c>
      <c r="Q22" s="3659"/>
      <c r="R22" s="3659"/>
      <c r="S22" s="3659"/>
      <c r="T22" s="3659"/>
      <c r="U22" s="3659"/>
      <c r="V22" s="3659"/>
      <c r="W22" s="3659"/>
      <c r="X22" s="3659"/>
    </row>
    <row r="23" spans="2:26" ht="15" customHeight="1">
      <c r="C23" s="1816"/>
      <c r="D23" s="1816"/>
      <c r="E23" s="3807"/>
      <c r="F23" s="3807"/>
      <c r="G23" s="3807"/>
      <c r="H23" s="1892" t="s">
        <v>966</v>
      </c>
      <c r="I23" s="1892" t="s">
        <v>967</v>
      </c>
      <c r="M23" s="1892"/>
      <c r="O23" s="621">
        <f>ROW()</f>
        <v>23</v>
      </c>
    </row>
    <row r="24" spans="2:26" ht="15" customHeight="1">
      <c r="C24" s="265"/>
      <c r="D24" s="265"/>
      <c r="E24" s="1580" t="str">
        <f>CONCATENATE("See Note in Rows ",O19, "-",O20, ".")</f>
        <v>See Note in Rows 19-20.</v>
      </c>
      <c r="G24" s="1816" t="s">
        <v>4418</v>
      </c>
      <c r="H24" s="22">
        <f>R19+T19</f>
        <v>0.11343595035041071</v>
      </c>
      <c r="I24" s="22">
        <f>V19+W19+Y19</f>
        <v>0.20011445280907159</v>
      </c>
      <c r="J24" s="265" t="s">
        <v>4453</v>
      </c>
      <c r="O24" s="621">
        <f>ROW()</f>
        <v>24</v>
      </c>
      <c r="Q24" s="2" t="s">
        <v>5057</v>
      </c>
    </row>
    <row r="25" spans="2:26" ht="15" customHeight="1">
      <c r="B25" s="265"/>
      <c r="C25" s="265"/>
      <c r="D25" s="265"/>
      <c r="E25" s="265"/>
      <c r="G25" s="1816" t="s">
        <v>4419</v>
      </c>
      <c r="H25" s="22">
        <f>R20+T20</f>
        <v>0.10900811262124731</v>
      </c>
      <c r="I25" s="22">
        <f>V20+W20+Y20</f>
        <v>0.18948777469213426</v>
      </c>
      <c r="O25" s="621">
        <f>ROW()</f>
        <v>25</v>
      </c>
      <c r="R25" s="3784" t="s">
        <v>966</v>
      </c>
      <c r="S25" s="3784"/>
      <c r="T25" s="3784"/>
      <c r="U25" s="3784"/>
      <c r="V25" s="3784" t="s">
        <v>967</v>
      </c>
      <c r="W25" s="3784"/>
      <c r="X25" s="3784"/>
      <c r="Y25" s="3784"/>
      <c r="Z25" s="3784"/>
    </row>
    <row r="26" spans="2:26" ht="15" customHeight="1">
      <c r="G26" s="131"/>
      <c r="H26" s="22"/>
      <c r="I26" s="22"/>
      <c r="O26" s="621">
        <f>ROW()</f>
        <v>26</v>
      </c>
      <c r="R26" s="2955" t="s">
        <v>5058</v>
      </c>
      <c r="S26" s="2955" t="s">
        <v>5059</v>
      </c>
      <c r="T26" s="2955" t="s">
        <v>5060</v>
      </c>
      <c r="U26" s="2955" t="s">
        <v>5061</v>
      </c>
      <c r="W26" s="2955" t="s">
        <v>5058</v>
      </c>
      <c r="X26" s="2955" t="s">
        <v>5059</v>
      </c>
      <c r="Y26" s="2955" t="s">
        <v>5060</v>
      </c>
      <c r="Z26" s="2955" t="s">
        <v>5061</v>
      </c>
    </row>
    <row r="27" spans="2:26" ht="15" customHeight="1">
      <c r="B27" s="3787" t="s">
        <v>5700</v>
      </c>
      <c r="C27" s="3779"/>
      <c r="D27" s="3779"/>
      <c r="E27" s="3779"/>
      <c r="F27" s="3779"/>
      <c r="G27" s="3779"/>
      <c r="H27" s="2459"/>
      <c r="I27" s="2459"/>
      <c r="O27" s="621">
        <f>ROW()</f>
        <v>27</v>
      </c>
      <c r="Q27" s="1816" t="s">
        <v>4418</v>
      </c>
      <c r="R27" s="2482">
        <v>0.13500000000000001</v>
      </c>
      <c r="S27" s="2482">
        <v>0.34399999999999997</v>
      </c>
      <c r="T27" s="2482">
        <f>R27/($R27+$S27)</f>
        <v>0.28183716075156579</v>
      </c>
      <c r="U27" s="2482">
        <f>S27/($R27+$S27)</f>
        <v>0.71816283924843416</v>
      </c>
      <c r="V27" s="2482"/>
      <c r="W27" s="2482">
        <v>0.14699999999999999</v>
      </c>
      <c r="X27" s="2482">
        <v>0.32100000000000001</v>
      </c>
      <c r="Y27" s="2482">
        <f>W27/($W27+$X27)</f>
        <v>0.3141025641025641</v>
      </c>
      <c r="Z27" s="2482">
        <f>X27/($W27+$X27)</f>
        <v>0.6858974358974359</v>
      </c>
    </row>
    <row r="28" spans="2:26" ht="15" customHeight="1">
      <c r="B28" s="3779"/>
      <c r="C28" s="3779"/>
      <c r="D28" s="3779"/>
      <c r="E28" s="3779"/>
      <c r="F28" s="3779"/>
      <c r="G28" s="3779"/>
      <c r="H28" s="23">
        <v>0</v>
      </c>
      <c r="I28" s="23">
        <v>0</v>
      </c>
      <c r="O28" s="621">
        <f>ROW()</f>
        <v>28</v>
      </c>
      <c r="Q28" s="1816" t="s">
        <v>4419</v>
      </c>
      <c r="R28" s="2482">
        <v>0.13400000000000001</v>
      </c>
      <c r="S28" s="2482">
        <v>0.35499999999999998</v>
      </c>
      <c r="T28" s="2482">
        <f>R28/($R28+$S28)</f>
        <v>0.27402862985685073</v>
      </c>
      <c r="U28" s="2482">
        <f>S28/($R28+$S28)</f>
        <v>0.72597137014314927</v>
      </c>
      <c r="V28" s="2482"/>
      <c r="W28" s="2482">
        <v>0.14599999999999999</v>
      </c>
      <c r="X28" s="2482">
        <v>0.33400000000000002</v>
      </c>
      <c r="Y28" s="2482">
        <f>W28/($W28+$X28)</f>
        <v>0.30416666666666664</v>
      </c>
      <c r="Z28" s="2482">
        <f>X28/($W28+$X28)</f>
        <v>0.69583333333333341</v>
      </c>
    </row>
    <row r="29" spans="2:26" ht="15" customHeight="1">
      <c r="B29" s="3754" t="s">
        <v>4542</v>
      </c>
      <c r="C29" s="3659"/>
      <c r="D29" s="3659"/>
      <c r="E29" s="3659"/>
      <c r="F29" s="3659"/>
      <c r="G29" s="3659"/>
      <c r="H29" s="3659"/>
      <c r="I29" s="3659"/>
      <c r="O29" s="621">
        <f>ROW()</f>
        <v>29</v>
      </c>
      <c r="Q29" s="3754" t="s">
        <v>5062</v>
      </c>
      <c r="R29" s="3659"/>
      <c r="S29" s="3659"/>
      <c r="T29" s="3659"/>
      <c r="U29" s="3659"/>
      <c r="V29" s="3659"/>
      <c r="W29" s="3659"/>
      <c r="X29" s="3659"/>
    </row>
    <row r="30" spans="2:26" ht="15" customHeight="1">
      <c r="B30" s="3659"/>
      <c r="C30" s="3659"/>
      <c r="D30" s="3659"/>
      <c r="E30" s="3659"/>
      <c r="F30" s="3659"/>
      <c r="G30" s="3659"/>
      <c r="H30" s="3659"/>
      <c r="I30" s="3659"/>
      <c r="O30" s="621">
        <f>ROW()</f>
        <v>30</v>
      </c>
      <c r="Q30" s="3659"/>
      <c r="R30" s="3659"/>
      <c r="S30" s="3659"/>
      <c r="T30" s="3659"/>
      <c r="U30" s="3659"/>
      <c r="V30" s="3659"/>
      <c r="W30" s="3659"/>
      <c r="X30" s="3659"/>
    </row>
    <row r="31" spans="2:26" ht="15" customHeight="1">
      <c r="B31" s="3659"/>
      <c r="C31" s="3659"/>
      <c r="D31" s="3659"/>
      <c r="E31" s="3659"/>
      <c r="F31" s="3659"/>
      <c r="G31" s="3659"/>
      <c r="H31" s="3659"/>
      <c r="I31" s="3659"/>
      <c r="O31" s="621">
        <f>ROW()</f>
        <v>31</v>
      </c>
    </row>
    <row r="32" spans="2:26" ht="15" customHeight="1">
      <c r="B32" s="265" t="str">
        <f>CONCATENATE("Note that a more detailed treatment would parametrize the Row ",O28, " figures to discounts assumed in fare scenarios.")</f>
        <v>Note that a more detailed treatment would parametrize the Row 28 figures to discounts assumed in fare scenarios.</v>
      </c>
      <c r="C32" s="2459"/>
      <c r="D32" s="2459"/>
      <c r="E32" s="2459"/>
      <c r="F32" s="2459"/>
      <c r="G32" s="2459"/>
      <c r="H32" s="2459"/>
      <c r="I32" s="2459"/>
      <c r="O32" s="621">
        <f>ROW()</f>
        <v>32</v>
      </c>
      <c r="Q32" s="1658" t="s">
        <v>4563</v>
      </c>
    </row>
    <row r="33" spans="2:17" ht="15" customHeight="1">
      <c r="B33" s="2459"/>
      <c r="C33" s="2459"/>
      <c r="D33" s="2459"/>
      <c r="E33" s="2459"/>
      <c r="F33" s="2459"/>
      <c r="G33" s="2459"/>
      <c r="H33" s="2459"/>
      <c r="I33" s="2459"/>
      <c r="O33" s="621">
        <f>ROW()</f>
        <v>33</v>
      </c>
      <c r="Q33" s="2" t="s">
        <v>4564</v>
      </c>
    </row>
    <row r="34" spans="2:17" ht="15" customHeight="1">
      <c r="B34" s="2290" t="s">
        <v>4433</v>
      </c>
      <c r="C34" s="2459"/>
      <c r="D34" s="2459"/>
      <c r="E34" s="2459"/>
      <c r="F34" s="2459"/>
      <c r="G34" s="2459"/>
      <c r="H34" s="22">
        <f>H20+H28</f>
        <v>0.48187249521940934</v>
      </c>
      <c r="I34" s="22">
        <f>I20+I28</f>
        <v>0.51489585928002524</v>
      </c>
      <c r="O34" s="621">
        <f>ROW()</f>
        <v>34</v>
      </c>
      <c r="Q34" s="1" t="s">
        <v>4565</v>
      </c>
    </row>
    <row r="35" spans="2:17" ht="15" customHeight="1">
      <c r="B35" s="265" t="str">
        <f>CONCATENATE("Sum of Rows ",O20, " and ",O28, ".")</f>
        <v>Sum of Rows 20 and 28.</v>
      </c>
      <c r="C35" s="2459"/>
      <c r="D35" s="2459"/>
      <c r="E35" s="2459"/>
      <c r="F35" s="2459"/>
      <c r="G35" s="2459"/>
      <c r="H35" s="2459"/>
      <c r="I35" s="2459"/>
      <c r="O35" s="621">
        <f>ROW()</f>
        <v>35</v>
      </c>
      <c r="Q35" s="1792" t="s">
        <v>4576</v>
      </c>
    </row>
    <row r="36" spans="2:17" ht="15" customHeight="1">
      <c r="O36" s="621">
        <f>ROW()</f>
        <v>36</v>
      </c>
      <c r="Q36" s="1792" t="s">
        <v>4577</v>
      </c>
    </row>
    <row r="37" spans="2:17" ht="15" customHeight="1">
      <c r="B37" s="2459"/>
      <c r="C37" s="2459"/>
      <c r="D37" s="2459"/>
      <c r="E37" s="2459"/>
      <c r="F37" s="2459"/>
      <c r="G37" s="2459"/>
      <c r="H37" s="2459"/>
      <c r="I37" s="2459"/>
      <c r="O37" s="621">
        <f>ROW()</f>
        <v>37</v>
      </c>
      <c r="Q37" s="1" t="s">
        <v>4566</v>
      </c>
    </row>
    <row r="38" spans="2:17" ht="15" customHeight="1">
      <c r="B38" s="24" t="s">
        <v>5048</v>
      </c>
      <c r="G38" s="1"/>
      <c r="H38" s="1892" t="s">
        <v>966</v>
      </c>
      <c r="I38" s="1892" t="s">
        <v>967</v>
      </c>
      <c r="O38" s="621">
        <f>ROW()</f>
        <v>38</v>
      </c>
      <c r="Q38" s="1" t="s">
        <v>4567</v>
      </c>
    </row>
    <row r="39" spans="2:17" ht="15" customHeight="1">
      <c r="O39" s="621">
        <f>ROW()</f>
        <v>39</v>
      </c>
      <c r="Q39" s="1" t="s">
        <v>4568</v>
      </c>
    </row>
    <row r="40" spans="2:17" ht="15" customHeight="1">
      <c r="B40" s="1" t="s">
        <v>4431</v>
      </c>
      <c r="H40" s="2483">
        <v>2.25</v>
      </c>
      <c r="I40" s="2483">
        <v>2.25</v>
      </c>
      <c r="O40" s="621">
        <f>ROW()</f>
        <v>40</v>
      </c>
      <c r="Q40" s="1" t="s">
        <v>4569</v>
      </c>
    </row>
    <row r="41" spans="2:17" ht="15" customHeight="1">
      <c r="O41" s="621">
        <f>ROW()</f>
        <v>41</v>
      </c>
      <c r="Q41" s="1" t="s">
        <v>4570</v>
      </c>
    </row>
    <row r="42" spans="2:17" ht="15" customHeight="1">
      <c r="B42" s="1" t="s">
        <v>4425</v>
      </c>
      <c r="H42" s="23">
        <v>7.0000000000000007E-2</v>
      </c>
      <c r="I42" s="23">
        <v>7.0000000000000007E-2</v>
      </c>
      <c r="K42" s="1" t="s">
        <v>5164</v>
      </c>
      <c r="O42" s="621">
        <f>ROW()</f>
        <v>42</v>
      </c>
      <c r="Q42" s="1" t="s">
        <v>4571</v>
      </c>
    </row>
    <row r="43" spans="2:17" ht="15" customHeight="1">
      <c r="B43" s="265" t="s">
        <v>4428</v>
      </c>
      <c r="H43" s="23"/>
      <c r="I43" s="23"/>
      <c r="O43" s="621">
        <f>ROW()</f>
        <v>43</v>
      </c>
      <c r="Q43" s="1" t="s">
        <v>4572</v>
      </c>
    </row>
    <row r="44" spans="2:17" ht="15" customHeight="1">
      <c r="B44" s="1"/>
      <c r="H44" s="23"/>
      <c r="I44" s="23"/>
      <c r="O44" s="621">
        <f>ROW()</f>
        <v>44</v>
      </c>
      <c r="Q44" s="1" t="s">
        <v>4573</v>
      </c>
    </row>
    <row r="45" spans="2:17" ht="15" customHeight="1">
      <c r="B45" s="1" t="s">
        <v>5165</v>
      </c>
      <c r="H45" s="23">
        <v>0.15</v>
      </c>
      <c r="I45" s="23">
        <v>0.15</v>
      </c>
      <c r="O45" s="621">
        <f>ROW()</f>
        <v>45</v>
      </c>
      <c r="Q45" s="1" t="s">
        <v>4574</v>
      </c>
    </row>
    <row r="46" spans="2:17" ht="15" customHeight="1">
      <c r="B46" s="265" t="s">
        <v>5166</v>
      </c>
      <c r="H46" s="23"/>
      <c r="I46" s="23"/>
      <c r="O46" s="621">
        <f>ROW()</f>
        <v>46</v>
      </c>
      <c r="Q46" s="1" t="s">
        <v>4575</v>
      </c>
    </row>
    <row r="47" spans="2:17" ht="15" customHeight="1">
      <c r="B47" s="1"/>
      <c r="H47" s="23"/>
      <c r="I47" s="23"/>
      <c r="O47" s="621">
        <f>ROW()</f>
        <v>47</v>
      </c>
      <c r="Q47" s="1"/>
    </row>
    <row r="48" spans="2:17" ht="15" customHeight="1">
      <c r="E48" s="4232" t="s">
        <v>4426</v>
      </c>
      <c r="F48" s="3807"/>
      <c r="G48" s="3807"/>
      <c r="O48" s="621">
        <f>ROW()</f>
        <v>48</v>
      </c>
    </row>
    <row r="49" spans="2:15" ht="15" customHeight="1">
      <c r="E49" s="3807"/>
      <c r="F49" s="3807"/>
      <c r="G49" s="3807"/>
      <c r="O49" s="621">
        <f>ROW()</f>
        <v>49</v>
      </c>
    </row>
    <row r="50" spans="2:15" ht="15" customHeight="1">
      <c r="E50" s="1580" t="str">
        <f>CONCATENATE("See Note in Rows ",O19, "-",O20, ".")</f>
        <v>See Note in Rows 19-20.</v>
      </c>
      <c r="G50" s="1816" t="s">
        <v>4418</v>
      </c>
      <c r="H50" s="22">
        <f>S19/H19</f>
        <v>0.76930358689633904</v>
      </c>
      <c r="I50" s="22">
        <f>X19/I19</f>
        <v>0.6229146683761454</v>
      </c>
      <c r="J50" s="265" t="s">
        <v>4453</v>
      </c>
      <c r="O50" s="621">
        <f>ROW()</f>
        <v>50</v>
      </c>
    </row>
    <row r="51" spans="2:15" ht="15" customHeight="1">
      <c r="G51" s="1816" t="s">
        <v>4419</v>
      </c>
      <c r="H51" s="22">
        <f>S20/H20</f>
        <v>0.77378224799567974</v>
      </c>
      <c r="I51" s="22">
        <f>X20/I20</f>
        <v>0.63198815590186819</v>
      </c>
      <c r="O51" s="621">
        <f>ROW()</f>
        <v>51</v>
      </c>
    </row>
    <row r="52" spans="2:15" ht="15" customHeight="1">
      <c r="O52" s="621">
        <f>ROW()</f>
        <v>52</v>
      </c>
    </row>
    <row r="53" spans="2:15" ht="15" customHeight="1">
      <c r="B53" s="1" t="s">
        <v>4429</v>
      </c>
      <c r="H53" s="22">
        <f>H51*H42</f>
        <v>5.4164757359697585E-2</v>
      </c>
      <c r="I53" s="22">
        <f>I51*I42</f>
        <v>4.4239170913130781E-2</v>
      </c>
      <c r="O53" s="621">
        <f>ROW()</f>
        <v>53</v>
      </c>
    </row>
    <row r="54" spans="2:15" ht="15" customHeight="1">
      <c r="B54" s="265" t="str">
        <f>CONCATENATE("Product of Rows ",O42, " and ",O51, ".")</f>
        <v>Product of Rows 42 and 51.</v>
      </c>
      <c r="O54" s="621">
        <f>ROW()</f>
        <v>54</v>
      </c>
    </row>
    <row r="55" spans="2:15" ht="15" customHeight="1">
      <c r="B55" s="1" t="s">
        <v>4430</v>
      </c>
      <c r="G55" s="1816" t="s">
        <v>4419</v>
      </c>
      <c r="H55" s="22">
        <f>H$53*H20</f>
        <v>2.6100506781871341E-2</v>
      </c>
      <c r="I55" s="22">
        <f>I$53*I20</f>
        <v>2.277856592115237E-2</v>
      </c>
      <c r="O55" s="621">
        <f>ROW()</f>
        <v>55</v>
      </c>
    </row>
    <row r="56" spans="2:15" ht="15" customHeight="1">
      <c r="B56" s="265" t="str">
        <f>CONCATENATE("Product of Rows ",O53, " and either ",O20, " or ",O34, ".")</f>
        <v>Product of Rows 53 and either 20 or 34.</v>
      </c>
      <c r="G56" s="1816" t="s">
        <v>4432</v>
      </c>
      <c r="H56" s="22">
        <f>H$53*H34</f>
        <v>2.6100506781871341E-2</v>
      </c>
      <c r="I56" s="22">
        <f>I$53*I34</f>
        <v>2.277856592115237E-2</v>
      </c>
      <c r="O56" s="621">
        <f>ROW()</f>
        <v>56</v>
      </c>
    </row>
    <row r="57" spans="2:15" ht="15" customHeight="1">
      <c r="O57" s="621">
        <f>ROW()</f>
        <v>57</v>
      </c>
    </row>
    <row r="58" spans="2:15" ht="15" customHeight="1">
      <c r="F58" s="4591" t="s">
        <v>5055</v>
      </c>
      <c r="G58" s="4591"/>
      <c r="H58" s="4591" t="s">
        <v>5056</v>
      </c>
      <c r="I58" s="4591"/>
      <c r="J58" s="4591" t="s">
        <v>5065</v>
      </c>
      <c r="K58" s="4591"/>
      <c r="L58" s="4591" t="s">
        <v>5066</v>
      </c>
      <c r="M58" s="4591"/>
      <c r="O58" s="621">
        <f>ROW()</f>
        <v>58</v>
      </c>
    </row>
    <row r="59" spans="2:15" ht="15" customHeight="1">
      <c r="B59" s="24" t="s">
        <v>5049</v>
      </c>
      <c r="F59" s="1892" t="s">
        <v>966</v>
      </c>
      <c r="G59" s="1892" t="s">
        <v>967</v>
      </c>
      <c r="H59" s="1892" t="s">
        <v>966</v>
      </c>
      <c r="I59" s="1892" t="s">
        <v>967</v>
      </c>
      <c r="J59" s="1892" t="s">
        <v>966</v>
      </c>
      <c r="K59" s="1892" t="s">
        <v>967</v>
      </c>
      <c r="L59" s="1892" t="s">
        <v>966</v>
      </c>
      <c r="M59" s="1892" t="s">
        <v>967</v>
      </c>
      <c r="N59" s="1892"/>
      <c r="O59" s="621">
        <f>ROW()</f>
        <v>59</v>
      </c>
    </row>
    <row r="60" spans="2:15" ht="15" customHeight="1">
      <c r="O60" s="621">
        <f>ROW()</f>
        <v>60</v>
      </c>
    </row>
    <row r="61" spans="2:15" ht="15" customHeight="1">
      <c r="B61" s="1" t="s">
        <v>5063</v>
      </c>
      <c r="F61" s="2483">
        <v>104</v>
      </c>
      <c r="G61" s="2483">
        <v>104</v>
      </c>
      <c r="H61" s="2483">
        <v>89</v>
      </c>
      <c r="I61" s="2483">
        <v>89</v>
      </c>
      <c r="J61" s="1177">
        <f>F61/H61</f>
        <v>1.1685393258426966</v>
      </c>
      <c r="K61" s="1177">
        <f>G61/I61</f>
        <v>1.1685393258426966</v>
      </c>
      <c r="L61" s="1177">
        <f t="shared" ref="L61:M63" si="0">1/J61</f>
        <v>0.85576923076923084</v>
      </c>
      <c r="M61" s="1177">
        <f t="shared" si="0"/>
        <v>0.85576923076923084</v>
      </c>
      <c r="O61" s="621">
        <f>ROW()</f>
        <v>61</v>
      </c>
    </row>
    <row r="62" spans="2:15" ht="15" customHeight="1">
      <c r="B62" s="1" t="s">
        <v>5050</v>
      </c>
      <c r="F62" s="2483">
        <v>29</v>
      </c>
      <c r="G62" s="2483">
        <v>29</v>
      </c>
      <c r="H62" s="2483">
        <v>27</v>
      </c>
      <c r="I62" s="2483">
        <v>27</v>
      </c>
      <c r="J62" s="1177">
        <f>F62/H62</f>
        <v>1.0740740740740742</v>
      </c>
      <c r="K62" s="1177">
        <f>G62/I62</f>
        <v>1.0740740740740742</v>
      </c>
      <c r="L62" s="1177">
        <f t="shared" si="0"/>
        <v>0.93103448275862055</v>
      </c>
      <c r="M62" s="1177">
        <f t="shared" si="0"/>
        <v>0.93103448275862055</v>
      </c>
      <c r="O62" s="621">
        <f>ROW()</f>
        <v>62</v>
      </c>
    </row>
    <row r="63" spans="2:15" ht="15" customHeight="1">
      <c r="B63" s="1" t="s">
        <v>5064</v>
      </c>
      <c r="J63" s="1177">
        <f>J61*U28+J62*T28</f>
        <v>1.1426531423314585</v>
      </c>
      <c r="K63" s="1177">
        <f>K61*Z28+K62*Y28</f>
        <v>1.1398061450964074</v>
      </c>
      <c r="L63" s="1177">
        <f t="shared" si="0"/>
        <v>0.87515621578706693</v>
      </c>
      <c r="M63" s="1177">
        <f t="shared" si="0"/>
        <v>0.87734217287924665</v>
      </c>
      <c r="O63" s="621">
        <f>ROW()</f>
        <v>63</v>
      </c>
    </row>
    <row r="64" spans="2:15" ht="15" customHeight="1">
      <c r="J64" s="4704">
        <f>1/L64</f>
        <v>1.1418296330310131</v>
      </c>
      <c r="K64" s="4704"/>
      <c r="L64" s="4704">
        <f>(L63*Subways!J18*U20+M63*Buses!J15*Z20)/(Subways!J18*U20+Buses!J15*Z20)</f>
        <v>0.87578739513483883</v>
      </c>
      <c r="M64" s="4704"/>
      <c r="O64" s="621">
        <f>ROW()</f>
        <v>64</v>
      </c>
    </row>
    <row r="65" spans="2:15" ht="15" customHeight="1">
      <c r="B65" s="3754" t="s">
        <v>5067</v>
      </c>
      <c r="C65" s="3659"/>
      <c r="D65" s="3659"/>
      <c r="E65" s="3659"/>
      <c r="F65" s="3659"/>
      <c r="G65" s="3659"/>
      <c r="H65" s="3659"/>
      <c r="I65" s="3659"/>
      <c r="O65" s="621">
        <f>ROW()</f>
        <v>65</v>
      </c>
    </row>
    <row r="66" spans="2:15" ht="15" customHeight="1">
      <c r="B66" s="3659"/>
      <c r="C66" s="3659"/>
      <c r="D66" s="3659"/>
      <c r="E66" s="3659"/>
      <c r="F66" s="3659"/>
      <c r="G66" s="3659"/>
      <c r="H66" s="3659"/>
      <c r="I66" s="3659"/>
      <c r="O66" s="621">
        <f>ROW()</f>
        <v>66</v>
      </c>
    </row>
    <row r="67" spans="2:15" ht="15" customHeight="1">
      <c r="B67" s="265" t="str">
        <f>CONCATENATE("Weighted averages of 30-day and 7-day fare changes in Row ",O63, " employ normalized shares of 30-day and 7-day MetroCards from Row ",O28, ".")</f>
        <v>Weighted averages of 30-day and 7-day fare changes in Row 63 employ normalized shares of 30-day and 7-day MetroCards from Row 28.</v>
      </c>
      <c r="O67" s="621">
        <f>ROW()</f>
        <v>67</v>
      </c>
    </row>
    <row r="68" spans="2:15" ht="15" customHeight="1">
      <c r="B68" s="3754" t="str">
        <f>CONCATENATE("Weighted averages of subway and bus fare changes in Row ",O64, " weight subway and bus use of unlimiteds with respective projected 2011 ridership (from 'Subways' and 'Buses' tabs which are weighted in turn by unlimited media's shares of all subway and bus rides from Row ",O20, ". Note that Reciprocal was calc'd first.")</f>
        <v>Weighted averages of subway and bus fare changes in Row 64 weight subway and bus use of unlimiteds with respective projected 2011 ridership (from 'Subways' and 'Buses' tabs which are weighted in turn by unlimited media's shares of all subway and bus rides from Row 20. Note that Reciprocal was calc'd first.</v>
      </c>
      <c r="C68" s="3659"/>
      <c r="D68" s="3659"/>
      <c r="E68" s="3659"/>
      <c r="F68" s="3659"/>
      <c r="G68" s="3659"/>
      <c r="H68" s="3659"/>
      <c r="I68" s="3659"/>
      <c r="O68" s="621">
        <f>ROW()</f>
        <v>68</v>
      </c>
    </row>
    <row r="69" spans="2:15" ht="15" customHeight="1">
      <c r="B69" s="3659"/>
      <c r="C69" s="3659"/>
      <c r="D69" s="3659"/>
      <c r="E69" s="3659"/>
      <c r="F69" s="3659"/>
      <c r="G69" s="3659"/>
      <c r="H69" s="3659"/>
      <c r="I69" s="3659"/>
      <c r="O69" s="621">
        <f>ROW()</f>
        <v>69</v>
      </c>
    </row>
    <row r="70" spans="2:15" ht="15" customHeight="1">
      <c r="B70" s="3659"/>
      <c r="C70" s="3659"/>
      <c r="D70" s="3659"/>
      <c r="E70" s="3659"/>
      <c r="F70" s="3659"/>
      <c r="G70" s="3659"/>
      <c r="H70" s="3659"/>
      <c r="I70" s="3659"/>
      <c r="O70" s="621">
        <f>ROW()</f>
        <v>70</v>
      </c>
    </row>
    <row r="71" spans="2:15" ht="15" customHeight="1">
      <c r="B71" s="265"/>
      <c r="C71" s="2459"/>
      <c r="D71" s="2459"/>
      <c r="E71" s="2459"/>
      <c r="F71" s="2459"/>
      <c r="G71" s="2459"/>
      <c r="H71" s="2459"/>
      <c r="I71" s="2459"/>
      <c r="O71" s="621">
        <f>ROW()</f>
        <v>71</v>
      </c>
    </row>
    <row r="72" spans="2:15" ht="15" customHeight="1">
      <c r="B72" s="24" t="s">
        <v>5791</v>
      </c>
      <c r="C72" s="2459"/>
      <c r="D72" s="2459"/>
      <c r="E72" s="2459"/>
      <c r="F72" s="2459"/>
      <c r="G72" s="2459"/>
      <c r="H72" s="2459"/>
      <c r="I72" s="2459"/>
      <c r="O72" s="621">
        <f>ROW()</f>
        <v>72</v>
      </c>
    </row>
    <row r="73" spans="2:15" ht="15" customHeight="1">
      <c r="B73" s="265"/>
      <c r="C73" s="2459"/>
      <c r="D73" s="2459"/>
      <c r="E73" s="2459"/>
      <c r="F73" s="2459"/>
      <c r="G73" s="2459"/>
      <c r="H73" s="2459"/>
      <c r="I73" s="2459"/>
      <c r="O73" s="621">
        <f>ROW()</f>
        <v>73</v>
      </c>
    </row>
    <row r="74" spans="2:15" ht="15" customHeight="1">
      <c r="B74" s="3794" t="s">
        <v>4389</v>
      </c>
      <c r="C74" s="3796"/>
      <c r="D74" s="3796"/>
      <c r="E74" s="3796"/>
      <c r="F74" s="3796"/>
      <c r="G74" s="3796"/>
      <c r="H74" s="3796"/>
      <c r="I74" s="3796"/>
      <c r="O74" s="621">
        <f>ROW()</f>
        <v>74</v>
      </c>
    </row>
    <row r="75" spans="2:15" ht="15" customHeight="1">
      <c r="B75" s="3796"/>
      <c r="C75" s="3796"/>
      <c r="D75" s="3796"/>
      <c r="E75" s="3796"/>
      <c r="F75" s="3796"/>
      <c r="G75" s="3796"/>
      <c r="H75" s="3796"/>
      <c r="I75" s="3796"/>
      <c r="O75" s="621">
        <f>ROW()</f>
        <v>75</v>
      </c>
    </row>
    <row r="76" spans="2:15" ht="15" customHeight="1">
      <c r="B76" s="3796"/>
      <c r="C76" s="3796"/>
      <c r="D76" s="3796"/>
      <c r="E76" s="3796"/>
      <c r="F76" s="3796"/>
      <c r="G76" s="3796"/>
      <c r="H76" s="3796"/>
      <c r="I76" s="3796"/>
      <c r="O76" s="621">
        <f>ROW()</f>
        <v>76</v>
      </c>
    </row>
    <row r="77" spans="2:15" ht="15" customHeight="1">
      <c r="B77" s="265"/>
      <c r="C77" s="2459"/>
      <c r="D77" s="2459"/>
      <c r="E77" s="2459"/>
      <c r="F77" s="2459"/>
      <c r="G77" s="2459"/>
      <c r="H77" s="2459"/>
      <c r="I77" s="2459"/>
      <c r="O77" s="621">
        <f>ROW()</f>
        <v>77</v>
      </c>
    </row>
    <row r="78" spans="2:15" ht="15" customHeight="1">
      <c r="B78" s="312" t="s">
        <v>1384</v>
      </c>
      <c r="C78" s="2459"/>
      <c r="D78" s="2459"/>
      <c r="E78" s="2459"/>
      <c r="H78" s="2466">
        <v>4000000</v>
      </c>
      <c r="I78" s="4719" t="s">
        <v>4533</v>
      </c>
      <c r="J78" s="4109"/>
      <c r="K78" s="4109"/>
      <c r="L78" s="4109"/>
      <c r="M78" s="4109"/>
      <c r="N78" s="4462"/>
      <c r="O78" s="621">
        <f>ROW()</f>
        <v>78</v>
      </c>
    </row>
    <row r="79" spans="2:15" ht="15" customHeight="1">
      <c r="B79" s="312" t="s">
        <v>790</v>
      </c>
      <c r="C79" s="2459"/>
      <c r="D79" s="2459"/>
      <c r="E79" s="2459"/>
      <c r="H79" s="2467">
        <v>2200000</v>
      </c>
      <c r="I79" s="4111"/>
      <c r="J79" s="4111"/>
      <c r="K79" s="4111"/>
      <c r="L79" s="4111"/>
      <c r="M79" s="4111"/>
      <c r="N79" s="4463"/>
      <c r="O79" s="621">
        <f>ROW()</f>
        <v>79</v>
      </c>
    </row>
    <row r="80" spans="2:15" ht="15" customHeight="1">
      <c r="B80" s="312" t="s">
        <v>4390</v>
      </c>
      <c r="C80" s="2459"/>
      <c r="D80" s="2459"/>
      <c r="E80" s="2459"/>
      <c r="H80" s="2467">
        <v>500000</v>
      </c>
      <c r="I80" s="4111"/>
      <c r="J80" s="4111"/>
      <c r="K80" s="4111"/>
      <c r="L80" s="4111"/>
      <c r="M80" s="4111"/>
      <c r="N80" s="4463"/>
      <c r="O80" s="621">
        <f>ROW()</f>
        <v>80</v>
      </c>
    </row>
    <row r="81" spans="2:17" ht="15" customHeight="1">
      <c r="B81" s="312" t="s">
        <v>4391</v>
      </c>
      <c r="C81" s="2459"/>
      <c r="D81" s="2459"/>
      <c r="E81" s="2459"/>
      <c r="H81" s="2467">
        <v>500000</v>
      </c>
      <c r="I81" s="4111"/>
      <c r="J81" s="4111"/>
      <c r="K81" s="4111"/>
      <c r="L81" s="4111"/>
      <c r="M81" s="4111"/>
      <c r="N81" s="4463"/>
      <c r="O81" s="621">
        <f>ROW()</f>
        <v>81</v>
      </c>
    </row>
    <row r="82" spans="2:17" ht="15" customHeight="1">
      <c r="B82" s="312" t="s">
        <v>4392</v>
      </c>
      <c r="C82" s="2459"/>
      <c r="D82" s="2459"/>
      <c r="E82" s="2459"/>
      <c r="H82" s="2468">
        <v>5000000</v>
      </c>
      <c r="I82" s="4113"/>
      <c r="J82" s="4113"/>
      <c r="K82" s="4113"/>
      <c r="L82" s="4113"/>
      <c r="M82" s="4113"/>
      <c r="N82" s="4464"/>
      <c r="O82" s="621">
        <f>ROW()</f>
        <v>82</v>
      </c>
    </row>
    <row r="83" spans="2:17" ht="15" customHeight="1">
      <c r="C83" s="2459"/>
      <c r="D83" s="2459"/>
      <c r="E83" s="2459"/>
      <c r="F83" s="2459"/>
      <c r="H83" s="2459"/>
      <c r="I83" s="2459"/>
      <c r="O83" s="621">
        <f>ROW()</f>
        <v>83</v>
      </c>
    </row>
    <row r="84" spans="2:17" ht="15" customHeight="1">
      <c r="B84" s="312" t="s">
        <v>4534</v>
      </c>
      <c r="C84" s="2509"/>
      <c r="D84" s="2509"/>
      <c r="E84" s="2509"/>
      <c r="F84" s="2509"/>
      <c r="H84" s="2469">
        <f>H81/2</f>
        <v>250000</v>
      </c>
      <c r="I84" s="4734" t="s">
        <v>4394</v>
      </c>
      <c r="J84" s="4737" t="s">
        <v>4541</v>
      </c>
      <c r="K84" s="4738"/>
      <c r="L84" s="4738"/>
      <c r="M84" s="4738"/>
      <c r="N84" s="4739"/>
      <c r="O84" s="621">
        <f>ROW()</f>
        <v>84</v>
      </c>
    </row>
    <row r="85" spans="2:17" ht="15" customHeight="1">
      <c r="B85" s="215" t="str">
        <f>CONCATENATE("One-half of trips that transfer between two buses in Row ",O81, ".")</f>
        <v>One-half of trips that transfer between two buses in Row 81.</v>
      </c>
      <c r="C85" s="2509"/>
      <c r="D85" s="2509"/>
      <c r="E85" s="2509"/>
      <c r="F85" s="2509"/>
      <c r="H85" s="2511"/>
      <c r="I85" s="4735"/>
      <c r="J85" s="4740"/>
      <c r="K85" s="4741"/>
      <c r="L85" s="4741"/>
      <c r="M85" s="4741"/>
      <c r="N85" s="4742"/>
      <c r="O85" s="621">
        <f>ROW()</f>
        <v>85</v>
      </c>
    </row>
    <row r="86" spans="2:17" ht="15" customHeight="1">
      <c r="B86" s="312" t="s">
        <v>4535</v>
      </c>
      <c r="C86" s="2509"/>
      <c r="D86" s="2509"/>
      <c r="E86" s="2509"/>
      <c r="F86" s="2509"/>
      <c r="H86" s="2470">
        <f>H80/2</f>
        <v>250000</v>
      </c>
      <c r="I86" s="4735"/>
      <c r="J86" s="4740"/>
      <c r="K86" s="4741"/>
      <c r="L86" s="4741"/>
      <c r="M86" s="4741"/>
      <c r="N86" s="4742"/>
      <c r="O86" s="621">
        <f>ROW()</f>
        <v>86</v>
      </c>
      <c r="Q86" s="1792"/>
    </row>
    <row r="87" spans="2:17" ht="15" customHeight="1">
      <c r="B87" s="215" t="str">
        <f>CONCATENATE("One-half of trips that transfer between subway and bus in Row ",O80, ".")</f>
        <v>One-half of trips that transfer between subway and bus in Row 80.</v>
      </c>
      <c r="C87" s="2509"/>
      <c r="D87" s="2509"/>
      <c r="E87" s="2509"/>
      <c r="F87" s="2509"/>
      <c r="H87" s="2511"/>
      <c r="I87" s="4735"/>
      <c r="J87" s="4740"/>
      <c r="K87" s="4741"/>
      <c r="L87" s="4741"/>
      <c r="M87" s="4741"/>
      <c r="N87" s="4742"/>
      <c r="O87" s="621">
        <f>ROW()</f>
        <v>87</v>
      </c>
      <c r="Q87" s="1792"/>
    </row>
    <row r="88" spans="2:17" ht="15" customHeight="1">
      <c r="B88" s="312" t="s">
        <v>4536</v>
      </c>
      <c r="H88" s="2534">
        <f>H79-H80-H81</f>
        <v>1200000</v>
      </c>
      <c r="I88" s="4735"/>
      <c r="J88" s="4740"/>
      <c r="K88" s="4741"/>
      <c r="L88" s="4741"/>
      <c r="M88" s="4741"/>
      <c r="N88" s="4742"/>
      <c r="O88" s="621">
        <f>ROW()</f>
        <v>88</v>
      </c>
      <c r="Q88" s="1792"/>
    </row>
    <row r="89" spans="2:17" ht="15" customHeight="1">
      <c r="B89" s="215" t="str">
        <f>CONCATENATE("Total bus trips in Row ",O79, " less bus trips that involve transfers in Rows ",O80, " and ",O81, ".")</f>
        <v>Total bus trips in Row 79 less bus trips that involve transfers in Rows 80 and 81.</v>
      </c>
      <c r="H89" s="2535"/>
      <c r="I89" s="4735"/>
      <c r="J89" s="4740"/>
      <c r="K89" s="4741"/>
      <c r="L89" s="4741"/>
      <c r="M89" s="4741"/>
      <c r="N89" s="4742"/>
      <c r="O89" s="621">
        <f>ROW()</f>
        <v>89</v>
      </c>
    </row>
    <row r="90" spans="2:17" ht="15" customHeight="1">
      <c r="B90" s="312" t="s">
        <v>4537</v>
      </c>
      <c r="C90" s="2459"/>
      <c r="D90" s="2459"/>
      <c r="E90" s="2459"/>
      <c r="F90" s="2459"/>
      <c r="H90" s="2470">
        <f>H88+H84</f>
        <v>1450000</v>
      </c>
      <c r="I90" s="4735"/>
      <c r="J90" s="4740"/>
      <c r="K90" s="4741"/>
      <c r="L90" s="4741"/>
      <c r="M90" s="4741"/>
      <c r="N90" s="4742"/>
      <c r="O90" s="621">
        <f>ROW()</f>
        <v>90</v>
      </c>
    </row>
    <row r="91" spans="2:17" ht="15" customHeight="1">
      <c r="B91" s="215" t="str">
        <f>CONCATENATE("Sum of bus trips w/o transfers in Row ",O88, " and bus journeys w/ transfers in Row ",O86, ".")</f>
        <v>Sum of bus trips w/o transfers in Row 88 and bus journeys w/ transfers in Row 86.</v>
      </c>
      <c r="C91" s="2459"/>
      <c r="D91" s="2459"/>
      <c r="E91" s="2459"/>
      <c r="F91" s="2459"/>
      <c r="H91" s="2511"/>
      <c r="I91" s="4735"/>
      <c r="J91" s="4740"/>
      <c r="K91" s="4741"/>
      <c r="L91" s="4741"/>
      <c r="M91" s="4741"/>
      <c r="N91" s="4742"/>
      <c r="O91" s="621">
        <f>ROW()</f>
        <v>91</v>
      </c>
    </row>
    <row r="92" spans="2:17" ht="15" customHeight="1">
      <c r="B92" s="312" t="s">
        <v>4393</v>
      </c>
      <c r="C92" s="2459"/>
      <c r="D92" s="2459"/>
      <c r="E92" s="2459"/>
      <c r="F92" s="2459"/>
      <c r="H92" s="2470">
        <f>H78-H80</f>
        <v>3500000</v>
      </c>
      <c r="I92" s="4735"/>
      <c r="J92" s="4740"/>
      <c r="K92" s="4741"/>
      <c r="L92" s="4741"/>
      <c r="M92" s="4741"/>
      <c r="N92" s="4742"/>
      <c r="O92" s="621">
        <f>ROW()</f>
        <v>92</v>
      </c>
    </row>
    <row r="93" spans="2:17" ht="15" customHeight="1">
      <c r="B93" s="215" t="str">
        <f>CONCATENATE("Row ",O78, " less Row ",O80, ".")</f>
        <v>Row 78 less Row 80.</v>
      </c>
      <c r="C93" s="2459"/>
      <c r="D93" s="2459"/>
      <c r="E93" s="2459"/>
      <c r="F93" s="2459"/>
      <c r="H93" s="2511"/>
      <c r="I93" s="4735"/>
      <c r="J93" s="4740"/>
      <c r="K93" s="4741"/>
      <c r="L93" s="4741"/>
      <c r="M93" s="4741"/>
      <c r="N93" s="4742"/>
      <c r="O93" s="621">
        <f>ROW()</f>
        <v>93</v>
      </c>
    </row>
    <row r="94" spans="2:17" ht="15" customHeight="1">
      <c r="B94" s="312" t="s">
        <v>4398</v>
      </c>
      <c r="C94" s="2460"/>
      <c r="D94" s="2460"/>
      <c r="E94" s="2460"/>
      <c r="F94" s="2460"/>
      <c r="H94" s="2476">
        <f>H78/($H$78+$H$79)</f>
        <v>0.64516129032258063</v>
      </c>
      <c r="I94" s="4735"/>
      <c r="J94" s="4740"/>
      <c r="K94" s="4741"/>
      <c r="L94" s="4741"/>
      <c r="M94" s="4741"/>
      <c r="N94" s="4742"/>
      <c r="O94" s="621">
        <f>ROW()</f>
        <v>94</v>
      </c>
    </row>
    <row r="95" spans="2:17" ht="15" customHeight="1">
      <c r="B95" s="312" t="s">
        <v>4399</v>
      </c>
      <c r="C95" s="2460"/>
      <c r="D95" s="2460"/>
      <c r="E95" s="2460"/>
      <c r="F95" s="2460"/>
      <c r="H95" s="2476">
        <f>H79/($H$78+$H$79)</f>
        <v>0.35483870967741937</v>
      </c>
      <c r="I95" s="4735"/>
      <c r="J95" s="4740"/>
      <c r="K95" s="4741"/>
      <c r="L95" s="4741"/>
      <c r="M95" s="4741"/>
      <c r="N95" s="4742"/>
      <c r="O95" s="621">
        <f>ROW()</f>
        <v>95</v>
      </c>
    </row>
    <row r="96" spans="2:17" ht="15" customHeight="1">
      <c r="B96" s="3785" t="str">
        <f>CONCATENATE("Ratio of Row ",O78, " or ",O79, " to sum of those rows; reflects Komanoff assumption that allocations are proportional to respective number of unlinked trips.")</f>
        <v>Ratio of Row 78 or 79 to sum of those rows; reflects Komanoff assumption that allocations are proportional to respective number of unlinked trips.</v>
      </c>
      <c r="C96" s="3786"/>
      <c r="D96" s="3786"/>
      <c r="E96" s="3786"/>
      <c r="F96" s="3786"/>
      <c r="G96" s="4673"/>
      <c r="H96" s="2511"/>
      <c r="I96" s="4735"/>
      <c r="J96" s="4740"/>
      <c r="K96" s="4741"/>
      <c r="L96" s="4741"/>
      <c r="M96" s="4741"/>
      <c r="N96" s="4742"/>
      <c r="O96" s="621">
        <f>ROW()</f>
        <v>96</v>
      </c>
    </row>
    <row r="97" spans="2:15" ht="15" customHeight="1">
      <c r="B97" s="3786"/>
      <c r="C97" s="3786"/>
      <c r="D97" s="3786"/>
      <c r="E97" s="3786"/>
      <c r="F97" s="3786"/>
      <c r="G97" s="4673"/>
      <c r="H97" s="2511"/>
      <c r="I97" s="4735"/>
      <c r="J97" s="4740"/>
      <c r="K97" s="4741"/>
      <c r="L97" s="4741"/>
      <c r="M97" s="4741"/>
      <c r="N97" s="4742"/>
      <c r="O97" s="621">
        <f>ROW()</f>
        <v>97</v>
      </c>
    </row>
    <row r="98" spans="2:15" ht="15" customHeight="1">
      <c r="B98" s="312" t="s">
        <v>4400</v>
      </c>
      <c r="C98" s="2459"/>
      <c r="D98" s="2459"/>
      <c r="E98" s="2459"/>
      <c r="F98" s="2459"/>
      <c r="H98" s="2471">
        <f>ROUND(H92+H94*H80,-3)</f>
        <v>3823000</v>
      </c>
      <c r="I98" s="4735"/>
      <c r="J98" s="4740"/>
      <c r="K98" s="4741"/>
      <c r="L98" s="4741"/>
      <c r="M98" s="4741"/>
      <c r="N98" s="4742"/>
      <c r="O98" s="621">
        <f>ROW()</f>
        <v>98</v>
      </c>
    </row>
    <row r="99" spans="2:15" ht="15" customHeight="1">
      <c r="B99" s="215" t="str">
        <f>CONCATENATE("Row ",O88, " plus Row ",O94, " percent times Row ",O80, " subway-bus transfers.")</f>
        <v>Row 88 plus Row 94 percent times Row 80 subway-bus transfers.</v>
      </c>
      <c r="C99" s="2463"/>
      <c r="D99" s="2463"/>
      <c r="E99" s="2463"/>
      <c r="F99" s="2463"/>
      <c r="G99" s="2465"/>
      <c r="H99" s="2511"/>
      <c r="I99" s="4735"/>
      <c r="J99" s="4743"/>
      <c r="K99" s="4744"/>
      <c r="L99" s="4744"/>
      <c r="M99" s="4744"/>
      <c r="N99" s="4745"/>
      <c r="O99" s="621">
        <f>ROW()</f>
        <v>99</v>
      </c>
    </row>
    <row r="100" spans="2:15" ht="15" customHeight="1">
      <c r="B100" s="312" t="s">
        <v>4401</v>
      </c>
      <c r="C100" s="2459"/>
      <c r="D100" s="2459"/>
      <c r="E100" s="2459"/>
      <c r="F100" s="2459"/>
      <c r="G100" s="2465"/>
      <c r="H100" s="2471">
        <f>ROUND(H90+H95*H80,-3)</f>
        <v>1627000</v>
      </c>
      <c r="I100" s="4735"/>
      <c r="O100" s="621">
        <f>ROW()</f>
        <v>100</v>
      </c>
    </row>
    <row r="101" spans="2:15" ht="15" customHeight="1">
      <c r="B101" s="215" t="str">
        <f>CONCATENATE("Row ",O92," plus half of Row ",$O$80,"")</f>
        <v>Row 92 plus half of Row 80</v>
      </c>
      <c r="C101" s="2459"/>
      <c r="D101" s="2459"/>
      <c r="E101" s="2459"/>
      <c r="F101" s="2459"/>
      <c r="G101" s="2459"/>
      <c r="H101" s="2511"/>
      <c r="I101" s="4735"/>
      <c r="O101" s="621">
        <f>ROW()</f>
        <v>101</v>
      </c>
    </row>
    <row r="102" spans="2:15" ht="15" customHeight="1">
      <c r="B102" s="312" t="s">
        <v>4538</v>
      </c>
      <c r="C102" s="2509"/>
      <c r="D102" s="2509"/>
      <c r="E102" s="2509"/>
      <c r="F102" s="2509"/>
      <c r="G102" s="2509"/>
      <c r="H102" s="2472">
        <f>H79-H80</f>
        <v>1700000</v>
      </c>
      <c r="I102" s="4736"/>
      <c r="O102" s="621">
        <f>ROW()</f>
        <v>102</v>
      </c>
    </row>
    <row r="103" spans="2:15" ht="15" customHeight="1">
      <c r="B103" s="215" t="str">
        <f>CONCATENATE("Row ",O79, " less Row ",O80, ".")</f>
        <v>Row 79 less Row 80.</v>
      </c>
      <c r="C103" s="2509"/>
      <c r="D103" s="2509"/>
      <c r="E103" s="2509"/>
      <c r="F103" s="2509"/>
      <c r="G103" s="2509"/>
      <c r="H103" s="2509"/>
      <c r="I103" s="2509"/>
      <c r="O103" s="621">
        <f>ROW()</f>
        <v>103</v>
      </c>
    </row>
    <row r="104" spans="2:15" ht="15" customHeight="1">
      <c r="B104" s="312" t="s">
        <v>4396</v>
      </c>
      <c r="C104" s="2459"/>
      <c r="D104" s="2459"/>
      <c r="E104" s="2459"/>
      <c r="F104" s="2459"/>
      <c r="G104" s="2474" t="s">
        <v>2367</v>
      </c>
      <c r="H104" s="2475">
        <f>H98/H78</f>
        <v>0.95574999999999999</v>
      </c>
      <c r="I104" s="4718" t="s">
        <v>4395</v>
      </c>
      <c r="J104" s="4437"/>
      <c r="O104" s="621">
        <f>ROW()</f>
        <v>104</v>
      </c>
    </row>
    <row r="105" spans="2:15" ht="15" customHeight="1">
      <c r="B105" s="215" t="str">
        <f>CONCATENATE("Ratio of Row ",O98, " to Row ",O78, ".")</f>
        <v>Ratio of Row 98 to Row 78.</v>
      </c>
      <c r="G105" s="113"/>
      <c r="H105" s="2473"/>
      <c r="I105" s="4439"/>
      <c r="J105" s="4440"/>
      <c r="O105" s="621">
        <f>ROW()</f>
        <v>105</v>
      </c>
    </row>
    <row r="106" spans="2:15" ht="15" customHeight="1">
      <c r="B106" s="312" t="s">
        <v>4397</v>
      </c>
      <c r="C106" s="2459"/>
      <c r="D106" s="2459"/>
      <c r="E106" s="2459"/>
      <c r="F106" s="2459"/>
      <c r="G106" s="2474" t="s">
        <v>810</v>
      </c>
      <c r="H106" s="2475">
        <f>H100/H79</f>
        <v>0.73954545454545451</v>
      </c>
      <c r="I106" s="4442"/>
      <c r="J106" s="4443"/>
      <c r="O106" s="621">
        <f>ROW()</f>
        <v>106</v>
      </c>
    </row>
    <row r="107" spans="2:15" ht="15" customHeight="1">
      <c r="B107" s="215" t="str">
        <f>CONCATENATE("Ratio of Row ",O100, " to Row ",O79, ".")</f>
        <v>Ratio of Row 100 to Row 79.</v>
      </c>
      <c r="C107" s="2459"/>
      <c r="D107" s="2459"/>
      <c r="E107" s="2459"/>
      <c r="F107" s="2459"/>
      <c r="G107" s="2459"/>
      <c r="H107" s="2459"/>
      <c r="I107" s="2459"/>
      <c r="O107" s="621">
        <f>ROW()</f>
        <v>107</v>
      </c>
    </row>
    <row r="108" spans="2:15" ht="15" customHeight="1">
      <c r="B108" s="312" t="s">
        <v>4539</v>
      </c>
      <c r="C108" s="2509"/>
      <c r="D108" s="2509"/>
      <c r="E108" s="2509"/>
      <c r="F108" s="2509"/>
      <c r="G108" s="2509"/>
      <c r="H108" s="2533">
        <f>H102/H79</f>
        <v>0.77272727272727271</v>
      </c>
      <c r="I108" s="2509"/>
      <c r="O108" s="621">
        <f>ROW()</f>
        <v>108</v>
      </c>
    </row>
    <row r="109" spans="2:15" ht="15" customHeight="1">
      <c r="B109" s="215" t="str">
        <f>CONCATENATE("Ratio of Row ",O102, " to Row ",O79, ".")</f>
        <v>Ratio of Row 102 to Row 79.</v>
      </c>
      <c r="C109" s="2509"/>
      <c r="D109" s="2509"/>
      <c r="E109" s="2509"/>
      <c r="F109" s="2509"/>
      <c r="G109" s="2509"/>
      <c r="H109" s="2509"/>
      <c r="I109" s="2509"/>
      <c r="O109" s="621">
        <f>ROW()</f>
        <v>109</v>
      </c>
    </row>
    <row r="110" spans="2:15" ht="15" customHeight="1">
      <c r="B110" s="215"/>
      <c r="C110" s="2509"/>
      <c r="D110" s="2509"/>
      <c r="E110" s="2509"/>
      <c r="F110" s="2509"/>
      <c r="G110" s="2509"/>
      <c r="H110" s="2509"/>
      <c r="I110" s="2509"/>
      <c r="O110" s="621">
        <f>ROW()</f>
        <v>110</v>
      </c>
    </row>
    <row r="111" spans="2:15" s="3291" customFormat="1" ht="15" customHeight="1">
      <c r="B111" s="24" t="s">
        <v>5790</v>
      </c>
      <c r="C111" s="3287"/>
      <c r="D111" s="3287"/>
      <c r="E111" s="3287"/>
      <c r="F111" s="3287"/>
      <c r="G111" s="3287"/>
      <c r="H111" s="3287"/>
      <c r="I111" s="3287"/>
      <c r="O111" s="621">
        <f>ROW()</f>
        <v>111</v>
      </c>
    </row>
    <row r="112" spans="2:15" s="3291" customFormat="1" ht="15" customHeight="1">
      <c r="B112"/>
      <c r="C112" s="3287"/>
      <c r="D112" s="3287"/>
      <c r="E112" s="3287"/>
      <c r="F112" s="3287"/>
      <c r="G112" s="3287"/>
      <c r="H112" s="3287"/>
      <c r="I112" s="3287"/>
      <c r="O112" s="621">
        <f>ROW()</f>
        <v>112</v>
      </c>
    </row>
    <row r="113" spans="2:15" s="3291" customFormat="1" ht="15" customHeight="1">
      <c r="B113" s="1" t="s">
        <v>5551</v>
      </c>
      <c r="C113" s="3287"/>
      <c r="D113" s="3287"/>
      <c r="E113" s="3287"/>
      <c r="F113" s="3287"/>
      <c r="G113" s="3287"/>
      <c r="H113" s="3287"/>
      <c r="I113" s="3287"/>
      <c r="O113" s="621">
        <f>ROW()</f>
        <v>113</v>
      </c>
    </row>
    <row r="114" spans="2:15" s="3291" customFormat="1" ht="15" customHeight="1">
      <c r="B114" s="585" t="s">
        <v>5553</v>
      </c>
      <c r="C114" s="3287"/>
      <c r="D114" s="3287"/>
      <c r="E114" s="3287"/>
      <c r="F114" s="3287"/>
      <c r="G114" s="3287"/>
      <c r="H114" s="3287"/>
      <c r="I114" s="3287"/>
      <c r="O114" s="621">
        <f>ROW()</f>
        <v>114</v>
      </c>
    </row>
    <row r="115" spans="2:15" s="3291" customFormat="1" ht="15" customHeight="1">
      <c r="B115" s="585" t="s">
        <v>5552</v>
      </c>
      <c r="C115" s="3287"/>
      <c r="D115" s="3287"/>
      <c r="E115" s="3287"/>
      <c r="F115" s="3287"/>
      <c r="G115" s="3287"/>
      <c r="H115" s="3287"/>
      <c r="I115" s="3287"/>
      <c r="O115" s="621">
        <f>ROW()</f>
        <v>115</v>
      </c>
    </row>
    <row r="116" spans="2:15" s="3291" customFormat="1" ht="15" customHeight="1">
      <c r="B116" s="1" t="s">
        <v>5554</v>
      </c>
      <c r="C116" s="3287"/>
      <c r="D116" s="3287"/>
      <c r="E116" s="3287"/>
      <c r="F116" s="3287"/>
      <c r="G116" s="3287"/>
      <c r="H116" s="3287"/>
      <c r="I116" s="3287"/>
      <c r="O116" s="621">
        <f>ROW()</f>
        <v>116</v>
      </c>
    </row>
    <row r="117" spans="2:15" s="3291" customFormat="1" ht="15" customHeight="1">
      <c r="B117" s="215"/>
      <c r="C117" s="3287"/>
      <c r="D117" s="3287"/>
      <c r="E117" s="3287"/>
      <c r="F117" s="3287"/>
      <c r="G117" s="3287"/>
      <c r="H117" s="3287"/>
      <c r="I117" s="3287"/>
      <c r="O117" s="621">
        <f>ROW()</f>
        <v>117</v>
      </c>
    </row>
    <row r="118" spans="2:15" s="3291" customFormat="1" ht="15" customHeight="1">
      <c r="B118" s="24" t="s">
        <v>4427</v>
      </c>
      <c r="C118"/>
      <c r="D118"/>
      <c r="E118"/>
      <c r="F118"/>
      <c r="G118"/>
      <c r="H118"/>
      <c r="I118"/>
      <c r="J118"/>
      <c r="O118" s="621">
        <f>ROW()</f>
        <v>118</v>
      </c>
    </row>
    <row r="119" spans="2:15" s="3291" customFormat="1" ht="15" customHeight="1">
      <c r="B119"/>
      <c r="C119"/>
      <c r="D119"/>
      <c r="E119"/>
      <c r="F119"/>
      <c r="G119"/>
      <c r="H119"/>
      <c r="I119"/>
      <c r="J119"/>
      <c r="O119" s="621">
        <f>ROW()</f>
        <v>119</v>
      </c>
    </row>
    <row r="120" spans="2:15" s="3291" customFormat="1" ht="15" customHeight="1">
      <c r="B120"/>
      <c r="C120"/>
      <c r="D120"/>
      <c r="E120"/>
      <c r="F120"/>
      <c r="G120"/>
      <c r="H120"/>
      <c r="I120" s="1892" t="str">
        <f>I261</f>
        <v>Bus</v>
      </c>
      <c r="J120" s="1892" t="str">
        <f>J261</f>
        <v>Subway</v>
      </c>
      <c r="O120" s="621">
        <f>ROW()</f>
        <v>120</v>
      </c>
    </row>
    <row r="121" spans="2:15" s="3291" customFormat="1" ht="15" customHeight="1">
      <c r="B121" s="316" t="s">
        <v>3963</v>
      </c>
      <c r="C121"/>
      <c r="D121"/>
      <c r="E121"/>
      <c r="F121"/>
      <c r="G121"/>
      <c r="H121"/>
      <c r="I121" s="117">
        <f>I275</f>
        <v>7.7366884157428091</v>
      </c>
      <c r="J121" s="117">
        <f>J275</f>
        <v>18.245890199177403</v>
      </c>
      <c r="O121" s="621">
        <f>ROW()</f>
        <v>121</v>
      </c>
    </row>
    <row r="122" spans="2:15" s="3291" customFormat="1" ht="15" customHeight="1">
      <c r="B122" s="2103" t="str">
        <f>CONCATENATE("Copied from Row ",O275, ".")</f>
        <v>Copied from Row 275.</v>
      </c>
      <c r="C122"/>
      <c r="D122"/>
      <c r="E122"/>
      <c r="F122"/>
      <c r="G122"/>
      <c r="H122"/>
      <c r="I122"/>
      <c r="J122"/>
      <c r="O122" s="621">
        <f>ROW()</f>
        <v>122</v>
      </c>
    </row>
    <row r="123" spans="2:15" s="3291" customFormat="1" ht="15" customHeight="1">
      <c r="B123" s="316" t="s">
        <v>3964</v>
      </c>
      <c r="C123"/>
      <c r="D123"/>
      <c r="E123"/>
      <c r="F123"/>
      <c r="G123"/>
      <c r="H123"/>
      <c r="I123"/>
      <c r="J123" s="23">
        <v>0.2</v>
      </c>
      <c r="O123" s="621">
        <f>ROW()</f>
        <v>123</v>
      </c>
    </row>
    <row r="124" spans="2:15" s="3291" customFormat="1" ht="15" customHeight="1">
      <c r="B124" s="2103" t="s">
        <v>3965</v>
      </c>
      <c r="C124"/>
      <c r="D124"/>
      <c r="E124"/>
      <c r="F124"/>
      <c r="G124"/>
      <c r="H124"/>
      <c r="I124"/>
      <c r="J124"/>
      <c r="O124" s="621">
        <f>ROW()</f>
        <v>124</v>
      </c>
    </row>
    <row r="125" spans="2:15" s="3291" customFormat="1" ht="15" customHeight="1">
      <c r="B125" s="316" t="s">
        <v>3966</v>
      </c>
      <c r="C125"/>
      <c r="D125"/>
      <c r="E125"/>
      <c r="F125"/>
      <c r="G125"/>
      <c r="H125"/>
      <c r="I125" s="117">
        <f>I121*(1+I123)</f>
        <v>7.7366884157428091</v>
      </c>
      <c r="J125" s="117">
        <f>J121*(1+J123)</f>
        <v>21.895068239012883</v>
      </c>
      <c r="O125" s="621">
        <f>ROW()</f>
        <v>125</v>
      </c>
    </row>
    <row r="126" spans="2:15" s="3291" customFormat="1" ht="15" customHeight="1">
      <c r="B126" s="2103" t="str">
        <f>CONCATENATE("Product of Row ",O121, " and one plus Row ",O123, ".")</f>
        <v>Product of Row 121 and one plus Row 123.</v>
      </c>
      <c r="C126"/>
      <c r="D126"/>
      <c r="E126"/>
      <c r="F126"/>
      <c r="G126"/>
      <c r="H126"/>
      <c r="I126"/>
      <c r="J126"/>
      <c r="O126" s="621">
        <f>ROW()</f>
        <v>126</v>
      </c>
    </row>
    <row r="127" spans="2:15" s="3291" customFormat="1" ht="15" customHeight="1">
      <c r="B127" s="215"/>
      <c r="C127" s="3287"/>
      <c r="D127" s="3287"/>
      <c r="E127" s="3287"/>
      <c r="F127" s="3287"/>
      <c r="G127" s="3287"/>
      <c r="H127" s="3287"/>
      <c r="I127" s="3287"/>
      <c r="O127" s="621">
        <f>ROW()</f>
        <v>127</v>
      </c>
    </row>
    <row r="128" spans="2:15" ht="15" customHeight="1">
      <c r="B128" s="24" t="s">
        <v>5792</v>
      </c>
      <c r="O128" s="621">
        <f>ROW()</f>
        <v>128</v>
      </c>
    </row>
    <row r="129" spans="2:15" ht="15" customHeight="1">
      <c r="O129" s="621">
        <f>ROW()</f>
        <v>129</v>
      </c>
    </row>
    <row r="130" spans="2:15" ht="15" customHeight="1">
      <c r="B130" s="4707" t="s">
        <v>3477</v>
      </c>
      <c r="C130" s="3796"/>
      <c r="D130" s="3796"/>
      <c r="E130" s="3796"/>
      <c r="F130" s="3796"/>
      <c r="G130" s="3796"/>
      <c r="H130" s="3796"/>
      <c r="I130" s="3796"/>
      <c r="O130" s="621">
        <f>ROW()</f>
        <v>130</v>
      </c>
    </row>
    <row r="131" spans="2:15" ht="15" customHeight="1">
      <c r="B131" s="3796"/>
      <c r="C131" s="3796"/>
      <c r="D131" s="3796"/>
      <c r="E131" s="3796"/>
      <c r="F131" s="3796"/>
      <c r="G131" s="3796"/>
      <c r="H131" s="3796"/>
      <c r="I131" s="3796"/>
      <c r="O131" s="621">
        <f>ROW()</f>
        <v>131</v>
      </c>
    </row>
    <row r="132" spans="2:15" ht="15" customHeight="1">
      <c r="B132" s="3796"/>
      <c r="C132" s="3796"/>
      <c r="D132" s="3796"/>
      <c r="E132" s="3796"/>
      <c r="F132" s="3796"/>
      <c r="G132" s="3796"/>
      <c r="H132" s="3796"/>
      <c r="I132" s="3796"/>
      <c r="O132" s="621">
        <f>ROW()</f>
        <v>132</v>
      </c>
    </row>
    <row r="133" spans="2:15" ht="15" customHeight="1">
      <c r="O133" s="621">
        <f>ROW()</f>
        <v>133</v>
      </c>
    </row>
    <row r="134" spans="2:15" ht="15" customHeight="1">
      <c r="B134" s="3779" t="s">
        <v>3133</v>
      </c>
      <c r="C134" s="3779"/>
      <c r="D134" s="3779"/>
      <c r="E134" s="3779"/>
      <c r="F134" s="3779"/>
      <c r="G134" s="3779"/>
      <c r="H134" s="3779"/>
      <c r="I134" s="3779"/>
      <c r="O134" s="621">
        <f>ROW()</f>
        <v>134</v>
      </c>
    </row>
    <row r="135" spans="2:15" ht="15" customHeight="1">
      <c r="B135" s="3779"/>
      <c r="C135" s="3779"/>
      <c r="D135" s="3779"/>
      <c r="E135" s="3779"/>
      <c r="F135" s="3779"/>
      <c r="G135" s="3779"/>
      <c r="H135" s="3779"/>
      <c r="I135" s="3779"/>
      <c r="O135" s="621">
        <f>ROW()</f>
        <v>135</v>
      </c>
    </row>
    <row r="136" spans="2:15" ht="15" customHeight="1">
      <c r="B136" s="3779"/>
      <c r="C136" s="3779"/>
      <c r="D136" s="3779"/>
      <c r="E136" s="3779"/>
      <c r="F136" s="3779"/>
      <c r="G136" s="3779"/>
      <c r="H136" s="3779"/>
      <c r="I136" s="3779"/>
      <c r="O136" s="621">
        <f>ROW()</f>
        <v>136</v>
      </c>
    </row>
    <row r="137" spans="2:15" ht="15" customHeight="1">
      <c r="B137" s="3779"/>
      <c r="C137" s="3779"/>
      <c r="D137" s="3779"/>
      <c r="E137" s="3779"/>
      <c r="F137" s="3779"/>
      <c r="G137" s="3779"/>
      <c r="H137" s="3779"/>
      <c r="I137" s="3779"/>
      <c r="O137" s="621">
        <f>ROW()</f>
        <v>137</v>
      </c>
    </row>
    <row r="138" spans="2:15" ht="15" customHeight="1">
      <c r="O138" s="621">
        <f>ROW()</f>
        <v>138</v>
      </c>
    </row>
    <row r="139" spans="2:15" ht="15" customHeight="1">
      <c r="B139" s="3787" t="s">
        <v>6212</v>
      </c>
      <c r="C139" s="3779"/>
      <c r="D139" s="3779"/>
      <c r="E139" s="3779"/>
      <c r="F139" s="3779"/>
      <c r="G139" s="3779"/>
      <c r="H139" s="3779"/>
      <c r="I139" s="3779"/>
      <c r="O139" s="621">
        <f>ROW()</f>
        <v>139</v>
      </c>
    </row>
    <row r="140" spans="2:15" ht="15" customHeight="1">
      <c r="B140" s="3779"/>
      <c r="C140" s="3779"/>
      <c r="D140" s="3779"/>
      <c r="E140" s="3779"/>
      <c r="F140" s="3779"/>
      <c r="G140" s="3779"/>
      <c r="H140" s="3779"/>
      <c r="I140" s="3779"/>
      <c r="O140" s="621">
        <f>ROW()</f>
        <v>140</v>
      </c>
    </row>
    <row r="141" spans="2:15" ht="15" customHeight="1">
      <c r="B141" s="3779"/>
      <c r="C141" s="3779"/>
      <c r="D141" s="3779"/>
      <c r="E141" s="3779"/>
      <c r="F141" s="3779"/>
      <c r="G141" s="3779"/>
      <c r="H141" s="3779"/>
      <c r="I141" s="3779"/>
      <c r="O141" s="621">
        <f>ROW()</f>
        <v>141</v>
      </c>
    </row>
    <row r="142" spans="2:15" ht="15" customHeight="1">
      <c r="B142" s="3779"/>
      <c r="C142" s="3779"/>
      <c r="D142" s="3779"/>
      <c r="E142" s="3779"/>
      <c r="F142" s="3779"/>
      <c r="G142" s="3779"/>
      <c r="H142" s="3779"/>
      <c r="I142" s="3779"/>
      <c r="O142" s="621">
        <f>ROW()</f>
        <v>142</v>
      </c>
    </row>
    <row r="143" spans="2:15" ht="15" customHeight="1">
      <c r="O143" s="621">
        <f>ROW()</f>
        <v>143</v>
      </c>
    </row>
    <row r="144" spans="2:15" ht="15" customHeight="1">
      <c r="B144" s="4707" t="s">
        <v>336</v>
      </c>
      <c r="C144" s="3796"/>
      <c r="D144" s="3796"/>
      <c r="E144" s="3796"/>
      <c r="F144" s="3796"/>
      <c r="G144" s="3796"/>
      <c r="H144" s="3796"/>
      <c r="I144" s="3796"/>
      <c r="O144" s="621">
        <f>ROW()</f>
        <v>144</v>
      </c>
    </row>
    <row r="145" spans="2:15" ht="15" customHeight="1">
      <c r="B145" s="3796"/>
      <c r="C145" s="3796"/>
      <c r="D145" s="3796"/>
      <c r="E145" s="3796"/>
      <c r="F145" s="3796"/>
      <c r="G145" s="3796"/>
      <c r="H145" s="3796"/>
      <c r="I145" s="3796"/>
      <c r="O145" s="621">
        <f>ROW()</f>
        <v>145</v>
      </c>
    </row>
    <row r="146" spans="2:15" ht="15" customHeight="1">
      <c r="B146" s="3796"/>
      <c r="C146" s="3796"/>
      <c r="D146" s="3796"/>
      <c r="E146" s="3796"/>
      <c r="F146" s="3796"/>
      <c r="G146" s="3796"/>
      <c r="H146" s="3796"/>
      <c r="I146" s="3796"/>
      <c r="O146" s="621">
        <f>ROW()</f>
        <v>146</v>
      </c>
    </row>
    <row r="147" spans="2:15" ht="15" customHeight="1">
      <c r="B147" s="45"/>
      <c r="C147" s="45"/>
      <c r="D147" s="45"/>
      <c r="E147" s="45"/>
      <c r="F147" s="45"/>
      <c r="G147" s="45"/>
      <c r="H147" s="45"/>
      <c r="I147" s="45"/>
      <c r="O147" s="621">
        <f>ROW()</f>
        <v>147</v>
      </c>
    </row>
    <row r="148" spans="2:15" ht="15" customHeight="1">
      <c r="B148" s="45"/>
      <c r="C148" s="45"/>
      <c r="D148" s="45"/>
      <c r="E148" s="45"/>
      <c r="F148" s="45"/>
      <c r="G148" s="45"/>
      <c r="H148" s="45"/>
      <c r="O148" s="621">
        <f>ROW()</f>
        <v>148</v>
      </c>
    </row>
    <row r="149" spans="2:15" ht="15" customHeight="1">
      <c r="B149" s="45"/>
      <c r="C149" s="45"/>
      <c r="D149" s="45"/>
      <c r="E149" s="45"/>
      <c r="F149" s="45"/>
      <c r="G149" s="45"/>
      <c r="H149" s="3812" t="s">
        <v>3826</v>
      </c>
      <c r="I149" s="3812" t="s">
        <v>3476</v>
      </c>
      <c r="O149" s="621">
        <f>ROW()</f>
        <v>149</v>
      </c>
    </row>
    <row r="150" spans="2:15" ht="15" customHeight="1">
      <c r="B150" s="191"/>
      <c r="C150" s="191"/>
      <c r="D150" s="191"/>
      <c r="E150" s="191"/>
      <c r="F150" s="191"/>
      <c r="G150" s="191"/>
      <c r="H150" s="3813"/>
      <c r="I150" s="3813"/>
      <c r="O150" s="621">
        <f>ROW()</f>
        <v>150</v>
      </c>
    </row>
    <row r="151" spans="2:15" ht="15" customHeight="1">
      <c r="H151" s="3813"/>
      <c r="I151" s="3813"/>
      <c r="O151" s="621">
        <f>ROW()</f>
        <v>151</v>
      </c>
    </row>
    <row r="152" spans="2:15" ht="15" customHeight="1">
      <c r="H152" s="3813"/>
      <c r="I152" s="3813"/>
      <c r="O152" s="621">
        <f>ROW()</f>
        <v>152</v>
      </c>
    </row>
    <row r="153" spans="2:15" ht="15" customHeight="1">
      <c r="H153" s="3813"/>
      <c r="I153" s="3813"/>
      <c r="O153" s="621">
        <f>ROW()</f>
        <v>153</v>
      </c>
    </row>
    <row r="154" spans="2:15" ht="15" customHeight="1">
      <c r="H154" s="3813"/>
      <c r="I154" s="3813"/>
      <c r="O154" s="621">
        <f>ROW()</f>
        <v>154</v>
      </c>
    </row>
    <row r="155" spans="2:15" ht="15" customHeight="1">
      <c r="B155" t="s">
        <v>3134</v>
      </c>
      <c r="H155" s="2129"/>
      <c r="I155" s="2130"/>
      <c r="O155" s="621">
        <f>ROW()</f>
        <v>155</v>
      </c>
    </row>
    <row r="156" spans="2:15" ht="15" customHeight="1">
      <c r="B156" t="s">
        <v>3135</v>
      </c>
      <c r="H156">
        <v>3</v>
      </c>
      <c r="I156">
        <v>4</v>
      </c>
      <c r="O156" s="621">
        <f>ROW()</f>
        <v>156</v>
      </c>
    </row>
    <row r="157" spans="2:15" ht="15" customHeight="1">
      <c r="B157" t="s">
        <v>320</v>
      </c>
      <c r="O157" s="621">
        <f>ROW()</f>
        <v>157</v>
      </c>
    </row>
    <row r="158" spans="2:15" ht="15" customHeight="1">
      <c r="B158" s="281" t="s">
        <v>3136</v>
      </c>
      <c r="I158" s="1122">
        <v>160000</v>
      </c>
      <c r="O158" s="621">
        <f>ROW()</f>
        <v>158</v>
      </c>
    </row>
    <row r="159" spans="2:15" ht="15" customHeight="1">
      <c r="B159" s="281" t="s">
        <v>3137</v>
      </c>
      <c r="I159">
        <v>0.9</v>
      </c>
      <c r="O159" s="621">
        <f>ROW()</f>
        <v>159</v>
      </c>
    </row>
    <row r="160" spans="2:15" ht="15" customHeight="1">
      <c r="B160" s="281" t="s">
        <v>813</v>
      </c>
      <c r="H160" s="1122">
        <f>(H158*H159*wkday_per_yr/60)</f>
        <v>0</v>
      </c>
      <c r="I160" s="1122">
        <f>(I158*I159*wkday_per_yr/60)</f>
        <v>600000</v>
      </c>
      <c r="O160" s="621">
        <f>ROW()</f>
        <v>160</v>
      </c>
    </row>
    <row r="161" spans="2:15" ht="15" customHeight="1">
      <c r="B161" t="s">
        <v>321</v>
      </c>
      <c r="H161" s="1122"/>
      <c r="I161" s="1696"/>
      <c r="O161" s="621">
        <f>ROW()</f>
        <v>161</v>
      </c>
    </row>
    <row r="162" spans="2:15" ht="15" customHeight="1">
      <c r="B162" s="281" t="s">
        <v>3136</v>
      </c>
      <c r="I162" s="1122">
        <v>140000</v>
      </c>
      <c r="O162" s="621">
        <f>ROW()</f>
        <v>162</v>
      </c>
    </row>
    <row r="163" spans="2:15" ht="15" customHeight="1">
      <c r="B163" s="281" t="s">
        <v>3137</v>
      </c>
      <c r="I163">
        <v>0.75</v>
      </c>
      <c r="O163" s="621">
        <f>ROW()</f>
        <v>163</v>
      </c>
    </row>
    <row r="164" spans="2:15" ht="15" customHeight="1">
      <c r="B164" s="281" t="s">
        <v>813</v>
      </c>
      <c r="H164" s="1122">
        <f>(H162*H163*wkday_per_yr/60)</f>
        <v>0</v>
      </c>
      <c r="I164" s="1122">
        <f>(I162*I163*wkday_per_yr/60)</f>
        <v>437500</v>
      </c>
      <c r="O164" s="621">
        <f>ROW()</f>
        <v>164</v>
      </c>
    </row>
    <row r="165" spans="2:15" ht="15" customHeight="1">
      <c r="B165" t="s">
        <v>1923</v>
      </c>
      <c r="O165" s="621">
        <f>ROW()</f>
        <v>165</v>
      </c>
    </row>
    <row r="166" spans="2:15" ht="15" customHeight="1">
      <c r="B166" s="281" t="s">
        <v>3136</v>
      </c>
      <c r="H166" s="1122">
        <v>1600000</v>
      </c>
      <c r="I166" s="1122">
        <v>155000</v>
      </c>
      <c r="O166" s="621">
        <f>ROW()</f>
        <v>166</v>
      </c>
    </row>
    <row r="167" spans="2:15" ht="15" customHeight="1">
      <c r="B167" s="281" t="s">
        <v>3137</v>
      </c>
      <c r="H167" s="21">
        <v>1</v>
      </c>
      <c r="I167">
        <v>0.5</v>
      </c>
      <c r="O167" s="621">
        <f>ROW()</f>
        <v>167</v>
      </c>
    </row>
    <row r="168" spans="2:15" ht="15" customHeight="1">
      <c r="B168" s="281" t="s">
        <v>813</v>
      </c>
      <c r="H168" s="1122">
        <f>(H166*H167*52/60)</f>
        <v>1386666.6666666667</v>
      </c>
      <c r="I168" s="1122">
        <f>(I166*I167*52/60)</f>
        <v>67166.666666666672</v>
      </c>
      <c r="O168" s="621">
        <f>ROW()</f>
        <v>168</v>
      </c>
    </row>
    <row r="169" spans="2:15" ht="15" customHeight="1">
      <c r="B169" t="s">
        <v>1924</v>
      </c>
      <c r="I169" s="1122"/>
      <c r="O169" s="621">
        <f>ROW()</f>
        <v>169</v>
      </c>
    </row>
    <row r="170" spans="2:15" ht="15" customHeight="1">
      <c r="B170" s="281" t="s">
        <v>3136</v>
      </c>
      <c r="E170" s="7"/>
      <c r="H170" s="1122">
        <v>1600000</v>
      </c>
      <c r="I170" s="1122">
        <v>130000</v>
      </c>
      <c r="O170" s="621">
        <f>ROW()</f>
        <v>170</v>
      </c>
    </row>
    <row r="171" spans="2:15" ht="15" customHeight="1">
      <c r="B171" s="281" t="s">
        <v>3137</v>
      </c>
      <c r="H171" s="21">
        <v>1</v>
      </c>
      <c r="I171">
        <v>0.8</v>
      </c>
      <c r="O171" s="621">
        <f>ROW()</f>
        <v>171</v>
      </c>
    </row>
    <row r="172" spans="2:15" ht="15" customHeight="1">
      <c r="B172" s="281" t="s">
        <v>813</v>
      </c>
      <c r="E172" s="7"/>
      <c r="H172" s="1122">
        <f>(H170*H171*(wkend_per_yr-52)/60)</f>
        <v>1680000</v>
      </c>
      <c r="I172" s="1122">
        <f>(I170*I171*(wkend_per_yr-52)/60)</f>
        <v>109200</v>
      </c>
      <c r="O172" s="621">
        <f>ROW()</f>
        <v>172</v>
      </c>
    </row>
    <row r="173" spans="2:15" ht="15" customHeight="1">
      <c r="B173" s="6" t="s">
        <v>814</v>
      </c>
      <c r="C173" s="6"/>
      <c r="D173" s="7" t="str">
        <f>CONCATENATE("(Sum of Rows ",O160, ", ",O164, ", ",O168, " and ",O172, ".)")</f>
        <v>(Sum of Rows 160, 164, 168 and 172.)</v>
      </c>
      <c r="F173" s="6"/>
      <c r="G173" s="6"/>
      <c r="H173" s="1555">
        <f>H160+H164+H168+H172</f>
        <v>3066666.666666667</v>
      </c>
      <c r="I173" s="1555">
        <f>I160+I164+I168+I172</f>
        <v>1213866.6666666667</v>
      </c>
      <c r="O173" s="621">
        <f>ROW()</f>
        <v>173</v>
      </c>
    </row>
    <row r="174" spans="2:15" ht="15" customHeight="1">
      <c r="B174" t="s">
        <v>3138</v>
      </c>
      <c r="H174" s="870">
        <v>5500000</v>
      </c>
      <c r="I174" s="870">
        <v>3100000</v>
      </c>
      <c r="O174" s="621">
        <f>ROW()</f>
        <v>174</v>
      </c>
    </row>
    <row r="175" spans="2:15" ht="15" customHeight="1">
      <c r="B175" s="9" t="s">
        <v>3139</v>
      </c>
      <c r="H175" s="734">
        <f>H173/$I$184</f>
        <v>2.5059072678120299E-3</v>
      </c>
      <c r="I175" s="734">
        <f>I173/$I$184</f>
        <v>9.9190346809394439E-4</v>
      </c>
      <c r="O175" s="621">
        <f>ROW()</f>
        <v>175</v>
      </c>
    </row>
    <row r="176" spans="2:15" ht="15" customHeight="1">
      <c r="B176" s="265" t="str">
        <f>CONCATENATE("(Row ",O173, " figures, divided by Row ",O184, ".)")</f>
        <v>(Row 173 figures, divided by Row 184.)</v>
      </c>
      <c r="E176" s="7"/>
      <c r="H176" s="734"/>
      <c r="I176" s="734"/>
      <c r="O176" s="621">
        <f>ROW()</f>
        <v>176</v>
      </c>
    </row>
    <row r="177" spans="2:15" ht="15" customHeight="1">
      <c r="B177" s="6" t="s">
        <v>347</v>
      </c>
      <c r="H177" s="1714">
        <f>H175*100000000/H174</f>
        <v>4.5561950323855085E-2</v>
      </c>
      <c r="I177" s="1715">
        <f>I175*100000000/I174</f>
        <v>3.1996886067546595E-2</v>
      </c>
      <c r="O177" s="621">
        <f>ROW()</f>
        <v>177</v>
      </c>
    </row>
    <row r="178" spans="2:15" ht="15" customHeight="1">
      <c r="B178" s="265" t="str">
        <f>CONCATENATE("(Row ",O177, " figures, multiplied by ratio of $100 million to Row ",O174, " figures.)")</f>
        <v>(Row 177 figures, multiplied by ratio of $100 million to Row 174 figures.)</v>
      </c>
      <c r="H178" s="1913"/>
      <c r="I178" s="1913"/>
      <c r="O178" s="621">
        <f>ROW()</f>
        <v>178</v>
      </c>
    </row>
    <row r="179" spans="2:15" ht="15" customHeight="1">
      <c r="O179" s="621">
        <f>ROW()</f>
        <v>179</v>
      </c>
    </row>
    <row r="180" spans="2:15" ht="15" customHeight="1">
      <c r="C180" s="609" t="s">
        <v>811</v>
      </c>
      <c r="D180" s="198"/>
      <c r="E180" s="198"/>
      <c r="F180" s="198"/>
      <c r="G180" s="198"/>
      <c r="H180" s="198"/>
      <c r="I180" s="2104">
        <f>Subways!J18*1000000</f>
        <v>1631700000</v>
      </c>
      <c r="O180" s="621">
        <f>ROW()</f>
        <v>180</v>
      </c>
    </row>
    <row r="181" spans="2:15" ht="15" customHeight="1">
      <c r="C181" s="844" t="str">
        <f>CONCATENATE("2007 Turnstile count, from 'Subways' worksheet, Row ",Subways!O18, ".")</f>
        <v>2007 Turnstile count, from 'Subways' worksheet, Row 18.</v>
      </c>
      <c r="D181" s="113"/>
      <c r="E181" s="113"/>
      <c r="F181" s="113"/>
      <c r="G181" s="113"/>
      <c r="H181" s="113"/>
      <c r="I181" s="140"/>
      <c r="O181" s="621">
        <f>ROW()</f>
        <v>181</v>
      </c>
    </row>
    <row r="182" spans="2:15" ht="15" customHeight="1">
      <c r="C182" s="212" t="s">
        <v>1925</v>
      </c>
      <c r="D182" s="113"/>
      <c r="E182" s="113"/>
      <c r="F182" s="113"/>
      <c r="G182" s="113"/>
      <c r="H182" s="113"/>
      <c r="I182" s="140">
        <f>3/4</f>
        <v>0.75</v>
      </c>
      <c r="O182" s="621">
        <f>ROW()</f>
        <v>182</v>
      </c>
    </row>
    <row r="183" spans="2:15" ht="15" customHeight="1">
      <c r="C183" s="844" t="s">
        <v>3142</v>
      </c>
      <c r="D183" s="113"/>
      <c r="E183" s="113"/>
      <c r="F183" s="113"/>
      <c r="G183" s="113"/>
      <c r="H183" s="113"/>
      <c r="I183" s="140"/>
      <c r="O183" s="621">
        <f>ROW()</f>
        <v>183</v>
      </c>
    </row>
    <row r="184" spans="2:15" ht="15" customHeight="1">
      <c r="C184" s="212" t="s">
        <v>812</v>
      </c>
      <c r="D184" s="113"/>
      <c r="E184" s="113"/>
      <c r="F184" s="113"/>
      <c r="G184" s="113"/>
      <c r="H184" s="113"/>
      <c r="I184" s="2105">
        <f>I180*I182</f>
        <v>1223775000</v>
      </c>
      <c r="O184" s="621">
        <f>ROW()</f>
        <v>184</v>
      </c>
    </row>
    <row r="185" spans="2:15" ht="15" customHeight="1">
      <c r="C185" s="493" t="s">
        <v>346</v>
      </c>
      <c r="D185" s="141"/>
      <c r="E185" s="141"/>
      <c r="F185" s="141"/>
      <c r="G185" s="141"/>
      <c r="H185" s="141"/>
      <c r="I185" s="481"/>
      <c r="O185" s="621">
        <f>ROW()</f>
        <v>185</v>
      </c>
    </row>
    <row r="186" spans="2:15" ht="15" customHeight="1">
      <c r="O186" s="621">
        <f>ROW()</f>
        <v>186</v>
      </c>
    </row>
    <row r="187" spans="2:15" ht="15" customHeight="1">
      <c r="B187" s="6" t="s">
        <v>815</v>
      </c>
      <c r="I187" s="838">
        <f>AVERAGE(H177:I177)</f>
        <v>3.877941819570084E-2</v>
      </c>
      <c r="O187" s="621">
        <f>ROW()</f>
        <v>187</v>
      </c>
    </row>
    <row r="188" spans="2:15" ht="15" customHeight="1">
      <c r="B188" s="3778" t="s">
        <v>3140</v>
      </c>
      <c r="C188" s="3779"/>
      <c r="D188" s="3779"/>
      <c r="E188" s="3779"/>
      <c r="F188" s="3779"/>
      <c r="G188" s="3779"/>
      <c r="H188" s="3779"/>
      <c r="I188" s="3781"/>
      <c r="O188" s="621">
        <f>ROW()</f>
        <v>188</v>
      </c>
    </row>
    <row r="189" spans="2:15" ht="15" customHeight="1">
      <c r="B189" s="3779"/>
      <c r="C189" s="3779"/>
      <c r="D189" s="3779"/>
      <c r="E189" s="3779"/>
      <c r="F189" s="3779"/>
      <c r="G189" s="3779"/>
      <c r="H189" s="3779"/>
      <c r="I189" s="3781"/>
      <c r="O189" s="621">
        <f>ROW()</f>
        <v>189</v>
      </c>
    </row>
    <row r="190" spans="2:15" ht="15" customHeight="1">
      <c r="O190" s="621">
        <f>ROW()</f>
        <v>190</v>
      </c>
    </row>
    <row r="191" spans="2:15" ht="15" customHeight="1">
      <c r="B191" s="3787" t="s">
        <v>5902</v>
      </c>
      <c r="C191" s="3779"/>
      <c r="D191" s="3779"/>
      <c r="E191" s="3779"/>
      <c r="F191" s="3779"/>
      <c r="G191" s="3779"/>
      <c r="H191" s="3779"/>
      <c r="I191" s="6">
        <v>3</v>
      </c>
      <c r="O191" s="621">
        <f>ROW()</f>
        <v>191</v>
      </c>
    </row>
    <row r="192" spans="2:15" ht="15" customHeight="1">
      <c r="B192" s="3779"/>
      <c r="C192" s="3779"/>
      <c r="D192" s="3779"/>
      <c r="E192" s="3779"/>
      <c r="F192" s="3779"/>
      <c r="G192" s="3779"/>
      <c r="H192" s="3779"/>
      <c r="O192" s="621">
        <f>ROW()</f>
        <v>192</v>
      </c>
    </row>
    <row r="193" spans="2:19" ht="15" customHeight="1">
      <c r="B193" s="265" t="s">
        <v>337</v>
      </c>
      <c r="O193" s="621">
        <f>ROW()</f>
        <v>193</v>
      </c>
    </row>
    <row r="194" spans="2:19" ht="15" customHeight="1">
      <c r="O194" s="621">
        <f>ROW()</f>
        <v>194</v>
      </c>
    </row>
    <row r="195" spans="2:19" ht="15" customHeight="1">
      <c r="B195" s="2" t="s">
        <v>6358</v>
      </c>
      <c r="I195" s="838">
        <f>I187/I191</f>
        <v>1.292647273190028E-2</v>
      </c>
      <c r="O195" s="621">
        <f>ROW()</f>
        <v>195</v>
      </c>
      <c r="S195" s="3591"/>
    </row>
    <row r="196" spans="2:19" ht="15" customHeight="1">
      <c r="B196" s="265" t="str">
        <f>CONCATENATE("Row ",O187, " divided by Row ",O191, ".")</f>
        <v>Row 187 divided by Row 191.</v>
      </c>
      <c r="I196" s="838"/>
      <c r="O196" s="621">
        <f>ROW()</f>
        <v>196</v>
      </c>
    </row>
    <row r="197" spans="2:19" ht="15" customHeight="1">
      <c r="O197" s="621">
        <f>ROW()</f>
        <v>197</v>
      </c>
    </row>
    <row r="198" spans="2:19" ht="15" customHeight="1">
      <c r="B198" s="2" t="s">
        <v>3141</v>
      </c>
      <c r="C198" s="6"/>
      <c r="D198" s="6"/>
      <c r="E198" s="6"/>
      <c r="F198" s="6"/>
      <c r="G198" s="6"/>
      <c r="H198" s="6"/>
      <c r="I198" s="48">
        <v>0.05</v>
      </c>
      <c r="O198" s="621">
        <f>ROW()</f>
        <v>198</v>
      </c>
    </row>
    <row r="199" spans="2:19" ht="15" customHeight="1">
      <c r="B199" s="3754" t="s">
        <v>5651</v>
      </c>
      <c r="C199" s="3659"/>
      <c r="D199" s="3659"/>
      <c r="E199" s="3659"/>
      <c r="F199" s="3659"/>
      <c r="G199" s="3659"/>
      <c r="H199" s="3659"/>
      <c r="O199" s="621">
        <f>ROW()</f>
        <v>199</v>
      </c>
    </row>
    <row r="200" spans="2:19" ht="15" customHeight="1">
      <c r="B200" s="3659"/>
      <c r="C200" s="3659"/>
      <c r="D200" s="3659"/>
      <c r="E200" s="3659"/>
      <c r="F200" s="3659"/>
      <c r="G200" s="3659"/>
      <c r="H200" s="3659"/>
      <c r="O200" s="621">
        <f>ROW()</f>
        <v>200</v>
      </c>
    </row>
    <row r="201" spans="2:19" ht="15" customHeight="1">
      <c r="B201" s="3659"/>
      <c r="C201" s="3659"/>
      <c r="D201" s="3659"/>
      <c r="E201" s="3659"/>
      <c r="F201" s="3659"/>
      <c r="G201" s="3659"/>
      <c r="H201" s="3659"/>
      <c r="O201" s="621">
        <f>ROW()</f>
        <v>201</v>
      </c>
    </row>
    <row r="202" spans="2:19" ht="15" customHeight="1">
      <c r="O202" s="621">
        <f>ROW()</f>
        <v>202</v>
      </c>
    </row>
    <row r="203" spans="2:19" ht="15" customHeight="1">
      <c r="B203" s="2" t="s">
        <v>6359</v>
      </c>
      <c r="I203" s="1708">
        <f>ABS('User Inputs'!J99*1000000)</f>
        <v>490000000</v>
      </c>
      <c r="O203" s="621">
        <f>ROW()</f>
        <v>203</v>
      </c>
    </row>
    <row r="204" spans="2:19" ht="15" customHeight="1">
      <c r="B204" s="265" t="s">
        <v>338</v>
      </c>
      <c r="O204" s="621">
        <f>ROW()</f>
        <v>204</v>
      </c>
    </row>
    <row r="205" spans="2:19" ht="15" customHeight="1">
      <c r="O205" s="621">
        <f>ROW()</f>
        <v>205</v>
      </c>
    </row>
    <row r="206" spans="2:19" ht="15" customHeight="1">
      <c r="B206" s="2" t="s">
        <v>6360</v>
      </c>
      <c r="I206" s="1709">
        <f>IF(I203&lt;100000000,I203/100000000*H217,(VLOOKUP(ROUNDDOWN(I203/100000000,0),G217:I241,3)+(I203/100000000-ROUNDDOWN(I203/100000000,0))*VLOOKUP(ROUNDDOWN(I203/100000000,0)+1,G217:I241,2)))</f>
        <v>5.7431421573787167E-2</v>
      </c>
      <c r="O206" s="621">
        <f>ROW()</f>
        <v>206</v>
      </c>
    </row>
    <row r="207" spans="2:19" ht="15" customHeight="1">
      <c r="B207" s="3754" t="s">
        <v>2486</v>
      </c>
      <c r="C207" s="3659"/>
      <c r="D207" s="3659"/>
      <c r="E207" s="3659"/>
      <c r="F207" s="3659"/>
      <c r="G207" s="3659"/>
      <c r="H207" s="3659"/>
      <c r="O207" s="621">
        <f>ROW()</f>
        <v>207</v>
      </c>
    </row>
    <row r="208" spans="2:19" ht="15" customHeight="1">
      <c r="B208" s="3659"/>
      <c r="C208" s="3659"/>
      <c r="D208" s="3659"/>
      <c r="E208" s="3659"/>
      <c r="F208" s="3659"/>
      <c r="G208" s="3659"/>
      <c r="H208" s="3659"/>
      <c r="O208" s="621">
        <f>ROW()</f>
        <v>208</v>
      </c>
    </row>
    <row r="209" spans="2:19" s="3591" customFormat="1" ht="15" customHeight="1">
      <c r="B209" s="3590"/>
      <c r="C209" s="3590"/>
      <c r="D209" s="3590"/>
      <c r="E209" s="3590"/>
      <c r="F209" s="3590"/>
      <c r="G209" s="3590"/>
      <c r="H209" s="3590"/>
      <c r="O209" s="621">
        <f>ROW()</f>
        <v>209</v>
      </c>
    </row>
    <row r="210" spans="2:19" s="3591" customFormat="1" ht="15" customHeight="1">
      <c r="B210" s="2" t="s">
        <v>6361</v>
      </c>
      <c r="C210" s="3590"/>
      <c r="D210" s="3590"/>
      <c r="E210" s="3590"/>
      <c r="F210" s="3590"/>
      <c r="G210" s="3590"/>
      <c r="H210" s="3590"/>
      <c r="I210" s="1709">
        <f>IF('User Inputs'!J99&gt;=0,-I206,I206)</f>
        <v>-5.7431421573787167E-2</v>
      </c>
      <c r="O210" s="621">
        <f>ROW()</f>
        <v>210</v>
      </c>
      <c r="S210"/>
    </row>
    <row r="211" spans="2:19" s="3591" customFormat="1" ht="15" customHeight="1">
      <c r="B211" s="3754" t="str">
        <f>CONCATENATE("Pivots off actual value, including 'sign', in User Inputs worksheet, Cell J",'User Inputs'!N99, ". Positive sign denotes lengthened (worsened) service, negative sign denotes shortened (improved) service.")</f>
        <v>Pivots off actual value, including 'sign', in User Inputs worksheet, Cell J99. Positive sign denotes lengthened (worsened) service, negative sign denotes shortened (improved) service.</v>
      </c>
      <c r="C211" s="3659"/>
      <c r="D211" s="3659"/>
      <c r="E211" s="3659"/>
      <c r="F211" s="3659"/>
      <c r="G211" s="3659"/>
      <c r="H211" s="3659"/>
      <c r="I211" s="1709"/>
      <c r="O211" s="621">
        <f>ROW()</f>
        <v>211</v>
      </c>
    </row>
    <row r="212" spans="2:19" s="3591" customFormat="1" ht="15" customHeight="1">
      <c r="B212" s="3659"/>
      <c r="C212" s="3659"/>
      <c r="D212" s="3659"/>
      <c r="E212" s="3659"/>
      <c r="F212" s="3659"/>
      <c r="G212" s="3659"/>
      <c r="H212" s="3659"/>
      <c r="I212" s="1709"/>
      <c r="O212" s="621">
        <f>ROW()</f>
        <v>212</v>
      </c>
    </row>
    <row r="213" spans="2:19" s="3591" customFormat="1" ht="15" customHeight="1">
      <c r="B213" s="3590"/>
      <c r="C213" s="3590"/>
      <c r="D213" s="3590"/>
      <c r="E213" s="3590"/>
      <c r="F213" s="3590"/>
      <c r="G213" s="3590"/>
      <c r="H213" s="3590"/>
      <c r="O213" s="621">
        <f>ROW()</f>
        <v>213</v>
      </c>
    </row>
    <row r="214" spans="2:19" ht="15" customHeight="1">
      <c r="G214" s="4705" t="s">
        <v>599</v>
      </c>
      <c r="H214" s="4706" t="s">
        <v>3561</v>
      </c>
      <c r="I214" s="3776"/>
      <c r="O214" s="621">
        <f>ROW()</f>
        <v>214</v>
      </c>
      <c r="S214" s="3591"/>
    </row>
    <row r="215" spans="2:19" ht="15" customHeight="1">
      <c r="G215" s="4705"/>
      <c r="H215" s="3741"/>
      <c r="I215" s="3777"/>
      <c r="O215" s="621">
        <f>ROW()</f>
        <v>215</v>
      </c>
    </row>
    <row r="216" spans="2:19" ht="15" customHeight="1">
      <c r="G216" s="4705"/>
      <c r="H216" s="8" t="s">
        <v>339</v>
      </c>
      <c r="I216" s="8" t="s">
        <v>340</v>
      </c>
      <c r="O216" s="621">
        <f>ROW()</f>
        <v>216</v>
      </c>
    </row>
    <row r="217" spans="2:19" ht="15" customHeight="1">
      <c r="G217">
        <v>1</v>
      </c>
      <c r="H217" s="1219">
        <f>I195</f>
        <v>1.292647273190028E-2</v>
      </c>
      <c r="I217" s="1219">
        <f>H217</f>
        <v>1.292647273190028E-2</v>
      </c>
      <c r="O217" s="621">
        <f>ROW()</f>
        <v>217</v>
      </c>
    </row>
    <row r="218" spans="2:19" ht="15" customHeight="1">
      <c r="G218">
        <f t="shared" ref="G218:G241" si="1">G217+1</f>
        <v>2</v>
      </c>
      <c r="H218" s="734">
        <f t="shared" ref="H218:H241" si="2">H217*(1-$I$198)</f>
        <v>1.2280149095305264E-2</v>
      </c>
      <c r="I218" s="1219">
        <f t="shared" ref="I218:I241" si="3">I217+H218</f>
        <v>2.5206621827205546E-2</v>
      </c>
      <c r="O218" s="621">
        <f>ROW()</f>
        <v>218</v>
      </c>
    </row>
    <row r="219" spans="2:19" ht="15" customHeight="1">
      <c r="G219">
        <f t="shared" si="1"/>
        <v>3</v>
      </c>
      <c r="H219" s="734">
        <f t="shared" si="2"/>
        <v>1.1666141640540001E-2</v>
      </c>
      <c r="I219" s="1219">
        <f t="shared" si="3"/>
        <v>3.6872763467745547E-2</v>
      </c>
      <c r="O219" s="621">
        <f>ROW()</f>
        <v>219</v>
      </c>
    </row>
    <row r="220" spans="2:19" ht="15" customHeight="1">
      <c r="G220">
        <f t="shared" si="1"/>
        <v>4</v>
      </c>
      <c r="H220" s="734">
        <f t="shared" si="2"/>
        <v>1.1082834558513001E-2</v>
      </c>
      <c r="I220" s="1219">
        <f t="shared" si="3"/>
        <v>4.7955598026258546E-2</v>
      </c>
      <c r="O220" s="621">
        <f>ROW()</f>
        <v>220</v>
      </c>
    </row>
    <row r="221" spans="2:19" ht="15" customHeight="1">
      <c r="G221">
        <f t="shared" si="1"/>
        <v>5</v>
      </c>
      <c r="H221" s="734">
        <f t="shared" si="2"/>
        <v>1.052869283058735E-2</v>
      </c>
      <c r="I221" s="1219">
        <f t="shared" si="3"/>
        <v>5.8484290856845894E-2</v>
      </c>
      <c r="O221" s="621">
        <f>ROW()</f>
        <v>221</v>
      </c>
    </row>
    <row r="222" spans="2:19" ht="15" customHeight="1">
      <c r="G222">
        <f t="shared" si="1"/>
        <v>6</v>
      </c>
      <c r="H222" s="734">
        <f t="shared" si="2"/>
        <v>1.0002258189057981E-2</v>
      </c>
      <c r="I222" s="1219">
        <f t="shared" si="3"/>
        <v>6.8486549045903872E-2</v>
      </c>
      <c r="O222" s="621">
        <f>ROW()</f>
        <v>222</v>
      </c>
    </row>
    <row r="223" spans="2:19" ht="15" customHeight="1">
      <c r="G223">
        <f t="shared" si="1"/>
        <v>7</v>
      </c>
      <c r="H223" s="734">
        <f t="shared" si="2"/>
        <v>9.5021452796050822E-3</v>
      </c>
      <c r="I223" s="1219">
        <f t="shared" si="3"/>
        <v>7.798869432550895E-2</v>
      </c>
      <c r="O223" s="621">
        <f>ROW()</f>
        <v>223</v>
      </c>
    </row>
    <row r="224" spans="2:19" ht="15" customHeight="1">
      <c r="G224">
        <f t="shared" si="1"/>
        <v>8</v>
      </c>
      <c r="H224" s="734">
        <f t="shared" si="2"/>
        <v>9.0270380156248272E-3</v>
      </c>
      <c r="I224" s="1219">
        <f t="shared" si="3"/>
        <v>8.7015732341133772E-2</v>
      </c>
      <c r="O224" s="621">
        <f>ROW()</f>
        <v>224</v>
      </c>
    </row>
    <row r="225" spans="7:15" ht="15" customHeight="1">
      <c r="G225">
        <f t="shared" si="1"/>
        <v>9</v>
      </c>
      <c r="H225" s="734">
        <f t="shared" si="2"/>
        <v>8.5756861148435851E-3</v>
      </c>
      <c r="I225" s="1219">
        <f t="shared" si="3"/>
        <v>9.5591418455977351E-2</v>
      </c>
      <c r="O225" s="621">
        <f>ROW()</f>
        <v>225</v>
      </c>
    </row>
    <row r="226" spans="7:15" ht="15" customHeight="1">
      <c r="G226">
        <f t="shared" si="1"/>
        <v>10</v>
      </c>
      <c r="H226" s="734">
        <f t="shared" si="2"/>
        <v>8.1469018091014055E-3</v>
      </c>
      <c r="I226" s="1219">
        <f t="shared" si="3"/>
        <v>0.10373832026507876</v>
      </c>
      <c r="O226" s="621">
        <f>ROW()</f>
        <v>226</v>
      </c>
    </row>
    <row r="227" spans="7:15" ht="15" customHeight="1">
      <c r="G227">
        <f t="shared" si="1"/>
        <v>11</v>
      </c>
      <c r="H227" s="734">
        <f t="shared" si="2"/>
        <v>7.739556718646335E-3</v>
      </c>
      <c r="I227" s="1219">
        <f t="shared" si="3"/>
        <v>0.11147787698372509</v>
      </c>
      <c r="O227" s="621">
        <f>ROW()</f>
        <v>227</v>
      </c>
    </row>
    <row r="228" spans="7:15" ht="15" customHeight="1">
      <c r="G228">
        <f t="shared" si="1"/>
        <v>12</v>
      </c>
      <c r="H228" s="734">
        <f t="shared" si="2"/>
        <v>7.3525788827140176E-3</v>
      </c>
      <c r="I228" s="1219">
        <f t="shared" si="3"/>
        <v>0.1188304558664391</v>
      </c>
      <c r="O228" s="621">
        <f>ROW()</f>
        <v>228</v>
      </c>
    </row>
    <row r="229" spans="7:15" ht="15" customHeight="1">
      <c r="G229">
        <f t="shared" si="1"/>
        <v>13</v>
      </c>
      <c r="H229" s="734">
        <f t="shared" si="2"/>
        <v>6.9849499385783165E-3</v>
      </c>
      <c r="I229" s="1219">
        <f t="shared" si="3"/>
        <v>0.12581540580501743</v>
      </c>
      <c r="O229" s="621">
        <f>ROW()</f>
        <v>229</v>
      </c>
    </row>
    <row r="230" spans="7:15" ht="15" customHeight="1">
      <c r="G230">
        <f t="shared" si="1"/>
        <v>14</v>
      </c>
      <c r="H230" s="734">
        <f t="shared" si="2"/>
        <v>6.6357024416494005E-3</v>
      </c>
      <c r="I230" s="1219">
        <f t="shared" si="3"/>
        <v>0.13245110824666684</v>
      </c>
      <c r="O230" s="621">
        <f>ROW()</f>
        <v>230</v>
      </c>
    </row>
    <row r="231" spans="7:15" ht="15" customHeight="1">
      <c r="G231">
        <f t="shared" si="1"/>
        <v>15</v>
      </c>
      <c r="H231" s="734">
        <f t="shared" si="2"/>
        <v>6.3039173195669302E-3</v>
      </c>
      <c r="I231" s="1219">
        <f t="shared" si="3"/>
        <v>0.13875502556623376</v>
      </c>
      <c r="O231" s="621">
        <f>ROW()</f>
        <v>231</v>
      </c>
    </row>
    <row r="232" spans="7:15" ht="15" customHeight="1">
      <c r="G232">
        <f t="shared" si="1"/>
        <v>16</v>
      </c>
      <c r="H232" s="734">
        <f t="shared" si="2"/>
        <v>5.9887214535885832E-3</v>
      </c>
      <c r="I232" s="1219">
        <f t="shared" si="3"/>
        <v>0.14474374701982234</v>
      </c>
      <c r="O232" s="621">
        <f>ROW()</f>
        <v>232</v>
      </c>
    </row>
    <row r="233" spans="7:15" ht="15" customHeight="1">
      <c r="G233">
        <f t="shared" si="1"/>
        <v>17</v>
      </c>
      <c r="H233" s="734">
        <f t="shared" si="2"/>
        <v>5.6892853809091537E-3</v>
      </c>
      <c r="I233" s="1219">
        <f t="shared" si="3"/>
        <v>0.1504330324007315</v>
      </c>
      <c r="O233" s="621">
        <f>ROW()</f>
        <v>233</v>
      </c>
    </row>
    <row r="234" spans="7:15" ht="15" customHeight="1">
      <c r="G234">
        <f t="shared" si="1"/>
        <v>18</v>
      </c>
      <c r="H234" s="734">
        <f t="shared" si="2"/>
        <v>5.404821111863696E-3</v>
      </c>
      <c r="I234" s="1219">
        <f t="shared" si="3"/>
        <v>0.15583785351259519</v>
      </c>
      <c r="O234" s="621">
        <f>ROW()</f>
        <v>234</v>
      </c>
    </row>
    <row r="235" spans="7:15" ht="15" customHeight="1">
      <c r="G235">
        <f t="shared" si="1"/>
        <v>19</v>
      </c>
      <c r="H235" s="734">
        <f t="shared" si="2"/>
        <v>5.1345800562705114E-3</v>
      </c>
      <c r="I235" s="1219">
        <f t="shared" si="3"/>
        <v>0.1609724335688657</v>
      </c>
      <c r="O235" s="621">
        <f>ROW()</f>
        <v>235</v>
      </c>
    </row>
    <row r="236" spans="7:15" ht="15" customHeight="1">
      <c r="G236">
        <f t="shared" si="1"/>
        <v>20</v>
      </c>
      <c r="H236" s="734">
        <f t="shared" si="2"/>
        <v>4.8778510534569853E-3</v>
      </c>
      <c r="I236" s="1219">
        <f t="shared" si="3"/>
        <v>0.16585028462232268</v>
      </c>
      <c r="O236" s="621">
        <f>ROW()</f>
        <v>236</v>
      </c>
    </row>
    <row r="237" spans="7:15" ht="15" customHeight="1">
      <c r="G237">
        <f t="shared" si="1"/>
        <v>21</v>
      </c>
      <c r="H237" s="734">
        <f t="shared" si="2"/>
        <v>4.633958500784136E-3</v>
      </c>
      <c r="I237" s="1219">
        <f t="shared" si="3"/>
        <v>0.17048424312310681</v>
      </c>
      <c r="O237" s="621">
        <f>ROW()</f>
        <v>237</v>
      </c>
    </row>
    <row r="238" spans="7:15" ht="15" customHeight="1">
      <c r="G238">
        <f t="shared" si="1"/>
        <v>22</v>
      </c>
      <c r="H238" s="734">
        <f t="shared" si="2"/>
        <v>4.402260575744929E-3</v>
      </c>
      <c r="I238" s="1219">
        <f t="shared" si="3"/>
        <v>0.17488650369885173</v>
      </c>
      <c r="O238" s="621">
        <f>ROW()</f>
        <v>238</v>
      </c>
    </row>
    <row r="239" spans="7:15" ht="15" customHeight="1">
      <c r="G239">
        <f t="shared" si="1"/>
        <v>23</v>
      </c>
      <c r="H239" s="734">
        <f t="shared" si="2"/>
        <v>4.182147546957682E-3</v>
      </c>
      <c r="I239" s="1219">
        <f t="shared" si="3"/>
        <v>0.1790686512458094</v>
      </c>
      <c r="O239" s="621">
        <f>ROW()</f>
        <v>239</v>
      </c>
    </row>
    <row r="240" spans="7:15" ht="15" customHeight="1">
      <c r="G240">
        <f t="shared" si="1"/>
        <v>24</v>
      </c>
      <c r="H240" s="734">
        <f t="shared" si="2"/>
        <v>3.9730401696097982E-3</v>
      </c>
      <c r="I240" s="1219">
        <f t="shared" si="3"/>
        <v>0.18304169141541921</v>
      </c>
      <c r="O240" s="621">
        <f>ROW()</f>
        <v>240</v>
      </c>
    </row>
    <row r="241" spans="2:15" ht="15" customHeight="1">
      <c r="G241">
        <f t="shared" si="1"/>
        <v>25</v>
      </c>
      <c r="H241" s="734">
        <f t="shared" si="2"/>
        <v>3.7743881611293079E-3</v>
      </c>
      <c r="I241" s="1219">
        <f t="shared" si="3"/>
        <v>0.1868160795765485</v>
      </c>
      <c r="O241" s="621">
        <f>ROW()</f>
        <v>241</v>
      </c>
    </row>
    <row r="242" spans="2:15" ht="15" customHeight="1">
      <c r="O242" s="621">
        <f>ROW()</f>
        <v>242</v>
      </c>
    </row>
    <row r="243" spans="2:15" ht="15" customHeight="1">
      <c r="B243" s="2" t="s">
        <v>5652</v>
      </c>
      <c r="I243" s="2">
        <v>5</v>
      </c>
      <c r="O243" s="621">
        <f>ROW()</f>
        <v>243</v>
      </c>
    </row>
    <row r="244" spans="2:15" ht="15" customHeight="1">
      <c r="B244" s="265" t="s">
        <v>5840</v>
      </c>
      <c r="O244" s="621">
        <f>ROW()</f>
        <v>244</v>
      </c>
    </row>
    <row r="245" spans="2:15" ht="15" customHeight="1">
      <c r="O245" s="621">
        <f>ROW()</f>
        <v>245</v>
      </c>
    </row>
    <row r="246" spans="2:15" ht="15" customHeight="1">
      <c r="B246" s="24" t="s">
        <v>5795</v>
      </c>
      <c r="O246" s="621">
        <f>ROW()</f>
        <v>246</v>
      </c>
    </row>
    <row r="247" spans="2:15" ht="15" customHeight="1">
      <c r="O247" s="621">
        <f>ROW()</f>
        <v>247</v>
      </c>
    </row>
    <row r="248" spans="2:15" ht="15" customHeight="1">
      <c r="B248" s="3794" t="s">
        <v>5796</v>
      </c>
      <c r="C248" s="3796"/>
      <c r="D248" s="3796"/>
      <c r="E248" s="3796"/>
      <c r="F248" s="3796"/>
      <c r="G248" s="3796"/>
      <c r="H248" s="3796"/>
      <c r="I248" s="3796"/>
      <c r="O248" s="621">
        <f>ROW()</f>
        <v>248</v>
      </c>
    </row>
    <row r="249" spans="2:15" ht="15" customHeight="1">
      <c r="B249" s="3796"/>
      <c r="C249" s="3796"/>
      <c r="D249" s="3796"/>
      <c r="E249" s="3796"/>
      <c r="F249" s="3796"/>
      <c r="G249" s="3796"/>
      <c r="H249" s="3796"/>
      <c r="I249" s="3796"/>
      <c r="O249" s="621">
        <f>ROW()</f>
        <v>249</v>
      </c>
    </row>
    <row r="250" spans="2:15" ht="15" customHeight="1">
      <c r="B250" s="3796"/>
      <c r="C250" s="3796"/>
      <c r="D250" s="3796"/>
      <c r="E250" s="3796"/>
      <c r="F250" s="3796"/>
      <c r="G250" s="3796"/>
      <c r="H250" s="3796"/>
      <c r="I250" s="3796"/>
      <c r="O250" s="621">
        <f>ROW()</f>
        <v>250</v>
      </c>
    </row>
    <row r="251" spans="2:15" ht="15" customHeight="1">
      <c r="O251" s="621">
        <f>ROW()</f>
        <v>251</v>
      </c>
    </row>
    <row r="252" spans="2:15" ht="15" customHeight="1">
      <c r="B252" s="518" t="s">
        <v>3478</v>
      </c>
      <c r="O252" s="621">
        <f>ROW()</f>
        <v>252</v>
      </c>
    </row>
    <row r="253" spans="2:15" ht="15" customHeight="1">
      <c r="B253" s="518"/>
      <c r="O253" s="621">
        <f>ROW()</f>
        <v>253</v>
      </c>
    </row>
    <row r="254" spans="2:15" ht="15" customHeight="1">
      <c r="B254" s="4636" t="s">
        <v>3493</v>
      </c>
      <c r="C254" s="4636"/>
      <c r="D254" s="4636"/>
      <c r="E254" s="4636"/>
      <c r="F254" s="4636"/>
      <c r="G254" s="4636"/>
      <c r="H254" s="4636"/>
      <c r="I254" s="4636"/>
      <c r="J254" s="4636"/>
      <c r="O254" s="621">
        <f>ROW()</f>
        <v>254</v>
      </c>
    </row>
    <row r="255" spans="2:15" ht="15" customHeight="1">
      <c r="B255" s="4636"/>
      <c r="C255" s="4636"/>
      <c r="D255" s="4636"/>
      <c r="E255" s="4636"/>
      <c r="F255" s="4636"/>
      <c r="G255" s="4636"/>
      <c r="H255" s="4636"/>
      <c r="I255" s="4636"/>
      <c r="J255" s="4636"/>
      <c r="O255" s="621">
        <f>ROW()</f>
        <v>255</v>
      </c>
    </row>
    <row r="256" spans="2:15" ht="15" customHeight="1">
      <c r="B256" s="4636"/>
      <c r="C256" s="4636"/>
      <c r="D256" s="4636"/>
      <c r="E256" s="4636"/>
      <c r="F256" s="4636"/>
      <c r="G256" s="4636"/>
      <c r="H256" s="4636"/>
      <c r="I256" s="4636"/>
      <c r="J256" s="4636"/>
      <c r="O256" s="621">
        <f>ROW()</f>
        <v>256</v>
      </c>
    </row>
    <row r="257" spans="2:15" ht="15" customHeight="1">
      <c r="B257" s="4636" t="s">
        <v>3494</v>
      </c>
      <c r="C257" s="4636"/>
      <c r="D257" s="4636"/>
      <c r="E257" s="4636"/>
      <c r="F257" s="4636"/>
      <c r="G257" s="4636"/>
      <c r="H257" s="4636"/>
      <c r="I257" s="4636"/>
      <c r="J257" s="4636"/>
      <c r="O257" s="621">
        <f>ROW()</f>
        <v>257</v>
      </c>
    </row>
    <row r="258" spans="2:15" ht="15" customHeight="1">
      <c r="B258" s="4636"/>
      <c r="C258" s="4636"/>
      <c r="D258" s="4636"/>
      <c r="E258" s="4636"/>
      <c r="F258" s="4636"/>
      <c r="G258" s="4636"/>
      <c r="H258" s="4636"/>
      <c r="I258" s="4636"/>
      <c r="J258" s="4636"/>
      <c r="O258" s="621">
        <f>ROW()</f>
        <v>258</v>
      </c>
    </row>
    <row r="259" spans="2:15" ht="15" customHeight="1">
      <c r="B259" s="4636"/>
      <c r="C259" s="4636"/>
      <c r="D259" s="4636"/>
      <c r="E259" s="4636"/>
      <c r="F259" s="4636"/>
      <c r="G259" s="4636"/>
      <c r="H259" s="4636"/>
      <c r="I259" s="4636"/>
      <c r="J259" s="4636"/>
      <c r="K259" s="4726" t="s">
        <v>3510</v>
      </c>
      <c r="L259" s="4726"/>
      <c r="M259" s="4726" t="s">
        <v>3511</v>
      </c>
      <c r="N259" s="4726"/>
      <c r="O259" s="621">
        <f>ROW()</f>
        <v>259</v>
      </c>
    </row>
    <row r="260" spans="2:15" ht="15" customHeight="1">
      <c r="B260" s="297"/>
      <c r="C260" s="297"/>
      <c r="D260" s="297"/>
      <c r="E260" s="297"/>
      <c r="F260" s="297"/>
      <c r="G260" s="297"/>
      <c r="H260" s="297"/>
      <c r="I260" s="4078" t="s">
        <v>3505</v>
      </c>
      <c r="J260" s="4078"/>
      <c r="K260" s="4726"/>
      <c r="L260" s="4726"/>
      <c r="M260" s="4726"/>
      <c r="N260" s="4726"/>
      <c r="O260" s="621">
        <f>ROW()</f>
        <v>260</v>
      </c>
    </row>
    <row r="261" spans="2:15" ht="15" customHeight="1">
      <c r="I261" s="1892" t="s">
        <v>967</v>
      </c>
      <c r="J261" s="1892" t="s">
        <v>966</v>
      </c>
      <c r="K261" s="1892" t="s">
        <v>967</v>
      </c>
      <c r="L261" s="1892" t="s">
        <v>966</v>
      </c>
      <c r="M261" s="1892" t="s">
        <v>967</v>
      </c>
      <c r="N261" s="1892" t="s">
        <v>966</v>
      </c>
      <c r="O261" s="621">
        <f>ROW()</f>
        <v>261</v>
      </c>
    </row>
    <row r="262" spans="2:15" ht="15" customHeight="1">
      <c r="B262" s="323" t="s">
        <v>3501</v>
      </c>
      <c r="I262" s="2102">
        <v>2070</v>
      </c>
      <c r="J262" s="2102">
        <v>659</v>
      </c>
      <c r="O262" s="621">
        <f>ROW()</f>
        <v>262</v>
      </c>
    </row>
    <row r="263" spans="2:15" ht="15" customHeight="1">
      <c r="B263" s="4708" t="s">
        <v>3516</v>
      </c>
      <c r="C263" s="3726"/>
      <c r="D263" s="3726"/>
      <c r="E263" s="3726"/>
      <c r="F263" s="3726"/>
      <c r="G263" s="3726"/>
      <c r="H263" s="3726"/>
      <c r="I263" s="3726"/>
      <c r="J263" s="3726"/>
      <c r="O263" s="621">
        <f>ROW()</f>
        <v>263</v>
      </c>
    </row>
    <row r="264" spans="2:15" ht="15" customHeight="1">
      <c r="B264" s="3726"/>
      <c r="C264" s="3726"/>
      <c r="D264" s="3726"/>
      <c r="E264" s="3726"/>
      <c r="F264" s="3726"/>
      <c r="G264" s="3726"/>
      <c r="H264" s="3726"/>
      <c r="I264" s="3726"/>
      <c r="J264" s="3726"/>
      <c r="O264" s="621">
        <f>ROW()</f>
        <v>264</v>
      </c>
    </row>
    <row r="265" spans="2:15" ht="15" customHeight="1">
      <c r="B265" s="323" t="s">
        <v>3503</v>
      </c>
      <c r="I265" s="2102">
        <v>245</v>
      </c>
      <c r="J265" s="2102">
        <v>26</v>
      </c>
      <c r="O265" s="621">
        <f>ROW()</f>
        <v>265</v>
      </c>
    </row>
    <row r="266" spans="2:15" ht="15" customHeight="1">
      <c r="B266" s="2103" t="s">
        <v>3504</v>
      </c>
      <c r="I266" s="1892"/>
      <c r="J266" s="1892"/>
      <c r="O266" s="621">
        <f>ROW()</f>
        <v>266</v>
      </c>
    </row>
    <row r="267" spans="2:15" ht="15" customHeight="1">
      <c r="B267" s="323" t="s">
        <v>3502</v>
      </c>
      <c r="I267" s="117">
        <f>I262/I265</f>
        <v>8.4489795918367339</v>
      </c>
      <c r="J267" s="117">
        <f>J262/J265</f>
        <v>25.346153846153847</v>
      </c>
      <c r="O267" s="621">
        <f>ROW()</f>
        <v>267</v>
      </c>
    </row>
    <row r="268" spans="2:15" ht="15" customHeight="1">
      <c r="B268" s="2103" t="str">
        <f>CONCATENATE("Ratio of route miles in Row ",O262, " to routes in Row ",O265, ".")</f>
        <v>Ratio of route miles in Row 262 to routes in Row 265.</v>
      </c>
      <c r="I268" s="1892"/>
      <c r="J268" s="1892"/>
      <c r="O268" s="621">
        <f>ROW()</f>
        <v>268</v>
      </c>
    </row>
    <row r="269" spans="2:15" ht="15" customHeight="1">
      <c r="B269" s="323" t="s">
        <v>3474</v>
      </c>
      <c r="I269" s="2102">
        <v>13273514</v>
      </c>
      <c r="J269" s="2102">
        <v>19320766</v>
      </c>
      <c r="O269" s="621">
        <f>ROW()</f>
        <v>269</v>
      </c>
    </row>
    <row r="270" spans="2:15" ht="15" customHeight="1">
      <c r="B270" s="2103" t="s">
        <v>3480</v>
      </c>
      <c r="O270" s="621">
        <f>ROW()</f>
        <v>270</v>
      </c>
    </row>
    <row r="271" spans="2:15" ht="15" customHeight="1">
      <c r="B271" s="323" t="s">
        <v>3475</v>
      </c>
      <c r="I271" s="2102">
        <v>102693042</v>
      </c>
      <c r="J271" s="2102">
        <v>352524575</v>
      </c>
      <c r="O271" s="621">
        <f>ROW()</f>
        <v>271</v>
      </c>
    </row>
    <row r="272" spans="2:15" ht="15" customHeight="1">
      <c r="B272" s="2103" t="s">
        <v>3479</v>
      </c>
      <c r="O272" s="621">
        <f>ROW()</f>
        <v>272</v>
      </c>
    </row>
    <row r="273" spans="2:15" ht="15" customHeight="1">
      <c r="B273" s="323" t="s">
        <v>3481</v>
      </c>
      <c r="I273">
        <f>AVERAGE(3.52,3.74)</f>
        <v>3.63</v>
      </c>
      <c r="J273" s="117">
        <f>AVERAGE(7.61,7.94)</f>
        <v>7.7750000000000004</v>
      </c>
      <c r="O273" s="621">
        <f>ROW()</f>
        <v>273</v>
      </c>
    </row>
    <row r="274" spans="2:15" ht="15" customHeight="1">
      <c r="B274" s="2103" t="s">
        <v>3849</v>
      </c>
      <c r="O274" s="621">
        <f>ROW()</f>
        <v>274</v>
      </c>
    </row>
    <row r="275" spans="2:15" ht="15" customHeight="1">
      <c r="B275" s="323" t="s">
        <v>3482</v>
      </c>
      <c r="I275" s="117">
        <f>I271/I269</f>
        <v>7.7366884157428091</v>
      </c>
      <c r="J275" s="117">
        <f>J271/J269</f>
        <v>18.245890199177403</v>
      </c>
      <c r="O275" s="621">
        <f>ROW()</f>
        <v>275</v>
      </c>
    </row>
    <row r="276" spans="2:15" ht="15" customHeight="1">
      <c r="B276" s="2103" t="str">
        <f>CONCATENATE("Ratio of revenue miles in Row ",O271, " to revenue hours in Row ",O269, ".")</f>
        <v>Ratio of revenue miles in Row 271 to revenue hours in Row 269.</v>
      </c>
      <c r="O276" s="621">
        <f>ROW()</f>
        <v>276</v>
      </c>
    </row>
    <row r="277" spans="2:15" ht="15" customHeight="1">
      <c r="B277" s="323" t="s">
        <v>3483</v>
      </c>
      <c r="I277" s="2102">
        <v>3924</v>
      </c>
      <c r="J277" s="2102">
        <v>5388</v>
      </c>
      <c r="O277" s="621">
        <f>ROW()</f>
        <v>277</v>
      </c>
    </row>
    <row r="278" spans="2:15" ht="15" customHeight="1">
      <c r="B278" s="2103" t="s">
        <v>3484</v>
      </c>
      <c r="O278" s="621">
        <f>ROW()</f>
        <v>278</v>
      </c>
    </row>
    <row r="279" spans="2:15" ht="15" customHeight="1">
      <c r="B279" s="323" t="s">
        <v>3500</v>
      </c>
      <c r="I279" s="2102">
        <f>I269/I277</f>
        <v>3382.6488277268095</v>
      </c>
      <c r="J279" s="2102">
        <f>J269/J277</f>
        <v>3585.8882702301412</v>
      </c>
      <c r="O279" s="621">
        <f>ROW()</f>
        <v>279</v>
      </c>
    </row>
    <row r="280" spans="2:15" ht="15" customHeight="1">
      <c r="B280" s="2103" t="str">
        <f>CONCATENATE("Ratio of revenue miles in Row ",O269, " to vehicles in Row ",O277, ".")</f>
        <v>Ratio of revenue miles in Row 269 to vehicles in Row 277.</v>
      </c>
      <c r="O280" s="621">
        <f>ROW()</f>
        <v>280</v>
      </c>
    </row>
    <row r="281" spans="2:15" ht="15" customHeight="1">
      <c r="B281" s="323" t="s">
        <v>3485</v>
      </c>
      <c r="I281" s="2106">
        <v>547024200</v>
      </c>
      <c r="J281" s="2106">
        <v>307171300</v>
      </c>
      <c r="O281" s="621">
        <f>ROW()</f>
        <v>281</v>
      </c>
    </row>
    <row r="282" spans="2:15" ht="15" customHeight="1">
      <c r="B282" s="2103" t="s">
        <v>3495</v>
      </c>
      <c r="C282" s="2103"/>
      <c r="D282" s="2103"/>
      <c r="E282" s="2103"/>
      <c r="F282" s="2103"/>
      <c r="G282" s="2103"/>
      <c r="H282" s="2103"/>
      <c r="I282" s="2103"/>
      <c r="J282" s="2103"/>
      <c r="O282" s="621">
        <f>ROW()</f>
        <v>282</v>
      </c>
    </row>
    <row r="283" spans="2:15" ht="15" customHeight="1">
      <c r="B283" s="323" t="s">
        <v>3486</v>
      </c>
      <c r="I283" s="2106">
        <v>520727000</v>
      </c>
      <c r="J283" s="2106">
        <v>1528666200</v>
      </c>
      <c r="O283" s="621">
        <f>ROW()</f>
        <v>283</v>
      </c>
    </row>
    <row r="284" spans="2:15" ht="15" customHeight="1">
      <c r="B284" s="4708" t="s">
        <v>3528</v>
      </c>
      <c r="C284" s="3726"/>
      <c r="D284" s="3726"/>
      <c r="E284" s="3726"/>
      <c r="F284" s="3726"/>
      <c r="G284" s="3726"/>
      <c r="H284" s="3726"/>
      <c r="I284" s="3726"/>
      <c r="J284" s="3726"/>
      <c r="L284" s="4720" t="str">
        <f>CONCATENATE("Komanoff note: Bus tire and tube cost in Row ",O296, " implies $36,000 per vehicle per year, or $100 per day. If a bus tire costs $700 (?), then each bus would be receiving one tire change per week!")</f>
        <v>Komanoff note: Bus tire and tube cost in Row 296 implies $36,000 per vehicle per year, or $100 per day. If a bus tire costs $700 (?), then each bus would be receiving one tire change per week!</v>
      </c>
      <c r="M284" s="4721"/>
      <c r="N284" s="4722"/>
      <c r="O284" s="621">
        <f>ROW()</f>
        <v>284</v>
      </c>
    </row>
    <row r="285" spans="2:15" ht="15" customHeight="1">
      <c r="B285" s="3726"/>
      <c r="C285" s="3726"/>
      <c r="D285" s="3726"/>
      <c r="E285" s="3726"/>
      <c r="F285" s="3726"/>
      <c r="G285" s="3726"/>
      <c r="H285" s="3726"/>
      <c r="I285" s="3726"/>
      <c r="J285" s="3726"/>
      <c r="L285" s="4723"/>
      <c r="M285" s="4724"/>
      <c r="N285" s="4725"/>
      <c r="O285" s="621">
        <f>ROW()</f>
        <v>285</v>
      </c>
    </row>
    <row r="286" spans="2:15" ht="15" customHeight="1">
      <c r="B286" s="323" t="s">
        <v>3487</v>
      </c>
      <c r="I286" s="2106">
        <v>852888700</v>
      </c>
      <c r="J286" s="2106">
        <v>1466412800</v>
      </c>
      <c r="L286" s="4723"/>
      <c r="M286" s="4724"/>
      <c r="N286" s="4725"/>
      <c r="O286" s="621">
        <f>ROW()</f>
        <v>286</v>
      </c>
    </row>
    <row r="287" spans="2:15" ht="15" customHeight="1">
      <c r="B287" s="4708" t="s">
        <v>3496</v>
      </c>
      <c r="C287" s="3726"/>
      <c r="D287" s="3726"/>
      <c r="E287" s="3726"/>
      <c r="F287" s="3726"/>
      <c r="G287" s="3726"/>
      <c r="H287" s="3726"/>
      <c r="I287" s="3726"/>
      <c r="J287" s="3726"/>
      <c r="L287" s="4723"/>
      <c r="M287" s="4724"/>
      <c r="N287" s="4725"/>
      <c r="O287" s="621">
        <f>ROW()</f>
        <v>287</v>
      </c>
    </row>
    <row r="288" spans="2:15" ht="15" customHeight="1">
      <c r="B288" s="3726"/>
      <c r="C288" s="3726"/>
      <c r="D288" s="3726"/>
      <c r="E288" s="3726"/>
      <c r="F288" s="3726"/>
      <c r="G288" s="3726"/>
      <c r="H288" s="3726"/>
      <c r="I288" s="3726"/>
      <c r="J288" s="3726"/>
      <c r="L288" s="4723"/>
      <c r="M288" s="4724"/>
      <c r="N288" s="4725"/>
      <c r="O288" s="621">
        <f>ROW()</f>
        <v>288</v>
      </c>
    </row>
    <row r="289" spans="2:15" ht="15" customHeight="1">
      <c r="B289" s="3726"/>
      <c r="C289" s="3726"/>
      <c r="D289" s="3726"/>
      <c r="E289" s="3726"/>
      <c r="F289" s="3726"/>
      <c r="G289" s="3726"/>
      <c r="H289" s="3726"/>
      <c r="I289" s="3726"/>
      <c r="J289" s="3726"/>
      <c r="L289" s="3683"/>
      <c r="M289" s="3684"/>
      <c r="N289" s="3685"/>
      <c r="O289" s="621">
        <f>ROW()</f>
        <v>289</v>
      </c>
    </row>
    <row r="290" spans="2:15" ht="15" customHeight="1">
      <c r="B290" s="4168"/>
      <c r="C290" s="4168"/>
      <c r="D290" s="4168"/>
      <c r="E290" s="4168"/>
      <c r="F290" s="4168"/>
      <c r="G290" s="4168"/>
      <c r="H290" s="4168"/>
      <c r="I290" s="4168"/>
      <c r="J290" s="4168"/>
      <c r="O290" s="621">
        <f>ROW()</f>
        <v>290</v>
      </c>
    </row>
    <row r="291" spans="2:15" ht="15" customHeight="1">
      <c r="B291" s="4168"/>
      <c r="C291" s="4168"/>
      <c r="D291" s="4168"/>
      <c r="E291" s="4168"/>
      <c r="F291" s="4168"/>
      <c r="G291" s="4168"/>
      <c r="H291" s="4168"/>
      <c r="I291" s="4168"/>
      <c r="J291" s="4168"/>
      <c r="O291" s="621">
        <f>ROW()</f>
        <v>291</v>
      </c>
    </row>
    <row r="292" spans="2:15" ht="15" customHeight="1">
      <c r="B292" s="323" t="s">
        <v>3488</v>
      </c>
      <c r="I292" s="124">
        <f>SUM(I281:I286)</f>
        <v>1920639900</v>
      </c>
      <c r="J292" s="124">
        <f>SUM(J281:J286)</f>
        <v>3302250300</v>
      </c>
      <c r="K292" s="456">
        <f>I292/I$269</f>
        <v>144.69716911437317</v>
      </c>
      <c r="L292" s="456">
        <f>J292/J$269</f>
        <v>170.91715204252253</v>
      </c>
      <c r="M292" s="456">
        <f>I292/I$271</f>
        <v>18.702726714435045</v>
      </c>
      <c r="N292" s="456">
        <f>J292/J$271</f>
        <v>9.3674328945719605</v>
      </c>
      <c r="O292" s="621">
        <f>ROW()</f>
        <v>292</v>
      </c>
    </row>
    <row r="293" spans="2:15" ht="15" customHeight="1">
      <c r="B293" s="2103" t="str">
        <f>CONCATENATE("Sum of Rows ",O281, ", ",O283, ", and ",O286,".")</f>
        <v>Sum of Rows 281, 283, and 286.</v>
      </c>
      <c r="K293" s="34"/>
      <c r="L293" s="34"/>
      <c r="M293" s="34"/>
      <c r="N293" s="34"/>
      <c r="O293" s="621">
        <f>ROW()</f>
        <v>293</v>
      </c>
    </row>
    <row r="294" spans="2:15" ht="15" customHeight="1">
      <c r="B294" s="323" t="s">
        <v>3489</v>
      </c>
      <c r="I294" s="2106">
        <v>166354000</v>
      </c>
      <c r="J294" s="2106">
        <v>5765700</v>
      </c>
      <c r="K294" s="566">
        <f>M294*I$275</f>
        <v>12.53277768042434</v>
      </c>
      <c r="L294" s="566">
        <f>N294*J$275</f>
        <v>0.29841984525872317</v>
      </c>
      <c r="M294" s="456">
        <f>I294/I$271</f>
        <v>1.6199150084579246</v>
      </c>
      <c r="N294" s="456">
        <f>J294/J$271</f>
        <v>1.6355455502641197E-2</v>
      </c>
      <c r="O294" s="621">
        <f>ROW()</f>
        <v>294</v>
      </c>
    </row>
    <row r="295" spans="2:15" ht="15" customHeight="1">
      <c r="B295" s="2103" t="s">
        <v>3497</v>
      </c>
      <c r="I295" s="2106"/>
      <c r="J295" s="2106"/>
      <c r="K295" s="34"/>
      <c r="L295" s="34"/>
      <c r="M295" s="34"/>
      <c r="N295" s="34"/>
      <c r="O295" s="621">
        <f>ROW()</f>
        <v>295</v>
      </c>
    </row>
    <row r="296" spans="2:15" ht="15" customHeight="1">
      <c r="B296" s="323" t="s">
        <v>3490</v>
      </c>
      <c r="I296" s="2109">
        <f>141098.7*1000</f>
        <v>141098700</v>
      </c>
      <c r="J296" s="2106">
        <f>215778.3*1000</f>
        <v>215778300</v>
      </c>
      <c r="K296" s="566">
        <f>M296*I$275</f>
        <v>10.630093884709053</v>
      </c>
      <c r="L296" s="566">
        <f>N296*J$275</f>
        <v>11.16820627091079</v>
      </c>
      <c r="M296" s="456">
        <f>I296/I$271</f>
        <v>1.3739850066959747</v>
      </c>
      <c r="N296" s="456">
        <f>J296/J$271</f>
        <v>0.6120943483160004</v>
      </c>
      <c r="O296" s="621">
        <f>ROW()</f>
        <v>296</v>
      </c>
    </row>
    <row r="297" spans="2:15" ht="15" customHeight="1">
      <c r="B297" s="2103" t="s">
        <v>3506</v>
      </c>
      <c r="I297" s="2106"/>
      <c r="J297" s="2106"/>
      <c r="K297" s="34"/>
      <c r="L297" s="34"/>
      <c r="M297" s="34"/>
      <c r="N297" s="34"/>
      <c r="O297" s="621">
        <f>ROW()</f>
        <v>297</v>
      </c>
    </row>
    <row r="298" spans="2:15" ht="15" customHeight="1">
      <c r="B298" s="323" t="s">
        <v>3491</v>
      </c>
      <c r="I298" s="2106">
        <f>31370.4*1000</f>
        <v>31370400</v>
      </c>
      <c r="J298" s="2106">
        <f>47452.7*1000</f>
        <v>47452700</v>
      </c>
      <c r="K298" s="456">
        <f>I298/I$269</f>
        <v>2.3633832005601532</v>
      </c>
      <c r="L298" s="456">
        <f>J298/J$269</f>
        <v>2.4560465149259612</v>
      </c>
      <c r="M298" s="456">
        <f>K298/I275</f>
        <v>0.30547736622701277</v>
      </c>
      <c r="N298" s="456">
        <f>L298/J275</f>
        <v>0.13460820426490835</v>
      </c>
      <c r="O298" s="621">
        <f>ROW()</f>
        <v>298</v>
      </c>
    </row>
    <row r="299" spans="2:15" ht="15" customHeight="1">
      <c r="B299" s="2103" t="s">
        <v>3498</v>
      </c>
      <c r="I299" s="2106"/>
      <c r="J299" s="2106"/>
      <c r="K299" s="34"/>
      <c r="L299" s="34"/>
      <c r="M299" s="34"/>
      <c r="N299" s="34"/>
      <c r="O299" s="621">
        <f>ROW()</f>
        <v>299</v>
      </c>
    </row>
    <row r="300" spans="2:15" ht="15" customHeight="1">
      <c r="B300" s="323" t="s">
        <v>3492</v>
      </c>
      <c r="I300" s="2106">
        <f>20898.8*1000</f>
        <v>20898800</v>
      </c>
      <c r="J300" s="2106">
        <f>258282.8*1000</f>
        <v>258282800</v>
      </c>
      <c r="K300" s="566">
        <f>M300*I$275</f>
        <v>1.5744737979709065</v>
      </c>
      <c r="L300" s="566">
        <f>N300*J$275</f>
        <v>13.36814492758724</v>
      </c>
      <c r="M300" s="456">
        <f>I300/I$271</f>
        <v>0.2035074586650184</v>
      </c>
      <c r="N300" s="456">
        <f>J300/J$271</f>
        <v>0.73266608434319791</v>
      </c>
      <c r="O300" s="621">
        <f>ROW()</f>
        <v>300</v>
      </c>
    </row>
    <row r="301" spans="2:15" ht="15" customHeight="1">
      <c r="B301" s="4708" t="s">
        <v>3499</v>
      </c>
      <c r="C301" s="3726"/>
      <c r="D301" s="3726"/>
      <c r="E301" s="3726"/>
      <c r="F301" s="3726"/>
      <c r="G301" s="3726"/>
      <c r="H301" s="3726"/>
      <c r="I301" s="3726"/>
      <c r="J301" s="3726"/>
      <c r="O301" s="621">
        <f>ROW()</f>
        <v>301</v>
      </c>
    </row>
    <row r="302" spans="2:15" ht="15" customHeight="1">
      <c r="B302" s="3726"/>
      <c r="C302" s="3726"/>
      <c r="D302" s="3726"/>
      <c r="E302" s="3726"/>
      <c r="F302" s="3726"/>
      <c r="G302" s="3726"/>
      <c r="H302" s="3726"/>
      <c r="I302" s="3726"/>
      <c r="J302" s="3726"/>
      <c r="O302" s="621">
        <f>ROW()</f>
        <v>302</v>
      </c>
    </row>
    <row r="303" spans="2:15" ht="15" customHeight="1">
      <c r="B303" s="1815" t="s">
        <v>3507</v>
      </c>
      <c r="K303" s="2107">
        <f>SUM(K292:K300)</f>
        <v>171.79789767803763</v>
      </c>
      <c r="L303" s="2107">
        <f>SUM(L292:L300)</f>
        <v>198.20796960120526</v>
      </c>
      <c r="M303" s="2107">
        <f>SUM(M292:M300)</f>
        <v>22.205611554480974</v>
      </c>
      <c r="N303" s="566">
        <f>SUM(N292:N300)</f>
        <v>10.863156986998709</v>
      </c>
      <c r="O303" s="621">
        <f>ROW()</f>
        <v>303</v>
      </c>
    </row>
    <row r="304" spans="2:15" ht="15" customHeight="1">
      <c r="O304" s="621">
        <f>ROW()</f>
        <v>304</v>
      </c>
    </row>
    <row r="305" spans="2:15" ht="15" customHeight="1">
      <c r="B305" s="1815" t="s">
        <v>3514</v>
      </c>
      <c r="K305" s="2382">
        <f>1000000/K303</f>
        <v>5820.7929987250272</v>
      </c>
      <c r="L305" s="2382">
        <f>1000000/L303</f>
        <v>5045.205810906602</v>
      </c>
      <c r="O305" s="621">
        <f>ROW()</f>
        <v>305</v>
      </c>
    </row>
    <row r="306" spans="2:15" ht="15" customHeight="1">
      <c r="B306" s="2103" t="str">
        <f>CONCATENATE("Calculated as $1,000,000 divided by hourly per-vehicle operating costs in Row ",O303, ".")</f>
        <v>Calculated as $1,000,000 divided by hourly per-vehicle operating costs in Row 303.</v>
      </c>
      <c r="O306" s="621">
        <f>ROW()</f>
        <v>306</v>
      </c>
    </row>
    <row r="307" spans="2:15" ht="15" customHeight="1">
      <c r="O307" s="621">
        <f>ROW()</f>
        <v>307</v>
      </c>
    </row>
    <row r="308" spans="2:15" ht="15" customHeight="1">
      <c r="B308" s="2" t="s">
        <v>3559</v>
      </c>
      <c r="I308" s="2131">
        <f>Buses!AD274</f>
        <v>6.1860107571095916E-3</v>
      </c>
      <c r="O308" s="621">
        <f>ROW()</f>
        <v>308</v>
      </c>
    </row>
    <row r="309" spans="2:15" ht="15" customHeight="1">
      <c r="B309" s="265" t="str">
        <f>CONCATENATE("From 'Buses' worksheet, Row ",Buses!O274, ". Estimated by distributing $50 million among the 20 most frequented bus lines.")</f>
        <v>From 'Buses' worksheet, Row 274. Estimated by distributing $50 million among the 20 most frequented bus lines.</v>
      </c>
      <c r="I309" s="838"/>
      <c r="O309" s="621">
        <f>ROW()</f>
        <v>309</v>
      </c>
    </row>
    <row r="310" spans="2:15" ht="15" customHeight="1">
      <c r="O310" s="621">
        <f>ROW()</f>
        <v>310</v>
      </c>
    </row>
    <row r="311" spans="2:15" ht="15" customHeight="1">
      <c r="B311" s="2" t="s">
        <v>3570</v>
      </c>
      <c r="I311" s="48">
        <v>1.2</v>
      </c>
      <c r="O311" s="621">
        <f>ROW()</f>
        <v>311</v>
      </c>
    </row>
    <row r="312" spans="2:15" ht="15" customHeight="1">
      <c r="B312" s="3754" t="s">
        <v>3831</v>
      </c>
      <c r="C312" s="3659"/>
      <c r="D312" s="3659"/>
      <c r="E312" s="3659"/>
      <c r="F312" s="3659"/>
      <c r="G312" s="3659"/>
      <c r="H312" s="3659"/>
      <c r="O312" s="621">
        <f>ROW()</f>
        <v>312</v>
      </c>
    </row>
    <row r="313" spans="2:15" ht="15" customHeight="1">
      <c r="B313" s="3659"/>
      <c r="C313" s="3659"/>
      <c r="D313" s="3659"/>
      <c r="E313" s="3659"/>
      <c r="F313" s="3659"/>
      <c r="G313" s="3659"/>
      <c r="H313" s="3659"/>
      <c r="O313" s="621">
        <f>ROW()</f>
        <v>313</v>
      </c>
    </row>
    <row r="314" spans="2:15" ht="15" customHeight="1">
      <c r="B314" s="2135"/>
      <c r="C314" s="2135"/>
      <c r="D314" s="2135"/>
      <c r="E314" s="2135"/>
      <c r="F314" s="2135"/>
      <c r="G314" s="2135"/>
      <c r="H314" s="2135"/>
      <c r="O314" s="621">
        <f>ROW()</f>
        <v>314</v>
      </c>
    </row>
    <row r="315" spans="2:15" ht="15" customHeight="1">
      <c r="B315" s="2" t="s">
        <v>3560</v>
      </c>
      <c r="C315" s="6"/>
      <c r="D315" s="6"/>
      <c r="E315" s="6"/>
      <c r="F315" s="6"/>
      <c r="G315" s="6"/>
      <c r="H315" s="6"/>
      <c r="I315" s="838">
        <f>IF(I320&lt;0,-0.5*I311*I198,0.5*I311*I198)</f>
        <v>0.03</v>
      </c>
      <c r="O315" s="621">
        <f>ROW()</f>
        <v>315</v>
      </c>
    </row>
    <row r="316" spans="2:15" ht="15" customHeight="1">
      <c r="B316" s="3754" t="str">
        <f>CONCATENATE("Calculated as one-half of Row ",O198, " figure (since applies to each $50M rather than $100M), times Row ",O311, " figure. Captures diminishing returns in translating transit spending to improved travel time. See Row ",O199, " for elaboraiton.")</f>
        <v>Calculated as one-half of Row 198 figure (since applies to each $50M rather than $100M), times Row 311 figure. Captures diminishing returns in translating transit spending to improved travel time. See Row 199 for elaboraiton.</v>
      </c>
      <c r="C316" s="3659"/>
      <c r="D316" s="3659"/>
      <c r="E316" s="3659"/>
      <c r="F316" s="3659"/>
      <c r="G316" s="3659"/>
      <c r="H316" s="3659"/>
      <c r="O316" s="621">
        <f>ROW()</f>
        <v>316</v>
      </c>
    </row>
    <row r="317" spans="2:15" ht="15" customHeight="1">
      <c r="B317" s="3659"/>
      <c r="C317" s="3659"/>
      <c r="D317" s="3659"/>
      <c r="E317" s="3659"/>
      <c r="F317" s="3659"/>
      <c r="G317" s="3659"/>
      <c r="H317" s="3659"/>
      <c r="O317" s="621">
        <f>ROW()</f>
        <v>317</v>
      </c>
    </row>
    <row r="318" spans="2:15" ht="15" customHeight="1">
      <c r="B318" s="3659"/>
      <c r="C318" s="3659"/>
      <c r="D318" s="3659"/>
      <c r="E318" s="3659"/>
      <c r="F318" s="3659"/>
      <c r="G318" s="3659"/>
      <c r="H318" s="3659"/>
      <c r="O318" s="621">
        <f>ROW()</f>
        <v>318</v>
      </c>
    </row>
    <row r="319" spans="2:15" ht="15" customHeight="1">
      <c r="O319" s="621">
        <f>ROW()</f>
        <v>319</v>
      </c>
    </row>
    <row r="320" spans="2:15" ht="15" customHeight="1">
      <c r="B320" s="2" t="s">
        <v>6354</v>
      </c>
      <c r="I320" s="1708">
        <f>'User Inputs'!J102*1000000</f>
        <v>490000000</v>
      </c>
      <c r="J320" s="3236"/>
      <c r="O320" s="621">
        <f>ROW()</f>
        <v>320</v>
      </c>
    </row>
    <row r="321" spans="2:19" ht="15" customHeight="1">
      <c r="B321" s="265" t="s">
        <v>338</v>
      </c>
      <c r="O321" s="621">
        <f>ROW()</f>
        <v>321</v>
      </c>
    </row>
    <row r="322" spans="2:19" ht="15" customHeight="1">
      <c r="I322" s="1816" t="s">
        <v>967</v>
      </c>
      <c r="J322" s="3280"/>
      <c r="K322" s="3280"/>
      <c r="L322" s="1816" t="s">
        <v>966</v>
      </c>
      <c r="O322" s="621">
        <f>ROW()</f>
        <v>322</v>
      </c>
    </row>
    <row r="323" spans="2:19" s="3291" customFormat="1" ht="15" customHeight="1">
      <c r="I323" s="1816"/>
      <c r="L323" s="1816"/>
      <c r="O323" s="621">
        <f>ROW()</f>
        <v>323</v>
      </c>
      <c r="S323"/>
    </row>
    <row r="324" spans="2:19" s="3280" customFormat="1" ht="15" customHeight="1">
      <c r="B324" s="2" t="s">
        <v>6355</v>
      </c>
      <c r="I324" s="2440">
        <f>MAX(100,ABS((1-'User Inputs'!J105)*I320))</f>
        <v>163333333.33333334</v>
      </c>
      <c r="L324" s="2440">
        <f>ABS('User Inputs'!J105*I320)</f>
        <v>326666666.66666663</v>
      </c>
      <c r="O324" s="621">
        <f>ROW()</f>
        <v>324</v>
      </c>
      <c r="S324" s="3291"/>
    </row>
    <row r="325" spans="2:19" s="3280" customFormat="1" ht="15" customHeight="1">
      <c r="B325" s="3754" t="str">
        <f>CONCATENATE("Subway figure is product of total change in spending in Row ",O320, " and % of that change spent on subways from 'User Inputs' tab, Row ",'User Inputs'!N105, ". Bus figure is done likewise but uses complement of subways' %. It also has an arbitrary ($100) 'floor' to ensure its value is non-zero, to avoid a mathematical singularity in a dependent cell.")</f>
        <v>Subway figure is product of total change in spending in Row 320 and % of that change spent on subways from 'User Inputs' tab, Row 105. Bus figure is done likewise but uses complement of subways' %. It also has an arbitrary ($100) 'floor' to ensure its value is non-zero, to avoid a mathematical singularity in a dependent cell.</v>
      </c>
      <c r="C325" s="3659"/>
      <c r="D325" s="3659"/>
      <c r="E325" s="3659"/>
      <c r="F325" s="3659"/>
      <c r="G325" s="3659"/>
      <c r="H325" s="3659"/>
      <c r="L325" s="1816"/>
      <c r="O325" s="621">
        <f>ROW()</f>
        <v>325</v>
      </c>
    </row>
    <row r="326" spans="2:19" s="3280" customFormat="1" ht="15" customHeight="1">
      <c r="B326" s="3659"/>
      <c r="C326" s="3659"/>
      <c r="D326" s="3659"/>
      <c r="E326" s="3659"/>
      <c r="F326" s="3659"/>
      <c r="G326" s="3659"/>
      <c r="H326" s="3659"/>
      <c r="L326" s="1816"/>
      <c r="O326" s="621">
        <f>ROW()</f>
        <v>326</v>
      </c>
    </row>
    <row r="327" spans="2:19" s="3591" customFormat="1" ht="15" customHeight="1">
      <c r="B327" s="3659"/>
      <c r="C327" s="3659"/>
      <c r="D327" s="3659"/>
      <c r="E327" s="3659"/>
      <c r="F327" s="3659"/>
      <c r="G327" s="3659"/>
      <c r="H327" s="3659"/>
      <c r="L327" s="1816"/>
      <c r="O327" s="621">
        <f>ROW()</f>
        <v>327</v>
      </c>
      <c r="S327" s="3280"/>
    </row>
    <row r="328" spans="2:19" s="3280" customFormat="1" ht="15" customHeight="1">
      <c r="I328" s="1816"/>
      <c r="L328" s="1816"/>
      <c r="O328" s="621">
        <f>ROW()</f>
        <v>328</v>
      </c>
      <c r="S328" s="3591"/>
    </row>
    <row r="329" spans="2:19" s="3280" customFormat="1" ht="15" customHeight="1">
      <c r="B329" s="2" t="s">
        <v>5797</v>
      </c>
      <c r="I329" s="2440">
        <v>2289448330</v>
      </c>
      <c r="L329" s="2440">
        <v>3313127436</v>
      </c>
      <c r="O329" s="621">
        <f>ROW()</f>
        <v>329</v>
      </c>
    </row>
    <row r="330" spans="2:19" s="3280" customFormat="1" ht="15" customHeight="1">
      <c r="B330" s="3754" t="s">
        <v>5786</v>
      </c>
      <c r="C330" s="3659"/>
      <c r="D330" s="3659"/>
      <c r="E330" s="3659"/>
      <c r="F330" s="3659"/>
      <c r="G330" s="3659"/>
      <c r="H330" s="3659"/>
      <c r="O330" s="621">
        <f>ROW()</f>
        <v>330</v>
      </c>
    </row>
    <row r="331" spans="2:19" s="3280" customFormat="1" ht="15" customHeight="1">
      <c r="B331" s="3659"/>
      <c r="C331" s="3659"/>
      <c r="D331" s="3659"/>
      <c r="E331" s="3659"/>
      <c r="F331" s="3659"/>
      <c r="G331" s="3659"/>
      <c r="H331" s="3659"/>
      <c r="I331" s="4727" t="s">
        <v>5798</v>
      </c>
      <c r="J331" s="4728"/>
      <c r="K331" s="4728"/>
      <c r="L331" s="4729"/>
      <c r="O331" s="621">
        <f>ROW()</f>
        <v>331</v>
      </c>
    </row>
    <row r="332" spans="2:19" s="3280" customFormat="1" ht="15" customHeight="1">
      <c r="I332" s="4560"/>
      <c r="J332" s="4730"/>
      <c r="K332" s="4730"/>
      <c r="L332" s="4561"/>
      <c r="O332" s="621">
        <f>ROW()</f>
        <v>332</v>
      </c>
    </row>
    <row r="333" spans="2:19" s="3280" customFormat="1" ht="15" customHeight="1">
      <c r="B333" s="2" t="s">
        <v>5787</v>
      </c>
      <c r="I333" s="4731">
        <f>L329/I329</f>
        <v>1.447129158839763</v>
      </c>
      <c r="J333" s="4732"/>
      <c r="K333" s="4732"/>
      <c r="L333" s="4733"/>
      <c r="O333" s="621">
        <f>ROW()</f>
        <v>333</v>
      </c>
    </row>
    <row r="334" spans="2:19" s="3280" customFormat="1" ht="15" customHeight="1">
      <c r="I334" s="1816"/>
      <c r="L334" s="1816"/>
      <c r="O334" s="621">
        <f>ROW()</f>
        <v>334</v>
      </c>
    </row>
    <row r="335" spans="2:19" ht="15" customHeight="1">
      <c r="B335" s="2" t="s">
        <v>6356</v>
      </c>
      <c r="I335" s="1709">
        <f>IF(ABS(I324)&lt;=50000000,ABS(I324/50000000*H347),(VLOOKUP(0.5*ROUNDUP(2*ABS(I324)/100000000,0),G345:I401,3)-(0.5*ROUNDUP(2*ABS(I324),-8)-ABS(I324))/50000000*(VLOOKUP(0.5*ROUNDUP(2*ABS(I324)/100000000,0),G345:I401,3)-VLOOKUP(0.5*ROUNDUP(2*ABS(I324)/100000000,0)-0.5,G345:I401,3))))</f>
        <v>1.9512406711729907E-2</v>
      </c>
      <c r="L335" s="3241">
        <f>(I335*L324/I324)/I333</f>
        <v>2.6967056247244707E-2</v>
      </c>
      <c r="O335" s="621">
        <f>ROW()</f>
        <v>335</v>
      </c>
      <c r="S335" s="3280"/>
    </row>
    <row r="336" spans="2:19" ht="15" customHeight="1">
      <c r="B336" s="3754" t="str">
        <f>CONCATENATE("Bus figure is calculated from Lookup table below. Second part of formula (after plus sign) prorates gain from 'last' expenditure increment under $50 million. IF statement ensures Lookup doesn't search" &amp; " for zero. Subway figure prorates bus figure by (i) ratio of system operating costs from Row ",O333, " and (ii) ratio of subway spending to bus spending, both given in Row ",O324, ".")</f>
        <v>Bus figure is calculated from Lookup table below. Second part of formula (after plus sign) prorates gain from 'last' expenditure increment under $50 million. IF statement ensures Lookup doesn't search for zero. Subway figure prorates bus figure by (i) ratio of system operating costs from Row 333 and (ii) ratio of subway spending to bus spending, both given in Row 324.</v>
      </c>
      <c r="C336" s="3659"/>
      <c r="D336" s="3659"/>
      <c r="E336" s="3659"/>
      <c r="F336" s="3659"/>
      <c r="G336" s="3659"/>
      <c r="H336" s="3659"/>
      <c r="O336" s="621">
        <f>ROW()</f>
        <v>336</v>
      </c>
    </row>
    <row r="337" spans="2:19" ht="15" customHeight="1">
      <c r="B337" s="3659"/>
      <c r="C337" s="3659"/>
      <c r="D337" s="3659"/>
      <c r="E337" s="3659"/>
      <c r="F337" s="3659"/>
      <c r="G337" s="3659"/>
      <c r="H337" s="3659"/>
      <c r="O337" s="621">
        <f>ROW()</f>
        <v>337</v>
      </c>
    </row>
    <row r="338" spans="2:19" s="3280" customFormat="1" ht="15" customHeight="1">
      <c r="B338" s="3659"/>
      <c r="C338" s="3659"/>
      <c r="D338" s="3659"/>
      <c r="E338" s="3659"/>
      <c r="F338" s="3659"/>
      <c r="G338" s="3659"/>
      <c r="H338" s="3659"/>
      <c r="O338" s="621">
        <f>ROW()</f>
        <v>338</v>
      </c>
      <c r="S338"/>
    </row>
    <row r="339" spans="2:19" s="3236" customFormat="1" ht="15" customHeight="1">
      <c r="B339" s="3235"/>
      <c r="C339" s="3235"/>
      <c r="D339" s="3235"/>
      <c r="E339" s="3235"/>
      <c r="F339" s="3235"/>
      <c r="G339" s="3235"/>
      <c r="H339" s="3235"/>
      <c r="O339" s="621">
        <f>ROW()</f>
        <v>339</v>
      </c>
      <c r="S339" s="3280"/>
    </row>
    <row r="340" spans="2:19" s="3236" customFormat="1" ht="15" customHeight="1">
      <c r="B340" s="2" t="s">
        <v>6357</v>
      </c>
      <c r="C340" s="3235"/>
      <c r="D340" s="3235"/>
      <c r="E340" s="3235"/>
      <c r="F340" s="3235"/>
      <c r="G340" s="3235"/>
      <c r="H340" s="3235"/>
      <c r="I340" s="3241">
        <f>IF($I320&lt;0,I335,-I335)</f>
        <v>-1.9512406711729907E-2</v>
      </c>
      <c r="L340" s="3241">
        <f>IF($I320&lt;0,L335,-L335)</f>
        <v>-2.6967056247244707E-2</v>
      </c>
      <c r="O340" s="621">
        <f>ROW()</f>
        <v>340</v>
      </c>
    </row>
    <row r="341" spans="2:19" s="3236" customFormat="1" ht="15" customHeight="1">
      <c r="B341" s="3754" t="str">
        <f>CONCATENATE("Corrects prelim result in Row ",O335, " for 'sign', in event of negative value in Row ",O320, " (Correction could have been built into Row ",O335, " value, but complicated Lookup Table function used there makes it simpler to apply correction in separate step.)")</f>
        <v>Corrects prelim result in Row 335 for 'sign', in event of negative value in Row 320 (Correction could have been built into Row 335 value, but complicated Lookup Table function used there makes it simpler to apply correction in separate step.)</v>
      </c>
      <c r="C341" s="3659"/>
      <c r="D341" s="3659"/>
      <c r="E341" s="3659"/>
      <c r="F341" s="3659"/>
      <c r="G341" s="3659"/>
      <c r="H341" s="3659"/>
      <c r="I341" s="3241"/>
      <c r="O341" s="621">
        <f>ROW()</f>
        <v>341</v>
      </c>
    </row>
    <row r="342" spans="2:19" ht="15" customHeight="1">
      <c r="B342" s="3659"/>
      <c r="C342" s="3659"/>
      <c r="D342" s="3659"/>
      <c r="E342" s="3659"/>
      <c r="F342" s="3659"/>
      <c r="G342" s="3659"/>
      <c r="H342" s="3659"/>
      <c r="I342" s="3241"/>
      <c r="O342" s="621">
        <f>ROW()</f>
        <v>342</v>
      </c>
      <c r="S342" s="3236"/>
    </row>
    <row r="343" spans="2:19" s="3236" customFormat="1" ht="15" customHeight="1">
      <c r="B343" s="3235"/>
      <c r="C343" s="3235"/>
      <c r="D343" s="3235"/>
      <c r="E343" s="3235"/>
      <c r="F343" s="3235"/>
      <c r="G343" s="3235"/>
      <c r="H343" s="3235"/>
      <c r="I343" s="3241"/>
      <c r="O343" s="621">
        <f>ROW()</f>
        <v>343</v>
      </c>
      <c r="S343"/>
    </row>
    <row r="344" spans="2:19" ht="15" customHeight="1">
      <c r="G344" s="4705" t="s">
        <v>599</v>
      </c>
      <c r="H344" s="4706" t="s">
        <v>3562</v>
      </c>
      <c r="I344" s="3776"/>
      <c r="O344" s="621">
        <f>ROW()</f>
        <v>344</v>
      </c>
      <c r="S344" s="3236"/>
    </row>
    <row r="345" spans="2:19" ht="15" customHeight="1">
      <c r="G345" s="4705"/>
      <c r="H345" s="3741"/>
      <c r="I345" s="3777"/>
      <c r="O345" s="621">
        <f>ROW()</f>
        <v>345</v>
      </c>
    </row>
    <row r="346" spans="2:19" ht="15" customHeight="1">
      <c r="G346" s="4705"/>
      <c r="H346" s="8" t="s">
        <v>339</v>
      </c>
      <c r="I346" s="8" t="s">
        <v>340</v>
      </c>
      <c r="O346" s="621">
        <f>ROW()</f>
        <v>346</v>
      </c>
    </row>
    <row r="347" spans="2:19" ht="15" customHeight="1">
      <c r="G347" s="21">
        <v>0.5</v>
      </c>
      <c r="H347" s="1219">
        <f>I308</f>
        <v>6.1860107571095916E-3</v>
      </c>
      <c r="I347" s="1219">
        <f>H347</f>
        <v>6.1860107571095916E-3</v>
      </c>
      <c r="O347" s="621">
        <f>ROW()</f>
        <v>347</v>
      </c>
    </row>
    <row r="348" spans="2:19" ht="15" customHeight="1">
      <c r="G348" s="21">
        <f t="shared" ref="G348:G386" si="4">G347+0.5</f>
        <v>1</v>
      </c>
      <c r="H348" s="734">
        <f>H347*(1-$I$315)</f>
        <v>6.0004304343963038E-3</v>
      </c>
      <c r="I348" s="1219">
        <f t="shared" ref="I348:I371" si="5">I347+H348</f>
        <v>1.2186441191505895E-2</v>
      </c>
      <c r="O348" s="621">
        <f>ROW()</f>
        <v>348</v>
      </c>
    </row>
    <row r="349" spans="2:19" ht="15" customHeight="1">
      <c r="G349" s="21">
        <f t="shared" si="4"/>
        <v>1.5</v>
      </c>
      <c r="H349" s="734">
        <f t="shared" ref="H349:H371" si="6">H348*(1-$I$315)</f>
        <v>5.8204175213644148E-3</v>
      </c>
      <c r="I349" s="1219">
        <f t="shared" si="5"/>
        <v>1.8006858712870312E-2</v>
      </c>
      <c r="O349" s="621">
        <f>ROW()</f>
        <v>349</v>
      </c>
    </row>
    <row r="350" spans="2:19" ht="15" customHeight="1">
      <c r="G350" s="21">
        <f t="shared" si="4"/>
        <v>2</v>
      </c>
      <c r="H350" s="734">
        <f t="shared" si="6"/>
        <v>5.6458049957234819E-3</v>
      </c>
      <c r="I350" s="1219">
        <f t="shared" si="5"/>
        <v>2.3652663708593792E-2</v>
      </c>
      <c r="O350" s="621">
        <f>ROW()</f>
        <v>350</v>
      </c>
    </row>
    <row r="351" spans="2:19" ht="15" customHeight="1">
      <c r="G351" s="21">
        <f t="shared" si="4"/>
        <v>2.5</v>
      </c>
      <c r="H351" s="734">
        <f t="shared" si="6"/>
        <v>5.4764308458517775E-3</v>
      </c>
      <c r="I351" s="1219">
        <f t="shared" si="5"/>
        <v>2.9129094554445571E-2</v>
      </c>
      <c r="O351" s="621">
        <f>ROW()</f>
        <v>351</v>
      </c>
    </row>
    <row r="352" spans="2:19" ht="15" customHeight="1">
      <c r="G352" s="21">
        <f t="shared" si="4"/>
        <v>3</v>
      </c>
      <c r="H352" s="734">
        <f t="shared" si="6"/>
        <v>5.3121379204762237E-3</v>
      </c>
      <c r="I352" s="1219">
        <f t="shared" si="5"/>
        <v>3.4441232474921792E-2</v>
      </c>
      <c r="O352" s="621">
        <f>ROW()</f>
        <v>352</v>
      </c>
    </row>
    <row r="353" spans="7:15" ht="15" customHeight="1">
      <c r="G353" s="21">
        <f t="shared" si="4"/>
        <v>3.5</v>
      </c>
      <c r="H353" s="734">
        <f t="shared" si="6"/>
        <v>5.152773782861937E-3</v>
      </c>
      <c r="I353" s="1219">
        <f t="shared" si="5"/>
        <v>3.9594006257783726E-2</v>
      </c>
      <c r="O353" s="621">
        <f>ROW()</f>
        <v>353</v>
      </c>
    </row>
    <row r="354" spans="7:15" ht="15" customHeight="1">
      <c r="G354" s="21">
        <f t="shared" si="4"/>
        <v>4</v>
      </c>
      <c r="H354" s="734">
        <f t="shared" si="6"/>
        <v>4.9981905693760788E-3</v>
      </c>
      <c r="I354" s="1219">
        <f t="shared" si="5"/>
        <v>4.4592196827159807E-2</v>
      </c>
      <c r="O354" s="621">
        <f>ROW()</f>
        <v>354</v>
      </c>
    </row>
    <row r="355" spans="7:15" ht="15" customHeight="1">
      <c r="G355" s="21">
        <f t="shared" si="4"/>
        <v>4.5</v>
      </c>
      <c r="H355" s="734">
        <f t="shared" si="6"/>
        <v>4.8482448522947962E-3</v>
      </c>
      <c r="I355" s="1219">
        <f t="shared" si="5"/>
        <v>4.9440441679454605E-2</v>
      </c>
      <c r="O355" s="621">
        <f>ROW()</f>
        <v>355</v>
      </c>
    </row>
    <row r="356" spans="7:15" ht="15" customHeight="1">
      <c r="G356" s="21">
        <f t="shared" si="4"/>
        <v>5</v>
      </c>
      <c r="H356" s="734">
        <f t="shared" si="6"/>
        <v>4.7027975067259519E-3</v>
      </c>
      <c r="I356" s="1219">
        <f t="shared" si="5"/>
        <v>5.414323918618056E-2</v>
      </c>
      <c r="O356" s="621">
        <f>ROW()</f>
        <v>356</v>
      </c>
    </row>
    <row r="357" spans="7:15" ht="15" customHeight="1">
      <c r="G357" s="21">
        <f t="shared" si="4"/>
        <v>5.5</v>
      </c>
      <c r="H357" s="734">
        <f t="shared" si="6"/>
        <v>4.5617135815241728E-3</v>
      </c>
      <c r="I357" s="1219">
        <f t="shared" si="5"/>
        <v>5.8704952767704731E-2</v>
      </c>
      <c r="O357" s="621">
        <f>ROW()</f>
        <v>357</v>
      </c>
    </row>
    <row r="358" spans="7:15" ht="15" customHeight="1">
      <c r="G358" s="21">
        <f t="shared" si="4"/>
        <v>6</v>
      </c>
      <c r="H358" s="734">
        <f t="shared" si="6"/>
        <v>4.4248621740784477E-3</v>
      </c>
      <c r="I358" s="1219">
        <f t="shared" si="5"/>
        <v>6.3129814941783186E-2</v>
      </c>
      <c r="O358" s="621">
        <f>ROW()</f>
        <v>358</v>
      </c>
    </row>
    <row r="359" spans="7:15" ht="15" customHeight="1">
      <c r="G359" s="21">
        <f t="shared" si="4"/>
        <v>6.5</v>
      </c>
      <c r="H359" s="734">
        <f t="shared" si="6"/>
        <v>4.2921163088560938E-3</v>
      </c>
      <c r="I359" s="1219">
        <f t="shared" si="5"/>
        <v>6.7421931250639278E-2</v>
      </c>
      <c r="O359" s="621">
        <f>ROW()</f>
        <v>359</v>
      </c>
    </row>
    <row r="360" spans="7:15" ht="15" customHeight="1">
      <c r="G360" s="21">
        <f t="shared" si="4"/>
        <v>7</v>
      </c>
      <c r="H360" s="734">
        <f t="shared" si="6"/>
        <v>4.1633528195904107E-3</v>
      </c>
      <c r="I360" s="1219">
        <f t="shared" si="5"/>
        <v>7.1585284070229682E-2</v>
      </c>
      <c r="O360" s="621">
        <f>ROW()</f>
        <v>360</v>
      </c>
    </row>
    <row r="361" spans="7:15" ht="15" customHeight="1">
      <c r="G361" s="21">
        <f t="shared" si="4"/>
        <v>7.5</v>
      </c>
      <c r="H361" s="734">
        <f t="shared" si="6"/>
        <v>4.0384522350026984E-3</v>
      </c>
      <c r="I361" s="1219">
        <f t="shared" si="5"/>
        <v>7.5623736305232378E-2</v>
      </c>
      <c r="O361" s="621">
        <f>ROW()</f>
        <v>361</v>
      </c>
    </row>
    <row r="362" spans="7:15" ht="15" customHeight="1">
      <c r="G362" s="21">
        <f t="shared" si="4"/>
        <v>8</v>
      </c>
      <c r="H362" s="734">
        <f t="shared" si="6"/>
        <v>3.9172986679526173E-3</v>
      </c>
      <c r="I362" s="1219">
        <f t="shared" si="5"/>
        <v>7.9541034973185001E-2</v>
      </c>
      <c r="O362" s="621">
        <f>ROW()</f>
        <v>362</v>
      </c>
    </row>
    <row r="363" spans="7:15" ht="15" customHeight="1">
      <c r="G363" s="21">
        <f t="shared" si="4"/>
        <v>8.5</v>
      </c>
      <c r="H363" s="734">
        <f t="shared" si="6"/>
        <v>3.7997797079140387E-3</v>
      </c>
      <c r="I363" s="1219">
        <f t="shared" si="5"/>
        <v>8.3340814681099037E-2</v>
      </c>
      <c r="O363" s="621">
        <f>ROW()</f>
        <v>363</v>
      </c>
    </row>
    <row r="364" spans="7:15" ht="15" customHeight="1">
      <c r="G364" s="21">
        <f t="shared" si="4"/>
        <v>9</v>
      </c>
      <c r="H364" s="734">
        <f t="shared" si="6"/>
        <v>3.6857863166766176E-3</v>
      </c>
      <c r="I364" s="1219">
        <f t="shared" si="5"/>
        <v>8.7026600997775649E-2</v>
      </c>
      <c r="O364" s="621">
        <f>ROW()</f>
        <v>364</v>
      </c>
    </row>
    <row r="365" spans="7:15" ht="15" customHeight="1">
      <c r="G365" s="21">
        <f t="shared" si="4"/>
        <v>9.5</v>
      </c>
      <c r="H365" s="734">
        <f t="shared" si="6"/>
        <v>3.5752127271763191E-3</v>
      </c>
      <c r="I365" s="1219">
        <f t="shared" si="5"/>
        <v>9.0601813724951963E-2</v>
      </c>
      <c r="O365" s="621">
        <f>ROW()</f>
        <v>365</v>
      </c>
    </row>
    <row r="366" spans="7:15" ht="15" customHeight="1">
      <c r="G366" s="21">
        <f t="shared" si="4"/>
        <v>10</v>
      </c>
      <c r="H366" s="734">
        <f t="shared" si="6"/>
        <v>3.4679563453610296E-3</v>
      </c>
      <c r="I366" s="1219">
        <f t="shared" si="5"/>
        <v>9.4069770070312989E-2</v>
      </c>
      <c r="O366" s="621">
        <f>ROW()</f>
        <v>366</v>
      </c>
    </row>
    <row r="367" spans="7:15" ht="15" customHeight="1">
      <c r="G367" s="21">
        <f t="shared" si="4"/>
        <v>10.5</v>
      </c>
      <c r="H367" s="734">
        <f t="shared" si="6"/>
        <v>3.3639176550001987E-3</v>
      </c>
      <c r="I367" s="1219">
        <f t="shared" si="5"/>
        <v>9.7433687725313189E-2</v>
      </c>
      <c r="O367" s="621">
        <f>ROW()</f>
        <v>367</v>
      </c>
    </row>
    <row r="368" spans="7:15" ht="15" customHeight="1">
      <c r="G368" s="21">
        <f t="shared" si="4"/>
        <v>11</v>
      </c>
      <c r="H368" s="734">
        <f t="shared" si="6"/>
        <v>3.2630001253501927E-3</v>
      </c>
      <c r="I368" s="1219">
        <f t="shared" si="5"/>
        <v>0.10069668785066338</v>
      </c>
      <c r="O368" s="621">
        <f>ROW()</f>
        <v>368</v>
      </c>
    </row>
    <row r="369" spans="7:19" ht="15" customHeight="1">
      <c r="G369" s="21">
        <f t="shared" si="4"/>
        <v>11.5</v>
      </c>
      <c r="H369" s="734">
        <f t="shared" si="6"/>
        <v>3.1651101215896867E-3</v>
      </c>
      <c r="I369" s="1219">
        <f t="shared" si="5"/>
        <v>0.10386179797225306</v>
      </c>
      <c r="O369" s="621">
        <f>ROW()</f>
        <v>369</v>
      </c>
    </row>
    <row r="370" spans="7:19" ht="15" customHeight="1">
      <c r="G370" s="21">
        <f t="shared" si="4"/>
        <v>12</v>
      </c>
      <c r="H370" s="734">
        <f t="shared" si="6"/>
        <v>3.0701568179419959E-3</v>
      </c>
      <c r="I370" s="1219">
        <f t="shared" si="5"/>
        <v>0.10693195479019506</v>
      </c>
      <c r="O370" s="621">
        <f>ROW()</f>
        <v>370</v>
      </c>
    </row>
    <row r="371" spans="7:19" ht="15" customHeight="1">
      <c r="G371" s="21">
        <f t="shared" si="4"/>
        <v>12.5</v>
      </c>
      <c r="H371" s="734">
        <f t="shared" si="6"/>
        <v>2.9780521134037358E-3</v>
      </c>
      <c r="I371" s="1219">
        <f t="shared" si="5"/>
        <v>0.1099100069035988</v>
      </c>
      <c r="O371" s="621">
        <f>ROW()</f>
        <v>371</v>
      </c>
    </row>
    <row r="372" spans="7:19" ht="15" customHeight="1">
      <c r="G372" s="21">
        <f t="shared" si="4"/>
        <v>13</v>
      </c>
      <c r="H372" s="734">
        <f t="shared" ref="H372:H386" si="7">H371*(1-$I$315)</f>
        <v>2.8887105500016237E-3</v>
      </c>
      <c r="I372" s="1219">
        <f t="shared" ref="I372:I386" si="8">I371+H372</f>
        <v>0.11279871745360043</v>
      </c>
      <c r="J372" s="3236"/>
      <c r="K372" s="3236"/>
      <c r="L372" s="3236"/>
      <c r="M372" s="3236"/>
      <c r="N372" s="3236"/>
      <c r="O372" s="621">
        <f>ROW()</f>
        <v>372</v>
      </c>
    </row>
    <row r="373" spans="7:19" ht="15" customHeight="1">
      <c r="G373" s="21">
        <f t="shared" si="4"/>
        <v>13.5</v>
      </c>
      <c r="H373" s="734">
        <f t="shared" si="7"/>
        <v>2.8020492335015749E-3</v>
      </c>
      <c r="I373" s="1219">
        <f t="shared" si="8"/>
        <v>0.11560076668710201</v>
      </c>
      <c r="J373" s="3236"/>
      <c r="K373" s="3236"/>
      <c r="L373" s="3236"/>
      <c r="M373" s="3236"/>
      <c r="N373" s="3236"/>
      <c r="O373" s="621">
        <f>ROW()</f>
        <v>373</v>
      </c>
    </row>
    <row r="374" spans="7:19" s="3236" customFormat="1" ht="15" customHeight="1">
      <c r="G374" s="21">
        <f t="shared" si="4"/>
        <v>14</v>
      </c>
      <c r="H374" s="734">
        <f t="shared" si="7"/>
        <v>2.7179877564965276E-3</v>
      </c>
      <c r="I374" s="1219">
        <f t="shared" si="8"/>
        <v>0.11831875444359853</v>
      </c>
      <c r="O374" s="621">
        <f>ROW()</f>
        <v>374</v>
      </c>
      <c r="S374"/>
    </row>
    <row r="375" spans="7:19" s="3236" customFormat="1" ht="15" customHeight="1">
      <c r="G375" s="21">
        <f t="shared" si="4"/>
        <v>14.5</v>
      </c>
      <c r="H375" s="734">
        <f t="shared" si="7"/>
        <v>2.6364481238016317E-3</v>
      </c>
      <c r="I375" s="1219">
        <f t="shared" si="8"/>
        <v>0.12095520256740017</v>
      </c>
      <c r="O375" s="621">
        <f>ROW()</f>
        <v>375</v>
      </c>
    </row>
    <row r="376" spans="7:19" s="3236" customFormat="1" ht="15" customHeight="1">
      <c r="G376" s="21">
        <f t="shared" si="4"/>
        <v>15</v>
      </c>
      <c r="H376" s="734">
        <f t="shared" si="7"/>
        <v>2.5573546800875826E-3</v>
      </c>
      <c r="I376" s="1219">
        <f t="shared" si="8"/>
        <v>0.12351255724748775</v>
      </c>
      <c r="O376" s="621">
        <f>ROW()</f>
        <v>376</v>
      </c>
    </row>
    <row r="377" spans="7:19" s="3236" customFormat="1" ht="15" customHeight="1">
      <c r="G377" s="21">
        <f t="shared" si="4"/>
        <v>15.5</v>
      </c>
      <c r="H377" s="734">
        <f t="shared" si="7"/>
        <v>2.4806340396849552E-3</v>
      </c>
      <c r="I377" s="1219">
        <f t="shared" si="8"/>
        <v>0.12599319128717271</v>
      </c>
      <c r="O377" s="621">
        <f>ROW()</f>
        <v>377</v>
      </c>
    </row>
    <row r="378" spans="7:19" s="3236" customFormat="1" ht="15" customHeight="1">
      <c r="G378" s="21">
        <f t="shared" si="4"/>
        <v>16</v>
      </c>
      <c r="H378" s="734">
        <f t="shared" si="7"/>
        <v>2.4062150184944063E-3</v>
      </c>
      <c r="I378" s="1219">
        <f t="shared" si="8"/>
        <v>0.12839940630566712</v>
      </c>
      <c r="O378" s="621">
        <f>ROW()</f>
        <v>378</v>
      </c>
    </row>
    <row r="379" spans="7:19" s="3236" customFormat="1" ht="15" customHeight="1">
      <c r="G379" s="21">
        <f t="shared" si="4"/>
        <v>16.5</v>
      </c>
      <c r="H379" s="734">
        <f t="shared" si="7"/>
        <v>2.334028567939574E-3</v>
      </c>
      <c r="I379" s="1219">
        <f t="shared" si="8"/>
        <v>0.1307334348736067</v>
      </c>
      <c r="O379" s="621">
        <f>ROW()</f>
        <v>379</v>
      </c>
    </row>
    <row r="380" spans="7:19" s="3236" customFormat="1" ht="15" customHeight="1">
      <c r="G380" s="21">
        <f t="shared" si="4"/>
        <v>17</v>
      </c>
      <c r="H380" s="734">
        <f t="shared" si="7"/>
        <v>2.2640077109013865E-3</v>
      </c>
      <c r="I380" s="1219">
        <f t="shared" si="8"/>
        <v>0.13299744258450807</v>
      </c>
      <c r="O380" s="621">
        <f>ROW()</f>
        <v>380</v>
      </c>
    </row>
    <row r="381" spans="7:19" s="3236" customFormat="1" ht="15" customHeight="1">
      <c r="G381" s="21">
        <f t="shared" si="4"/>
        <v>17.5</v>
      </c>
      <c r="H381" s="734">
        <f t="shared" si="7"/>
        <v>2.1960874795743449E-3</v>
      </c>
      <c r="I381" s="1219">
        <f t="shared" si="8"/>
        <v>0.13519353006408241</v>
      </c>
      <c r="O381" s="621">
        <f>ROW()</f>
        <v>381</v>
      </c>
    </row>
    <row r="382" spans="7:19" s="3236" customFormat="1" ht="15" customHeight="1">
      <c r="G382" s="21">
        <f t="shared" si="4"/>
        <v>18</v>
      </c>
      <c r="H382" s="734">
        <f t="shared" si="7"/>
        <v>2.1302048551871144E-3</v>
      </c>
      <c r="I382" s="1219">
        <f t="shared" si="8"/>
        <v>0.13732373491926952</v>
      </c>
      <c r="O382" s="621">
        <f>ROW()</f>
        <v>382</v>
      </c>
    </row>
    <row r="383" spans="7:19" s="3236" customFormat="1" ht="15" customHeight="1">
      <c r="G383" s="21">
        <f t="shared" si="4"/>
        <v>18.5</v>
      </c>
      <c r="H383" s="734">
        <f t="shared" si="7"/>
        <v>2.0662987095315011E-3</v>
      </c>
      <c r="I383" s="1219">
        <f t="shared" si="8"/>
        <v>0.13939003362880104</v>
      </c>
      <c r="O383" s="621">
        <f>ROW()</f>
        <v>383</v>
      </c>
    </row>
    <row r="384" spans="7:19" s="3236" customFormat="1" ht="15" customHeight="1">
      <c r="G384" s="21">
        <f t="shared" si="4"/>
        <v>19</v>
      </c>
      <c r="H384" s="734">
        <f t="shared" si="7"/>
        <v>2.0043097482455559E-3</v>
      </c>
      <c r="I384" s="1219">
        <f t="shared" si="8"/>
        <v>0.14139434337704659</v>
      </c>
      <c r="O384" s="621">
        <f>ROW()</f>
        <v>384</v>
      </c>
    </row>
    <row r="385" spans="7:19" s="3236" customFormat="1" ht="15" customHeight="1">
      <c r="G385" s="21">
        <f t="shared" si="4"/>
        <v>19.5</v>
      </c>
      <c r="H385" s="734">
        <f t="shared" si="7"/>
        <v>1.9441804557981891E-3</v>
      </c>
      <c r="I385" s="1219">
        <f t="shared" si="8"/>
        <v>0.14333852383284479</v>
      </c>
      <c r="O385" s="621">
        <f>ROW()</f>
        <v>385</v>
      </c>
    </row>
    <row r="386" spans="7:19" s="3236" customFormat="1" ht="15" customHeight="1">
      <c r="G386" s="21">
        <f t="shared" si="4"/>
        <v>20</v>
      </c>
      <c r="H386" s="734">
        <f t="shared" si="7"/>
        <v>1.8858550421242434E-3</v>
      </c>
      <c r="I386" s="1219">
        <f t="shared" si="8"/>
        <v>0.14522437887496903</v>
      </c>
      <c r="O386" s="621">
        <f>ROW()</f>
        <v>386</v>
      </c>
    </row>
    <row r="387" spans="7:19" s="3236" customFormat="1" ht="15" customHeight="1">
      <c r="G387" s="21"/>
      <c r="H387" s="734"/>
      <c r="I387" s="1219"/>
      <c r="O387" s="621">
        <f>ROW()</f>
        <v>387</v>
      </c>
    </row>
    <row r="388" spans="7:19" s="3236" customFormat="1" ht="15" customHeight="1">
      <c r="O388" s="621">
        <f>ROW()</f>
        <v>388</v>
      </c>
    </row>
    <row r="389" spans="7:19" ht="15" customHeight="1">
      <c r="O389" s="621">
        <f>ROW()</f>
        <v>389</v>
      </c>
      <c r="S389" s="3236"/>
    </row>
    <row r="390" spans="7:19" ht="15" customHeight="1">
      <c r="O390" s="621">
        <f>ROW()</f>
        <v>390</v>
      </c>
    </row>
    <row r="391" spans="7:19" ht="15" customHeight="1">
      <c r="O391" s="621">
        <f>ROW()</f>
        <v>391</v>
      </c>
    </row>
    <row r="392" spans="7:19" ht="15" customHeight="1">
      <c r="O392" s="621">
        <f>ROW()</f>
        <v>392</v>
      </c>
    </row>
    <row r="393" spans="7:19" ht="15" customHeight="1">
      <c r="O393" s="621">
        <f>ROW()</f>
        <v>393</v>
      </c>
    </row>
    <row r="394" spans="7:19" ht="15" customHeight="1">
      <c r="O394" s="621">
        <f>ROW()</f>
        <v>394</v>
      </c>
    </row>
    <row r="395" spans="7:19" ht="15" customHeight="1">
      <c r="O395" s="621">
        <f>ROW()</f>
        <v>395</v>
      </c>
    </row>
    <row r="396" spans="7:19" ht="15" customHeight="1">
      <c r="O396" s="621">
        <f>ROW()</f>
        <v>396</v>
      </c>
    </row>
    <row r="397" spans="7:19" ht="15" customHeight="1">
      <c r="O397" s="621">
        <f>ROW()</f>
        <v>397</v>
      </c>
    </row>
    <row r="398" spans="7:19" ht="15" customHeight="1">
      <c r="O398" s="621">
        <f>ROW()</f>
        <v>398</v>
      </c>
    </row>
    <row r="399" spans="7:19" ht="15" customHeight="1">
      <c r="O399" s="621">
        <f>ROW()</f>
        <v>399</v>
      </c>
    </row>
    <row r="400" spans="7:19" ht="15" customHeight="1">
      <c r="O400" s="621">
        <f>ROW()</f>
        <v>400</v>
      </c>
    </row>
    <row r="401" spans="15:19" ht="15" customHeight="1">
      <c r="O401" s="621">
        <f>ROW()</f>
        <v>401</v>
      </c>
    </row>
    <row r="402" spans="15:19" ht="15" customHeight="1">
      <c r="O402" s="621">
        <f>ROW()</f>
        <v>402</v>
      </c>
    </row>
    <row r="403" spans="15:19" s="3192" customFormat="1" ht="15" customHeight="1">
      <c r="O403" s="621">
        <f>ROW()</f>
        <v>403</v>
      </c>
      <c r="S403"/>
    </row>
    <row r="404" spans="15:19" ht="15" customHeight="1">
      <c r="O404" s="621">
        <f>ROW()</f>
        <v>404</v>
      </c>
      <c r="S404" s="3192"/>
    </row>
    <row r="405" spans="15:19" ht="15" customHeight="1">
      <c r="O405" s="621">
        <f>ROW()</f>
        <v>405</v>
      </c>
    </row>
  </sheetData>
  <mergeCells count="65">
    <mergeCell ref="B7:I9"/>
    <mergeCell ref="I331:L332"/>
    <mergeCell ref="B330:H331"/>
    <mergeCell ref="I333:L333"/>
    <mergeCell ref="E22:G23"/>
    <mergeCell ref="I84:I102"/>
    <mergeCell ref="J84:N99"/>
    <mergeCell ref="F58:G58"/>
    <mergeCell ref="H58:I58"/>
    <mergeCell ref="B19:E20"/>
    <mergeCell ref="E48:G49"/>
    <mergeCell ref="B325:H327"/>
    <mergeCell ref="B211:H212"/>
    <mergeCell ref="R17:U17"/>
    <mergeCell ref="B284:J285"/>
    <mergeCell ref="L284:N289"/>
    <mergeCell ref="M259:N260"/>
    <mergeCell ref="B257:J259"/>
    <mergeCell ref="B263:J264"/>
    <mergeCell ref="I260:J260"/>
    <mergeCell ref="K259:L260"/>
    <mergeCell ref="B27:G28"/>
    <mergeCell ref="B29:I31"/>
    <mergeCell ref="B96:G97"/>
    <mergeCell ref="R25:U25"/>
    <mergeCell ref="V17:Z17"/>
    <mergeCell ref="E17:G18"/>
    <mergeCell ref="K4:M9"/>
    <mergeCell ref="G214:G216"/>
    <mergeCell ref="B191:H192"/>
    <mergeCell ref="H214:I215"/>
    <mergeCell ref="B130:I132"/>
    <mergeCell ref="B134:I137"/>
    <mergeCell ref="B139:I142"/>
    <mergeCell ref="I149:I154"/>
    <mergeCell ref="B13:I15"/>
    <mergeCell ref="B4:I5"/>
    <mergeCell ref="I104:J106"/>
    <mergeCell ref="B74:I76"/>
    <mergeCell ref="I78:N82"/>
    <mergeCell ref="Q21:X22"/>
    <mergeCell ref="G344:G346"/>
    <mergeCell ref="H344:I345"/>
    <mergeCell ref="B144:I146"/>
    <mergeCell ref="B248:I250"/>
    <mergeCell ref="B254:J256"/>
    <mergeCell ref="B188:H189"/>
    <mergeCell ref="I188:I189"/>
    <mergeCell ref="B199:H201"/>
    <mergeCell ref="B207:H208"/>
    <mergeCell ref="B312:H313"/>
    <mergeCell ref="B301:J302"/>
    <mergeCell ref="H149:H154"/>
    <mergeCell ref="B287:J291"/>
    <mergeCell ref="B336:H338"/>
    <mergeCell ref="B341:H342"/>
    <mergeCell ref="B316:H318"/>
    <mergeCell ref="V25:Z25"/>
    <mergeCell ref="Q29:X30"/>
    <mergeCell ref="B68:I70"/>
    <mergeCell ref="J58:K58"/>
    <mergeCell ref="L58:M58"/>
    <mergeCell ref="J64:K64"/>
    <mergeCell ref="L64:M64"/>
    <mergeCell ref="B65:I66"/>
  </mergeCells>
  <phoneticPr fontId="6" type="noConversion"/>
  <hyperlinks>
    <hyperlink ref="Q32" r:id="rId1"/>
  </hyperlinks>
  <pageMargins left="0.75" right="0.75" top="1" bottom="1" header="0.5" footer="0.5"/>
  <pageSetup orientation="portrait" r:id="rId2"/>
  <headerFooter alignWithMargins="0"/>
  <drawing r:id="rId3"/>
</worksheet>
</file>

<file path=xl/worksheets/sheet21.xml><?xml version="1.0" encoding="utf-8"?>
<worksheet xmlns="http://schemas.openxmlformats.org/spreadsheetml/2006/main" xmlns:r="http://schemas.openxmlformats.org/officeDocument/2006/relationships">
  <sheetPr codeName="Sheet20"/>
  <dimension ref="B1:IU566"/>
  <sheetViews>
    <sheetView showRuler="0" zoomScaleNormal="100" workbookViewId="0"/>
  </sheetViews>
  <sheetFormatPr defaultRowHeight="14.1" customHeight="1"/>
  <cols>
    <col min="1" max="1" width="2.75" customWidth="1"/>
    <col min="3" max="3" width="1.75" customWidth="1"/>
    <col min="4" max="4" width="9.125" customWidth="1"/>
    <col min="6" max="6" width="1.75" customWidth="1"/>
    <col min="9" max="9" width="1.75" customWidth="1"/>
    <col min="10" max="12" width="9.125" customWidth="1"/>
    <col min="13" max="13" width="6.375" customWidth="1"/>
    <col min="14" max="14" width="10.75" customWidth="1"/>
    <col min="15" max="15" width="2.125" customWidth="1"/>
    <col min="16" max="39" width="10.75" customWidth="1"/>
    <col min="40" max="40" width="13.125" customWidth="1"/>
    <col min="41" max="41" width="10.625" bestFit="1" customWidth="1"/>
  </cols>
  <sheetData>
    <row r="1" spans="2:32" ht="14.1" customHeight="1">
      <c r="O1" s="21">
        <f>ROW()</f>
        <v>1</v>
      </c>
    </row>
    <row r="2" spans="2:32" ht="14.1" customHeight="1">
      <c r="B2" s="115" t="s">
        <v>2367</v>
      </c>
      <c r="N2" s="181">
        <f>'Title Page'!K1</f>
        <v>40914</v>
      </c>
      <c r="O2" s="21">
        <f>ROW()</f>
        <v>2</v>
      </c>
    </row>
    <row r="3" spans="2:32" ht="14.1" customHeight="1">
      <c r="B3" s="115"/>
      <c r="N3" s="181"/>
      <c r="O3" s="21">
        <f>ROW()</f>
        <v>3</v>
      </c>
    </row>
    <row r="4" spans="2:32" ht="14.1" customHeight="1">
      <c r="B4" s="115"/>
      <c r="N4" s="181"/>
      <c r="O4" s="21">
        <f>ROW()</f>
        <v>4</v>
      </c>
    </row>
    <row r="5" spans="2:32" ht="14.1" customHeight="1">
      <c r="O5" s="21">
        <f>ROW()</f>
        <v>5</v>
      </c>
    </row>
    <row r="6" spans="2:32" ht="14.1" customHeight="1">
      <c r="B6" s="3779" t="s">
        <v>37</v>
      </c>
      <c r="C6" s="3779"/>
      <c r="D6" s="3779"/>
      <c r="E6" s="3779"/>
      <c r="F6" s="3779"/>
      <c r="G6" s="3779"/>
      <c r="H6" s="3779"/>
      <c r="I6" s="3779"/>
      <c r="J6" s="3779"/>
      <c r="K6" s="3779"/>
      <c r="L6" s="3779"/>
      <c r="M6" s="3779"/>
      <c r="O6" s="21">
        <f>ROW()</f>
        <v>6</v>
      </c>
      <c r="R6" s="3784" t="s">
        <v>4402</v>
      </c>
      <c r="S6" s="3784"/>
      <c r="T6" s="3784" t="s">
        <v>4403</v>
      </c>
      <c r="U6" s="3784"/>
    </row>
    <row r="7" spans="2:32" ht="14.1" customHeight="1">
      <c r="B7" s="3779"/>
      <c r="C7" s="3779"/>
      <c r="D7" s="3779"/>
      <c r="E7" s="3779"/>
      <c r="F7" s="3779"/>
      <c r="G7" s="3779"/>
      <c r="H7" s="3779"/>
      <c r="I7" s="3779"/>
      <c r="J7" s="3779"/>
      <c r="K7" s="3779"/>
      <c r="L7" s="3779"/>
      <c r="M7" s="3779"/>
      <c r="O7" s="21">
        <f>ROW()</f>
        <v>7</v>
      </c>
      <c r="R7" s="1892" t="s">
        <v>966</v>
      </c>
      <c r="S7" s="1892" t="s">
        <v>967</v>
      </c>
      <c r="T7" s="1892" t="s">
        <v>966</v>
      </c>
      <c r="U7" s="1892" t="s">
        <v>967</v>
      </c>
    </row>
    <row r="8" spans="2:32" ht="14.1" customHeight="1">
      <c r="O8" s="21">
        <f>ROW()</f>
        <v>8</v>
      </c>
      <c r="Q8">
        <v>2008</v>
      </c>
      <c r="R8" s="10">
        <f>T12/1000</f>
        <v>1623.8813689999999</v>
      </c>
      <c r="T8" s="2477">
        <v>2022.5</v>
      </c>
      <c r="U8" s="2477">
        <v>821.11099999999999</v>
      </c>
      <c r="V8" s="2478" t="s">
        <v>4404</v>
      </c>
    </row>
    <row r="9" spans="2:32" ht="14.1" customHeight="1">
      <c r="B9" s="4563" t="s">
        <v>4368</v>
      </c>
      <c r="C9" s="3779"/>
      <c r="D9" s="3779"/>
      <c r="E9" s="3779"/>
      <c r="F9" s="3779"/>
      <c r="G9" s="3779"/>
      <c r="H9" s="3779"/>
      <c r="I9" s="3779"/>
      <c r="J9" s="3779"/>
      <c r="K9" s="3779"/>
      <c r="L9" s="3779"/>
      <c r="M9" s="3779"/>
      <c r="O9" s="21">
        <f>ROW()</f>
        <v>9</v>
      </c>
      <c r="Q9">
        <v>2009</v>
      </c>
      <c r="R9" s="10">
        <f>1579.867</f>
        <v>1579.867</v>
      </c>
      <c r="S9" s="10">
        <v>726.47199999999998</v>
      </c>
      <c r="T9" s="2477">
        <v>2245.62</v>
      </c>
      <c r="U9" s="2477">
        <v>821.11099999999999</v>
      </c>
      <c r="V9" s="2478" t="s">
        <v>4439</v>
      </c>
      <c r="Y9" s="2477"/>
      <c r="Z9" s="2477"/>
      <c r="AA9" s="2477"/>
      <c r="AB9" s="2477"/>
      <c r="AC9" s="2477"/>
      <c r="AD9" s="2477"/>
      <c r="AE9" s="2477"/>
      <c r="AF9" s="2477"/>
    </row>
    <row r="10" spans="2:32" ht="14.1" customHeight="1">
      <c r="B10" s="3779"/>
      <c r="C10" s="3779"/>
      <c r="D10" s="3779"/>
      <c r="E10" s="3779"/>
      <c r="F10" s="3779"/>
      <c r="G10" s="3779"/>
      <c r="H10" s="3779"/>
      <c r="I10" s="3779"/>
      <c r="J10" s="3779"/>
      <c r="K10" s="3779"/>
      <c r="L10" s="3779"/>
      <c r="M10" s="3779"/>
      <c r="O10" s="21">
        <f>ROW()</f>
        <v>10</v>
      </c>
      <c r="Y10" s="2477"/>
      <c r="Z10" s="2477"/>
      <c r="AA10" s="2477"/>
      <c r="AB10" s="2477"/>
      <c r="AC10" s="2477"/>
      <c r="AD10" s="2477"/>
      <c r="AE10" s="2477"/>
      <c r="AF10" s="2477"/>
    </row>
    <row r="11" spans="2:32" ht="14.1" customHeight="1">
      <c r="B11" s="3779"/>
      <c r="C11" s="3779"/>
      <c r="D11" s="3779"/>
      <c r="E11" s="3779"/>
      <c r="F11" s="3779"/>
      <c r="G11" s="3779"/>
      <c r="H11" s="3779"/>
      <c r="I11" s="3779"/>
      <c r="J11" s="3779"/>
      <c r="K11" s="3779"/>
      <c r="L11" s="3779"/>
      <c r="M11" s="3779"/>
      <c r="O11" s="21">
        <f>ROW()</f>
        <v>11</v>
      </c>
      <c r="Q11" s="1515" t="s">
        <v>745</v>
      </c>
      <c r="R11" s="1516"/>
      <c r="S11" s="1516"/>
      <c r="T11" s="1516"/>
      <c r="U11" s="1516"/>
      <c r="V11" s="1516"/>
      <c r="W11" s="1516"/>
      <c r="X11" s="1516"/>
      <c r="Y11" s="1516"/>
    </row>
    <row r="12" spans="2:32" ht="14.1" customHeight="1">
      <c r="B12" s="3779"/>
      <c r="C12" s="3779"/>
      <c r="D12" s="3779"/>
      <c r="E12" s="3779"/>
      <c r="F12" s="3779"/>
      <c r="G12" s="3779"/>
      <c r="H12" s="3779"/>
      <c r="I12" s="3779"/>
      <c r="J12" s="3779"/>
      <c r="K12" s="3779"/>
      <c r="L12" s="3779"/>
      <c r="M12" s="3779"/>
      <c r="O12" s="21">
        <f>ROW()</f>
        <v>12</v>
      </c>
      <c r="Q12" s="1517" t="s">
        <v>1358</v>
      </c>
      <c r="R12" s="1518"/>
      <c r="S12" s="1518"/>
      <c r="T12" s="1519">
        <f>1623881369/1000</f>
        <v>1623881.3689999999</v>
      </c>
      <c r="U12" s="1516"/>
      <c r="V12" s="1516"/>
      <c r="W12" s="1516"/>
      <c r="X12" s="1516"/>
      <c r="Y12" s="1516"/>
    </row>
    <row r="13" spans="2:32" ht="14.1" customHeight="1">
      <c r="B13" s="55"/>
      <c r="O13" s="21">
        <f>ROW()</f>
        <v>13</v>
      </c>
      <c r="Q13" s="1517" t="s">
        <v>742</v>
      </c>
      <c r="R13" s="1518"/>
      <c r="S13" s="1518"/>
      <c r="T13" s="1519">
        <v>5225675</v>
      </c>
      <c r="U13" s="1516"/>
      <c r="V13" s="1516"/>
      <c r="W13" s="1516"/>
      <c r="X13" s="1516"/>
      <c r="Y13" s="1516"/>
    </row>
    <row r="14" spans="2:32" ht="14.1" customHeight="1">
      <c r="O14" s="21">
        <f>ROW()</f>
        <v>14</v>
      </c>
      <c r="Q14" s="1517" t="s">
        <v>743</v>
      </c>
      <c r="R14" s="1518"/>
      <c r="S14" s="1518"/>
      <c r="T14" s="1519">
        <v>2979391</v>
      </c>
      <c r="U14" s="1516"/>
      <c r="V14" s="1516"/>
      <c r="W14" s="1516"/>
      <c r="X14" s="1516"/>
      <c r="Y14" s="1516"/>
    </row>
    <row r="15" spans="2:32" ht="14.1" customHeight="1">
      <c r="B15" s="24" t="s">
        <v>1443</v>
      </c>
      <c r="O15" s="21">
        <f>ROW()</f>
        <v>15</v>
      </c>
      <c r="Q15" s="1517" t="s">
        <v>744</v>
      </c>
      <c r="R15" s="1518"/>
      <c r="S15" s="1518"/>
      <c r="T15" s="1519">
        <v>2310944</v>
      </c>
      <c r="U15" s="1516"/>
      <c r="V15" s="1516"/>
      <c r="W15" s="1516"/>
      <c r="X15" s="1516"/>
      <c r="Y15" s="1516"/>
    </row>
    <row r="16" spans="2:32" ht="14.1" customHeight="1">
      <c r="O16" s="21">
        <f>ROW()</f>
        <v>16</v>
      </c>
      <c r="Q16" s="4815" t="s">
        <v>2621</v>
      </c>
      <c r="R16" s="4816"/>
      <c r="S16" s="4816"/>
      <c r="T16" s="4816"/>
      <c r="U16" s="4816"/>
      <c r="V16" s="4816"/>
      <c r="W16" s="4816"/>
      <c r="X16" s="4816"/>
      <c r="Y16" s="4816"/>
    </row>
    <row r="17" spans="2:25" ht="14.1" customHeight="1">
      <c r="B17" s="1101" t="s">
        <v>6213</v>
      </c>
      <c r="J17" s="259" t="s">
        <v>449</v>
      </c>
      <c r="K17" s="260" t="s">
        <v>2065</v>
      </c>
      <c r="L17" s="261" t="s">
        <v>2066</v>
      </c>
      <c r="O17" s="21">
        <f>ROW()</f>
        <v>17</v>
      </c>
      <c r="Q17" s="4816"/>
      <c r="R17" s="4816"/>
      <c r="S17" s="4816"/>
      <c r="T17" s="4816"/>
      <c r="U17" s="4816"/>
      <c r="V17" s="4816"/>
      <c r="W17" s="4816"/>
      <c r="X17" s="4816"/>
      <c r="Y17" s="4816"/>
    </row>
    <row r="18" spans="2:25" ht="14.1" customHeight="1">
      <c r="B18" s="3785" t="s">
        <v>4364</v>
      </c>
      <c r="C18" s="3786"/>
      <c r="D18" s="3786"/>
      <c r="E18" s="3786"/>
      <c r="F18" s="3786"/>
      <c r="G18" s="3786"/>
      <c r="H18" s="3786"/>
      <c r="I18" s="3786"/>
      <c r="J18" s="780">
        <v>1631.7</v>
      </c>
      <c r="K18" s="721"/>
      <c r="L18" s="722"/>
      <c r="O18" s="21">
        <f>ROW()</f>
        <v>18</v>
      </c>
      <c r="Q18" s="4816"/>
      <c r="R18" s="4816"/>
      <c r="S18" s="4816"/>
      <c r="T18" s="4816"/>
      <c r="U18" s="4816"/>
      <c r="V18" s="4816"/>
      <c r="W18" s="4816"/>
      <c r="X18" s="4816"/>
      <c r="Y18" s="4816"/>
    </row>
    <row r="19" spans="2:25" ht="14.1" customHeight="1">
      <c r="B19" s="3786"/>
      <c r="C19" s="3786"/>
      <c r="D19" s="3786"/>
      <c r="E19" s="3786"/>
      <c r="F19" s="3786"/>
      <c r="G19" s="3786"/>
      <c r="H19" s="3786"/>
      <c r="I19" s="3786"/>
      <c r="J19" s="778"/>
      <c r="K19" s="208"/>
      <c r="L19" s="208"/>
      <c r="O19" s="21">
        <f>ROW()</f>
        <v>19</v>
      </c>
      <c r="Q19" s="1516"/>
      <c r="R19" s="1516"/>
      <c r="S19" s="1516"/>
      <c r="T19" s="1516"/>
      <c r="U19" s="1516"/>
      <c r="V19" s="1516"/>
      <c r="W19" s="1516"/>
      <c r="X19" s="1516"/>
      <c r="Y19" s="1516"/>
    </row>
    <row r="20" spans="2:25" ht="14.1" customHeight="1">
      <c r="B20" s="3786"/>
      <c r="C20" s="3786"/>
      <c r="D20" s="3786"/>
      <c r="E20" s="3786"/>
      <c r="F20" s="3786"/>
      <c r="G20" s="3786"/>
      <c r="H20" s="3786"/>
      <c r="I20" s="3786"/>
      <c r="J20" s="778"/>
      <c r="K20" s="208"/>
      <c r="L20" s="208"/>
      <c r="O20" s="21">
        <f>ROW()</f>
        <v>20</v>
      </c>
      <c r="Q20" s="1515" t="s">
        <v>1359</v>
      </c>
      <c r="R20" s="1516"/>
      <c r="S20" s="1516"/>
      <c r="T20" s="1516"/>
      <c r="U20" s="1516"/>
      <c r="V20" s="1516"/>
      <c r="W20" s="1516"/>
      <c r="X20" s="1516"/>
      <c r="Y20" s="1516"/>
    </row>
    <row r="21" spans="2:25" ht="14.1" customHeight="1">
      <c r="B21" s="297"/>
      <c r="C21" s="297"/>
      <c r="D21" s="297"/>
      <c r="E21" s="297"/>
      <c r="F21" s="297"/>
      <c r="G21" s="297"/>
      <c r="H21" s="297"/>
      <c r="I21" s="297"/>
      <c r="J21" s="778"/>
      <c r="K21" s="208"/>
      <c r="L21" s="208"/>
      <c r="O21" s="21">
        <f>ROW()</f>
        <v>21</v>
      </c>
      <c r="Q21" s="1517" t="s">
        <v>1358</v>
      </c>
      <c r="R21" s="1518"/>
      <c r="S21" s="1518"/>
      <c r="T21" s="1519">
        <f>746977406/1000</f>
        <v>746977.40599999996</v>
      </c>
      <c r="U21" s="1516"/>
      <c r="V21" s="1516"/>
      <c r="W21" s="1516"/>
      <c r="X21" s="1516"/>
      <c r="Y21" s="1516"/>
    </row>
    <row r="22" spans="2:25" ht="14.1" customHeight="1">
      <c r="B22" s="275" t="s">
        <v>905</v>
      </c>
      <c r="C22" s="297"/>
      <c r="D22" s="297"/>
      <c r="E22" s="297"/>
      <c r="F22" s="297"/>
      <c r="G22" s="297"/>
      <c r="H22" s="297"/>
      <c r="I22" s="297"/>
      <c r="J22" s="66">
        <f>Transit!H104</f>
        <v>0.95574999999999999</v>
      </c>
      <c r="K22" s="208"/>
      <c r="L22" s="188"/>
      <c r="O22" s="21">
        <f>ROW()</f>
        <v>22</v>
      </c>
      <c r="Q22" s="1517" t="s">
        <v>742</v>
      </c>
      <c r="R22" s="1518"/>
      <c r="S22" s="1518"/>
      <c r="T22" s="1519">
        <v>2377320</v>
      </c>
      <c r="U22" s="1516"/>
      <c r="V22" s="1516"/>
      <c r="W22" s="1516"/>
      <c r="X22" s="1516"/>
      <c r="Y22" s="1516"/>
    </row>
    <row r="23" spans="2:25" ht="14.1" customHeight="1">
      <c r="B23" s="3785" t="str">
        <f>CONCATENATE("From 'Transit' worksheet, Row ",Transit!O104, ". This figure is intended to approximate number of full-fare rides by adjusting for bus-subway transfers. We hope to further adjust to reflect seniors' and disabled half-fares, as well as student discounts of 100%.")</f>
        <v>From 'Transit' worksheet, Row 104. This figure is intended to approximate number of full-fare rides by adjusting for bus-subway transfers. We hope to further adjust to reflect seniors' and disabled half-fares, as well as student discounts of 100%.</v>
      </c>
      <c r="C23" s="3785"/>
      <c r="D23" s="3785"/>
      <c r="E23" s="3785"/>
      <c r="F23" s="3785"/>
      <c r="G23" s="3785"/>
      <c r="H23" s="3785"/>
      <c r="I23" s="3785"/>
      <c r="J23" s="3785"/>
      <c r="K23" s="3785"/>
      <c r="L23" s="3785"/>
      <c r="M23" s="215"/>
      <c r="N23" s="215"/>
      <c r="O23" s="21">
        <f>ROW()</f>
        <v>23</v>
      </c>
      <c r="Q23" s="1517" t="s">
        <v>743</v>
      </c>
      <c r="R23" s="1518"/>
      <c r="S23" s="1518"/>
      <c r="T23" s="1519">
        <v>1460744</v>
      </c>
      <c r="U23" s="1516"/>
      <c r="V23" s="1516"/>
      <c r="W23" s="1516"/>
      <c r="X23" s="1516"/>
      <c r="Y23" s="1516"/>
    </row>
    <row r="24" spans="2:25" ht="14.1" customHeight="1">
      <c r="B24" s="3785"/>
      <c r="C24" s="3785"/>
      <c r="D24" s="3785"/>
      <c r="E24" s="3785"/>
      <c r="F24" s="3785"/>
      <c r="G24" s="3785"/>
      <c r="H24" s="3785"/>
      <c r="I24" s="3785"/>
      <c r="J24" s="3785"/>
      <c r="K24" s="3785"/>
      <c r="L24" s="3785"/>
      <c r="M24" s="215"/>
      <c r="N24" s="215"/>
      <c r="O24" s="21">
        <f>ROW()</f>
        <v>24</v>
      </c>
      <c r="Q24" s="1517" t="s">
        <v>744</v>
      </c>
      <c r="R24" s="1518"/>
      <c r="S24" s="1518"/>
      <c r="T24" s="1519">
        <v>1106246</v>
      </c>
      <c r="U24" s="1516"/>
      <c r="V24" s="1516"/>
      <c r="W24" s="1516"/>
      <c r="X24" s="1516"/>
      <c r="Y24" s="1516"/>
    </row>
    <row r="25" spans="2:25" ht="14.1" customHeight="1">
      <c r="B25" s="3785"/>
      <c r="C25" s="3785"/>
      <c r="D25" s="3785"/>
      <c r="E25" s="3785"/>
      <c r="F25" s="3785"/>
      <c r="G25" s="3785"/>
      <c r="H25" s="3785"/>
      <c r="I25" s="3785"/>
      <c r="J25" s="3785"/>
      <c r="K25" s="3785"/>
      <c r="L25" s="3785"/>
      <c r="M25" s="215"/>
      <c r="N25" s="215"/>
      <c r="O25" s="21">
        <f>ROW()</f>
        <v>25</v>
      </c>
    </row>
    <row r="26" spans="2:25" ht="14.1" customHeight="1">
      <c r="B26" s="3785"/>
      <c r="C26" s="3785"/>
      <c r="D26" s="3785"/>
      <c r="E26" s="3785"/>
      <c r="F26" s="3785"/>
      <c r="G26" s="3785"/>
      <c r="H26" s="3785"/>
      <c r="I26" s="3785"/>
      <c r="J26" s="3785"/>
      <c r="K26" s="3785"/>
      <c r="L26" s="3785"/>
      <c r="M26" s="215"/>
      <c r="N26" s="215"/>
      <c r="O26" s="21">
        <f>ROW()</f>
        <v>26</v>
      </c>
      <c r="Q26" s="3784" t="s">
        <v>4408</v>
      </c>
      <c r="R26" s="3784"/>
      <c r="S26" s="3784"/>
      <c r="T26" s="3784"/>
      <c r="U26" s="3784"/>
      <c r="V26" s="3784"/>
      <c r="W26" s="3784"/>
    </row>
    <row r="27" spans="2:25" ht="14.1" customHeight="1">
      <c r="O27" s="21">
        <f>ROW()</f>
        <v>27</v>
      </c>
      <c r="Q27" s="3811" t="s">
        <v>5051</v>
      </c>
      <c r="R27" s="3811"/>
      <c r="S27" s="3811"/>
      <c r="T27" s="3811"/>
      <c r="U27" s="3811"/>
      <c r="V27" s="3811"/>
      <c r="W27" s="3811"/>
    </row>
    <row r="28" spans="2:25" ht="14.1" customHeight="1">
      <c r="B28" s="2480" t="s">
        <v>4369</v>
      </c>
      <c r="C28" s="2"/>
      <c r="D28" s="2"/>
      <c r="E28" s="2"/>
      <c r="F28" s="2"/>
      <c r="G28" s="2"/>
      <c r="H28" s="2"/>
      <c r="I28" s="2"/>
      <c r="J28" s="2481">
        <f>J18*J22</f>
        <v>1559.4972749999999</v>
      </c>
      <c r="O28" s="21">
        <f>ROW()</f>
        <v>28</v>
      </c>
    </row>
    <row r="29" spans="2:25" ht="14.1" customHeight="1">
      <c r="B29" s="215" t="str">
        <f>CONCATENATE("Calculated as the product of the turnstile counts in Row ",O18," and the adjustment factor in Row ",O22,".")</f>
        <v>Calculated as the product of the turnstile counts in Row 18 and the adjustment factor in Row 22.</v>
      </c>
      <c r="J29" s="779"/>
      <c r="O29" s="21">
        <f>ROW()</f>
        <v>29</v>
      </c>
      <c r="Q29" s="3234" t="s">
        <v>5650</v>
      </c>
      <c r="R29" s="2479" t="s">
        <v>4405</v>
      </c>
      <c r="S29" s="2479" t="s">
        <v>3675</v>
      </c>
      <c r="T29" s="2479" t="s">
        <v>4406</v>
      </c>
      <c r="U29" s="2479" t="s">
        <v>3675</v>
      </c>
      <c r="V29" s="2479" t="s">
        <v>4407</v>
      </c>
      <c r="W29" s="2479" t="s">
        <v>3675</v>
      </c>
    </row>
    <row r="30" spans="2:25" ht="14.1" customHeight="1">
      <c r="O30" s="21">
        <f>ROW()</f>
        <v>30</v>
      </c>
      <c r="Q30" s="2464"/>
      <c r="R30" s="9"/>
    </row>
    <row r="31" spans="2:25" ht="14.1" customHeight="1">
      <c r="B31" s="275" t="s">
        <v>2448</v>
      </c>
      <c r="C31" s="86"/>
      <c r="D31" s="86"/>
      <c r="E31" s="86"/>
      <c r="F31" s="86"/>
      <c r="G31" s="86"/>
      <c r="H31" s="86"/>
      <c r="K31" s="271">
        <v>0.6</v>
      </c>
      <c r="L31" s="271">
        <f>1-K31</f>
        <v>0.4</v>
      </c>
      <c r="O31" s="21">
        <f>ROW()</f>
        <v>31</v>
      </c>
      <c r="Q31" s="685" t="s">
        <v>1311</v>
      </c>
      <c r="R31" s="138">
        <v>9706</v>
      </c>
      <c r="S31" s="734">
        <f t="shared" ref="S31:S54" si="0">R31/R$56</f>
        <v>4.4218920559019005E-3</v>
      </c>
      <c r="T31" s="138">
        <v>28627</v>
      </c>
      <c r="U31" s="734">
        <f t="shared" ref="U31:U54" si="1">T31/T$56</f>
        <v>1.4022889635200113E-2</v>
      </c>
      <c r="V31" s="10">
        <f>R31+T31</f>
        <v>38333</v>
      </c>
      <c r="W31" s="734">
        <f t="shared" ref="W31:W54" si="2">V31/V$56</f>
        <v>9.0484076709762638E-3</v>
      </c>
    </row>
    <row r="32" spans="2:25" ht="14.1" customHeight="1">
      <c r="B32" s="3785" t="s">
        <v>4371</v>
      </c>
      <c r="C32" s="3785"/>
      <c r="D32" s="3785"/>
      <c r="E32" s="3785"/>
      <c r="F32" s="3785"/>
      <c r="G32" s="3785"/>
      <c r="H32" s="3785"/>
      <c r="I32" s="3785"/>
      <c r="J32" s="3785"/>
      <c r="K32" s="3785"/>
      <c r="L32" s="3785"/>
      <c r="O32" s="21">
        <f>ROW()</f>
        <v>32</v>
      </c>
      <c r="Q32" s="685" t="s">
        <v>1312</v>
      </c>
      <c r="R32" s="138">
        <v>4285</v>
      </c>
      <c r="S32" s="734">
        <f t="shared" si="0"/>
        <v>1.9521746815927923E-3</v>
      </c>
      <c r="T32" s="138">
        <v>13322</v>
      </c>
      <c r="U32" s="734">
        <f t="shared" si="1"/>
        <v>6.5257601467193877E-3</v>
      </c>
      <c r="V32" s="10">
        <f t="shared" ref="V32:V54" si="3">R32+T32</f>
        <v>17607</v>
      </c>
      <c r="W32" s="734">
        <f t="shared" si="2"/>
        <v>4.1560878058821138E-3</v>
      </c>
    </row>
    <row r="33" spans="2:23" ht="14.1" customHeight="1">
      <c r="B33" s="3785"/>
      <c r="C33" s="3785"/>
      <c r="D33" s="3785"/>
      <c r="E33" s="3785"/>
      <c r="F33" s="3785"/>
      <c r="G33" s="3785"/>
      <c r="H33" s="3785"/>
      <c r="I33" s="3785"/>
      <c r="J33" s="3785"/>
      <c r="K33" s="3785"/>
      <c r="L33" s="3785"/>
      <c r="O33" s="21">
        <f>ROW()</f>
        <v>33</v>
      </c>
      <c r="Q33" s="685" t="s">
        <v>1313</v>
      </c>
      <c r="R33" s="138">
        <v>3396</v>
      </c>
      <c r="S33" s="734">
        <f t="shared" si="0"/>
        <v>1.5471610778737743E-3</v>
      </c>
      <c r="T33" s="138">
        <v>6778</v>
      </c>
      <c r="U33" s="734">
        <f t="shared" si="1"/>
        <v>3.3201923340687592E-3</v>
      </c>
      <c r="V33" s="10">
        <f t="shared" si="3"/>
        <v>10174</v>
      </c>
      <c r="W33" s="734">
        <f t="shared" si="2"/>
        <v>2.4015469606999845E-3</v>
      </c>
    </row>
    <row r="34" spans="2:23" ht="14.1" customHeight="1">
      <c r="B34" s="3786"/>
      <c r="C34" s="3786"/>
      <c r="D34" s="3786"/>
      <c r="E34" s="3786"/>
      <c r="F34" s="3786"/>
      <c r="G34" s="3786"/>
      <c r="H34" s="3786"/>
      <c r="I34" s="3786"/>
      <c r="J34" s="3786"/>
      <c r="K34" s="3786"/>
      <c r="L34" s="3786"/>
      <c r="O34" s="21">
        <f>ROW()</f>
        <v>34</v>
      </c>
      <c r="Q34" s="685" t="s">
        <v>1314</v>
      </c>
      <c r="R34" s="138">
        <v>3116</v>
      </c>
      <c r="S34" s="734">
        <f t="shared" si="0"/>
        <v>1.4195977381197529E-3</v>
      </c>
      <c r="T34" s="138">
        <v>4045</v>
      </c>
      <c r="U34" s="734">
        <f t="shared" si="1"/>
        <v>1.9814367057108483E-3</v>
      </c>
      <c r="V34" s="10">
        <f t="shared" si="3"/>
        <v>7161</v>
      </c>
      <c r="W34" s="734">
        <f t="shared" si="2"/>
        <v>1.690335933317534E-3</v>
      </c>
    </row>
    <row r="35" spans="2:23" ht="14.1" customHeight="1">
      <c r="B35" s="215"/>
      <c r="C35" s="86"/>
      <c r="D35" s="86"/>
      <c r="E35" s="86"/>
      <c r="F35" s="86"/>
      <c r="G35" s="86"/>
      <c r="H35" s="86"/>
      <c r="I35" s="86"/>
      <c r="J35" s="86"/>
      <c r="O35" s="21">
        <f>ROW()</f>
        <v>35</v>
      </c>
      <c r="Q35" s="685" t="s">
        <v>1315</v>
      </c>
      <c r="R35" s="138">
        <v>6973</v>
      </c>
      <c r="S35" s="734">
        <f t="shared" si="0"/>
        <v>3.1767827432313983E-3</v>
      </c>
      <c r="T35" s="138">
        <v>4022</v>
      </c>
      <c r="U35" s="734">
        <f t="shared" si="1"/>
        <v>1.9701701929218866E-3</v>
      </c>
      <c r="V35" s="10">
        <f t="shared" si="3"/>
        <v>10995</v>
      </c>
      <c r="W35" s="734">
        <f t="shared" si="2"/>
        <v>2.5953419336442237E-3</v>
      </c>
    </row>
    <row r="36" spans="2:23" ht="14.1" customHeight="1">
      <c r="B36" s="1101" t="s">
        <v>4363</v>
      </c>
      <c r="J36" s="2023">
        <v>2436.3000000000002</v>
      </c>
      <c r="K36" s="174" t="s">
        <v>2131</v>
      </c>
      <c r="O36" s="21">
        <f>ROW()</f>
        <v>36</v>
      </c>
      <c r="Q36" s="685" t="s">
        <v>1316</v>
      </c>
      <c r="R36" s="138">
        <v>33849</v>
      </c>
      <c r="S36" s="734">
        <f t="shared" si="0"/>
        <v>1.5421041026192399E-2</v>
      </c>
      <c r="T36" s="138">
        <v>10115</v>
      </c>
      <c r="U36" s="734">
        <f t="shared" si="1"/>
        <v>4.9548163852324431E-3</v>
      </c>
      <c r="V36" s="10">
        <f t="shared" si="3"/>
        <v>43964</v>
      </c>
      <c r="W36" s="734">
        <f t="shared" si="2"/>
        <v>1.0377590975055447E-2</v>
      </c>
    </row>
    <row r="37" spans="2:23" ht="14.1" customHeight="1">
      <c r="B37" s="3785" t="str">
        <f>CONCATENATE("Projected figure, from same Nov. 2010 MTA budget document referenced in Row ",O18, " note, above, p. 449 of 584.")</f>
        <v>Projected figure, from same Nov. 2010 MTA budget document referenced in Row 18 note, above, p. 449 of 584.</v>
      </c>
      <c r="C37" s="3785"/>
      <c r="D37" s="3785"/>
      <c r="E37" s="3785"/>
      <c r="F37" s="3785"/>
      <c r="G37" s="3785"/>
      <c r="H37" s="3785"/>
      <c r="I37" s="3785"/>
      <c r="J37" s="3785"/>
      <c r="K37" s="3785"/>
      <c r="L37" s="3785"/>
      <c r="O37" s="21">
        <f>ROW()</f>
        <v>37</v>
      </c>
      <c r="Q37" s="685" t="s">
        <v>1317</v>
      </c>
      <c r="R37" s="138">
        <v>107789</v>
      </c>
      <c r="S37" s="734">
        <f t="shared" si="0"/>
        <v>4.9106874388379344E-2</v>
      </c>
      <c r="T37" s="138">
        <v>38595</v>
      </c>
      <c r="U37" s="734">
        <f t="shared" si="1"/>
        <v>1.8905698308259628E-2</v>
      </c>
      <c r="V37" s="10">
        <f t="shared" si="3"/>
        <v>146384</v>
      </c>
      <c r="W37" s="734">
        <f t="shared" si="2"/>
        <v>3.4553572861716786E-2</v>
      </c>
    </row>
    <row r="38" spans="2:23" ht="14.1" customHeight="1">
      <c r="B38" s="3785"/>
      <c r="C38" s="3785"/>
      <c r="D38" s="3785"/>
      <c r="E38" s="3785"/>
      <c r="F38" s="3785"/>
      <c r="G38" s="3785"/>
      <c r="H38" s="3785"/>
      <c r="I38" s="3785"/>
      <c r="J38" s="3785"/>
      <c r="K38" s="3785"/>
      <c r="L38" s="3785"/>
      <c r="M38" s="3819" t="s">
        <v>4605</v>
      </c>
      <c r="N38" s="3679"/>
      <c r="O38" s="21">
        <f>ROW()</f>
        <v>38</v>
      </c>
      <c r="Q38" s="685" t="s">
        <v>1318</v>
      </c>
      <c r="R38" s="138">
        <v>241111</v>
      </c>
      <c r="S38" s="734">
        <f t="shared" si="0"/>
        <v>0.10984615861225665</v>
      </c>
      <c r="T38" s="138">
        <v>79238</v>
      </c>
      <c r="U38" s="734">
        <f t="shared" si="1"/>
        <v>3.8814606103118959E-2</v>
      </c>
      <c r="V38" s="10">
        <f t="shared" si="3"/>
        <v>320349</v>
      </c>
      <c r="W38" s="734">
        <f t="shared" si="2"/>
        <v>7.5617570995997585E-2</v>
      </c>
    </row>
    <row r="39" spans="2:23" ht="14.1" customHeight="1">
      <c r="M39" s="3680"/>
      <c r="N39" s="3682"/>
      <c r="O39" s="21">
        <f>ROW()</f>
        <v>39</v>
      </c>
      <c r="Q39" s="685" t="s">
        <v>1319</v>
      </c>
      <c r="R39" s="138">
        <v>412321</v>
      </c>
      <c r="S39" s="734">
        <f t="shared" si="0"/>
        <v>0.18784658503827811</v>
      </c>
      <c r="T39" s="138">
        <v>92531</v>
      </c>
      <c r="U39" s="734">
        <f t="shared" si="1"/>
        <v>4.5326160646756618E-2</v>
      </c>
      <c r="V39" s="10">
        <f t="shared" si="3"/>
        <v>504852</v>
      </c>
      <c r="W39" s="734">
        <f t="shared" si="2"/>
        <v>0.11916903737009127</v>
      </c>
    </row>
    <row r="40" spans="2:23" ht="14.1" customHeight="1">
      <c r="B40" s="1101" t="s">
        <v>4370</v>
      </c>
      <c r="K40" s="7" t="str">
        <f>CONCATENATE("(adj. per note in Row ",O23, ")")</f>
        <v>(adj. per note in Row 23)</v>
      </c>
      <c r="M40" s="3680"/>
      <c r="N40" s="3682"/>
      <c r="O40" s="21">
        <f>ROW()</f>
        <v>40</v>
      </c>
      <c r="Q40" s="685" t="s">
        <v>1320</v>
      </c>
      <c r="R40" s="138">
        <v>261294</v>
      </c>
      <c r="S40" s="734">
        <f t="shared" si="0"/>
        <v>0.11904119749174027</v>
      </c>
      <c r="T40" s="138">
        <v>68216</v>
      </c>
      <c r="U40" s="734">
        <f t="shared" si="1"/>
        <v>3.341549723529573E-2</v>
      </c>
      <c r="V40" s="10">
        <f t="shared" si="3"/>
        <v>329510</v>
      </c>
      <c r="W40" s="734">
        <f t="shared" si="2"/>
        <v>7.7780001869495963E-2</v>
      </c>
    </row>
    <row r="41" spans="2:23" ht="14.1" customHeight="1">
      <c r="C41" s="1073"/>
      <c r="D41" s="1073"/>
      <c r="E41" s="1073"/>
      <c r="F41" s="1073"/>
      <c r="G41" s="1073"/>
      <c r="H41" s="1073"/>
      <c r="M41" s="3680"/>
      <c r="N41" s="3682"/>
      <c r="O41" s="21">
        <f>ROW()</f>
        <v>41</v>
      </c>
      <c r="Q41" s="685" t="s">
        <v>1321</v>
      </c>
      <c r="R41" s="138">
        <v>126504</v>
      </c>
      <c r="S41" s="734">
        <f t="shared" si="0"/>
        <v>5.7633116900866886E-2</v>
      </c>
      <c r="T41" s="138">
        <v>50146</v>
      </c>
      <c r="U41" s="734">
        <f t="shared" si="1"/>
        <v>2.4563936970228975E-2</v>
      </c>
      <c r="V41" s="10">
        <f t="shared" si="3"/>
        <v>176650</v>
      </c>
      <c r="W41" s="734">
        <f t="shared" si="2"/>
        <v>4.1697785591473586E-2</v>
      </c>
    </row>
    <row r="42" spans="2:23" ht="14.1" customHeight="1">
      <c r="B42" s="4784" t="str">
        <f>CONCATENATE("Overall Fare (All Rides) is quotient of Farebox Rev. in Row ",O36, " and Ridership in Row ",O18, ". For Overall Fare (Normalized), divisor is Adj. Ridership in Row ",O28, ".")</f>
        <v>Overall Fare (All Rides) is quotient of Farebox Rev. in Row 36 and Ridership in Row 18. For Overall Fare (Normalized), divisor is Adj. Ridership in Row 28.</v>
      </c>
      <c r="C42" s="4785"/>
      <c r="D42" s="4785"/>
      <c r="E42" s="4785"/>
      <c r="F42" s="4785"/>
      <c r="G42" s="4786"/>
      <c r="H42" s="683"/>
      <c r="I42" s="174"/>
      <c r="J42" s="2668" t="s">
        <v>449</v>
      </c>
      <c r="K42" s="2669" t="s">
        <v>2065</v>
      </c>
      <c r="L42" s="2669" t="s">
        <v>2066</v>
      </c>
      <c r="M42" s="3680"/>
      <c r="N42" s="3682"/>
      <c r="O42" s="21">
        <f>ROW()</f>
        <v>42</v>
      </c>
      <c r="Q42" s="685" t="s">
        <v>2768</v>
      </c>
      <c r="R42" s="138">
        <v>89905</v>
      </c>
      <c r="S42" s="734">
        <f t="shared" si="0"/>
        <v>4.0959221644947488E-2</v>
      </c>
      <c r="T42" s="138">
        <v>49038</v>
      </c>
      <c r="U42" s="734">
        <f t="shared" si="1"/>
        <v>2.4021184962830306E-2</v>
      </c>
      <c r="V42" s="10">
        <f t="shared" si="3"/>
        <v>138943</v>
      </c>
      <c r="W42" s="734">
        <f t="shared" si="2"/>
        <v>3.2797143636773933E-2</v>
      </c>
    </row>
    <row r="43" spans="2:23" ht="14.1" customHeight="1">
      <c r="B43" s="4785"/>
      <c r="C43" s="4785"/>
      <c r="D43" s="4785"/>
      <c r="E43" s="4785"/>
      <c r="F43" s="4785"/>
      <c r="G43" s="4785"/>
      <c r="H43" s="4782" t="s">
        <v>4606</v>
      </c>
      <c r="I43" s="4783"/>
      <c r="J43" s="276">
        <f>J36/J18</f>
        <v>1.4931053502482075</v>
      </c>
      <c r="K43" s="276">
        <f>J43</f>
        <v>1.4931053502482075</v>
      </c>
      <c r="L43" s="226">
        <f>(J43-K43*$K$31)/$L$31</f>
        <v>1.4931053502482075</v>
      </c>
      <c r="M43" s="3680"/>
      <c r="N43" s="3682"/>
      <c r="O43" s="21">
        <f>ROW()</f>
        <v>43</v>
      </c>
      <c r="Q43" s="685" t="s">
        <v>2904</v>
      </c>
      <c r="R43" s="138">
        <v>79239</v>
      </c>
      <c r="S43" s="734">
        <f t="shared" si="0"/>
        <v>3.6099969567031799E-2</v>
      </c>
      <c r="T43" s="138">
        <v>60027</v>
      </c>
      <c r="U43" s="734">
        <f t="shared" si="1"/>
        <v>2.9404128834043287E-2</v>
      </c>
      <c r="V43" s="10">
        <f t="shared" si="3"/>
        <v>139266</v>
      </c>
      <c r="W43" s="734">
        <f t="shared" si="2"/>
        <v>3.2873386969613137E-2</v>
      </c>
    </row>
    <row r="44" spans="2:23" ht="14.1" customHeight="1">
      <c r="B44" s="4785"/>
      <c r="C44" s="4785"/>
      <c r="D44" s="4785"/>
      <c r="E44" s="4785"/>
      <c r="F44" s="4785"/>
      <c r="G44" s="4785"/>
      <c r="H44" s="4191" t="s">
        <v>1657</v>
      </c>
      <c r="I44" s="4192"/>
      <c r="J44" s="276">
        <f>J36/J28</f>
        <v>1.5622342142277872</v>
      </c>
      <c r="K44" s="276">
        <f>J44</f>
        <v>1.5622342142277872</v>
      </c>
      <c r="L44" s="226">
        <f>(J44-K44*$K$31)/$L$31</f>
        <v>1.5622342142277872</v>
      </c>
      <c r="M44" s="3683"/>
      <c r="N44" s="3685"/>
      <c r="O44" s="21">
        <f>ROW()</f>
        <v>44</v>
      </c>
      <c r="Q44" s="685" t="s">
        <v>2769</v>
      </c>
      <c r="R44" s="138">
        <v>81602</v>
      </c>
      <c r="S44" s="734">
        <f t="shared" si="0"/>
        <v>3.7176513037884489E-2</v>
      </c>
      <c r="T44" s="138">
        <v>65750</v>
      </c>
      <c r="U44" s="734">
        <f t="shared" si="1"/>
        <v>3.2207531124966202E-2</v>
      </c>
      <c r="V44" s="10">
        <f t="shared" si="3"/>
        <v>147352</v>
      </c>
      <c r="W44" s="734">
        <f t="shared" si="2"/>
        <v>3.4782066812764315E-2</v>
      </c>
    </row>
    <row r="45" spans="2:23" ht="14.1" customHeight="1">
      <c r="B45" s="297"/>
      <c r="C45" s="297"/>
      <c r="D45" s="297"/>
      <c r="E45" s="297"/>
      <c r="F45" s="297"/>
      <c r="G45" s="297"/>
      <c r="O45" s="21">
        <f>ROW()</f>
        <v>45</v>
      </c>
      <c r="Q45" s="685" t="s">
        <v>2189</v>
      </c>
      <c r="R45" s="138">
        <v>90315</v>
      </c>
      <c r="S45" s="734">
        <f t="shared" si="0"/>
        <v>4.1146010821015877E-2</v>
      </c>
      <c r="T45" s="138">
        <v>92957</v>
      </c>
      <c r="U45" s="734">
        <f t="shared" si="1"/>
        <v>4.5534836057543472E-2</v>
      </c>
      <c r="V45" s="10">
        <f t="shared" si="3"/>
        <v>183272</v>
      </c>
      <c r="W45" s="734">
        <f t="shared" si="2"/>
        <v>4.3260891938412385E-2</v>
      </c>
    </row>
    <row r="46" spans="2:23" ht="14.1" customHeight="1">
      <c r="B46" s="275" t="s">
        <v>2608</v>
      </c>
      <c r="J46" s="8" t="s">
        <v>781</v>
      </c>
      <c r="K46" s="1892" t="s">
        <v>1923</v>
      </c>
      <c r="L46" s="1892" t="s">
        <v>1924</v>
      </c>
      <c r="N46" s="8" t="s">
        <v>1975</v>
      </c>
      <c r="O46" s="21">
        <f>ROW()</f>
        <v>46</v>
      </c>
      <c r="Q46" s="685" t="s">
        <v>2190</v>
      </c>
      <c r="R46" s="138">
        <v>106799</v>
      </c>
      <c r="S46" s="734">
        <f t="shared" si="0"/>
        <v>4.8655846865677622E-2</v>
      </c>
      <c r="T46" s="138">
        <v>130336</v>
      </c>
      <c r="U46" s="734">
        <f t="shared" si="1"/>
        <v>6.3844878733134519E-2</v>
      </c>
      <c r="V46" s="10">
        <f t="shared" si="3"/>
        <v>237135</v>
      </c>
      <c r="W46" s="734">
        <f t="shared" si="2"/>
        <v>5.5975116819892951E-2</v>
      </c>
    </row>
    <row r="47" spans="2:23" ht="14.1" customHeight="1">
      <c r="B47" s="4771" t="str">
        <f>CONCATENATE("Note: These 2009 data are used only to derive factors in Rows ",O53, " and ",O57, ", rather than to establish ridership levels per se.")</f>
        <v>Note: These 2009 data are used only to derive factors in Rows 53 and 57, rather than to establish ridership levels per se.</v>
      </c>
      <c r="C47" s="4772"/>
      <c r="D47" s="4772"/>
      <c r="E47" s="4772"/>
      <c r="F47" s="4772"/>
      <c r="G47" s="4773"/>
      <c r="H47" s="3" t="s">
        <v>1864</v>
      </c>
      <c r="J47" s="1125">
        <v>5086833</v>
      </c>
      <c r="K47" s="1125">
        <v>2928247</v>
      </c>
      <c r="L47" s="1125">
        <v>2283601</v>
      </c>
      <c r="N47" s="1125">
        <f>N49*1000/N48</f>
        <v>2575093.1043478264</v>
      </c>
      <c r="O47" s="21">
        <f>ROW()</f>
        <v>47</v>
      </c>
      <c r="Q47" s="685" t="s">
        <v>2191</v>
      </c>
      <c r="R47" s="138">
        <v>125700</v>
      </c>
      <c r="S47" s="734">
        <f t="shared" si="0"/>
        <v>5.7266827882430336E-2</v>
      </c>
      <c r="T47" s="138">
        <v>186767</v>
      </c>
      <c r="U47" s="734">
        <f t="shared" si="1"/>
        <v>9.1487512785042774E-2</v>
      </c>
      <c r="V47" s="10">
        <f t="shared" si="3"/>
        <v>312467</v>
      </c>
      <c r="W47" s="734">
        <f t="shared" si="2"/>
        <v>7.3757044836744848E-2</v>
      </c>
    </row>
    <row r="48" spans="2:23" ht="14.1" customHeight="1">
      <c r="B48" s="4774"/>
      <c r="C48" s="4775"/>
      <c r="D48" s="4775"/>
      <c r="E48" s="4775"/>
      <c r="F48" s="4775"/>
      <c r="G48" s="4776"/>
      <c r="H48" s="3" t="s">
        <v>1865</v>
      </c>
      <c r="J48" s="1125">
        <f>Constants!J25</f>
        <v>250</v>
      </c>
      <c r="K48" s="1125">
        <f>Constants!J28</f>
        <v>52</v>
      </c>
      <c r="L48" s="1125">
        <f>Constants!J29</f>
        <v>63</v>
      </c>
      <c r="N48" s="1125">
        <f>K48+L48</f>
        <v>115</v>
      </c>
      <c r="O48" s="21">
        <f>ROW()</f>
        <v>48</v>
      </c>
      <c r="Q48" s="685" t="s">
        <v>2192</v>
      </c>
      <c r="R48" s="138">
        <v>131957</v>
      </c>
      <c r="S48" s="734">
        <f t="shared" si="0"/>
        <v>6.0117412942576449E-2</v>
      </c>
      <c r="T48" s="138">
        <v>301508</v>
      </c>
      <c r="U48" s="734">
        <f t="shared" si="1"/>
        <v>0.14769320599887922</v>
      </c>
      <c r="V48" s="10">
        <f t="shared" si="3"/>
        <v>433465</v>
      </c>
      <c r="W48" s="734">
        <f t="shared" si="2"/>
        <v>0.1023183166227461</v>
      </c>
    </row>
    <row r="49" spans="2:31" ht="14.1" customHeight="1">
      <c r="B49" s="4777"/>
      <c r="C49" s="4778"/>
      <c r="D49" s="4778"/>
      <c r="E49" s="4778"/>
      <c r="F49" s="4778"/>
      <c r="G49" s="4779"/>
      <c r="H49" s="3" t="s">
        <v>4373</v>
      </c>
      <c r="J49" s="1125">
        <f>J47*J48/1000</f>
        <v>1271708.25</v>
      </c>
      <c r="K49" s="1125">
        <f>K47*K48/1000</f>
        <v>152268.84400000001</v>
      </c>
      <c r="L49" s="1125">
        <f>L47*L48/1000</f>
        <v>143866.86300000001</v>
      </c>
      <c r="N49" s="1125">
        <f>K49+L49</f>
        <v>296135.70700000005</v>
      </c>
      <c r="O49" s="21">
        <f>ROW()</f>
        <v>49</v>
      </c>
      <c r="Q49" s="685" t="s">
        <v>2193</v>
      </c>
      <c r="R49" s="138">
        <v>95438</v>
      </c>
      <c r="S49" s="734">
        <f t="shared" si="0"/>
        <v>4.3479964355158204E-2</v>
      </c>
      <c r="T49" s="138">
        <v>261941</v>
      </c>
      <c r="U49" s="734">
        <f t="shared" si="1"/>
        <v>0.12831137506319043</v>
      </c>
      <c r="V49" s="10">
        <f t="shared" si="3"/>
        <v>357379</v>
      </c>
      <c r="W49" s="734">
        <f t="shared" si="2"/>
        <v>8.4358408813446015E-2</v>
      </c>
    </row>
    <row r="50" spans="2:31" ht="14.1" customHeight="1">
      <c r="B50" s="3785" t="s">
        <v>4492</v>
      </c>
      <c r="C50" s="3785"/>
      <c r="D50" s="3785"/>
      <c r="E50" s="3785"/>
      <c r="F50" s="3785"/>
      <c r="G50" s="3785"/>
      <c r="H50" s="3785"/>
      <c r="I50" s="3785"/>
      <c r="J50" s="3785"/>
      <c r="K50" s="3785"/>
      <c r="L50" s="3785"/>
      <c r="M50" s="215"/>
      <c r="N50" s="1125"/>
      <c r="O50" s="21">
        <f>ROW()</f>
        <v>50</v>
      </c>
      <c r="Q50" s="685" t="s">
        <v>2194</v>
      </c>
      <c r="R50" s="138">
        <v>63651</v>
      </c>
      <c r="S50" s="734">
        <f t="shared" si="0"/>
        <v>2.8998336209582923E-2</v>
      </c>
      <c r="T50" s="138">
        <v>172112</v>
      </c>
      <c r="U50" s="734">
        <f t="shared" si="1"/>
        <v>8.4308784744945742E-2</v>
      </c>
      <c r="V50" s="10">
        <f t="shared" si="3"/>
        <v>235763</v>
      </c>
      <c r="W50" s="734">
        <f t="shared" si="2"/>
        <v>5.5651259690928885E-2</v>
      </c>
    </row>
    <row r="51" spans="2:31" ht="14.1" customHeight="1">
      <c r="B51" s="3785"/>
      <c r="C51" s="3785"/>
      <c r="D51" s="3785"/>
      <c r="E51" s="3785"/>
      <c r="F51" s="3785"/>
      <c r="G51" s="3785"/>
      <c r="H51" s="3785"/>
      <c r="I51" s="3785"/>
      <c r="J51" s="3785"/>
      <c r="K51" s="3785"/>
      <c r="L51" s="3785"/>
      <c r="M51" s="215"/>
      <c r="N51" s="215"/>
      <c r="O51" s="21">
        <f>ROW()</f>
        <v>51</v>
      </c>
      <c r="Q51" s="685" t="s">
        <v>2195</v>
      </c>
      <c r="R51" s="138">
        <v>47387</v>
      </c>
      <c r="S51" s="734">
        <f t="shared" si="0"/>
        <v>2.1588728503299334E-2</v>
      </c>
      <c r="T51" s="138">
        <v>116906</v>
      </c>
      <c r="U51" s="734">
        <f t="shared" si="1"/>
        <v>5.7266214961145229E-2</v>
      </c>
      <c r="V51" s="10">
        <f t="shared" si="3"/>
        <v>164293</v>
      </c>
      <c r="W51" s="734">
        <f t="shared" si="2"/>
        <v>3.8780947003566206E-2</v>
      </c>
    </row>
    <row r="52" spans="2:31" ht="14.1" customHeight="1">
      <c r="O52" s="21">
        <f>ROW()</f>
        <v>52</v>
      </c>
      <c r="Q52" s="685" t="s">
        <v>2196</v>
      </c>
      <c r="R52" s="138">
        <v>30424</v>
      </c>
      <c r="S52" s="734">
        <f t="shared" si="0"/>
        <v>1.3860668030986957E-2</v>
      </c>
      <c r="T52" s="138">
        <v>89708</v>
      </c>
      <c r="U52" s="734">
        <f t="shared" si="1"/>
        <v>4.3943318664007115E-2</v>
      </c>
      <c r="V52" s="10">
        <f t="shared" si="3"/>
        <v>120132</v>
      </c>
      <c r="W52" s="734">
        <f t="shared" si="2"/>
        <v>2.8356854676902944E-2</v>
      </c>
    </row>
    <row r="53" spans="2:31" ht="14.1" customHeight="1">
      <c r="B53" s="275" t="s">
        <v>963</v>
      </c>
      <c r="N53" s="3509">
        <v>0.80300000000000005</v>
      </c>
      <c r="O53" s="21">
        <f>ROW()</f>
        <v>53</v>
      </c>
      <c r="Q53" s="685" t="s">
        <v>2197</v>
      </c>
      <c r="R53" s="138">
        <v>26439</v>
      </c>
      <c r="S53" s="734">
        <f t="shared" si="0"/>
        <v>1.2045168356273474E-2</v>
      </c>
      <c r="T53" s="138">
        <v>72195</v>
      </c>
      <c r="U53" s="734">
        <f t="shared" si="1"/>
        <v>3.536460394778608E-2</v>
      </c>
      <c r="V53" s="10">
        <f t="shared" si="3"/>
        <v>98634</v>
      </c>
      <c r="W53" s="734">
        <f t="shared" si="2"/>
        <v>2.3282306164898986E-2</v>
      </c>
    </row>
    <row r="54" spans="2:31" ht="14.1" customHeight="1">
      <c r="B54" s="3785" t="str">
        <f>CONCATENATE("Calculated as one ratio divided by another; first is ratio of 2011 total weekday subway trips entering or leaving hub in Row ",O99, " divided by all 2009 weekday subway trips in Row ",O47, ". Second is ratio of 2011 annual subway trips in Row ",O18, " divided by 2009 annual subway trips in Row ",O10, ".")</f>
        <v>Calculated as one ratio divided by another; first is ratio of 2011 total weekday subway trips entering or leaving hub in Row 99 divided by all 2009 weekday subway trips in Row 47. Second is ratio of 2011 annual subway trips in Row 18 divided by 2009 annual subway trips in Row 10.</v>
      </c>
      <c r="C54" s="3786"/>
      <c r="D54" s="3786"/>
      <c r="E54" s="3786"/>
      <c r="F54" s="3786"/>
      <c r="G54" s="3786"/>
      <c r="H54" s="3786"/>
      <c r="I54" s="3786"/>
      <c r="J54" s="3786"/>
      <c r="K54" s="3786"/>
      <c r="L54" s="3786"/>
      <c r="N54" s="2536">
        <f>(J99/J47)/(J18/R9)</f>
        <v>0.81025066928701406</v>
      </c>
      <c r="O54" s="21">
        <f>ROW()</f>
        <v>54</v>
      </c>
      <c r="Q54" s="685" t="s">
        <v>2198</v>
      </c>
      <c r="R54" s="138">
        <v>15788</v>
      </c>
      <c r="S54" s="734">
        <f t="shared" si="0"/>
        <v>7.1927500287017514E-3</v>
      </c>
      <c r="T54" s="138">
        <v>46568</v>
      </c>
      <c r="U54" s="734">
        <f t="shared" si="1"/>
        <v>2.281125945897226E-2</v>
      </c>
      <c r="V54" s="10">
        <f t="shared" si="3"/>
        <v>62356</v>
      </c>
      <c r="W54" s="734">
        <f t="shared" si="2"/>
        <v>1.4718976044958546E-2</v>
      </c>
    </row>
    <row r="55" spans="2:31" ht="14.1" customHeight="1">
      <c r="B55" s="3786"/>
      <c r="C55" s="3786"/>
      <c r="D55" s="3786"/>
      <c r="E55" s="3786"/>
      <c r="F55" s="3786"/>
      <c r="G55" s="3786"/>
      <c r="H55" s="3786"/>
      <c r="I55" s="3786"/>
      <c r="J55" s="3786"/>
      <c r="K55" s="3786"/>
      <c r="L55" s="3786"/>
      <c r="N55" s="240"/>
      <c r="O55" s="21">
        <f>ROW()</f>
        <v>55</v>
      </c>
      <c r="Q55" s="2464"/>
      <c r="R55" s="138"/>
      <c r="T55" s="138"/>
    </row>
    <row r="56" spans="2:31" ht="14.1" customHeight="1">
      <c r="B56" s="3786"/>
      <c r="C56" s="3786"/>
      <c r="D56" s="3786"/>
      <c r="E56" s="3786"/>
      <c r="F56" s="3786"/>
      <c r="G56" s="3786"/>
      <c r="H56" s="3786"/>
      <c r="I56" s="3786"/>
      <c r="J56" s="3786"/>
      <c r="K56" s="3786"/>
      <c r="L56" s="3786"/>
      <c r="N56" s="240"/>
      <c r="O56" s="21">
        <f>ROW()</f>
        <v>56</v>
      </c>
      <c r="Q56" s="2464" t="s">
        <v>2813</v>
      </c>
      <c r="R56" s="138">
        <f t="shared" ref="R56:W56" si="4">SUM(R31:R54)</f>
        <v>2194988</v>
      </c>
      <c r="S56" s="734">
        <f t="shared" si="4"/>
        <v>0.99999999999999989</v>
      </c>
      <c r="T56" s="138">
        <f t="shared" si="4"/>
        <v>2041448</v>
      </c>
      <c r="U56" s="734">
        <f t="shared" si="4"/>
        <v>1</v>
      </c>
      <c r="V56" s="138">
        <f t="shared" si="4"/>
        <v>4236436</v>
      </c>
      <c r="W56" s="734">
        <f t="shared" si="4"/>
        <v>1</v>
      </c>
    </row>
    <row r="57" spans="2:31" ht="14.1" customHeight="1">
      <c r="B57" s="275" t="s">
        <v>644</v>
      </c>
      <c r="N57" s="2454">
        <f>1/N53</f>
        <v>1.2453300124533</v>
      </c>
      <c r="O57" s="21">
        <f>ROW()</f>
        <v>57</v>
      </c>
    </row>
    <row r="58" spans="2:31" ht="14.1" customHeight="1">
      <c r="B58" s="215" t="str">
        <f>CONCATENATE("Reciprocal of figure in Row ",O53, ".")</f>
        <v>Reciprocal of figure in Row 53.</v>
      </c>
      <c r="O58" s="21">
        <f>ROW()</f>
        <v>58</v>
      </c>
      <c r="Q58" s="3785" t="s">
        <v>4409</v>
      </c>
      <c r="R58" s="3786"/>
      <c r="S58" s="3786"/>
      <c r="T58" s="3786"/>
      <c r="U58" s="3786"/>
      <c r="V58" s="3786"/>
      <c r="W58" s="3786"/>
      <c r="X58" s="215"/>
      <c r="Y58" s="215"/>
      <c r="AB58" s="215"/>
      <c r="AC58" s="215"/>
      <c r="AD58" s="215"/>
      <c r="AE58" s="215"/>
    </row>
    <row r="59" spans="2:31" ht="14.1" customHeight="1">
      <c r="B59" s="215"/>
      <c r="O59" s="21">
        <f>ROW()</f>
        <v>59</v>
      </c>
      <c r="Q59" s="3786"/>
      <c r="R59" s="3786"/>
      <c r="S59" s="3786"/>
      <c r="T59" s="3786"/>
      <c r="U59" s="3786"/>
      <c r="V59" s="3786"/>
      <c r="W59" s="3786"/>
      <c r="X59" s="215"/>
      <c r="Y59" s="215"/>
      <c r="AB59" s="215"/>
      <c r="AC59" s="215"/>
      <c r="AD59" s="215"/>
      <c r="AE59" s="215"/>
    </row>
    <row r="60" spans="2:31" ht="14.1" customHeight="1">
      <c r="B60" s="24" t="s">
        <v>2449</v>
      </c>
      <c r="O60" s="21">
        <f>ROW()</f>
        <v>60</v>
      </c>
      <c r="Q60" s="3786"/>
      <c r="R60" s="3786"/>
      <c r="S60" s="3786"/>
      <c r="T60" s="3786"/>
      <c r="U60" s="3786"/>
      <c r="V60" s="3786"/>
      <c r="W60" s="3786"/>
    </row>
    <row r="61" spans="2:31" ht="14.1" customHeight="1">
      <c r="O61" s="21">
        <f>ROW()</f>
        <v>61</v>
      </c>
      <c r="Q61" s="3786"/>
      <c r="R61" s="3786"/>
      <c r="S61" s="3786"/>
      <c r="T61" s="3786"/>
      <c r="U61" s="3786"/>
      <c r="V61" s="3786"/>
      <c r="W61" s="3786"/>
    </row>
    <row r="62" spans="2:31" ht="14.1" customHeight="1">
      <c r="B62" s="686" t="s">
        <v>1863</v>
      </c>
      <c r="C62" s="686"/>
      <c r="D62" s="686"/>
      <c r="E62" s="686"/>
      <c r="F62" s="686"/>
      <c r="G62" s="686"/>
      <c r="H62" s="686"/>
      <c r="I62" s="686"/>
      <c r="J62" s="686"/>
      <c r="K62" s="686"/>
      <c r="L62" s="686"/>
      <c r="O62" s="21">
        <f>ROW()</f>
        <v>62</v>
      </c>
      <c r="Q62" s="3786"/>
      <c r="R62" s="3786"/>
      <c r="S62" s="3786"/>
      <c r="T62" s="3786"/>
      <c r="U62" s="3786"/>
      <c r="V62" s="3786"/>
      <c r="W62" s="3786"/>
    </row>
    <row r="63" spans="2:31" ht="14.1" customHeight="1">
      <c r="B63" s="686"/>
      <c r="C63" s="686"/>
      <c r="D63" s="686"/>
      <c r="E63" s="686"/>
      <c r="F63" s="686"/>
      <c r="G63" s="686"/>
      <c r="H63" s="686"/>
      <c r="I63" s="686"/>
      <c r="J63" s="686"/>
      <c r="K63" s="686"/>
      <c r="L63" s="686"/>
      <c r="O63" s="21">
        <f>ROW()</f>
        <v>63</v>
      </c>
    </row>
    <row r="64" spans="2:31" ht="14.1" customHeight="1">
      <c r="B64" s="3781" t="s">
        <v>1746</v>
      </c>
      <c r="C64" s="3781"/>
      <c r="D64" s="3781"/>
      <c r="E64" s="3781"/>
      <c r="F64" s="3781"/>
      <c r="G64" s="3781"/>
      <c r="H64" s="3781"/>
      <c r="I64" s="3781"/>
      <c r="J64" s="3781"/>
      <c r="K64" s="3781"/>
      <c r="L64" s="3781"/>
      <c r="M64" s="3781"/>
      <c r="N64" s="3781"/>
      <c r="O64" s="21">
        <f>ROW()</f>
        <v>64</v>
      </c>
    </row>
    <row r="65" spans="2:40" ht="14.1" customHeight="1" thickBot="1">
      <c r="B65" s="3781"/>
      <c r="C65" s="3781"/>
      <c r="D65" s="3781"/>
      <c r="E65" s="3781"/>
      <c r="F65" s="3781"/>
      <c r="G65" s="3781"/>
      <c r="H65" s="3781"/>
      <c r="I65" s="3781"/>
      <c r="J65" s="3781"/>
      <c r="K65" s="3781"/>
      <c r="L65" s="3781"/>
      <c r="M65" s="3781"/>
      <c r="N65" s="3781"/>
      <c r="O65" s="21">
        <f>ROW()</f>
        <v>65</v>
      </c>
    </row>
    <row r="66" spans="2:40" ht="14.1" customHeight="1">
      <c r="B66" s="3781"/>
      <c r="C66" s="3781"/>
      <c r="D66" s="3781"/>
      <c r="E66" s="3781"/>
      <c r="F66" s="3781"/>
      <c r="G66" s="3781"/>
      <c r="H66" s="3781"/>
      <c r="I66" s="3781"/>
      <c r="J66" s="3781"/>
      <c r="K66" s="3781"/>
      <c r="L66" s="3781"/>
      <c r="M66" s="3781"/>
      <c r="N66" s="3781"/>
      <c r="O66" s="21">
        <f>ROW()</f>
        <v>66</v>
      </c>
      <c r="P66" s="4807" t="str">
        <f>CONCATENATE("Change proposed fares in Rows ",O74, "-",O79, " from 'User Inputs' worksheet (Rows ",'User Inputs'!N119, "-",'User Inputs'!N124, ") rather than directly below.")</f>
        <v>Change proposed fares in Rows 74-79 from 'User Inputs' worksheet (Rows 119-124) rather than directly below.</v>
      </c>
      <c r="Q66" s="4808"/>
    </row>
    <row r="67" spans="2:40" ht="14.1" customHeight="1">
      <c r="O67" s="21">
        <f>ROW()</f>
        <v>67</v>
      </c>
      <c r="P67" s="4809"/>
      <c r="Q67" s="4810"/>
    </row>
    <row r="68" spans="2:40" ht="14.1" customHeight="1">
      <c r="B68" s="4780" t="s">
        <v>4410</v>
      </c>
      <c r="C68" s="4780"/>
      <c r="D68" s="4780"/>
      <c r="E68" s="4780"/>
      <c r="F68" s="4780"/>
      <c r="G68" s="4780"/>
      <c r="H68" s="4780"/>
      <c r="I68" s="4780"/>
      <c r="J68" s="4780"/>
      <c r="K68" s="4780"/>
      <c r="L68" s="4780"/>
      <c r="M68" s="4780"/>
      <c r="N68" s="4780"/>
      <c r="O68" s="21">
        <f>ROW()</f>
        <v>68</v>
      </c>
      <c r="P68" s="4809"/>
      <c r="Q68" s="4810"/>
    </row>
    <row r="69" spans="2:40" ht="14.1" customHeight="1">
      <c r="O69" s="21">
        <f>ROW()</f>
        <v>69</v>
      </c>
      <c r="P69" s="4809"/>
      <c r="Q69" s="4810"/>
    </row>
    <row r="70" spans="2:40" ht="14.1" customHeight="1" thickBot="1">
      <c r="B70" s="159">
        <v>2011</v>
      </c>
      <c r="C70" s="675"/>
      <c r="D70" s="4147" t="s">
        <v>567</v>
      </c>
      <c r="E70" s="4147"/>
      <c r="F70" s="675"/>
      <c r="G70" s="4147" t="s">
        <v>570</v>
      </c>
      <c r="H70" s="4147"/>
      <c r="I70" s="675"/>
      <c r="J70" s="4147" t="s">
        <v>571</v>
      </c>
      <c r="K70" s="4147"/>
      <c r="L70" s="4147"/>
      <c r="M70" s="4781" t="s">
        <v>4434</v>
      </c>
      <c r="N70" s="4254"/>
      <c r="O70" s="21">
        <f>ROW()</f>
        <v>70</v>
      </c>
      <c r="P70" s="4811"/>
      <c r="Q70" s="4812"/>
    </row>
    <row r="71" spans="2:40" ht="14.1" customHeight="1" thickBot="1">
      <c r="C71" s="676"/>
      <c r="D71" s="9"/>
      <c r="E71" s="9"/>
      <c r="F71" s="676"/>
      <c r="G71" s="9"/>
      <c r="H71" s="9"/>
      <c r="I71" s="676"/>
      <c r="J71" s="9"/>
      <c r="K71" s="9"/>
      <c r="M71" s="4254"/>
      <c r="N71" s="4254"/>
      <c r="O71" s="21">
        <f>ROW()</f>
        <v>71</v>
      </c>
    </row>
    <row r="72" spans="2:40" ht="14.1" customHeight="1" thickBot="1">
      <c r="B72" s="3234" t="s">
        <v>5648</v>
      </c>
      <c r="C72" s="677"/>
      <c r="D72" s="678" t="s">
        <v>568</v>
      </c>
      <c r="E72" s="678" t="s">
        <v>569</v>
      </c>
      <c r="F72" s="677"/>
      <c r="G72" s="678" t="s">
        <v>568</v>
      </c>
      <c r="H72" s="678" t="s">
        <v>569</v>
      </c>
      <c r="I72" s="677"/>
      <c r="J72" s="678" t="s">
        <v>568</v>
      </c>
      <c r="K72" s="678" t="s">
        <v>569</v>
      </c>
      <c r="L72" s="675" t="s">
        <v>572</v>
      </c>
      <c r="M72" s="3234" t="s">
        <v>5649</v>
      </c>
      <c r="N72" s="675" t="s">
        <v>110</v>
      </c>
      <c r="O72" s="21">
        <f>ROW()</f>
        <v>72</v>
      </c>
      <c r="P72" s="4813" t="s">
        <v>2892</v>
      </c>
      <c r="Q72" s="4814"/>
      <c r="R72" s="4767" t="s">
        <v>200</v>
      </c>
      <c r="S72" s="4788"/>
      <c r="T72" s="4788"/>
      <c r="U72" s="4788"/>
      <c r="V72" s="4788"/>
      <c r="W72" s="4788"/>
      <c r="X72" s="4789"/>
      <c r="Y72" s="281"/>
      <c r="Z72" s="281"/>
      <c r="AA72" s="281"/>
      <c r="AD72" t="s">
        <v>1435</v>
      </c>
    </row>
    <row r="73" spans="2:40" ht="14.1" customHeight="1" thickBot="1">
      <c r="B73" s="676"/>
      <c r="C73" s="677"/>
      <c r="D73" s="9"/>
      <c r="E73" s="9"/>
      <c r="F73" s="677"/>
      <c r="G73" s="9"/>
      <c r="H73" s="9"/>
      <c r="I73" s="677"/>
      <c r="J73" s="9"/>
      <c r="K73" s="9"/>
      <c r="L73" s="9"/>
      <c r="O73" s="21">
        <f>ROW()</f>
        <v>73</v>
      </c>
      <c r="P73" s="1011" t="s">
        <v>573</v>
      </c>
      <c r="Q73" s="1012" t="s">
        <v>2739</v>
      </c>
      <c r="R73" s="4790"/>
      <c r="S73" s="4791"/>
      <c r="T73" s="4791"/>
      <c r="U73" s="4791"/>
      <c r="V73" s="4791"/>
      <c r="W73" s="4791"/>
      <c r="X73" s="4792"/>
      <c r="Y73" s="281"/>
      <c r="Z73" s="742" t="str">
        <f>'User Inputs'!J125</f>
        <v>NONE</v>
      </c>
      <c r="AA73" s="281"/>
      <c r="AD73" s="20" t="s">
        <v>2199</v>
      </c>
    </row>
    <row r="74" spans="2:40" ht="14.1" customHeight="1">
      <c r="B74" s="685" t="s">
        <v>1311</v>
      </c>
      <c r="C74" s="677"/>
      <c r="D74" s="138">
        <f t="shared" ref="D74:D97" si="5">R31*$J$18/$R$8</f>
        <v>9752.7322514653479</v>
      </c>
      <c r="E74" s="184">
        <f>D74/MAX(D$74:D$97)</f>
        <v>2.3539911864784959E-2</v>
      </c>
      <c r="F74" s="677"/>
      <c r="G74" s="138">
        <f t="shared" ref="G74:G97" si="6">T31*$J$18/$R$8</f>
        <v>28764.832697578662</v>
      </c>
      <c r="H74" s="184">
        <f>G74/MAX(G$74:G$97)</f>
        <v>9.4946071082691E-2</v>
      </c>
      <c r="I74" s="677"/>
      <c r="J74" s="138">
        <f>D74+G74</f>
        <v>38517.564949044012</v>
      </c>
      <c r="K74" s="184">
        <f>J74/MAX(J$74:J$97)</f>
        <v>7.5929183206167344E-2</v>
      </c>
      <c r="L74" s="351">
        <f>J74/$J$99</f>
        <v>9.0484076709762638E-3</v>
      </c>
      <c r="M74" s="34">
        <v>1</v>
      </c>
      <c r="N74" s="682">
        <f t="shared" ref="N74:N97" si="7">VLOOKUP(M74,$P$74:$Q$79,2)</f>
        <v>2.25</v>
      </c>
      <c r="O74" s="21">
        <f>ROW()</f>
        <v>74</v>
      </c>
      <c r="P74" s="1011">
        <v>1</v>
      </c>
      <c r="Q74" s="1013">
        <f>'User Inputs'!J119</f>
        <v>2.25</v>
      </c>
      <c r="R74" s="4793"/>
      <c r="S74" s="4794"/>
      <c r="T74" s="4794"/>
      <c r="U74" s="4794"/>
      <c r="V74" s="4794"/>
      <c r="W74" s="4794"/>
      <c r="X74" s="4795"/>
      <c r="AD74" s="685" t="s">
        <v>1311</v>
      </c>
      <c r="AE74" s="677"/>
      <c r="AF74" s="138">
        <v>6508</v>
      </c>
      <c r="AG74" s="184">
        <f t="shared" ref="AG74:AG97" si="8">AF74/MAX(AF$74:AF$97)</f>
        <v>1.8727949767195586E-2</v>
      </c>
      <c r="AH74" s="677"/>
      <c r="AI74" s="138">
        <v>28324</v>
      </c>
      <c r="AJ74" s="184">
        <f t="shared" ref="AJ74:AJ97" si="9">AI74/MAX(AI$74:AI$97)</f>
        <v>9.8674080112595194E-2</v>
      </c>
      <c r="AK74" s="677"/>
      <c r="AL74" s="138">
        <f>AF74+AI74</f>
        <v>34832</v>
      </c>
      <c r="AM74" s="184">
        <f t="shared" ref="AM74:AM97" si="10">AL74/MAX(AL$74:AL$97)</f>
        <v>7.9209181643081134E-2</v>
      </c>
      <c r="AN74" s="351">
        <f>AL74/$J$99</f>
        <v>8.1826080234406844E-3</v>
      </c>
    </row>
    <row r="75" spans="2:40" ht="14.1" customHeight="1">
      <c r="B75" s="685" t="s">
        <v>1312</v>
      </c>
      <c r="C75" s="677"/>
      <c r="D75" s="138">
        <f t="shared" si="5"/>
        <v>4305.6313308807967</v>
      </c>
      <c r="E75" s="184">
        <f t="shared" ref="E75:E97" si="11">D75/MAX(D$74:D$97)</f>
        <v>1.039238845462637E-2</v>
      </c>
      <c r="F75" s="677"/>
      <c r="G75" s="138">
        <f t="shared" si="6"/>
        <v>13386.142494747721</v>
      </c>
      <c r="H75" s="184">
        <f t="shared" ref="H75:H97" si="12">G75/MAX(G$74:G$97)</f>
        <v>4.4184565583666111E-2</v>
      </c>
      <c r="I75" s="677"/>
      <c r="J75" s="138">
        <f t="shared" ref="J75:J97" si="13">D75+G75</f>
        <v>17691.773825628516</v>
      </c>
      <c r="K75" s="184">
        <f t="shared" ref="K75:K97" si="14">J75/MAX(J$74:J$97)</f>
        <v>3.4875567493047467E-2</v>
      </c>
      <c r="L75" s="351">
        <f t="shared" ref="L75:L97" si="15">J75/$J$99</f>
        <v>4.1560878058821138E-3</v>
      </c>
      <c r="M75" s="34">
        <v>1</v>
      </c>
      <c r="N75" s="682">
        <f t="shared" si="7"/>
        <v>2.25</v>
      </c>
      <c r="O75" s="21">
        <f>ROW()</f>
        <v>75</v>
      </c>
      <c r="P75" s="1011">
        <v>2</v>
      </c>
      <c r="Q75" s="1014">
        <f>'User Inputs'!J120</f>
        <v>2.25</v>
      </c>
      <c r="AD75" s="685" t="s">
        <v>1312</v>
      </c>
      <c r="AE75" s="677"/>
      <c r="AF75" s="138">
        <v>3690</v>
      </c>
      <c r="AG75" s="184">
        <f t="shared" si="8"/>
        <v>1.0618643921473834E-2</v>
      </c>
      <c r="AH75" s="677"/>
      <c r="AI75" s="138">
        <v>13413</v>
      </c>
      <c r="AJ75" s="184">
        <f t="shared" si="9"/>
        <v>4.6727702180138372E-2</v>
      </c>
      <c r="AK75" s="677"/>
      <c r="AL75" s="138">
        <f t="shared" ref="AL75:AL97" si="16">AF75+AI75</f>
        <v>17103</v>
      </c>
      <c r="AM75" s="184">
        <f t="shared" si="10"/>
        <v>3.8892817915756106E-2</v>
      </c>
      <c r="AN75" s="351">
        <f t="shared" ref="AN75:AN97" si="17">AL75/$J$99</f>
        <v>4.0177751787122771E-3</v>
      </c>
    </row>
    <row r="76" spans="2:40" ht="14.1" customHeight="1">
      <c r="B76" s="685" t="s">
        <v>1313</v>
      </c>
      <c r="C76" s="677"/>
      <c r="D76" s="138">
        <f t="shared" si="5"/>
        <v>3412.350991755236</v>
      </c>
      <c r="E76" s="184">
        <f t="shared" si="11"/>
        <v>8.2363013283339916E-3</v>
      </c>
      <c r="F76" s="677"/>
      <c r="G76" s="138">
        <f t="shared" si="6"/>
        <v>6810.6345765951082</v>
      </c>
      <c r="H76" s="184">
        <f t="shared" si="12"/>
        <v>2.2480332196823962E-2</v>
      </c>
      <c r="I76" s="677"/>
      <c r="J76" s="138">
        <f t="shared" si="13"/>
        <v>10222.985568350345</v>
      </c>
      <c r="K76" s="184">
        <f t="shared" si="14"/>
        <v>2.0152440715298741E-2</v>
      </c>
      <c r="L76" s="351">
        <f t="shared" si="15"/>
        <v>2.4015469606999845E-3</v>
      </c>
      <c r="M76" s="34">
        <v>1</v>
      </c>
      <c r="N76" s="682">
        <f t="shared" si="7"/>
        <v>2.25</v>
      </c>
      <c r="O76" s="21">
        <f>ROW()</f>
        <v>76</v>
      </c>
      <c r="P76" s="1011">
        <v>3</v>
      </c>
      <c r="Q76" s="1014">
        <f>'User Inputs'!J121</f>
        <v>2.25</v>
      </c>
      <c r="AD76" s="685" t="s">
        <v>1313</v>
      </c>
      <c r="AE76" s="677"/>
      <c r="AF76" s="138">
        <v>2891</v>
      </c>
      <c r="AG76" s="184">
        <f t="shared" si="8"/>
        <v>8.3193765791276016E-3</v>
      </c>
      <c r="AH76" s="677"/>
      <c r="AI76" s="138">
        <v>5708</v>
      </c>
      <c r="AJ76" s="184">
        <f t="shared" si="9"/>
        <v>1.9885314548887634E-2</v>
      </c>
      <c r="AK76" s="677"/>
      <c r="AL76" s="138">
        <f t="shared" si="16"/>
        <v>8599</v>
      </c>
      <c r="AM76" s="184">
        <f t="shared" si="10"/>
        <v>1.9554425612909241E-2</v>
      </c>
      <c r="AN76" s="351">
        <f t="shared" si="17"/>
        <v>2.0200461183270111E-3</v>
      </c>
    </row>
    <row r="77" spans="2:40" ht="14.1" customHeight="1">
      <c r="B77" s="685" t="s">
        <v>1314</v>
      </c>
      <c r="C77" s="677"/>
      <c r="D77" s="138">
        <f t="shared" si="5"/>
        <v>3131.0028534479729</v>
      </c>
      <c r="E77" s="184">
        <f t="shared" si="11"/>
        <v>7.5572187688718257E-3</v>
      </c>
      <c r="F77" s="677"/>
      <c r="G77" s="138">
        <f t="shared" si="6"/>
        <v>4064.4757837602856</v>
      </c>
      <c r="H77" s="184">
        <f t="shared" si="12"/>
        <v>1.3415896095625988E-2</v>
      </c>
      <c r="I77" s="677"/>
      <c r="J77" s="138">
        <f t="shared" si="13"/>
        <v>7195.4786372082581</v>
      </c>
      <c r="K77" s="184">
        <f t="shared" si="14"/>
        <v>1.4184355018896627E-2</v>
      </c>
      <c r="L77" s="351">
        <f t="shared" si="15"/>
        <v>1.6903359333175338E-3</v>
      </c>
      <c r="M77" s="34">
        <v>1</v>
      </c>
      <c r="N77" s="682">
        <f t="shared" si="7"/>
        <v>2.25</v>
      </c>
      <c r="O77" s="21">
        <f>ROW()</f>
        <v>77</v>
      </c>
      <c r="P77" s="1011">
        <v>4</v>
      </c>
      <c r="Q77" s="1014">
        <f>'User Inputs'!J122</f>
        <v>2.25</v>
      </c>
      <c r="AD77" s="685" t="s">
        <v>1314</v>
      </c>
      <c r="AE77" s="677"/>
      <c r="AF77" s="138">
        <v>3221</v>
      </c>
      <c r="AG77" s="184">
        <f t="shared" si="8"/>
        <v>9.2690114013732287E-3</v>
      </c>
      <c r="AH77" s="677"/>
      <c r="AI77" s="138">
        <v>3694</v>
      </c>
      <c r="AJ77" s="184">
        <f t="shared" si="9"/>
        <v>1.2869017509388739E-2</v>
      </c>
      <c r="AK77" s="677"/>
      <c r="AL77" s="138">
        <f t="shared" si="16"/>
        <v>6915</v>
      </c>
      <c r="AM77" s="184">
        <f t="shared" si="10"/>
        <v>1.5724950937698268E-2</v>
      </c>
      <c r="AN77" s="351">
        <f t="shared" si="17"/>
        <v>1.624446901759656E-3</v>
      </c>
    </row>
    <row r="78" spans="2:40" ht="14.1" customHeight="1">
      <c r="B78" s="685" t="s">
        <v>1315</v>
      </c>
      <c r="C78" s="677"/>
      <c r="D78" s="138">
        <f t="shared" si="5"/>
        <v>7006.5734586305243</v>
      </c>
      <c r="E78" s="184">
        <f t="shared" si="11"/>
        <v>1.6911581025463168E-2</v>
      </c>
      <c r="F78" s="677"/>
      <c r="G78" s="138">
        <f t="shared" si="6"/>
        <v>4041.3650438279033</v>
      </c>
      <c r="H78" s="184">
        <f t="shared" si="12"/>
        <v>1.3339612879260252E-2</v>
      </c>
      <c r="I78" s="677"/>
      <c r="J78" s="138">
        <f t="shared" si="13"/>
        <v>11047.938502458428</v>
      </c>
      <c r="K78" s="184">
        <f t="shared" si="14"/>
        <v>2.1778659884480998E-2</v>
      </c>
      <c r="L78" s="351">
        <f t="shared" si="15"/>
        <v>2.5953419336442237E-3</v>
      </c>
      <c r="M78" s="34">
        <v>1</v>
      </c>
      <c r="N78" s="682">
        <f t="shared" si="7"/>
        <v>2.25</v>
      </c>
      <c r="O78" s="21">
        <f>ROW()</f>
        <v>78</v>
      </c>
      <c r="P78" s="1011">
        <v>5</v>
      </c>
      <c r="Q78" s="1014">
        <f>'User Inputs'!J123</f>
        <v>2.25</v>
      </c>
      <c r="AD78" s="685" t="s">
        <v>1315</v>
      </c>
      <c r="AE78" s="677"/>
      <c r="AF78" s="138">
        <v>7832</v>
      </c>
      <c r="AG78" s="184">
        <f t="shared" si="8"/>
        <v>2.2537999781296222E-2</v>
      </c>
      <c r="AH78" s="677"/>
      <c r="AI78" s="138">
        <v>4123</v>
      </c>
      <c r="AJ78" s="184">
        <f t="shared" si="9"/>
        <v>1.4363551486521324E-2</v>
      </c>
      <c r="AK78" s="677"/>
      <c r="AL78" s="138">
        <f t="shared" si="16"/>
        <v>11955</v>
      </c>
      <c r="AM78" s="184">
        <f t="shared" si="10"/>
        <v>2.7186086545218046E-2</v>
      </c>
      <c r="AN78" s="351">
        <f t="shared" si="17"/>
        <v>2.80842555466908E-3</v>
      </c>
    </row>
    <row r="79" spans="2:40" ht="14.1" customHeight="1" thickBot="1">
      <c r="B79" s="685" t="s">
        <v>1316</v>
      </c>
      <c r="C79" s="677"/>
      <c r="D79" s="138">
        <f t="shared" si="5"/>
        <v>34011.975477009124</v>
      </c>
      <c r="E79" s="184">
        <f t="shared" si="11"/>
        <v>8.2093805554410273E-2</v>
      </c>
      <c r="F79" s="677"/>
      <c r="G79" s="138">
        <f t="shared" si="6"/>
        <v>10163.701496349886</v>
      </c>
      <c r="H79" s="184">
        <f t="shared" si="12"/>
        <v>3.3548031893017763E-2</v>
      </c>
      <c r="I79" s="677"/>
      <c r="J79" s="138">
        <f t="shared" si="13"/>
        <v>44175.676973359012</v>
      </c>
      <c r="K79" s="184">
        <f t="shared" si="14"/>
        <v>8.7082947081520923E-2</v>
      </c>
      <c r="L79" s="351">
        <f t="shared" si="15"/>
        <v>1.0377590975055449E-2</v>
      </c>
      <c r="M79" s="34">
        <v>2</v>
      </c>
      <c r="N79" s="682">
        <f t="shared" si="7"/>
        <v>2.25</v>
      </c>
      <c r="O79" s="21">
        <f>ROW()</f>
        <v>79</v>
      </c>
      <c r="P79" s="1015">
        <v>6</v>
      </c>
      <c r="Q79" s="1016">
        <f>'User Inputs'!J124</f>
        <v>2.25</v>
      </c>
      <c r="AD79" s="685" t="s">
        <v>1316</v>
      </c>
      <c r="AE79" s="677"/>
      <c r="AF79" s="138">
        <v>34396</v>
      </c>
      <c r="AG79" s="184">
        <f t="shared" si="8"/>
        <v>9.898072529078969E-2</v>
      </c>
      <c r="AH79" s="677"/>
      <c r="AI79" s="138">
        <v>9366</v>
      </c>
      <c r="AJ79" s="184">
        <f t="shared" si="9"/>
        <v>3.2628916619635878E-2</v>
      </c>
      <c r="AK79" s="677"/>
      <c r="AL79" s="138">
        <f t="shared" si="16"/>
        <v>43762</v>
      </c>
      <c r="AM79" s="184">
        <f t="shared" si="10"/>
        <v>9.9516312788944558E-2</v>
      </c>
      <c r="AN79" s="351">
        <f t="shared" si="17"/>
        <v>1.0280411469964723E-2</v>
      </c>
    </row>
    <row r="80" spans="2:40" ht="14.1" customHeight="1">
      <c r="B80" s="685" t="s">
        <v>1317</v>
      </c>
      <c r="C80" s="677"/>
      <c r="D80" s="138">
        <f t="shared" si="5"/>
        <v>108307.98028572001</v>
      </c>
      <c r="E80" s="184">
        <f t="shared" si="11"/>
        <v>0.26142010714952668</v>
      </c>
      <c r="F80" s="677"/>
      <c r="G80" s="138">
        <f t="shared" si="6"/>
        <v>38780.826421317237</v>
      </c>
      <c r="H80" s="184">
        <f t="shared" si="12"/>
        <v>0.12800655372328429</v>
      </c>
      <c r="I80" s="677"/>
      <c r="J80" s="138">
        <f t="shared" si="13"/>
        <v>147088.80670703726</v>
      </c>
      <c r="K80" s="184">
        <f t="shared" si="14"/>
        <v>0.28995428363163861</v>
      </c>
      <c r="L80" s="351">
        <f t="shared" si="15"/>
        <v>3.4553572861716786E-2</v>
      </c>
      <c r="M80" s="34">
        <v>3</v>
      </c>
      <c r="N80" s="682">
        <f t="shared" si="7"/>
        <v>2.25</v>
      </c>
      <c r="O80" s="21">
        <f>ROW()</f>
        <v>80</v>
      </c>
      <c r="AD80" s="685" t="s">
        <v>1317</v>
      </c>
      <c r="AE80" s="677"/>
      <c r="AF80" s="138">
        <v>98487</v>
      </c>
      <c r="AG80" s="184">
        <f t="shared" si="8"/>
        <v>0.28341419617728819</v>
      </c>
      <c r="AH80" s="677"/>
      <c r="AI80" s="138">
        <v>36050</v>
      </c>
      <c r="AJ80" s="184">
        <f t="shared" si="9"/>
        <v>0.12558962674971955</v>
      </c>
      <c r="AK80" s="677"/>
      <c r="AL80" s="138">
        <f t="shared" si="16"/>
        <v>134537</v>
      </c>
      <c r="AM80" s="184">
        <f t="shared" si="10"/>
        <v>0.30594182564065248</v>
      </c>
      <c r="AN80" s="351">
        <f t="shared" si="17"/>
        <v>3.1604947624300626E-2</v>
      </c>
    </row>
    <row r="81" spans="2:40" ht="14.1" customHeight="1">
      <c r="B81" s="685" t="s">
        <v>1318</v>
      </c>
      <c r="C81" s="677"/>
      <c r="D81" s="138">
        <f t="shared" si="5"/>
        <v>242271.89634072341</v>
      </c>
      <c r="E81" s="184">
        <f t="shared" si="11"/>
        <v>0.58476526783743732</v>
      </c>
      <c r="F81" s="677"/>
      <c r="G81" s="138">
        <f t="shared" si="6"/>
        <v>79619.513511396173</v>
      </c>
      <c r="H81" s="184">
        <f t="shared" si="12"/>
        <v>0.26280563036470012</v>
      </c>
      <c r="I81" s="677"/>
      <c r="J81" s="138">
        <f t="shared" si="13"/>
        <v>321891.40985211957</v>
      </c>
      <c r="K81" s="184">
        <f t="shared" si="14"/>
        <v>0.63454041976658504</v>
      </c>
      <c r="L81" s="351">
        <f t="shared" si="15"/>
        <v>7.5617570995997571E-2</v>
      </c>
      <c r="M81" s="34">
        <v>4</v>
      </c>
      <c r="N81" s="682">
        <f t="shared" si="7"/>
        <v>2.25</v>
      </c>
      <c r="O81" s="21">
        <f>ROW()</f>
        <v>81</v>
      </c>
      <c r="P81" s="4805" t="s">
        <v>805</v>
      </c>
      <c r="AD81" s="685" t="s">
        <v>1318</v>
      </c>
      <c r="AE81" s="677"/>
      <c r="AF81" s="138">
        <v>223189</v>
      </c>
      <c r="AG81" s="184">
        <f t="shared" si="8"/>
        <v>0.64226680709751316</v>
      </c>
      <c r="AH81" s="677"/>
      <c r="AI81" s="138">
        <v>83015</v>
      </c>
      <c r="AJ81" s="184">
        <f t="shared" si="9"/>
        <v>0.28920451774280082</v>
      </c>
      <c r="AK81" s="677"/>
      <c r="AL81" s="138">
        <f t="shared" si="16"/>
        <v>306204</v>
      </c>
      <c r="AM81" s="184">
        <f t="shared" si="10"/>
        <v>0.69631856499305278</v>
      </c>
      <c r="AN81" s="351">
        <f t="shared" si="17"/>
        <v>7.1932341157832785E-2</v>
      </c>
    </row>
    <row r="82" spans="2:40" ht="14.1" customHeight="1">
      <c r="B82" s="685" t="s">
        <v>1319</v>
      </c>
      <c r="C82" s="677"/>
      <c r="D82" s="2455">
        <f t="shared" si="5"/>
        <v>414306.23476781824</v>
      </c>
      <c r="E82" s="2456">
        <f t="shared" si="11"/>
        <v>1</v>
      </c>
      <c r="F82" s="677"/>
      <c r="G82" s="138">
        <f t="shared" si="6"/>
        <v>92976.516377533495</v>
      </c>
      <c r="H82" s="184">
        <f t="shared" si="12"/>
        <v>0.30689401276251377</v>
      </c>
      <c r="I82" s="677"/>
      <c r="J82" s="2455">
        <f t="shared" si="13"/>
        <v>507282.75114535174</v>
      </c>
      <c r="K82" s="2456">
        <f t="shared" si="14"/>
        <v>1</v>
      </c>
      <c r="L82" s="351">
        <f t="shared" si="15"/>
        <v>0.11916903737009128</v>
      </c>
      <c r="M82" s="1017">
        <v>6</v>
      </c>
      <c r="N82" s="1018">
        <f t="shared" si="7"/>
        <v>2.25</v>
      </c>
      <c r="O82" s="21">
        <f>ROW()</f>
        <v>82</v>
      </c>
      <c r="P82" s="4806"/>
      <c r="AD82" s="685" t="s">
        <v>1319</v>
      </c>
      <c r="AE82" s="677"/>
      <c r="AF82" s="679">
        <v>347502</v>
      </c>
      <c r="AG82" s="680">
        <f t="shared" si="8"/>
        <v>1</v>
      </c>
      <c r="AH82" s="677"/>
      <c r="AI82" s="138">
        <v>92245</v>
      </c>
      <c r="AJ82" s="184">
        <f t="shared" si="9"/>
        <v>0.32135964270535033</v>
      </c>
      <c r="AK82" s="677"/>
      <c r="AL82" s="679">
        <f t="shared" si="16"/>
        <v>439747</v>
      </c>
      <c r="AM82" s="680">
        <f t="shared" si="10"/>
        <v>1</v>
      </c>
      <c r="AN82" s="351">
        <f t="shared" si="17"/>
        <v>0.10330378188114293</v>
      </c>
    </row>
    <row r="83" spans="2:40" ht="14.1" customHeight="1">
      <c r="B83" s="685" t="s">
        <v>1320</v>
      </c>
      <c r="C83" s="677"/>
      <c r="D83" s="138">
        <f t="shared" si="5"/>
        <v>262552.07303877873</v>
      </c>
      <c r="E83" s="184">
        <f t="shared" si="11"/>
        <v>0.63371499390038333</v>
      </c>
      <c r="F83" s="677"/>
      <c r="G83" s="138">
        <f t="shared" si="6"/>
        <v>68544.44500988668</v>
      </c>
      <c r="H83" s="184">
        <f t="shared" si="12"/>
        <v>0.22624938641760747</v>
      </c>
      <c r="I83" s="677"/>
      <c r="J83" s="138">
        <f t="shared" si="13"/>
        <v>331096.51804866543</v>
      </c>
      <c r="K83" s="184">
        <f t="shared" si="14"/>
        <v>0.65268633183586477</v>
      </c>
      <c r="L83" s="351">
        <f t="shared" si="15"/>
        <v>7.7780001869495963E-2</v>
      </c>
      <c r="M83" s="34">
        <v>5</v>
      </c>
      <c r="N83" s="682">
        <f t="shared" si="7"/>
        <v>2.25</v>
      </c>
      <c r="O83" s="21">
        <f>ROW()</f>
        <v>83</v>
      </c>
      <c r="P83" s="4806"/>
      <c r="AD83" s="685" t="s">
        <v>1320</v>
      </c>
      <c r="AE83" s="677"/>
      <c r="AF83" s="138">
        <v>214633</v>
      </c>
      <c r="AG83" s="184">
        <f t="shared" si="8"/>
        <v>0.61764536606983556</v>
      </c>
      <c r="AH83" s="677"/>
      <c r="AI83" s="138">
        <v>61662</v>
      </c>
      <c r="AJ83" s="184">
        <f t="shared" si="9"/>
        <v>0.21481574381806401</v>
      </c>
      <c r="AK83" s="677"/>
      <c r="AL83" s="138">
        <f t="shared" si="16"/>
        <v>276295</v>
      </c>
      <c r="AM83" s="184">
        <f t="shared" si="10"/>
        <v>0.62830445688088832</v>
      </c>
      <c r="AN83" s="351">
        <f t="shared" si="17"/>
        <v>6.4906226568573269E-2</v>
      </c>
    </row>
    <row r="84" spans="2:40" ht="14.1" customHeight="1">
      <c r="B84" s="685" t="s">
        <v>1321</v>
      </c>
      <c r="C84" s="677"/>
      <c r="D84" s="138">
        <f t="shared" si="5"/>
        <v>127113.08888722154</v>
      </c>
      <c r="E84" s="184">
        <f t="shared" si="11"/>
        <v>0.30680950036500687</v>
      </c>
      <c r="F84" s="677"/>
      <c r="G84" s="138">
        <f t="shared" si="6"/>
        <v>50387.441941271514</v>
      </c>
      <c r="H84" s="184">
        <f t="shared" si="12"/>
        <v>0.16631731164678881</v>
      </c>
      <c r="I84" s="677"/>
      <c r="J84" s="138">
        <f t="shared" si="13"/>
        <v>177500.53082849307</v>
      </c>
      <c r="K84" s="184">
        <f t="shared" si="14"/>
        <v>0.34990452647508574</v>
      </c>
      <c r="L84" s="351">
        <f t="shared" si="15"/>
        <v>4.1697785591473586E-2</v>
      </c>
      <c r="M84" s="34">
        <v>3</v>
      </c>
      <c r="N84" s="682">
        <f t="shared" si="7"/>
        <v>2.25</v>
      </c>
      <c r="O84" s="21">
        <f>ROW()</f>
        <v>84</v>
      </c>
      <c r="P84" s="4806"/>
      <c r="Q84" s="1010"/>
      <c r="AD84" s="685" t="s">
        <v>1321</v>
      </c>
      <c r="AE84" s="677"/>
      <c r="AF84" s="138">
        <v>108778</v>
      </c>
      <c r="AG84" s="184">
        <f t="shared" si="8"/>
        <v>0.31302841422495409</v>
      </c>
      <c r="AH84" s="677"/>
      <c r="AI84" s="138">
        <v>42556</v>
      </c>
      <c r="AJ84" s="184">
        <f t="shared" si="9"/>
        <v>0.14825498352180486</v>
      </c>
      <c r="AK84" s="677"/>
      <c r="AL84" s="138">
        <f t="shared" si="16"/>
        <v>151334</v>
      </c>
      <c r="AM84" s="184">
        <f t="shared" si="10"/>
        <v>0.34413878889452343</v>
      </c>
      <c r="AN84" s="351">
        <f t="shared" si="17"/>
        <v>3.5550838384800547E-2</v>
      </c>
    </row>
    <row r="85" spans="2:40" ht="14.1" customHeight="1">
      <c r="B85" s="685" t="s">
        <v>2768</v>
      </c>
      <c r="C85" s="677"/>
      <c r="D85" s="138">
        <f t="shared" si="5"/>
        <v>90337.872766123226</v>
      </c>
      <c r="E85" s="184">
        <f t="shared" si="11"/>
        <v>0.21804613395873601</v>
      </c>
      <c r="F85" s="677"/>
      <c r="G85" s="138">
        <f t="shared" si="6"/>
        <v>49274.107165398491</v>
      </c>
      <c r="H85" s="184">
        <f t="shared" si="12"/>
        <v>0.16264245061490906</v>
      </c>
      <c r="I85" s="677"/>
      <c r="J85" s="138">
        <f t="shared" si="13"/>
        <v>139611.97993152172</v>
      </c>
      <c r="K85" s="184">
        <f t="shared" si="14"/>
        <v>0.27521531062568833</v>
      </c>
      <c r="L85" s="351">
        <f t="shared" si="15"/>
        <v>3.2797143636773933E-2</v>
      </c>
      <c r="M85" s="34">
        <v>3</v>
      </c>
      <c r="N85" s="682">
        <f t="shared" si="7"/>
        <v>2.25</v>
      </c>
      <c r="O85" s="21">
        <f>ROW()</f>
        <v>85</v>
      </c>
      <c r="P85" s="4806"/>
      <c r="Q85" s="1010"/>
      <c r="AD85" s="685" t="s">
        <v>2768</v>
      </c>
      <c r="AE85" s="677"/>
      <c r="AF85" s="138">
        <v>76923</v>
      </c>
      <c r="AG85" s="184">
        <f t="shared" si="8"/>
        <v>0.22135987706545573</v>
      </c>
      <c r="AH85" s="677"/>
      <c r="AI85" s="138">
        <v>47425</v>
      </c>
      <c r="AJ85" s="184">
        <f t="shared" si="9"/>
        <v>0.16521742159793204</v>
      </c>
      <c r="AK85" s="677"/>
      <c r="AL85" s="138">
        <f t="shared" si="16"/>
        <v>124348</v>
      </c>
      <c r="AM85" s="184">
        <f t="shared" si="10"/>
        <v>0.28277168462775187</v>
      </c>
      <c r="AN85" s="351">
        <f t="shared" si="17"/>
        <v>2.921138443094862E-2</v>
      </c>
    </row>
    <row r="86" spans="2:40" ht="14.1" customHeight="1">
      <c r="B86" s="685" t="s">
        <v>2904</v>
      </c>
      <c r="C86" s="677"/>
      <c r="D86" s="138">
        <f t="shared" si="5"/>
        <v>79620.518326175836</v>
      </c>
      <c r="E86" s="184">
        <f t="shared" si="11"/>
        <v>0.19217793903293792</v>
      </c>
      <c r="F86" s="677"/>
      <c r="G86" s="138">
        <f t="shared" si="6"/>
        <v>60316.016779178906</v>
      </c>
      <c r="H86" s="184">
        <f t="shared" si="12"/>
        <v>0.19908924472982475</v>
      </c>
      <c r="I86" s="677"/>
      <c r="J86" s="138">
        <f t="shared" si="13"/>
        <v>139936.53510535473</v>
      </c>
      <c r="K86" s="184">
        <f t="shared" si="14"/>
        <v>0.27585510208932518</v>
      </c>
      <c r="L86" s="351">
        <f t="shared" si="15"/>
        <v>3.2873386969613137E-2</v>
      </c>
      <c r="M86" s="34">
        <v>3</v>
      </c>
      <c r="N86" s="682">
        <f t="shared" si="7"/>
        <v>2.25</v>
      </c>
      <c r="O86" s="21">
        <f>ROW()</f>
        <v>86</v>
      </c>
      <c r="P86" s="4806"/>
      <c r="Q86" s="1010"/>
      <c r="AD86" s="685" t="s">
        <v>2904</v>
      </c>
      <c r="AE86" s="677"/>
      <c r="AF86" s="138">
        <v>73718</v>
      </c>
      <c r="AG86" s="184">
        <f t="shared" si="8"/>
        <v>0.21213690856455503</v>
      </c>
      <c r="AH86" s="677"/>
      <c r="AI86" s="138">
        <v>55113</v>
      </c>
      <c r="AJ86" s="184">
        <f t="shared" si="9"/>
        <v>0.192000585272047</v>
      </c>
      <c r="AK86" s="677"/>
      <c r="AL86" s="138">
        <f t="shared" si="16"/>
        <v>128831</v>
      </c>
      <c r="AM86" s="184">
        <f t="shared" si="10"/>
        <v>0.29296618282785331</v>
      </c>
      <c r="AN86" s="351">
        <f t="shared" si="17"/>
        <v>3.0264514649399599E-2</v>
      </c>
    </row>
    <row r="87" spans="2:40" ht="14.1" customHeight="1">
      <c r="B87" s="685" t="s">
        <v>2769</v>
      </c>
      <c r="C87" s="677"/>
      <c r="D87" s="138">
        <f t="shared" si="5"/>
        <v>81994.895650533203</v>
      </c>
      <c r="E87" s="184">
        <f t="shared" si="11"/>
        <v>0.19790891077582756</v>
      </c>
      <c r="F87" s="677"/>
      <c r="G87" s="138">
        <f t="shared" si="6"/>
        <v>66066.57176322343</v>
      </c>
      <c r="H87" s="184">
        <f t="shared" si="12"/>
        <v>0.21807049895856828</v>
      </c>
      <c r="I87" s="677"/>
      <c r="J87" s="138">
        <f t="shared" si="13"/>
        <v>148061.46741375665</v>
      </c>
      <c r="K87" s="184">
        <f t="shared" si="14"/>
        <v>0.29187167724402402</v>
      </c>
      <c r="L87" s="351">
        <f t="shared" si="15"/>
        <v>3.4782066812764315E-2</v>
      </c>
      <c r="M87" s="34">
        <v>3</v>
      </c>
      <c r="N87" s="682">
        <f t="shared" si="7"/>
        <v>2.25</v>
      </c>
      <c r="O87" s="21">
        <f>ROW()</f>
        <v>87</v>
      </c>
      <c r="P87" s="4806"/>
      <c r="Q87" s="1010"/>
      <c r="AD87" s="685" t="s">
        <v>2769</v>
      </c>
      <c r="AE87" s="677"/>
      <c r="AF87" s="138">
        <v>70498</v>
      </c>
      <c r="AG87" s="184">
        <f t="shared" si="8"/>
        <v>0.20287077484446134</v>
      </c>
      <c r="AH87" s="677"/>
      <c r="AI87" s="138">
        <v>62526</v>
      </c>
      <c r="AJ87" s="184">
        <f t="shared" si="9"/>
        <v>0.21782571434543593</v>
      </c>
      <c r="AK87" s="677"/>
      <c r="AL87" s="138">
        <f t="shared" si="16"/>
        <v>133024</v>
      </c>
      <c r="AM87" s="184">
        <f t="shared" si="10"/>
        <v>0.30250121092355375</v>
      </c>
      <c r="AN87" s="351">
        <f t="shared" si="17"/>
        <v>3.1249519112028414E-2</v>
      </c>
    </row>
    <row r="88" spans="2:40" ht="14.1" customHeight="1">
      <c r="B88" s="685" t="s">
        <v>2189</v>
      </c>
      <c r="C88" s="677"/>
      <c r="D88" s="138">
        <f t="shared" si="5"/>
        <v>90749.846825787434</v>
      </c>
      <c r="E88" s="184">
        <f t="shared" si="11"/>
        <v>0.21904050484937704</v>
      </c>
      <c r="F88" s="677"/>
      <c r="G88" s="138">
        <f t="shared" si="6"/>
        <v>93404.567473672403</v>
      </c>
      <c r="H88" s="184">
        <f t="shared" si="12"/>
        <v>0.30830691059607046</v>
      </c>
      <c r="I88" s="677"/>
      <c r="J88" s="138">
        <f t="shared" si="13"/>
        <v>184154.41429945984</v>
      </c>
      <c r="K88" s="184">
        <f t="shared" si="14"/>
        <v>0.36302124186890411</v>
      </c>
      <c r="L88" s="351">
        <f t="shared" si="15"/>
        <v>4.3260891938412378E-2</v>
      </c>
      <c r="M88" s="34">
        <v>3</v>
      </c>
      <c r="N88" s="682">
        <f t="shared" si="7"/>
        <v>2.25</v>
      </c>
      <c r="O88" s="21">
        <f>ROW()</f>
        <v>88</v>
      </c>
      <c r="P88" s="4806"/>
      <c r="Q88" s="1010"/>
      <c r="AD88" s="685" t="s">
        <v>2189</v>
      </c>
      <c r="AE88" s="677"/>
      <c r="AF88" s="138">
        <v>80180</v>
      </c>
      <c r="AG88" s="184">
        <f t="shared" si="8"/>
        <v>0.23073248499289212</v>
      </c>
      <c r="AH88" s="677"/>
      <c r="AI88" s="138">
        <v>84450</v>
      </c>
      <c r="AJ88" s="184">
        <f t="shared" si="9"/>
        <v>0.29420371647749838</v>
      </c>
      <c r="AK88" s="677"/>
      <c r="AL88" s="138">
        <f t="shared" si="16"/>
        <v>164630</v>
      </c>
      <c r="AM88" s="184">
        <f t="shared" si="10"/>
        <v>0.37437435616388515</v>
      </c>
      <c r="AN88" s="351">
        <f t="shared" si="17"/>
        <v>3.867428683104731E-2</v>
      </c>
    </row>
    <row r="89" spans="2:40" ht="14.1" customHeight="1">
      <c r="B89" s="685" t="s">
        <v>2190</v>
      </c>
      <c r="C89" s="677"/>
      <c r="D89" s="138">
        <f t="shared" si="5"/>
        <v>107313.2136538479</v>
      </c>
      <c r="E89" s="184">
        <f t="shared" si="11"/>
        <v>0.25901906524285689</v>
      </c>
      <c r="F89" s="677"/>
      <c r="G89" s="138">
        <f t="shared" si="6"/>
        <v>130963.53912291239</v>
      </c>
      <c r="H89" s="184">
        <f t="shared" si="12"/>
        <v>0.43228040383671418</v>
      </c>
      <c r="I89" s="677"/>
      <c r="J89" s="138">
        <f t="shared" si="13"/>
        <v>238276.75277676029</v>
      </c>
      <c r="K89" s="184">
        <f t="shared" si="14"/>
        <v>0.46971191557129616</v>
      </c>
      <c r="L89" s="351">
        <f t="shared" si="15"/>
        <v>5.5975116819892951E-2</v>
      </c>
      <c r="M89" s="34">
        <v>3</v>
      </c>
      <c r="N89" s="682">
        <f t="shared" si="7"/>
        <v>2.25</v>
      </c>
      <c r="O89" s="21">
        <f>ROW()</f>
        <v>89</v>
      </c>
      <c r="P89" s="4806"/>
      <c r="Q89" s="1010"/>
      <c r="AD89" s="685" t="s">
        <v>2190</v>
      </c>
      <c r="AE89" s="677"/>
      <c r="AF89" s="138">
        <v>97725</v>
      </c>
      <c r="AG89" s="184">
        <f t="shared" si="8"/>
        <v>0.28122140304228466</v>
      </c>
      <c r="AH89" s="677"/>
      <c r="AI89" s="138">
        <v>119105</v>
      </c>
      <c r="AJ89" s="184">
        <f t="shared" si="9"/>
        <v>0.41493349497989868</v>
      </c>
      <c r="AK89" s="677"/>
      <c r="AL89" s="138">
        <f t="shared" si="16"/>
        <v>216830</v>
      </c>
      <c r="AM89" s="184">
        <f t="shared" si="10"/>
        <v>0.49307897495605429</v>
      </c>
      <c r="AN89" s="351">
        <f t="shared" si="17"/>
        <v>5.0936922879037776E-2</v>
      </c>
    </row>
    <row r="90" spans="2:40" ht="14.1" customHeight="1">
      <c r="B90" s="685" t="s">
        <v>2191</v>
      </c>
      <c r="C90" s="677"/>
      <c r="D90" s="138">
        <f t="shared" si="5"/>
        <v>126305.21780436783</v>
      </c>
      <c r="E90" s="184">
        <f t="shared" si="11"/>
        <v>0.30485956330140834</v>
      </c>
      <c r="F90" s="677"/>
      <c r="G90" s="138">
        <f t="shared" si="6"/>
        <v>187666.2419544023</v>
      </c>
      <c r="H90" s="184">
        <f t="shared" si="12"/>
        <v>0.61944293352083535</v>
      </c>
      <c r="I90" s="677"/>
      <c r="J90" s="138">
        <f t="shared" si="13"/>
        <v>313971.45975877013</v>
      </c>
      <c r="K90" s="184">
        <f t="shared" si="14"/>
        <v>0.61892792343102532</v>
      </c>
      <c r="L90" s="351">
        <f t="shared" si="15"/>
        <v>7.3757044836744848E-2</v>
      </c>
      <c r="M90" s="34">
        <v>4</v>
      </c>
      <c r="N90" s="682">
        <f t="shared" si="7"/>
        <v>2.25</v>
      </c>
      <c r="O90" s="21">
        <f>ROW()</f>
        <v>90</v>
      </c>
      <c r="P90" s="4806"/>
      <c r="AD90" s="685" t="s">
        <v>2191</v>
      </c>
      <c r="AE90" s="677"/>
      <c r="AF90" s="138">
        <v>108354</v>
      </c>
      <c r="AG90" s="184">
        <f t="shared" si="8"/>
        <v>0.31180827736243244</v>
      </c>
      <c r="AH90" s="677"/>
      <c r="AI90" s="138">
        <v>172728</v>
      </c>
      <c r="AJ90" s="184">
        <f t="shared" si="9"/>
        <v>0.60174327459710286</v>
      </c>
      <c r="AK90" s="677"/>
      <c r="AL90" s="138">
        <f t="shared" si="16"/>
        <v>281082</v>
      </c>
      <c r="AM90" s="184">
        <f t="shared" si="10"/>
        <v>0.63919026167318937</v>
      </c>
      <c r="AN90" s="351">
        <f t="shared" si="17"/>
        <v>6.6030771372437833E-2</v>
      </c>
    </row>
    <row r="91" spans="2:40" ht="14.1" customHeight="1">
      <c r="B91" s="685" t="s">
        <v>2192</v>
      </c>
      <c r="C91" s="677"/>
      <c r="D91" s="138">
        <f t="shared" si="5"/>
        <v>132592.34388075551</v>
      </c>
      <c r="E91" s="184">
        <f t="shared" si="11"/>
        <v>0.32003463321053255</v>
      </c>
      <c r="F91" s="677"/>
      <c r="G91" s="2455">
        <f t="shared" si="6"/>
        <v>302959.69458837976</v>
      </c>
      <c r="H91" s="2456">
        <f t="shared" si="12"/>
        <v>1</v>
      </c>
      <c r="I91" s="677"/>
      <c r="J91" s="2455">
        <f t="shared" si="13"/>
        <v>435552.0384691353</v>
      </c>
      <c r="K91" s="2456">
        <f t="shared" si="14"/>
        <v>0.85859816342215145</v>
      </c>
      <c r="L91" s="351">
        <f t="shared" si="15"/>
        <v>0.10231831662274611</v>
      </c>
      <c r="M91" s="1017">
        <v>6</v>
      </c>
      <c r="N91" s="1018">
        <f t="shared" si="7"/>
        <v>2.25</v>
      </c>
      <c r="O91" s="21">
        <f>ROW()</f>
        <v>91</v>
      </c>
      <c r="P91" s="3904"/>
      <c r="AD91" s="685" t="s">
        <v>2192</v>
      </c>
      <c r="AE91" s="677"/>
      <c r="AF91" s="138">
        <v>122197</v>
      </c>
      <c r="AG91" s="184">
        <f t="shared" si="8"/>
        <v>0.35164401931499673</v>
      </c>
      <c r="AH91" s="677"/>
      <c r="AI91" s="679">
        <v>287046</v>
      </c>
      <c r="AJ91" s="680">
        <f t="shared" si="9"/>
        <v>1</v>
      </c>
      <c r="AK91" s="677"/>
      <c r="AL91" s="138">
        <f t="shared" si="16"/>
        <v>409243</v>
      </c>
      <c r="AM91" s="184">
        <f t="shared" si="10"/>
        <v>0.93063284115639222</v>
      </c>
      <c r="AN91" s="351">
        <f t="shared" si="17"/>
        <v>9.6137892034248287E-2</v>
      </c>
    </row>
    <row r="92" spans="2:40" ht="14.1" customHeight="1">
      <c r="B92" s="685" t="s">
        <v>2193</v>
      </c>
      <c r="C92" s="677"/>
      <c r="D92" s="138">
        <f t="shared" si="5"/>
        <v>95897.512942030677</v>
      </c>
      <c r="E92" s="184">
        <f t="shared" si="11"/>
        <v>0.23146529039267946</v>
      </c>
      <c r="F92" s="677"/>
      <c r="G92" s="138">
        <f t="shared" si="6"/>
        <v>263202.18820122443</v>
      </c>
      <c r="H92" s="184">
        <f t="shared" si="12"/>
        <v>0.86876965121986804</v>
      </c>
      <c r="I92" s="677"/>
      <c r="J92" s="138">
        <f t="shared" si="13"/>
        <v>359099.70114325511</v>
      </c>
      <c r="K92" s="184">
        <f t="shared" si="14"/>
        <v>0.70788864855442768</v>
      </c>
      <c r="L92" s="351">
        <f t="shared" si="15"/>
        <v>8.4358408813446015E-2</v>
      </c>
      <c r="M92" s="34">
        <v>5</v>
      </c>
      <c r="N92" s="682">
        <f t="shared" si="7"/>
        <v>2.25</v>
      </c>
      <c r="O92" s="21">
        <f>ROW()</f>
        <v>92</v>
      </c>
      <c r="AD92" s="685" t="s">
        <v>2193</v>
      </c>
      <c r="AE92" s="677"/>
      <c r="AF92" s="138">
        <v>90013</v>
      </c>
      <c r="AG92" s="184">
        <f t="shared" si="8"/>
        <v>0.25902872501453228</v>
      </c>
      <c r="AH92" s="677"/>
      <c r="AI92" s="138">
        <v>258759</v>
      </c>
      <c r="AJ92" s="184">
        <f t="shared" si="9"/>
        <v>0.90145481908822978</v>
      </c>
      <c r="AK92" s="677"/>
      <c r="AL92" s="138">
        <f t="shared" si="16"/>
        <v>348772</v>
      </c>
      <c r="AM92" s="184">
        <f t="shared" si="10"/>
        <v>0.79311968017973966</v>
      </c>
      <c r="AN92" s="351">
        <f t="shared" si="17"/>
        <v>8.193226244692968E-2</v>
      </c>
    </row>
    <row r="93" spans="2:40" ht="14.1" customHeight="1">
      <c r="B93" s="685" t="s">
        <v>2194</v>
      </c>
      <c r="C93" s="677"/>
      <c r="D93" s="138">
        <f t="shared" si="5"/>
        <v>63957.46554069862</v>
      </c>
      <c r="E93" s="184">
        <f t="shared" si="11"/>
        <v>0.154372442829737</v>
      </c>
      <c r="F93" s="677"/>
      <c r="G93" s="138">
        <f t="shared" si="6"/>
        <v>172940.68135835609</v>
      </c>
      <c r="H93" s="184">
        <f t="shared" si="12"/>
        <v>0.57083725804953778</v>
      </c>
      <c r="I93" s="677"/>
      <c r="J93" s="138">
        <f t="shared" si="13"/>
        <v>236898.1468990547</v>
      </c>
      <c r="K93" s="184">
        <f t="shared" si="14"/>
        <v>0.46699428743473337</v>
      </c>
      <c r="L93" s="351">
        <f t="shared" si="15"/>
        <v>5.5651259690928885E-2</v>
      </c>
      <c r="M93" s="34">
        <v>3</v>
      </c>
      <c r="N93" s="682">
        <f t="shared" si="7"/>
        <v>2.25</v>
      </c>
      <c r="O93" s="21">
        <f>ROW()</f>
        <v>93</v>
      </c>
      <c r="AD93" s="685" t="s">
        <v>2194</v>
      </c>
      <c r="AE93" s="677"/>
      <c r="AF93" s="138">
        <v>55222</v>
      </c>
      <c r="AG93" s="184">
        <f t="shared" si="8"/>
        <v>0.15891131561832739</v>
      </c>
      <c r="AH93" s="677"/>
      <c r="AI93" s="138">
        <v>167902</v>
      </c>
      <c r="AJ93" s="184">
        <f t="shared" si="9"/>
        <v>0.58493063829490743</v>
      </c>
      <c r="AK93" s="677"/>
      <c r="AL93" s="138">
        <f t="shared" si="16"/>
        <v>223124</v>
      </c>
      <c r="AM93" s="184">
        <f t="shared" si="10"/>
        <v>0.50739175025639738</v>
      </c>
      <c r="AN93" s="351">
        <f t="shared" si="17"/>
        <v>5.241548669677823E-2</v>
      </c>
    </row>
    <row r="94" spans="2:40" ht="14.1" customHeight="1">
      <c r="B94" s="685" t="s">
        <v>2195</v>
      </c>
      <c r="C94" s="677"/>
      <c r="D94" s="138">
        <f t="shared" si="5"/>
        <v>47615.157964165308</v>
      </c>
      <c r="E94" s="184">
        <f t="shared" si="11"/>
        <v>0.11492744730440604</v>
      </c>
      <c r="F94" s="677"/>
      <c r="G94" s="138">
        <f t="shared" si="6"/>
        <v>117468.87663196043</v>
      </c>
      <c r="H94" s="184">
        <f t="shared" si="12"/>
        <v>0.38773763880228718</v>
      </c>
      <c r="I94" s="677"/>
      <c r="J94" s="138">
        <f t="shared" si="13"/>
        <v>165084.03459612574</v>
      </c>
      <c r="K94" s="184">
        <f t="shared" si="14"/>
        <v>0.32542804623929389</v>
      </c>
      <c r="L94" s="351">
        <f t="shared" si="15"/>
        <v>3.8780947003566206E-2</v>
      </c>
      <c r="M94" s="34">
        <v>2</v>
      </c>
      <c r="N94" s="682">
        <f t="shared" si="7"/>
        <v>2.25</v>
      </c>
      <c r="O94" s="21">
        <f>ROW()</f>
        <v>94</v>
      </c>
      <c r="AD94" s="685" t="s">
        <v>2195</v>
      </c>
      <c r="AE94" s="677"/>
      <c r="AF94" s="138">
        <v>40532</v>
      </c>
      <c r="AG94" s="184">
        <f t="shared" si="8"/>
        <v>0.11663817762199929</v>
      </c>
      <c r="AH94" s="677"/>
      <c r="AI94" s="138">
        <v>122422</v>
      </c>
      <c r="AJ94" s="184">
        <f t="shared" si="9"/>
        <v>0.42648913414574668</v>
      </c>
      <c r="AK94" s="677"/>
      <c r="AL94" s="138">
        <f t="shared" si="16"/>
        <v>162954</v>
      </c>
      <c r="AM94" s="184">
        <f t="shared" si="10"/>
        <v>0.37056307376741626</v>
      </c>
      <c r="AN94" s="351">
        <f t="shared" si="17"/>
        <v>3.8280566945675054E-2</v>
      </c>
    </row>
    <row r="95" spans="2:40" ht="14.1" customHeight="1">
      <c r="B95" s="685" t="s">
        <v>2196</v>
      </c>
      <c r="C95" s="677"/>
      <c r="D95" s="138">
        <f t="shared" si="5"/>
        <v>30570.484856643496</v>
      </c>
      <c r="E95" s="184">
        <f t="shared" si="11"/>
        <v>7.3787170675274849E-2</v>
      </c>
      <c r="F95" s="677"/>
      <c r="G95" s="138">
        <f t="shared" si="6"/>
        <v>90139.924254528465</v>
      </c>
      <c r="H95" s="184">
        <f t="shared" si="12"/>
        <v>0.29753107711901505</v>
      </c>
      <c r="I95" s="677"/>
      <c r="J95" s="138">
        <f t="shared" si="13"/>
        <v>120710.40911117196</v>
      </c>
      <c r="K95" s="184">
        <f t="shared" si="14"/>
        <v>0.2379548857883102</v>
      </c>
      <c r="L95" s="351">
        <f t="shared" si="15"/>
        <v>2.8356854676902941E-2</v>
      </c>
      <c r="M95" s="34">
        <v>2</v>
      </c>
      <c r="N95" s="682">
        <f t="shared" si="7"/>
        <v>2.25</v>
      </c>
      <c r="O95" s="21">
        <f>ROW()</f>
        <v>95</v>
      </c>
      <c r="AD95" s="685" t="s">
        <v>2196</v>
      </c>
      <c r="AE95" s="677"/>
      <c r="AF95" s="138">
        <v>30544</v>
      </c>
      <c r="AG95" s="184">
        <f t="shared" si="8"/>
        <v>8.7895897002031639E-2</v>
      </c>
      <c r="AH95" s="677"/>
      <c r="AI95" s="138">
        <v>81935</v>
      </c>
      <c r="AJ95" s="184">
        <f t="shared" si="9"/>
        <v>0.2854420545835859</v>
      </c>
      <c r="AK95" s="677"/>
      <c r="AL95" s="138">
        <f t="shared" si="16"/>
        <v>112479</v>
      </c>
      <c r="AM95" s="184">
        <f t="shared" si="10"/>
        <v>0.25578116507901133</v>
      </c>
      <c r="AN95" s="351">
        <f t="shared" si="17"/>
        <v>2.6423161686626805E-2</v>
      </c>
    </row>
    <row r="96" spans="2:40" ht="14.1" customHeight="1">
      <c r="B96" s="685" t="s">
        <v>2197</v>
      </c>
      <c r="C96" s="676"/>
      <c r="D96" s="138">
        <f t="shared" si="5"/>
        <v>26566.297959663338</v>
      </c>
      <c r="E96" s="184">
        <f t="shared" si="11"/>
        <v>6.4122370677215088E-2</v>
      </c>
      <c r="F96" s="676"/>
      <c r="G96" s="138">
        <f t="shared" si="6"/>
        <v>72542.60301818882</v>
      </c>
      <c r="H96" s="184">
        <f t="shared" si="12"/>
        <v>0.23944638284887962</v>
      </c>
      <c r="I96" s="676"/>
      <c r="J96" s="138">
        <f t="shared" si="13"/>
        <v>99108.900977852158</v>
      </c>
      <c r="K96" s="184">
        <f t="shared" si="14"/>
        <v>0.19537210905374247</v>
      </c>
      <c r="L96" s="351">
        <f t="shared" si="15"/>
        <v>2.3282306164898982E-2</v>
      </c>
      <c r="M96" s="34">
        <v>2</v>
      </c>
      <c r="N96" s="682">
        <f t="shared" si="7"/>
        <v>2.25</v>
      </c>
      <c r="O96" s="21">
        <f>ROW()</f>
        <v>96</v>
      </c>
      <c r="AD96" s="685" t="s">
        <v>2197</v>
      </c>
      <c r="AE96" s="676"/>
      <c r="AF96" s="138">
        <v>28326</v>
      </c>
      <c r="AG96" s="184">
        <f t="shared" si="8"/>
        <v>8.1513199924029209E-2</v>
      </c>
      <c r="AH96" s="676"/>
      <c r="AI96" s="138">
        <v>65679</v>
      </c>
      <c r="AJ96" s="184">
        <f t="shared" si="9"/>
        <v>0.22881001651303276</v>
      </c>
      <c r="AK96" s="676"/>
      <c r="AL96" s="138">
        <f t="shared" si="16"/>
        <v>94005</v>
      </c>
      <c r="AM96" s="184">
        <f t="shared" si="10"/>
        <v>0.21377064539382873</v>
      </c>
      <c r="AN96" s="351">
        <f t="shared" si="17"/>
        <v>2.2083316124355237E-2</v>
      </c>
    </row>
    <row r="97" spans="2:40" ht="14.1" customHeight="1">
      <c r="B97" s="685" t="s">
        <v>2198</v>
      </c>
      <c r="C97" s="676"/>
      <c r="D97" s="138">
        <f t="shared" si="5"/>
        <v>15864.015741410974</v>
      </c>
      <c r="E97" s="184">
        <f t="shared" si="11"/>
        <v>3.829055517424531E-2</v>
      </c>
      <c r="F97" s="676"/>
      <c r="G97" s="138">
        <f t="shared" si="6"/>
        <v>46792.214659616562</v>
      </c>
      <c r="H97" s="184">
        <f t="shared" si="12"/>
        <v>0.15445029650954537</v>
      </c>
      <c r="I97" s="676"/>
      <c r="J97" s="138">
        <f t="shared" si="13"/>
        <v>62656.23040102754</v>
      </c>
      <c r="K97" s="184">
        <f t="shared" si="14"/>
        <v>0.12351342571684376</v>
      </c>
      <c r="L97" s="351">
        <f t="shared" si="15"/>
        <v>1.4718976044958547E-2</v>
      </c>
      <c r="M97" s="34">
        <v>1</v>
      </c>
      <c r="N97" s="682">
        <f t="shared" si="7"/>
        <v>2.25</v>
      </c>
      <c r="O97" s="21">
        <f>ROW()</f>
        <v>97</v>
      </c>
      <c r="AD97" s="685" t="s">
        <v>2198</v>
      </c>
      <c r="AE97" s="676"/>
      <c r="AF97" s="138">
        <v>18764</v>
      </c>
      <c r="AG97" s="184">
        <f t="shared" si="8"/>
        <v>5.3996811529142277E-2</v>
      </c>
      <c r="AH97" s="676"/>
      <c r="AI97" s="138">
        <v>49350</v>
      </c>
      <c r="AJ97" s="184">
        <f t="shared" si="9"/>
        <v>0.17192366380301416</v>
      </c>
      <c r="AK97" s="676"/>
      <c r="AL97" s="138">
        <f t="shared" si="16"/>
        <v>68114</v>
      </c>
      <c r="AM97" s="184">
        <f t="shared" si="10"/>
        <v>0.15489360927988138</v>
      </c>
      <c r="AN97" s="351">
        <f t="shared" si="17"/>
        <v>1.6001095627831845E-2</v>
      </c>
    </row>
    <row r="98" spans="2:40" ht="14.1" customHeight="1" thickBot="1">
      <c r="B98" s="676"/>
      <c r="D98" s="138"/>
      <c r="E98" s="138"/>
      <c r="G98" s="138"/>
      <c r="H98" s="138"/>
      <c r="J98" s="9"/>
      <c r="K98" s="9"/>
      <c r="L98" s="9"/>
      <c r="O98" s="21">
        <f>ROW()</f>
        <v>98</v>
      </c>
      <c r="AD98" s="676"/>
      <c r="AF98" s="138"/>
      <c r="AG98" s="138"/>
      <c r="AI98" s="138"/>
      <c r="AJ98" s="138"/>
      <c r="AL98" s="9"/>
      <c r="AM98" s="9"/>
      <c r="AN98" s="9"/>
    </row>
    <row r="99" spans="2:40" ht="14.1" customHeight="1" thickBot="1">
      <c r="B99" s="676" t="s">
        <v>2813</v>
      </c>
      <c r="D99" s="138">
        <f>SUM(D74:D97)</f>
        <v>2205556.3835956547</v>
      </c>
      <c r="E99" s="681"/>
      <c r="G99" s="138">
        <f>SUM(G74:G97)</f>
        <v>2051277.1223253072</v>
      </c>
      <c r="H99" s="681"/>
      <c r="J99" s="138">
        <f>SUM(J74:J97)</f>
        <v>4256833.5059209615</v>
      </c>
      <c r="K99" s="9"/>
      <c r="L99" s="351">
        <f>SUM(L74:L97)</f>
        <v>1</v>
      </c>
      <c r="N99" s="754">
        <f>SUMPRODUCT(L74:L97,N74:N97)</f>
        <v>2.25</v>
      </c>
      <c r="O99" s="21">
        <f>ROW()</f>
        <v>99</v>
      </c>
      <c r="AD99" s="676" t="s">
        <v>2813</v>
      </c>
      <c r="AF99" s="138">
        <f>SUM(AF74:AF97)</f>
        <v>1944123</v>
      </c>
      <c r="AG99" s="681"/>
      <c r="AI99" s="138">
        <f>SUM(AI74:AI97)</f>
        <v>1954596</v>
      </c>
      <c r="AJ99" s="681"/>
      <c r="AL99" s="138">
        <f>SUM(AL74:AL97)</f>
        <v>3898719</v>
      </c>
      <c r="AM99" s="9"/>
      <c r="AN99" s="351">
        <f>SUM(AN74:AN97)</f>
        <v>0.91587302970086815</v>
      </c>
    </row>
    <row r="100" spans="2:40" ht="14.1" customHeight="1">
      <c r="D100" s="138"/>
      <c r="E100" s="681"/>
      <c r="G100" s="138"/>
      <c r="H100" s="681"/>
      <c r="J100" s="138"/>
      <c r="K100" s="9"/>
      <c r="L100" s="351"/>
      <c r="O100" s="21">
        <f>ROW()</f>
        <v>100</v>
      </c>
    </row>
    <row r="101" spans="2:40" ht="14.1" customHeight="1">
      <c r="J101" s="683"/>
      <c r="K101" s="683"/>
      <c r="L101" s="173"/>
      <c r="M101" s="173"/>
      <c r="N101" s="684" t="s">
        <v>4375</v>
      </c>
      <c r="O101" s="21">
        <f>ROW()</f>
        <v>101</v>
      </c>
    </row>
    <row r="102" spans="2:40" ht="14.1" customHeight="1">
      <c r="O102" s="21">
        <f>ROW()</f>
        <v>102</v>
      </c>
    </row>
    <row r="103" spans="2:40" ht="14.1" customHeight="1">
      <c r="B103" s="3785" t="str">
        <f>CONCATENATE("Hourly entering / leaving figures are calc'd by prorating projected 2011 annual ridership in Row ",O18, " by actual 2008 annual ridership in Row ",O9, " (at far right) by actual 2008 entering / leaving figure for that hour in array running from Row ",O30, " to Row ",O53, ", also at far right.")</f>
        <v>Hourly entering / leaving figures are calc'd by prorating projected 2011 annual ridership in Row 18 by actual 2008 annual ridership in Row 9 (at far right) by actual 2008 entering / leaving figure for that hour in array running from Row 30 to Row 53, also at far right.</v>
      </c>
      <c r="C103" s="4149"/>
      <c r="D103" s="4149"/>
      <c r="E103" s="4149"/>
      <c r="F103" s="4149"/>
      <c r="G103" s="4149"/>
      <c r="H103" s="4149"/>
      <c r="I103" s="4149"/>
      <c r="J103" s="4149"/>
      <c r="K103" s="4149"/>
      <c r="L103" s="4149"/>
      <c r="M103" s="4149"/>
      <c r="N103" s="4149"/>
      <c r="O103" s="21">
        <f>ROW()</f>
        <v>103</v>
      </c>
    </row>
    <row r="104" spans="2:40" ht="14.1" customHeight="1">
      <c r="B104" s="4149"/>
      <c r="C104" s="4149"/>
      <c r="D104" s="4149"/>
      <c r="E104" s="4149"/>
      <c r="F104" s="4149"/>
      <c r="G104" s="4149"/>
      <c r="H104" s="4149"/>
      <c r="I104" s="4149"/>
      <c r="J104" s="4149"/>
      <c r="K104" s="4149"/>
      <c r="L104" s="4149"/>
      <c r="M104" s="4149"/>
      <c r="N104" s="4149"/>
      <c r="O104" s="21">
        <f>ROW()</f>
        <v>104</v>
      </c>
    </row>
    <row r="105" spans="2:40" ht="14.1" customHeight="1">
      <c r="B105" s="568"/>
      <c r="C105" s="568"/>
      <c r="D105" s="568"/>
      <c r="E105" s="568"/>
      <c r="F105" s="568"/>
      <c r="G105" s="568"/>
      <c r="H105" s="568"/>
      <c r="I105" s="568"/>
      <c r="J105" s="568"/>
      <c r="K105" s="568"/>
      <c r="L105" s="568"/>
      <c r="M105" s="568"/>
      <c r="N105" s="568"/>
      <c r="O105" s="21">
        <f>ROW()</f>
        <v>105</v>
      </c>
    </row>
    <row r="106" spans="2:40" ht="14.1" customHeight="1">
      <c r="B106" s="568"/>
      <c r="C106" s="568"/>
      <c r="D106" s="568"/>
      <c r="E106" s="568"/>
      <c r="F106" s="568"/>
      <c r="G106" s="568"/>
      <c r="H106" s="568"/>
      <c r="I106" s="568"/>
      <c r="J106" s="568"/>
      <c r="K106" s="568"/>
      <c r="L106" s="568"/>
      <c r="M106" s="568"/>
      <c r="N106" s="568"/>
      <c r="O106" s="21">
        <f>ROW()</f>
        <v>106</v>
      </c>
    </row>
    <row r="107" spans="2:40" ht="14.1" customHeight="1">
      <c r="B107" s="24" t="s">
        <v>3143</v>
      </c>
      <c r="C107" s="568"/>
      <c r="D107" s="568"/>
      <c r="E107" s="568"/>
      <c r="F107" s="568"/>
      <c r="G107" s="568"/>
      <c r="H107" s="568"/>
      <c r="I107" s="568"/>
      <c r="J107" s="568"/>
      <c r="K107" s="568"/>
      <c r="L107" s="568"/>
      <c r="M107" s="568"/>
      <c r="N107" s="568"/>
      <c r="O107" s="21">
        <f>ROW()</f>
        <v>107</v>
      </c>
    </row>
    <row r="108" spans="2:40" ht="14.1" customHeight="1">
      <c r="B108" s="18"/>
      <c r="C108" s="18"/>
      <c r="D108" s="18"/>
      <c r="E108" s="18"/>
      <c r="F108" s="18"/>
      <c r="G108" s="18"/>
      <c r="H108" s="18"/>
      <c r="I108" s="18"/>
      <c r="J108" s="18"/>
      <c r="K108" s="18"/>
      <c r="L108" s="18"/>
      <c r="M108" s="18"/>
      <c r="N108" s="18"/>
      <c r="O108" s="21">
        <f>ROW()</f>
        <v>108</v>
      </c>
    </row>
    <row r="109" spans="2:40" ht="14.1" customHeight="1">
      <c r="B109" s="4787" t="s">
        <v>1309</v>
      </c>
      <c r="C109" s="4787"/>
      <c r="D109" s="4787"/>
      <c r="E109" s="4787"/>
      <c r="F109" s="4787"/>
      <c r="G109" s="4787"/>
      <c r="H109" s="4787"/>
      <c r="I109" s="4787"/>
      <c r="J109" s="4787"/>
      <c r="K109" s="4787"/>
      <c r="L109" s="4787"/>
      <c r="M109" s="45"/>
      <c r="N109" s="45"/>
      <c r="O109" s="21">
        <f>ROW()</f>
        <v>109</v>
      </c>
    </row>
    <row r="110" spans="2:40" ht="14.1" customHeight="1">
      <c r="B110" s="4787"/>
      <c r="C110" s="4787"/>
      <c r="D110" s="4787"/>
      <c r="E110" s="4787"/>
      <c r="F110" s="4787"/>
      <c r="G110" s="4787"/>
      <c r="H110" s="4787"/>
      <c r="I110" s="4787"/>
      <c r="J110" s="4787"/>
      <c r="K110" s="4787"/>
      <c r="L110" s="4787"/>
      <c r="M110" s="45"/>
      <c r="N110" s="45"/>
      <c r="O110" s="21">
        <f>ROW()</f>
        <v>110</v>
      </c>
    </row>
    <row r="111" spans="2:40" ht="14.1" customHeight="1">
      <c r="B111" s="4817"/>
      <c r="C111" s="4817"/>
      <c r="D111" s="4817"/>
      <c r="E111" s="4817"/>
      <c r="F111" s="4817"/>
      <c r="G111" s="4817"/>
      <c r="H111" s="4817"/>
      <c r="I111" s="4817"/>
      <c r="J111" s="4817"/>
      <c r="K111" s="4817"/>
      <c r="L111" s="4817"/>
      <c r="M111" s="45"/>
      <c r="N111" s="45"/>
      <c r="O111" s="21">
        <f>ROW()</f>
        <v>111</v>
      </c>
    </row>
    <row r="112" spans="2:40" ht="14.1" customHeight="1">
      <c r="B112" s="3787" t="s">
        <v>6214</v>
      </c>
      <c r="C112" s="3787"/>
      <c r="D112" s="3787"/>
      <c r="E112" s="3787"/>
      <c r="F112" s="3787"/>
      <c r="G112" s="3787"/>
      <c r="H112" s="3787"/>
      <c r="I112" s="3787"/>
      <c r="J112" s="3787"/>
      <c r="K112" s="3787"/>
      <c r="L112" s="3787"/>
      <c r="M112" s="3787"/>
      <c r="N112" s="3787"/>
      <c r="O112" s="21">
        <f>ROW()</f>
        <v>112</v>
      </c>
    </row>
    <row r="113" spans="2:39" ht="14.1" customHeight="1">
      <c r="B113" s="3787"/>
      <c r="C113" s="3787"/>
      <c r="D113" s="3787"/>
      <c r="E113" s="3787"/>
      <c r="F113" s="3787"/>
      <c r="G113" s="3787"/>
      <c r="H113" s="3787"/>
      <c r="I113" s="3787"/>
      <c r="J113" s="3787"/>
      <c r="K113" s="3787"/>
      <c r="L113" s="3787"/>
      <c r="M113" s="3787"/>
      <c r="N113" s="3787"/>
      <c r="O113" s="21">
        <f>ROW()</f>
        <v>113</v>
      </c>
    </row>
    <row r="114" spans="2:39" ht="14.1" customHeight="1">
      <c r="B114" s="3787"/>
      <c r="C114" s="3787"/>
      <c r="D114" s="3787"/>
      <c r="E114" s="3787"/>
      <c r="F114" s="3787"/>
      <c r="G114" s="3787"/>
      <c r="H114" s="3787"/>
      <c r="I114" s="3787"/>
      <c r="J114" s="3787"/>
      <c r="K114" s="3787"/>
      <c r="L114" s="3787"/>
      <c r="M114" s="3787"/>
      <c r="N114" s="3787"/>
      <c r="O114" s="21">
        <f>ROW()</f>
        <v>114</v>
      </c>
    </row>
    <row r="115" spans="2:39" ht="14.1" customHeight="1">
      <c r="B115" s="3787"/>
      <c r="C115" s="3787"/>
      <c r="D115" s="3787"/>
      <c r="E115" s="3787"/>
      <c r="F115" s="3787"/>
      <c r="G115" s="3787"/>
      <c r="H115" s="3787"/>
      <c r="I115" s="3787"/>
      <c r="J115" s="3787"/>
      <c r="K115" s="3787"/>
      <c r="L115" s="3787"/>
      <c r="M115" s="3787"/>
      <c r="N115" s="3787"/>
      <c r="O115" s="21">
        <f>ROW()</f>
        <v>115</v>
      </c>
    </row>
    <row r="116" spans="2:39" ht="14.1" customHeight="1">
      <c r="B116" s="3787"/>
      <c r="C116" s="3787"/>
      <c r="D116" s="3787"/>
      <c r="E116" s="3787"/>
      <c r="F116" s="3787"/>
      <c r="G116" s="3787"/>
      <c r="H116" s="3787"/>
      <c r="I116" s="3787"/>
      <c r="J116" s="3787"/>
      <c r="K116" s="3787"/>
      <c r="L116" s="3787"/>
      <c r="M116" s="3787"/>
      <c r="N116" s="3787"/>
      <c r="O116" s="21">
        <f>ROW()</f>
        <v>116</v>
      </c>
    </row>
    <row r="117" spans="2:39" ht="14.1" customHeight="1">
      <c r="B117" s="3787"/>
      <c r="C117" s="3787"/>
      <c r="D117" s="3787"/>
      <c r="E117" s="3787"/>
      <c r="F117" s="3787"/>
      <c r="G117" s="3787"/>
      <c r="H117" s="3787"/>
      <c r="I117" s="3787"/>
      <c r="J117" s="3787"/>
      <c r="K117" s="3787"/>
      <c r="L117" s="3787"/>
      <c r="M117" s="3787"/>
      <c r="N117" s="3787"/>
      <c r="O117" s="21">
        <f>ROW()</f>
        <v>117</v>
      </c>
    </row>
    <row r="118" spans="2:39" ht="14.1" customHeight="1">
      <c r="B118" s="3779" t="s">
        <v>1624</v>
      </c>
      <c r="C118" s="3779"/>
      <c r="D118" s="3779"/>
      <c r="E118" s="3779"/>
      <c r="F118" s="3779"/>
      <c r="G118" s="3779"/>
      <c r="H118" s="3779"/>
      <c r="I118" s="3779"/>
      <c r="J118" s="3779"/>
      <c r="K118" s="3779"/>
      <c r="L118" s="3779"/>
      <c r="M118" s="3779"/>
      <c r="N118" s="3779"/>
      <c r="O118" s="21">
        <f>ROW()</f>
        <v>118</v>
      </c>
    </row>
    <row r="119" spans="2:39" ht="14.1" customHeight="1">
      <c r="B119" s="3779"/>
      <c r="C119" s="3779"/>
      <c r="D119" s="3779"/>
      <c r="E119" s="3779"/>
      <c r="F119" s="3779"/>
      <c r="G119" s="3779"/>
      <c r="H119" s="3779"/>
      <c r="I119" s="3779"/>
      <c r="J119" s="3779"/>
      <c r="K119" s="3779"/>
      <c r="L119" s="3779"/>
      <c r="M119" s="3779"/>
      <c r="N119" s="3779"/>
      <c r="O119" s="21">
        <f>ROW()</f>
        <v>119</v>
      </c>
    </row>
    <row r="120" spans="2:39" ht="14.1" customHeight="1">
      <c r="B120" s="3779"/>
      <c r="C120" s="3779"/>
      <c r="D120" s="3779"/>
      <c r="E120" s="3779"/>
      <c r="F120" s="3779"/>
      <c r="G120" s="3779"/>
      <c r="H120" s="3779"/>
      <c r="I120" s="3779"/>
      <c r="J120" s="3779"/>
      <c r="K120" s="3779"/>
      <c r="L120" s="3779"/>
      <c r="M120" s="3779"/>
      <c r="N120" s="3779"/>
      <c r="O120" s="21">
        <f>ROW()</f>
        <v>120</v>
      </c>
    </row>
    <row r="121" spans="2:39" ht="14.1" customHeight="1">
      <c r="B121" s="45"/>
      <c r="C121" s="45"/>
      <c r="D121" s="45"/>
      <c r="E121" s="45"/>
      <c r="F121" s="45"/>
      <c r="G121" s="45"/>
      <c r="H121" s="45"/>
      <c r="I121" s="45"/>
      <c r="J121" s="45"/>
      <c r="K121" s="45"/>
      <c r="L121" s="45"/>
      <c r="M121" s="45"/>
      <c r="N121" s="45"/>
      <c r="O121" s="21">
        <f>ROW()</f>
        <v>121</v>
      </c>
    </row>
    <row r="122" spans="2:39" ht="14.1" customHeight="1">
      <c r="B122" s="3781" t="s">
        <v>1514</v>
      </c>
      <c r="C122" s="3781"/>
      <c r="D122" s="3781"/>
      <c r="E122" s="3781"/>
      <c r="F122" s="3781"/>
      <c r="G122" s="3781"/>
      <c r="H122" s="3781"/>
      <c r="I122" s="3781"/>
      <c r="J122" s="3781"/>
      <c r="K122" s="3781"/>
      <c r="L122" s="3781"/>
      <c r="M122" s="3781"/>
      <c r="N122" s="3781"/>
      <c r="O122" s="21">
        <f>ROW()</f>
        <v>122</v>
      </c>
    </row>
    <row r="123" spans="2:39" ht="14.1" customHeight="1">
      <c r="B123" s="3781"/>
      <c r="C123" s="3781"/>
      <c r="D123" s="3781"/>
      <c r="E123" s="3781"/>
      <c r="F123" s="3781"/>
      <c r="G123" s="3781"/>
      <c r="H123" s="3781"/>
      <c r="I123" s="3781"/>
      <c r="J123" s="3781"/>
      <c r="K123" s="3781"/>
      <c r="L123" s="3781"/>
      <c r="M123" s="3781"/>
      <c r="N123" s="3781"/>
      <c r="O123" s="21">
        <f>ROW()</f>
        <v>123</v>
      </c>
    </row>
    <row r="124" spans="2:39" ht="14.1" customHeight="1">
      <c r="O124" s="21">
        <f>ROW()</f>
        <v>124</v>
      </c>
      <c r="P124" s="20">
        <v>1</v>
      </c>
      <c r="Q124" s="20">
        <v>2</v>
      </c>
      <c r="R124" s="20">
        <v>3</v>
      </c>
      <c r="S124" s="20">
        <v>4</v>
      </c>
      <c r="T124" s="20">
        <v>5</v>
      </c>
      <c r="U124" s="20">
        <v>6</v>
      </c>
      <c r="V124" s="20">
        <v>7</v>
      </c>
      <c r="W124" s="20">
        <v>8</v>
      </c>
      <c r="X124" s="20">
        <v>9</v>
      </c>
      <c r="Y124" s="20">
        <v>10</v>
      </c>
      <c r="Z124" s="20">
        <v>11</v>
      </c>
      <c r="AA124" s="20">
        <v>12</v>
      </c>
      <c r="AB124" s="20">
        <v>13</v>
      </c>
      <c r="AC124" s="20">
        <v>14</v>
      </c>
      <c r="AD124" s="20">
        <v>15</v>
      </c>
      <c r="AE124" s="20">
        <v>16</v>
      </c>
      <c r="AF124" s="20">
        <v>17</v>
      </c>
      <c r="AG124" s="20">
        <v>18</v>
      </c>
      <c r="AH124" s="20">
        <v>19</v>
      </c>
      <c r="AI124" s="20">
        <v>20</v>
      </c>
      <c r="AJ124" s="20">
        <v>21</v>
      </c>
      <c r="AK124" s="20">
        <v>22</v>
      </c>
      <c r="AL124" s="20">
        <v>23</v>
      </c>
      <c r="AM124" s="20">
        <v>24</v>
      </c>
    </row>
    <row r="125" spans="2:39" ht="14.1" customHeight="1">
      <c r="B125" s="24" t="s">
        <v>1625</v>
      </c>
      <c r="O125" s="21">
        <f>ROW()</f>
        <v>125</v>
      </c>
    </row>
    <row r="126" spans="2:39" ht="14.1" customHeight="1">
      <c r="O126" s="21">
        <f>ROW()</f>
        <v>126</v>
      </c>
    </row>
    <row r="127" spans="2:39" ht="14.1" customHeight="1">
      <c r="B127" t="s">
        <v>1310</v>
      </c>
      <c r="O127" s="21">
        <f>ROW()</f>
        <v>127</v>
      </c>
      <c r="P127" s="723" t="s">
        <v>1311</v>
      </c>
      <c r="Q127" s="723" t="s">
        <v>1312</v>
      </c>
      <c r="R127" s="723" t="s">
        <v>1313</v>
      </c>
      <c r="S127" s="723" t="s">
        <v>1314</v>
      </c>
      <c r="T127" s="723" t="s">
        <v>1315</v>
      </c>
      <c r="U127" s="723" t="s">
        <v>1316</v>
      </c>
      <c r="V127" s="723" t="s">
        <v>1317</v>
      </c>
      <c r="W127" s="723" t="s">
        <v>1318</v>
      </c>
      <c r="X127" s="723" t="s">
        <v>1319</v>
      </c>
      <c r="Y127" s="723" t="s">
        <v>1320</v>
      </c>
      <c r="Z127" s="723" t="s">
        <v>1321</v>
      </c>
      <c r="AA127" s="723" t="s">
        <v>2768</v>
      </c>
      <c r="AB127" s="723" t="s">
        <v>2200</v>
      </c>
      <c r="AC127" s="723" t="s">
        <v>2769</v>
      </c>
      <c r="AD127" s="723" t="s">
        <v>2189</v>
      </c>
      <c r="AE127" s="723" t="s">
        <v>2190</v>
      </c>
      <c r="AF127" s="723" t="s">
        <v>2191</v>
      </c>
      <c r="AG127" s="723" t="s">
        <v>2192</v>
      </c>
      <c r="AH127" s="723" t="s">
        <v>2193</v>
      </c>
      <c r="AI127" s="723" t="s">
        <v>2194</v>
      </c>
      <c r="AJ127" s="723" t="s">
        <v>2195</v>
      </c>
      <c r="AK127" s="723" t="s">
        <v>2196</v>
      </c>
      <c r="AL127" s="723" t="s">
        <v>2197</v>
      </c>
      <c r="AM127" s="723" t="s">
        <v>2198</v>
      </c>
    </row>
    <row r="128" spans="2:39" ht="14.1" customHeight="1">
      <c r="O128" s="21">
        <f>ROW()</f>
        <v>128</v>
      </c>
    </row>
    <row r="129" spans="2:255" s="6" customFormat="1" ht="14.1" customHeight="1">
      <c r="B129" s="2" t="s">
        <v>3835</v>
      </c>
      <c r="L129" s="19" t="str">
        <f>CONCATENATE("Row ",O22,")")</f>
        <v>Row 22)</v>
      </c>
      <c r="O129" s="21">
        <f>ROW()</f>
        <v>129</v>
      </c>
      <c r="P129" s="720">
        <f>J74</f>
        <v>38517.564949044012</v>
      </c>
      <c r="Q129" s="720">
        <f>J75</f>
        <v>17691.773825628516</v>
      </c>
      <c r="R129" s="720">
        <f>J76</f>
        <v>10222.985568350345</v>
      </c>
      <c r="S129" s="720">
        <f>J77</f>
        <v>7195.4786372082581</v>
      </c>
      <c r="T129" s="720">
        <f>J78</f>
        <v>11047.938502458428</v>
      </c>
      <c r="U129" s="720">
        <f>J79</f>
        <v>44175.676973359012</v>
      </c>
      <c r="V129" s="720">
        <f>J80</f>
        <v>147088.80670703726</v>
      </c>
      <c r="W129" s="720">
        <f>J81</f>
        <v>321891.40985211957</v>
      </c>
      <c r="X129" s="720">
        <f>J82</f>
        <v>507282.75114535174</v>
      </c>
      <c r="Y129" s="720">
        <f>J83</f>
        <v>331096.51804866543</v>
      </c>
      <c r="Z129" s="720">
        <f>J84</f>
        <v>177500.53082849307</v>
      </c>
      <c r="AA129" s="720">
        <f>J85</f>
        <v>139611.97993152172</v>
      </c>
      <c r="AB129" s="720">
        <f>J86</f>
        <v>139936.53510535473</v>
      </c>
      <c r="AC129" s="720">
        <f>J87</f>
        <v>148061.46741375665</v>
      </c>
      <c r="AD129" s="720">
        <f>J88</f>
        <v>184154.41429945984</v>
      </c>
      <c r="AE129" s="720">
        <f>J89</f>
        <v>238276.75277676029</v>
      </c>
      <c r="AF129" s="720">
        <f>J90</f>
        <v>313971.45975877013</v>
      </c>
      <c r="AG129" s="720">
        <f>J91</f>
        <v>435552.0384691353</v>
      </c>
      <c r="AH129" s="720">
        <f>J92</f>
        <v>359099.70114325511</v>
      </c>
      <c r="AI129" s="720">
        <f>J93</f>
        <v>236898.1468990547</v>
      </c>
      <c r="AJ129" s="720">
        <f>J94</f>
        <v>165084.03459612574</v>
      </c>
      <c r="AK129" s="720">
        <f>J95</f>
        <v>120710.40911117196</v>
      </c>
      <c r="AL129" s="720">
        <f>J96</f>
        <v>99108.900977852158</v>
      </c>
      <c r="AM129" s="720">
        <f>J97</f>
        <v>62656.23040102754</v>
      </c>
      <c r="AN129" s="720">
        <f>SUM(P129:AM129)</f>
        <v>4256833.5059209615</v>
      </c>
      <c r="IU129" s="186"/>
    </row>
    <row r="130" spans="2:255" ht="14.1" customHeight="1">
      <c r="O130" s="21">
        <f>ROW()</f>
        <v>130</v>
      </c>
      <c r="P130" s="240">
        <f>P129/$AN$129</f>
        <v>9.0484076709762638E-3</v>
      </c>
      <c r="Q130" s="240">
        <f t="shared" ref="Q130:AN130" si="18">Q129/$AN$129</f>
        <v>4.1560878058821138E-3</v>
      </c>
      <c r="R130" s="240">
        <f t="shared" si="18"/>
        <v>2.4015469606999845E-3</v>
      </c>
      <c r="S130" s="240">
        <f t="shared" si="18"/>
        <v>1.6903359333175338E-3</v>
      </c>
      <c r="T130" s="240">
        <f t="shared" si="18"/>
        <v>2.5953419336442237E-3</v>
      </c>
      <c r="U130" s="240">
        <f t="shared" si="18"/>
        <v>1.0377590975055449E-2</v>
      </c>
      <c r="V130" s="240">
        <f t="shared" si="18"/>
        <v>3.4553572861716786E-2</v>
      </c>
      <c r="W130" s="240">
        <f t="shared" si="18"/>
        <v>7.5617570995997571E-2</v>
      </c>
      <c r="X130" s="240">
        <f t="shared" si="18"/>
        <v>0.11916903737009128</v>
      </c>
      <c r="Y130" s="240">
        <f t="shared" si="18"/>
        <v>7.7780001869495963E-2</v>
      </c>
      <c r="Z130" s="240">
        <f t="shared" si="18"/>
        <v>4.1697785591473586E-2</v>
      </c>
      <c r="AA130" s="240">
        <f t="shared" si="18"/>
        <v>3.2797143636773933E-2</v>
      </c>
      <c r="AB130" s="240">
        <f t="shared" si="18"/>
        <v>3.2873386969613137E-2</v>
      </c>
      <c r="AC130" s="240">
        <f t="shared" si="18"/>
        <v>3.4782066812764315E-2</v>
      </c>
      <c r="AD130" s="240">
        <f t="shared" si="18"/>
        <v>4.3260891938412378E-2</v>
      </c>
      <c r="AE130" s="240">
        <f t="shared" si="18"/>
        <v>5.5975116819892951E-2</v>
      </c>
      <c r="AF130" s="240">
        <f t="shared" si="18"/>
        <v>7.3757044836744848E-2</v>
      </c>
      <c r="AG130" s="240">
        <f t="shared" si="18"/>
        <v>0.10231831662274611</v>
      </c>
      <c r="AH130" s="240">
        <f t="shared" si="18"/>
        <v>8.4358408813446015E-2</v>
      </c>
      <c r="AI130" s="240">
        <f t="shared" si="18"/>
        <v>5.5651259690928885E-2</v>
      </c>
      <c r="AJ130" s="240">
        <f t="shared" si="18"/>
        <v>3.8780947003566206E-2</v>
      </c>
      <c r="AK130" s="240">
        <f t="shared" si="18"/>
        <v>2.8356854676902941E-2</v>
      </c>
      <c r="AL130" s="240">
        <f t="shared" si="18"/>
        <v>2.3282306164898982E-2</v>
      </c>
      <c r="AM130" s="240">
        <f t="shared" si="18"/>
        <v>1.4718976044958547E-2</v>
      </c>
      <c r="AN130" s="240">
        <f t="shared" si="18"/>
        <v>1</v>
      </c>
    </row>
    <row r="131" spans="2:255" ht="14.1" customHeight="1">
      <c r="B131" s="1" t="s">
        <v>4411</v>
      </c>
      <c r="J131" s="7" t="str">
        <f>CONCATENATE("(Copied from Row ",O31, ".)")</f>
        <v>(Copied from Row 31.)</v>
      </c>
      <c r="L131" s="211">
        <f>K31</f>
        <v>0.6</v>
      </c>
      <c r="O131" s="21">
        <f>ROW()</f>
        <v>131</v>
      </c>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row>
    <row r="132" spans="2:255" ht="14.1" customHeight="1">
      <c r="O132" s="21">
        <f>ROW()</f>
        <v>132</v>
      </c>
    </row>
    <row r="133" spans="2:255" ht="14.1" customHeight="1">
      <c r="B133" t="str">
        <f>CONCATENATE("Factor to multiply percent in Row ",O131, " to reflect hourly variations.")</f>
        <v>Factor to multiply percent in Row 131 to reflect hourly variations.</v>
      </c>
      <c r="J133" s="7" t="s">
        <v>4412</v>
      </c>
      <c r="O133" s="21">
        <f>ROW()</f>
        <v>133</v>
      </c>
      <c r="P133" s="332">
        <f>'Weekday Hours'!$Q$19</f>
        <v>0.4</v>
      </c>
      <c r="Q133" s="332">
        <f>'Weekday Hours'!$Q$19</f>
        <v>0.4</v>
      </c>
      <c r="R133" s="332">
        <f>'Weekday Hours'!$Q$19</f>
        <v>0.4</v>
      </c>
      <c r="S133" s="332">
        <f>'Weekday Hours'!$Q$19</f>
        <v>0.4</v>
      </c>
      <c r="T133" s="332">
        <f>'Weekday Hours'!$Q$19</f>
        <v>0.4</v>
      </c>
      <c r="U133" s="332">
        <f>'Weekday Hours'!$Q$20</f>
        <v>1.5</v>
      </c>
      <c r="V133" s="332">
        <f>'Weekday Hours'!$Q$21</f>
        <v>1.6</v>
      </c>
      <c r="W133" s="332">
        <f>'Weekday Hours'!$Q$21</f>
        <v>1.6</v>
      </c>
      <c r="X133" s="332">
        <f>'Weekday Hours'!$Q$21</f>
        <v>1.6</v>
      </c>
      <c r="Y133" s="332">
        <f>'Weekday Hours'!$Q$22</f>
        <v>1.3</v>
      </c>
      <c r="Z133" s="332">
        <f>'Weekday Hours'!$Q$23</f>
        <v>1.1000000000000001</v>
      </c>
      <c r="AA133" s="332">
        <f>'Weekday Hours'!$Q$23</f>
        <v>1.1000000000000001</v>
      </c>
      <c r="AB133" s="332">
        <f>'Weekday Hours'!$Q$23</f>
        <v>1.1000000000000001</v>
      </c>
      <c r="AC133" s="332">
        <f>'Weekday Hours'!$Q$23</f>
        <v>1.1000000000000001</v>
      </c>
      <c r="AD133" s="332">
        <f>'Weekday Hours'!$Q$24</f>
        <v>0.75</v>
      </c>
      <c r="AE133" s="332">
        <f>'Weekday Hours'!$Q$24</f>
        <v>0.75</v>
      </c>
      <c r="AF133" s="332">
        <f>'Weekday Hours'!$Q$24</f>
        <v>0.75</v>
      </c>
      <c r="AG133" s="332">
        <f>'Weekday Hours'!$Q$24</f>
        <v>0.75</v>
      </c>
      <c r="AH133" s="332">
        <f>'Weekday Hours'!$Q$24</f>
        <v>0.75</v>
      </c>
      <c r="AI133" s="332">
        <f>'Weekday Hours'!$Q$24</f>
        <v>0.75</v>
      </c>
      <c r="AJ133" s="332">
        <f>'Weekday Hours'!$Q$25</f>
        <v>0.6</v>
      </c>
      <c r="AK133" s="332">
        <f>'Weekday Hours'!$Q$25</f>
        <v>0.6</v>
      </c>
      <c r="AL133" s="332">
        <f>'Weekday Hours'!$Q$25</f>
        <v>0.6</v>
      </c>
      <c r="AM133" s="332">
        <f>'Weekday Hours'!$Q$19</f>
        <v>0.4</v>
      </c>
    </row>
    <row r="134" spans="2:255" ht="14.1" customHeight="1">
      <c r="O134" s="21">
        <f>ROW()</f>
        <v>134</v>
      </c>
    </row>
    <row r="135" spans="2:255" ht="14.1" customHeight="1">
      <c r="B135" s="1" t="s">
        <v>4413</v>
      </c>
      <c r="L135" s="211">
        <f>SUMPRODUCT(P129:AM129,P135:AM135)/AN129</f>
        <v>0.61174633347464724</v>
      </c>
      <c r="O135" s="21">
        <f>ROW()</f>
        <v>135</v>
      </c>
      <c r="P135" s="278">
        <f t="shared" ref="P135:AM135" si="19">P133*$L$131</f>
        <v>0.24</v>
      </c>
      <c r="Q135" s="278">
        <f t="shared" si="19"/>
        <v>0.24</v>
      </c>
      <c r="R135" s="278">
        <f t="shared" si="19"/>
        <v>0.24</v>
      </c>
      <c r="S135" s="278">
        <f t="shared" si="19"/>
        <v>0.24</v>
      </c>
      <c r="T135" s="278">
        <f t="shared" si="19"/>
        <v>0.24</v>
      </c>
      <c r="U135" s="278">
        <f t="shared" si="19"/>
        <v>0.89999999999999991</v>
      </c>
      <c r="V135" s="278">
        <f t="shared" si="19"/>
        <v>0.96</v>
      </c>
      <c r="W135" s="278">
        <f t="shared" si="19"/>
        <v>0.96</v>
      </c>
      <c r="X135" s="278">
        <f t="shared" si="19"/>
        <v>0.96</v>
      </c>
      <c r="Y135" s="278">
        <f t="shared" si="19"/>
        <v>0.78</v>
      </c>
      <c r="Z135" s="278">
        <f t="shared" si="19"/>
        <v>0.66</v>
      </c>
      <c r="AA135" s="278">
        <f t="shared" si="19"/>
        <v>0.66</v>
      </c>
      <c r="AB135" s="278">
        <f t="shared" si="19"/>
        <v>0.66</v>
      </c>
      <c r="AC135" s="278">
        <f t="shared" si="19"/>
        <v>0.66</v>
      </c>
      <c r="AD135" s="278">
        <f t="shared" si="19"/>
        <v>0.44999999999999996</v>
      </c>
      <c r="AE135" s="278">
        <f t="shared" si="19"/>
        <v>0.44999999999999996</v>
      </c>
      <c r="AF135" s="278">
        <f t="shared" si="19"/>
        <v>0.44999999999999996</v>
      </c>
      <c r="AG135" s="278">
        <f t="shared" si="19"/>
        <v>0.44999999999999996</v>
      </c>
      <c r="AH135" s="278">
        <f t="shared" si="19"/>
        <v>0.44999999999999996</v>
      </c>
      <c r="AI135" s="278">
        <f t="shared" si="19"/>
        <v>0.44999999999999996</v>
      </c>
      <c r="AJ135" s="278">
        <f t="shared" si="19"/>
        <v>0.36</v>
      </c>
      <c r="AK135" s="278">
        <f t="shared" si="19"/>
        <v>0.36</v>
      </c>
      <c r="AL135" s="278">
        <f t="shared" si="19"/>
        <v>0.36</v>
      </c>
      <c r="AM135" s="278">
        <f t="shared" si="19"/>
        <v>0.24</v>
      </c>
    </row>
    <row r="136" spans="2:255" ht="14.1" customHeight="1">
      <c r="B136" s="265" t="str">
        <f>CONCATENATE("Each column figure is product of Row ",O133, " column entry and figure in box in Row ",O131, ". Fig. in box dir'ly above is wghtd avg. ")</f>
        <v xml:space="preserve">Each column figure is product of Row 133 column entry and figure in box in Row 131. Fig. in box dir'ly above is wghtd avg. </v>
      </c>
      <c r="O136" s="21">
        <f>ROW()</f>
        <v>136</v>
      </c>
    </row>
    <row r="137" spans="2:255" ht="14.1" customHeight="1">
      <c r="B137" s="1" t="s">
        <v>4414</v>
      </c>
      <c r="L137" s="241">
        <f>SUMPRODUCT(P129:AM129,P137:AM137)/AN129</f>
        <v>0.600248166147205</v>
      </c>
      <c r="O137" s="21">
        <f>ROW()</f>
        <v>137</v>
      </c>
      <c r="P137" s="209">
        <f>P135</f>
        <v>0.24</v>
      </c>
      <c r="Q137" s="209">
        <f>Q135</f>
        <v>0.24</v>
      </c>
      <c r="R137" s="209">
        <f>R135</f>
        <v>0.24</v>
      </c>
      <c r="S137" s="209">
        <f>S135</f>
        <v>0.24</v>
      </c>
      <c r="T137" s="209">
        <v>0.5</v>
      </c>
      <c r="U137" s="209">
        <v>0.8</v>
      </c>
      <c r="V137" s="209">
        <v>0.95</v>
      </c>
      <c r="W137" s="209">
        <v>0.95</v>
      </c>
      <c r="X137" s="209">
        <v>0.95</v>
      </c>
      <c r="Y137" s="209">
        <v>0.8</v>
      </c>
      <c r="Z137" s="209">
        <v>0.6</v>
      </c>
      <c r="AA137" s="209">
        <v>0.6</v>
      </c>
      <c r="AB137" s="209">
        <v>0.6</v>
      </c>
      <c r="AC137" s="209">
        <v>0.55000000000000004</v>
      </c>
      <c r="AD137" s="209">
        <f t="shared" ref="AD137:AI137" si="20">AD135</f>
        <v>0.44999999999999996</v>
      </c>
      <c r="AE137" s="209">
        <f t="shared" si="20"/>
        <v>0.44999999999999996</v>
      </c>
      <c r="AF137" s="209">
        <f t="shared" si="20"/>
        <v>0.44999999999999996</v>
      </c>
      <c r="AG137" s="209">
        <f t="shared" si="20"/>
        <v>0.44999999999999996</v>
      </c>
      <c r="AH137" s="209">
        <f t="shared" si="20"/>
        <v>0.44999999999999996</v>
      </c>
      <c r="AI137" s="209">
        <f t="shared" si="20"/>
        <v>0.44999999999999996</v>
      </c>
      <c r="AJ137" s="209">
        <v>0.4</v>
      </c>
      <c r="AK137" s="209">
        <v>0.35</v>
      </c>
      <c r="AL137" s="209">
        <v>0.3</v>
      </c>
      <c r="AM137" s="209">
        <f>AM135</f>
        <v>0.24</v>
      </c>
    </row>
    <row r="138" spans="2:255" ht="14.1" customHeight="1">
      <c r="B138" s="265" t="str">
        <f>CONCATENATE("Adjustments, made manually, ensure that wghtd avg % of work trips matches assumed percentage in Row ",O131, ".")</f>
        <v>Adjustments, made manually, ensure that wghtd avg % of work trips matches assumed percentage in Row 131.</v>
      </c>
      <c r="O138" s="21">
        <f>ROW()</f>
        <v>138</v>
      </c>
    </row>
    <row r="139" spans="2:255" ht="14.1" customHeight="1">
      <c r="B139" t="s">
        <v>2660</v>
      </c>
      <c r="O139" s="21">
        <f>ROW()</f>
        <v>139</v>
      </c>
      <c r="P139" s="205">
        <f>P137*P129</f>
        <v>9244.2155877705627</v>
      </c>
      <c r="Q139" s="205">
        <f t="shared" ref="Q139:AM139" si="21">Q137*Q129</f>
        <v>4246.0257181508432</v>
      </c>
      <c r="R139" s="205">
        <f t="shared" si="21"/>
        <v>2453.5165364040827</v>
      </c>
      <c r="S139" s="205">
        <f t="shared" si="21"/>
        <v>1726.9148729299818</v>
      </c>
      <c r="T139" s="205">
        <f t="shared" si="21"/>
        <v>5523.969251229214</v>
      </c>
      <c r="U139" s="205">
        <f t="shared" si="21"/>
        <v>35340.541578687211</v>
      </c>
      <c r="V139" s="205">
        <f t="shared" si="21"/>
        <v>139734.36637168541</v>
      </c>
      <c r="W139" s="205">
        <f t="shared" si="21"/>
        <v>305796.8393595136</v>
      </c>
      <c r="X139" s="205">
        <f t="shared" si="21"/>
        <v>481918.61358808412</v>
      </c>
      <c r="Y139" s="205">
        <f t="shared" si="21"/>
        <v>264877.21443893237</v>
      </c>
      <c r="Z139" s="205">
        <f t="shared" si="21"/>
        <v>106500.31849709584</v>
      </c>
      <c r="AA139" s="205">
        <f t="shared" si="21"/>
        <v>83767.187958913026</v>
      </c>
      <c r="AB139" s="205">
        <f t="shared" si="21"/>
        <v>83961.921063212838</v>
      </c>
      <c r="AC139" s="205">
        <f t="shared" si="21"/>
        <v>81433.807077566162</v>
      </c>
      <c r="AD139" s="205">
        <f t="shared" si="21"/>
        <v>82869.486434756924</v>
      </c>
      <c r="AE139" s="205">
        <f t="shared" si="21"/>
        <v>107224.53874954212</v>
      </c>
      <c r="AF139" s="205">
        <f t="shared" si="21"/>
        <v>141287.15689144653</v>
      </c>
      <c r="AG139" s="205">
        <f t="shared" si="21"/>
        <v>195998.41731111085</v>
      </c>
      <c r="AH139" s="205">
        <f t="shared" si="21"/>
        <v>161594.86551446479</v>
      </c>
      <c r="AI139" s="205">
        <f t="shared" si="21"/>
        <v>106604.1661045746</v>
      </c>
      <c r="AJ139" s="205">
        <f t="shared" si="21"/>
        <v>66033.613838450299</v>
      </c>
      <c r="AK139" s="205">
        <f t="shared" si="21"/>
        <v>42248.64318891018</v>
      </c>
      <c r="AL139" s="205">
        <f t="shared" si="21"/>
        <v>29732.670293355644</v>
      </c>
      <c r="AM139" s="205">
        <f t="shared" si="21"/>
        <v>15037.495296246609</v>
      </c>
      <c r="AN139" s="205">
        <f>SUM(P139:AM139)</f>
        <v>2555156.5055230344</v>
      </c>
    </row>
    <row r="140" spans="2:255" ht="14.1" customHeight="1">
      <c r="B140" s="312" t="s">
        <v>5068</v>
      </c>
      <c r="O140" s="21">
        <f>ROW()</f>
        <v>140</v>
      </c>
      <c r="P140" s="1183">
        <f>P139*Transit!$H$20</f>
        <v>4454.5332316251597</v>
      </c>
      <c r="Q140" s="1183">
        <f>Q139*Transit!$H$20</f>
        <v>2046.0430075711313</v>
      </c>
      <c r="R140" s="1183">
        <f>R139*Transit!$H$20</f>
        <v>1182.2821354591181</v>
      </c>
      <c r="S140" s="1183">
        <f>S139*Transit!$H$20</f>
        <v>832.15277885027956</v>
      </c>
      <c r="T140" s="1183">
        <f>T139*Transit!$H$20</f>
        <v>2661.8488466051135</v>
      </c>
      <c r="U140" s="1183">
        <f>U139*Transit!$H$20</f>
        <v>17029.634952927288</v>
      </c>
      <c r="V140" s="1183">
        <f>V139*Transit!$H$20</f>
        <v>67334.147791427167</v>
      </c>
      <c r="W140" s="1183">
        <f>W139*Transit!$H$20</f>
        <v>147355.08601237769</v>
      </c>
      <c r="X140" s="1183">
        <f>X139*Transit!$H$20</f>
        <v>232223.32482236845</v>
      </c>
      <c r="Y140" s="1183">
        <f>Y139*Transit!$H$20</f>
        <v>127637.0442484549</v>
      </c>
      <c r="Z140" s="1183">
        <f>Z139*Transit!$H$20</f>
        <v>51319.574215857385</v>
      </c>
      <c r="AA140" s="1183">
        <f>AA139*Transit!$H$20</f>
        <v>40365.103879274677</v>
      </c>
      <c r="AB140" s="1183">
        <f>AB139*Transit!$H$20</f>
        <v>40458.940406145455</v>
      </c>
      <c r="AC140" s="1183">
        <f>AC139*Transit!$H$20</f>
        <v>39240.711811682806</v>
      </c>
      <c r="AD140" s="1183">
        <f>AD139*Transit!$H$20</f>
        <v>39932.526205867311</v>
      </c>
      <c r="AE140" s="1183">
        <f>AE139*Transit!$H$20</f>
        <v>51668.556035992107</v>
      </c>
      <c r="AF140" s="1183">
        <f>AF139*Transit!$H$20</f>
        <v>68082.394833737504</v>
      </c>
      <c r="AG140" s="1183">
        <f>AG139*Transit!$H$20</f>
        <v>94446.246408760067</v>
      </c>
      <c r="AH140" s="1183">
        <f>AH139*Transit!$H$20</f>
        <v>77868.121060100035</v>
      </c>
      <c r="AI140" s="1183">
        <f>AI139*Transit!$H$20</f>
        <v>51369.615521595741</v>
      </c>
      <c r="AJ140" s="1183">
        <f>AJ139*Transit!$H$20</f>
        <v>31819.782268688963</v>
      </c>
      <c r="AK140" s="1183">
        <f>AK139*Transit!$H$20</f>
        <v>20358.459113074652</v>
      </c>
      <c r="AL140" s="1183">
        <f>AL139*Transit!$H$20</f>
        <v>14327.356023795292</v>
      </c>
      <c r="AM140" s="1183">
        <f>AM139*Transit!$H$20</f>
        <v>7246.1553802524841</v>
      </c>
      <c r="AN140" s="1183">
        <f>SUM(P140:AM140)</f>
        <v>1231259.6409924908</v>
      </c>
    </row>
    <row r="141" spans="2:255" ht="14.1" customHeight="1">
      <c r="B141" s="312" t="s">
        <v>5069</v>
      </c>
      <c r="O141" s="21">
        <f>ROW()</f>
        <v>141</v>
      </c>
      <c r="P141" s="1183">
        <f>P139-P140</f>
        <v>4789.682356145403</v>
      </c>
      <c r="Q141" s="1183">
        <f t="shared" ref="Q141:AM141" si="22">Q139-Q140</f>
        <v>2199.9827105797121</v>
      </c>
      <c r="R141" s="1183">
        <f t="shared" si="22"/>
        <v>1271.2344009449646</v>
      </c>
      <c r="S141" s="1183">
        <f t="shared" si="22"/>
        <v>894.76209407970225</v>
      </c>
      <c r="T141" s="1183">
        <f t="shared" si="22"/>
        <v>2862.1204046241005</v>
      </c>
      <c r="U141" s="1183">
        <f t="shared" si="22"/>
        <v>18310.906625759922</v>
      </c>
      <c r="V141" s="1183">
        <f t="shared" si="22"/>
        <v>72400.218580258239</v>
      </c>
      <c r="W141" s="1183">
        <f t="shared" si="22"/>
        <v>158441.75334713591</v>
      </c>
      <c r="X141" s="1183">
        <f t="shared" si="22"/>
        <v>249695.28876571567</v>
      </c>
      <c r="Y141" s="1183">
        <f t="shared" si="22"/>
        <v>137240.17019047745</v>
      </c>
      <c r="Z141" s="1183">
        <f t="shared" si="22"/>
        <v>55180.744281238454</v>
      </c>
      <c r="AA141" s="1183">
        <f t="shared" si="22"/>
        <v>43402.084079638349</v>
      </c>
      <c r="AB141" s="1183">
        <f t="shared" si="22"/>
        <v>43502.980657067383</v>
      </c>
      <c r="AC141" s="1183">
        <f t="shared" si="22"/>
        <v>42193.095265883356</v>
      </c>
      <c r="AD141" s="1183">
        <f t="shared" si="22"/>
        <v>42936.960228889613</v>
      </c>
      <c r="AE141" s="1183">
        <f t="shared" si="22"/>
        <v>55555.982713550009</v>
      </c>
      <c r="AF141" s="1183">
        <f t="shared" si="22"/>
        <v>73204.762057709027</v>
      </c>
      <c r="AG141" s="1183">
        <f t="shared" si="22"/>
        <v>101552.17090235079</v>
      </c>
      <c r="AH141" s="1183">
        <f t="shared" si="22"/>
        <v>83726.744454364758</v>
      </c>
      <c r="AI141" s="1183">
        <f t="shared" si="22"/>
        <v>55234.55058297886</v>
      </c>
      <c r="AJ141" s="1183">
        <f t="shared" si="22"/>
        <v>34213.831569761336</v>
      </c>
      <c r="AK141" s="1183">
        <f t="shared" si="22"/>
        <v>21890.184075835528</v>
      </c>
      <c r="AL141" s="1183">
        <f t="shared" si="22"/>
        <v>15405.314269560353</v>
      </c>
      <c r="AM141" s="1183">
        <f t="shared" si="22"/>
        <v>7791.3399159941246</v>
      </c>
      <c r="AN141" s="1183">
        <f>SUM(P141:AM141)</f>
        <v>1323896.8645305431</v>
      </c>
    </row>
    <row r="142" spans="2:255" ht="14.1" customHeight="1">
      <c r="B142" s="265" t="str">
        <f>CONCATENATE("Rows ",O140," and ",O141," apply, to Row ",O139,", subway ride shares of pay-per and unlimiteds from 'Transit' tab, Row ",Transit!$O$20,".")</f>
        <v>Rows 140 and 141 apply, to Row 139, subway ride shares of pay-per and unlimiteds from 'Transit' tab, Row 20.</v>
      </c>
      <c r="O142" s="21">
        <f>ROW()</f>
        <v>142</v>
      </c>
      <c r="P142" s="1179"/>
      <c r="Q142" s="1179"/>
      <c r="R142" s="1179"/>
      <c r="S142" s="1179"/>
      <c r="T142" s="1179"/>
      <c r="U142" s="1179"/>
      <c r="V142" s="1179"/>
      <c r="W142" s="1179"/>
      <c r="X142" s="1179"/>
      <c r="Y142" s="1179"/>
      <c r="Z142" s="1179"/>
      <c r="AA142" s="1179"/>
      <c r="AB142" s="1179"/>
      <c r="AC142" s="1179"/>
      <c r="AD142" s="1179"/>
      <c r="AE142" s="1179"/>
      <c r="AF142" s="1179"/>
      <c r="AG142" s="1179"/>
      <c r="AH142" s="1179"/>
      <c r="AI142" s="1179"/>
      <c r="AJ142" s="1179"/>
      <c r="AK142" s="1179"/>
      <c r="AL142" s="1179"/>
      <c r="AM142" s="1179"/>
      <c r="AN142" s="1179"/>
    </row>
    <row r="143" spans="2:255" ht="14.1" customHeight="1">
      <c r="B143" t="s">
        <v>2661</v>
      </c>
      <c r="O143" s="21">
        <f>ROW()</f>
        <v>143</v>
      </c>
      <c r="P143" s="205">
        <f>(1-P137)*P129</f>
        <v>29273.349361273449</v>
      </c>
      <c r="Q143" s="205">
        <f t="shared" ref="Q143:AM143" si="23">(1-Q137)*Q129</f>
        <v>13445.748107477672</v>
      </c>
      <c r="R143" s="205">
        <f t="shared" si="23"/>
        <v>7769.4690319462625</v>
      </c>
      <c r="S143" s="205">
        <f t="shared" si="23"/>
        <v>5468.5637642782758</v>
      </c>
      <c r="T143" s="205">
        <f t="shared" si="23"/>
        <v>5523.969251229214</v>
      </c>
      <c r="U143" s="205">
        <f t="shared" si="23"/>
        <v>8835.1353946718009</v>
      </c>
      <c r="V143" s="205">
        <f t="shared" si="23"/>
        <v>7354.4403353518701</v>
      </c>
      <c r="W143" s="205">
        <f t="shared" si="23"/>
        <v>16094.570492605993</v>
      </c>
      <c r="X143" s="205">
        <f t="shared" si="23"/>
        <v>25364.137557267608</v>
      </c>
      <c r="Y143" s="205">
        <f t="shared" si="23"/>
        <v>66219.303609733077</v>
      </c>
      <c r="Z143" s="205">
        <f t="shared" si="23"/>
        <v>71000.212331397226</v>
      </c>
      <c r="AA143" s="205">
        <f t="shared" si="23"/>
        <v>55844.791972608691</v>
      </c>
      <c r="AB143" s="205">
        <f t="shared" si="23"/>
        <v>55974.614042141897</v>
      </c>
      <c r="AC143" s="205">
        <f t="shared" si="23"/>
        <v>66627.660336190485</v>
      </c>
      <c r="AD143" s="205">
        <f t="shared" si="23"/>
        <v>101284.92786470291</v>
      </c>
      <c r="AE143" s="205">
        <f t="shared" si="23"/>
        <v>131052.21402721817</v>
      </c>
      <c r="AF143" s="205">
        <f t="shared" si="23"/>
        <v>172684.3028673236</v>
      </c>
      <c r="AG143" s="205">
        <f t="shared" si="23"/>
        <v>239553.62115802444</v>
      </c>
      <c r="AH143" s="205">
        <f t="shared" si="23"/>
        <v>197504.83562879032</v>
      </c>
      <c r="AI143" s="205">
        <f t="shared" si="23"/>
        <v>130293.9807944801</v>
      </c>
      <c r="AJ143" s="205">
        <f t="shared" si="23"/>
        <v>99050.420757675442</v>
      </c>
      <c r="AK143" s="205">
        <f t="shared" si="23"/>
        <v>78461.76592226178</v>
      </c>
      <c r="AL143" s="205">
        <f t="shared" si="23"/>
        <v>69376.230684496506</v>
      </c>
      <c r="AM143" s="205">
        <f t="shared" si="23"/>
        <v>47618.735104780928</v>
      </c>
      <c r="AN143" s="205">
        <f>SUM(P143:AM143)</f>
        <v>1701677.0003979278</v>
      </c>
    </row>
    <row r="144" spans="2:255" ht="14.1" customHeight="1">
      <c r="B144" s="312" t="s">
        <v>5068</v>
      </c>
      <c r="O144" s="21">
        <f>ROW()</f>
        <v>144</v>
      </c>
      <c r="P144" s="1183">
        <f>P143*Transit!$H$20</f>
        <v>14106.021900146339</v>
      </c>
      <c r="Q144" s="1183">
        <f>Q143*Transit!$H$20</f>
        <v>6479.1361906419161</v>
      </c>
      <c r="R144" s="1183">
        <f>R143*Transit!$H$20</f>
        <v>3743.8934289538743</v>
      </c>
      <c r="S144" s="1183">
        <f>S143*Transit!$H$20</f>
        <v>2635.1504663592186</v>
      </c>
      <c r="T144" s="1183">
        <f>T143*Transit!$H$20</f>
        <v>2661.8488466051135</v>
      </c>
      <c r="U144" s="1183">
        <f>U143*Transit!$H$20</f>
        <v>4257.4087382318212</v>
      </c>
      <c r="V144" s="1183">
        <f>V143*Transit!$H$20</f>
        <v>3543.9025153382754</v>
      </c>
      <c r="W144" s="1183">
        <f>W143*Transit!$H$20</f>
        <v>7755.5308427567279</v>
      </c>
      <c r="X144" s="1183">
        <f>X143*Transit!$H$20</f>
        <v>12222.280253808876</v>
      </c>
      <c r="Y144" s="1183">
        <f>Y143*Transit!$H$20</f>
        <v>31909.261062113717</v>
      </c>
      <c r="Z144" s="1183">
        <f>Z143*Transit!$H$20</f>
        <v>34213.049477238259</v>
      </c>
      <c r="AA144" s="1183">
        <f>AA143*Transit!$H$20</f>
        <v>26910.069252849789</v>
      </c>
      <c r="AB144" s="1183">
        <f>AB143*Transit!$H$20</f>
        <v>26972.626937430305</v>
      </c>
      <c r="AC144" s="1183">
        <f>AC143*Transit!$H$20</f>
        <v>32106.03693683138</v>
      </c>
      <c r="AD144" s="1183">
        <f>AD143*Transit!$H$20</f>
        <v>48806.420918282274</v>
      </c>
      <c r="AE144" s="1183">
        <f>AE143*Transit!$H$20</f>
        <v>63150.457377323699</v>
      </c>
      <c r="AF144" s="1183">
        <f>AF143*Transit!$H$20</f>
        <v>83211.815907901429</v>
      </c>
      <c r="AG144" s="1183">
        <f>AG143*Transit!$H$20</f>
        <v>115434.30116626233</v>
      </c>
      <c r="AH144" s="1183">
        <f>AH143*Transit!$H$20</f>
        <v>95172.14796234449</v>
      </c>
      <c r="AI144" s="1183">
        <f>AI143*Transit!$H$20</f>
        <v>62785.085637505923</v>
      </c>
      <c r="AJ144" s="1183">
        <f>AJ143*Transit!$H$20</f>
        <v>47729.673403033441</v>
      </c>
      <c r="AK144" s="1183">
        <f>AK143*Transit!$H$20</f>
        <v>37808.566924281506</v>
      </c>
      <c r="AL144" s="1183">
        <f>AL143*Transit!$H$20</f>
        <v>33430.497388855685</v>
      </c>
      <c r="AM144" s="1183">
        <f>AM143*Transit!$H$20</f>
        <v>22946.158704132868</v>
      </c>
      <c r="AN144" s="1183">
        <f>SUM(P144:AM144)</f>
        <v>819991.34223922924</v>
      </c>
    </row>
    <row r="145" spans="2:40" ht="14.1" customHeight="1">
      <c r="B145" s="312" t="s">
        <v>5069</v>
      </c>
      <c r="O145" s="21">
        <f>ROW()</f>
        <v>145</v>
      </c>
      <c r="P145" s="1183">
        <f>P143-P144</f>
        <v>15167.32746112711</v>
      </c>
      <c r="Q145" s="1183">
        <f t="shared" ref="Q145:AM145" si="24">Q143-Q144</f>
        <v>6966.6119168357554</v>
      </c>
      <c r="R145" s="1183">
        <f t="shared" si="24"/>
        <v>4025.5756029923882</v>
      </c>
      <c r="S145" s="1183">
        <f t="shared" si="24"/>
        <v>2833.4132979190572</v>
      </c>
      <c r="T145" s="1183">
        <f t="shared" si="24"/>
        <v>2862.1204046241005</v>
      </c>
      <c r="U145" s="1183">
        <f t="shared" si="24"/>
        <v>4577.7266564399797</v>
      </c>
      <c r="V145" s="1183">
        <f t="shared" si="24"/>
        <v>3810.5378200135947</v>
      </c>
      <c r="W145" s="1183">
        <f t="shared" si="24"/>
        <v>8339.0396498492664</v>
      </c>
      <c r="X145" s="1183">
        <f t="shared" si="24"/>
        <v>13141.857303458732</v>
      </c>
      <c r="Y145" s="1183">
        <f t="shared" si="24"/>
        <v>34310.042547619363</v>
      </c>
      <c r="Z145" s="1183">
        <f t="shared" si="24"/>
        <v>36787.162854158967</v>
      </c>
      <c r="AA145" s="1183">
        <f t="shared" si="24"/>
        <v>28934.722719758902</v>
      </c>
      <c r="AB145" s="1183">
        <f t="shared" si="24"/>
        <v>29001.987104711592</v>
      </c>
      <c r="AC145" s="1183">
        <f t="shared" si="24"/>
        <v>34521.623399359101</v>
      </c>
      <c r="AD145" s="1183">
        <f t="shared" si="24"/>
        <v>52478.506946420639</v>
      </c>
      <c r="AE145" s="1183">
        <f t="shared" si="24"/>
        <v>67901.756649894465</v>
      </c>
      <c r="AF145" s="1183">
        <f t="shared" si="24"/>
        <v>89472.486959422167</v>
      </c>
      <c r="AG145" s="1183">
        <f t="shared" si="24"/>
        <v>124119.31999176211</v>
      </c>
      <c r="AH145" s="1183">
        <f t="shared" si="24"/>
        <v>102332.68766644583</v>
      </c>
      <c r="AI145" s="1183">
        <f t="shared" si="24"/>
        <v>67508.895156974177</v>
      </c>
      <c r="AJ145" s="1183">
        <f t="shared" si="24"/>
        <v>51320.747354642001</v>
      </c>
      <c r="AK145" s="1183">
        <f t="shared" si="24"/>
        <v>40653.198997980275</v>
      </c>
      <c r="AL145" s="1183">
        <f t="shared" si="24"/>
        <v>35945.733295640821</v>
      </c>
      <c r="AM145" s="1183">
        <f t="shared" si="24"/>
        <v>24672.57640064806</v>
      </c>
      <c r="AN145" s="1183">
        <f>SUM(P145:AM145)</f>
        <v>881685.6581586987</v>
      </c>
    </row>
    <row r="146" spans="2:40" ht="14.1" customHeight="1">
      <c r="B146" s="265" t="str">
        <f>CONCATENATE("Rows ",O144," and ",O145," apply, to Row ",O143,", subway ride shares of pay-per and unlimiteds from 'Transit' tab, Row ",Transit!$O$20,".")</f>
        <v>Rows 144 and 145 apply, to Row 143, subway ride shares of pay-per and unlimiteds from 'Transit' tab, Row 20.</v>
      </c>
      <c r="O146" s="21">
        <f>ROW()</f>
        <v>146</v>
      </c>
      <c r="P146" s="1183"/>
      <c r="Q146" s="1183"/>
      <c r="R146" s="1183"/>
      <c r="S146" s="1183"/>
      <c r="T146" s="1183"/>
      <c r="U146" s="1183"/>
      <c r="V146" s="1183"/>
      <c r="W146" s="1183"/>
      <c r="X146" s="1183"/>
      <c r="Y146" s="1183"/>
      <c r="Z146" s="1183"/>
      <c r="AA146" s="1183"/>
      <c r="AB146" s="1183"/>
      <c r="AC146" s="1183"/>
      <c r="AD146" s="1183"/>
      <c r="AE146" s="1183"/>
      <c r="AF146" s="1183"/>
      <c r="AG146" s="1183"/>
      <c r="AH146" s="1183"/>
      <c r="AI146" s="1183"/>
      <c r="AJ146" s="1183"/>
      <c r="AK146" s="1183"/>
      <c r="AL146" s="1183"/>
      <c r="AM146" s="1183"/>
      <c r="AN146" s="1184"/>
    </row>
    <row r="147" spans="2:40" ht="14.1" customHeight="1">
      <c r="B147" s="1" t="s">
        <v>5096</v>
      </c>
      <c r="L147" s="265" t="str">
        <f>CONCATENATE("Sum of Rows ",O140," and ",O144,".")</f>
        <v>Sum of Rows 140 and 144.</v>
      </c>
      <c r="O147" s="21">
        <f>ROW()</f>
        <v>147</v>
      </c>
      <c r="P147" s="1183">
        <f>P140+P144</f>
        <v>18560.5551317715</v>
      </c>
      <c r="Q147" s="1183">
        <f t="shared" ref="Q147:AM147" si="25">Q140+Q144</f>
        <v>8525.1791982130471</v>
      </c>
      <c r="R147" s="1183">
        <f t="shared" si="25"/>
        <v>4926.1755644129926</v>
      </c>
      <c r="S147" s="1183">
        <f t="shared" si="25"/>
        <v>3467.3032452094981</v>
      </c>
      <c r="T147" s="1183">
        <f t="shared" si="25"/>
        <v>5323.697693210227</v>
      </c>
      <c r="U147" s="1183">
        <f t="shared" si="25"/>
        <v>21287.04369115911</v>
      </c>
      <c r="V147" s="1183">
        <f t="shared" si="25"/>
        <v>70878.05030676545</v>
      </c>
      <c r="W147" s="1183">
        <f t="shared" si="25"/>
        <v>155110.61685513443</v>
      </c>
      <c r="X147" s="1183">
        <f t="shared" si="25"/>
        <v>244445.60507617734</v>
      </c>
      <c r="Y147" s="1183">
        <f t="shared" si="25"/>
        <v>159546.30531056863</v>
      </c>
      <c r="Z147" s="1183">
        <f t="shared" si="25"/>
        <v>85532.623693095637</v>
      </c>
      <c r="AA147" s="1183">
        <f t="shared" si="25"/>
        <v>67275.173132124473</v>
      </c>
      <c r="AB147" s="1183">
        <f t="shared" si="25"/>
        <v>67431.567343575764</v>
      </c>
      <c r="AC147" s="1183">
        <f t="shared" si="25"/>
        <v>71346.74874851419</v>
      </c>
      <c r="AD147" s="1183">
        <f t="shared" si="25"/>
        <v>88738.947124149592</v>
      </c>
      <c r="AE147" s="1183">
        <f t="shared" si="25"/>
        <v>114819.01341331581</v>
      </c>
      <c r="AF147" s="1183">
        <f t="shared" si="25"/>
        <v>151294.21074163893</v>
      </c>
      <c r="AG147" s="1183">
        <f t="shared" si="25"/>
        <v>209880.54757502238</v>
      </c>
      <c r="AH147" s="1183">
        <f t="shared" si="25"/>
        <v>173040.26902244453</v>
      </c>
      <c r="AI147" s="1183">
        <f t="shared" si="25"/>
        <v>114154.70115910166</v>
      </c>
      <c r="AJ147" s="1183">
        <f t="shared" si="25"/>
        <v>79549.455671722404</v>
      </c>
      <c r="AK147" s="1183">
        <f t="shared" si="25"/>
        <v>58167.026037356161</v>
      </c>
      <c r="AL147" s="1183">
        <f t="shared" si="25"/>
        <v>47757.853412650977</v>
      </c>
      <c r="AM147" s="1183">
        <f t="shared" si="25"/>
        <v>30192.314084385351</v>
      </c>
      <c r="AN147" s="1183">
        <f>SUM(P147:AM147)</f>
        <v>2051250.9832317198</v>
      </c>
    </row>
    <row r="148" spans="2:40" ht="14.1" customHeight="1">
      <c r="B148" s="1" t="s">
        <v>5097</v>
      </c>
      <c r="L148" s="265" t="str">
        <f>CONCATENATE("Sum of Rows ",O141," and ",O145,".")</f>
        <v>Sum of Rows 141 and 145.</v>
      </c>
      <c r="O148" s="21">
        <f>ROW()</f>
        <v>148</v>
      </c>
      <c r="P148" s="1183">
        <f>P141+P145</f>
        <v>19957.009817272512</v>
      </c>
      <c r="Q148" s="1183">
        <f t="shared" ref="Q148:AM148" si="26">Q141+Q145</f>
        <v>9166.5946274154667</v>
      </c>
      <c r="R148" s="1183">
        <f t="shared" si="26"/>
        <v>5296.810003937353</v>
      </c>
      <c r="S148" s="1183">
        <f t="shared" si="26"/>
        <v>3728.1753919987596</v>
      </c>
      <c r="T148" s="1183">
        <f t="shared" si="26"/>
        <v>5724.240809248201</v>
      </c>
      <c r="U148" s="1183">
        <f t="shared" si="26"/>
        <v>22888.633282199902</v>
      </c>
      <c r="V148" s="1183">
        <f t="shared" si="26"/>
        <v>76210.756400271828</v>
      </c>
      <c r="W148" s="1183">
        <f t="shared" si="26"/>
        <v>166780.79299698517</v>
      </c>
      <c r="X148" s="1183">
        <f t="shared" si="26"/>
        <v>262837.1460691744</v>
      </c>
      <c r="Y148" s="1183">
        <f t="shared" si="26"/>
        <v>171550.21273809683</v>
      </c>
      <c r="Z148" s="1183">
        <f t="shared" si="26"/>
        <v>91967.907135397429</v>
      </c>
      <c r="AA148" s="1183">
        <f t="shared" si="26"/>
        <v>72336.806799397251</v>
      </c>
      <c r="AB148" s="1183">
        <f t="shared" si="26"/>
        <v>72504.967761778971</v>
      </c>
      <c r="AC148" s="1183">
        <f t="shared" si="26"/>
        <v>76714.718665242457</v>
      </c>
      <c r="AD148" s="1183">
        <f t="shared" si="26"/>
        <v>95415.467175310245</v>
      </c>
      <c r="AE148" s="1183">
        <f t="shared" si="26"/>
        <v>123457.73936344447</v>
      </c>
      <c r="AF148" s="1183">
        <f t="shared" si="26"/>
        <v>162677.24901713119</v>
      </c>
      <c r="AG148" s="1183">
        <f t="shared" si="26"/>
        <v>225671.49089411291</v>
      </c>
      <c r="AH148" s="1183">
        <f t="shared" si="26"/>
        <v>186059.43212081058</v>
      </c>
      <c r="AI148" s="1183">
        <f t="shared" si="26"/>
        <v>122743.44573995304</v>
      </c>
      <c r="AJ148" s="1183">
        <f t="shared" si="26"/>
        <v>85534.578924403337</v>
      </c>
      <c r="AK148" s="1183">
        <f t="shared" si="26"/>
        <v>62543.383073815799</v>
      </c>
      <c r="AL148" s="1183">
        <f t="shared" si="26"/>
        <v>51351.047565201174</v>
      </c>
      <c r="AM148" s="1183">
        <f t="shared" si="26"/>
        <v>32463.916316642186</v>
      </c>
      <c r="AN148" s="1183">
        <f>SUM(P148:AM148)</f>
        <v>2205582.5226892415</v>
      </c>
    </row>
    <row r="149" spans="2:40" ht="14.1" customHeight="1">
      <c r="O149" s="21">
        <f>ROW()</f>
        <v>149</v>
      </c>
    </row>
    <row r="150" spans="2:40" ht="14.1" customHeight="1">
      <c r="B150" s="1" t="s">
        <v>4435</v>
      </c>
      <c r="O150" s="21">
        <f>ROW()</f>
        <v>150</v>
      </c>
      <c r="P150" s="456">
        <f t="shared" ref="P150:AM150" si="27">$J$44</f>
        <v>1.5622342142277872</v>
      </c>
      <c r="Q150" s="456">
        <f t="shared" si="27"/>
        <v>1.5622342142277872</v>
      </c>
      <c r="R150" s="456">
        <f t="shared" si="27"/>
        <v>1.5622342142277872</v>
      </c>
      <c r="S150" s="456">
        <f t="shared" si="27"/>
        <v>1.5622342142277872</v>
      </c>
      <c r="T150" s="456">
        <f t="shared" si="27"/>
        <v>1.5622342142277872</v>
      </c>
      <c r="U150" s="456">
        <f t="shared" si="27"/>
        <v>1.5622342142277872</v>
      </c>
      <c r="V150" s="456">
        <f t="shared" si="27"/>
        <v>1.5622342142277872</v>
      </c>
      <c r="W150" s="456">
        <f t="shared" si="27"/>
        <v>1.5622342142277872</v>
      </c>
      <c r="X150" s="456">
        <f t="shared" si="27"/>
        <v>1.5622342142277872</v>
      </c>
      <c r="Y150" s="456">
        <f t="shared" si="27"/>
        <v>1.5622342142277872</v>
      </c>
      <c r="Z150" s="456">
        <f t="shared" si="27"/>
        <v>1.5622342142277872</v>
      </c>
      <c r="AA150" s="456">
        <f t="shared" si="27"/>
        <v>1.5622342142277872</v>
      </c>
      <c r="AB150" s="456">
        <f t="shared" si="27"/>
        <v>1.5622342142277872</v>
      </c>
      <c r="AC150" s="456">
        <f t="shared" si="27"/>
        <v>1.5622342142277872</v>
      </c>
      <c r="AD150" s="456">
        <f t="shared" si="27"/>
        <v>1.5622342142277872</v>
      </c>
      <c r="AE150" s="456">
        <f t="shared" si="27"/>
        <v>1.5622342142277872</v>
      </c>
      <c r="AF150" s="456">
        <f t="shared" si="27"/>
        <v>1.5622342142277872</v>
      </c>
      <c r="AG150" s="456">
        <f t="shared" si="27"/>
        <v>1.5622342142277872</v>
      </c>
      <c r="AH150" s="456">
        <f t="shared" si="27"/>
        <v>1.5622342142277872</v>
      </c>
      <c r="AI150" s="456">
        <f t="shared" si="27"/>
        <v>1.5622342142277872</v>
      </c>
      <c r="AJ150" s="456">
        <f t="shared" si="27"/>
        <v>1.5622342142277872</v>
      </c>
      <c r="AK150" s="456">
        <f t="shared" si="27"/>
        <v>1.5622342142277872</v>
      </c>
      <c r="AL150" s="456">
        <f t="shared" si="27"/>
        <v>1.5622342142277872</v>
      </c>
      <c r="AM150" s="456">
        <f t="shared" si="27"/>
        <v>1.5622342142277872</v>
      </c>
    </row>
    <row r="151" spans="2:40" ht="14.1" customHeight="1">
      <c r="B151" s="265" t="str">
        <f>CONCATENATE("Average of work and non-work fares in Row ",O42, " wghtd by work/non-work %'s drawn from Row ",O137, ".")</f>
        <v>Average of work and non-work fares in Row 42 wghtd by work/non-work %'s drawn from Row 137.</v>
      </c>
      <c r="O151" s="21">
        <f>ROW()</f>
        <v>151</v>
      </c>
    </row>
    <row r="152" spans="2:40" ht="14.1" customHeight="1">
      <c r="B152" s="265"/>
      <c r="O152" s="21">
        <f>ROW()</f>
        <v>152</v>
      </c>
    </row>
    <row r="153" spans="2:40" ht="14.1" customHeight="1">
      <c r="B153" s="24" t="s">
        <v>5072</v>
      </c>
      <c r="O153" s="21">
        <f>ROW()</f>
        <v>153</v>
      </c>
    </row>
    <row r="154" spans="2:40" ht="14.1" customHeight="1">
      <c r="B154" s="265"/>
      <c r="O154" s="21">
        <f>ROW()</f>
        <v>154</v>
      </c>
    </row>
    <row r="155" spans="2:40" ht="14.1" customHeight="1">
      <c r="B155" s="1" t="s">
        <v>5052</v>
      </c>
      <c r="O155" s="21">
        <f>ROW()</f>
        <v>155</v>
      </c>
      <c r="P155" s="456">
        <f>Transit!$H$40*(Transit!$H$51*(1/(1+Transit!$H$42))+1-Transit!$H$51)</f>
        <v>2.1361021457389535</v>
      </c>
      <c r="Q155" s="456">
        <f>Transit!$H$40*(Transit!$H$51*(1/(1+Transit!$H$42))+1-Transit!$H$51)</f>
        <v>2.1361021457389535</v>
      </c>
      <c r="R155" s="456">
        <f>Transit!$H$40*(Transit!$H$51*(1/(1+Transit!$H$42))+1-Transit!$H$51)</f>
        <v>2.1361021457389535</v>
      </c>
      <c r="S155" s="456">
        <f>Transit!$H$40*(Transit!$H$51*(1/(1+Transit!$H$42))+1-Transit!$H$51)</f>
        <v>2.1361021457389535</v>
      </c>
      <c r="T155" s="456">
        <f>Transit!$H$40*(Transit!$H$51*(1/(1+Transit!$H$42))+1-Transit!$H$51)</f>
        <v>2.1361021457389535</v>
      </c>
      <c r="U155" s="456">
        <f>Transit!$H$40*(Transit!$H$51*(1/(1+Transit!$H$42))+1-Transit!$H$51)</f>
        <v>2.1361021457389535</v>
      </c>
      <c r="V155" s="456">
        <f>Transit!$H$40*(Transit!$H$51*(1/(1+Transit!$H$42))+1-Transit!$H$51)</f>
        <v>2.1361021457389535</v>
      </c>
      <c r="W155" s="456">
        <f>Transit!$H$40*(Transit!$H$51*(1/(1+Transit!$H$42))+1-Transit!$H$51)</f>
        <v>2.1361021457389535</v>
      </c>
      <c r="X155" s="456">
        <f>Transit!$H$40*(Transit!$H$51*(1/(1+Transit!$H$42))+1-Transit!$H$51)</f>
        <v>2.1361021457389535</v>
      </c>
      <c r="Y155" s="456">
        <f>Transit!$H$40*(Transit!$H$51*(1/(1+Transit!$H$42))+1-Transit!$H$51)</f>
        <v>2.1361021457389535</v>
      </c>
      <c r="Z155" s="456">
        <f>Transit!$H$40*(Transit!$H$51*(1/(1+Transit!$H$42))+1-Transit!$H$51)</f>
        <v>2.1361021457389535</v>
      </c>
      <c r="AA155" s="456">
        <f>Transit!$H$40*(Transit!$H$51*(1/(1+Transit!$H$42))+1-Transit!$H$51)</f>
        <v>2.1361021457389535</v>
      </c>
      <c r="AB155" s="456">
        <f>Transit!$H$40*(Transit!$H$51*(1/(1+Transit!$H$42))+1-Transit!$H$51)</f>
        <v>2.1361021457389535</v>
      </c>
      <c r="AC155" s="456">
        <f>Transit!$H$40*(Transit!$H$51*(1/(1+Transit!$H$42))+1-Transit!$H$51)</f>
        <v>2.1361021457389535</v>
      </c>
      <c r="AD155" s="456">
        <f>Transit!$H$40*(Transit!$H$51*(1/(1+Transit!$H$42))+1-Transit!$H$51)</f>
        <v>2.1361021457389535</v>
      </c>
      <c r="AE155" s="456">
        <f>Transit!$H$40*(Transit!$H$51*(1/(1+Transit!$H$42))+1-Transit!$H$51)</f>
        <v>2.1361021457389535</v>
      </c>
      <c r="AF155" s="456">
        <f>Transit!$H$40*(Transit!$H$51*(1/(1+Transit!$H$42))+1-Transit!$H$51)</f>
        <v>2.1361021457389535</v>
      </c>
      <c r="AG155" s="456">
        <f>Transit!$H$40*(Transit!$H$51*(1/(1+Transit!$H$42))+1-Transit!$H$51)</f>
        <v>2.1361021457389535</v>
      </c>
      <c r="AH155" s="456">
        <f>Transit!$H$40*(Transit!$H$51*(1/(1+Transit!$H$42))+1-Transit!$H$51)</f>
        <v>2.1361021457389535</v>
      </c>
      <c r="AI155" s="456">
        <f>Transit!$H$40*(Transit!$H$51*(1/(1+Transit!$H$42))+1-Transit!$H$51)</f>
        <v>2.1361021457389535</v>
      </c>
      <c r="AJ155" s="456">
        <f>Transit!$H$40*(Transit!$H$51*(1/(1+Transit!$H$42))+1-Transit!$H$51)</f>
        <v>2.1361021457389535</v>
      </c>
      <c r="AK155" s="456">
        <f>Transit!$H$40*(Transit!$H$51*(1/(1+Transit!$H$42))+1-Transit!$H$51)</f>
        <v>2.1361021457389535</v>
      </c>
      <c r="AL155" s="456">
        <f>Transit!$H$40*(Transit!$H$51*(1/(1+Transit!$H$42))+1-Transit!$H$51)</f>
        <v>2.1361021457389535</v>
      </c>
      <c r="AM155" s="456">
        <f>Transit!$H$40*(Transit!$H$51*(1/(1+Transit!$H$42))+1-Transit!$H$51)</f>
        <v>2.1361021457389535</v>
      </c>
    </row>
    <row r="156" spans="2:40" ht="14.1" customHeight="1">
      <c r="B156" s="3754" t="str">
        <f>CONCATENATE("Average of nominal and discounted fares, wghtd by share of pay-per-riders who do or do not use discounted media, as est'd in Row ",Transit!O51, " of 'Transit' worksheet. The former share enjoys the fare discount for qualifying pay-per-ride Metrocards shown in Row ",Transit!O42, " of 'Transit' sheet. Both shares pivot off nominal per-ride fare shown in Row ",Transit!O40, " of that sheet.")</f>
        <v>Average of nominal and discounted fares, wghtd by share of pay-per-riders who do or do not use discounted media, as est'd in Row 51 of 'Transit' worksheet. The former share enjoys the fare discount for qualifying pay-per-ride Metrocards shown in Row 42 of 'Transit' sheet. Both shares pivot off nominal per-ride fare shown in Row 40 of that sheet.</v>
      </c>
      <c r="C156" s="3659"/>
      <c r="D156" s="3659"/>
      <c r="E156" s="3659"/>
      <c r="F156" s="3659"/>
      <c r="G156" s="3659"/>
      <c r="H156" s="3659"/>
      <c r="I156" s="3659"/>
      <c r="J156" s="3659"/>
      <c r="K156" s="3659"/>
      <c r="L156" s="3659"/>
      <c r="M156" s="3659"/>
      <c r="N156" s="3659"/>
      <c r="O156" s="21">
        <f>ROW()</f>
        <v>156</v>
      </c>
    </row>
    <row r="157" spans="2:40" ht="14.1" customHeight="1">
      <c r="B157" s="3659"/>
      <c r="C157" s="3659"/>
      <c r="D157" s="3659"/>
      <c r="E157" s="3659"/>
      <c r="F157" s="3659"/>
      <c r="G157" s="3659"/>
      <c r="H157" s="3659"/>
      <c r="I157" s="3659"/>
      <c r="J157" s="3659"/>
      <c r="K157" s="3659"/>
      <c r="L157" s="3659"/>
      <c r="M157" s="3659"/>
      <c r="N157" s="3659"/>
      <c r="O157" s="21">
        <f>ROW()</f>
        <v>157</v>
      </c>
    </row>
    <row r="158" spans="2:40" ht="14.1" customHeight="1">
      <c r="B158" s="3659"/>
      <c r="C158" s="3659"/>
      <c r="D158" s="3659"/>
      <c r="E158" s="3659"/>
      <c r="F158" s="3659"/>
      <c r="G158" s="3659"/>
      <c r="H158" s="3659"/>
      <c r="I158" s="3659"/>
      <c r="J158" s="3659"/>
      <c r="K158" s="3659"/>
      <c r="L158" s="3659"/>
      <c r="M158" s="3659"/>
      <c r="N158" s="3659"/>
      <c r="O158" s="21">
        <f>ROW()</f>
        <v>158</v>
      </c>
    </row>
    <row r="159" spans="2:40" ht="14.1" customHeight="1">
      <c r="B159" s="1" t="s">
        <v>4434</v>
      </c>
      <c r="E159" s="265"/>
      <c r="F159" s="265" t="str">
        <f>CONCATENATE("Shown in entries in Column N, Rows ",O74," to ",O97, " or calc'd via 'override' in Row ",O73,".")</f>
        <v>Shown in entries in Column N, Rows 74 to 97 or calc'd via 'override' in Row 73.</v>
      </c>
      <c r="G159" s="265"/>
      <c r="O159" s="21">
        <f>ROW()</f>
        <v>159</v>
      </c>
      <c r="P159" s="456">
        <f>IF($Z$73&lt;&gt;"NONE",$Z73*'User Inputs'!$J$119,IF('User Inputs'!$J$127="YES",'User Inputs'!$J$119,$N74))</f>
        <v>2.25</v>
      </c>
      <c r="Q159" s="456">
        <f>IF($Z$73&lt;&gt;"NONE",$Z73*'User Inputs'!$J$119,IF('User Inputs'!$J$127="YES",'User Inputs'!$J$119,$N75))</f>
        <v>2.25</v>
      </c>
      <c r="R159" s="456">
        <f>IF($Z$73&lt;&gt;"NONE",$Z73*'User Inputs'!$J$119,IF('User Inputs'!$J$127="YES",'User Inputs'!$J$119,$N76))</f>
        <v>2.25</v>
      </c>
      <c r="S159" s="456">
        <f>IF($Z$73&lt;&gt;"NONE",$Z73*'User Inputs'!$J$119,IF('User Inputs'!$J$127="YES",'User Inputs'!$J$119,$N77))</f>
        <v>2.25</v>
      </c>
      <c r="T159" s="456">
        <f>IF($Z$73&lt;&gt;"NONE",$Z73*'User Inputs'!$J$119,IF('User Inputs'!$J$127="YES",'User Inputs'!$J$119,$N78))</f>
        <v>2.25</v>
      </c>
      <c r="U159" s="456">
        <f>IF($Z$73&lt;&gt;"NONE",$Z73*'User Inputs'!$J$120,IF('User Inputs'!$J$127="YES",'User Inputs'!$J$120,$N79))</f>
        <v>2.25</v>
      </c>
      <c r="V159" s="456">
        <f>IF($Z$73&lt;&gt;"NONE",$Z73*'User Inputs'!$J$121,IF('User Inputs'!$J$127="YES",'User Inputs'!$J$121,$N80))</f>
        <v>2.25</v>
      </c>
      <c r="W159" s="456">
        <f>IF($Z$73&lt;&gt;"NONE",$Z73*'User Inputs'!$J$122,IF('User Inputs'!$J$127="YES",'User Inputs'!$J$122,$N81))</f>
        <v>2.25</v>
      </c>
      <c r="X159" s="456">
        <f>IF($Z$73&lt;&gt;"NONE",$Z73*'User Inputs'!$J$124,IF('User Inputs'!$J$127="YES",'User Inputs'!$J$124,$N82))</f>
        <v>2.25</v>
      </c>
      <c r="Y159" s="456">
        <f>IF($Z$73&lt;&gt;"NONE",$Z73*'User Inputs'!$J$123,IF('User Inputs'!$J$127="YES",'User Inputs'!$J$123,$N83))</f>
        <v>2.25</v>
      </c>
      <c r="Z159" s="456">
        <f>IF($Z$73&lt;&gt;"NONE",$Z73*'User Inputs'!$J$121,IF('User Inputs'!$J$127="YES",'User Inputs'!$J$121,$N84))</f>
        <v>2.25</v>
      </c>
      <c r="AA159" s="456">
        <f>IF($Z$73&lt;&gt;"NONE",$Z73*'User Inputs'!$J$121,IF('User Inputs'!$J$127="YES",'User Inputs'!$J$121,$N85))</f>
        <v>2.25</v>
      </c>
      <c r="AB159" s="456">
        <f>IF($Z$73&lt;&gt;"NONE",$Z73*'User Inputs'!$J$121,IF('User Inputs'!$J$127="YES",'User Inputs'!$J$121,$N86))</f>
        <v>2.25</v>
      </c>
      <c r="AC159" s="456">
        <f>IF($Z$73&lt;&gt;"NONE",$Z73*'User Inputs'!$J$121,IF('User Inputs'!$J$127="YES",'User Inputs'!$J$121,$N87))</f>
        <v>2.25</v>
      </c>
      <c r="AD159" s="456">
        <f>IF($Z$73&lt;&gt;"NONE",$Z73*'User Inputs'!$J$121,IF('User Inputs'!$J$127="YES",'User Inputs'!$J$121,$N88))</f>
        <v>2.25</v>
      </c>
      <c r="AE159" s="456">
        <f>IF($Z$73&lt;&gt;"NONE",$Z73*'User Inputs'!$J$121,IF('User Inputs'!$J$127="YES",'User Inputs'!$J$121,$N89))</f>
        <v>2.25</v>
      </c>
      <c r="AF159" s="456">
        <f>IF($Z$73&lt;&gt;"NONE",$Z73*'User Inputs'!$J$122,IF('User Inputs'!$J$127="YES",'User Inputs'!$J$122,$N90))</f>
        <v>2.25</v>
      </c>
      <c r="AG159" s="456">
        <f>IF($Z$73&lt;&gt;"NONE",$Z73*'User Inputs'!$J$124,IF('User Inputs'!$J$127="YES",'User Inputs'!$J$124,$N91))</f>
        <v>2.25</v>
      </c>
      <c r="AH159" s="456">
        <f>IF($Z$73&lt;&gt;"NONE",$Z73*'User Inputs'!$J$123,IF('User Inputs'!$J$127="YES",'User Inputs'!$J$123,$N92))</f>
        <v>2.25</v>
      </c>
      <c r="AI159" s="456">
        <f>IF($Z$73&lt;&gt;"NONE",$Z73*'User Inputs'!$J$121,IF('User Inputs'!$J$127="YES",'User Inputs'!$J$121,$N93))</f>
        <v>2.25</v>
      </c>
      <c r="AJ159" s="456">
        <f>IF($Z$73&lt;&gt;"NONE",$Z73*'User Inputs'!$J$120,IF('User Inputs'!$J$127="YES",'User Inputs'!$J$120,$N94))</f>
        <v>2.25</v>
      </c>
      <c r="AK159" s="456">
        <f>IF($Z$73&lt;&gt;"NONE",$Z73*'User Inputs'!$J$120,IF('User Inputs'!$J$127="YES",'User Inputs'!$J$120,$N95))</f>
        <v>2.25</v>
      </c>
      <c r="AL159" s="456">
        <f>IF($Z$73&lt;&gt;"NONE",$Z73*'User Inputs'!$J$120,IF('User Inputs'!$J$127="YES",'User Inputs'!$J$120,$N96))</f>
        <v>2.25</v>
      </c>
      <c r="AM159" s="456">
        <f>IF($Z$73&lt;&gt;"NONE",$Z73*'User Inputs'!$J$119,IF('User Inputs'!$J$127="YES",'User Inputs'!$J$119,$N97))</f>
        <v>2.25</v>
      </c>
    </row>
    <row r="160" spans="2:40" ht="14.1" customHeight="1">
      <c r="B160" s="3754" t="str">
        <f>CONCATENATE("Override is in effect if boxed cell in Row ",O73," Col. Z, has a number in it. If it does, then new fare = product of override factor and baseline fare for that hour. If no override, then 'If' statement causes new fare to be either baseline fare or fare indicated by value for that hour given in Col. N.")</f>
        <v>Override is in effect if boxed cell in Row 73 Col. Z, has a number in it. If it does, then new fare = product of override factor and baseline fare for that hour. If no override, then 'If' statement causes new fare to be either baseline fare or fare indicated by value for that hour given in Col. N.</v>
      </c>
      <c r="C160" s="3659"/>
      <c r="D160" s="3659"/>
      <c r="E160" s="3659"/>
      <c r="F160" s="3659"/>
      <c r="G160" s="3659"/>
      <c r="H160" s="3659"/>
      <c r="I160" s="3659"/>
      <c r="J160" s="3659"/>
      <c r="K160" s="3659"/>
      <c r="L160" s="3659"/>
      <c r="M160" s="3659"/>
      <c r="N160" s="3659"/>
      <c r="O160" s="21">
        <f>ROW()</f>
        <v>160</v>
      </c>
    </row>
    <row r="161" spans="2:40" ht="14.1" customHeight="1">
      <c r="B161" s="3659"/>
      <c r="C161" s="3659"/>
      <c r="D161" s="3659"/>
      <c r="E161" s="3659"/>
      <c r="F161" s="3659"/>
      <c r="G161" s="3659"/>
      <c r="H161" s="3659"/>
      <c r="I161" s="3659"/>
      <c r="J161" s="3659"/>
      <c r="K161" s="3659"/>
      <c r="L161" s="3659"/>
      <c r="M161" s="3659"/>
      <c r="N161" s="3659"/>
      <c r="O161" s="21">
        <f>ROW()</f>
        <v>161</v>
      </c>
    </row>
    <row r="162" spans="2:40" ht="14.1" customHeight="1">
      <c r="B162" s="3659"/>
      <c r="C162" s="3659"/>
      <c r="D162" s="3659"/>
      <c r="E162" s="3659"/>
      <c r="F162" s="3659"/>
      <c r="G162" s="3659"/>
      <c r="H162" s="3659"/>
      <c r="I162" s="3659"/>
      <c r="J162" s="3659"/>
      <c r="K162" s="3659"/>
      <c r="L162" s="3659"/>
      <c r="M162" s="3659"/>
      <c r="N162" s="3659"/>
      <c r="O162" s="21">
        <f>ROW()</f>
        <v>162</v>
      </c>
    </row>
    <row r="163" spans="2:40" ht="14.1" customHeight="1">
      <c r="B163" s="1" t="s">
        <v>5053</v>
      </c>
      <c r="C163" s="2460"/>
      <c r="D163" s="2460"/>
      <c r="E163" s="2460"/>
      <c r="F163" s="2460"/>
      <c r="G163" s="2460"/>
      <c r="H163" s="2460"/>
      <c r="I163" s="2460"/>
      <c r="J163" s="2460"/>
      <c r="K163" s="2460"/>
      <c r="L163" s="2460"/>
      <c r="M163" s="2460"/>
      <c r="N163" s="2460"/>
      <c r="O163" s="21">
        <f>ROW()</f>
        <v>163</v>
      </c>
      <c r="P163" s="456">
        <f>P159*(Transit!$H$51*(1/(1+'User Inputs'!$J$115))+1-Transit!$H$51)</f>
        <v>2.1361021457389535</v>
      </c>
      <c r="Q163" s="456">
        <f>Q159*(Transit!$H$51*(1/(1+'User Inputs'!$J$115))+1-Transit!$H$51)</f>
        <v>2.1361021457389535</v>
      </c>
      <c r="R163" s="456">
        <f>R159*(Transit!$H$51*(1/(1+'User Inputs'!$J$115))+1-Transit!$H$51)</f>
        <v>2.1361021457389535</v>
      </c>
      <c r="S163" s="456">
        <f>S159*(Transit!$H$51*(1/(1+'User Inputs'!$J$115))+1-Transit!$H$51)</f>
        <v>2.1361021457389535</v>
      </c>
      <c r="T163" s="456">
        <f>T159*(Transit!$H$51*(1/(1+'User Inputs'!$J$115))+1-Transit!$H$51)</f>
        <v>2.1361021457389535</v>
      </c>
      <c r="U163" s="456">
        <f>U159*(Transit!$H$51*(1/(1+'User Inputs'!$J$115))+1-Transit!$H$51)</f>
        <v>2.1361021457389535</v>
      </c>
      <c r="V163" s="456">
        <f>V159*(Transit!$H$51*(1/(1+'User Inputs'!$J$115))+1-Transit!$H$51)</f>
        <v>2.1361021457389535</v>
      </c>
      <c r="W163" s="456">
        <f>W159*(Transit!$H$51*(1/(1+'User Inputs'!$J$115))+1-Transit!$H$51)</f>
        <v>2.1361021457389535</v>
      </c>
      <c r="X163" s="456">
        <f>X159*(Transit!$H$51*(1/(1+'User Inputs'!$J$115))+1-Transit!$H$51)</f>
        <v>2.1361021457389535</v>
      </c>
      <c r="Y163" s="456">
        <f>Y159*(Transit!$H$51*(1/(1+'User Inputs'!$J$115))+1-Transit!$H$51)</f>
        <v>2.1361021457389535</v>
      </c>
      <c r="Z163" s="456">
        <f>Z159*(Transit!$H$51*(1/(1+'User Inputs'!$J$115))+1-Transit!$H$51)</f>
        <v>2.1361021457389535</v>
      </c>
      <c r="AA163" s="456">
        <f>AA159*(Transit!$H$51*(1/(1+'User Inputs'!$J$115))+1-Transit!$H$51)</f>
        <v>2.1361021457389535</v>
      </c>
      <c r="AB163" s="456">
        <f>AB159*(Transit!$H$51*(1/(1+'User Inputs'!$J$115))+1-Transit!$H$51)</f>
        <v>2.1361021457389535</v>
      </c>
      <c r="AC163" s="456">
        <f>AC159*(Transit!$H$51*(1/(1+'User Inputs'!$J$115))+1-Transit!$H$51)</f>
        <v>2.1361021457389535</v>
      </c>
      <c r="AD163" s="456">
        <f>AD159*(Transit!$H$51*(1/(1+'User Inputs'!$J$115))+1-Transit!$H$51)</f>
        <v>2.1361021457389535</v>
      </c>
      <c r="AE163" s="456">
        <f>AE159*(Transit!$H$51*(1/(1+'User Inputs'!$J$115))+1-Transit!$H$51)</f>
        <v>2.1361021457389535</v>
      </c>
      <c r="AF163" s="456">
        <f>AF159*(Transit!$H$51*(1/(1+'User Inputs'!$J$115))+1-Transit!$H$51)</f>
        <v>2.1361021457389535</v>
      </c>
      <c r="AG163" s="456">
        <f>AG159*(Transit!$H$51*(1/(1+'User Inputs'!$J$115))+1-Transit!$H$51)</f>
        <v>2.1361021457389535</v>
      </c>
      <c r="AH163" s="456">
        <f>AH159*(Transit!$H$51*(1/(1+'User Inputs'!$J$115))+1-Transit!$H$51)</f>
        <v>2.1361021457389535</v>
      </c>
      <c r="AI163" s="456">
        <f>AI159*(Transit!$H$51*(1/(1+'User Inputs'!$J$115))+1-Transit!$H$51)</f>
        <v>2.1361021457389535</v>
      </c>
      <c r="AJ163" s="456">
        <f>AJ159*(Transit!$H$51*(1/(1+'User Inputs'!$J$115))+1-Transit!$H$51)</f>
        <v>2.1361021457389535</v>
      </c>
      <c r="AK163" s="456">
        <f>AK159*(Transit!$H$51*(1/(1+'User Inputs'!$J$115))+1-Transit!$H$51)</f>
        <v>2.1361021457389535</v>
      </c>
      <c r="AL163" s="456">
        <f>AL159*(Transit!$H$51*(1/(1+'User Inputs'!$J$115))+1-Transit!$H$51)</f>
        <v>2.1361021457389535</v>
      </c>
      <c r="AM163" s="456">
        <f>AM159*(Transit!$H$51*(1/(1+'User Inputs'!$J$115))+1-Transit!$H$51)</f>
        <v>2.1361021457389535</v>
      </c>
    </row>
    <row r="164" spans="2:40" ht="14.1" customHeight="1">
      <c r="B164" s="265" t="str">
        <f>CONCATENATE("Adjusts fare from Row ",O159, " w/ pay-per-ride discount inputted in 'User Inputs' Row ",'User Inputs'!N115, " and % of pay-per-rides recv'ing discount.")</f>
        <v>Adjusts fare from Row 159 w/ pay-per-ride discount inputted in 'User Inputs' Row 115 and % of pay-per-rides recv'ing discount.</v>
      </c>
      <c r="O164" s="21">
        <f>ROW()</f>
        <v>164</v>
      </c>
    </row>
    <row r="165" spans="2:40" ht="14.1" customHeight="1">
      <c r="B165" s="1" t="s">
        <v>5070</v>
      </c>
      <c r="O165" s="21">
        <f>ROW()</f>
        <v>165</v>
      </c>
      <c r="P165" s="2953">
        <f>IF(P159=0,Elasticities!$G$49*(P163-P155)/P155,MINA((P163/P155)^Elasticities!$G$49,Elasticities!$G$49*(P163-P155)/P155+1)-1)</f>
        <v>0</v>
      </c>
      <c r="Q165" s="2953">
        <f>IF(Q159=0,Elasticities!$G$49*(Q163-Q155)/Q155,MINA((Q163/Q155)^Elasticities!$G$49,Elasticities!$G$49*(Q163-Q155)/Q155+1)-1)</f>
        <v>0</v>
      </c>
      <c r="R165" s="2953">
        <f>IF(R159=0,Elasticities!$G$49*(R163-R155)/R155,MINA((R163/R155)^Elasticities!$G$49,Elasticities!$G$49*(R163-R155)/R155+1)-1)</f>
        <v>0</v>
      </c>
      <c r="S165" s="2953">
        <f>IF(S159=0,Elasticities!$G$49*(S163-S155)/S155,MINA((S163/S155)^Elasticities!$G$49,Elasticities!$G$49*(S163-S155)/S155+1)-1)</f>
        <v>0</v>
      </c>
      <c r="T165" s="2953">
        <f>IF(T159=0,Elasticities!$G$49*(T163-T155)/T155,MINA((T163/T155)^Elasticities!$G$49,Elasticities!$G$49*(T163-T155)/T155+1)-1)</f>
        <v>0</v>
      </c>
      <c r="U165" s="2953">
        <f>IF(U159=0,Elasticities!$G$49*(U163-U155)/U155,MINA((U163/U155)^Elasticities!$G$49,Elasticities!$G$49*(U163-U155)/U155+1)-1)</f>
        <v>0</v>
      </c>
      <c r="V165" s="2953">
        <f>IF(V159=0,Elasticities!$G$49*(V163-V155)/V155,MINA((V163/V155)^Elasticities!$G$49,Elasticities!$G$49*(V163-V155)/V155+1)-1)</f>
        <v>0</v>
      </c>
      <c r="W165" s="2953">
        <f>IF(W159=0,Elasticities!$G$49*(W163-W155)/W155,MINA((W163/W155)^Elasticities!$G$49,Elasticities!$G$49*(W163-W155)/W155+1)-1)</f>
        <v>0</v>
      </c>
      <c r="X165" s="2953">
        <f>IF(X159=0,Elasticities!$G$49*(X163-X155)/X155,MINA((X163/X155)^Elasticities!$G$49,Elasticities!$G$49*(X163-X155)/X155+1)-1)</f>
        <v>0</v>
      </c>
      <c r="Y165" s="2953">
        <f>IF(Y159=0,Elasticities!$G$49*(Y163-Y155)/Y155,MINA((Y163/Y155)^Elasticities!$G$49,Elasticities!$G$49*(Y163-Y155)/Y155+1)-1)</f>
        <v>0</v>
      </c>
      <c r="Z165" s="2953">
        <f>IF(Z159=0,Elasticities!$G$49*(Z163-Z155)/Z155,MINA((Z163/Z155)^Elasticities!$G$49,Elasticities!$G$49*(Z163-Z155)/Z155+1)-1)</f>
        <v>0</v>
      </c>
      <c r="AA165" s="2953">
        <f>IF(AA159=0,Elasticities!$G$49*(AA163-AA155)/AA155,MINA((AA163/AA155)^Elasticities!$G$49,Elasticities!$G$49*(AA163-AA155)/AA155+1)-1)</f>
        <v>0</v>
      </c>
      <c r="AB165" s="2953">
        <f>IF(AB159=0,Elasticities!$G$49*(AB163-AB155)/AB155,MINA((AB163/AB155)^Elasticities!$G$49,Elasticities!$G$49*(AB163-AB155)/AB155+1)-1)</f>
        <v>0</v>
      </c>
      <c r="AC165" s="2953">
        <f>IF(AC159=0,Elasticities!$G$49*(AC163-AC155)/AC155,MINA((AC163/AC155)^Elasticities!$G$49,Elasticities!$G$49*(AC163-AC155)/AC155+1)-1)</f>
        <v>0</v>
      </c>
      <c r="AD165" s="2953">
        <f>IF(AD159=0,Elasticities!$G$49*(AD163-AD155)/AD155,MINA((AD163/AD155)^Elasticities!$G$49,Elasticities!$G$49*(AD163-AD155)/AD155+1)-1)</f>
        <v>0</v>
      </c>
      <c r="AE165" s="2953">
        <f>IF(AE159=0,Elasticities!$G$49*(AE163-AE155)/AE155,MINA((AE163/AE155)^Elasticities!$G$49,Elasticities!$G$49*(AE163-AE155)/AE155+1)-1)</f>
        <v>0</v>
      </c>
      <c r="AF165" s="2953">
        <f>IF(AF159=0,Elasticities!$G$49*(AF163-AF155)/AF155,MINA((AF163/AF155)^Elasticities!$G$49,Elasticities!$G$49*(AF163-AF155)/AF155+1)-1)</f>
        <v>0</v>
      </c>
      <c r="AG165" s="2953">
        <f>IF(AG159=0,Elasticities!$G$49*(AG163-AG155)/AG155,MINA((AG163/AG155)^Elasticities!$G$49,Elasticities!$G$49*(AG163-AG155)/AG155+1)-1)</f>
        <v>0</v>
      </c>
      <c r="AH165" s="2953">
        <f>IF(AH159=0,Elasticities!$G$49*(AH163-AH155)/AH155,MINA((AH163/AH155)^Elasticities!$G$49,Elasticities!$G$49*(AH163-AH155)/AH155+1)-1)</f>
        <v>0</v>
      </c>
      <c r="AI165" s="2953">
        <f>IF(AI159=0,Elasticities!$G$49*(AI163-AI155)/AI155,MINA((AI163/AI155)^Elasticities!$G$49,Elasticities!$G$49*(AI163-AI155)/AI155+1)-1)</f>
        <v>0</v>
      </c>
      <c r="AJ165" s="2953">
        <f>IF(AJ159=0,Elasticities!$G$49*(AJ163-AJ155)/AJ155,MINA((AJ163/AJ155)^Elasticities!$G$49,Elasticities!$G$49*(AJ163-AJ155)/AJ155+1)-1)</f>
        <v>0</v>
      </c>
      <c r="AK165" s="2953">
        <f>IF(AK159=0,Elasticities!$G$49*(AK163-AK155)/AK155,MINA((AK163/AK155)^Elasticities!$G$49,Elasticities!$G$49*(AK163-AK155)/AK155+1)-1)</f>
        <v>0</v>
      </c>
      <c r="AL165" s="2953">
        <f>IF(AL159=0,Elasticities!$G$49*(AL163-AL155)/AL155,MINA((AL163/AL155)^Elasticities!$G$49,Elasticities!$G$49*(AL163-AL155)/AL155+1)-1)</f>
        <v>0</v>
      </c>
      <c r="AM165" s="2953">
        <f>IF(AM159=0,Elasticities!$G$49*(AM163-AM155)/AM155,MINA((AM163/AM155)^Elasticities!$G$49,Elasticities!$G$49*(AM163-AM155)/AM155+1)-1)</f>
        <v>0</v>
      </c>
    </row>
    <row r="166" spans="2:40" ht="14.1" customHeight="1">
      <c r="B166" s="265" t="str">
        <f>CONCATENATE("Draws on transit price-elasticities for work trips from 'Elasticities' tab, Row ",Elasticities!O49, " and on current &amp; proposed fares in Rows ",O155, " and ",O163, ".")</f>
        <v>Draws on transit price-elasticities for work trips from 'Elasticities' tab, Row 49 and on current &amp; proposed fares in Rows 155 and 163.</v>
      </c>
      <c r="C166" s="265"/>
      <c r="D166" s="265"/>
      <c r="E166" s="265"/>
      <c r="F166" s="265"/>
      <c r="G166" s="265"/>
      <c r="H166" s="265"/>
      <c r="I166" s="265"/>
      <c r="J166" s="265"/>
      <c r="K166" s="265"/>
      <c r="L166" s="265"/>
      <c r="M166" s="265"/>
      <c r="N166" s="265"/>
      <c r="O166" s="21">
        <f>ROW()</f>
        <v>166</v>
      </c>
    </row>
    <row r="167" spans="2:40" ht="14.1" customHeight="1">
      <c r="B167" s="1" t="s">
        <v>5071</v>
      </c>
      <c r="C167" s="265"/>
      <c r="D167" s="265"/>
      <c r="E167" s="265"/>
      <c r="F167" s="265"/>
      <c r="G167" s="265"/>
      <c r="H167" s="265"/>
      <c r="I167" s="265"/>
      <c r="J167" s="265"/>
      <c r="K167" s="265"/>
      <c r="L167" s="265"/>
      <c r="M167" s="265"/>
      <c r="N167" s="265"/>
      <c r="O167" s="21">
        <f>ROW()</f>
        <v>167</v>
      </c>
      <c r="P167" s="2953">
        <f>IF(P159=0,Elasticities!$H$49*(P163-P155)/P155,MINA((P163/P155)^Elasticities!$H$49,Elasticities!$H$49*(P163-P155)/P155+1)-1)</f>
        <v>0</v>
      </c>
      <c r="Q167" s="2953">
        <f>IF(Q159=0,Elasticities!$H$49*(Q163-Q155)/Q155,MINA((Q163/Q155)^Elasticities!$H$49,Elasticities!$H$49*(Q163-Q155)/Q155+1)-1)</f>
        <v>0</v>
      </c>
      <c r="R167" s="2953">
        <f>IF(R159=0,Elasticities!$H$49*(R163-R155)/R155,MINA((R163/R155)^Elasticities!$H$49,Elasticities!$H$49*(R163-R155)/R155+1)-1)</f>
        <v>0</v>
      </c>
      <c r="S167" s="2953">
        <f>IF(S159=0,Elasticities!$H$49*(S163-S155)/S155,MINA((S163/S155)^Elasticities!$H$49,Elasticities!$H$49*(S163-S155)/S155+1)-1)</f>
        <v>0</v>
      </c>
      <c r="T167" s="2953">
        <f>IF(T159=0,Elasticities!$H$49*(T163-T155)/T155,MINA((T163/T155)^Elasticities!$H$49,Elasticities!$H$49*(T163-T155)/T155+1)-1)</f>
        <v>0</v>
      </c>
      <c r="U167" s="2953">
        <f>IF(U159=0,Elasticities!$H$49*(U163-U155)/U155,MINA((U163/U155)^Elasticities!$H$49,Elasticities!$H$49*(U163-U155)/U155+1)-1)</f>
        <v>0</v>
      </c>
      <c r="V167" s="2953">
        <f>IF(V159=0,Elasticities!$H$49*(V163-V155)/V155,MINA((V163/V155)^Elasticities!$H$49,Elasticities!$H$49*(V163-V155)/V155+1)-1)</f>
        <v>0</v>
      </c>
      <c r="W167" s="2953">
        <f>IF(W159=0,Elasticities!$H$49*(W163-W155)/W155,MINA((W163/W155)^Elasticities!$H$49,Elasticities!$H$49*(W163-W155)/W155+1)-1)</f>
        <v>0</v>
      </c>
      <c r="X167" s="2953">
        <f>IF(X159=0,Elasticities!$H$49*(X163-X155)/X155,MINA((X163/X155)^Elasticities!$H$49,Elasticities!$H$49*(X163-X155)/X155+1)-1)</f>
        <v>0</v>
      </c>
      <c r="Y167" s="2953">
        <f>IF(Y159=0,Elasticities!$H$49*(Y163-Y155)/Y155,MINA((Y163/Y155)^Elasticities!$H$49,Elasticities!$H$49*(Y163-Y155)/Y155+1)-1)</f>
        <v>0</v>
      </c>
      <c r="Z167" s="2953">
        <f>IF(Z159=0,Elasticities!$H$49*(Z163-Z155)/Z155,MINA((Z163/Z155)^Elasticities!$H$49,Elasticities!$H$49*(Z163-Z155)/Z155+1)-1)</f>
        <v>0</v>
      </c>
      <c r="AA167" s="2953">
        <f>IF(AA159=0,Elasticities!$H$49*(AA163-AA155)/AA155,MINA((AA163/AA155)^Elasticities!$H$49,Elasticities!$H$49*(AA163-AA155)/AA155+1)-1)</f>
        <v>0</v>
      </c>
      <c r="AB167" s="2953">
        <f>IF(AB159=0,Elasticities!$H$49*(AB163-AB155)/AB155,MINA((AB163/AB155)^Elasticities!$H$49,Elasticities!$H$49*(AB163-AB155)/AB155+1)-1)</f>
        <v>0</v>
      </c>
      <c r="AC167" s="2953">
        <f>IF(AC159=0,Elasticities!$H$49*(AC163-AC155)/AC155,MINA((AC163/AC155)^Elasticities!$H$49,Elasticities!$H$49*(AC163-AC155)/AC155+1)-1)</f>
        <v>0</v>
      </c>
      <c r="AD167" s="2953">
        <f>IF(AD159=0,Elasticities!$H$49*(AD163-AD155)/AD155,MINA((AD163/AD155)^Elasticities!$H$49,Elasticities!$H$49*(AD163-AD155)/AD155+1)-1)</f>
        <v>0</v>
      </c>
      <c r="AE167" s="2953">
        <f>IF(AE159=0,Elasticities!$H$49*(AE163-AE155)/AE155,MINA((AE163/AE155)^Elasticities!$H$49,Elasticities!$H$49*(AE163-AE155)/AE155+1)-1)</f>
        <v>0</v>
      </c>
      <c r="AF167" s="2953">
        <f>IF(AF159=0,Elasticities!$H$49*(AF163-AF155)/AF155,MINA((AF163/AF155)^Elasticities!$H$49,Elasticities!$H$49*(AF163-AF155)/AF155+1)-1)</f>
        <v>0</v>
      </c>
      <c r="AG167" s="2953">
        <f>IF(AG159=0,Elasticities!$H$49*(AG163-AG155)/AG155,MINA((AG163/AG155)^Elasticities!$H$49,Elasticities!$H$49*(AG163-AG155)/AG155+1)-1)</f>
        <v>0</v>
      </c>
      <c r="AH167" s="2953">
        <f>IF(AH159=0,Elasticities!$H$49*(AH163-AH155)/AH155,MINA((AH163/AH155)^Elasticities!$H$49,Elasticities!$H$49*(AH163-AH155)/AH155+1)-1)</f>
        <v>0</v>
      </c>
      <c r="AI167" s="2953">
        <f>IF(AI159=0,Elasticities!$H$49*(AI163-AI155)/AI155,MINA((AI163/AI155)^Elasticities!$H$49,Elasticities!$H$49*(AI163-AI155)/AI155+1)-1)</f>
        <v>0</v>
      </c>
      <c r="AJ167" s="2953">
        <f>IF(AJ159=0,Elasticities!$H$49*(AJ163-AJ155)/AJ155,MINA((AJ163/AJ155)^Elasticities!$H$49,Elasticities!$H$49*(AJ163-AJ155)/AJ155+1)-1)</f>
        <v>0</v>
      </c>
      <c r="AK167" s="2953">
        <f>IF(AK159=0,Elasticities!$H$49*(AK163-AK155)/AK155,MINA((AK163/AK155)^Elasticities!$H$49,Elasticities!$H$49*(AK163-AK155)/AK155+1)-1)</f>
        <v>0</v>
      </c>
      <c r="AL167" s="2953">
        <f>IF(AL159=0,Elasticities!$H$49*(AL163-AL155)/AL155,MINA((AL163/AL155)^Elasticities!$H$49,Elasticities!$H$49*(AL163-AL155)/AL155+1)-1)</f>
        <v>0</v>
      </c>
      <c r="AM167" s="2953">
        <f>IF(AM159=0,Elasticities!$H$49*(AM163-AM155)/AM155,MINA((AM163/AM155)^Elasticities!$H$49,Elasticities!$H$49*(AM163-AM155)/AM155+1)-1)</f>
        <v>0</v>
      </c>
    </row>
    <row r="168" spans="2:40" ht="14.1" customHeight="1">
      <c r="B168" s="265" t="str">
        <f>CONCATENATE("Above row draws on transit price-elasticities for non-work trips from 'Elasticities' worksheet, Row ",Elasticities!O49, ".")</f>
        <v>Above row draws on transit price-elasticities for non-work trips from 'Elasticities' worksheet, Row 49.</v>
      </c>
      <c r="C168" s="265"/>
      <c r="D168" s="265"/>
      <c r="E168" s="265"/>
      <c r="F168" s="265"/>
      <c r="G168" s="265"/>
      <c r="H168" s="265"/>
      <c r="I168" s="265"/>
      <c r="J168" s="265"/>
      <c r="K168" s="265"/>
      <c r="L168" s="265"/>
      <c r="M168" s="265"/>
      <c r="N168" s="265"/>
      <c r="O168" s="21">
        <f>ROW()</f>
        <v>168</v>
      </c>
    </row>
    <row r="169" spans="2:40" ht="14.1" customHeight="1">
      <c r="B169" s="1" t="s">
        <v>5090</v>
      </c>
      <c r="O169" s="21">
        <f>ROW()</f>
        <v>169</v>
      </c>
      <c r="P169" s="1183">
        <f t="shared" ref="P169:AM169" si="28">P165*P140</f>
        <v>0</v>
      </c>
      <c r="Q169" s="1183">
        <f t="shared" si="28"/>
        <v>0</v>
      </c>
      <c r="R169" s="1183">
        <f t="shared" si="28"/>
        <v>0</v>
      </c>
      <c r="S169" s="1183">
        <f t="shared" si="28"/>
        <v>0</v>
      </c>
      <c r="T169" s="1183">
        <f t="shared" si="28"/>
        <v>0</v>
      </c>
      <c r="U169" s="1183">
        <f t="shared" si="28"/>
        <v>0</v>
      </c>
      <c r="V169" s="1183">
        <f t="shared" si="28"/>
        <v>0</v>
      </c>
      <c r="W169" s="1183">
        <f t="shared" si="28"/>
        <v>0</v>
      </c>
      <c r="X169" s="1183">
        <f t="shared" si="28"/>
        <v>0</v>
      </c>
      <c r="Y169" s="1183">
        <f t="shared" si="28"/>
        <v>0</v>
      </c>
      <c r="Z169" s="1183">
        <f t="shared" si="28"/>
        <v>0</v>
      </c>
      <c r="AA169" s="1183">
        <f t="shared" si="28"/>
        <v>0</v>
      </c>
      <c r="AB169" s="1183">
        <f t="shared" si="28"/>
        <v>0</v>
      </c>
      <c r="AC169" s="1183">
        <f t="shared" si="28"/>
        <v>0</v>
      </c>
      <c r="AD169" s="1183">
        <f t="shared" si="28"/>
        <v>0</v>
      </c>
      <c r="AE169" s="1183">
        <f t="shared" si="28"/>
        <v>0</v>
      </c>
      <c r="AF169" s="1183">
        <f t="shared" si="28"/>
        <v>0</v>
      </c>
      <c r="AG169" s="1183">
        <f t="shared" si="28"/>
        <v>0</v>
      </c>
      <c r="AH169" s="1183">
        <f t="shared" si="28"/>
        <v>0</v>
      </c>
      <c r="AI169" s="1183">
        <f t="shared" si="28"/>
        <v>0</v>
      </c>
      <c r="AJ169" s="1183">
        <f t="shared" si="28"/>
        <v>0</v>
      </c>
      <c r="AK169" s="1183">
        <f t="shared" si="28"/>
        <v>0</v>
      </c>
      <c r="AL169" s="1183">
        <f t="shared" si="28"/>
        <v>0</v>
      </c>
      <c r="AM169" s="1183">
        <f t="shared" si="28"/>
        <v>0</v>
      </c>
      <c r="AN169" s="1183">
        <f>SUM(P169:AM169)</f>
        <v>0</v>
      </c>
    </row>
    <row r="170" spans="2:40" ht="14.1" customHeight="1">
      <c r="B170" s="265" t="str">
        <f>CONCATENATE("Each figure is product of percent in Row ",O165, " and baseline work-trip pay-per-ride figure in Row ",O140, ".")</f>
        <v>Each figure is product of percent in Row 165 and baseline work-trip pay-per-ride figure in Row 140.</v>
      </c>
      <c r="O170" s="21">
        <f>ROW()</f>
        <v>170</v>
      </c>
      <c r="P170" s="1183"/>
      <c r="Q170" s="1183"/>
      <c r="R170" s="1183"/>
      <c r="S170" s="1183"/>
      <c r="T170" s="1183"/>
      <c r="U170" s="1183"/>
      <c r="V170" s="1183"/>
      <c r="W170" s="1183"/>
      <c r="X170" s="1183"/>
      <c r="Y170" s="1183"/>
      <c r="Z170" s="1183"/>
      <c r="AA170" s="1183"/>
      <c r="AB170" s="1183"/>
      <c r="AC170" s="1183"/>
      <c r="AD170" s="1183"/>
      <c r="AE170" s="1183"/>
      <c r="AF170" s="1183"/>
      <c r="AG170" s="1183"/>
      <c r="AH170" s="1183"/>
      <c r="AI170" s="1183"/>
      <c r="AJ170" s="1183"/>
      <c r="AK170" s="1183"/>
      <c r="AL170" s="1183"/>
      <c r="AM170" s="1183"/>
      <c r="AN170" s="1183"/>
    </row>
    <row r="171" spans="2:40" ht="14.1" customHeight="1">
      <c r="B171" s="1" t="s">
        <v>5089</v>
      </c>
      <c r="O171" s="21">
        <f>ROW()</f>
        <v>171</v>
      </c>
      <c r="P171" s="1183">
        <f t="shared" ref="P171:AM171" si="29">P167*P144</f>
        <v>0</v>
      </c>
      <c r="Q171" s="1183">
        <f t="shared" si="29"/>
        <v>0</v>
      </c>
      <c r="R171" s="1183">
        <f t="shared" si="29"/>
        <v>0</v>
      </c>
      <c r="S171" s="1183">
        <f t="shared" si="29"/>
        <v>0</v>
      </c>
      <c r="T171" s="1183">
        <f t="shared" si="29"/>
        <v>0</v>
      </c>
      <c r="U171" s="1183">
        <f t="shared" si="29"/>
        <v>0</v>
      </c>
      <c r="V171" s="1183">
        <f t="shared" si="29"/>
        <v>0</v>
      </c>
      <c r="W171" s="1183">
        <f t="shared" si="29"/>
        <v>0</v>
      </c>
      <c r="X171" s="1183">
        <f t="shared" si="29"/>
        <v>0</v>
      </c>
      <c r="Y171" s="1183">
        <f t="shared" si="29"/>
        <v>0</v>
      </c>
      <c r="Z171" s="1183">
        <f t="shared" si="29"/>
        <v>0</v>
      </c>
      <c r="AA171" s="1183">
        <f t="shared" si="29"/>
        <v>0</v>
      </c>
      <c r="AB171" s="1183">
        <f t="shared" si="29"/>
        <v>0</v>
      </c>
      <c r="AC171" s="1183">
        <f t="shared" si="29"/>
        <v>0</v>
      </c>
      <c r="AD171" s="1183">
        <f t="shared" si="29"/>
        <v>0</v>
      </c>
      <c r="AE171" s="1183">
        <f t="shared" si="29"/>
        <v>0</v>
      </c>
      <c r="AF171" s="1183">
        <f t="shared" si="29"/>
        <v>0</v>
      </c>
      <c r="AG171" s="1183">
        <f t="shared" si="29"/>
        <v>0</v>
      </c>
      <c r="AH171" s="1183">
        <f t="shared" si="29"/>
        <v>0</v>
      </c>
      <c r="AI171" s="1183">
        <f t="shared" si="29"/>
        <v>0</v>
      </c>
      <c r="AJ171" s="1183">
        <f t="shared" si="29"/>
        <v>0</v>
      </c>
      <c r="AK171" s="1183">
        <f t="shared" si="29"/>
        <v>0</v>
      </c>
      <c r="AL171" s="1183">
        <f t="shared" si="29"/>
        <v>0</v>
      </c>
      <c r="AM171" s="1183">
        <f t="shared" si="29"/>
        <v>0</v>
      </c>
      <c r="AN171" s="1183">
        <f>SUM(P171:AM171)</f>
        <v>0</v>
      </c>
    </row>
    <row r="172" spans="2:40" ht="14.1" customHeight="1">
      <c r="B172" s="265" t="str">
        <f>CONCATENATE("Each figure is product of percent in Row ",O167, " and baseline non-work-trip pay-per-ride figure in Row ",O144, ".")</f>
        <v>Each figure is product of percent in Row 167 and baseline non-work-trip pay-per-ride figure in Row 144.</v>
      </c>
      <c r="O172" s="21">
        <f>ROW()</f>
        <v>172</v>
      </c>
      <c r="P172" s="1183"/>
      <c r="Q172" s="1183"/>
      <c r="R172" s="1183"/>
      <c r="S172" s="1183"/>
      <c r="T172" s="1183"/>
      <c r="U172" s="1183"/>
      <c r="V172" s="1183"/>
      <c r="W172" s="1183"/>
      <c r="X172" s="1183"/>
      <c r="Y172" s="1183"/>
      <c r="Z172" s="1183"/>
      <c r="AA172" s="1183"/>
      <c r="AB172" s="1183"/>
      <c r="AC172" s="1183"/>
      <c r="AD172" s="1183"/>
      <c r="AE172" s="1183"/>
      <c r="AF172" s="1183"/>
      <c r="AG172" s="1183"/>
      <c r="AH172" s="1183"/>
      <c r="AI172" s="1183"/>
      <c r="AJ172" s="1183"/>
      <c r="AK172" s="1183"/>
      <c r="AL172" s="1183"/>
      <c r="AM172" s="1183"/>
      <c r="AN172" s="1183"/>
    </row>
    <row r="173" spans="2:40" s="9" customFormat="1" ht="14.1" customHeight="1">
      <c r="B173" s="1" t="s">
        <v>5091</v>
      </c>
      <c r="O173" s="21">
        <f>ROW()</f>
        <v>173</v>
      </c>
      <c r="P173" s="205">
        <f>P169+P171</f>
        <v>0</v>
      </c>
      <c r="Q173" s="205">
        <f t="shared" ref="Q173:AM173" si="30">Q169+Q171</f>
        <v>0</v>
      </c>
      <c r="R173" s="205">
        <f t="shared" si="30"/>
        <v>0</v>
      </c>
      <c r="S173" s="205">
        <f t="shared" si="30"/>
        <v>0</v>
      </c>
      <c r="T173" s="205">
        <f t="shared" si="30"/>
        <v>0</v>
      </c>
      <c r="U173" s="205">
        <f t="shared" si="30"/>
        <v>0</v>
      </c>
      <c r="V173" s="205">
        <f t="shared" si="30"/>
        <v>0</v>
      </c>
      <c r="W173" s="205">
        <f t="shared" si="30"/>
        <v>0</v>
      </c>
      <c r="X173" s="205">
        <f t="shared" si="30"/>
        <v>0</v>
      </c>
      <c r="Y173" s="205">
        <f t="shared" si="30"/>
        <v>0</v>
      </c>
      <c r="Z173" s="205">
        <f t="shared" si="30"/>
        <v>0</v>
      </c>
      <c r="AA173" s="205">
        <f t="shared" si="30"/>
        <v>0</v>
      </c>
      <c r="AB173" s="205">
        <f t="shared" si="30"/>
        <v>0</v>
      </c>
      <c r="AC173" s="205">
        <f t="shared" si="30"/>
        <v>0</v>
      </c>
      <c r="AD173" s="205">
        <f t="shared" si="30"/>
        <v>0</v>
      </c>
      <c r="AE173" s="205">
        <f t="shared" si="30"/>
        <v>0</v>
      </c>
      <c r="AF173" s="205">
        <f t="shared" si="30"/>
        <v>0</v>
      </c>
      <c r="AG173" s="205">
        <f t="shared" si="30"/>
        <v>0</v>
      </c>
      <c r="AH173" s="205">
        <f t="shared" si="30"/>
        <v>0</v>
      </c>
      <c r="AI173" s="205">
        <f t="shared" si="30"/>
        <v>0</v>
      </c>
      <c r="AJ173" s="205">
        <f t="shared" si="30"/>
        <v>0</v>
      </c>
      <c r="AK173" s="205">
        <f t="shared" si="30"/>
        <v>0</v>
      </c>
      <c r="AL173" s="205">
        <f t="shared" si="30"/>
        <v>0</v>
      </c>
      <c r="AM173" s="205">
        <f t="shared" si="30"/>
        <v>0</v>
      </c>
      <c r="AN173" s="205">
        <f>SUM(P173:AM173)</f>
        <v>0</v>
      </c>
    </row>
    <row r="174" spans="2:40" s="6" customFormat="1" ht="14.1" customHeight="1">
      <c r="B174" s="265" t="str">
        <f>CONCATENATE("Each figure is sum of Rows ",O169, " and ",O171, ".")</f>
        <v>Each figure is sum of Rows 169 and 171.</v>
      </c>
      <c r="O174" s="21">
        <f>ROW()</f>
        <v>174</v>
      </c>
      <c r="P174" s="720"/>
      <c r="Q174" s="720"/>
      <c r="R174" s="720"/>
      <c r="S174" s="720"/>
      <c r="T174" s="720"/>
      <c r="U174" s="720"/>
      <c r="V174" s="720"/>
      <c r="W174" s="720"/>
      <c r="X174" s="720"/>
      <c r="Y174" s="720"/>
      <c r="Z174" s="720"/>
      <c r="AA174" s="720"/>
      <c r="AB174" s="720"/>
      <c r="AC174" s="720"/>
      <c r="AD174" s="720"/>
      <c r="AE174" s="720"/>
      <c r="AF174" s="720"/>
      <c r="AG174" s="720"/>
      <c r="AH174" s="720"/>
      <c r="AI174" s="720"/>
      <c r="AJ174" s="720"/>
      <c r="AK174" s="720"/>
      <c r="AL174" s="720"/>
      <c r="AM174" s="720"/>
    </row>
    <row r="175" spans="2:40" s="6" customFormat="1" ht="14.1" customHeight="1">
      <c r="B175" s="265"/>
      <c r="O175" s="21">
        <f>ROW()</f>
        <v>175</v>
      </c>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0"/>
      <c r="AK175" s="720"/>
      <c r="AL175" s="720"/>
      <c r="AM175" s="720"/>
    </row>
    <row r="176" spans="2:40" ht="14.1" customHeight="1">
      <c r="B176" s="24" t="s">
        <v>5073</v>
      </c>
      <c r="O176" s="21">
        <f>ROW()</f>
        <v>176</v>
      </c>
    </row>
    <row r="177" spans="2:40" ht="14.1" customHeight="1">
      <c r="B177" s="265"/>
      <c r="O177" s="21">
        <f>ROW()</f>
        <v>177</v>
      </c>
    </row>
    <row r="178" spans="2:40" ht="14.1" customHeight="1">
      <c r="B178" s="1" t="s">
        <v>5074</v>
      </c>
      <c r="O178" s="21">
        <f>ROW()</f>
        <v>178</v>
      </c>
      <c r="P178" s="456">
        <f>(P150-P155*Transit!$H$20)/(1-Transit!$H$20)</f>
        <v>1.0285216250827882</v>
      </c>
      <c r="Q178" s="456">
        <f>(Q150-Q155*Transit!$H$20)/(1-Transit!$H$20)</f>
        <v>1.0285216250827882</v>
      </c>
      <c r="R178" s="456">
        <f>(R150-R155*Transit!$H$20)/(1-Transit!$H$20)</f>
        <v>1.0285216250827882</v>
      </c>
      <c r="S178" s="456">
        <f>(S150-S155*Transit!$H$20)/(1-Transit!$H$20)</f>
        <v>1.0285216250827882</v>
      </c>
      <c r="T178" s="456">
        <f>(T150-T155*Transit!$H$20)/(1-Transit!$H$20)</f>
        <v>1.0285216250827882</v>
      </c>
      <c r="U178" s="456">
        <f>(U150-U155*Transit!$H$20)/(1-Transit!$H$20)</f>
        <v>1.0285216250827882</v>
      </c>
      <c r="V178" s="456">
        <f>(V150-V155*Transit!$H$20)/(1-Transit!$H$20)</f>
        <v>1.0285216250827882</v>
      </c>
      <c r="W178" s="456">
        <f>(W150-W155*Transit!$H$20)/(1-Transit!$H$20)</f>
        <v>1.0285216250827882</v>
      </c>
      <c r="X178" s="456">
        <f>(X150-X155*Transit!$H$20)/(1-Transit!$H$20)</f>
        <v>1.0285216250827882</v>
      </c>
      <c r="Y178" s="456">
        <f>(Y150-Y155*Transit!$H$20)/(1-Transit!$H$20)</f>
        <v>1.0285216250827882</v>
      </c>
      <c r="Z178" s="456">
        <f>(Z150-Z155*Transit!$H$20)/(1-Transit!$H$20)</f>
        <v>1.0285216250827882</v>
      </c>
      <c r="AA178" s="456">
        <f>(AA150-AA155*Transit!$H$20)/(1-Transit!$H$20)</f>
        <v>1.0285216250827882</v>
      </c>
      <c r="AB178" s="456">
        <f>(AB150-AB155*Transit!$H$20)/(1-Transit!$H$20)</f>
        <v>1.0285216250827882</v>
      </c>
      <c r="AC178" s="456">
        <f>(AC150-AC155*Transit!$H$20)/(1-Transit!$H$20)</f>
        <v>1.0285216250827882</v>
      </c>
      <c r="AD178" s="456">
        <f>(AD150-AD155*Transit!$H$20)/(1-Transit!$H$20)</f>
        <v>1.0285216250827882</v>
      </c>
      <c r="AE178" s="456">
        <f>(AE150-AE155*Transit!$H$20)/(1-Transit!$H$20)</f>
        <v>1.0285216250827882</v>
      </c>
      <c r="AF178" s="456">
        <f>(AF150-AF155*Transit!$H$20)/(1-Transit!$H$20)</f>
        <v>1.0285216250827882</v>
      </c>
      <c r="AG178" s="456">
        <f>(AG150-AG155*Transit!$H$20)/(1-Transit!$H$20)</f>
        <v>1.0285216250827882</v>
      </c>
      <c r="AH178" s="456">
        <f>(AH150-AH155*Transit!$H$20)/(1-Transit!$H$20)</f>
        <v>1.0285216250827882</v>
      </c>
      <c r="AI178" s="456">
        <f>(AI150-AI155*Transit!$H$20)/(1-Transit!$H$20)</f>
        <v>1.0285216250827882</v>
      </c>
      <c r="AJ178" s="456">
        <f>(AJ150-AJ155*Transit!$H$20)/(1-Transit!$H$20)</f>
        <v>1.0285216250827882</v>
      </c>
      <c r="AK178" s="456">
        <f>(AK150-AK155*Transit!$H$20)/(1-Transit!$H$20)</f>
        <v>1.0285216250827882</v>
      </c>
      <c r="AL178" s="456">
        <f>(AL150-AL155*Transit!$H$20)/(1-Transit!$H$20)</f>
        <v>1.0285216250827882</v>
      </c>
      <c r="AM178" s="456">
        <f>(AM150-AM155*Transit!$H$20)/(1-Transit!$H$20)</f>
        <v>1.0285216250827882</v>
      </c>
    </row>
    <row r="179" spans="2:40" ht="14.1" customHeight="1">
      <c r="B179" s="265" t="str">
        <f>CONCATENATE("Solved algebraically with Rows ",O150, " and ",O155, " and % of riders who pay on per-ride basis from Row ",Transit!$O$20, " of 'Transit' worksheet.")</f>
        <v>Solved algebraically with Rows 150 and 155 and % of riders who pay on per-ride basis from Row 20 of 'Transit' worksheet.</v>
      </c>
      <c r="O179" s="21">
        <f>ROW()</f>
        <v>179</v>
      </c>
    </row>
    <row r="180" spans="2:40" ht="14.1" customHeight="1">
      <c r="B180" s="1" t="s">
        <v>5075</v>
      </c>
      <c r="O180" s="21">
        <f>ROW()</f>
        <v>180</v>
      </c>
      <c r="P180" s="456">
        <f>P178*(1+'User Inputs'!$J$112)</f>
        <v>1.0285216250827882</v>
      </c>
      <c r="Q180" s="456">
        <f>Q178*(1+'User Inputs'!$J$112)</f>
        <v>1.0285216250827882</v>
      </c>
      <c r="R180" s="456">
        <f>R178*(1+'User Inputs'!$J$112)</f>
        <v>1.0285216250827882</v>
      </c>
      <c r="S180" s="456">
        <f>S178*(1+'User Inputs'!$J$112)</f>
        <v>1.0285216250827882</v>
      </c>
      <c r="T180" s="456">
        <f>T178*(1+'User Inputs'!$J$112)</f>
        <v>1.0285216250827882</v>
      </c>
      <c r="U180" s="456">
        <f>U178*(1+'User Inputs'!$J$112)</f>
        <v>1.0285216250827882</v>
      </c>
      <c r="V180" s="456">
        <f>V178*(1+'User Inputs'!$J$112)</f>
        <v>1.0285216250827882</v>
      </c>
      <c r="W180" s="456">
        <f>W178*(1+'User Inputs'!$J$112)</f>
        <v>1.0285216250827882</v>
      </c>
      <c r="X180" s="456">
        <f>X178*(1+'User Inputs'!$J$112)</f>
        <v>1.0285216250827882</v>
      </c>
      <c r="Y180" s="456">
        <f>Y178*(1+'User Inputs'!$J$112)</f>
        <v>1.0285216250827882</v>
      </c>
      <c r="Z180" s="456">
        <f>Z178*(1+'User Inputs'!$J$112)</f>
        <v>1.0285216250827882</v>
      </c>
      <c r="AA180" s="456">
        <f>AA178*(1+'User Inputs'!$J$112)</f>
        <v>1.0285216250827882</v>
      </c>
      <c r="AB180" s="456">
        <f>AB178*(1+'User Inputs'!$J$112)</f>
        <v>1.0285216250827882</v>
      </c>
      <c r="AC180" s="456">
        <f>AC178*(1+'User Inputs'!$J$112)</f>
        <v>1.0285216250827882</v>
      </c>
      <c r="AD180" s="456">
        <f>AD178*(1+'User Inputs'!$J$112)</f>
        <v>1.0285216250827882</v>
      </c>
      <c r="AE180" s="456">
        <f>AE178*(1+'User Inputs'!$J$112)</f>
        <v>1.0285216250827882</v>
      </c>
      <c r="AF180" s="456">
        <f>AF178*(1+'User Inputs'!$J$112)</f>
        <v>1.0285216250827882</v>
      </c>
      <c r="AG180" s="456">
        <f>AG178*(1+'User Inputs'!$J$112)</f>
        <v>1.0285216250827882</v>
      </c>
      <c r="AH180" s="456">
        <f>AH178*(1+'User Inputs'!$J$112)</f>
        <v>1.0285216250827882</v>
      </c>
      <c r="AI180" s="456">
        <f>AI178*(1+'User Inputs'!$J$112)</f>
        <v>1.0285216250827882</v>
      </c>
      <c r="AJ180" s="456">
        <f>AJ178*(1+'User Inputs'!$J$112)</f>
        <v>1.0285216250827882</v>
      </c>
      <c r="AK180" s="456">
        <f>AK178*(1+'User Inputs'!$J$112)</f>
        <v>1.0285216250827882</v>
      </c>
      <c r="AL180" s="456">
        <f>AL178*(1+'User Inputs'!$J$112)</f>
        <v>1.0285216250827882</v>
      </c>
      <c r="AM180" s="456">
        <f>AM178*(1+'User Inputs'!$J$112)</f>
        <v>1.0285216250827882</v>
      </c>
    </row>
    <row r="181" spans="2:40" ht="14.1" customHeight="1">
      <c r="B181" s="265" t="str">
        <f>CONCATENATE("Product of Row ",O178, " and factor calculated from assumed percentage change in unlimited fares from 'User Inputs' tab, Row ",'User Inputs'!N112, ".")</f>
        <v>Product of Row 178 and factor calculated from assumed percentage change in unlimited fares from 'User Inputs' tab, Row 112.</v>
      </c>
      <c r="O181" s="21">
        <f>ROW()</f>
        <v>181</v>
      </c>
    </row>
    <row r="182" spans="2:40" s="6" customFormat="1" ht="14.1" customHeight="1">
      <c r="B182" s="1" t="s">
        <v>5076</v>
      </c>
      <c r="C182"/>
      <c r="D182"/>
      <c r="E182"/>
      <c r="F182"/>
      <c r="G182"/>
      <c r="H182"/>
      <c r="I182"/>
      <c r="J182"/>
      <c r="K182"/>
      <c r="L182"/>
      <c r="M182"/>
      <c r="N182"/>
      <c r="O182" s="21">
        <f>ROW()</f>
        <v>182</v>
      </c>
      <c r="P182" s="2953">
        <f>IF(P180=0,Elasticities!$G$49*(P180-P178)/P178,MINA((P180/P178)^Elasticities!$G$49,Elasticities!$G$49*(P180-P178)/P178+1)-1)</f>
        <v>0</v>
      </c>
      <c r="Q182" s="2953">
        <f>IF(Q180=0,Elasticities!$G$49*(Q180-Q178)/Q178,MINA((Q180/Q178)^Elasticities!$G$49,Elasticities!$G$49*(Q180-Q178)/Q178+1)-1)</f>
        <v>0</v>
      </c>
      <c r="R182" s="2953">
        <f>IF(R180=0,Elasticities!$G$49*(R180-R178)/R178,MINA((R180/R178)^Elasticities!$G$49,Elasticities!$G$49*(R180-R178)/R178+1)-1)</f>
        <v>0</v>
      </c>
      <c r="S182" s="2953">
        <f>IF(S180=0,Elasticities!$G$49*(S180-S178)/S178,MINA((S180/S178)^Elasticities!$G$49,Elasticities!$G$49*(S180-S178)/S178+1)-1)</f>
        <v>0</v>
      </c>
      <c r="T182" s="2953">
        <f>IF(T180=0,Elasticities!$G$49*(T180-T178)/T178,MINA((T180/T178)^Elasticities!$G$49,Elasticities!$G$49*(T180-T178)/T178+1)-1)</f>
        <v>0</v>
      </c>
      <c r="U182" s="2953">
        <f>IF(U180=0,Elasticities!$G$49*(U180-U178)/U178,MINA((U180/U178)^Elasticities!$G$49,Elasticities!$G$49*(U180-U178)/U178+1)-1)</f>
        <v>0</v>
      </c>
      <c r="V182" s="2953">
        <f>IF(V180=0,Elasticities!$G$49*(V180-V178)/V178,MINA((V180/V178)^Elasticities!$G$49,Elasticities!$G$49*(V180-V178)/V178+1)-1)</f>
        <v>0</v>
      </c>
      <c r="W182" s="2953">
        <f>IF(W180=0,Elasticities!$G$49*(W180-W178)/W178,MINA((W180/W178)^Elasticities!$G$49,Elasticities!$G$49*(W180-W178)/W178+1)-1)</f>
        <v>0</v>
      </c>
      <c r="X182" s="2953">
        <f>IF(X180=0,Elasticities!$G$49*(X180-X178)/X178,MINA((X180/X178)^Elasticities!$G$49,Elasticities!$G$49*(X180-X178)/X178+1)-1)</f>
        <v>0</v>
      </c>
      <c r="Y182" s="2953">
        <f>IF(Y180=0,Elasticities!$G$49*(Y180-Y178)/Y178,MINA((Y180/Y178)^Elasticities!$G$49,Elasticities!$G$49*(Y180-Y178)/Y178+1)-1)</f>
        <v>0</v>
      </c>
      <c r="Z182" s="2953">
        <f>IF(Z180=0,Elasticities!$G$49*(Z180-Z178)/Z178,MINA((Z180/Z178)^Elasticities!$G$49,Elasticities!$G$49*(Z180-Z178)/Z178+1)-1)</f>
        <v>0</v>
      </c>
      <c r="AA182" s="2953">
        <f>IF(AA180=0,Elasticities!$G$49*(AA180-AA178)/AA178,MINA((AA180/AA178)^Elasticities!$G$49,Elasticities!$G$49*(AA180-AA178)/AA178+1)-1)</f>
        <v>0</v>
      </c>
      <c r="AB182" s="2953">
        <f>IF(AB180=0,Elasticities!$G$49*(AB180-AB178)/AB178,MINA((AB180/AB178)^Elasticities!$G$49,Elasticities!$G$49*(AB180-AB178)/AB178+1)-1)</f>
        <v>0</v>
      </c>
      <c r="AC182" s="2953">
        <f>IF(AC180=0,Elasticities!$G$49*(AC180-AC178)/AC178,MINA((AC180/AC178)^Elasticities!$G$49,Elasticities!$G$49*(AC180-AC178)/AC178+1)-1)</f>
        <v>0</v>
      </c>
      <c r="AD182" s="2953">
        <f>IF(AD180=0,Elasticities!$G$49*(AD180-AD178)/AD178,MINA((AD180/AD178)^Elasticities!$G$49,Elasticities!$G$49*(AD180-AD178)/AD178+1)-1)</f>
        <v>0</v>
      </c>
      <c r="AE182" s="2953">
        <f>IF(AE180=0,Elasticities!$G$49*(AE180-AE178)/AE178,MINA((AE180/AE178)^Elasticities!$G$49,Elasticities!$G$49*(AE180-AE178)/AE178+1)-1)</f>
        <v>0</v>
      </c>
      <c r="AF182" s="2953">
        <f>IF(AF180=0,Elasticities!$G$49*(AF180-AF178)/AF178,MINA((AF180/AF178)^Elasticities!$G$49,Elasticities!$G$49*(AF180-AF178)/AF178+1)-1)</f>
        <v>0</v>
      </c>
      <c r="AG182" s="2953">
        <f>IF(AG180=0,Elasticities!$G$49*(AG180-AG178)/AG178,MINA((AG180/AG178)^Elasticities!$G$49,Elasticities!$G$49*(AG180-AG178)/AG178+1)-1)</f>
        <v>0</v>
      </c>
      <c r="AH182" s="2953">
        <f>IF(AH180=0,Elasticities!$G$49*(AH180-AH178)/AH178,MINA((AH180/AH178)^Elasticities!$G$49,Elasticities!$G$49*(AH180-AH178)/AH178+1)-1)</f>
        <v>0</v>
      </c>
      <c r="AI182" s="2953">
        <f>IF(AI180=0,Elasticities!$G$49*(AI180-AI178)/AI178,MINA((AI180/AI178)^Elasticities!$G$49,Elasticities!$G$49*(AI180-AI178)/AI178+1)-1)</f>
        <v>0</v>
      </c>
      <c r="AJ182" s="2953">
        <f>IF(AJ180=0,Elasticities!$G$49*(AJ180-AJ178)/AJ178,MINA((AJ180/AJ178)^Elasticities!$G$49,Elasticities!$G$49*(AJ180-AJ178)/AJ178+1)-1)</f>
        <v>0</v>
      </c>
      <c r="AK182" s="2953">
        <f>IF(AK180=0,Elasticities!$G$49*(AK180-AK178)/AK178,MINA((AK180/AK178)^Elasticities!$G$49,Elasticities!$G$49*(AK180-AK178)/AK178+1)-1)</f>
        <v>0</v>
      </c>
      <c r="AL182" s="2953">
        <f>IF(AL180=0,Elasticities!$G$49*(AL180-AL178)/AL178,MINA((AL180/AL178)^Elasticities!$G$49,Elasticities!$G$49*(AL180-AL178)/AL178+1)-1)</f>
        <v>0</v>
      </c>
      <c r="AM182" s="2953">
        <f>IF(AM180=0,Elasticities!$G$49*(AM180-AM178)/AM178,MINA((AM180/AM178)^Elasticities!$G$49,Elasticities!$G$49*(AM180-AM178)/AM178+1)-1)</f>
        <v>0</v>
      </c>
      <c r="AN182"/>
    </row>
    <row r="183" spans="2:40" s="6" customFormat="1" ht="14.1" customHeight="1">
      <c r="B183" s="265" t="str">
        <f>CONCATENATE("Draws on transit price-elasticities for work trips from 'Elasticities' tab, Row ",Elasticities!O70, " and on current &amp; proposed fares in Rows ",O178, " and ",O180, ".")</f>
        <v>Draws on transit price-elasticities for work trips from 'Elasticities' tab, Row 70 and on current &amp; proposed fares in Rows 178 and 180.</v>
      </c>
      <c r="C183" s="265"/>
      <c r="D183" s="265"/>
      <c r="E183" s="265"/>
      <c r="F183" s="265"/>
      <c r="G183" s="265"/>
      <c r="H183" s="265"/>
      <c r="I183" s="265"/>
      <c r="J183" s="265"/>
      <c r="K183" s="265"/>
      <c r="L183" s="265"/>
      <c r="M183" s="265"/>
      <c r="N183" s="265"/>
      <c r="O183" s="21">
        <f>ROW()</f>
        <v>183</v>
      </c>
      <c r="P183"/>
      <c r="Q183"/>
      <c r="R183"/>
      <c r="S183"/>
      <c r="T183"/>
      <c r="U183"/>
      <c r="V183"/>
      <c r="W183"/>
      <c r="X183"/>
      <c r="Y183"/>
      <c r="Z183"/>
      <c r="AA183"/>
      <c r="AB183"/>
      <c r="AC183"/>
      <c r="AD183"/>
      <c r="AE183"/>
      <c r="AF183"/>
      <c r="AG183"/>
      <c r="AH183"/>
      <c r="AI183"/>
      <c r="AJ183"/>
      <c r="AK183"/>
      <c r="AL183"/>
      <c r="AM183"/>
      <c r="AN183"/>
    </row>
    <row r="184" spans="2:40" s="6" customFormat="1" ht="14.1" customHeight="1">
      <c r="B184" s="1" t="s">
        <v>5077</v>
      </c>
      <c r="C184" s="265"/>
      <c r="D184" s="265"/>
      <c r="E184" s="265"/>
      <c r="F184" s="265"/>
      <c r="G184" s="265"/>
      <c r="H184" s="265"/>
      <c r="I184" s="265"/>
      <c r="J184" s="265"/>
      <c r="K184" s="265"/>
      <c r="L184" s="265"/>
      <c r="M184" s="265"/>
      <c r="N184" s="265"/>
      <c r="O184" s="21">
        <f>ROW()</f>
        <v>184</v>
      </c>
      <c r="P184" s="2953">
        <f>IF(P180=0,Elasticities!$H$49*(P180-P178)/P178,MINA((P180/P178)^Elasticities!$H$49,Elasticities!$H$49*(P180-P178)/P178+1)-1)</f>
        <v>0</v>
      </c>
      <c r="Q184" s="2953">
        <f>IF(Q180=0,Elasticities!$H$49*(Q180-Q178)/Q178,MINA((Q180/Q178)^Elasticities!$H$49,Elasticities!$H$49*(Q180-Q178)/Q178+1)-1)</f>
        <v>0</v>
      </c>
      <c r="R184" s="2953">
        <f>IF(R180=0,Elasticities!$H$49*(R180-R178)/R178,MINA((R180/R178)^Elasticities!$H$49,Elasticities!$H$49*(R180-R178)/R178+1)-1)</f>
        <v>0</v>
      </c>
      <c r="S184" s="2953">
        <f>IF(S180=0,Elasticities!$H$49*(S180-S178)/S178,MINA((S180/S178)^Elasticities!$H$49,Elasticities!$H$49*(S180-S178)/S178+1)-1)</f>
        <v>0</v>
      </c>
      <c r="T184" s="2953">
        <f>IF(T180=0,Elasticities!$H$49*(T180-T178)/T178,MINA((T180/T178)^Elasticities!$H$49,Elasticities!$H$49*(T180-T178)/T178+1)-1)</f>
        <v>0</v>
      </c>
      <c r="U184" s="2953">
        <f>IF(U180=0,Elasticities!$H$49*(U180-U178)/U178,MINA((U180/U178)^Elasticities!$H$49,Elasticities!$H$49*(U180-U178)/U178+1)-1)</f>
        <v>0</v>
      </c>
      <c r="V184" s="2953">
        <f>IF(V180=0,Elasticities!$H$49*(V180-V178)/V178,MINA((V180/V178)^Elasticities!$H$49,Elasticities!$H$49*(V180-V178)/V178+1)-1)</f>
        <v>0</v>
      </c>
      <c r="W184" s="2953">
        <f>IF(W180=0,Elasticities!$H$49*(W180-W178)/W178,MINA((W180/W178)^Elasticities!$H$49,Elasticities!$H$49*(W180-W178)/W178+1)-1)</f>
        <v>0</v>
      </c>
      <c r="X184" s="2953">
        <f>IF(X180=0,Elasticities!$H$49*(X180-X178)/X178,MINA((X180/X178)^Elasticities!$H$49,Elasticities!$H$49*(X180-X178)/X178+1)-1)</f>
        <v>0</v>
      </c>
      <c r="Y184" s="2953">
        <f>IF(Y180=0,Elasticities!$H$49*(Y180-Y178)/Y178,MINA((Y180/Y178)^Elasticities!$H$49,Elasticities!$H$49*(Y180-Y178)/Y178+1)-1)</f>
        <v>0</v>
      </c>
      <c r="Z184" s="2953">
        <f>IF(Z180=0,Elasticities!$H$49*(Z180-Z178)/Z178,MINA((Z180/Z178)^Elasticities!$H$49,Elasticities!$H$49*(Z180-Z178)/Z178+1)-1)</f>
        <v>0</v>
      </c>
      <c r="AA184" s="2953">
        <f>IF(AA180=0,Elasticities!$H$49*(AA180-AA178)/AA178,MINA((AA180/AA178)^Elasticities!$H$49,Elasticities!$H$49*(AA180-AA178)/AA178+1)-1)</f>
        <v>0</v>
      </c>
      <c r="AB184" s="2953">
        <f>IF(AB180=0,Elasticities!$H$49*(AB180-AB178)/AB178,MINA((AB180/AB178)^Elasticities!$H$49,Elasticities!$H$49*(AB180-AB178)/AB178+1)-1)</f>
        <v>0</v>
      </c>
      <c r="AC184" s="2953">
        <f>IF(AC180=0,Elasticities!$H$49*(AC180-AC178)/AC178,MINA((AC180/AC178)^Elasticities!$H$49,Elasticities!$H$49*(AC180-AC178)/AC178+1)-1)</f>
        <v>0</v>
      </c>
      <c r="AD184" s="2953">
        <f>IF(AD180=0,Elasticities!$H$49*(AD180-AD178)/AD178,MINA((AD180/AD178)^Elasticities!$H$49,Elasticities!$H$49*(AD180-AD178)/AD178+1)-1)</f>
        <v>0</v>
      </c>
      <c r="AE184" s="2953">
        <f>IF(AE180=0,Elasticities!$H$49*(AE180-AE178)/AE178,MINA((AE180/AE178)^Elasticities!$H$49,Elasticities!$H$49*(AE180-AE178)/AE178+1)-1)</f>
        <v>0</v>
      </c>
      <c r="AF184" s="2953">
        <f>IF(AF180=0,Elasticities!$H$49*(AF180-AF178)/AF178,MINA((AF180/AF178)^Elasticities!$H$49,Elasticities!$H$49*(AF180-AF178)/AF178+1)-1)</f>
        <v>0</v>
      </c>
      <c r="AG184" s="2953">
        <f>IF(AG180=0,Elasticities!$H$49*(AG180-AG178)/AG178,MINA((AG180/AG178)^Elasticities!$H$49,Elasticities!$H$49*(AG180-AG178)/AG178+1)-1)</f>
        <v>0</v>
      </c>
      <c r="AH184" s="2953">
        <f>IF(AH180=0,Elasticities!$H$49*(AH180-AH178)/AH178,MINA((AH180/AH178)^Elasticities!$H$49,Elasticities!$H$49*(AH180-AH178)/AH178+1)-1)</f>
        <v>0</v>
      </c>
      <c r="AI184" s="2953">
        <f>IF(AI180=0,Elasticities!$H$49*(AI180-AI178)/AI178,MINA((AI180/AI178)^Elasticities!$H$49,Elasticities!$H$49*(AI180-AI178)/AI178+1)-1)</f>
        <v>0</v>
      </c>
      <c r="AJ184" s="2953">
        <f>IF(AJ180=0,Elasticities!$H$49*(AJ180-AJ178)/AJ178,MINA((AJ180/AJ178)^Elasticities!$H$49,Elasticities!$H$49*(AJ180-AJ178)/AJ178+1)-1)</f>
        <v>0</v>
      </c>
      <c r="AK184" s="2953">
        <f>IF(AK180=0,Elasticities!$H$49*(AK180-AK178)/AK178,MINA((AK180/AK178)^Elasticities!$H$49,Elasticities!$H$49*(AK180-AK178)/AK178+1)-1)</f>
        <v>0</v>
      </c>
      <c r="AL184" s="2953">
        <f>IF(AL180=0,Elasticities!$H$49*(AL180-AL178)/AL178,MINA((AL180/AL178)^Elasticities!$H$49,Elasticities!$H$49*(AL180-AL178)/AL178+1)-1)</f>
        <v>0</v>
      </c>
      <c r="AM184" s="2953">
        <f>IF(AM180=0,Elasticities!$H$49*(AM180-AM178)/AM178,MINA((AM180/AM178)^Elasticities!$H$49,Elasticities!$H$49*(AM180-AM178)/AM178+1)-1)</f>
        <v>0</v>
      </c>
      <c r="AN184"/>
    </row>
    <row r="185" spans="2:40" s="6" customFormat="1" ht="14.1" customHeight="1">
      <c r="B185" s="265" t="str">
        <f>CONCATENATE("Above row draws on transit price-elasticities for non-work trips from 'Elasticities' worksheet, Row ",Elasticities!O70, ".")</f>
        <v>Above row draws on transit price-elasticities for non-work trips from 'Elasticities' worksheet, Row 70.</v>
      </c>
      <c r="C185" s="265"/>
      <c r="D185" s="265"/>
      <c r="E185" s="265"/>
      <c r="F185" s="265"/>
      <c r="G185" s="265"/>
      <c r="H185" s="265"/>
      <c r="I185" s="265"/>
      <c r="J185" s="265"/>
      <c r="K185" s="265"/>
      <c r="L185" s="265"/>
      <c r="M185" s="265"/>
      <c r="N185" s="265"/>
      <c r="O185" s="21">
        <f>ROW()</f>
        <v>185</v>
      </c>
      <c r="P185"/>
      <c r="Q185"/>
      <c r="R185"/>
      <c r="S185"/>
      <c r="T185"/>
      <c r="U185"/>
      <c r="V185"/>
      <c r="W185"/>
      <c r="X185"/>
      <c r="Y185"/>
      <c r="Z185"/>
      <c r="AA185"/>
      <c r="AB185"/>
      <c r="AC185"/>
      <c r="AD185"/>
      <c r="AE185"/>
      <c r="AF185"/>
      <c r="AG185"/>
      <c r="AH185"/>
      <c r="AI185"/>
      <c r="AJ185"/>
      <c r="AK185"/>
      <c r="AL185"/>
      <c r="AM185"/>
      <c r="AN185"/>
    </row>
    <row r="186" spans="2:40" s="6" customFormat="1" ht="14.1" customHeight="1">
      <c r="B186" s="1" t="s">
        <v>5078</v>
      </c>
      <c r="C186"/>
      <c r="D186"/>
      <c r="E186"/>
      <c r="F186"/>
      <c r="G186"/>
      <c r="H186"/>
      <c r="I186"/>
      <c r="J186"/>
      <c r="K186"/>
      <c r="L186"/>
      <c r="M186"/>
      <c r="N186"/>
      <c r="O186" s="21">
        <f>ROW()</f>
        <v>186</v>
      </c>
      <c r="P186" s="1183">
        <f t="shared" ref="P186:AM186" si="31">P182*P141</f>
        <v>0</v>
      </c>
      <c r="Q186" s="1183">
        <f t="shared" si="31"/>
        <v>0</v>
      </c>
      <c r="R186" s="1183">
        <f t="shared" si="31"/>
        <v>0</v>
      </c>
      <c r="S186" s="1183">
        <f t="shared" si="31"/>
        <v>0</v>
      </c>
      <c r="T186" s="1183">
        <f t="shared" si="31"/>
        <v>0</v>
      </c>
      <c r="U186" s="1183">
        <f t="shared" si="31"/>
        <v>0</v>
      </c>
      <c r="V186" s="1183">
        <f t="shared" si="31"/>
        <v>0</v>
      </c>
      <c r="W186" s="1183">
        <f t="shared" si="31"/>
        <v>0</v>
      </c>
      <c r="X186" s="1183">
        <f t="shared" si="31"/>
        <v>0</v>
      </c>
      <c r="Y186" s="1183">
        <f t="shared" si="31"/>
        <v>0</v>
      </c>
      <c r="Z186" s="1183">
        <f t="shared" si="31"/>
        <v>0</v>
      </c>
      <c r="AA186" s="1183">
        <f t="shared" si="31"/>
        <v>0</v>
      </c>
      <c r="AB186" s="1183">
        <f t="shared" si="31"/>
        <v>0</v>
      </c>
      <c r="AC186" s="1183">
        <f t="shared" si="31"/>
        <v>0</v>
      </c>
      <c r="AD186" s="1183">
        <f t="shared" si="31"/>
        <v>0</v>
      </c>
      <c r="AE186" s="1183">
        <f t="shared" si="31"/>
        <v>0</v>
      </c>
      <c r="AF186" s="1183">
        <f t="shared" si="31"/>
        <v>0</v>
      </c>
      <c r="AG186" s="1183">
        <f t="shared" si="31"/>
        <v>0</v>
      </c>
      <c r="AH186" s="1183">
        <f t="shared" si="31"/>
        <v>0</v>
      </c>
      <c r="AI186" s="1183">
        <f t="shared" si="31"/>
        <v>0</v>
      </c>
      <c r="AJ186" s="1183">
        <f t="shared" si="31"/>
        <v>0</v>
      </c>
      <c r="AK186" s="1183">
        <f t="shared" si="31"/>
        <v>0</v>
      </c>
      <c r="AL186" s="1183">
        <f t="shared" si="31"/>
        <v>0</v>
      </c>
      <c r="AM186" s="1183">
        <f t="shared" si="31"/>
        <v>0</v>
      </c>
      <c r="AN186" s="1183">
        <f>SUM(P186:AM186)</f>
        <v>0</v>
      </c>
    </row>
    <row r="187" spans="2:40" s="6" customFormat="1" ht="14.1" customHeight="1">
      <c r="B187" s="265" t="str">
        <f>CONCATENATE("Each figure is product of percent in Row ",O182, " and baseline work-trip pay-per-ride figure in Row ",O163, ".")</f>
        <v>Each figure is product of percent in Row 182 and baseline work-trip pay-per-ride figure in Row 163.</v>
      </c>
      <c r="C187"/>
      <c r="D187"/>
      <c r="E187"/>
      <c r="F187"/>
      <c r="G187"/>
      <c r="H187"/>
      <c r="I187"/>
      <c r="J187"/>
      <c r="K187"/>
      <c r="L187"/>
      <c r="M187"/>
      <c r="N187"/>
      <c r="O187" s="21">
        <f>ROW()</f>
        <v>187</v>
      </c>
      <c r="P187" s="1183"/>
      <c r="Q187" s="1183"/>
      <c r="R187" s="1183"/>
      <c r="S187" s="1183"/>
      <c r="T187" s="1183"/>
      <c r="U187" s="1183"/>
      <c r="V187" s="1183"/>
      <c r="W187" s="1183"/>
      <c r="X187" s="1183"/>
      <c r="Y187" s="1183"/>
      <c r="Z187" s="1183"/>
      <c r="AA187" s="1183"/>
      <c r="AB187" s="1183"/>
      <c r="AC187" s="1183"/>
      <c r="AD187" s="1183"/>
      <c r="AE187" s="1183"/>
      <c r="AF187" s="1183"/>
      <c r="AG187" s="1183"/>
      <c r="AH187" s="1183"/>
      <c r="AI187" s="1183"/>
      <c r="AJ187" s="1183"/>
      <c r="AK187" s="1183"/>
      <c r="AL187" s="1183"/>
      <c r="AM187" s="1183"/>
      <c r="AN187" s="1183"/>
    </row>
    <row r="188" spans="2:40" s="6" customFormat="1" ht="14.1" customHeight="1">
      <c r="B188" s="1" t="s">
        <v>5079</v>
      </c>
      <c r="C188"/>
      <c r="D188"/>
      <c r="E188"/>
      <c r="F188"/>
      <c r="G188"/>
      <c r="H188"/>
      <c r="I188"/>
      <c r="J188"/>
      <c r="K188"/>
      <c r="L188"/>
      <c r="M188"/>
      <c r="N188"/>
      <c r="O188" s="21">
        <f>ROW()</f>
        <v>188</v>
      </c>
      <c r="P188" s="1183">
        <f t="shared" ref="P188:AM188" si="32">P184*P145</f>
        <v>0</v>
      </c>
      <c r="Q188" s="1183">
        <f t="shared" si="32"/>
        <v>0</v>
      </c>
      <c r="R188" s="1183">
        <f t="shared" si="32"/>
        <v>0</v>
      </c>
      <c r="S188" s="1183">
        <f t="shared" si="32"/>
        <v>0</v>
      </c>
      <c r="T188" s="1183">
        <f t="shared" si="32"/>
        <v>0</v>
      </c>
      <c r="U188" s="1183">
        <f t="shared" si="32"/>
        <v>0</v>
      </c>
      <c r="V188" s="1183">
        <f t="shared" si="32"/>
        <v>0</v>
      </c>
      <c r="W188" s="1183">
        <f t="shared" si="32"/>
        <v>0</v>
      </c>
      <c r="X188" s="1183">
        <f t="shared" si="32"/>
        <v>0</v>
      </c>
      <c r="Y188" s="1183">
        <f t="shared" si="32"/>
        <v>0</v>
      </c>
      <c r="Z188" s="1183">
        <f t="shared" si="32"/>
        <v>0</v>
      </c>
      <c r="AA188" s="1183">
        <f t="shared" si="32"/>
        <v>0</v>
      </c>
      <c r="AB188" s="1183">
        <f t="shared" si="32"/>
        <v>0</v>
      </c>
      <c r="AC188" s="1183">
        <f t="shared" si="32"/>
        <v>0</v>
      </c>
      <c r="AD188" s="1183">
        <f t="shared" si="32"/>
        <v>0</v>
      </c>
      <c r="AE188" s="1183">
        <f t="shared" si="32"/>
        <v>0</v>
      </c>
      <c r="AF188" s="1183">
        <f t="shared" si="32"/>
        <v>0</v>
      </c>
      <c r="AG188" s="1183">
        <f t="shared" si="32"/>
        <v>0</v>
      </c>
      <c r="AH188" s="1183">
        <f t="shared" si="32"/>
        <v>0</v>
      </c>
      <c r="AI188" s="1183">
        <f t="shared" si="32"/>
        <v>0</v>
      </c>
      <c r="AJ188" s="1183">
        <f t="shared" si="32"/>
        <v>0</v>
      </c>
      <c r="AK188" s="1183">
        <f t="shared" si="32"/>
        <v>0</v>
      </c>
      <c r="AL188" s="1183">
        <f t="shared" si="32"/>
        <v>0</v>
      </c>
      <c r="AM188" s="1183">
        <f t="shared" si="32"/>
        <v>0</v>
      </c>
      <c r="AN188" s="1183">
        <f>SUM(P188:AM188)</f>
        <v>0</v>
      </c>
    </row>
    <row r="189" spans="2:40" s="6" customFormat="1" ht="14.1" customHeight="1">
      <c r="B189" s="265" t="str">
        <f>CONCATENATE("Each figure is product of percent in Row ",O184, " and baseline non-work-trip pay-per-ride figure in Row ",O167, ".")</f>
        <v>Each figure is product of percent in Row 184 and baseline non-work-trip pay-per-ride figure in Row 167.</v>
      </c>
      <c r="C189"/>
      <c r="D189"/>
      <c r="E189"/>
      <c r="F189"/>
      <c r="G189"/>
      <c r="H189"/>
      <c r="I189"/>
      <c r="J189"/>
      <c r="K189"/>
      <c r="L189"/>
      <c r="M189"/>
      <c r="N189"/>
      <c r="O189" s="21">
        <f>ROW()</f>
        <v>189</v>
      </c>
      <c r="P189" s="1183"/>
      <c r="Q189" s="1183"/>
      <c r="R189" s="1183"/>
      <c r="S189" s="1183"/>
      <c r="T189" s="1183"/>
      <c r="U189" s="1183"/>
      <c r="V189" s="1183"/>
      <c r="W189" s="1183"/>
      <c r="X189" s="1183"/>
      <c r="Y189" s="1183"/>
      <c r="Z189" s="1183"/>
      <c r="AA189" s="1183"/>
      <c r="AB189" s="1183"/>
      <c r="AC189" s="1183"/>
      <c r="AD189" s="1183"/>
      <c r="AE189" s="1183"/>
      <c r="AF189" s="1183"/>
      <c r="AG189" s="1183"/>
      <c r="AH189" s="1183"/>
      <c r="AI189" s="1183"/>
      <c r="AJ189" s="1183"/>
      <c r="AK189" s="1183"/>
      <c r="AL189" s="1183"/>
      <c r="AM189" s="1183"/>
      <c r="AN189" s="1183"/>
    </row>
    <row r="190" spans="2:40" s="6" customFormat="1" ht="14.1" customHeight="1">
      <c r="B190" s="1" t="s">
        <v>5080</v>
      </c>
      <c r="C190" s="9"/>
      <c r="D190" s="9"/>
      <c r="E190" s="9"/>
      <c r="F190" s="9"/>
      <c r="G190" s="9"/>
      <c r="H190" s="9"/>
      <c r="I190" s="9"/>
      <c r="J190" s="9"/>
      <c r="K190" s="9"/>
      <c r="L190" s="9"/>
      <c r="M190" s="9"/>
      <c r="N190" s="9"/>
      <c r="O190" s="21">
        <f>ROW()</f>
        <v>190</v>
      </c>
      <c r="P190" s="205">
        <f>P186+P188</f>
        <v>0</v>
      </c>
      <c r="Q190" s="205">
        <f t="shared" ref="Q190:AM190" si="33">Q186+Q188</f>
        <v>0</v>
      </c>
      <c r="R190" s="205">
        <f t="shared" si="33"/>
        <v>0</v>
      </c>
      <c r="S190" s="205">
        <f t="shared" si="33"/>
        <v>0</v>
      </c>
      <c r="T190" s="205">
        <f t="shared" si="33"/>
        <v>0</v>
      </c>
      <c r="U190" s="205">
        <f t="shared" si="33"/>
        <v>0</v>
      </c>
      <c r="V190" s="205">
        <f t="shared" si="33"/>
        <v>0</v>
      </c>
      <c r="W190" s="205">
        <f t="shared" si="33"/>
        <v>0</v>
      </c>
      <c r="X190" s="205">
        <f t="shared" si="33"/>
        <v>0</v>
      </c>
      <c r="Y190" s="205">
        <f t="shared" si="33"/>
        <v>0</v>
      </c>
      <c r="Z190" s="205">
        <f t="shared" si="33"/>
        <v>0</v>
      </c>
      <c r="AA190" s="205">
        <f t="shared" si="33"/>
        <v>0</v>
      </c>
      <c r="AB190" s="205">
        <f t="shared" si="33"/>
        <v>0</v>
      </c>
      <c r="AC190" s="205">
        <f t="shared" si="33"/>
        <v>0</v>
      </c>
      <c r="AD190" s="205">
        <f t="shared" si="33"/>
        <v>0</v>
      </c>
      <c r="AE190" s="205">
        <f t="shared" si="33"/>
        <v>0</v>
      </c>
      <c r="AF190" s="205">
        <f t="shared" si="33"/>
        <v>0</v>
      </c>
      <c r="AG190" s="205">
        <f t="shared" si="33"/>
        <v>0</v>
      </c>
      <c r="AH190" s="205">
        <f t="shared" si="33"/>
        <v>0</v>
      </c>
      <c r="AI190" s="205">
        <f t="shared" si="33"/>
        <v>0</v>
      </c>
      <c r="AJ190" s="205">
        <f t="shared" si="33"/>
        <v>0</v>
      </c>
      <c r="AK190" s="205">
        <f t="shared" si="33"/>
        <v>0</v>
      </c>
      <c r="AL190" s="205">
        <f t="shared" si="33"/>
        <v>0</v>
      </c>
      <c r="AM190" s="205">
        <f t="shared" si="33"/>
        <v>0</v>
      </c>
      <c r="AN190" s="205">
        <f>SUM(P190:AM190)</f>
        <v>0</v>
      </c>
    </row>
    <row r="191" spans="2:40" s="6" customFormat="1" ht="14.1" customHeight="1">
      <c r="B191" s="265" t="str">
        <f>CONCATENATE("Each figure is sum of Rows ",O186, " and ",O188, ".")</f>
        <v>Each figure is sum of Rows 186 and 188.</v>
      </c>
      <c r="O191" s="21">
        <f>ROW()</f>
        <v>191</v>
      </c>
      <c r="P191" s="720"/>
      <c r="Q191" s="720"/>
      <c r="R191" s="720"/>
      <c r="S191" s="720"/>
      <c r="T191" s="720"/>
      <c r="U191" s="720"/>
      <c r="V191" s="720"/>
      <c r="W191" s="720"/>
      <c r="X191" s="720"/>
      <c r="Y191" s="720"/>
      <c r="Z191" s="720"/>
      <c r="AA191" s="720"/>
      <c r="AB191" s="720"/>
      <c r="AC191" s="720"/>
      <c r="AD191" s="720"/>
      <c r="AE191" s="720"/>
      <c r="AF191" s="720"/>
      <c r="AG191" s="720"/>
      <c r="AH191" s="720"/>
      <c r="AI191" s="720"/>
      <c r="AJ191" s="720"/>
      <c r="AK191" s="720"/>
      <c r="AL191" s="720"/>
      <c r="AM191" s="720"/>
    </row>
    <row r="192" spans="2:40" s="6" customFormat="1" ht="14.1" customHeight="1">
      <c r="B192" s="265"/>
      <c r="O192" s="21">
        <f>ROW()</f>
        <v>192</v>
      </c>
      <c r="P192" s="720"/>
      <c r="Q192" s="720"/>
      <c r="R192" s="720"/>
      <c r="S192" s="720"/>
      <c r="T192" s="720"/>
      <c r="U192" s="720"/>
      <c r="V192" s="720"/>
      <c r="W192" s="720"/>
      <c r="X192" s="720"/>
      <c r="Y192" s="720"/>
      <c r="Z192" s="720"/>
      <c r="AA192" s="720"/>
      <c r="AB192" s="720"/>
      <c r="AC192" s="720"/>
      <c r="AD192" s="720"/>
      <c r="AE192" s="720"/>
      <c r="AF192" s="720"/>
      <c r="AG192" s="720"/>
      <c r="AH192" s="720"/>
      <c r="AI192" s="720"/>
      <c r="AJ192" s="720"/>
      <c r="AK192" s="720"/>
      <c r="AL192" s="720"/>
      <c r="AM192" s="720"/>
    </row>
    <row r="193" spans="2:42" s="6" customFormat="1" ht="14.1" customHeight="1">
      <c r="B193" s="24" t="s">
        <v>5081</v>
      </c>
      <c r="O193" s="21">
        <f>ROW()</f>
        <v>193</v>
      </c>
      <c r="P193" s="720">
        <f>P173+P190</f>
        <v>0</v>
      </c>
      <c r="Q193" s="720">
        <f t="shared" ref="Q193:AM193" si="34">Q173+Q190</f>
        <v>0</v>
      </c>
      <c r="R193" s="720">
        <f t="shared" si="34"/>
        <v>0</v>
      </c>
      <c r="S193" s="720">
        <f t="shared" si="34"/>
        <v>0</v>
      </c>
      <c r="T193" s="720">
        <f t="shared" si="34"/>
        <v>0</v>
      </c>
      <c r="U193" s="720">
        <f t="shared" si="34"/>
        <v>0</v>
      </c>
      <c r="V193" s="720">
        <f t="shared" si="34"/>
        <v>0</v>
      </c>
      <c r="W193" s="720">
        <f t="shared" si="34"/>
        <v>0</v>
      </c>
      <c r="X193" s="720">
        <f t="shared" si="34"/>
        <v>0</v>
      </c>
      <c r="Y193" s="720">
        <f t="shared" si="34"/>
        <v>0</v>
      </c>
      <c r="Z193" s="720">
        <f t="shared" si="34"/>
        <v>0</v>
      </c>
      <c r="AA193" s="720">
        <f t="shared" si="34"/>
        <v>0</v>
      </c>
      <c r="AB193" s="720">
        <f t="shared" si="34"/>
        <v>0</v>
      </c>
      <c r="AC193" s="720">
        <f t="shared" si="34"/>
        <v>0</v>
      </c>
      <c r="AD193" s="720">
        <f t="shared" si="34"/>
        <v>0</v>
      </c>
      <c r="AE193" s="720">
        <f t="shared" si="34"/>
        <v>0</v>
      </c>
      <c r="AF193" s="720">
        <f t="shared" si="34"/>
        <v>0</v>
      </c>
      <c r="AG193" s="720">
        <f t="shared" si="34"/>
        <v>0</v>
      </c>
      <c r="AH193" s="720">
        <f t="shared" si="34"/>
        <v>0</v>
      </c>
      <c r="AI193" s="720">
        <f t="shared" si="34"/>
        <v>0</v>
      </c>
      <c r="AJ193" s="720">
        <f t="shared" si="34"/>
        <v>0</v>
      </c>
      <c r="AK193" s="720">
        <f t="shared" si="34"/>
        <v>0</v>
      </c>
      <c r="AL193" s="720">
        <f t="shared" si="34"/>
        <v>0</v>
      </c>
      <c r="AM193" s="720">
        <f t="shared" si="34"/>
        <v>0</v>
      </c>
      <c r="AN193" s="2954">
        <f>SUM(P193:AM193)</f>
        <v>0</v>
      </c>
    </row>
    <row r="194" spans="2:42" s="6" customFormat="1" ht="14.1" customHeight="1">
      <c r="B194" s="265" t="str">
        <f>CONCATENATE("Each figure is sum of Rows ",O173, " and ",O190, ".")</f>
        <v>Each figure is sum of Rows 173 and 190.</v>
      </c>
      <c r="O194" s="21">
        <f>ROW()</f>
        <v>194</v>
      </c>
      <c r="P194" s="720"/>
      <c r="Q194" s="720"/>
      <c r="R194" s="720"/>
      <c r="S194" s="720"/>
      <c r="T194" s="720"/>
      <c r="U194" s="720"/>
      <c r="V194" s="720"/>
      <c r="W194" s="720"/>
      <c r="X194" s="720"/>
      <c r="Y194" s="720"/>
      <c r="Z194" s="720"/>
      <c r="AA194" s="720"/>
      <c r="AB194" s="720"/>
      <c r="AC194" s="720"/>
      <c r="AD194" s="720"/>
      <c r="AE194" s="720"/>
      <c r="AF194" s="720"/>
      <c r="AG194" s="720"/>
      <c r="AH194" s="720"/>
      <c r="AI194" s="720"/>
      <c r="AJ194" s="720"/>
      <c r="AK194" s="720"/>
      <c r="AL194" s="720"/>
      <c r="AM194" s="720"/>
    </row>
    <row r="195" spans="2:42" s="6" customFormat="1" ht="14.1" customHeight="1">
      <c r="B195" s="265"/>
      <c r="O195" s="21">
        <f>ROW()</f>
        <v>195</v>
      </c>
      <c r="P195" s="720"/>
      <c r="Q195" s="720"/>
      <c r="R195" s="720"/>
      <c r="S195" s="720"/>
      <c r="T195" s="720"/>
      <c r="U195" s="720"/>
      <c r="V195" s="720"/>
      <c r="W195" s="720"/>
      <c r="X195" s="720"/>
      <c r="Y195" s="720"/>
      <c r="Z195" s="720"/>
      <c r="AA195" s="720"/>
      <c r="AB195" s="720"/>
      <c r="AC195" s="720"/>
      <c r="AD195" s="720"/>
      <c r="AE195" s="720"/>
      <c r="AF195" s="720"/>
      <c r="AG195" s="720"/>
      <c r="AH195" s="720"/>
      <c r="AI195" s="720"/>
      <c r="AJ195" s="720"/>
      <c r="AK195" s="720"/>
      <c r="AL195" s="720"/>
      <c r="AM195" s="720"/>
    </row>
    <row r="196" spans="2:42" s="6" customFormat="1" ht="14.1" customHeight="1">
      <c r="B196" s="24" t="s">
        <v>5082</v>
      </c>
      <c r="O196" s="21">
        <f>ROW()</f>
        <v>196</v>
      </c>
      <c r="P196" s="720"/>
      <c r="Q196" s="720"/>
      <c r="R196" s="720"/>
      <c r="S196" s="720"/>
      <c r="T196" s="720"/>
      <c r="U196" s="720"/>
      <c r="V196" s="720"/>
      <c r="W196" s="720"/>
      <c r="X196" s="720"/>
      <c r="Y196" s="720"/>
      <c r="Z196" s="720"/>
      <c r="AA196" s="720"/>
      <c r="AB196" s="720"/>
      <c r="AC196" s="720"/>
      <c r="AD196" s="720"/>
      <c r="AE196" s="720"/>
      <c r="AF196" s="720"/>
      <c r="AG196" s="720"/>
      <c r="AH196" s="720"/>
      <c r="AI196" s="720"/>
      <c r="AJ196" s="720"/>
      <c r="AK196" s="720"/>
      <c r="AL196" s="720"/>
      <c r="AM196" s="720"/>
    </row>
    <row r="197" spans="2:42" s="6" customFormat="1" ht="14.1" customHeight="1" thickBot="1">
      <c r="B197" s="265"/>
      <c r="O197" s="21">
        <f>ROW()</f>
        <v>197</v>
      </c>
      <c r="P197" s="720"/>
      <c r="Q197" s="720"/>
      <c r="R197" s="720"/>
      <c r="S197" s="720"/>
      <c r="T197" s="720"/>
      <c r="U197" s="720"/>
      <c r="V197" s="720"/>
      <c r="W197" s="720"/>
      <c r="X197" s="720"/>
      <c r="Y197" s="720"/>
      <c r="Z197" s="720"/>
      <c r="AA197" s="720"/>
      <c r="AB197" s="720"/>
      <c r="AC197" s="720"/>
      <c r="AD197" s="720"/>
      <c r="AE197" s="720"/>
      <c r="AF197" s="720"/>
      <c r="AG197" s="720"/>
      <c r="AH197" s="720"/>
      <c r="AI197" s="720"/>
      <c r="AJ197" s="720"/>
      <c r="AK197" s="720"/>
      <c r="AL197" s="720"/>
      <c r="AM197" s="720"/>
    </row>
    <row r="198" spans="2:42" s="6" customFormat="1" ht="14.1" customHeight="1">
      <c r="B198" s="9" t="s">
        <v>808</v>
      </c>
      <c r="K198" s="4768" t="s">
        <v>4415</v>
      </c>
      <c r="L198" s="4769"/>
      <c r="M198" s="4769"/>
      <c r="N198" s="4770"/>
      <c r="O198" s="21">
        <f>ROW()</f>
        <v>198</v>
      </c>
    </row>
    <row r="199" spans="2:42" s="6" customFormat="1" ht="14.1" customHeight="1" thickBot="1">
      <c r="B199" s="1" t="s">
        <v>5083</v>
      </c>
      <c r="K199" s="1710"/>
      <c r="L199" s="1712">
        <v>-0.02</v>
      </c>
      <c r="M199" s="1711"/>
      <c r="N199" s="888"/>
      <c r="O199" s="21">
        <f>ROW()</f>
        <v>199</v>
      </c>
      <c r="P199" s="567">
        <f t="shared" ref="P199:AM199" si="35">IF(P159=0,$L$199, 0)</f>
        <v>0</v>
      </c>
      <c r="Q199" s="567">
        <f t="shared" si="35"/>
        <v>0</v>
      </c>
      <c r="R199" s="567">
        <f t="shared" si="35"/>
        <v>0</v>
      </c>
      <c r="S199" s="567">
        <f t="shared" si="35"/>
        <v>0</v>
      </c>
      <c r="T199" s="567">
        <f t="shared" si="35"/>
        <v>0</v>
      </c>
      <c r="U199" s="567">
        <f t="shared" si="35"/>
        <v>0</v>
      </c>
      <c r="V199" s="567">
        <f t="shared" si="35"/>
        <v>0</v>
      </c>
      <c r="W199" s="567">
        <f t="shared" si="35"/>
        <v>0</v>
      </c>
      <c r="X199" s="567">
        <f t="shared" si="35"/>
        <v>0</v>
      </c>
      <c r="Y199" s="567">
        <f t="shared" si="35"/>
        <v>0</v>
      </c>
      <c r="Z199" s="567">
        <f t="shared" si="35"/>
        <v>0</v>
      </c>
      <c r="AA199" s="567">
        <f t="shared" si="35"/>
        <v>0</v>
      </c>
      <c r="AB199" s="567">
        <f t="shared" si="35"/>
        <v>0</v>
      </c>
      <c r="AC199" s="567">
        <f t="shared" si="35"/>
        <v>0</v>
      </c>
      <c r="AD199" s="567">
        <f t="shared" si="35"/>
        <v>0</v>
      </c>
      <c r="AE199" s="567">
        <f t="shared" si="35"/>
        <v>0</v>
      </c>
      <c r="AF199" s="567">
        <f t="shared" si="35"/>
        <v>0</v>
      </c>
      <c r="AG199" s="567">
        <f t="shared" si="35"/>
        <v>0</v>
      </c>
      <c r="AH199" s="567">
        <f t="shared" si="35"/>
        <v>0</v>
      </c>
      <c r="AI199" s="567">
        <f t="shared" si="35"/>
        <v>0</v>
      </c>
      <c r="AJ199" s="567">
        <f t="shared" si="35"/>
        <v>0</v>
      </c>
      <c r="AK199" s="567">
        <f t="shared" si="35"/>
        <v>0</v>
      </c>
      <c r="AL199" s="567">
        <f t="shared" si="35"/>
        <v>0</v>
      </c>
      <c r="AM199" s="567">
        <f t="shared" si="35"/>
        <v>0</v>
      </c>
    </row>
    <row r="200" spans="2:42" s="6" customFormat="1" ht="14.1" customHeight="1">
      <c r="B200" s="4101" t="str">
        <f>CONCATENATE("Figure in box in Row ",O199, " above is Komanoff-Haikalis est., intended to reflect time savings from obviating need to use (and, in some instances, buy) MetroCards, as well as faster station egress from removing turnstiles, gates, etc.")</f>
        <v>Figure in box in Row 199 above is Komanoff-Haikalis est., intended to reflect time savings from obviating need to use (and, in some instances, buy) MetroCards, as well as faster station egress from removing turnstiles, gates, etc.</v>
      </c>
      <c r="C200" s="3659"/>
      <c r="D200" s="3659"/>
      <c r="E200" s="3659"/>
      <c r="F200" s="3659"/>
      <c r="G200" s="3659"/>
      <c r="H200" s="3659"/>
      <c r="I200" s="3659"/>
      <c r="J200" s="3659"/>
      <c r="K200" s="3659"/>
      <c r="L200" s="3659"/>
      <c r="M200" s="3659"/>
      <c r="N200" s="3659"/>
      <c r="O200" s="21">
        <f>ROW()</f>
        <v>200</v>
      </c>
      <c r="P200" s="9"/>
      <c r="Q200" s="9"/>
      <c r="R200" s="9"/>
      <c r="S200" s="9"/>
      <c r="T200" s="720"/>
      <c r="U200" s="720"/>
      <c r="V200" s="720"/>
      <c r="W200" s="720"/>
      <c r="X200" s="720"/>
      <c r="Y200" s="720"/>
      <c r="Z200" s="720"/>
      <c r="AA200" s="720"/>
      <c r="AB200" s="720"/>
      <c r="AC200" s="720"/>
      <c r="AD200" s="720"/>
      <c r="AE200" s="720"/>
      <c r="AF200" s="720"/>
      <c r="AG200" s="720"/>
      <c r="AH200" s="720"/>
      <c r="AI200" s="720"/>
      <c r="AJ200" s="720"/>
      <c r="AK200" s="720"/>
      <c r="AL200" s="720"/>
      <c r="AM200" s="720"/>
    </row>
    <row r="201" spans="2:42" s="6" customFormat="1" ht="14.1" customHeight="1">
      <c r="B201" s="3659"/>
      <c r="C201" s="3659"/>
      <c r="D201" s="3659"/>
      <c r="E201" s="3659"/>
      <c r="F201" s="3659"/>
      <c r="G201" s="3659"/>
      <c r="H201" s="3659"/>
      <c r="I201" s="3659"/>
      <c r="J201" s="3659"/>
      <c r="K201" s="3659"/>
      <c r="L201" s="3659"/>
      <c r="M201" s="3659"/>
      <c r="N201" s="3659"/>
      <c r="O201" s="21">
        <f>ROW()</f>
        <v>201</v>
      </c>
      <c r="P201" s="9"/>
      <c r="Q201" s="9"/>
      <c r="R201" s="9"/>
      <c r="S201" s="9"/>
      <c r="T201" s="720"/>
      <c r="U201" s="720"/>
      <c r="V201" s="720"/>
      <c r="W201" s="720"/>
      <c r="X201" s="720"/>
      <c r="Y201" s="720"/>
      <c r="Z201" s="720"/>
      <c r="AA201" s="720"/>
      <c r="AB201" s="720"/>
      <c r="AC201" s="720"/>
      <c r="AD201" s="720"/>
      <c r="AE201" s="720"/>
      <c r="AF201" s="720"/>
      <c r="AG201" s="720"/>
      <c r="AH201" s="720"/>
      <c r="AI201" s="720"/>
      <c r="AJ201" s="720"/>
      <c r="AK201" s="720"/>
      <c r="AL201" s="720"/>
      <c r="AM201" s="720"/>
    </row>
    <row r="202" spans="2:42" ht="14.1" customHeight="1">
      <c r="B202" s="1" t="s">
        <v>5788</v>
      </c>
      <c r="L202" s="1916">
        <f>Transit!$I$210+Transit!L340</f>
        <v>-8.4398477821031881E-2</v>
      </c>
      <c r="O202" s="21">
        <f>ROW()</f>
        <v>202</v>
      </c>
      <c r="P202" s="567">
        <f>$L$202</f>
        <v>-8.4398477821031881E-2</v>
      </c>
      <c r="Q202" s="567">
        <f t="shared" ref="Q202:AM202" si="36">$L$202</f>
        <v>-8.4398477821031881E-2</v>
      </c>
      <c r="R202" s="567">
        <f t="shared" si="36"/>
        <v>-8.4398477821031881E-2</v>
      </c>
      <c r="S202" s="567">
        <f t="shared" si="36"/>
        <v>-8.4398477821031881E-2</v>
      </c>
      <c r="T202" s="567">
        <f t="shared" si="36"/>
        <v>-8.4398477821031881E-2</v>
      </c>
      <c r="U202" s="567">
        <f t="shared" si="36"/>
        <v>-8.4398477821031881E-2</v>
      </c>
      <c r="V202" s="567">
        <f t="shared" si="36"/>
        <v>-8.4398477821031881E-2</v>
      </c>
      <c r="W202" s="567">
        <f t="shared" si="36"/>
        <v>-8.4398477821031881E-2</v>
      </c>
      <c r="X202" s="567">
        <f t="shared" si="36"/>
        <v>-8.4398477821031881E-2</v>
      </c>
      <c r="Y202" s="567">
        <f t="shared" si="36"/>
        <v>-8.4398477821031881E-2</v>
      </c>
      <c r="Z202" s="567">
        <f t="shared" si="36"/>
        <v>-8.4398477821031881E-2</v>
      </c>
      <c r="AA202" s="567">
        <f t="shared" si="36"/>
        <v>-8.4398477821031881E-2</v>
      </c>
      <c r="AB202" s="567">
        <f t="shared" si="36"/>
        <v>-8.4398477821031881E-2</v>
      </c>
      <c r="AC202" s="567">
        <f t="shared" si="36"/>
        <v>-8.4398477821031881E-2</v>
      </c>
      <c r="AD202" s="567">
        <f t="shared" si="36"/>
        <v>-8.4398477821031881E-2</v>
      </c>
      <c r="AE202" s="567">
        <f t="shared" si="36"/>
        <v>-8.4398477821031881E-2</v>
      </c>
      <c r="AF202" s="567">
        <f t="shared" si="36"/>
        <v>-8.4398477821031881E-2</v>
      </c>
      <c r="AG202" s="567">
        <f t="shared" si="36"/>
        <v>-8.4398477821031881E-2</v>
      </c>
      <c r="AH202" s="567">
        <f t="shared" si="36"/>
        <v>-8.4398477821031881E-2</v>
      </c>
      <c r="AI202" s="567">
        <f t="shared" si="36"/>
        <v>-8.4398477821031881E-2</v>
      </c>
      <c r="AJ202" s="567">
        <f t="shared" si="36"/>
        <v>-8.4398477821031881E-2</v>
      </c>
      <c r="AK202" s="567">
        <f t="shared" si="36"/>
        <v>-8.4398477821031881E-2</v>
      </c>
      <c r="AL202" s="567">
        <f t="shared" si="36"/>
        <v>-8.4398477821031881E-2</v>
      </c>
      <c r="AM202" s="567">
        <f t="shared" si="36"/>
        <v>-8.4398477821031881E-2</v>
      </c>
      <c r="AO202" s="4751" t="s">
        <v>3044</v>
      </c>
      <c r="AP202" s="4752"/>
    </row>
    <row r="203" spans="2:42" s="6" customFormat="1" ht="14.1" customHeight="1">
      <c r="B203" s="4101" t="str">
        <f>CONCATENATE("Figure in box in Row ",O202, " is sum of two Rows from 'Transit' worksheet: ",Transit!O210, " and ",Transit!O340, ". It reflects results of capital investments and/or operational expenditures" &amp; " using toll revenues that will help keep system in state of good repair, as well as possible service expansions. Is applied uniformly in all time periods.")</f>
        <v>Figure in box in Row 202 is sum of two Rows from 'Transit' worksheet: 210 and 340. It reflects results of capital investments and/or operational expenditures using toll revenues that will help keep system in state of good repair, as well as possible service expansions. Is applied uniformly in all time periods.</v>
      </c>
      <c r="C203" s="3659"/>
      <c r="D203" s="3659"/>
      <c r="E203" s="3659"/>
      <c r="F203" s="3659"/>
      <c r="G203" s="3659"/>
      <c r="H203" s="3659"/>
      <c r="I203" s="3659"/>
      <c r="J203" s="3659"/>
      <c r="K203" s="3659"/>
      <c r="L203" s="3659"/>
      <c r="M203" s="3659"/>
      <c r="N203" s="3659"/>
      <c r="O203" s="21">
        <f>ROW()</f>
        <v>203</v>
      </c>
      <c r="P203" s="567"/>
      <c r="Q203" s="567"/>
      <c r="R203" s="567"/>
      <c r="S203" s="567"/>
      <c r="T203" s="567"/>
      <c r="U203" s="567"/>
      <c r="V203" s="567"/>
      <c r="W203" s="567"/>
      <c r="X203" s="567"/>
      <c r="Y203" s="567"/>
      <c r="Z203" s="567"/>
      <c r="AA203" s="567"/>
      <c r="AB203" s="567"/>
      <c r="AC203" s="567"/>
      <c r="AD203" s="567"/>
      <c r="AE203" s="567"/>
      <c r="AF203" s="567"/>
      <c r="AG203" s="567"/>
      <c r="AH203" s="567"/>
      <c r="AI203" s="567"/>
      <c r="AJ203" s="567"/>
      <c r="AK203" s="567"/>
      <c r="AL203" s="567"/>
      <c r="AM203" s="567"/>
      <c r="AO203" s="4753"/>
      <c r="AP203" s="4754"/>
    </row>
    <row r="204" spans="2:42" s="6" customFormat="1" ht="14.1" customHeight="1">
      <c r="B204" s="3659"/>
      <c r="C204" s="3659"/>
      <c r="D204" s="3659"/>
      <c r="E204" s="3659"/>
      <c r="F204" s="3659"/>
      <c r="G204" s="3659"/>
      <c r="H204" s="3659"/>
      <c r="I204" s="3659"/>
      <c r="J204" s="3659"/>
      <c r="K204" s="3659"/>
      <c r="L204" s="3659"/>
      <c r="M204" s="3659"/>
      <c r="N204" s="3659"/>
      <c r="O204" s="21">
        <f>ROW()</f>
        <v>204</v>
      </c>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c r="AK204" s="567"/>
      <c r="AL204" s="567"/>
      <c r="AM204" s="567"/>
      <c r="AO204" s="4753"/>
      <c r="AP204" s="4754"/>
    </row>
    <row r="205" spans="2:42" s="6" customFormat="1" ht="14.1" customHeight="1">
      <c r="B205" s="3659"/>
      <c r="C205" s="3659"/>
      <c r="D205" s="3659"/>
      <c r="E205" s="3659"/>
      <c r="F205" s="3659"/>
      <c r="G205" s="3659"/>
      <c r="H205" s="3659"/>
      <c r="I205" s="3659"/>
      <c r="J205" s="3659"/>
      <c r="K205" s="3659"/>
      <c r="L205" s="3659"/>
      <c r="M205" s="3659"/>
      <c r="N205" s="3659"/>
      <c r="O205" s="21">
        <f>ROW()</f>
        <v>205</v>
      </c>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c r="AK205" s="567"/>
      <c r="AL205" s="567"/>
      <c r="AM205" s="567"/>
      <c r="AO205" s="4753"/>
      <c r="AP205" s="4754"/>
    </row>
    <row r="206" spans="2:42" s="6" customFormat="1" ht="14.1" customHeight="1">
      <c r="B206" s="9" t="s">
        <v>493</v>
      </c>
      <c r="C206" s="217"/>
      <c r="D206" s="217"/>
      <c r="E206" s="217"/>
      <c r="F206" s="217"/>
      <c r="G206" s="217"/>
      <c r="H206" s="217"/>
      <c r="I206" s="217"/>
      <c r="J206" s="217"/>
      <c r="K206" s="217"/>
      <c r="L206" s="726">
        <f>'User Inputs'!J108</f>
        <v>0</v>
      </c>
      <c r="M206" s="217"/>
      <c r="N206" s="217"/>
      <c r="O206" s="21">
        <f>ROW()</f>
        <v>206</v>
      </c>
      <c r="P206" s="567">
        <f t="shared" ref="P206:AM206" si="37">$L$206</f>
        <v>0</v>
      </c>
      <c r="Q206" s="567">
        <f t="shared" si="37"/>
        <v>0</v>
      </c>
      <c r="R206" s="567">
        <f t="shared" si="37"/>
        <v>0</v>
      </c>
      <c r="S206" s="567">
        <f t="shared" si="37"/>
        <v>0</v>
      </c>
      <c r="T206" s="567">
        <f t="shared" si="37"/>
        <v>0</v>
      </c>
      <c r="U206" s="567">
        <f t="shared" si="37"/>
        <v>0</v>
      </c>
      <c r="V206" s="567">
        <f t="shared" si="37"/>
        <v>0</v>
      </c>
      <c r="W206" s="567">
        <f t="shared" si="37"/>
        <v>0</v>
      </c>
      <c r="X206" s="567">
        <f t="shared" si="37"/>
        <v>0</v>
      </c>
      <c r="Y206" s="567">
        <f t="shared" si="37"/>
        <v>0</v>
      </c>
      <c r="Z206" s="567">
        <f t="shared" si="37"/>
        <v>0</v>
      </c>
      <c r="AA206" s="567">
        <f t="shared" si="37"/>
        <v>0</v>
      </c>
      <c r="AB206" s="567">
        <f t="shared" si="37"/>
        <v>0</v>
      </c>
      <c r="AC206" s="567">
        <f t="shared" si="37"/>
        <v>0</v>
      </c>
      <c r="AD206" s="567">
        <f t="shared" si="37"/>
        <v>0</v>
      </c>
      <c r="AE206" s="567">
        <f t="shared" si="37"/>
        <v>0</v>
      </c>
      <c r="AF206" s="567">
        <f t="shared" si="37"/>
        <v>0</v>
      </c>
      <c r="AG206" s="567">
        <f t="shared" si="37"/>
        <v>0</v>
      </c>
      <c r="AH206" s="567">
        <f t="shared" si="37"/>
        <v>0</v>
      </c>
      <c r="AI206" s="567">
        <f t="shared" si="37"/>
        <v>0</v>
      </c>
      <c r="AJ206" s="567">
        <f t="shared" si="37"/>
        <v>0</v>
      </c>
      <c r="AK206" s="567">
        <f t="shared" si="37"/>
        <v>0</v>
      </c>
      <c r="AL206" s="567">
        <f t="shared" si="37"/>
        <v>0</v>
      </c>
      <c r="AM206" s="567">
        <f t="shared" si="37"/>
        <v>0</v>
      </c>
      <c r="AO206" s="4753"/>
      <c r="AP206" s="4754"/>
    </row>
    <row r="207" spans="2:42" s="6" customFormat="1" ht="14.1" customHeight="1">
      <c r="B207" s="9" t="s">
        <v>809</v>
      </c>
      <c r="C207" s="217"/>
      <c r="D207" s="217"/>
      <c r="E207" s="217"/>
      <c r="F207" s="217"/>
      <c r="G207" s="217"/>
      <c r="H207" s="217"/>
      <c r="I207" s="217"/>
      <c r="J207" s="217"/>
      <c r="K207" s="217"/>
      <c r="L207" s="217"/>
      <c r="M207" s="217"/>
      <c r="N207" s="217"/>
      <c r="O207" s="21">
        <f>ROW()</f>
        <v>207</v>
      </c>
      <c r="P207" s="567">
        <f t="shared" ref="P207:AM207" si="38">SUM(P199:P206)</f>
        <v>-8.4398477821031881E-2</v>
      </c>
      <c r="Q207" s="567">
        <f t="shared" si="38"/>
        <v>-8.4398477821031881E-2</v>
      </c>
      <c r="R207" s="567">
        <f t="shared" si="38"/>
        <v>-8.4398477821031881E-2</v>
      </c>
      <c r="S207" s="567">
        <f t="shared" si="38"/>
        <v>-8.4398477821031881E-2</v>
      </c>
      <c r="T207" s="567">
        <f t="shared" si="38"/>
        <v>-8.4398477821031881E-2</v>
      </c>
      <c r="U207" s="567">
        <f t="shared" si="38"/>
        <v>-8.4398477821031881E-2</v>
      </c>
      <c r="V207" s="567">
        <f t="shared" si="38"/>
        <v>-8.4398477821031881E-2</v>
      </c>
      <c r="W207" s="567">
        <f t="shared" si="38"/>
        <v>-8.4398477821031881E-2</v>
      </c>
      <c r="X207" s="567">
        <f t="shared" si="38"/>
        <v>-8.4398477821031881E-2</v>
      </c>
      <c r="Y207" s="567">
        <f t="shared" si="38"/>
        <v>-8.4398477821031881E-2</v>
      </c>
      <c r="Z207" s="567">
        <f t="shared" si="38"/>
        <v>-8.4398477821031881E-2</v>
      </c>
      <c r="AA207" s="567">
        <f t="shared" si="38"/>
        <v>-8.4398477821031881E-2</v>
      </c>
      <c r="AB207" s="567">
        <f t="shared" si="38"/>
        <v>-8.4398477821031881E-2</v>
      </c>
      <c r="AC207" s="567">
        <f t="shared" si="38"/>
        <v>-8.4398477821031881E-2</v>
      </c>
      <c r="AD207" s="567">
        <f t="shared" si="38"/>
        <v>-8.4398477821031881E-2</v>
      </c>
      <c r="AE207" s="567">
        <f t="shared" si="38"/>
        <v>-8.4398477821031881E-2</v>
      </c>
      <c r="AF207" s="567">
        <f t="shared" si="38"/>
        <v>-8.4398477821031881E-2</v>
      </c>
      <c r="AG207" s="567">
        <f t="shared" si="38"/>
        <v>-8.4398477821031881E-2</v>
      </c>
      <c r="AH207" s="567">
        <f t="shared" si="38"/>
        <v>-8.4398477821031881E-2</v>
      </c>
      <c r="AI207" s="567">
        <f t="shared" si="38"/>
        <v>-8.4398477821031881E-2</v>
      </c>
      <c r="AJ207" s="567">
        <f t="shared" si="38"/>
        <v>-8.4398477821031881E-2</v>
      </c>
      <c r="AK207" s="567">
        <f t="shared" si="38"/>
        <v>-8.4398477821031881E-2</v>
      </c>
      <c r="AL207" s="567">
        <f t="shared" si="38"/>
        <v>-8.4398477821031881E-2</v>
      </c>
      <c r="AM207" s="567">
        <f t="shared" si="38"/>
        <v>-8.4398477821031881E-2</v>
      </c>
      <c r="AN207" s="1861">
        <f>AVERAGE(P207:AM207)</f>
        <v>-8.4398477821031839E-2</v>
      </c>
      <c r="AO207" s="4753"/>
      <c r="AP207" s="4754"/>
    </row>
    <row r="208" spans="2:42" s="6" customFormat="1" ht="14.1" customHeight="1">
      <c r="B208" s="265" t="str">
        <f>CONCATENATE("Sum of Rows ",O199, ", ",O202, " and ",O206, ". Simpler and probably at least as accurate as cross-products.")</f>
        <v>Sum of Rows 199, 202 and 206. Simpler and probably at least as accurate as cross-products.</v>
      </c>
      <c r="C208" s="217"/>
      <c r="D208" s="217"/>
      <c r="E208" s="217"/>
      <c r="F208" s="217"/>
      <c r="G208" s="217"/>
      <c r="H208" s="217"/>
      <c r="I208" s="217"/>
      <c r="J208" s="217"/>
      <c r="K208" s="217"/>
      <c r="L208" s="217"/>
      <c r="M208" s="217"/>
      <c r="N208" s="217"/>
      <c r="O208" s="21">
        <f>ROW()</f>
        <v>208</v>
      </c>
      <c r="P208" s="9"/>
      <c r="Q208" s="9"/>
      <c r="R208" s="9"/>
      <c r="S208" s="9"/>
      <c r="T208" s="720"/>
      <c r="U208" s="720"/>
      <c r="V208" s="720"/>
      <c r="W208" s="720"/>
      <c r="X208" s="720"/>
      <c r="Y208" s="720"/>
      <c r="Z208" s="720"/>
      <c r="AA208" s="720"/>
      <c r="AB208" s="720"/>
      <c r="AC208" s="720"/>
      <c r="AD208" s="720"/>
      <c r="AE208" s="720"/>
      <c r="AF208" s="720"/>
      <c r="AG208" s="720"/>
      <c r="AH208" s="720"/>
      <c r="AI208" s="720"/>
      <c r="AJ208" s="720"/>
      <c r="AK208" s="720"/>
      <c r="AL208" s="720"/>
      <c r="AM208" s="720"/>
      <c r="AO208" s="4753"/>
      <c r="AP208" s="4754"/>
    </row>
    <row r="209" spans="2:42" s="6" customFormat="1" ht="14.1" customHeight="1">
      <c r="B209" s="1" t="s">
        <v>5084</v>
      </c>
      <c r="C209" s="217"/>
      <c r="D209" s="217"/>
      <c r="E209" s="217"/>
      <c r="F209" s="217"/>
      <c r="G209" s="217"/>
      <c r="H209" s="217"/>
      <c r="I209" s="217"/>
      <c r="J209" s="217"/>
      <c r="K209" s="217"/>
      <c r="L209" s="217"/>
      <c r="M209" s="217"/>
      <c r="N209" s="217"/>
      <c r="O209" s="21">
        <f>ROW()</f>
        <v>209</v>
      </c>
      <c r="P209" s="1183">
        <f>((1+P$207)^Elasticities!$G$50-1)*P139</f>
        <v>416.66718370403407</v>
      </c>
      <c r="Q209" s="1183">
        <f>((1+Q$207)^Elasticities!$G$50-1)*Q139</f>
        <v>191.38233645884554</v>
      </c>
      <c r="R209" s="1183">
        <f>((1+R$207)^Elasticities!$G$50-1)*R139</f>
        <v>110.58805538321661</v>
      </c>
      <c r="S209" s="1183">
        <f>((1+S$207)^Elasticities!$G$50-1)*S139</f>
        <v>77.837729958641049</v>
      </c>
      <c r="T209" s="1183">
        <f>((1+T$207)^Elasticities!$G$50-1)*T139</f>
        <v>248.98345229229463</v>
      </c>
      <c r="U209" s="1183">
        <f>((1+U$207)^Elasticities!$G$50-1)*U139</f>
        <v>1592.9143787653941</v>
      </c>
      <c r="V209" s="1183">
        <f>((1+V$207)^Elasticities!$G$50-1)*V139</f>
        <v>6298.2872207980899</v>
      </c>
      <c r="W209" s="1183">
        <f>((1+W$207)^Elasticities!$G$50-1)*W139</f>
        <v>13783.268751335167</v>
      </c>
      <c r="X209" s="1183">
        <f>((1+X$207)^Elasticities!$G$50-1)*X139</f>
        <v>21721.656055268038</v>
      </c>
      <c r="Y209" s="1183">
        <f>((1+Y$207)^Elasticities!$G$50-1)*Y139</f>
        <v>11938.886747042694</v>
      </c>
      <c r="Z209" s="1183">
        <f>((1+Z$207)^Elasticities!$G$50-1)*Z139</f>
        <v>4800.3194376462588</v>
      </c>
      <c r="AA209" s="1183">
        <f>((1+AA$207)^Elasticities!$G$50-1)*AA139</f>
        <v>3775.6625169820782</v>
      </c>
      <c r="AB209" s="1183">
        <f>((1+AB$207)^Elasticities!$G$50-1)*AB139</f>
        <v>3784.4397781106359</v>
      </c>
      <c r="AC209" s="1183">
        <f>((1+AC$207)^Elasticities!$G$50-1)*AC139</f>
        <v>3670.4893704767278</v>
      </c>
      <c r="AD209" s="1183">
        <f>((1+AD$207)^Elasticities!$G$50-1)*AD139</f>
        <v>3735.2001584049185</v>
      </c>
      <c r="AE209" s="1183">
        <f>((1+AE$207)^Elasticities!$G$50-1)*AE139</f>
        <v>4832.9624250477445</v>
      </c>
      <c r="AF209" s="1183">
        <f>((1+AF$207)^Elasticities!$G$50-1)*AF139</f>
        <v>6368.2765937857912</v>
      </c>
      <c r="AG209" s="1183">
        <f>((1+AG$207)^Elasticities!$G$50-1)*AG139</f>
        <v>8834.2929452561657</v>
      </c>
      <c r="AH209" s="1183">
        <f>((1+AH$207)^Elasticities!$G$50-1)*AH139</f>
        <v>7283.6117759973768</v>
      </c>
      <c r="AI209" s="1183">
        <f>((1+AI$207)^Elasticities!$G$50-1)*AI139</f>
        <v>4805.0001906784382</v>
      </c>
      <c r="AJ209" s="1183">
        <f>((1+AJ$207)^Elasticities!$G$50-1)*AJ139</f>
        <v>2976.3520383780237</v>
      </c>
      <c r="AK209" s="1183">
        <f>((1+AK$207)^Elasticities!$G$50-1)*AK139</f>
        <v>1904.285226334202</v>
      </c>
      <c r="AL209" s="1183">
        <f>((1+AL$207)^Elasticities!$G$50-1)*AL139</f>
        <v>1340.1491859971725</v>
      </c>
      <c r="AM209" s="1183">
        <f>((1+AM$207)^Elasticities!$G$50-1)*AM139</f>
        <v>677.78934356947661</v>
      </c>
      <c r="AN209" s="1184">
        <f>SUM(P209:AM209)</f>
        <v>115169.30289767141</v>
      </c>
      <c r="AO209" s="4753"/>
      <c r="AP209" s="4754"/>
    </row>
    <row r="210" spans="2:42" s="6" customFormat="1" ht="14.1" customHeight="1">
      <c r="B210" s="265" t="str">
        <f>CONCATENATE("Results in Row ",O209, " draw on transit time-elasticities for work trips from 'Subways' worksheet, Row ",Subways!O64, ".")</f>
        <v>Results in Row 209 draw on transit time-elasticities for work trips from 'Subways' worksheet, Row 64.</v>
      </c>
      <c r="C210" s="217"/>
      <c r="D210" s="217"/>
      <c r="E210" s="217"/>
      <c r="F210" s="217"/>
      <c r="G210" s="217"/>
      <c r="H210" s="217"/>
      <c r="I210" s="217"/>
      <c r="J210" s="217"/>
      <c r="K210" s="217"/>
      <c r="L210" s="217"/>
      <c r="M210" s="217"/>
      <c r="N210" s="217"/>
      <c r="O210" s="21">
        <f>ROW()</f>
        <v>210</v>
      </c>
      <c r="P210" s="265"/>
      <c r="Q210" s="1131"/>
      <c r="R210" s="1131"/>
      <c r="S210" s="1131"/>
      <c r="T210" s="1131"/>
      <c r="U210" s="1131"/>
      <c r="V210" s="1131"/>
      <c r="W210" s="1131"/>
      <c r="X210" s="1131"/>
      <c r="Y210" s="1131"/>
      <c r="Z210" s="1131"/>
      <c r="AA210" s="1131"/>
      <c r="AB210" s="1131"/>
      <c r="AC210" s="1131"/>
      <c r="AD210" s="1131"/>
      <c r="AE210" s="1131"/>
      <c r="AF210" s="1131"/>
      <c r="AG210" s="1131"/>
      <c r="AH210" s="1131"/>
      <c r="AI210" s="1131"/>
      <c r="AJ210" s="1131"/>
      <c r="AK210" s="1131"/>
      <c r="AL210" s="1131"/>
      <c r="AM210" s="1131"/>
      <c r="AN210" s="1127"/>
      <c r="AO210" s="4755"/>
      <c r="AP210" s="4756"/>
    </row>
    <row r="211" spans="2:42" ht="14.1" customHeight="1">
      <c r="B211" s="1" t="s">
        <v>5085</v>
      </c>
      <c r="O211" s="21">
        <f>ROW()</f>
        <v>211</v>
      </c>
      <c r="P211" s="1183">
        <f>((1+P$207)^Elasticities!$H$50-1)*P143</f>
        <v>1454.6183305601721</v>
      </c>
      <c r="Q211" s="1183">
        <f>((1+Q$207)^Elasticities!$H$50-1)*Q143</f>
        <v>668.13098234348854</v>
      </c>
      <c r="R211" s="1183">
        <f>((1+R$207)^Elasticities!$H$50-1)*R143</f>
        <v>386.07171093103045</v>
      </c>
      <c r="S211" s="1183">
        <f>((1+S$207)^Elasticities!$H$50-1)*S143</f>
        <v>271.73771594034878</v>
      </c>
      <c r="T211" s="1183">
        <f>((1+T$207)^Elasticities!$H$50-1)*T143</f>
        <v>274.4908630414136</v>
      </c>
      <c r="U211" s="1183">
        <f>((1+U$207)^Elasticities!$H$50-1)*U143</f>
        <v>439.02560446576467</v>
      </c>
      <c r="V211" s="1183">
        <f>((1+V$207)^Elasticities!$H$50-1)*V143</f>
        <v>365.44857203687434</v>
      </c>
      <c r="W211" s="1183">
        <f>((1+W$207)^Elasticities!$H$50-1)*W143</f>
        <v>799.75328316920309</v>
      </c>
      <c r="X211" s="1183">
        <f>((1+X$207)^Elasticities!$H$50-1)*X143</f>
        <v>1260.366177245874</v>
      </c>
      <c r="Y211" s="1183">
        <f>((1+Y$207)^Elasticities!$H$50-1)*Y143</f>
        <v>3290.4951079864004</v>
      </c>
      <c r="Z211" s="1183">
        <f>((1+Z$207)^Elasticities!$H$50-1)*Z143</f>
        <v>3528.0626434754499</v>
      </c>
      <c r="AA211" s="1183">
        <f>((1+AA$207)^Elasticities!$H$50-1)*AA143</f>
        <v>2774.9765517826745</v>
      </c>
      <c r="AB211" s="1183">
        <f>((1+AB$207)^Elasticities!$H$50-1)*AB143</f>
        <v>2781.4275239527424</v>
      </c>
      <c r="AC211" s="1183">
        <f>((1+AC$207)^Elasticities!$H$50-1)*AC143</f>
        <v>3310.7867108495261</v>
      </c>
      <c r="AD211" s="1183">
        <f>((1+AD$207)^Elasticities!$H$50-1)*AD143</f>
        <v>5032.9366436069622</v>
      </c>
      <c r="AE211" s="1183">
        <f>((1+AE$207)^Elasticities!$H$50-1)*AE143</f>
        <v>6512.0991257897394</v>
      </c>
      <c r="AF211" s="1183">
        <f>((1+AF$207)^Elasticities!$H$50-1)*AF143</f>
        <v>8580.8340293003675</v>
      </c>
      <c r="AG211" s="1183">
        <f>((1+AG$207)^Elasticities!$H$50-1)*AG143</f>
        <v>11903.62893524975</v>
      </c>
      <c r="AH211" s="1183">
        <f>((1+AH$207)^Elasticities!$H$50-1)*AH143</f>
        <v>9814.1880088372054</v>
      </c>
      <c r="AI211" s="1183">
        <f>((1+AI$207)^Elasticities!$H$50-1)*AI143</f>
        <v>6474.4218533475296</v>
      </c>
      <c r="AJ211" s="1183">
        <f>((1+AJ$207)^Elasticities!$H$50-1)*AJ143</f>
        <v>4921.9020312865441</v>
      </c>
      <c r="AK211" s="1183">
        <f>((1+AK$207)^Elasticities!$H$50-1)*AK143</f>
        <v>3898.8337668538816</v>
      </c>
      <c r="AL211" s="1183">
        <f>((1+AL$207)^Elasticities!$H$50-1)*AL143</f>
        <v>3447.3655751994088</v>
      </c>
      <c r="AM211" s="1183">
        <f>((1+AM$207)^Elasticities!$H$50-1)*AM143</f>
        <v>2366.2165919810632</v>
      </c>
      <c r="AN211" s="1184">
        <f>SUM(P211:AM211)</f>
        <v>84557.818339233432</v>
      </c>
    </row>
    <row r="212" spans="2:42" ht="14.1" customHeight="1">
      <c r="B212" s="265" t="str">
        <f>CONCATENATE("Results in Row ",O211, " draw on transit time-elasticities for work trips from 'Subways' worksheet, Row ",Subways!O64, ".")</f>
        <v>Results in Row 211 draw on transit time-elasticities for work trips from 'Subways' worksheet, Row 64.</v>
      </c>
      <c r="O212" s="21">
        <f>ROW()</f>
        <v>212</v>
      </c>
      <c r="P212" s="1184"/>
      <c r="Q212" s="1184"/>
      <c r="R212" s="1184"/>
      <c r="S212" s="1184"/>
      <c r="T212" s="1184"/>
      <c r="U212" s="1184"/>
      <c r="V212" s="1184"/>
      <c r="W212" s="1184"/>
      <c r="X212" s="1184"/>
      <c r="Y212" s="1184"/>
      <c r="Z212" s="1184"/>
      <c r="AA212" s="1184"/>
      <c r="AB212" s="1184"/>
      <c r="AC212" s="1184"/>
      <c r="AD212" s="1184"/>
      <c r="AE212" s="1184"/>
      <c r="AF212" s="1184"/>
      <c r="AG212" s="1184"/>
      <c r="AH212" s="1184"/>
      <c r="AI212" s="1184"/>
      <c r="AJ212" s="1184"/>
      <c r="AK212" s="1184"/>
      <c r="AL212" s="1184"/>
      <c r="AM212" s="1184"/>
      <c r="AN212" s="1122"/>
    </row>
    <row r="213" spans="2:42" s="2" customFormat="1" ht="14.1" customHeight="1">
      <c r="B213" s="2" t="s">
        <v>5086</v>
      </c>
      <c r="O213" s="2146">
        <f>ROW()</f>
        <v>213</v>
      </c>
      <c r="P213" s="720">
        <f>P209+P211</f>
        <v>1871.2855142642061</v>
      </c>
      <c r="Q213" s="720">
        <f t="shared" ref="Q213:AM213" si="39">Q209+Q211</f>
        <v>859.51331880233408</v>
      </c>
      <c r="R213" s="720">
        <f t="shared" si="39"/>
        <v>496.65976631424707</v>
      </c>
      <c r="S213" s="720">
        <f t="shared" si="39"/>
        <v>349.57544589898981</v>
      </c>
      <c r="T213" s="720">
        <f t="shared" si="39"/>
        <v>523.4743153337082</v>
      </c>
      <c r="U213" s="720">
        <f t="shared" si="39"/>
        <v>2031.9399832311587</v>
      </c>
      <c r="V213" s="720">
        <f t="shared" si="39"/>
        <v>6663.7357928349647</v>
      </c>
      <c r="W213" s="720">
        <f t="shared" si="39"/>
        <v>14583.022034504369</v>
      </c>
      <c r="X213" s="720">
        <f t="shared" si="39"/>
        <v>22982.022232513911</v>
      </c>
      <c r="Y213" s="720">
        <f t="shared" si="39"/>
        <v>15229.381855029094</v>
      </c>
      <c r="Z213" s="720">
        <f t="shared" si="39"/>
        <v>8328.3820811217083</v>
      </c>
      <c r="AA213" s="720">
        <f t="shared" si="39"/>
        <v>6550.6390687647527</v>
      </c>
      <c r="AB213" s="720">
        <f t="shared" si="39"/>
        <v>6565.8673020633778</v>
      </c>
      <c r="AC213" s="720">
        <f t="shared" si="39"/>
        <v>6981.2760813262539</v>
      </c>
      <c r="AD213" s="720">
        <f t="shared" si="39"/>
        <v>8768.1368020118807</v>
      </c>
      <c r="AE213" s="720">
        <f t="shared" si="39"/>
        <v>11345.061550837483</v>
      </c>
      <c r="AF213" s="720">
        <f t="shared" si="39"/>
        <v>14949.110623086159</v>
      </c>
      <c r="AG213" s="720">
        <f t="shared" si="39"/>
        <v>20737.921880505914</v>
      </c>
      <c r="AH213" s="720">
        <f t="shared" si="39"/>
        <v>17097.799784834584</v>
      </c>
      <c r="AI213" s="720">
        <f t="shared" si="39"/>
        <v>11279.422044025967</v>
      </c>
      <c r="AJ213" s="720">
        <f t="shared" si="39"/>
        <v>7898.2540696645683</v>
      </c>
      <c r="AK213" s="720">
        <f t="shared" si="39"/>
        <v>5803.1189931880836</v>
      </c>
      <c r="AL213" s="720">
        <f t="shared" si="39"/>
        <v>4787.5147611965813</v>
      </c>
      <c r="AM213" s="720">
        <f t="shared" si="39"/>
        <v>3044.00593555054</v>
      </c>
      <c r="AN213" s="720">
        <f>SUM(P213:AM213)</f>
        <v>199727.12123690487</v>
      </c>
    </row>
    <row r="214" spans="2:42" s="6" customFormat="1" ht="14.1" customHeight="1">
      <c r="B214" s="265" t="str">
        <f>CONCATENATE("Each figure is sum of Rows ",O209, " and ",O211, ".")</f>
        <v>Each figure is sum of Rows 209 and 211.</v>
      </c>
      <c r="O214" s="21">
        <f>ROW()</f>
        <v>214</v>
      </c>
      <c r="P214" s="720"/>
      <c r="Q214" s="720"/>
      <c r="R214" s="720"/>
      <c r="S214" s="720"/>
      <c r="T214" s="720"/>
      <c r="U214" s="720"/>
      <c r="V214" s="720"/>
      <c r="W214" s="720"/>
      <c r="X214" s="720"/>
      <c r="Y214" s="720"/>
      <c r="Z214" s="720"/>
      <c r="AA214" s="720"/>
      <c r="AB214" s="720"/>
      <c r="AC214" s="720"/>
      <c r="AD214" s="720"/>
      <c r="AE214" s="720"/>
      <c r="AF214" s="720"/>
      <c r="AG214" s="720"/>
      <c r="AH214" s="720"/>
      <c r="AI214" s="720"/>
      <c r="AJ214" s="720"/>
      <c r="AK214" s="720"/>
      <c r="AL214" s="720"/>
      <c r="AM214" s="720"/>
    </row>
    <row r="215" spans="2:42" s="6" customFormat="1" ht="14.1" customHeight="1">
      <c r="B215" s="1" t="s">
        <v>5098</v>
      </c>
      <c r="O215" s="21">
        <f>ROW()</f>
        <v>215</v>
      </c>
      <c r="P215" s="1183">
        <f>Transit!$H$20*Subways!P213</f>
        <v>901.72102002642862</v>
      </c>
      <c r="Q215" s="1183">
        <f>Transit!$H$20*Subways!Q213</f>
        <v>414.1758276055964</v>
      </c>
      <c r="R215" s="1183">
        <f>Transit!$H$20*Subways!R213</f>
        <v>239.32668086893497</v>
      </c>
      <c r="S215" s="1183">
        <f>Transit!$H$20*Subways!S213</f>
        <v>168.45079238278385</v>
      </c>
      <c r="T215" s="1183">
        <f>Transit!$H$20*Subways!T213</f>
        <v>252.24787451312588</v>
      </c>
      <c r="U215" s="1183">
        <f>Transit!$H$20*Subways!U213</f>
        <v>979.13598985568319</v>
      </c>
      <c r="V215" s="1183">
        <f>Transit!$H$20*Subways!V213</f>
        <v>3211.0709939762733</v>
      </c>
      <c r="W215" s="1183">
        <f>Transit!$H$20*Subways!W213</f>
        <v>7027.1572156062475</v>
      </c>
      <c r="X215" s="1183">
        <f>Transit!$H$20*Subways!X213</f>
        <v>11074.404398369419</v>
      </c>
      <c r="Y215" s="1183">
        <f>Transit!$H$20*Subways!Y213</f>
        <v>7338.6202351320662</v>
      </c>
      <c r="Z215" s="1183">
        <f>Transit!$H$20*Subways!Z213</f>
        <v>4013.2182545707346</v>
      </c>
      <c r="AA215" s="1183">
        <f>Transit!$H$20*Subways!AA213</f>
        <v>3156.5727933474195</v>
      </c>
      <c r="AB215" s="1183">
        <f>Transit!$H$20*Subways!AB213</f>
        <v>3163.9108601248113</v>
      </c>
      <c r="AC215" s="1183">
        <f>Transit!$H$20*Subways!AC213</f>
        <v>3364.0849251242621</v>
      </c>
      <c r="AD215" s="1183">
        <f>Transit!$H$20*Subways!AD213</f>
        <v>4225.1239592105967</v>
      </c>
      <c r="AE215" s="1183">
        <f>Transit!$H$20*Subways!AE213</f>
        <v>5466.8731179198394</v>
      </c>
      <c r="AF215" s="1183">
        <f>Transit!$H$20*Subways!AF213</f>
        <v>7203.5652372575059</v>
      </c>
      <c r="AG215" s="1183">
        <f>Transit!$H$20*Subways!AG213</f>
        <v>9993.0341622245705</v>
      </c>
      <c r="AH215" s="1183">
        <f>Transit!$H$20*Subways!AH213</f>
        <v>8238.9594450801214</v>
      </c>
      <c r="AI215" s="1183">
        <f>Transit!$H$20*Subways!AI213</f>
        <v>5435.2432449876032</v>
      </c>
      <c r="AJ215" s="1183">
        <f>Transit!$H$20*Subways!AJ213</f>
        <v>3805.95139642612</v>
      </c>
      <c r="AK215" s="1183">
        <f>Transit!$H$20*Subways!AK213</f>
        <v>2796.3634293026885</v>
      </c>
      <c r="AL215" s="1183">
        <f>Transit!$H$20*Subways!AL213</f>
        <v>2306.9716838775512</v>
      </c>
      <c r="AM215" s="1183">
        <f>Transit!$H$20*Subways!AM213</f>
        <v>1466.8227356264313</v>
      </c>
      <c r="AN215" s="1184">
        <f>SUM(P215:AM215)</f>
        <v>96243.006273416802</v>
      </c>
    </row>
    <row r="216" spans="2:42" s="6" customFormat="1" ht="14.1" customHeight="1">
      <c r="B216" s="1" t="s">
        <v>5099</v>
      </c>
      <c r="O216" s="21">
        <f>ROW()</f>
        <v>216</v>
      </c>
      <c r="P216" s="1183">
        <f>Transit!$U$20*Subways!P213</f>
        <v>969.56449423777815</v>
      </c>
      <c r="Q216" s="1183">
        <f>Transit!$U$20*Subways!Q213</f>
        <v>445.33749119673797</v>
      </c>
      <c r="R216" s="1183">
        <f>Transit!$U$20*Subways!R213</f>
        <v>257.33308544531224</v>
      </c>
      <c r="S216" s="1183">
        <f>Transit!$U$20*Subways!S213</f>
        <v>181.12465351620608</v>
      </c>
      <c r="T216" s="1183">
        <f>Transit!$U$20*Subways!T213</f>
        <v>271.22644082058252</v>
      </c>
      <c r="U216" s="1183">
        <f>Transit!$U$20*Subways!U213</f>
        <v>1052.8039933754762</v>
      </c>
      <c r="V216" s="1183">
        <f>Transit!$U$20*Subways!V213</f>
        <v>3452.6647988586938</v>
      </c>
      <c r="W216" s="1183">
        <f>Transit!$U$20*Subways!W213</f>
        <v>7555.864818898126</v>
      </c>
      <c r="X216" s="1183">
        <f>Transit!$U$20*Subways!X213</f>
        <v>11907.617834144499</v>
      </c>
      <c r="Y216" s="1183">
        <f>Transit!$U$20*Subways!Y213</f>
        <v>7890.7616198970327</v>
      </c>
      <c r="Z216" s="1183">
        <f>Transit!$U$20*Subways!Z213</f>
        <v>4315.1638265509764</v>
      </c>
      <c r="AA216" s="1183">
        <f>Transit!$U$20*Subways!AA213</f>
        <v>3394.0662754173354</v>
      </c>
      <c r="AB216" s="1183">
        <f>Transit!$U$20*Subways!AB213</f>
        <v>3401.9564419385688</v>
      </c>
      <c r="AC216" s="1183">
        <f>Transit!$U$20*Subways!AC213</f>
        <v>3617.1911562019941</v>
      </c>
      <c r="AD216" s="1183">
        <f>Transit!$U$20*Subways!AD213</f>
        <v>4543.0128428012868</v>
      </c>
      <c r="AE216" s="1183">
        <f>Transit!$U$20*Subways!AE213</f>
        <v>5878.1884329176473</v>
      </c>
      <c r="AF216" s="1183">
        <f>Transit!$U$20*Subways!AF213</f>
        <v>7745.5453858286573</v>
      </c>
      <c r="AG216" s="1183">
        <f>Transit!$U$20*Subways!AG213</f>
        <v>10744.88771828135</v>
      </c>
      <c r="AH216" s="1183">
        <f>Transit!$U$20*Subways!AH213</f>
        <v>8858.840339754468</v>
      </c>
      <c r="AI216" s="1183">
        <f>Transit!$U$20*Subways!AI213</f>
        <v>5844.1787990383673</v>
      </c>
      <c r="AJ216" s="1183">
        <f>Transit!$U$20*Subways!AJ213</f>
        <v>4092.302673238451</v>
      </c>
      <c r="AK216" s="1183">
        <f>Transit!$U$20*Subways!AK213</f>
        <v>3006.7555638853974</v>
      </c>
      <c r="AL216" s="1183">
        <f>Transit!$U$20*Subways!AL213</f>
        <v>2480.5430773190315</v>
      </c>
      <c r="AM216" s="1183">
        <f>Transit!$U$20*Subways!AM213</f>
        <v>1577.1831999241099</v>
      </c>
      <c r="AN216" s="1184">
        <f>SUM(P216:AM216)</f>
        <v>103484.11496348809</v>
      </c>
    </row>
    <row r="217" spans="2:42" s="6" customFormat="1" ht="14.1" customHeight="1">
      <c r="B217" s="265" t="str">
        <f>CONCATENATE("Figures in above two rows are product of respective subway ridership shares from 'Transit' Row ",Transit!O20," and total change in Row ",O213,".")</f>
        <v>Figures in above two rows are product of respective subway ridership shares from 'Transit' Row 20 and total change in Row 213.</v>
      </c>
      <c r="O217" s="21">
        <f>ROW()</f>
        <v>217</v>
      </c>
      <c r="P217" s="720"/>
      <c r="Q217" s="720"/>
      <c r="R217" s="720"/>
      <c r="S217" s="720"/>
      <c r="T217" s="720"/>
      <c r="U217" s="720"/>
      <c r="V217" s="720"/>
      <c r="W217" s="720"/>
      <c r="X217" s="720"/>
      <c r="Y217" s="720"/>
      <c r="Z217" s="720"/>
      <c r="AA217" s="720"/>
      <c r="AB217" s="720"/>
      <c r="AC217" s="720"/>
      <c r="AD217" s="720"/>
      <c r="AE217" s="720"/>
      <c r="AF217" s="720"/>
      <c r="AG217" s="720"/>
      <c r="AH217" s="720"/>
      <c r="AI217" s="720"/>
      <c r="AJ217" s="720"/>
      <c r="AK217" s="720"/>
      <c r="AL217" s="720"/>
      <c r="AM217" s="720"/>
    </row>
    <row r="218" spans="2:42" s="6" customFormat="1" ht="14.1" customHeight="1">
      <c r="B218" s="265"/>
      <c r="O218" s="21">
        <f>ROW()</f>
        <v>218</v>
      </c>
      <c r="P218" s="720"/>
      <c r="Q218" s="720"/>
      <c r="R218" s="720"/>
      <c r="S218" s="720"/>
      <c r="T218" s="720"/>
      <c r="U218" s="720"/>
      <c r="V218" s="720"/>
      <c r="W218" s="720"/>
      <c r="X218" s="720"/>
      <c r="Y218" s="720"/>
      <c r="Z218" s="720"/>
      <c r="AA218" s="720"/>
      <c r="AB218" s="720"/>
      <c r="AC218" s="720"/>
      <c r="AD218" s="720"/>
      <c r="AE218" s="720"/>
      <c r="AF218" s="720"/>
      <c r="AG218" s="720"/>
      <c r="AH218" s="720"/>
      <c r="AI218" s="720"/>
      <c r="AJ218" s="720"/>
      <c r="AK218" s="720"/>
      <c r="AL218" s="720"/>
      <c r="AM218" s="720"/>
    </row>
    <row r="219" spans="2:42" ht="14.1" customHeight="1">
      <c r="B219" s="9" t="s">
        <v>4454</v>
      </c>
      <c r="O219" s="21">
        <f>ROW()</f>
        <v>219</v>
      </c>
      <c r="P219" s="1183">
        <f>P169+P186+P209</f>
        <v>416.66718370403407</v>
      </c>
      <c r="Q219" s="1183">
        <f t="shared" ref="Q219:AM219" si="40">Q169+Q186+Q209</f>
        <v>191.38233645884554</v>
      </c>
      <c r="R219" s="1183">
        <f t="shared" si="40"/>
        <v>110.58805538321661</v>
      </c>
      <c r="S219" s="1183">
        <f t="shared" si="40"/>
        <v>77.837729958641049</v>
      </c>
      <c r="T219" s="1183">
        <f t="shared" si="40"/>
        <v>248.98345229229463</v>
      </c>
      <c r="U219" s="1183">
        <f t="shared" si="40"/>
        <v>1592.9143787653941</v>
      </c>
      <c r="V219" s="1183">
        <f t="shared" si="40"/>
        <v>6298.2872207980899</v>
      </c>
      <c r="W219" s="1183">
        <f t="shared" si="40"/>
        <v>13783.268751335167</v>
      </c>
      <c r="X219" s="1183">
        <f t="shared" si="40"/>
        <v>21721.656055268038</v>
      </c>
      <c r="Y219" s="1183">
        <f t="shared" si="40"/>
        <v>11938.886747042694</v>
      </c>
      <c r="Z219" s="1183">
        <f t="shared" si="40"/>
        <v>4800.3194376462588</v>
      </c>
      <c r="AA219" s="1183">
        <f t="shared" si="40"/>
        <v>3775.6625169820782</v>
      </c>
      <c r="AB219" s="1183">
        <f t="shared" si="40"/>
        <v>3784.4397781106359</v>
      </c>
      <c r="AC219" s="1183">
        <f t="shared" si="40"/>
        <v>3670.4893704767278</v>
      </c>
      <c r="AD219" s="1183">
        <f t="shared" si="40"/>
        <v>3735.2001584049185</v>
      </c>
      <c r="AE219" s="1183">
        <f t="shared" si="40"/>
        <v>4832.9624250477445</v>
      </c>
      <c r="AF219" s="1183">
        <f t="shared" si="40"/>
        <v>6368.2765937857912</v>
      </c>
      <c r="AG219" s="1183">
        <f t="shared" si="40"/>
        <v>8834.2929452561657</v>
      </c>
      <c r="AH219" s="1183">
        <f t="shared" si="40"/>
        <v>7283.6117759973768</v>
      </c>
      <c r="AI219" s="1183">
        <f t="shared" si="40"/>
        <v>4805.0001906784382</v>
      </c>
      <c r="AJ219" s="1183">
        <f t="shared" si="40"/>
        <v>2976.3520383780237</v>
      </c>
      <c r="AK219" s="1183">
        <f t="shared" si="40"/>
        <v>1904.285226334202</v>
      </c>
      <c r="AL219" s="1183">
        <f t="shared" si="40"/>
        <v>1340.1491859971725</v>
      </c>
      <c r="AM219" s="1183">
        <f t="shared" si="40"/>
        <v>677.78934356947661</v>
      </c>
      <c r="AN219" s="1184">
        <f>SUM(P219:AM219)</f>
        <v>115169.30289767141</v>
      </c>
    </row>
    <row r="220" spans="2:42" ht="14.1" customHeight="1">
      <c r="B220" s="265" t="str">
        <f>CONCATENATE("Each figure is sum of Rows ",O169, ", ",O186, " and ",O209, ".")</f>
        <v>Each figure is sum of Rows 169, 186 and 209.</v>
      </c>
      <c r="O220" s="21">
        <f>ROW()</f>
        <v>220</v>
      </c>
      <c r="P220" s="1184"/>
      <c r="Q220" s="1184"/>
      <c r="R220" s="1184"/>
      <c r="S220" s="1184"/>
      <c r="T220" s="1184"/>
      <c r="U220" s="1184"/>
      <c r="V220" s="1184"/>
      <c r="W220" s="1184"/>
      <c r="X220" s="1184"/>
      <c r="Y220" s="1184"/>
      <c r="Z220" s="1184"/>
      <c r="AA220" s="1184"/>
      <c r="AB220" s="1184"/>
      <c r="AC220" s="1184"/>
      <c r="AD220" s="1184"/>
      <c r="AE220" s="1184"/>
      <c r="AF220" s="1184"/>
      <c r="AG220" s="1184"/>
      <c r="AH220" s="1184"/>
      <c r="AI220" s="1184"/>
      <c r="AJ220" s="1184"/>
      <c r="AK220" s="1184"/>
      <c r="AL220" s="1184"/>
      <c r="AM220" s="1184"/>
      <c r="AN220" s="1184"/>
    </row>
    <row r="221" spans="2:42" ht="14.1" customHeight="1">
      <c r="B221" s="9" t="s">
        <v>4455</v>
      </c>
      <c r="O221" s="21">
        <f>ROW()</f>
        <v>221</v>
      </c>
      <c r="P221" s="1183">
        <f>P171+P188+P211</f>
        <v>1454.6183305601721</v>
      </c>
      <c r="Q221" s="1183">
        <f t="shared" ref="Q221:AM221" si="41">Q171+Q188+Q211</f>
        <v>668.13098234348854</v>
      </c>
      <c r="R221" s="1183">
        <f t="shared" si="41"/>
        <v>386.07171093103045</v>
      </c>
      <c r="S221" s="1183">
        <f t="shared" si="41"/>
        <v>271.73771594034878</v>
      </c>
      <c r="T221" s="1183">
        <f t="shared" si="41"/>
        <v>274.4908630414136</v>
      </c>
      <c r="U221" s="1183">
        <f t="shared" si="41"/>
        <v>439.02560446576467</v>
      </c>
      <c r="V221" s="1183">
        <f t="shared" si="41"/>
        <v>365.44857203687434</v>
      </c>
      <c r="W221" s="1183">
        <f t="shared" si="41"/>
        <v>799.75328316920309</v>
      </c>
      <c r="X221" s="1183">
        <f t="shared" si="41"/>
        <v>1260.366177245874</v>
      </c>
      <c r="Y221" s="1183">
        <f t="shared" si="41"/>
        <v>3290.4951079864004</v>
      </c>
      <c r="Z221" s="1183">
        <f t="shared" si="41"/>
        <v>3528.0626434754499</v>
      </c>
      <c r="AA221" s="1183">
        <f t="shared" si="41"/>
        <v>2774.9765517826745</v>
      </c>
      <c r="AB221" s="1183">
        <f t="shared" si="41"/>
        <v>2781.4275239527424</v>
      </c>
      <c r="AC221" s="1183">
        <f t="shared" si="41"/>
        <v>3310.7867108495261</v>
      </c>
      <c r="AD221" s="1183">
        <f t="shared" si="41"/>
        <v>5032.9366436069622</v>
      </c>
      <c r="AE221" s="1183">
        <f t="shared" si="41"/>
        <v>6512.0991257897394</v>
      </c>
      <c r="AF221" s="1183">
        <f t="shared" si="41"/>
        <v>8580.8340293003675</v>
      </c>
      <c r="AG221" s="1183">
        <f t="shared" si="41"/>
        <v>11903.62893524975</v>
      </c>
      <c r="AH221" s="1183">
        <f t="shared" si="41"/>
        <v>9814.1880088372054</v>
      </c>
      <c r="AI221" s="1183">
        <f t="shared" si="41"/>
        <v>6474.4218533475296</v>
      </c>
      <c r="AJ221" s="1183">
        <f t="shared" si="41"/>
        <v>4921.9020312865441</v>
      </c>
      <c r="AK221" s="1183">
        <f t="shared" si="41"/>
        <v>3898.8337668538816</v>
      </c>
      <c r="AL221" s="1183">
        <f t="shared" si="41"/>
        <v>3447.3655751994088</v>
      </c>
      <c r="AM221" s="1183">
        <f t="shared" si="41"/>
        <v>2366.2165919810632</v>
      </c>
      <c r="AN221" s="1184">
        <f>SUM(P221:AM221)</f>
        <v>84557.818339233432</v>
      </c>
    </row>
    <row r="222" spans="2:42" ht="14.1" customHeight="1">
      <c r="B222" s="265" t="str">
        <f>CONCATENATE("Each figure is sum of Rows ",O171, ", ",O188, " and ",O211, ".")</f>
        <v>Each figure is sum of Rows 171, 188 and 211.</v>
      </c>
      <c r="O222" s="21">
        <f>ROW()</f>
        <v>222</v>
      </c>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row>
    <row r="223" spans="2:42" ht="14.1" customHeight="1">
      <c r="B223" s="2" t="s">
        <v>5087</v>
      </c>
      <c r="O223" s="21">
        <f>ROW()</f>
        <v>223</v>
      </c>
      <c r="P223" s="720">
        <f t="shared" ref="P223:AM223" si="42">P219+P221</f>
        <v>1871.2855142642061</v>
      </c>
      <c r="Q223" s="720">
        <f t="shared" si="42"/>
        <v>859.51331880233408</v>
      </c>
      <c r="R223" s="720">
        <f t="shared" si="42"/>
        <v>496.65976631424707</v>
      </c>
      <c r="S223" s="720">
        <f t="shared" si="42"/>
        <v>349.57544589898981</v>
      </c>
      <c r="T223" s="720">
        <f t="shared" si="42"/>
        <v>523.4743153337082</v>
      </c>
      <c r="U223" s="720">
        <f t="shared" si="42"/>
        <v>2031.9399832311587</v>
      </c>
      <c r="V223" s="720">
        <f t="shared" si="42"/>
        <v>6663.7357928349647</v>
      </c>
      <c r="W223" s="720">
        <f t="shared" si="42"/>
        <v>14583.022034504369</v>
      </c>
      <c r="X223" s="720">
        <f t="shared" si="42"/>
        <v>22982.022232513911</v>
      </c>
      <c r="Y223" s="720">
        <f t="shared" si="42"/>
        <v>15229.381855029094</v>
      </c>
      <c r="Z223" s="720">
        <f t="shared" si="42"/>
        <v>8328.3820811217083</v>
      </c>
      <c r="AA223" s="720">
        <f t="shared" si="42"/>
        <v>6550.6390687647527</v>
      </c>
      <c r="AB223" s="720">
        <f t="shared" si="42"/>
        <v>6565.8673020633778</v>
      </c>
      <c r="AC223" s="720">
        <f t="shared" si="42"/>
        <v>6981.2760813262539</v>
      </c>
      <c r="AD223" s="720">
        <f t="shared" si="42"/>
        <v>8768.1368020118807</v>
      </c>
      <c r="AE223" s="720">
        <f t="shared" si="42"/>
        <v>11345.061550837483</v>
      </c>
      <c r="AF223" s="720">
        <f t="shared" si="42"/>
        <v>14949.110623086159</v>
      </c>
      <c r="AG223" s="720">
        <f t="shared" si="42"/>
        <v>20737.921880505914</v>
      </c>
      <c r="AH223" s="720">
        <f t="shared" si="42"/>
        <v>17097.799784834584</v>
      </c>
      <c r="AI223" s="720">
        <f t="shared" si="42"/>
        <v>11279.422044025967</v>
      </c>
      <c r="AJ223" s="720">
        <f t="shared" si="42"/>
        <v>7898.2540696645683</v>
      </c>
      <c r="AK223" s="720">
        <f t="shared" si="42"/>
        <v>5803.1189931880836</v>
      </c>
      <c r="AL223" s="720">
        <f t="shared" si="42"/>
        <v>4787.5147611965813</v>
      </c>
      <c r="AM223" s="720">
        <f t="shared" si="42"/>
        <v>3044.00593555054</v>
      </c>
      <c r="AN223" s="720">
        <f>SUM(P223:AM223)</f>
        <v>199727.12123690487</v>
      </c>
    </row>
    <row r="224" spans="2:42" ht="14.1" customHeight="1">
      <c r="B224" s="265" t="str">
        <f>CONCATENATE("Each figure is sum of Rows ",O219, " and ",O221, ".")</f>
        <v>Each figure is sum of Rows 219 and 221.</v>
      </c>
      <c r="O224" s="21">
        <f>ROW()</f>
        <v>224</v>
      </c>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351"/>
      <c r="AK224" s="351"/>
      <c r="AL224" s="351"/>
      <c r="AM224" s="351"/>
    </row>
    <row r="225" spans="2:40" ht="14.1" customHeight="1">
      <c r="B225" s="265"/>
      <c r="O225" s="21">
        <f>ROW()</f>
        <v>225</v>
      </c>
      <c r="P225" s="351"/>
      <c r="Q225" s="351"/>
      <c r="R225" s="351"/>
      <c r="S225" s="351"/>
      <c r="T225" s="351"/>
      <c r="U225" s="351"/>
      <c r="V225" s="351"/>
      <c r="W225" s="351"/>
      <c r="X225" s="351"/>
      <c r="Y225" s="351"/>
      <c r="Z225" s="351"/>
      <c r="AA225" s="351"/>
      <c r="AB225" s="351"/>
      <c r="AC225" s="351"/>
      <c r="AD225" s="351"/>
      <c r="AE225" s="351"/>
      <c r="AF225" s="351"/>
      <c r="AG225" s="351"/>
      <c r="AH225" s="351"/>
      <c r="AI225" s="351"/>
      <c r="AJ225" s="351"/>
      <c r="AK225" s="351"/>
      <c r="AL225" s="351"/>
      <c r="AM225" s="351"/>
    </row>
    <row r="226" spans="2:40" ht="14.1" customHeight="1">
      <c r="B226" s="24" t="s">
        <v>5092</v>
      </c>
      <c r="O226" s="21">
        <f>ROW()</f>
        <v>226</v>
      </c>
      <c r="P226" s="316" t="s">
        <v>5094</v>
      </c>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row>
    <row r="227" spans="2:40" ht="14.1" customHeight="1">
      <c r="O227" s="21">
        <f>ROW()</f>
        <v>227</v>
      </c>
      <c r="P227" s="351"/>
      <c r="Q227" s="351"/>
      <c r="R227" s="351"/>
      <c r="S227" s="351"/>
      <c r="T227" s="351"/>
      <c r="U227" s="351"/>
      <c r="V227" s="351"/>
      <c r="W227" s="351"/>
      <c r="X227" s="351"/>
      <c r="Y227" s="351"/>
      <c r="Z227" s="351"/>
      <c r="AA227" s="351"/>
      <c r="AB227" s="351"/>
      <c r="AC227" s="351"/>
      <c r="AD227" s="351"/>
      <c r="AE227" s="351"/>
      <c r="AF227" s="351"/>
      <c r="AG227" s="351"/>
      <c r="AH227" s="351"/>
      <c r="AI227" s="351"/>
      <c r="AJ227" s="351"/>
      <c r="AK227" s="351"/>
      <c r="AL227" s="351"/>
      <c r="AM227" s="351"/>
    </row>
    <row r="228" spans="2:40" ht="14.1" customHeight="1">
      <c r="B228" s="2" t="s">
        <v>5093</v>
      </c>
      <c r="O228" s="21">
        <f>ROW()</f>
        <v>228</v>
      </c>
      <c r="P228" s="720">
        <f>P193+P213</f>
        <v>1871.2855142642061</v>
      </c>
      <c r="Q228" s="720">
        <f t="shared" ref="Q228:AM228" si="43">Q193+Q213</f>
        <v>859.51331880233408</v>
      </c>
      <c r="R228" s="720">
        <f t="shared" si="43"/>
        <v>496.65976631424707</v>
      </c>
      <c r="S228" s="720">
        <f t="shared" si="43"/>
        <v>349.57544589898981</v>
      </c>
      <c r="T228" s="720">
        <f t="shared" si="43"/>
        <v>523.4743153337082</v>
      </c>
      <c r="U228" s="720">
        <f t="shared" si="43"/>
        <v>2031.9399832311587</v>
      </c>
      <c r="V228" s="720">
        <f t="shared" si="43"/>
        <v>6663.7357928349647</v>
      </c>
      <c r="W228" s="720">
        <f t="shared" si="43"/>
        <v>14583.022034504369</v>
      </c>
      <c r="X228" s="720">
        <f t="shared" si="43"/>
        <v>22982.022232513911</v>
      </c>
      <c r="Y228" s="720">
        <f t="shared" si="43"/>
        <v>15229.381855029094</v>
      </c>
      <c r="Z228" s="720">
        <f t="shared" si="43"/>
        <v>8328.3820811217083</v>
      </c>
      <c r="AA228" s="720">
        <f t="shared" si="43"/>
        <v>6550.6390687647527</v>
      </c>
      <c r="AB228" s="720">
        <f t="shared" si="43"/>
        <v>6565.8673020633778</v>
      </c>
      <c r="AC228" s="720">
        <f t="shared" si="43"/>
        <v>6981.2760813262539</v>
      </c>
      <c r="AD228" s="720">
        <f t="shared" si="43"/>
        <v>8768.1368020118807</v>
      </c>
      <c r="AE228" s="720">
        <f t="shared" si="43"/>
        <v>11345.061550837483</v>
      </c>
      <c r="AF228" s="720">
        <f t="shared" si="43"/>
        <v>14949.110623086159</v>
      </c>
      <c r="AG228" s="720">
        <f t="shared" si="43"/>
        <v>20737.921880505914</v>
      </c>
      <c r="AH228" s="720">
        <f t="shared" si="43"/>
        <v>17097.799784834584</v>
      </c>
      <c r="AI228" s="720">
        <f t="shared" si="43"/>
        <v>11279.422044025967</v>
      </c>
      <c r="AJ228" s="720">
        <f t="shared" si="43"/>
        <v>7898.2540696645683</v>
      </c>
      <c r="AK228" s="720">
        <f t="shared" si="43"/>
        <v>5803.1189931880836</v>
      </c>
      <c r="AL228" s="720">
        <f t="shared" si="43"/>
        <v>4787.5147611965813</v>
      </c>
      <c r="AM228" s="720">
        <f t="shared" si="43"/>
        <v>3044.00593555054</v>
      </c>
      <c r="AN228" s="720">
        <f>SUM(P228:AM228)</f>
        <v>199727.12123690487</v>
      </c>
    </row>
    <row r="229" spans="2:40" ht="14.1" customHeight="1">
      <c r="B229" s="265" t="str">
        <f>CONCATENATE("Each figure is sum of Rows ",O193, " and ",O213, ".")</f>
        <v>Each figure is sum of Rows 193 and 213.</v>
      </c>
      <c r="O229" s="21">
        <f>ROW()</f>
        <v>229</v>
      </c>
    </row>
    <row r="230" spans="2:40" ht="14.1" customHeight="1">
      <c r="B230" s="1" t="s">
        <v>5098</v>
      </c>
      <c r="J230" s="265" t="str">
        <f>CONCATENATE("Each figure is sum of Rows ",O173, " and ",O215, ".")</f>
        <v>Each figure is sum of Rows 173 and 215.</v>
      </c>
      <c r="O230" s="21">
        <f>ROW()</f>
        <v>230</v>
      </c>
      <c r="P230" s="1183">
        <f>P173+P215</f>
        <v>901.72102002642862</v>
      </c>
      <c r="Q230" s="1183">
        <f t="shared" ref="Q230:AM230" si="44">Q173+Q215</f>
        <v>414.1758276055964</v>
      </c>
      <c r="R230" s="1183">
        <f t="shared" si="44"/>
        <v>239.32668086893497</v>
      </c>
      <c r="S230" s="1183">
        <f t="shared" si="44"/>
        <v>168.45079238278385</v>
      </c>
      <c r="T230" s="1183">
        <f t="shared" si="44"/>
        <v>252.24787451312588</v>
      </c>
      <c r="U230" s="1183">
        <f t="shared" si="44"/>
        <v>979.13598985568319</v>
      </c>
      <c r="V230" s="1183">
        <f t="shared" si="44"/>
        <v>3211.0709939762733</v>
      </c>
      <c r="W230" s="1183">
        <f t="shared" si="44"/>
        <v>7027.1572156062475</v>
      </c>
      <c r="X230" s="1183">
        <f t="shared" si="44"/>
        <v>11074.404398369419</v>
      </c>
      <c r="Y230" s="1183">
        <f t="shared" si="44"/>
        <v>7338.6202351320662</v>
      </c>
      <c r="Z230" s="1183">
        <f t="shared" si="44"/>
        <v>4013.2182545707346</v>
      </c>
      <c r="AA230" s="1183">
        <f t="shared" si="44"/>
        <v>3156.5727933474195</v>
      </c>
      <c r="AB230" s="1183">
        <f t="shared" si="44"/>
        <v>3163.9108601248113</v>
      </c>
      <c r="AC230" s="1183">
        <f t="shared" si="44"/>
        <v>3364.0849251242621</v>
      </c>
      <c r="AD230" s="1183">
        <f t="shared" si="44"/>
        <v>4225.1239592105967</v>
      </c>
      <c r="AE230" s="1183">
        <f t="shared" si="44"/>
        <v>5466.8731179198394</v>
      </c>
      <c r="AF230" s="1183">
        <f t="shared" si="44"/>
        <v>7203.5652372575059</v>
      </c>
      <c r="AG230" s="1183">
        <f t="shared" si="44"/>
        <v>9993.0341622245705</v>
      </c>
      <c r="AH230" s="1183">
        <f t="shared" si="44"/>
        <v>8238.9594450801214</v>
      </c>
      <c r="AI230" s="1183">
        <f t="shared" si="44"/>
        <v>5435.2432449876032</v>
      </c>
      <c r="AJ230" s="1183">
        <f t="shared" si="44"/>
        <v>3805.95139642612</v>
      </c>
      <c r="AK230" s="1183">
        <f t="shared" si="44"/>
        <v>2796.3634293026885</v>
      </c>
      <c r="AL230" s="1183">
        <f t="shared" si="44"/>
        <v>2306.9716838775512</v>
      </c>
      <c r="AM230" s="1183">
        <f t="shared" si="44"/>
        <v>1466.8227356264313</v>
      </c>
      <c r="AN230" s="1184">
        <f>SUM(P230:AM230)</f>
        <v>96243.006273416802</v>
      </c>
    </row>
    <row r="231" spans="2:40" ht="14.1" customHeight="1">
      <c r="B231" s="1" t="s">
        <v>5099</v>
      </c>
      <c r="J231" s="265" t="str">
        <f>CONCATENATE("Each figure is sum of Rows ",O190, " and ",O216, ".")</f>
        <v>Each figure is sum of Rows 190 and 216.</v>
      </c>
      <c r="O231" s="21">
        <f>ROW()</f>
        <v>231</v>
      </c>
      <c r="P231" s="1183">
        <f t="shared" ref="P231:AM231" si="45">P190+P216</f>
        <v>969.56449423777815</v>
      </c>
      <c r="Q231" s="1183">
        <f t="shared" si="45"/>
        <v>445.33749119673797</v>
      </c>
      <c r="R231" s="1183">
        <f t="shared" si="45"/>
        <v>257.33308544531224</v>
      </c>
      <c r="S231" s="1183">
        <f t="shared" si="45"/>
        <v>181.12465351620608</v>
      </c>
      <c r="T231" s="1183">
        <f t="shared" si="45"/>
        <v>271.22644082058252</v>
      </c>
      <c r="U231" s="1183">
        <f t="shared" si="45"/>
        <v>1052.8039933754762</v>
      </c>
      <c r="V231" s="1183">
        <f t="shared" si="45"/>
        <v>3452.6647988586938</v>
      </c>
      <c r="W231" s="1183">
        <f t="shared" si="45"/>
        <v>7555.864818898126</v>
      </c>
      <c r="X231" s="1183">
        <f t="shared" si="45"/>
        <v>11907.617834144499</v>
      </c>
      <c r="Y231" s="1183">
        <f t="shared" si="45"/>
        <v>7890.7616198970327</v>
      </c>
      <c r="Z231" s="1183">
        <f t="shared" si="45"/>
        <v>4315.1638265509764</v>
      </c>
      <c r="AA231" s="1183">
        <f t="shared" si="45"/>
        <v>3394.0662754173354</v>
      </c>
      <c r="AB231" s="1183">
        <f t="shared" si="45"/>
        <v>3401.9564419385688</v>
      </c>
      <c r="AC231" s="1183">
        <f t="shared" si="45"/>
        <v>3617.1911562019941</v>
      </c>
      <c r="AD231" s="1183">
        <f t="shared" si="45"/>
        <v>4543.0128428012868</v>
      </c>
      <c r="AE231" s="1183">
        <f t="shared" si="45"/>
        <v>5878.1884329176473</v>
      </c>
      <c r="AF231" s="1183">
        <f t="shared" si="45"/>
        <v>7745.5453858286573</v>
      </c>
      <c r="AG231" s="1183">
        <f t="shared" si="45"/>
        <v>10744.88771828135</v>
      </c>
      <c r="AH231" s="1183">
        <f t="shared" si="45"/>
        <v>8858.840339754468</v>
      </c>
      <c r="AI231" s="1183">
        <f t="shared" si="45"/>
        <v>5844.1787990383673</v>
      </c>
      <c r="AJ231" s="1183">
        <f t="shared" si="45"/>
        <v>4092.302673238451</v>
      </c>
      <c r="AK231" s="1183">
        <f t="shared" si="45"/>
        <v>3006.7555638853974</v>
      </c>
      <c r="AL231" s="1183">
        <f t="shared" si="45"/>
        <v>2480.5430773190315</v>
      </c>
      <c r="AM231" s="1183">
        <f t="shared" si="45"/>
        <v>1577.1831999241099</v>
      </c>
      <c r="AN231" s="1184">
        <f>SUM(P231:AM231)</f>
        <v>103484.11496348809</v>
      </c>
    </row>
    <row r="232" spans="2:40" ht="14.1" customHeight="1">
      <c r="O232" s="21">
        <f>ROW()</f>
        <v>232</v>
      </c>
    </row>
    <row r="233" spans="2:40" ht="14.1" customHeight="1">
      <c r="B233" s="1" t="s">
        <v>5100</v>
      </c>
      <c r="J233" s="265" t="str">
        <f>CONCATENATE("Each figure is sum of Rows ",O169, ", ",O186, " and ",O209, ".")</f>
        <v>Each figure is sum of Rows 169, 186 and 209.</v>
      </c>
      <c r="O233" s="21">
        <f>ROW()</f>
        <v>233</v>
      </c>
      <c r="P233" s="1179">
        <f>P169+P186+P209</f>
        <v>416.66718370403407</v>
      </c>
      <c r="Q233" s="1179">
        <f>Q169+Q186+Q209</f>
        <v>191.38233645884554</v>
      </c>
      <c r="R233" s="1179">
        <f t="shared" ref="R233:AM233" si="46">R169+R186+R209</f>
        <v>110.58805538321661</v>
      </c>
      <c r="S233" s="1179">
        <f t="shared" si="46"/>
        <v>77.837729958641049</v>
      </c>
      <c r="T233" s="1179">
        <f t="shared" si="46"/>
        <v>248.98345229229463</v>
      </c>
      <c r="U233" s="1179">
        <f t="shared" si="46"/>
        <v>1592.9143787653941</v>
      </c>
      <c r="V233" s="1179">
        <f t="shared" si="46"/>
        <v>6298.2872207980899</v>
      </c>
      <c r="W233" s="1179">
        <f t="shared" si="46"/>
        <v>13783.268751335167</v>
      </c>
      <c r="X233" s="1179">
        <f t="shared" si="46"/>
        <v>21721.656055268038</v>
      </c>
      <c r="Y233" s="1179">
        <f t="shared" si="46"/>
        <v>11938.886747042694</v>
      </c>
      <c r="Z233" s="1179">
        <f t="shared" si="46"/>
        <v>4800.3194376462588</v>
      </c>
      <c r="AA233" s="1179">
        <f t="shared" si="46"/>
        <v>3775.6625169820782</v>
      </c>
      <c r="AB233" s="1179">
        <f t="shared" si="46"/>
        <v>3784.4397781106359</v>
      </c>
      <c r="AC233" s="1179">
        <f t="shared" si="46"/>
        <v>3670.4893704767278</v>
      </c>
      <c r="AD233" s="1179">
        <f t="shared" si="46"/>
        <v>3735.2001584049185</v>
      </c>
      <c r="AE233" s="1179">
        <f t="shared" si="46"/>
        <v>4832.9624250477445</v>
      </c>
      <c r="AF233" s="1179">
        <f t="shared" si="46"/>
        <v>6368.2765937857912</v>
      </c>
      <c r="AG233" s="1179">
        <f t="shared" si="46"/>
        <v>8834.2929452561657</v>
      </c>
      <c r="AH233" s="1179">
        <f t="shared" si="46"/>
        <v>7283.6117759973768</v>
      </c>
      <c r="AI233" s="1179">
        <f t="shared" si="46"/>
        <v>4805.0001906784382</v>
      </c>
      <c r="AJ233" s="1179">
        <f t="shared" si="46"/>
        <v>2976.3520383780237</v>
      </c>
      <c r="AK233" s="1179">
        <f t="shared" si="46"/>
        <v>1904.285226334202</v>
      </c>
      <c r="AL233" s="1179">
        <f t="shared" si="46"/>
        <v>1340.1491859971725</v>
      </c>
      <c r="AM233" s="1179">
        <f t="shared" si="46"/>
        <v>677.78934356947661</v>
      </c>
      <c r="AN233" s="1184">
        <f>SUM(P233:AM233)</f>
        <v>115169.30289767141</v>
      </c>
    </row>
    <row r="234" spans="2:40" ht="14.1" customHeight="1">
      <c r="B234" s="1" t="s">
        <v>5101</v>
      </c>
      <c r="J234" s="265" t="str">
        <f>CONCATENATE("Each figure is sum of Rows ",O171, ", ",O188, " and ",O211, ".")</f>
        <v>Each figure is sum of Rows 171, 188 and 211.</v>
      </c>
      <c r="O234" s="21">
        <f>ROW()</f>
        <v>234</v>
      </c>
      <c r="P234" s="1179">
        <f>P171+P188+P211</f>
        <v>1454.6183305601721</v>
      </c>
      <c r="Q234" s="1179">
        <f>Q171+Q188+Q211</f>
        <v>668.13098234348854</v>
      </c>
      <c r="R234" s="1179">
        <f t="shared" ref="R234:AM234" si="47">R171+R188+R211</f>
        <v>386.07171093103045</v>
      </c>
      <c r="S234" s="1179">
        <f t="shared" si="47"/>
        <v>271.73771594034878</v>
      </c>
      <c r="T234" s="1179">
        <f t="shared" si="47"/>
        <v>274.4908630414136</v>
      </c>
      <c r="U234" s="1179">
        <f t="shared" si="47"/>
        <v>439.02560446576467</v>
      </c>
      <c r="V234" s="1179">
        <f t="shared" si="47"/>
        <v>365.44857203687434</v>
      </c>
      <c r="W234" s="1179">
        <f t="shared" si="47"/>
        <v>799.75328316920309</v>
      </c>
      <c r="X234" s="1179">
        <f t="shared" si="47"/>
        <v>1260.366177245874</v>
      </c>
      <c r="Y234" s="1179">
        <f t="shared" si="47"/>
        <v>3290.4951079864004</v>
      </c>
      <c r="Z234" s="1179">
        <f t="shared" si="47"/>
        <v>3528.0626434754499</v>
      </c>
      <c r="AA234" s="1179">
        <f t="shared" si="47"/>
        <v>2774.9765517826745</v>
      </c>
      <c r="AB234" s="1179">
        <f t="shared" si="47"/>
        <v>2781.4275239527424</v>
      </c>
      <c r="AC234" s="1179">
        <f t="shared" si="47"/>
        <v>3310.7867108495261</v>
      </c>
      <c r="AD234" s="1179">
        <f t="shared" si="47"/>
        <v>5032.9366436069622</v>
      </c>
      <c r="AE234" s="1179">
        <f t="shared" si="47"/>
        <v>6512.0991257897394</v>
      </c>
      <c r="AF234" s="1179">
        <f t="shared" si="47"/>
        <v>8580.8340293003675</v>
      </c>
      <c r="AG234" s="1179">
        <f t="shared" si="47"/>
        <v>11903.62893524975</v>
      </c>
      <c r="AH234" s="1179">
        <f t="shared" si="47"/>
        <v>9814.1880088372054</v>
      </c>
      <c r="AI234" s="1179">
        <f t="shared" si="47"/>
        <v>6474.4218533475296</v>
      </c>
      <c r="AJ234" s="1179">
        <f t="shared" si="47"/>
        <v>4921.9020312865441</v>
      </c>
      <c r="AK234" s="1179">
        <f t="shared" si="47"/>
        <v>3898.8337668538816</v>
      </c>
      <c r="AL234" s="1179">
        <f t="shared" si="47"/>
        <v>3447.3655751994088</v>
      </c>
      <c r="AM234" s="1179">
        <f t="shared" si="47"/>
        <v>2366.2165919810632</v>
      </c>
      <c r="AN234" s="1184">
        <f>SUM(P234:AM234)</f>
        <v>84557.818339233432</v>
      </c>
    </row>
    <row r="235" spans="2:40" ht="14.1" customHeight="1">
      <c r="O235" s="21">
        <f>ROW()</f>
        <v>235</v>
      </c>
    </row>
    <row r="236" spans="2:40" ht="14.1" customHeight="1">
      <c r="B236" s="2" t="s">
        <v>5088</v>
      </c>
      <c r="O236" s="21">
        <f>ROW()</f>
        <v>236</v>
      </c>
      <c r="P236" s="351">
        <f t="shared" ref="P236:AN236" si="48">P228/P129</f>
        <v>4.8582653569606053E-2</v>
      </c>
      <c r="Q236" s="351">
        <f t="shared" si="48"/>
        <v>4.8582653569606046E-2</v>
      </c>
      <c r="R236" s="351">
        <f t="shared" si="48"/>
        <v>4.8582653569606053E-2</v>
      </c>
      <c r="S236" s="351">
        <f t="shared" si="48"/>
        <v>4.8582653569606046E-2</v>
      </c>
      <c r="T236" s="351">
        <f t="shared" si="48"/>
        <v>4.7382080848587527E-2</v>
      </c>
      <c r="U236" s="351">
        <f t="shared" si="48"/>
        <v>4.5996804632027689E-2</v>
      </c>
      <c r="V236" s="351">
        <f t="shared" si="48"/>
        <v>4.5304166523747774E-2</v>
      </c>
      <c r="W236" s="351">
        <f t="shared" si="48"/>
        <v>4.5304166523747774E-2</v>
      </c>
      <c r="X236" s="351">
        <f t="shared" si="48"/>
        <v>4.530416652374776E-2</v>
      </c>
      <c r="Y236" s="351">
        <f t="shared" si="48"/>
        <v>4.5996804632027689E-2</v>
      </c>
      <c r="Z236" s="351">
        <f t="shared" si="48"/>
        <v>4.6920322109734243E-2</v>
      </c>
      <c r="AA236" s="351">
        <f t="shared" si="48"/>
        <v>4.692032210973425E-2</v>
      </c>
      <c r="AB236" s="351">
        <f t="shared" si="48"/>
        <v>4.6920322109734243E-2</v>
      </c>
      <c r="AC236" s="351">
        <f t="shared" si="48"/>
        <v>4.7151201479160888E-2</v>
      </c>
      <c r="AD236" s="351">
        <f t="shared" si="48"/>
        <v>4.7612960218014165E-2</v>
      </c>
      <c r="AE236" s="351">
        <f t="shared" si="48"/>
        <v>4.7612960218014165E-2</v>
      </c>
      <c r="AF236" s="351">
        <f t="shared" si="48"/>
        <v>4.7612960218014172E-2</v>
      </c>
      <c r="AG236" s="351">
        <f t="shared" si="48"/>
        <v>4.7612960218014165E-2</v>
      </c>
      <c r="AH236" s="351">
        <f t="shared" si="48"/>
        <v>4.7612960218014172E-2</v>
      </c>
      <c r="AI236" s="351">
        <f t="shared" si="48"/>
        <v>4.7612960218014165E-2</v>
      </c>
      <c r="AJ236" s="351">
        <f t="shared" si="48"/>
        <v>4.7843839587440803E-2</v>
      </c>
      <c r="AK236" s="351">
        <f t="shared" si="48"/>
        <v>4.8074718956867449E-2</v>
      </c>
      <c r="AL236" s="351">
        <f t="shared" si="48"/>
        <v>4.8305598326294087E-2</v>
      </c>
      <c r="AM236" s="351">
        <f t="shared" si="48"/>
        <v>4.8582653569606053E-2</v>
      </c>
      <c r="AN236" s="351">
        <f t="shared" si="48"/>
        <v>4.6919176180862665E-2</v>
      </c>
    </row>
    <row r="237" spans="2:40" ht="14.1" customHeight="1">
      <c r="B237" s="265" t="str">
        <f>CONCATENATE("Each figure is ratio of change shown in Row ",O223, " to baseline figure given in Row ",O129, ".")</f>
        <v>Each figure is ratio of change shown in Row 223 to baseline figure given in Row 129.</v>
      </c>
      <c r="O237" s="21">
        <f>ROW()</f>
        <v>237</v>
      </c>
      <c r="P237" s="316" t="s">
        <v>5095</v>
      </c>
    </row>
    <row r="238" spans="2:40" ht="14.1" customHeight="1">
      <c r="O238" s="21">
        <f>ROW()</f>
        <v>238</v>
      </c>
    </row>
    <row r="239" spans="2:40" ht="14.1" customHeight="1">
      <c r="B239" s="24" t="s">
        <v>1626</v>
      </c>
      <c r="O239" s="21">
        <f>ROW()</f>
        <v>239</v>
      </c>
    </row>
    <row r="240" spans="2:40" ht="14.1" customHeight="1">
      <c r="O240" s="21">
        <f>ROW()</f>
        <v>240</v>
      </c>
    </row>
    <row r="241" spans="2:40" s="6" customFormat="1" ht="14.1" customHeight="1">
      <c r="B241" s="6" t="s">
        <v>2028</v>
      </c>
      <c r="O241" s="21">
        <f>ROW()</f>
        <v>241</v>
      </c>
      <c r="P241" s="720">
        <f t="shared" ref="P241:AM241" si="49">P129+P223</f>
        <v>40388.850463308219</v>
      </c>
      <c r="Q241" s="720">
        <f t="shared" si="49"/>
        <v>18551.287144430851</v>
      </c>
      <c r="R241" s="720">
        <f t="shared" si="49"/>
        <v>10719.645334664592</v>
      </c>
      <c r="S241" s="720">
        <f t="shared" si="49"/>
        <v>7545.0540831072476</v>
      </c>
      <c r="T241" s="720">
        <f t="shared" si="49"/>
        <v>11571.412817792136</v>
      </c>
      <c r="U241" s="720">
        <f t="shared" si="49"/>
        <v>46207.616956590173</v>
      </c>
      <c r="V241" s="720">
        <f t="shared" si="49"/>
        <v>153752.54249987222</v>
      </c>
      <c r="W241" s="720">
        <f t="shared" si="49"/>
        <v>336474.43188662396</v>
      </c>
      <c r="X241" s="720">
        <f t="shared" si="49"/>
        <v>530264.77337786567</v>
      </c>
      <c r="Y241" s="720">
        <f t="shared" si="49"/>
        <v>346325.89990369452</v>
      </c>
      <c r="Z241" s="720">
        <f t="shared" si="49"/>
        <v>185828.91290961477</v>
      </c>
      <c r="AA241" s="720">
        <f t="shared" si="49"/>
        <v>146162.61900028648</v>
      </c>
      <c r="AB241" s="720">
        <f t="shared" si="49"/>
        <v>146502.40240741812</v>
      </c>
      <c r="AC241" s="720">
        <f t="shared" si="49"/>
        <v>155042.74349508289</v>
      </c>
      <c r="AD241" s="720">
        <f t="shared" si="49"/>
        <v>192922.5511014717</v>
      </c>
      <c r="AE241" s="720">
        <f t="shared" si="49"/>
        <v>249621.81432759776</v>
      </c>
      <c r="AF241" s="720">
        <f t="shared" si="49"/>
        <v>328920.57038185629</v>
      </c>
      <c r="AG241" s="720">
        <f t="shared" si="49"/>
        <v>456289.96034964122</v>
      </c>
      <c r="AH241" s="720">
        <f t="shared" si="49"/>
        <v>376197.50092808972</v>
      </c>
      <c r="AI241" s="720">
        <f t="shared" si="49"/>
        <v>248177.56894308067</v>
      </c>
      <c r="AJ241" s="720">
        <f t="shared" si="49"/>
        <v>172982.28866579031</v>
      </c>
      <c r="AK241" s="720">
        <f t="shared" si="49"/>
        <v>126513.52810436004</v>
      </c>
      <c r="AL241" s="720">
        <f t="shared" si="49"/>
        <v>103896.41573904874</v>
      </c>
      <c r="AM241" s="720">
        <f t="shared" si="49"/>
        <v>65700.236336578077</v>
      </c>
      <c r="AN241" s="720">
        <f>SUM(P241:AM241)</f>
        <v>4456560.6271578651</v>
      </c>
    </row>
    <row r="242" spans="2:40" ht="14.1" customHeight="1">
      <c r="O242" s="21">
        <f>ROW()</f>
        <v>242</v>
      </c>
    </row>
    <row r="243" spans="2:40" ht="14.1" customHeight="1">
      <c r="B243" t="s">
        <v>538</v>
      </c>
      <c r="L243" s="4796" t="s">
        <v>2588</v>
      </c>
      <c r="M243" s="4797"/>
      <c r="N243" s="4798"/>
      <c r="O243" s="21">
        <f>ROW()</f>
        <v>243</v>
      </c>
      <c r="P243" s="32" t="b">
        <f>AND(P159&gt;AM159,'User Inputs'!$J$125&lt;&gt;1)</f>
        <v>0</v>
      </c>
      <c r="Q243" s="32" t="b">
        <f>AND(Q159&gt;P159,'User Inputs'!$J$125&lt;&gt;1)</f>
        <v>0</v>
      </c>
      <c r="R243" s="32" t="b">
        <f>AND(R159&gt;Q159,'User Inputs'!$J$125&lt;&gt;1)</f>
        <v>0</v>
      </c>
      <c r="S243" s="32" t="b">
        <f>AND(S159&gt;R159,'User Inputs'!$J$125&lt;&gt;1)</f>
        <v>0</v>
      </c>
      <c r="T243" s="32" t="b">
        <f>AND(T159&gt;S159,'User Inputs'!$J$125&lt;&gt;1)</f>
        <v>0</v>
      </c>
      <c r="U243" s="32" t="b">
        <f>AND(U159&gt;T159,'User Inputs'!$J$125&lt;&gt;1)</f>
        <v>0</v>
      </c>
      <c r="V243" s="32" t="b">
        <f>AND(V159&gt;U159,'User Inputs'!$J$125&lt;&gt;1)</f>
        <v>0</v>
      </c>
      <c r="W243" s="32" t="b">
        <f>AND(W159&gt;V159,'User Inputs'!$J$125&lt;&gt;1)</f>
        <v>0</v>
      </c>
      <c r="X243" s="32" t="b">
        <f>AND(X159&gt;W159,'User Inputs'!$J$125&lt;&gt;1)</f>
        <v>0</v>
      </c>
      <c r="Y243" s="32" t="b">
        <f>AND(Y159&gt;X159,'User Inputs'!$J$125&lt;&gt;1)</f>
        <v>0</v>
      </c>
      <c r="Z243" s="32" t="b">
        <f>AND(Z159&gt;Y159,'User Inputs'!$J$125&lt;&gt;1)</f>
        <v>0</v>
      </c>
      <c r="AA243" s="32" t="b">
        <f>AND(AA159&gt;Z159,'User Inputs'!$J$125&lt;&gt;1)</f>
        <v>0</v>
      </c>
      <c r="AB243" s="32" t="b">
        <f>AND(AB159&gt;AA159,'User Inputs'!$J$125&lt;&gt;1)</f>
        <v>0</v>
      </c>
      <c r="AC243" s="32" t="b">
        <f>AND(AC159&gt;AB159,'User Inputs'!$J$125&lt;&gt;1)</f>
        <v>0</v>
      </c>
      <c r="AD243" s="32" t="b">
        <f>AND(AD159&gt;AC159,'User Inputs'!$J$125&lt;&gt;1)</f>
        <v>0</v>
      </c>
      <c r="AE243" s="32" t="b">
        <f>AND(AE159&gt;AD159,'User Inputs'!$J$125&lt;&gt;1)</f>
        <v>0</v>
      </c>
      <c r="AF243" s="32" t="b">
        <f>AND(AF159&gt;AE159,'User Inputs'!$J$125&lt;&gt;1)</f>
        <v>0</v>
      </c>
      <c r="AG243" s="32" t="b">
        <f>AND(AG159&gt;AF159,'User Inputs'!$J$125&lt;&gt;1)</f>
        <v>0</v>
      </c>
      <c r="AH243" s="32" t="b">
        <f>AND(AH159&gt;AG159,'User Inputs'!$J$125&lt;&gt;1)</f>
        <v>0</v>
      </c>
      <c r="AI243" s="32" t="b">
        <f>AND(AI159&gt;AH159,'User Inputs'!$J$125&lt;&gt;1)</f>
        <v>0</v>
      </c>
      <c r="AJ243" s="32" t="b">
        <f>AND(AJ159&gt;AI159,'User Inputs'!$J$125&lt;&gt;1)</f>
        <v>0</v>
      </c>
      <c r="AK243" s="32" t="b">
        <f>AND(AK159&gt;AJ159,'User Inputs'!$J$125&lt;&gt;1)</f>
        <v>0</v>
      </c>
      <c r="AL243" s="32" t="b">
        <f>AND(AL159&gt;AK159,'User Inputs'!$J$125&lt;&gt;1)</f>
        <v>0</v>
      </c>
      <c r="AM243" s="32" t="b">
        <f>AND(AM159&gt;AL159,'User Inputs'!$J$125&lt;&gt;1)</f>
        <v>0</v>
      </c>
      <c r="AN243" s="32"/>
    </row>
    <row r="244" spans="2:40" ht="14.1" customHeight="1">
      <c r="L244" s="4799"/>
      <c r="M244" s="4800"/>
      <c r="N244" s="4801"/>
      <c r="O244" s="21">
        <f>ROW()</f>
        <v>244</v>
      </c>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row>
    <row r="245" spans="2:40" ht="14.1" customHeight="1">
      <c r="B245" t="s">
        <v>539</v>
      </c>
      <c r="L245" s="4802"/>
      <c r="M245" s="4803"/>
      <c r="N245" s="4804"/>
      <c r="O245" s="21">
        <f>ROW()</f>
        <v>245</v>
      </c>
      <c r="P245" s="32" t="b">
        <f>AND(P159&gt;Q159,'User Inputs'!$J$125&lt;&gt;1)</f>
        <v>0</v>
      </c>
      <c r="Q245" s="32" t="b">
        <f>AND(Q159&gt;R159,'User Inputs'!$J$125&lt;&gt;1)</f>
        <v>0</v>
      </c>
      <c r="R245" s="32" t="b">
        <f>AND(R159&gt;S159,'User Inputs'!$J$125&lt;&gt;1)</f>
        <v>0</v>
      </c>
      <c r="S245" s="32" t="b">
        <f>AND(S159&gt;T159,'User Inputs'!$J$125&lt;&gt;1)</f>
        <v>0</v>
      </c>
      <c r="T245" s="32" t="b">
        <f>AND(T159&gt;U159,'User Inputs'!$J$125&lt;&gt;1)</f>
        <v>0</v>
      </c>
      <c r="U245" s="32" t="b">
        <f>AND(U159&gt;V159,'User Inputs'!$J$125&lt;&gt;1)</f>
        <v>0</v>
      </c>
      <c r="V245" s="32" t="b">
        <f>AND(V159&gt;W159,'User Inputs'!$J$125&lt;&gt;1)</f>
        <v>0</v>
      </c>
      <c r="W245" s="32" t="b">
        <f>AND(W159&gt;X159,'User Inputs'!$J$125&lt;&gt;1)</f>
        <v>0</v>
      </c>
      <c r="X245" s="32" t="b">
        <f>AND(X159&gt;Y159,'User Inputs'!$J$125&lt;&gt;1)</f>
        <v>0</v>
      </c>
      <c r="Y245" s="32" t="b">
        <f>AND(Y159&gt;Z159,'User Inputs'!$J$125&lt;&gt;1)</f>
        <v>0</v>
      </c>
      <c r="Z245" s="32" t="b">
        <f>AND(Z159&gt;AA159,'User Inputs'!$J$125&lt;&gt;1)</f>
        <v>0</v>
      </c>
      <c r="AA245" s="32" t="b">
        <f>AND(AA159&gt;AB159,'User Inputs'!$J$125&lt;&gt;1)</f>
        <v>0</v>
      </c>
      <c r="AB245" s="32" t="b">
        <f>AND(AB159&gt;AC159,'User Inputs'!$J$125&lt;&gt;1)</f>
        <v>0</v>
      </c>
      <c r="AC245" s="32" t="b">
        <f>AND(AC159&gt;AD159,'User Inputs'!$J$125&lt;&gt;1)</f>
        <v>0</v>
      </c>
      <c r="AD245" s="32" t="b">
        <f>AND(AD159&gt;AE159,'User Inputs'!$J$125&lt;&gt;1)</f>
        <v>0</v>
      </c>
      <c r="AE245" s="32" t="b">
        <f>AND(AE159&gt;AF159,'User Inputs'!$J$125&lt;&gt;1)</f>
        <v>0</v>
      </c>
      <c r="AF245" s="32" t="b">
        <f>AND(AF159&gt;AG159,'User Inputs'!$J$125&lt;&gt;1)</f>
        <v>0</v>
      </c>
      <c r="AG245" s="32" t="b">
        <f>AND(AG159&gt;AH159,'User Inputs'!$J$125&lt;&gt;1)</f>
        <v>0</v>
      </c>
      <c r="AH245" s="32" t="b">
        <f>AND(AH159&gt;AI159,'User Inputs'!$J$125&lt;&gt;1)</f>
        <v>0</v>
      </c>
      <c r="AI245" s="32" t="b">
        <f>AND(AI159&gt;AJ159,'User Inputs'!$J$125&lt;&gt;1)</f>
        <v>0</v>
      </c>
      <c r="AJ245" s="32" t="b">
        <f>AND(AJ159&gt;AK159,'User Inputs'!$J$125&lt;&gt;1)</f>
        <v>0</v>
      </c>
      <c r="AK245" s="32" t="b">
        <f>AND(AK159&gt;AL159,'User Inputs'!$J$125&lt;&gt;1)</f>
        <v>0</v>
      </c>
      <c r="AL245" s="32" t="b">
        <f>AND(AL159&gt;AM159,'User Inputs'!$J$125&lt;&gt;1)</f>
        <v>0</v>
      </c>
      <c r="AM245" s="32" t="b">
        <f>AND(AM159&gt;P159,'User Inputs'!$J$125&lt;&gt;1)</f>
        <v>0</v>
      </c>
      <c r="AN245" s="32"/>
    </row>
    <row r="246" spans="2:40" ht="14.1" customHeight="1">
      <c r="O246" s="21">
        <f>ROW()</f>
        <v>246</v>
      </c>
    </row>
    <row r="247" spans="2:40" ht="14.1" customHeight="1">
      <c r="B247" s="89" t="s">
        <v>3593</v>
      </c>
      <c r="O247" s="21">
        <f>ROW()</f>
        <v>247</v>
      </c>
      <c r="P247" s="332">
        <f>P241/AM241</f>
        <v>0.61474437103085511</v>
      </c>
      <c r="Q247" s="332">
        <f t="shared" ref="Q247:AM247" si="50">Q241/P241</f>
        <v>0.45931703753945685</v>
      </c>
      <c r="R247" s="332">
        <f t="shared" si="50"/>
        <v>0.5778383597432839</v>
      </c>
      <c r="S247" s="332">
        <f t="shared" si="50"/>
        <v>0.70385295852172192</v>
      </c>
      <c r="T247" s="332">
        <f t="shared" si="50"/>
        <v>1.5336421303724743</v>
      </c>
      <c r="U247" s="332">
        <f t="shared" si="50"/>
        <v>3.993256284620804</v>
      </c>
      <c r="V247" s="332">
        <f t="shared" si="50"/>
        <v>3.327428519941102</v>
      </c>
      <c r="W247" s="332">
        <f t="shared" si="50"/>
        <v>2.1884154005902285</v>
      </c>
      <c r="X247" s="332">
        <f t="shared" si="50"/>
        <v>1.5759437363625297</v>
      </c>
      <c r="Y247" s="332">
        <f t="shared" si="50"/>
        <v>0.65311881401728211</v>
      </c>
      <c r="Z247" s="332">
        <f t="shared" si="50"/>
        <v>0.53657238156686993</v>
      </c>
      <c r="AA247" s="332">
        <f t="shared" si="50"/>
        <v>0.78654401358618742</v>
      </c>
      <c r="AB247" s="332">
        <f t="shared" si="50"/>
        <v>1.0023246942991011</v>
      </c>
      <c r="AC247" s="332">
        <f t="shared" si="50"/>
        <v>1.0582948876422815</v>
      </c>
      <c r="AD247" s="332">
        <f t="shared" si="50"/>
        <v>1.2443184811650998</v>
      </c>
      <c r="AE247" s="332">
        <f t="shared" si="50"/>
        <v>1.293896503557554</v>
      </c>
      <c r="AF247" s="332">
        <f t="shared" si="50"/>
        <v>1.3176755856368736</v>
      </c>
      <c r="AG247" s="332">
        <f t="shared" si="50"/>
        <v>1.3872344919623514</v>
      </c>
      <c r="AH247" s="332">
        <f t="shared" si="50"/>
        <v>0.82447025711418442</v>
      </c>
      <c r="AI247" s="332">
        <f t="shared" si="50"/>
        <v>0.659700206223645</v>
      </c>
      <c r="AJ247" s="332">
        <f t="shared" si="50"/>
        <v>0.69701016656128045</v>
      </c>
      <c r="AK247" s="332">
        <f t="shared" si="50"/>
        <v>0.73136694559978888</v>
      </c>
      <c r="AL247" s="332">
        <f t="shared" si="50"/>
        <v>0.82122771608539269</v>
      </c>
      <c r="AM247" s="332">
        <f t="shared" si="50"/>
        <v>0.63236287670976032</v>
      </c>
    </row>
    <row r="248" spans="2:40" ht="14.1" customHeight="1">
      <c r="O248" s="21">
        <f>ROW()</f>
        <v>248</v>
      </c>
    </row>
    <row r="249" spans="2:40" ht="14.1" customHeight="1">
      <c r="B249" t="s">
        <v>3594</v>
      </c>
      <c r="O249" s="21">
        <f>ROW()</f>
        <v>249</v>
      </c>
      <c r="P249" s="332">
        <f t="shared" ref="P249:AL249" si="51">P241/Q241</f>
        <v>2.1771454535128072</v>
      </c>
      <c r="Q249" s="332">
        <f t="shared" si="51"/>
        <v>1.730587772754079</v>
      </c>
      <c r="R249" s="332">
        <f t="shared" si="51"/>
        <v>1.4207512917190337</v>
      </c>
      <c r="S249" s="332">
        <f t="shared" si="51"/>
        <v>0.65204259859314817</v>
      </c>
      <c r="T249" s="332">
        <f t="shared" si="51"/>
        <v>0.25042219400024285</v>
      </c>
      <c r="U249" s="332">
        <f t="shared" si="51"/>
        <v>0.30053237628007728</v>
      </c>
      <c r="V249" s="332">
        <f t="shared" si="51"/>
        <v>0.4569516371207652</v>
      </c>
      <c r="W249" s="332">
        <f t="shared" si="51"/>
        <v>0.63454041976658504</v>
      </c>
      <c r="X249" s="332">
        <f t="shared" si="51"/>
        <v>1.5311149802117614</v>
      </c>
      <c r="Y249" s="332">
        <f t="shared" si="51"/>
        <v>1.8636814609798842</v>
      </c>
      <c r="Z249" s="332">
        <f t="shared" si="51"/>
        <v>1.2713846685331394</v>
      </c>
      <c r="AA249" s="332">
        <f t="shared" si="51"/>
        <v>0.99768069737049958</v>
      </c>
      <c r="AB249" s="332">
        <f t="shared" si="51"/>
        <v>0.94491621539233395</v>
      </c>
      <c r="AC249" s="332">
        <f t="shared" si="51"/>
        <v>0.80365277470094654</v>
      </c>
      <c r="AD249" s="332">
        <f t="shared" si="51"/>
        <v>0.77285934172517756</v>
      </c>
      <c r="AE249" s="332">
        <f t="shared" si="51"/>
        <v>0.75891214112210248</v>
      </c>
      <c r="AF249" s="332">
        <f t="shared" si="51"/>
        <v>0.72085866217572347</v>
      </c>
      <c r="AG249" s="332">
        <f t="shared" si="51"/>
        <v>1.2129000304998336</v>
      </c>
      <c r="AH249" s="332">
        <f t="shared" si="51"/>
        <v>1.5158400597209909</v>
      </c>
      <c r="AI249" s="332">
        <f t="shared" si="51"/>
        <v>1.4346993027856805</v>
      </c>
      <c r="AJ249" s="332">
        <f t="shared" si="51"/>
        <v>1.3673027008076049</v>
      </c>
      <c r="AK249" s="332">
        <f t="shared" si="51"/>
        <v>1.2176890531249658</v>
      </c>
      <c r="AL249" s="332">
        <f t="shared" si="51"/>
        <v>1.5813705023341789</v>
      </c>
      <c r="AM249" s="332">
        <f>AM241/P241</f>
        <v>1.626692406020922</v>
      </c>
    </row>
    <row r="250" spans="2:40" ht="14.1" customHeight="1">
      <c r="O250" s="21">
        <f>ROW()</f>
        <v>250</v>
      </c>
    </row>
    <row r="251" spans="2:40" ht="14.1" customHeight="1">
      <c r="B251" t="s">
        <v>3595</v>
      </c>
      <c r="L251" s="4274" t="s">
        <v>199</v>
      </c>
      <c r="M251" s="3813"/>
      <c r="N251" s="3813"/>
      <c r="O251" s="21">
        <f>ROW()</f>
        <v>251</v>
      </c>
      <c r="P251" s="332">
        <v>1</v>
      </c>
      <c r="Q251" s="332">
        <v>1</v>
      </c>
      <c r="R251" s="332">
        <v>1</v>
      </c>
      <c r="S251" s="332">
        <v>1</v>
      </c>
      <c r="T251" s="332">
        <v>1</v>
      </c>
      <c r="U251" s="332">
        <v>1</v>
      </c>
      <c r="V251" s="332">
        <v>1</v>
      </c>
      <c r="W251" s="332">
        <v>1</v>
      </c>
      <c r="X251" s="332">
        <v>1</v>
      </c>
      <c r="Y251" s="332">
        <v>1</v>
      </c>
      <c r="Z251" s="332">
        <v>1</v>
      </c>
      <c r="AA251" s="332">
        <v>1</v>
      </c>
      <c r="AB251" s="332">
        <v>1</v>
      </c>
      <c r="AC251" s="332">
        <v>1</v>
      </c>
      <c r="AD251" s="332">
        <v>1</v>
      </c>
      <c r="AE251" s="332">
        <v>1</v>
      </c>
      <c r="AF251" s="332">
        <v>1</v>
      </c>
      <c r="AG251" s="332">
        <v>1</v>
      </c>
      <c r="AH251" s="332">
        <v>1</v>
      </c>
      <c r="AI251" s="332">
        <v>1</v>
      </c>
      <c r="AJ251" s="332">
        <v>1</v>
      </c>
      <c r="AK251" s="332">
        <v>1</v>
      </c>
      <c r="AL251" s="332">
        <v>1</v>
      </c>
      <c r="AM251" s="332">
        <v>1</v>
      </c>
    </row>
    <row r="252" spans="2:40" ht="14.1" customHeight="1">
      <c r="L252" s="3813"/>
      <c r="M252" s="3813"/>
      <c r="N252" s="3813"/>
      <c r="O252" s="21">
        <f>ROW()</f>
        <v>252</v>
      </c>
    </row>
    <row r="253" spans="2:40" ht="14.1" customHeight="1">
      <c r="B253" t="s">
        <v>3596</v>
      </c>
      <c r="O253" s="21">
        <f>ROW()</f>
        <v>253</v>
      </c>
      <c r="P253" s="332">
        <v>1</v>
      </c>
      <c r="Q253" s="332">
        <v>1</v>
      </c>
      <c r="R253" s="332">
        <v>1</v>
      </c>
      <c r="S253" s="332">
        <v>1</v>
      </c>
      <c r="T253" s="332">
        <v>1</v>
      </c>
      <c r="U253" s="332">
        <v>1</v>
      </c>
      <c r="V253" s="332">
        <v>1</v>
      </c>
      <c r="W253" s="332">
        <v>1</v>
      </c>
      <c r="X253" s="332">
        <v>1</v>
      </c>
      <c r="Y253" s="332">
        <v>1</v>
      </c>
      <c r="Z253" s="332">
        <v>1</v>
      </c>
      <c r="AA253" s="332">
        <v>1</v>
      </c>
      <c r="AB253" s="332">
        <v>1</v>
      </c>
      <c r="AC253" s="332">
        <v>1</v>
      </c>
      <c r="AD253" s="332">
        <v>1</v>
      </c>
      <c r="AE253" s="332">
        <v>1</v>
      </c>
      <c r="AF253" s="332">
        <v>1</v>
      </c>
      <c r="AG253" s="332">
        <v>1</v>
      </c>
      <c r="AH253" s="332">
        <v>1</v>
      </c>
      <c r="AI253" s="332">
        <v>1</v>
      </c>
      <c r="AJ253" s="332">
        <v>1</v>
      </c>
      <c r="AK253" s="332">
        <v>1</v>
      </c>
      <c r="AL253" s="332">
        <v>1</v>
      </c>
      <c r="AM253" s="332">
        <v>1</v>
      </c>
    </row>
    <row r="254" spans="2:40" ht="14.1" customHeight="1">
      <c r="O254" s="21">
        <f>ROW()</f>
        <v>254</v>
      </c>
    </row>
    <row r="255" spans="2:40" ht="14.1" customHeight="1">
      <c r="B255" t="s">
        <v>3597</v>
      </c>
      <c r="O255" s="21">
        <f>ROW()</f>
        <v>255</v>
      </c>
      <c r="P255" s="332">
        <f>IF(AM159=P159,1,IF(AM159=0, P159/$N$256, P159/AM159))</f>
        <v>1</v>
      </c>
      <c r="Q255" s="332">
        <f t="shared" ref="Q255:AM255" si="52">IF(P159=Q159,1,IF(P159=0, Q159/$N$256, Q159/P159))</f>
        <v>1</v>
      </c>
      <c r="R255" s="332">
        <f t="shared" si="52"/>
        <v>1</v>
      </c>
      <c r="S255" s="332">
        <f t="shared" si="52"/>
        <v>1</v>
      </c>
      <c r="T255" s="332">
        <f t="shared" si="52"/>
        <v>1</v>
      </c>
      <c r="U255" s="332">
        <f t="shared" si="52"/>
        <v>1</v>
      </c>
      <c r="V255" s="332">
        <f t="shared" si="52"/>
        <v>1</v>
      </c>
      <c r="W255" s="332">
        <f t="shared" si="52"/>
        <v>1</v>
      </c>
      <c r="X255" s="332">
        <f t="shared" si="52"/>
        <v>1</v>
      </c>
      <c r="Y255" s="332">
        <f t="shared" si="52"/>
        <v>1</v>
      </c>
      <c r="Z255" s="332">
        <f t="shared" si="52"/>
        <v>1</v>
      </c>
      <c r="AA255" s="332">
        <f t="shared" si="52"/>
        <v>1</v>
      </c>
      <c r="AB255" s="332">
        <f t="shared" si="52"/>
        <v>1</v>
      </c>
      <c r="AC255" s="332">
        <f t="shared" si="52"/>
        <v>1</v>
      </c>
      <c r="AD255" s="332">
        <f t="shared" si="52"/>
        <v>1</v>
      </c>
      <c r="AE255" s="332">
        <f t="shared" si="52"/>
        <v>1</v>
      </c>
      <c r="AF255" s="332">
        <f t="shared" si="52"/>
        <v>1</v>
      </c>
      <c r="AG255" s="332">
        <f t="shared" si="52"/>
        <v>1</v>
      </c>
      <c r="AH255" s="332">
        <f t="shared" si="52"/>
        <v>1</v>
      </c>
      <c r="AI255" s="332">
        <f t="shared" si="52"/>
        <v>1</v>
      </c>
      <c r="AJ255" s="332">
        <f t="shared" si="52"/>
        <v>1</v>
      </c>
      <c r="AK255" s="332">
        <f t="shared" si="52"/>
        <v>1</v>
      </c>
      <c r="AL255" s="332">
        <f t="shared" si="52"/>
        <v>1</v>
      </c>
      <c r="AM255" s="332">
        <f t="shared" si="52"/>
        <v>1</v>
      </c>
    </row>
    <row r="256" spans="2:40" ht="14.1" customHeight="1">
      <c r="B256" s="265" t="str">
        <f>CONCATENATE("Note: zero fares, if any, are assigned this value for calc'ing fare ratios in Rows ",O255, " &amp; ",O257, " to avoid dividing by zero:")</f>
        <v>Note: zero fares, if any, are assigned this value for calc'ing fare ratios in Rows 255 &amp; 257 to avoid dividing by zero:</v>
      </c>
      <c r="N256" s="782">
        <v>0.01</v>
      </c>
      <c r="O256" s="21">
        <f>ROW()</f>
        <v>256</v>
      </c>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row>
    <row r="257" spans="2:39" ht="14.1" customHeight="1">
      <c r="B257" t="s">
        <v>3598</v>
      </c>
      <c r="O257" s="21">
        <f>ROW()</f>
        <v>257</v>
      </c>
      <c r="P257" s="332">
        <f t="shared" ref="P257:AL257" si="53">IF(Q159=P159,1,IF(Q159=0, P159/$N$256, P159/Q159))</f>
        <v>1</v>
      </c>
      <c r="Q257" s="332">
        <f t="shared" si="53"/>
        <v>1</v>
      </c>
      <c r="R257" s="332">
        <f t="shared" si="53"/>
        <v>1</v>
      </c>
      <c r="S257" s="332">
        <f t="shared" si="53"/>
        <v>1</v>
      </c>
      <c r="T257" s="332">
        <f t="shared" si="53"/>
        <v>1</v>
      </c>
      <c r="U257" s="332">
        <f t="shared" si="53"/>
        <v>1</v>
      </c>
      <c r="V257" s="332">
        <f t="shared" si="53"/>
        <v>1</v>
      </c>
      <c r="W257" s="332">
        <f t="shared" si="53"/>
        <v>1</v>
      </c>
      <c r="X257" s="332">
        <f t="shared" si="53"/>
        <v>1</v>
      </c>
      <c r="Y257" s="332">
        <f t="shared" si="53"/>
        <v>1</v>
      </c>
      <c r="Z257" s="332">
        <f t="shared" si="53"/>
        <v>1</v>
      </c>
      <c r="AA257" s="332">
        <f t="shared" si="53"/>
        <v>1</v>
      </c>
      <c r="AB257" s="332">
        <f t="shared" si="53"/>
        <v>1</v>
      </c>
      <c r="AC257" s="332">
        <f t="shared" si="53"/>
        <v>1</v>
      </c>
      <c r="AD257" s="332">
        <f t="shared" si="53"/>
        <v>1</v>
      </c>
      <c r="AE257" s="332">
        <f t="shared" si="53"/>
        <v>1</v>
      </c>
      <c r="AF257" s="332">
        <f t="shared" si="53"/>
        <v>1</v>
      </c>
      <c r="AG257" s="332">
        <f t="shared" si="53"/>
        <v>1</v>
      </c>
      <c r="AH257" s="332">
        <f t="shared" si="53"/>
        <v>1</v>
      </c>
      <c r="AI257" s="332">
        <f t="shared" si="53"/>
        <v>1</v>
      </c>
      <c r="AJ257" s="332">
        <f t="shared" si="53"/>
        <v>1</v>
      </c>
      <c r="AK257" s="332">
        <f t="shared" si="53"/>
        <v>1</v>
      </c>
      <c r="AL257" s="332">
        <f t="shared" si="53"/>
        <v>1</v>
      </c>
      <c r="AM257" s="332">
        <f>IF(P159=AM159,1,IF(P159=0, AM159/$N$256, AM159/P159))</f>
        <v>1</v>
      </c>
    </row>
    <row r="258" spans="2:39" ht="14.1" customHeight="1">
      <c r="O258" s="21">
        <f>ROW()</f>
        <v>258</v>
      </c>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row>
    <row r="259" spans="2:39" ht="14.1" customHeight="1">
      <c r="B259" t="str">
        <f>CONCATENATE("Ratio of fare ratios for time-switching earlier (Row ",O255," divided by Row ",O251,"); if &gt; 1, some trips will switch earlier")</f>
        <v>Ratio of fare ratios for time-switching earlier (Row 255 divided by Row 251); if &gt; 1, some trips will switch earlier</v>
      </c>
      <c r="O259" s="21">
        <f>ROW()</f>
        <v>259</v>
      </c>
      <c r="P259" s="332">
        <f t="shared" ref="P259:AM259" si="54">P255/P251</f>
        <v>1</v>
      </c>
      <c r="Q259" s="332">
        <f t="shared" si="54"/>
        <v>1</v>
      </c>
      <c r="R259" s="332">
        <f t="shared" si="54"/>
        <v>1</v>
      </c>
      <c r="S259" s="332">
        <f t="shared" si="54"/>
        <v>1</v>
      </c>
      <c r="T259" s="332">
        <f t="shared" si="54"/>
        <v>1</v>
      </c>
      <c r="U259" s="332">
        <f t="shared" si="54"/>
        <v>1</v>
      </c>
      <c r="V259" s="332">
        <f t="shared" si="54"/>
        <v>1</v>
      </c>
      <c r="W259" s="332">
        <f t="shared" si="54"/>
        <v>1</v>
      </c>
      <c r="X259" s="332">
        <f t="shared" si="54"/>
        <v>1</v>
      </c>
      <c r="Y259" s="332">
        <f t="shared" si="54"/>
        <v>1</v>
      </c>
      <c r="Z259" s="332">
        <f t="shared" si="54"/>
        <v>1</v>
      </c>
      <c r="AA259" s="332">
        <f t="shared" si="54"/>
        <v>1</v>
      </c>
      <c r="AB259" s="332">
        <f t="shared" si="54"/>
        <v>1</v>
      </c>
      <c r="AC259" s="332">
        <f t="shared" si="54"/>
        <v>1</v>
      </c>
      <c r="AD259" s="332">
        <f t="shared" si="54"/>
        <v>1</v>
      </c>
      <c r="AE259" s="332">
        <f t="shared" si="54"/>
        <v>1</v>
      </c>
      <c r="AF259" s="332">
        <f t="shared" si="54"/>
        <v>1</v>
      </c>
      <c r="AG259" s="332">
        <f t="shared" si="54"/>
        <v>1</v>
      </c>
      <c r="AH259" s="332">
        <f t="shared" si="54"/>
        <v>1</v>
      </c>
      <c r="AI259" s="332">
        <f t="shared" si="54"/>
        <v>1</v>
      </c>
      <c r="AJ259" s="332">
        <f t="shared" si="54"/>
        <v>1</v>
      </c>
      <c r="AK259" s="332">
        <f t="shared" si="54"/>
        <v>1</v>
      </c>
      <c r="AL259" s="332">
        <f t="shared" si="54"/>
        <v>1</v>
      </c>
      <c r="AM259" s="332">
        <f t="shared" si="54"/>
        <v>1</v>
      </c>
    </row>
    <row r="260" spans="2:39" ht="14.1" customHeight="1">
      <c r="O260" s="21">
        <f>ROW()</f>
        <v>260</v>
      </c>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row>
    <row r="261" spans="2:39" ht="14.1" customHeight="1">
      <c r="B261" t="str">
        <f>CONCATENATE("Ratio of fare ratios for time-switching later (Row ",O257," divided by Row ",O253,"); if &gt; 1, some trips will switch later")</f>
        <v>Ratio of fare ratios for time-switching later (Row 257 divided by Row 253); if &gt; 1, some trips will switch later</v>
      </c>
      <c r="O261" s="21">
        <f>ROW()</f>
        <v>261</v>
      </c>
      <c r="P261" s="332">
        <f t="shared" ref="P261:AM261" si="55">P257/P253</f>
        <v>1</v>
      </c>
      <c r="Q261" s="332">
        <f t="shared" si="55"/>
        <v>1</v>
      </c>
      <c r="R261" s="332">
        <f t="shared" si="55"/>
        <v>1</v>
      </c>
      <c r="S261" s="332">
        <f t="shared" si="55"/>
        <v>1</v>
      </c>
      <c r="T261" s="332">
        <f t="shared" si="55"/>
        <v>1</v>
      </c>
      <c r="U261" s="332">
        <f t="shared" si="55"/>
        <v>1</v>
      </c>
      <c r="V261" s="332">
        <f t="shared" si="55"/>
        <v>1</v>
      </c>
      <c r="W261" s="332">
        <f t="shared" si="55"/>
        <v>1</v>
      </c>
      <c r="X261" s="332">
        <f t="shared" si="55"/>
        <v>1</v>
      </c>
      <c r="Y261" s="332">
        <f t="shared" si="55"/>
        <v>1</v>
      </c>
      <c r="Z261" s="332">
        <f t="shared" si="55"/>
        <v>1</v>
      </c>
      <c r="AA261" s="332">
        <f t="shared" si="55"/>
        <v>1</v>
      </c>
      <c r="AB261" s="332">
        <f t="shared" si="55"/>
        <v>1</v>
      </c>
      <c r="AC261" s="332">
        <f t="shared" si="55"/>
        <v>1</v>
      </c>
      <c r="AD261" s="332">
        <f t="shared" si="55"/>
        <v>1</v>
      </c>
      <c r="AE261" s="332">
        <f t="shared" si="55"/>
        <v>1</v>
      </c>
      <c r="AF261" s="332">
        <f t="shared" si="55"/>
        <v>1</v>
      </c>
      <c r="AG261" s="332">
        <f t="shared" si="55"/>
        <v>1</v>
      </c>
      <c r="AH261" s="332">
        <f t="shared" si="55"/>
        <v>1</v>
      </c>
      <c r="AI261" s="332">
        <f t="shared" si="55"/>
        <v>1</v>
      </c>
      <c r="AJ261" s="332">
        <f t="shared" si="55"/>
        <v>1</v>
      </c>
      <c r="AK261" s="332">
        <f t="shared" si="55"/>
        <v>1</v>
      </c>
      <c r="AL261" s="332">
        <f t="shared" si="55"/>
        <v>1</v>
      </c>
      <c r="AM261" s="332">
        <f t="shared" si="55"/>
        <v>1</v>
      </c>
    </row>
    <row r="262" spans="2:39" ht="14.1" customHeight="1">
      <c r="O262" s="21">
        <f>ROW()</f>
        <v>262</v>
      </c>
      <c r="P262" s="117"/>
      <c r="Q262" s="117"/>
      <c r="R262" s="117"/>
      <c r="S262" s="117"/>
      <c r="T262" s="117"/>
      <c r="U262" s="117"/>
      <c r="V262" s="117"/>
      <c r="W262" s="117"/>
      <c r="X262" s="117"/>
      <c r="Y262" s="117"/>
      <c r="Z262" s="117"/>
      <c r="AA262" s="117"/>
      <c r="AB262" s="117"/>
      <c r="AC262" s="117"/>
      <c r="AD262" s="117"/>
      <c r="AE262" s="117"/>
      <c r="AF262" s="117"/>
      <c r="AG262" s="117"/>
      <c r="AH262" s="332"/>
      <c r="AI262" s="332"/>
      <c r="AJ262" s="117"/>
      <c r="AK262" s="117"/>
      <c r="AL262" s="117"/>
      <c r="AM262" s="117"/>
    </row>
    <row r="263" spans="2:39" ht="14.1" customHeight="1">
      <c r="B263" t="s">
        <v>873</v>
      </c>
      <c r="O263" s="21">
        <f>ROW()</f>
        <v>263</v>
      </c>
      <c r="P263" s="567">
        <f>P137*Elasticities!$G$49+(1-P137)*Elasticities!$H$49</f>
        <v>-0.19944000000000003</v>
      </c>
      <c r="Q263" s="567">
        <f>Q137*Elasticities!$G$49+(1-Q137)*Elasticities!$H$49</f>
        <v>-0.19944000000000003</v>
      </c>
      <c r="R263" s="567">
        <f>R137*Elasticities!$G$49+(1-R137)*Elasticities!$H$49</f>
        <v>-0.19944000000000003</v>
      </c>
      <c r="S263" s="567">
        <f>S137*Elasticities!$G$49+(1-S137)*Elasticities!$H$49</f>
        <v>-0.19944000000000003</v>
      </c>
      <c r="T263" s="567">
        <f>T137*Elasticities!$G$49+(1-T137)*Elasticities!$H$49</f>
        <v>-0.16200000000000001</v>
      </c>
      <c r="U263" s="567">
        <f>U137*Elasticities!$G$49+(1-U137)*Elasticities!$H$49</f>
        <v>-0.11879999999999999</v>
      </c>
      <c r="V263" s="567">
        <f>V137*Elasticities!$G$49+(1-V137)*Elasticities!$H$49</f>
        <v>-9.7200000000000009E-2</v>
      </c>
      <c r="W263" s="567">
        <f>W137*Elasticities!$G$49+(1-W137)*Elasticities!$H$49</f>
        <v>-9.7200000000000009E-2</v>
      </c>
      <c r="X263" s="567">
        <f>X137*Elasticities!$G$49+(1-X137)*Elasticities!$H$49</f>
        <v>-9.7200000000000009E-2</v>
      </c>
      <c r="Y263" s="567">
        <f>Y137*Elasticities!$G$49+(1-Y137)*Elasticities!$H$49</f>
        <v>-0.11879999999999999</v>
      </c>
      <c r="Z263" s="567">
        <f>Z137*Elasticities!$G$49+(1-Z137)*Elasticities!$H$49</f>
        <v>-0.14760000000000001</v>
      </c>
      <c r="AA263" s="567">
        <f>AA137*Elasticities!$G$49+(1-AA137)*Elasticities!$H$49</f>
        <v>-0.14760000000000001</v>
      </c>
      <c r="AB263" s="567">
        <f>AB137*Elasticities!$G$49+(1-AB137)*Elasticities!$H$49</f>
        <v>-0.14760000000000001</v>
      </c>
      <c r="AC263" s="567">
        <f>AC137*Elasticities!$G$49+(1-AC137)*Elasticities!$H$49</f>
        <v>-0.15479999999999999</v>
      </c>
      <c r="AD263" s="567">
        <f>AD137*Elasticities!$G$49+(1-AD137)*Elasticities!$H$49</f>
        <v>-0.16920000000000002</v>
      </c>
      <c r="AE263" s="567">
        <f>AE137*Elasticities!$G$49+(1-AE137)*Elasticities!$H$49</f>
        <v>-0.16920000000000002</v>
      </c>
      <c r="AF263" s="567">
        <f>AF137*Elasticities!$G$49+(1-AF137)*Elasticities!$H$49</f>
        <v>-0.16920000000000002</v>
      </c>
      <c r="AG263" s="567">
        <f>AG137*Elasticities!$G$49+(1-AG137)*Elasticities!$H$49</f>
        <v>-0.16920000000000002</v>
      </c>
      <c r="AH263" s="567">
        <f>AH137*Elasticities!$G$49+(1-AH137)*Elasticities!$H$49</f>
        <v>-0.16920000000000002</v>
      </c>
      <c r="AI263" s="567">
        <f>AI137*Elasticities!$G$49+(1-AI137)*Elasticities!$H$49</f>
        <v>-0.16920000000000002</v>
      </c>
      <c r="AJ263" s="567">
        <f>AJ137*Elasticities!$G$49+(1-AJ137)*Elasticities!$H$49</f>
        <v>-0.1764</v>
      </c>
      <c r="AK263" s="567">
        <f>AK137*Elasticities!$G$49+(1-AK137)*Elasticities!$H$49</f>
        <v>-0.18360000000000001</v>
      </c>
      <c r="AL263" s="567">
        <f>AL137*Elasticities!$G$49+(1-AL137)*Elasticities!$H$49</f>
        <v>-0.1908</v>
      </c>
      <c r="AM263" s="567">
        <f>AM137*Elasticities!$G$49+(1-AM137)*Elasticities!$H$49</f>
        <v>-0.19944000000000003</v>
      </c>
    </row>
    <row r="264" spans="2:39" ht="14.1" customHeight="1">
      <c r="O264" s="21">
        <f>ROW()</f>
        <v>264</v>
      </c>
      <c r="P264" s="117"/>
      <c r="Q264" s="117"/>
      <c r="R264" s="117"/>
      <c r="S264" s="117"/>
      <c r="T264" s="117"/>
      <c r="U264" s="117"/>
      <c r="V264" s="117"/>
      <c r="W264" s="117"/>
      <c r="X264" s="117"/>
      <c r="Y264" s="117"/>
      <c r="Z264" s="117"/>
      <c r="AA264" s="117"/>
      <c r="AB264" s="117"/>
      <c r="AC264" s="117"/>
      <c r="AD264" s="117"/>
      <c r="AE264" s="117"/>
      <c r="AF264" s="117"/>
      <c r="AG264" s="117"/>
      <c r="AH264" s="332"/>
      <c r="AI264" s="332"/>
      <c r="AJ264" s="117"/>
      <c r="AK264" s="117"/>
      <c r="AL264" s="117"/>
      <c r="AM264" s="117"/>
    </row>
    <row r="265" spans="2:39" ht="14.1" customHeight="1">
      <c r="B265" t="s">
        <v>1341</v>
      </c>
      <c r="O265" s="21">
        <f>ROW()</f>
        <v>265</v>
      </c>
      <c r="P265" s="567">
        <f>P137*Elasticities!$G$51+(1-P137)*Elasticities!$H$51</f>
        <v>-0.80400000000000005</v>
      </c>
      <c r="Q265" s="567">
        <f>Q137*Elasticities!$G$51+(1-Q137)*Elasticities!$H$51</f>
        <v>-0.80400000000000005</v>
      </c>
      <c r="R265" s="567">
        <f>R137*Elasticities!$G$51+(1-R137)*Elasticities!$H$51</f>
        <v>-0.80400000000000005</v>
      </c>
      <c r="S265" s="567">
        <f>S137*Elasticities!$G$51+(1-S137)*Elasticities!$H$51</f>
        <v>-0.80400000000000005</v>
      </c>
      <c r="T265" s="567">
        <f>T137*Elasticities!$G$51+(1-T137)*Elasticities!$H$51</f>
        <v>-0.7</v>
      </c>
      <c r="U265" s="567">
        <f>U137*Elasticities!$G$51+(1-U137)*Elasticities!$H$51</f>
        <v>-0.57999999999999996</v>
      </c>
      <c r="V265" s="567">
        <f>V137*Elasticities!$G$51+(1-V137)*Elasticities!$H$51</f>
        <v>-0.52</v>
      </c>
      <c r="W265" s="567">
        <f>W137*Elasticities!$G$51+(1-W137)*Elasticities!$H$51</f>
        <v>-0.52</v>
      </c>
      <c r="X265" s="567">
        <f>X137*Elasticities!$G$51+(1-X137)*Elasticities!$H$51</f>
        <v>-0.52</v>
      </c>
      <c r="Y265" s="567">
        <f>Y137*Elasticities!$G$51+(1-Y137)*Elasticities!$H$51</f>
        <v>-0.57999999999999996</v>
      </c>
      <c r="Z265" s="567">
        <f>Z137*Elasticities!$G$51+(1-Z137)*Elasticities!$H$51</f>
        <v>-0.66</v>
      </c>
      <c r="AA265" s="567">
        <f>AA137*Elasticities!$G$51+(1-AA137)*Elasticities!$H$51</f>
        <v>-0.66</v>
      </c>
      <c r="AB265" s="567">
        <f>AB137*Elasticities!$G$51+(1-AB137)*Elasticities!$H$51</f>
        <v>-0.66</v>
      </c>
      <c r="AC265" s="567">
        <f>AC137*Elasticities!$G$51+(1-AC137)*Elasticities!$H$51</f>
        <v>-0.67999999999999994</v>
      </c>
      <c r="AD265" s="567">
        <f>AD137*Elasticities!$G$51+(1-AD137)*Elasticities!$H$51</f>
        <v>-0.72</v>
      </c>
      <c r="AE265" s="567">
        <f>AE137*Elasticities!$G$51+(1-AE137)*Elasticities!$H$51</f>
        <v>-0.72</v>
      </c>
      <c r="AF265" s="567">
        <f>AF137*Elasticities!$G$51+(1-AF137)*Elasticities!$H$51</f>
        <v>-0.72</v>
      </c>
      <c r="AG265" s="567">
        <f>AG137*Elasticities!$G$51+(1-AG137)*Elasticities!$H$51</f>
        <v>-0.72</v>
      </c>
      <c r="AH265" s="567">
        <f>AH137*Elasticities!$G$51+(1-AH137)*Elasticities!$H$51</f>
        <v>-0.72</v>
      </c>
      <c r="AI265" s="567">
        <f>AI137*Elasticities!$G$51+(1-AI137)*Elasticities!$H$51</f>
        <v>-0.72</v>
      </c>
      <c r="AJ265" s="567">
        <f>AJ137*Elasticities!$G$51+(1-AJ137)*Elasticities!$H$51</f>
        <v>-0.74</v>
      </c>
      <c r="AK265" s="567">
        <f>AK137*Elasticities!$G$51+(1-AK137)*Elasticities!$H$51</f>
        <v>-0.76</v>
      </c>
      <c r="AL265" s="567">
        <f>AL137*Elasticities!$G$51+(1-AL137)*Elasticities!$H$51</f>
        <v>-0.78</v>
      </c>
      <c r="AM265" s="567">
        <f>AM137*Elasticities!$G$51+(1-AM137)*Elasticities!$H$51</f>
        <v>-0.80400000000000005</v>
      </c>
    </row>
    <row r="266" spans="2:39" ht="14.1" customHeight="1">
      <c r="O266" s="21">
        <f>ROW()</f>
        <v>266</v>
      </c>
    </row>
    <row r="267" spans="2:39" s="86" customFormat="1" ht="14.1" customHeight="1">
      <c r="B267" s="86" t="s">
        <v>216</v>
      </c>
      <c r="O267" s="824">
        <f>ROW()</f>
        <v>267</v>
      </c>
      <c r="P267" s="825">
        <f>'Weekday Hours'!$H198*'Weekday Hours'!$H182*P$263/P$265*('Weekday Hours'!$G$138/'Weekday Hours'!$G$140)</f>
        <v>-0.27460488016199897</v>
      </c>
      <c r="Q267" s="825">
        <f>'Weekday Hours'!$H198*'Weekday Hours'!$H182*Q$263/Q$265*('Weekday Hours'!$G$138/'Weekday Hours'!$G$140)</f>
        <v>-0.27460488016199897</v>
      </c>
      <c r="R267" s="825">
        <f>'Weekday Hours'!$H198*'Weekday Hours'!$H182*R$263/R$265*('Weekday Hours'!$G$138/'Weekday Hours'!$G$140)</f>
        <v>-0.27460488016199897</v>
      </c>
      <c r="S267" s="825">
        <f>'Weekday Hours'!$H198*'Weekday Hours'!$H182*S$263/S$265*('Weekday Hours'!$G$138/'Weekday Hours'!$G$140)</f>
        <v>-0.27460488016199897</v>
      </c>
      <c r="T267" s="825">
        <f>'Weekday Hours'!$H198*'Weekday Hours'!$H182*T$263/T$265*('Weekday Hours'!$G$138/'Weekday Hours'!$G$140)</f>
        <v>-0.25619403208512437</v>
      </c>
      <c r="U267" s="825">
        <f>'Weekday Hours'!$H198*'Weekday Hours'!$H182*U$263/U$265*('Weekday Hours'!$G$138/'Weekday Hours'!$G$140)</f>
        <v>-0.22674644219028245</v>
      </c>
      <c r="V267" s="825">
        <f>'Weekday Hours'!$H198*'Weekday Hours'!$H182*V$263/V$265*('Weekday Hours'!$G$138/'Weekday Hours'!$G$140)</f>
        <v>-0.2069259489918312</v>
      </c>
      <c r="W267" s="825">
        <f>'Weekday Hours'!$H198*'Weekday Hours'!$H182*W$263/W$265*('Weekday Hours'!$G$138/'Weekday Hours'!$G$140)</f>
        <v>-0.2069259489918312</v>
      </c>
      <c r="X267" s="825">
        <f>'Weekday Hours'!$H198*'Weekday Hours'!$H182*X$263/X$265*('Weekday Hours'!$G$138/'Weekday Hours'!$G$140)</f>
        <v>-0.2069259489918312</v>
      </c>
      <c r="Y267" s="825">
        <f>'Weekday Hours'!$H198*'Weekday Hours'!$H182*Y$263/Y$265*('Weekday Hours'!$G$138/'Weekday Hours'!$G$140)</f>
        <v>-0.22674644219028245</v>
      </c>
      <c r="Z267" s="825">
        <f>'Weekday Hours'!$H198*'Weekday Hours'!$H182*Z$263/Z$265*('Weekday Hours'!$G$138/'Weekday Hours'!$G$140)</f>
        <v>-0.24756797039875653</v>
      </c>
      <c r="AA267" s="825">
        <f>'Weekday Hours'!$H198*'Weekday Hours'!$H182*AA$263/AA$265*('Weekday Hours'!$G$138/'Weekday Hours'!$G$140)</f>
        <v>-0.24756797039875653</v>
      </c>
      <c r="AB267" s="825">
        <f>'Weekday Hours'!$H198*'Weekday Hours'!$H182*AB$263/AB$265*('Weekday Hours'!$G$138/'Weekday Hours'!$G$140)</f>
        <v>-0.24756797039875653</v>
      </c>
      <c r="AC267" s="825">
        <f>'Weekday Hours'!$H198*'Weekday Hours'!$H182*AC$263/AC$265*('Weekday Hours'!$G$138/'Weekday Hours'!$G$140)</f>
        <v>-0.25200785509026935</v>
      </c>
      <c r="AD267" s="825">
        <f>'Weekday Hours'!$H198*'Weekday Hours'!$H182*AD$263/AD$265*('Weekday Hours'!$G$138/'Weekday Hours'!$G$140)</f>
        <v>-0.26014764369137627</v>
      </c>
      <c r="AE267" s="825">
        <f>'Weekday Hours'!$H198*'Weekday Hours'!$H182*AE$263/AE$265*('Weekday Hours'!$G$138/'Weekday Hours'!$G$140)</f>
        <v>-0.26014764369137627</v>
      </c>
      <c r="AF267" s="825">
        <f>'Weekday Hours'!$H198*'Weekday Hours'!$H182*AF$263/AF$265*('Weekday Hours'!$G$138/'Weekday Hours'!$G$140)</f>
        <v>-0.26014764369137627</v>
      </c>
      <c r="AG267" s="825">
        <f>'Weekday Hours'!$H198*'Weekday Hours'!$H182*AG$263/AG$265*('Weekday Hours'!$G$138/'Weekday Hours'!$G$140)</f>
        <v>-0.26014764369137627</v>
      </c>
      <c r="AH267" s="825">
        <f>'Weekday Hours'!$H198*'Weekday Hours'!$H182*AH$263/AH$265*('Weekday Hours'!$G$138/'Weekday Hours'!$G$140)</f>
        <v>-0.26014764369137627</v>
      </c>
      <c r="AI267" s="825">
        <f>'Weekday Hours'!$H198*'Weekday Hours'!$H182*AI$263/AI$265*('Weekday Hours'!$G$138/'Weekday Hours'!$G$140)</f>
        <v>-0.26014764369137627</v>
      </c>
      <c r="AJ267" s="825">
        <f>'Weekday Hours'!$H198*'Weekday Hours'!$H182*AJ$263/AJ$265*('Weekday Hours'!$G$138/'Weekday Hours'!$G$140)</f>
        <v>-0.26388754656215507</v>
      </c>
      <c r="AK267" s="825">
        <f>'Weekday Hours'!$H198*'Weekday Hours'!$H182*AK$263/AK$265*('Weekday Hours'!$G$138/'Weekday Hours'!$G$140)</f>
        <v>-0.26743061243973504</v>
      </c>
      <c r="AL267" s="825">
        <f>'Weekday Hours'!$H198*'Weekday Hours'!$H182*AL$263/AL$265*('Weekday Hours'!$G$138/'Weekday Hours'!$G$140)</f>
        <v>-0.27079198263128529</v>
      </c>
      <c r="AM267" s="825">
        <f>'Weekday Hours'!$H198*'Weekday Hours'!$H182*AM$263/AM$265*('Weekday Hours'!$G$138/'Weekday Hours'!$G$140)</f>
        <v>-0.27460488016199897</v>
      </c>
    </row>
    <row r="268" spans="2:39" s="86" customFormat="1" ht="14.1" customHeight="1">
      <c r="B268" s="4432" t="s">
        <v>3280</v>
      </c>
      <c r="C268" s="4187"/>
      <c r="D268" s="4187"/>
      <c r="E268" s="4187"/>
      <c r="F268" s="4187"/>
      <c r="G268" s="4187"/>
      <c r="H268" s="4187"/>
      <c r="I268" s="4187"/>
      <c r="J268" s="4187"/>
      <c r="K268" s="4187"/>
      <c r="L268" s="4187"/>
      <c r="M268" s="4187"/>
      <c r="N268" s="4187"/>
      <c r="O268" s="824">
        <f>ROW()</f>
        <v>268</v>
      </c>
      <c r="P268" s="825"/>
      <c r="Q268" s="825"/>
      <c r="R268" s="825"/>
      <c r="S268" s="825"/>
      <c r="T268" s="825"/>
      <c r="U268" s="825"/>
      <c r="V268" s="825"/>
      <c r="W268" s="825"/>
      <c r="X268" s="825"/>
      <c r="Y268" s="825"/>
      <c r="Z268" s="825"/>
      <c r="AA268" s="825"/>
      <c r="AB268" s="825"/>
      <c r="AC268" s="825"/>
      <c r="AD268" s="825"/>
      <c r="AE268" s="825"/>
      <c r="AF268" s="825"/>
      <c r="AG268" s="825"/>
      <c r="AH268" s="825"/>
      <c r="AI268" s="825"/>
      <c r="AJ268" s="825"/>
      <c r="AK268" s="825"/>
      <c r="AL268" s="825"/>
      <c r="AM268" s="825"/>
    </row>
    <row r="269" spans="2:39" s="86" customFormat="1" ht="14.1" customHeight="1">
      <c r="B269" s="4187"/>
      <c r="C269" s="4187"/>
      <c r="D269" s="4187"/>
      <c r="E269" s="4187"/>
      <c r="F269" s="4187"/>
      <c r="G269" s="4187"/>
      <c r="H269" s="4187"/>
      <c r="I269" s="4187"/>
      <c r="J269" s="4187"/>
      <c r="K269" s="4187"/>
      <c r="L269" s="4187"/>
      <c r="M269" s="4187"/>
      <c r="N269" s="4187"/>
      <c r="O269" s="824">
        <f>ROW()</f>
        <v>269</v>
      </c>
      <c r="P269" s="825"/>
      <c r="Q269" s="825"/>
      <c r="R269" s="825"/>
      <c r="S269" s="825"/>
      <c r="T269" s="825"/>
      <c r="U269" s="825"/>
      <c r="V269" s="825"/>
      <c r="W269" s="825"/>
      <c r="X269" s="825"/>
      <c r="Y269" s="825"/>
      <c r="Z269" s="825"/>
      <c r="AA269" s="825"/>
      <c r="AB269" s="825"/>
      <c r="AC269" s="825"/>
      <c r="AD269" s="825"/>
      <c r="AE269" s="825"/>
      <c r="AF269" s="825"/>
      <c r="AG269" s="825"/>
      <c r="AH269" s="825"/>
      <c r="AI269" s="825"/>
      <c r="AJ269" s="825"/>
      <c r="AK269" s="825"/>
      <c r="AL269" s="825"/>
      <c r="AM269" s="825"/>
    </row>
    <row r="270" spans="2:39" s="86" customFormat="1" ht="14.1" customHeight="1">
      <c r="B270" s="217"/>
      <c r="C270" s="217"/>
      <c r="D270" s="217"/>
      <c r="E270" s="217"/>
      <c r="F270" s="217"/>
      <c r="G270" s="217"/>
      <c r="H270" s="217"/>
      <c r="I270" s="217"/>
      <c r="J270" s="217"/>
      <c r="K270" s="217"/>
      <c r="L270" s="217"/>
      <c r="M270" s="217"/>
      <c r="N270" s="217"/>
      <c r="O270" s="824">
        <f>ROW()</f>
        <v>270</v>
      </c>
      <c r="P270" s="825"/>
      <c r="Q270" s="825"/>
      <c r="R270" s="825"/>
      <c r="S270" s="825"/>
      <c r="T270" s="825"/>
      <c r="U270" s="825"/>
      <c r="V270" s="825"/>
      <c r="W270" s="825"/>
      <c r="X270" s="825"/>
      <c r="Y270" s="825"/>
      <c r="Z270" s="825"/>
      <c r="AA270" s="825"/>
      <c r="AB270" s="825"/>
      <c r="AC270" s="825"/>
      <c r="AD270" s="825"/>
      <c r="AE270" s="825"/>
      <c r="AF270" s="825"/>
      <c r="AG270" s="825"/>
      <c r="AH270" s="825"/>
      <c r="AI270" s="825"/>
      <c r="AJ270" s="825"/>
      <c r="AK270" s="825"/>
      <c r="AL270" s="825"/>
      <c r="AM270" s="825"/>
    </row>
    <row r="271" spans="2:39" s="86" customFormat="1" ht="14.1" customHeight="1">
      <c r="B271" s="1002" t="str">
        <f>CONCATENATE("Elasticities for calculating 'time-switching later' factor (note from Row ", O268, " applies here)")</f>
        <v>Elasticities for calculating 'time-switching later' factor (note from Row 268 applies here)</v>
      </c>
      <c r="O271" s="824">
        <f>ROW()</f>
        <v>271</v>
      </c>
      <c r="P271" s="825">
        <f>'Weekday Hours'!$H198*'Weekday Hours'!$H$183*P$263/P$265*('Weekday Hours'!$G$138/'Weekday Hours'!$G$140)</f>
        <v>-7.367448004346315E-2</v>
      </c>
      <c r="Q271" s="825">
        <f>'Weekday Hours'!$H198*'Weekday Hours'!$H$183*Q$263/Q$265*('Weekday Hours'!$G$138/'Weekday Hours'!$G$140)</f>
        <v>-7.367448004346315E-2</v>
      </c>
      <c r="R271" s="825">
        <f>'Weekday Hours'!$H198*'Weekday Hours'!$H$183*R$263/R$265*('Weekday Hours'!$G$138/'Weekday Hours'!$G$140)</f>
        <v>-7.367448004346315E-2</v>
      </c>
      <c r="S271" s="825">
        <f>'Weekday Hours'!$H198*'Weekday Hours'!$H$183*S$263/S$265*('Weekday Hours'!$G$138/'Weekday Hours'!$G$140)</f>
        <v>-7.367448004346315E-2</v>
      </c>
      <c r="T271" s="825">
        <f>'Weekday Hours'!$H198*'Weekday Hours'!$H$183*T$263/T$265*('Weekday Hours'!$G$138/'Weekday Hours'!$G$140)</f>
        <v>-6.8734984217960204E-2</v>
      </c>
      <c r="U271" s="825">
        <f>'Weekday Hours'!$H198*'Weekday Hours'!$H$183*U$263/U$265*('Weekday Hours'!$G$138/'Weekday Hours'!$G$140)</f>
        <v>-6.083441131934407E-2</v>
      </c>
      <c r="V271" s="825">
        <f>'Weekday Hours'!$H198*'Weekday Hours'!$H$183*V$263/V$265*('Weekday Hours'!$G$138/'Weekday Hours'!$G$140)</f>
        <v>-5.5516718022198618E-2</v>
      </c>
      <c r="W271" s="825">
        <f>'Weekday Hours'!$H198*'Weekday Hours'!$H$183*W$263/W$265*('Weekday Hours'!$G$138/'Weekday Hours'!$G$140)</f>
        <v>-5.5516718022198618E-2</v>
      </c>
      <c r="X271" s="825">
        <f>'Weekday Hours'!$H198*'Weekday Hours'!$H$183*X$263/X$265*('Weekday Hours'!$G$138/'Weekday Hours'!$G$140)</f>
        <v>-5.5516718022198618E-2</v>
      </c>
      <c r="Y271" s="825">
        <f>'Weekday Hours'!$H198*'Weekday Hours'!$H$183*Y$263/Y$265*('Weekday Hours'!$G$138/'Weekday Hours'!$G$140)</f>
        <v>-6.083441131934407E-2</v>
      </c>
      <c r="Z271" s="825">
        <f>'Weekday Hours'!$H198*'Weekday Hours'!$H$183*Z$263/Z$265*('Weekday Hours'!$G$138/'Weekday Hours'!$G$140)</f>
        <v>-6.6420674985032235E-2</v>
      </c>
      <c r="AA271" s="825">
        <f>'Weekday Hours'!$H198*'Weekday Hours'!$H$183*AA$263/AA$265*('Weekday Hours'!$G$138/'Weekday Hours'!$G$140)</f>
        <v>-6.6420674985032235E-2</v>
      </c>
      <c r="AB271" s="825">
        <f>'Weekday Hours'!$H198*'Weekday Hours'!$H$183*AB$263/AB$265*('Weekday Hours'!$G$138/'Weekday Hours'!$G$140)</f>
        <v>-6.6420674985032235E-2</v>
      </c>
      <c r="AC271" s="825">
        <f>'Weekday Hours'!$H198*'Weekday Hours'!$H$183*AC$263/AC$265*('Weekday Hours'!$G$138/'Weekday Hours'!$G$140)</f>
        <v>-6.7611863560803981E-2</v>
      </c>
      <c r="AD271" s="825">
        <f>'Weekday Hours'!$H198*'Weekday Hours'!$H$183*AD$263/AD$265*('Weekday Hours'!$G$138/'Weekday Hours'!$G$140)</f>
        <v>-6.9795709283052176E-2</v>
      </c>
      <c r="AE271" s="825">
        <f>'Weekday Hours'!$H198*'Weekday Hours'!$H$183*AE$263/AE$265*('Weekday Hours'!$G$138/'Weekday Hours'!$G$140)</f>
        <v>-6.9795709283052176E-2</v>
      </c>
      <c r="AF271" s="825">
        <f>'Weekday Hours'!$H198*'Weekday Hours'!$H$183*AF$263/AF$265*('Weekday Hours'!$G$138/'Weekday Hours'!$G$140)</f>
        <v>-6.9795709283052176E-2</v>
      </c>
      <c r="AG271" s="825">
        <f>'Weekday Hours'!$H198*'Weekday Hours'!$H$183*AG$263/AG$265*('Weekday Hours'!$G$138/'Weekday Hours'!$G$140)</f>
        <v>-6.9795709283052176E-2</v>
      </c>
      <c r="AH271" s="825">
        <f>'Weekday Hours'!$H198*'Weekday Hours'!$H$183*AH$263/AH$265*('Weekday Hours'!$G$138/'Weekday Hours'!$G$140)</f>
        <v>-6.9795709283052176E-2</v>
      </c>
      <c r="AI271" s="825">
        <f>'Weekday Hours'!$H198*'Weekday Hours'!$H$183*AI$263/AI$265*('Weekday Hours'!$G$138/'Weekday Hours'!$G$140)</f>
        <v>-6.9795709283052176E-2</v>
      </c>
      <c r="AJ271" s="825">
        <f>'Weekday Hours'!$H198*'Weekday Hours'!$H$183*AJ$263/AJ$265*('Weekday Hours'!$G$138/'Weekday Hours'!$G$140)</f>
        <v>-7.0799097858139162E-2</v>
      </c>
      <c r="AK271" s="825">
        <f>'Weekday Hours'!$H198*'Weekday Hours'!$H$183*AK$263/AK$265*('Weekday Hours'!$G$138/'Weekday Hours'!$G$140)</f>
        <v>-7.1749676508221602E-2</v>
      </c>
      <c r="AL271" s="825">
        <f>'Weekday Hours'!$H198*'Weekday Hours'!$H$183*AL$263/AL$265*('Weekday Hours'!$G$138/'Weekday Hours'!$G$140)</f>
        <v>-7.265150753522287E-2</v>
      </c>
      <c r="AM271" s="825">
        <f>'Weekday Hours'!$H198*'Weekday Hours'!$H$183*AM$263/AM$265*('Weekday Hours'!$G$138/'Weekday Hours'!$G$140)</f>
        <v>-7.367448004346315E-2</v>
      </c>
    </row>
    <row r="272" spans="2:39" ht="14.1" customHeight="1">
      <c r="O272" s="21">
        <f>ROW()</f>
        <v>272</v>
      </c>
    </row>
    <row r="273" spans="2:39" ht="14.1" customHeight="1">
      <c r="B273" s="1" t="s">
        <v>4374</v>
      </c>
      <c r="N273" s="241">
        <f>Transit!$H$34</f>
        <v>0.48187249521940934</v>
      </c>
      <c r="O273" s="21">
        <f>ROW()</f>
        <v>273</v>
      </c>
      <c r="P273" s="567">
        <f>$N$273</f>
        <v>0.48187249521940934</v>
      </c>
      <c r="Q273" s="567">
        <f t="shared" ref="Q273:AM273" si="56">$N$273</f>
        <v>0.48187249521940934</v>
      </c>
      <c r="R273" s="567">
        <f t="shared" si="56"/>
        <v>0.48187249521940934</v>
      </c>
      <c r="S273" s="567">
        <f t="shared" si="56"/>
        <v>0.48187249521940934</v>
      </c>
      <c r="T273" s="567">
        <f t="shared" si="56"/>
        <v>0.48187249521940934</v>
      </c>
      <c r="U273" s="567">
        <f t="shared" si="56"/>
        <v>0.48187249521940934</v>
      </c>
      <c r="V273" s="567">
        <f t="shared" si="56"/>
        <v>0.48187249521940934</v>
      </c>
      <c r="W273" s="567">
        <f t="shared" si="56"/>
        <v>0.48187249521940934</v>
      </c>
      <c r="X273" s="567">
        <f t="shared" si="56"/>
        <v>0.48187249521940934</v>
      </c>
      <c r="Y273" s="567">
        <f t="shared" si="56"/>
        <v>0.48187249521940934</v>
      </c>
      <c r="Z273" s="567">
        <f t="shared" si="56"/>
        <v>0.48187249521940934</v>
      </c>
      <c r="AA273" s="567">
        <f t="shared" si="56"/>
        <v>0.48187249521940934</v>
      </c>
      <c r="AB273" s="567">
        <f t="shared" si="56"/>
        <v>0.48187249521940934</v>
      </c>
      <c r="AC273" s="567">
        <f t="shared" si="56"/>
        <v>0.48187249521940934</v>
      </c>
      <c r="AD273" s="567">
        <f t="shared" si="56"/>
        <v>0.48187249521940934</v>
      </c>
      <c r="AE273" s="567">
        <f t="shared" si="56"/>
        <v>0.48187249521940934</v>
      </c>
      <c r="AF273" s="567">
        <f t="shared" si="56"/>
        <v>0.48187249521940934</v>
      </c>
      <c r="AG273" s="567">
        <f t="shared" si="56"/>
        <v>0.48187249521940934</v>
      </c>
      <c r="AH273" s="567">
        <f t="shared" si="56"/>
        <v>0.48187249521940934</v>
      </c>
      <c r="AI273" s="567">
        <f t="shared" si="56"/>
        <v>0.48187249521940934</v>
      </c>
      <c r="AJ273" s="567">
        <f t="shared" si="56"/>
        <v>0.48187249521940934</v>
      </c>
      <c r="AK273" s="567">
        <f t="shared" si="56"/>
        <v>0.48187249521940934</v>
      </c>
      <c r="AL273" s="567">
        <f t="shared" si="56"/>
        <v>0.48187249521940934</v>
      </c>
      <c r="AM273" s="567">
        <f t="shared" si="56"/>
        <v>0.48187249521940934</v>
      </c>
    </row>
    <row r="274" spans="2:39" ht="14.1" customHeight="1">
      <c r="B274" s="265" t="str">
        <f>CONCATENATE("Derived in 'Transit' worksheet. See Row ",Transit!O34, " there.")</f>
        <v>Derived in 'Transit' worksheet. See Row 34 there.</v>
      </c>
      <c r="O274" s="21">
        <f>ROW()</f>
        <v>274</v>
      </c>
    </row>
    <row r="275" spans="2:39" ht="14.1" customHeight="1">
      <c r="B275" s="1002" t="s">
        <v>3318</v>
      </c>
      <c r="O275" s="21">
        <f>ROW()</f>
        <v>275</v>
      </c>
      <c r="P275" s="567">
        <f>P267*P273</f>
        <v>-0.13232453880308931</v>
      </c>
      <c r="Q275" s="567">
        <f t="shared" ref="Q275:AM275" si="57">Q267*Q273</f>
        <v>-0.13232453880308931</v>
      </c>
      <c r="R275" s="567">
        <f t="shared" si="57"/>
        <v>-0.13232453880308931</v>
      </c>
      <c r="S275" s="567">
        <f t="shared" si="57"/>
        <v>-0.13232453880308931</v>
      </c>
      <c r="T275" s="567">
        <f t="shared" si="57"/>
        <v>-0.12345285750118029</v>
      </c>
      <c r="U275" s="567">
        <f t="shared" si="57"/>
        <v>-0.10926287388035495</v>
      </c>
      <c r="V275" s="567">
        <f t="shared" si="57"/>
        <v>-9.9711923366337926E-2</v>
      </c>
      <c r="W275" s="567">
        <f t="shared" si="57"/>
        <v>-9.9711923366337926E-2</v>
      </c>
      <c r="X275" s="567">
        <f t="shared" si="57"/>
        <v>-9.9711923366337926E-2</v>
      </c>
      <c r="Y275" s="567">
        <f t="shared" si="57"/>
        <v>-0.10926287388035495</v>
      </c>
      <c r="Z275" s="567">
        <f t="shared" si="57"/>
        <v>-0.11929619563245368</v>
      </c>
      <c r="AA275" s="567">
        <f t="shared" si="57"/>
        <v>-0.11929619563245368</v>
      </c>
      <c r="AB275" s="567">
        <f t="shared" si="57"/>
        <v>-0.11929619563245368</v>
      </c>
      <c r="AC275" s="567">
        <f t="shared" si="57"/>
        <v>-0.12143565394723942</v>
      </c>
      <c r="AD275" s="567">
        <f t="shared" si="57"/>
        <v>-0.12535799419101332</v>
      </c>
      <c r="AE275" s="567">
        <f t="shared" si="57"/>
        <v>-0.12535799419101332</v>
      </c>
      <c r="AF275" s="567">
        <f t="shared" si="57"/>
        <v>-0.12535799419101332</v>
      </c>
      <c r="AG275" s="567">
        <f t="shared" si="57"/>
        <v>-0.12535799419101332</v>
      </c>
      <c r="AH275" s="567">
        <f t="shared" si="57"/>
        <v>-0.12535799419101332</v>
      </c>
      <c r="AI275" s="567">
        <f t="shared" si="57"/>
        <v>-0.12535799419101332</v>
      </c>
      <c r="AJ275" s="567">
        <f t="shared" si="57"/>
        <v>-0.12716015051923374</v>
      </c>
      <c r="AK275" s="567">
        <f t="shared" si="57"/>
        <v>-0.12886745651438994</v>
      </c>
      <c r="AL275" s="567">
        <f t="shared" si="57"/>
        <v>-0.1304872083559484</v>
      </c>
      <c r="AM275" s="567">
        <f t="shared" si="57"/>
        <v>-0.13232453880308931</v>
      </c>
    </row>
    <row r="276" spans="2:39" ht="14.1" customHeight="1">
      <c r="B276" s="265" t="str">
        <f>CONCATENATE("Product of Rows ",O267, " and ",O273, ".")</f>
        <v>Product of Rows 267 and 273.</v>
      </c>
      <c r="O276" s="21">
        <f>ROW()</f>
        <v>276</v>
      </c>
    </row>
    <row r="277" spans="2:39" ht="14.1" customHeight="1">
      <c r="B277" s="1002" t="s">
        <v>3319</v>
      </c>
      <c r="O277" s="21">
        <f>ROW()</f>
        <v>277</v>
      </c>
      <c r="P277" s="567">
        <f>P271*P273</f>
        <v>-3.5501705532536162E-2</v>
      </c>
      <c r="Q277" s="567">
        <f t="shared" ref="Q277:AM277" si="58">Q271*Q273</f>
        <v>-3.5501705532536162E-2</v>
      </c>
      <c r="R277" s="567">
        <f t="shared" si="58"/>
        <v>-3.5501705532536162E-2</v>
      </c>
      <c r="S277" s="567">
        <f t="shared" si="58"/>
        <v>-3.5501705532536162E-2</v>
      </c>
      <c r="T277" s="567">
        <f t="shared" si="58"/>
        <v>-3.3121498353975203E-2</v>
      </c>
      <c r="U277" s="567">
        <f t="shared" si="58"/>
        <v>-2.9314429577656207E-2</v>
      </c>
      <c r="V277" s="567">
        <f t="shared" si="58"/>
        <v>-2.6751979439749201E-2</v>
      </c>
      <c r="W277" s="567">
        <f t="shared" si="58"/>
        <v>-2.6751979439749201E-2</v>
      </c>
      <c r="X277" s="567">
        <f t="shared" si="58"/>
        <v>-2.6751979439749201E-2</v>
      </c>
      <c r="Y277" s="567">
        <f t="shared" si="58"/>
        <v>-2.9314429577656207E-2</v>
      </c>
      <c r="Z277" s="567">
        <f t="shared" si="58"/>
        <v>-3.2006296389194888E-2</v>
      </c>
      <c r="AA277" s="567">
        <f t="shared" si="58"/>
        <v>-3.2006296389194888E-2</v>
      </c>
      <c r="AB277" s="567">
        <f t="shared" si="58"/>
        <v>-3.2006296389194888E-2</v>
      </c>
      <c r="AC277" s="567">
        <f t="shared" si="58"/>
        <v>-3.2580297400478873E-2</v>
      </c>
      <c r="AD277" s="567">
        <f t="shared" si="58"/>
        <v>-3.3632632587832841E-2</v>
      </c>
      <c r="AE277" s="567">
        <f t="shared" si="58"/>
        <v>-3.3632632587832841E-2</v>
      </c>
      <c r="AF277" s="567">
        <f t="shared" si="58"/>
        <v>-3.3632632587832841E-2</v>
      </c>
      <c r="AG277" s="567">
        <f t="shared" si="58"/>
        <v>-3.3632632587832841E-2</v>
      </c>
      <c r="AH277" s="567">
        <f t="shared" si="58"/>
        <v>-3.3632632587832841E-2</v>
      </c>
      <c r="AI277" s="567">
        <f t="shared" si="58"/>
        <v>-3.3632632587832841E-2</v>
      </c>
      <c r="AJ277" s="567">
        <f t="shared" si="58"/>
        <v>-3.4116137944184659E-2</v>
      </c>
      <c r="AK277" s="567">
        <f t="shared" si="58"/>
        <v>-3.4574195650202179E-2</v>
      </c>
      <c r="AL277" s="567">
        <f t="shared" si="58"/>
        <v>-3.5008763217449564E-2</v>
      </c>
      <c r="AM277" s="567">
        <f t="shared" si="58"/>
        <v>-3.5501705532536162E-2</v>
      </c>
    </row>
    <row r="278" spans="2:39" ht="14.1" customHeight="1">
      <c r="B278" s="265" t="str">
        <f>CONCATENATE("Product of Rows ",O271, " and ",O273, ".")</f>
        <v>Product of Rows 271 and 273.</v>
      </c>
      <c r="O278" s="21">
        <f>ROW()</f>
        <v>278</v>
      </c>
    </row>
    <row r="279" spans="2:39" ht="14.1" customHeight="1">
      <c r="O279" s="21">
        <f>ROW()</f>
        <v>279</v>
      </c>
    </row>
    <row r="280" spans="2:39" s="1" customFormat="1" ht="14.1" customHeight="1">
      <c r="B280" s="1" t="str">
        <f>CONCATENATE("Factor to multiply Row ",O247," figure, to indicate trips switching to preceding period, first pass")</f>
        <v>Factor to multiply Row 247 figure, to indicate trips switching to preceding period, first pass</v>
      </c>
      <c r="O280" s="21">
        <f>ROW()</f>
        <v>280</v>
      </c>
      <c r="P280" s="724">
        <f t="shared" ref="P280:AM280" si="59">IF(P243=FALSE,1, P259^P275)</f>
        <v>1</v>
      </c>
      <c r="Q280" s="724">
        <f t="shared" si="59"/>
        <v>1</v>
      </c>
      <c r="R280" s="724">
        <f t="shared" si="59"/>
        <v>1</v>
      </c>
      <c r="S280" s="724">
        <f t="shared" si="59"/>
        <v>1</v>
      </c>
      <c r="T280" s="724">
        <f t="shared" si="59"/>
        <v>1</v>
      </c>
      <c r="U280" s="724">
        <f t="shared" si="59"/>
        <v>1</v>
      </c>
      <c r="V280" s="724">
        <f t="shared" si="59"/>
        <v>1</v>
      </c>
      <c r="W280" s="724">
        <f t="shared" si="59"/>
        <v>1</v>
      </c>
      <c r="X280" s="724">
        <f t="shared" si="59"/>
        <v>1</v>
      </c>
      <c r="Y280" s="724">
        <f t="shared" si="59"/>
        <v>1</v>
      </c>
      <c r="Z280" s="724">
        <f t="shared" si="59"/>
        <v>1</v>
      </c>
      <c r="AA280" s="724">
        <f t="shared" si="59"/>
        <v>1</v>
      </c>
      <c r="AB280" s="724">
        <f t="shared" si="59"/>
        <v>1</v>
      </c>
      <c r="AC280" s="724">
        <f t="shared" si="59"/>
        <v>1</v>
      </c>
      <c r="AD280" s="724">
        <f t="shared" si="59"/>
        <v>1</v>
      </c>
      <c r="AE280" s="724">
        <f t="shared" si="59"/>
        <v>1</v>
      </c>
      <c r="AF280" s="724">
        <f t="shared" si="59"/>
        <v>1</v>
      </c>
      <c r="AG280" s="724">
        <f t="shared" si="59"/>
        <v>1</v>
      </c>
      <c r="AH280" s="724">
        <f t="shared" si="59"/>
        <v>1</v>
      </c>
      <c r="AI280" s="724">
        <f t="shared" si="59"/>
        <v>1</v>
      </c>
      <c r="AJ280" s="724">
        <f t="shared" si="59"/>
        <v>1</v>
      </c>
      <c r="AK280" s="724">
        <f t="shared" si="59"/>
        <v>1</v>
      </c>
      <c r="AL280" s="724">
        <f t="shared" si="59"/>
        <v>1</v>
      </c>
      <c r="AM280" s="724">
        <f t="shared" si="59"/>
        <v>1</v>
      </c>
    </row>
    <row r="281" spans="2:39" ht="14.1" customHeight="1">
      <c r="O281" s="21">
        <f>ROW()</f>
        <v>281</v>
      </c>
    </row>
    <row r="282" spans="2:39" s="1" customFormat="1" ht="14.1" customHeight="1">
      <c r="B282" s="1" t="str">
        <f>CONCATENATE("Factor to multiply Row ",O249," figure, to indicate trips switching to subsequent period, first pass")</f>
        <v>Factor to multiply Row 249 figure, to indicate trips switching to subsequent period, first pass</v>
      </c>
      <c r="O282" s="21">
        <f>ROW()</f>
        <v>282</v>
      </c>
      <c r="P282" s="724">
        <f t="shared" ref="P282:AM282" si="60">IF(P245=FALSE,1, P261^P277)</f>
        <v>1</v>
      </c>
      <c r="Q282" s="724">
        <f t="shared" si="60"/>
        <v>1</v>
      </c>
      <c r="R282" s="724">
        <f t="shared" si="60"/>
        <v>1</v>
      </c>
      <c r="S282" s="724">
        <f t="shared" si="60"/>
        <v>1</v>
      </c>
      <c r="T282" s="724">
        <f t="shared" si="60"/>
        <v>1</v>
      </c>
      <c r="U282" s="724">
        <f t="shared" si="60"/>
        <v>1</v>
      </c>
      <c r="V282" s="724">
        <f t="shared" si="60"/>
        <v>1</v>
      </c>
      <c r="W282" s="724">
        <f t="shared" si="60"/>
        <v>1</v>
      </c>
      <c r="X282" s="724">
        <f t="shared" si="60"/>
        <v>1</v>
      </c>
      <c r="Y282" s="724">
        <f t="shared" si="60"/>
        <v>1</v>
      </c>
      <c r="Z282" s="724">
        <f t="shared" si="60"/>
        <v>1</v>
      </c>
      <c r="AA282" s="724">
        <f t="shared" si="60"/>
        <v>1</v>
      </c>
      <c r="AB282" s="724">
        <f t="shared" si="60"/>
        <v>1</v>
      </c>
      <c r="AC282" s="724">
        <f t="shared" si="60"/>
        <v>1</v>
      </c>
      <c r="AD282" s="724">
        <f t="shared" si="60"/>
        <v>1</v>
      </c>
      <c r="AE282" s="724">
        <f t="shared" si="60"/>
        <v>1</v>
      </c>
      <c r="AF282" s="724">
        <f t="shared" si="60"/>
        <v>1</v>
      </c>
      <c r="AG282" s="724">
        <f t="shared" si="60"/>
        <v>1</v>
      </c>
      <c r="AH282" s="724">
        <f t="shared" si="60"/>
        <v>1</v>
      </c>
      <c r="AI282" s="724">
        <f t="shared" si="60"/>
        <v>1</v>
      </c>
      <c r="AJ282" s="724">
        <f t="shared" si="60"/>
        <v>1</v>
      </c>
      <c r="AK282" s="724">
        <f t="shared" si="60"/>
        <v>1</v>
      </c>
      <c r="AL282" s="724">
        <f t="shared" si="60"/>
        <v>1</v>
      </c>
      <c r="AM282" s="724">
        <f t="shared" si="60"/>
        <v>1</v>
      </c>
    </row>
    <row r="283" spans="2:39" ht="14.1" customHeight="1">
      <c r="N283" s="4764" t="s">
        <v>2029</v>
      </c>
      <c r="O283" s="21">
        <f>ROW()</f>
        <v>283</v>
      </c>
    </row>
    <row r="284" spans="2:39" ht="14.1" customHeight="1">
      <c r="B284" t="str">
        <f>CONCATENATE("Factor to multiply Row ",O247," figure, to indicate trips switching to preceding period, adj.")</f>
        <v>Factor to multiply Row 247 figure, to indicate trips switching to preceding period, adj.</v>
      </c>
      <c r="L284" s="727" t="s">
        <v>2027</v>
      </c>
      <c r="M284" s="728">
        <v>0.75</v>
      </c>
      <c r="N284" s="4765"/>
      <c r="O284" s="21">
        <f>ROW()</f>
        <v>284</v>
      </c>
      <c r="P284" s="332">
        <f t="shared" ref="P284:AM284" si="61">MAX(P280,$M$284)</f>
        <v>1</v>
      </c>
      <c r="Q284" s="332">
        <f t="shared" si="61"/>
        <v>1</v>
      </c>
      <c r="R284" s="332">
        <f t="shared" si="61"/>
        <v>1</v>
      </c>
      <c r="S284" s="332">
        <f t="shared" si="61"/>
        <v>1</v>
      </c>
      <c r="T284" s="332">
        <f t="shared" si="61"/>
        <v>1</v>
      </c>
      <c r="U284" s="332">
        <f t="shared" si="61"/>
        <v>1</v>
      </c>
      <c r="V284" s="332">
        <f t="shared" si="61"/>
        <v>1</v>
      </c>
      <c r="W284" s="332">
        <f t="shared" si="61"/>
        <v>1</v>
      </c>
      <c r="X284" s="332">
        <f t="shared" si="61"/>
        <v>1</v>
      </c>
      <c r="Y284" s="332">
        <f t="shared" si="61"/>
        <v>1</v>
      </c>
      <c r="Z284" s="332">
        <f t="shared" si="61"/>
        <v>1</v>
      </c>
      <c r="AA284" s="332">
        <f t="shared" si="61"/>
        <v>1</v>
      </c>
      <c r="AB284" s="332">
        <f t="shared" si="61"/>
        <v>1</v>
      </c>
      <c r="AC284" s="332">
        <f t="shared" si="61"/>
        <v>1</v>
      </c>
      <c r="AD284" s="332">
        <f t="shared" si="61"/>
        <v>1</v>
      </c>
      <c r="AE284" s="332">
        <f t="shared" si="61"/>
        <v>1</v>
      </c>
      <c r="AF284" s="332">
        <f t="shared" si="61"/>
        <v>1</v>
      </c>
      <c r="AG284" s="332">
        <f t="shared" si="61"/>
        <v>1</v>
      </c>
      <c r="AH284" s="332">
        <f t="shared" si="61"/>
        <v>1</v>
      </c>
      <c r="AI284" s="332">
        <f t="shared" si="61"/>
        <v>1</v>
      </c>
      <c r="AJ284" s="332">
        <f t="shared" si="61"/>
        <v>1</v>
      </c>
      <c r="AK284" s="332">
        <f t="shared" si="61"/>
        <v>1</v>
      </c>
      <c r="AL284" s="332">
        <f t="shared" si="61"/>
        <v>1</v>
      </c>
      <c r="AM284" s="332">
        <f t="shared" si="61"/>
        <v>1</v>
      </c>
    </row>
    <row r="285" spans="2:39" ht="14.1" customHeight="1">
      <c r="N285" s="4765"/>
      <c r="O285" s="21">
        <f>ROW()</f>
        <v>285</v>
      </c>
    </row>
    <row r="286" spans="2:39" ht="14.1" customHeight="1">
      <c r="B286" t="str">
        <f>CONCATENATE("Factor to multiply Row ",O249," figure, to indicate trips switching to subsequent period, adj.")</f>
        <v>Factor to multiply Row 249 figure, to indicate trips switching to subsequent period, adj.</v>
      </c>
      <c r="L286" s="727" t="s">
        <v>2027</v>
      </c>
      <c r="M286" s="728">
        <f>M284</f>
        <v>0.75</v>
      </c>
      <c r="N286" s="4765"/>
      <c r="O286" s="21">
        <f>ROW()</f>
        <v>286</v>
      </c>
      <c r="P286" s="332">
        <f t="shared" ref="P286:AM286" si="62">MAX(P282,$M$286)</f>
        <v>1</v>
      </c>
      <c r="Q286" s="332">
        <f t="shared" si="62"/>
        <v>1</v>
      </c>
      <c r="R286" s="332">
        <f t="shared" si="62"/>
        <v>1</v>
      </c>
      <c r="S286" s="332">
        <f t="shared" si="62"/>
        <v>1</v>
      </c>
      <c r="T286" s="332">
        <f t="shared" si="62"/>
        <v>1</v>
      </c>
      <c r="U286" s="332">
        <f t="shared" si="62"/>
        <v>1</v>
      </c>
      <c r="V286" s="332">
        <f t="shared" si="62"/>
        <v>1</v>
      </c>
      <c r="W286" s="332">
        <f t="shared" si="62"/>
        <v>1</v>
      </c>
      <c r="X286" s="332">
        <f t="shared" si="62"/>
        <v>1</v>
      </c>
      <c r="Y286" s="332">
        <f t="shared" si="62"/>
        <v>1</v>
      </c>
      <c r="Z286" s="332">
        <f t="shared" si="62"/>
        <v>1</v>
      </c>
      <c r="AA286" s="332">
        <f t="shared" si="62"/>
        <v>1</v>
      </c>
      <c r="AB286" s="332">
        <f t="shared" si="62"/>
        <v>1</v>
      </c>
      <c r="AC286" s="332">
        <f t="shared" si="62"/>
        <v>1</v>
      </c>
      <c r="AD286" s="332">
        <f t="shared" si="62"/>
        <v>1</v>
      </c>
      <c r="AE286" s="332">
        <f t="shared" si="62"/>
        <v>1</v>
      </c>
      <c r="AF286" s="332">
        <f t="shared" si="62"/>
        <v>1</v>
      </c>
      <c r="AG286" s="332">
        <f t="shared" si="62"/>
        <v>1</v>
      </c>
      <c r="AH286" s="332">
        <f t="shared" si="62"/>
        <v>1</v>
      </c>
      <c r="AI286" s="332">
        <f t="shared" si="62"/>
        <v>1</v>
      </c>
      <c r="AJ286" s="332">
        <f t="shared" si="62"/>
        <v>1</v>
      </c>
      <c r="AK286" s="332">
        <f t="shared" si="62"/>
        <v>1</v>
      </c>
      <c r="AL286" s="332">
        <f t="shared" si="62"/>
        <v>1</v>
      </c>
      <c r="AM286" s="332">
        <f t="shared" si="62"/>
        <v>1</v>
      </c>
    </row>
    <row r="287" spans="2:39" ht="14.1" customHeight="1">
      <c r="N287" s="4766"/>
      <c r="O287" s="21">
        <f>ROW()</f>
        <v>287</v>
      </c>
    </row>
    <row r="288" spans="2:39" ht="14.1" customHeight="1">
      <c r="B288" t="s">
        <v>1753</v>
      </c>
      <c r="O288" s="21">
        <f>ROW()</f>
        <v>288</v>
      </c>
      <c r="P288" s="332">
        <f t="shared" ref="P288:AM288" si="63">P247*P284</f>
        <v>0.61474437103085511</v>
      </c>
      <c r="Q288" s="332">
        <f t="shared" si="63"/>
        <v>0.45931703753945685</v>
      </c>
      <c r="R288" s="332">
        <f t="shared" si="63"/>
        <v>0.5778383597432839</v>
      </c>
      <c r="S288" s="332">
        <f t="shared" si="63"/>
        <v>0.70385295852172192</v>
      </c>
      <c r="T288" s="332">
        <f t="shared" si="63"/>
        <v>1.5336421303724743</v>
      </c>
      <c r="U288" s="332">
        <f t="shared" si="63"/>
        <v>3.993256284620804</v>
      </c>
      <c r="V288" s="332">
        <f t="shared" si="63"/>
        <v>3.327428519941102</v>
      </c>
      <c r="W288" s="332">
        <f t="shared" si="63"/>
        <v>2.1884154005902285</v>
      </c>
      <c r="X288" s="332">
        <f t="shared" si="63"/>
        <v>1.5759437363625297</v>
      </c>
      <c r="Y288" s="332">
        <f t="shared" si="63"/>
        <v>0.65311881401728211</v>
      </c>
      <c r="Z288" s="332">
        <f t="shared" si="63"/>
        <v>0.53657238156686993</v>
      </c>
      <c r="AA288" s="332">
        <f t="shared" si="63"/>
        <v>0.78654401358618742</v>
      </c>
      <c r="AB288" s="332">
        <f t="shared" si="63"/>
        <v>1.0023246942991011</v>
      </c>
      <c r="AC288" s="332">
        <f t="shared" si="63"/>
        <v>1.0582948876422815</v>
      </c>
      <c r="AD288" s="332">
        <f t="shared" si="63"/>
        <v>1.2443184811650998</v>
      </c>
      <c r="AE288" s="332">
        <f t="shared" si="63"/>
        <v>1.293896503557554</v>
      </c>
      <c r="AF288" s="332">
        <f t="shared" si="63"/>
        <v>1.3176755856368736</v>
      </c>
      <c r="AG288" s="332">
        <f t="shared" si="63"/>
        <v>1.3872344919623514</v>
      </c>
      <c r="AH288" s="332">
        <f t="shared" si="63"/>
        <v>0.82447025711418442</v>
      </c>
      <c r="AI288" s="332">
        <f t="shared" si="63"/>
        <v>0.659700206223645</v>
      </c>
      <c r="AJ288" s="332">
        <f t="shared" si="63"/>
        <v>0.69701016656128045</v>
      </c>
      <c r="AK288" s="332">
        <f t="shared" si="63"/>
        <v>0.73136694559978888</v>
      </c>
      <c r="AL288" s="332">
        <f t="shared" si="63"/>
        <v>0.82122771608539269</v>
      </c>
      <c r="AM288" s="332">
        <f t="shared" si="63"/>
        <v>0.63236287670976032</v>
      </c>
    </row>
    <row r="289" spans="2:40" ht="14.1" customHeight="1">
      <c r="O289" s="21">
        <f>ROW()</f>
        <v>289</v>
      </c>
    </row>
    <row r="290" spans="2:40" ht="14.1" customHeight="1">
      <c r="B290" t="s">
        <v>1412</v>
      </c>
      <c r="O290" s="21">
        <f>ROW()</f>
        <v>290</v>
      </c>
      <c r="P290" s="332">
        <f t="shared" ref="P290:AM290" si="64">P249*P286</f>
        <v>2.1771454535128072</v>
      </c>
      <c r="Q290" s="332">
        <f t="shared" si="64"/>
        <v>1.730587772754079</v>
      </c>
      <c r="R290" s="332">
        <f t="shared" si="64"/>
        <v>1.4207512917190337</v>
      </c>
      <c r="S290" s="332">
        <f t="shared" si="64"/>
        <v>0.65204259859314817</v>
      </c>
      <c r="T290" s="332">
        <f t="shared" si="64"/>
        <v>0.25042219400024285</v>
      </c>
      <c r="U290" s="332">
        <f t="shared" si="64"/>
        <v>0.30053237628007728</v>
      </c>
      <c r="V290" s="332">
        <f t="shared" si="64"/>
        <v>0.4569516371207652</v>
      </c>
      <c r="W290" s="332">
        <f t="shared" si="64"/>
        <v>0.63454041976658504</v>
      </c>
      <c r="X290" s="332">
        <f t="shared" si="64"/>
        <v>1.5311149802117614</v>
      </c>
      <c r="Y290" s="332">
        <f t="shared" si="64"/>
        <v>1.8636814609798842</v>
      </c>
      <c r="Z290" s="332">
        <f t="shared" si="64"/>
        <v>1.2713846685331394</v>
      </c>
      <c r="AA290" s="332">
        <f t="shared" si="64"/>
        <v>0.99768069737049958</v>
      </c>
      <c r="AB290" s="332">
        <f t="shared" si="64"/>
        <v>0.94491621539233395</v>
      </c>
      <c r="AC290" s="332">
        <f t="shared" si="64"/>
        <v>0.80365277470094654</v>
      </c>
      <c r="AD290" s="332">
        <f t="shared" si="64"/>
        <v>0.77285934172517756</v>
      </c>
      <c r="AE290" s="332">
        <f t="shared" si="64"/>
        <v>0.75891214112210248</v>
      </c>
      <c r="AF290" s="332">
        <f t="shared" si="64"/>
        <v>0.72085866217572347</v>
      </c>
      <c r="AG290" s="332">
        <f t="shared" si="64"/>
        <v>1.2129000304998336</v>
      </c>
      <c r="AH290" s="332">
        <f t="shared" si="64"/>
        <v>1.5158400597209909</v>
      </c>
      <c r="AI290" s="332">
        <f t="shared" si="64"/>
        <v>1.4346993027856805</v>
      </c>
      <c r="AJ290" s="332">
        <f t="shared" si="64"/>
        <v>1.3673027008076049</v>
      </c>
      <c r="AK290" s="332">
        <f t="shared" si="64"/>
        <v>1.2176890531249658</v>
      </c>
      <c r="AL290" s="332">
        <f t="shared" si="64"/>
        <v>1.5813705023341789</v>
      </c>
      <c r="AM290" s="332">
        <f t="shared" si="64"/>
        <v>1.626692406020922</v>
      </c>
    </row>
    <row r="291" spans="2:40" ht="14.1" customHeight="1">
      <c r="O291" s="21">
        <f>ROW()</f>
        <v>291</v>
      </c>
    </row>
    <row r="292" spans="2:40" s="6" customFormat="1" ht="14.1" customHeight="1">
      <c r="B292" s="6" t="s">
        <v>1754</v>
      </c>
      <c r="O292" s="21">
        <f>ROW()</f>
        <v>292</v>
      </c>
      <c r="P292" s="1185">
        <f>IF(P243=FALSE,0,(P$241-AM$241*P288)/(1+P288))</f>
        <v>0</v>
      </c>
      <c r="Q292" s="1185">
        <f t="shared" ref="Q292:AM292" si="65">IF(Q243=FALSE,0,(Q$241-P$241*Q288)/(1+Q288))</f>
        <v>0</v>
      </c>
      <c r="R292" s="1185">
        <f t="shared" si="65"/>
        <v>0</v>
      </c>
      <c r="S292" s="1185">
        <f t="shared" si="65"/>
        <v>0</v>
      </c>
      <c r="T292" s="1185">
        <f t="shared" si="65"/>
        <v>0</v>
      </c>
      <c r="U292" s="1185">
        <f t="shared" si="65"/>
        <v>0</v>
      </c>
      <c r="V292" s="1185">
        <f t="shared" si="65"/>
        <v>0</v>
      </c>
      <c r="W292" s="1185">
        <f t="shared" si="65"/>
        <v>0</v>
      </c>
      <c r="X292" s="1185">
        <f t="shared" si="65"/>
        <v>0</v>
      </c>
      <c r="Y292" s="1185">
        <f t="shared" si="65"/>
        <v>0</v>
      </c>
      <c r="Z292" s="1185">
        <f t="shared" si="65"/>
        <v>0</v>
      </c>
      <c r="AA292" s="1185">
        <f t="shared" si="65"/>
        <v>0</v>
      </c>
      <c r="AB292" s="1185">
        <f t="shared" si="65"/>
        <v>0</v>
      </c>
      <c r="AC292" s="1185">
        <f t="shared" si="65"/>
        <v>0</v>
      </c>
      <c r="AD292" s="1185">
        <f t="shared" si="65"/>
        <v>0</v>
      </c>
      <c r="AE292" s="1185">
        <f t="shared" si="65"/>
        <v>0</v>
      </c>
      <c r="AF292" s="1185">
        <f t="shared" si="65"/>
        <v>0</v>
      </c>
      <c r="AG292" s="1185">
        <f t="shared" si="65"/>
        <v>0</v>
      </c>
      <c r="AH292" s="1185">
        <f t="shared" si="65"/>
        <v>0</v>
      </c>
      <c r="AI292" s="1185">
        <f t="shared" si="65"/>
        <v>0</v>
      </c>
      <c r="AJ292" s="1185">
        <f t="shared" si="65"/>
        <v>0</v>
      </c>
      <c r="AK292" s="1185">
        <f t="shared" si="65"/>
        <v>0</v>
      </c>
      <c r="AL292" s="1185">
        <f t="shared" si="65"/>
        <v>0</v>
      </c>
      <c r="AM292" s="1185">
        <f t="shared" si="65"/>
        <v>0</v>
      </c>
      <c r="AN292" s="1185">
        <f>SUM(P292:AM292)</f>
        <v>0</v>
      </c>
    </row>
    <row r="293" spans="2:40" ht="14.1" customHeight="1">
      <c r="O293" s="21">
        <f>ROW()</f>
        <v>293</v>
      </c>
      <c r="P293" s="1179"/>
      <c r="Q293" s="1179"/>
      <c r="R293" s="1179"/>
      <c r="S293" s="1179"/>
      <c r="T293" s="1179"/>
      <c r="U293" s="1179"/>
      <c r="V293" s="1179"/>
      <c r="W293" s="1179"/>
      <c r="X293" s="1179"/>
      <c r="Y293" s="1179"/>
      <c r="Z293" s="1179"/>
      <c r="AA293" s="1179"/>
      <c r="AB293" s="1179"/>
      <c r="AC293" s="1179"/>
      <c r="AD293" s="1179"/>
      <c r="AE293" s="1179"/>
      <c r="AF293" s="1179"/>
      <c r="AG293" s="1179"/>
      <c r="AH293" s="1179"/>
      <c r="AI293" s="1179"/>
      <c r="AJ293" s="1179"/>
      <c r="AK293" s="1179"/>
      <c r="AL293" s="1179"/>
      <c r="AM293" s="1179"/>
      <c r="AN293" s="1179"/>
    </row>
    <row r="294" spans="2:40" s="6" customFormat="1" ht="14.1" customHeight="1">
      <c r="B294" s="6" t="s">
        <v>72</v>
      </c>
      <c r="O294" s="21">
        <f>ROW()</f>
        <v>294</v>
      </c>
      <c r="P294" s="1185">
        <f t="shared" ref="P294:AM294" si="66">IF(P245=FALSE,0,(P$241-Q$241*P290)/(1+P290))</f>
        <v>0</v>
      </c>
      <c r="Q294" s="2457">
        <f t="shared" si="66"/>
        <v>0</v>
      </c>
      <c r="R294" s="1185">
        <f t="shared" si="66"/>
        <v>0</v>
      </c>
      <c r="S294" s="1185">
        <f t="shared" si="66"/>
        <v>0</v>
      </c>
      <c r="T294" s="1185">
        <f t="shared" si="66"/>
        <v>0</v>
      </c>
      <c r="U294" s="1185">
        <f t="shared" si="66"/>
        <v>0</v>
      </c>
      <c r="V294" s="1185">
        <f t="shared" si="66"/>
        <v>0</v>
      </c>
      <c r="W294" s="1185">
        <f t="shared" si="66"/>
        <v>0</v>
      </c>
      <c r="X294" s="1185">
        <f t="shared" si="66"/>
        <v>0</v>
      </c>
      <c r="Y294" s="1185">
        <f t="shared" si="66"/>
        <v>0</v>
      </c>
      <c r="Z294" s="1185">
        <f t="shared" si="66"/>
        <v>0</v>
      </c>
      <c r="AA294" s="1185">
        <f t="shared" si="66"/>
        <v>0</v>
      </c>
      <c r="AB294" s="1185">
        <f t="shared" si="66"/>
        <v>0</v>
      </c>
      <c r="AC294" s="1185">
        <f t="shared" si="66"/>
        <v>0</v>
      </c>
      <c r="AD294" s="1185">
        <f t="shared" si="66"/>
        <v>0</v>
      </c>
      <c r="AE294" s="1185">
        <f t="shared" si="66"/>
        <v>0</v>
      </c>
      <c r="AF294" s="1185">
        <f t="shared" si="66"/>
        <v>0</v>
      </c>
      <c r="AG294" s="1185">
        <f t="shared" si="66"/>
        <v>0</v>
      </c>
      <c r="AH294" s="1185">
        <f t="shared" si="66"/>
        <v>0</v>
      </c>
      <c r="AI294" s="1185">
        <f t="shared" si="66"/>
        <v>0</v>
      </c>
      <c r="AJ294" s="1185">
        <f t="shared" si="66"/>
        <v>0</v>
      </c>
      <c r="AK294" s="1185">
        <f t="shared" si="66"/>
        <v>0</v>
      </c>
      <c r="AL294" s="1185">
        <f t="shared" si="66"/>
        <v>0</v>
      </c>
      <c r="AM294" s="1185">
        <f t="shared" si="66"/>
        <v>0</v>
      </c>
      <c r="AN294" s="1185">
        <f>SUM(P294:AM294)</f>
        <v>0</v>
      </c>
    </row>
    <row r="295" spans="2:40" ht="14.1" customHeight="1">
      <c r="O295" s="21">
        <f>ROW()</f>
        <v>295</v>
      </c>
      <c r="P295" s="1179"/>
      <c r="Q295" s="1179"/>
      <c r="R295" s="1179"/>
      <c r="S295" s="1179"/>
      <c r="T295" s="1179"/>
      <c r="U295" s="1179"/>
      <c r="V295" s="1179"/>
      <c r="W295" s="1179"/>
      <c r="X295" s="1179"/>
      <c r="Y295" s="1179"/>
      <c r="Z295" s="1179"/>
      <c r="AA295" s="1179"/>
      <c r="AB295" s="1179"/>
      <c r="AC295" s="1179"/>
      <c r="AD295" s="1179"/>
      <c r="AE295" s="1179"/>
      <c r="AF295" s="1179"/>
      <c r="AG295" s="1179"/>
      <c r="AH295" s="1179"/>
      <c r="AI295" s="1179"/>
      <c r="AJ295" s="1179"/>
      <c r="AK295" s="1179"/>
      <c r="AL295" s="1179"/>
      <c r="AM295" s="1179"/>
      <c r="AN295" s="1179"/>
    </row>
    <row r="296" spans="2:40" ht="14.1" customHeight="1">
      <c r="B296" s="9" t="s">
        <v>787</v>
      </c>
      <c r="O296" s="21">
        <f>ROW()</f>
        <v>296</v>
      </c>
      <c r="P296" s="1186">
        <f t="shared" ref="P296:AL296" si="67">Q292</f>
        <v>0</v>
      </c>
      <c r="Q296" s="1187">
        <f t="shared" si="67"/>
        <v>0</v>
      </c>
      <c r="R296" s="1187">
        <f t="shared" si="67"/>
        <v>0</v>
      </c>
      <c r="S296" s="1187">
        <f t="shared" si="67"/>
        <v>0</v>
      </c>
      <c r="T296" s="1187">
        <f t="shared" si="67"/>
        <v>0</v>
      </c>
      <c r="U296" s="1187">
        <f t="shared" si="67"/>
        <v>0</v>
      </c>
      <c r="V296" s="1187">
        <f t="shared" si="67"/>
        <v>0</v>
      </c>
      <c r="W296" s="1187">
        <f t="shared" si="67"/>
        <v>0</v>
      </c>
      <c r="X296" s="1187">
        <f t="shared" si="67"/>
        <v>0</v>
      </c>
      <c r="Y296" s="1187">
        <f t="shared" si="67"/>
        <v>0</v>
      </c>
      <c r="Z296" s="1187">
        <f t="shared" si="67"/>
        <v>0</v>
      </c>
      <c r="AA296" s="1187">
        <f t="shared" si="67"/>
        <v>0</v>
      </c>
      <c r="AB296" s="1187">
        <f t="shared" si="67"/>
        <v>0</v>
      </c>
      <c r="AC296" s="1187">
        <f t="shared" si="67"/>
        <v>0</v>
      </c>
      <c r="AD296" s="1187">
        <f t="shared" si="67"/>
        <v>0</v>
      </c>
      <c r="AE296" s="1187">
        <f t="shared" si="67"/>
        <v>0</v>
      </c>
      <c r="AF296" s="1187">
        <f t="shared" si="67"/>
        <v>0</v>
      </c>
      <c r="AG296" s="1187">
        <f t="shared" si="67"/>
        <v>0</v>
      </c>
      <c r="AH296" s="1187">
        <f t="shared" si="67"/>
        <v>0</v>
      </c>
      <c r="AI296" s="1187">
        <f t="shared" si="67"/>
        <v>0</v>
      </c>
      <c r="AJ296" s="1187">
        <f t="shared" si="67"/>
        <v>0</v>
      </c>
      <c r="AK296" s="1187">
        <f t="shared" si="67"/>
        <v>0</v>
      </c>
      <c r="AL296" s="1187">
        <f t="shared" si="67"/>
        <v>0</v>
      </c>
      <c r="AM296" s="1187">
        <f>P292</f>
        <v>0</v>
      </c>
      <c r="AN296" s="1184">
        <f>SUM(P296:AM296)</f>
        <v>0</v>
      </c>
    </row>
    <row r="297" spans="2:40" ht="14.1" customHeight="1">
      <c r="O297" s="21">
        <f>ROW()</f>
        <v>297</v>
      </c>
      <c r="P297" s="1179"/>
      <c r="Q297" s="1179"/>
      <c r="R297" s="1179"/>
      <c r="S297" s="1179"/>
      <c r="T297" s="1179"/>
      <c r="U297" s="1179"/>
      <c r="V297" s="1179"/>
      <c r="W297" s="1179"/>
      <c r="X297" s="1179"/>
      <c r="Y297" s="1179"/>
      <c r="Z297" s="1179"/>
      <c r="AA297" s="1179"/>
      <c r="AB297" s="1179"/>
      <c r="AC297" s="1179"/>
      <c r="AD297" s="1179"/>
      <c r="AE297" s="1179"/>
      <c r="AF297" s="1179"/>
      <c r="AG297" s="1179"/>
      <c r="AH297" s="1179"/>
      <c r="AI297" s="1179"/>
      <c r="AJ297" s="1179"/>
      <c r="AK297" s="1179"/>
      <c r="AL297" s="1179"/>
      <c r="AM297" s="1179"/>
      <c r="AN297" s="1188"/>
    </row>
    <row r="298" spans="2:40" ht="14.1" customHeight="1">
      <c r="B298" s="9" t="s">
        <v>350</v>
      </c>
      <c r="O298" s="21">
        <f>ROW()</f>
        <v>298</v>
      </c>
      <c r="P298" s="1179">
        <f>AM294</f>
        <v>0</v>
      </c>
      <c r="Q298" s="1179">
        <f t="shared" ref="Q298:AM298" si="68">P294</f>
        <v>0</v>
      </c>
      <c r="R298" s="1179">
        <f t="shared" si="68"/>
        <v>0</v>
      </c>
      <c r="S298" s="1179">
        <f t="shared" si="68"/>
        <v>0</v>
      </c>
      <c r="T298" s="1179">
        <f t="shared" si="68"/>
        <v>0</v>
      </c>
      <c r="U298" s="1179">
        <f t="shared" si="68"/>
        <v>0</v>
      </c>
      <c r="V298" s="1179">
        <f t="shared" si="68"/>
        <v>0</v>
      </c>
      <c r="W298" s="1179">
        <f t="shared" si="68"/>
        <v>0</v>
      </c>
      <c r="X298" s="1179">
        <f t="shared" si="68"/>
        <v>0</v>
      </c>
      <c r="Y298" s="1179">
        <f t="shared" si="68"/>
        <v>0</v>
      </c>
      <c r="Z298" s="1179">
        <f t="shared" si="68"/>
        <v>0</v>
      </c>
      <c r="AA298" s="1179">
        <f t="shared" si="68"/>
        <v>0</v>
      </c>
      <c r="AB298" s="1179">
        <f t="shared" si="68"/>
        <v>0</v>
      </c>
      <c r="AC298" s="1179">
        <f t="shared" si="68"/>
        <v>0</v>
      </c>
      <c r="AD298" s="1179">
        <f t="shared" si="68"/>
        <v>0</v>
      </c>
      <c r="AE298" s="1179">
        <f t="shared" si="68"/>
        <v>0</v>
      </c>
      <c r="AF298" s="1179">
        <f t="shared" si="68"/>
        <v>0</v>
      </c>
      <c r="AG298" s="1179">
        <f t="shared" si="68"/>
        <v>0</v>
      </c>
      <c r="AH298" s="1179">
        <f t="shared" si="68"/>
        <v>0</v>
      </c>
      <c r="AI298" s="1179">
        <f t="shared" si="68"/>
        <v>0</v>
      </c>
      <c r="AJ298" s="1179">
        <f t="shared" si="68"/>
        <v>0</v>
      </c>
      <c r="AK298" s="1179">
        <f t="shared" si="68"/>
        <v>0</v>
      </c>
      <c r="AL298" s="1179">
        <f t="shared" si="68"/>
        <v>0</v>
      </c>
      <c r="AM298" s="1179">
        <f t="shared" si="68"/>
        <v>0</v>
      </c>
      <c r="AN298" s="1184">
        <f>SUM(P298:AM298)</f>
        <v>0</v>
      </c>
    </row>
    <row r="299" spans="2:40" ht="14.1" customHeight="1">
      <c r="O299" s="21">
        <f>ROW()</f>
        <v>299</v>
      </c>
    </row>
    <row r="300" spans="2:40" s="6" customFormat="1" ht="14.1" customHeight="1">
      <c r="B300" s="6" t="s">
        <v>2893</v>
      </c>
      <c r="O300" s="21">
        <f>ROW()</f>
        <v>300</v>
      </c>
      <c r="P300" s="1185">
        <f t="shared" ref="P300:AM300" si="69">P223+P296+P298+-P292-P294</f>
        <v>1871.2855142642061</v>
      </c>
      <c r="Q300" s="1185">
        <f t="shared" si="69"/>
        <v>859.51331880233408</v>
      </c>
      <c r="R300" s="1185">
        <f t="shared" si="69"/>
        <v>496.65976631424707</v>
      </c>
      <c r="S300" s="1185">
        <f t="shared" si="69"/>
        <v>349.57544589898981</v>
      </c>
      <c r="T300" s="1185">
        <f t="shared" si="69"/>
        <v>523.4743153337082</v>
      </c>
      <c r="U300" s="1185">
        <f t="shared" si="69"/>
        <v>2031.9399832311587</v>
      </c>
      <c r="V300" s="1185">
        <f t="shared" si="69"/>
        <v>6663.7357928349647</v>
      </c>
      <c r="W300" s="1185">
        <f t="shared" si="69"/>
        <v>14583.022034504369</v>
      </c>
      <c r="X300" s="1185">
        <f t="shared" si="69"/>
        <v>22982.022232513911</v>
      </c>
      <c r="Y300" s="1185">
        <f t="shared" si="69"/>
        <v>15229.381855029094</v>
      </c>
      <c r="Z300" s="1185">
        <f t="shared" si="69"/>
        <v>8328.3820811217083</v>
      </c>
      <c r="AA300" s="1185">
        <f t="shared" si="69"/>
        <v>6550.6390687647527</v>
      </c>
      <c r="AB300" s="1185">
        <f t="shared" si="69"/>
        <v>6565.8673020633778</v>
      </c>
      <c r="AC300" s="1185">
        <f t="shared" si="69"/>
        <v>6981.2760813262539</v>
      </c>
      <c r="AD300" s="1185">
        <f t="shared" si="69"/>
        <v>8768.1368020118807</v>
      </c>
      <c r="AE300" s="1185">
        <f t="shared" si="69"/>
        <v>11345.061550837483</v>
      </c>
      <c r="AF300" s="1185">
        <f t="shared" si="69"/>
        <v>14949.110623086159</v>
      </c>
      <c r="AG300" s="1185">
        <f t="shared" si="69"/>
        <v>20737.921880505914</v>
      </c>
      <c r="AH300" s="1185">
        <f t="shared" si="69"/>
        <v>17097.799784834584</v>
      </c>
      <c r="AI300" s="1185">
        <f t="shared" si="69"/>
        <v>11279.422044025967</v>
      </c>
      <c r="AJ300" s="1185">
        <f t="shared" si="69"/>
        <v>7898.2540696645683</v>
      </c>
      <c r="AK300" s="1185">
        <f t="shared" si="69"/>
        <v>5803.1189931880836</v>
      </c>
      <c r="AL300" s="1185">
        <f t="shared" si="69"/>
        <v>4787.5147611965813</v>
      </c>
      <c r="AM300" s="1185">
        <f t="shared" si="69"/>
        <v>3044.00593555054</v>
      </c>
      <c r="AN300" s="1185">
        <f>SUM(P300:AM300)</f>
        <v>199727.12123690487</v>
      </c>
    </row>
    <row r="301" spans="2:40" ht="14.1" customHeight="1">
      <c r="O301" s="21">
        <f>ROW()</f>
        <v>301</v>
      </c>
      <c r="P301" s="1122"/>
      <c r="Q301" s="1122"/>
      <c r="R301" s="1122"/>
      <c r="S301" s="1122"/>
      <c r="T301" s="1122"/>
      <c r="U301" s="1122"/>
      <c r="V301" s="1122"/>
      <c r="W301" s="1122"/>
      <c r="X301" s="1122"/>
      <c r="Y301" s="1122"/>
      <c r="Z301" s="1122"/>
      <c r="AA301" s="1122"/>
      <c r="AB301" s="1122"/>
      <c r="AC301" s="1122"/>
      <c r="AD301" s="1122"/>
      <c r="AE301" s="1122"/>
      <c r="AF301" s="1122"/>
      <c r="AG301" s="1122"/>
      <c r="AH301" s="1122"/>
      <c r="AI301" s="1122"/>
      <c r="AJ301" s="1122"/>
      <c r="AK301" s="1122"/>
      <c r="AL301" s="1122"/>
      <c r="AM301" s="1122"/>
      <c r="AN301" s="1122"/>
    </row>
    <row r="302" spans="2:40" s="6" customFormat="1" ht="14.1" customHeight="1">
      <c r="B302" s="6" t="s">
        <v>3599</v>
      </c>
      <c r="J302"/>
      <c r="K302"/>
      <c r="L302"/>
      <c r="M302"/>
      <c r="N302"/>
      <c r="O302" s="21">
        <f>ROW()</f>
        <v>302</v>
      </c>
      <c r="P302" s="1185">
        <f t="shared" ref="P302:AM302" si="70">P129+P300</f>
        <v>40388.850463308219</v>
      </c>
      <c r="Q302" s="1185">
        <f t="shared" si="70"/>
        <v>18551.287144430851</v>
      </c>
      <c r="R302" s="1185">
        <f t="shared" si="70"/>
        <v>10719.645334664592</v>
      </c>
      <c r="S302" s="1185">
        <f t="shared" si="70"/>
        <v>7545.0540831072476</v>
      </c>
      <c r="T302" s="1185">
        <f t="shared" si="70"/>
        <v>11571.412817792136</v>
      </c>
      <c r="U302" s="1185">
        <f t="shared" si="70"/>
        <v>46207.616956590173</v>
      </c>
      <c r="V302" s="1185">
        <f t="shared" si="70"/>
        <v>153752.54249987222</v>
      </c>
      <c r="W302" s="1185">
        <f t="shared" si="70"/>
        <v>336474.43188662396</v>
      </c>
      <c r="X302" s="1185">
        <f t="shared" si="70"/>
        <v>530264.77337786567</v>
      </c>
      <c r="Y302" s="1185">
        <f t="shared" si="70"/>
        <v>346325.89990369452</v>
      </c>
      <c r="Z302" s="1185">
        <f t="shared" si="70"/>
        <v>185828.91290961477</v>
      </c>
      <c r="AA302" s="1185">
        <f t="shared" si="70"/>
        <v>146162.61900028648</v>
      </c>
      <c r="AB302" s="1185">
        <f t="shared" si="70"/>
        <v>146502.40240741812</v>
      </c>
      <c r="AC302" s="1185">
        <f t="shared" si="70"/>
        <v>155042.74349508289</v>
      </c>
      <c r="AD302" s="1185">
        <f t="shared" si="70"/>
        <v>192922.5511014717</v>
      </c>
      <c r="AE302" s="1185">
        <f t="shared" si="70"/>
        <v>249621.81432759776</v>
      </c>
      <c r="AF302" s="1185">
        <f t="shared" si="70"/>
        <v>328920.57038185629</v>
      </c>
      <c r="AG302" s="1185">
        <f t="shared" si="70"/>
        <v>456289.96034964122</v>
      </c>
      <c r="AH302" s="1185">
        <f t="shared" si="70"/>
        <v>376197.50092808972</v>
      </c>
      <c r="AI302" s="1185">
        <f t="shared" si="70"/>
        <v>248177.56894308067</v>
      </c>
      <c r="AJ302" s="1185">
        <f t="shared" si="70"/>
        <v>172982.28866579031</v>
      </c>
      <c r="AK302" s="1185">
        <f t="shared" si="70"/>
        <v>126513.52810436004</v>
      </c>
      <c r="AL302" s="1185">
        <f t="shared" si="70"/>
        <v>103896.41573904874</v>
      </c>
      <c r="AM302" s="1185">
        <f t="shared" si="70"/>
        <v>65700.236336578077</v>
      </c>
      <c r="AN302" s="1185">
        <f>SUM(P302:AM302)</f>
        <v>4456560.6271578651</v>
      </c>
    </row>
    <row r="303" spans="2:40" ht="14.1" customHeight="1">
      <c r="O303" s="21">
        <f>ROW()</f>
        <v>303</v>
      </c>
    </row>
    <row r="304" spans="2:40" ht="14.1" customHeight="1">
      <c r="B304" s="6" t="s">
        <v>542</v>
      </c>
      <c r="O304" s="21">
        <f>ROW()</f>
        <v>304</v>
      </c>
      <c r="P304" s="12">
        <f t="shared" ref="P304:AN304" si="71">P300/P129</f>
        <v>4.8582653569606053E-2</v>
      </c>
      <c r="Q304" s="12">
        <f t="shared" si="71"/>
        <v>4.8582653569606046E-2</v>
      </c>
      <c r="R304" s="12">
        <f t="shared" si="71"/>
        <v>4.8582653569606053E-2</v>
      </c>
      <c r="S304" s="12">
        <f t="shared" si="71"/>
        <v>4.8582653569606046E-2</v>
      </c>
      <c r="T304" s="12">
        <f t="shared" si="71"/>
        <v>4.7382080848587527E-2</v>
      </c>
      <c r="U304" s="12">
        <f t="shared" si="71"/>
        <v>4.5996804632027689E-2</v>
      </c>
      <c r="V304" s="12">
        <f t="shared" si="71"/>
        <v>4.5304166523747774E-2</v>
      </c>
      <c r="W304" s="12">
        <f t="shared" si="71"/>
        <v>4.5304166523747774E-2</v>
      </c>
      <c r="X304" s="12">
        <f t="shared" si="71"/>
        <v>4.530416652374776E-2</v>
      </c>
      <c r="Y304" s="12">
        <f t="shared" si="71"/>
        <v>4.5996804632027689E-2</v>
      </c>
      <c r="Z304" s="12">
        <f t="shared" si="71"/>
        <v>4.6920322109734243E-2</v>
      </c>
      <c r="AA304" s="12">
        <f t="shared" si="71"/>
        <v>4.692032210973425E-2</v>
      </c>
      <c r="AB304" s="12">
        <f t="shared" si="71"/>
        <v>4.6920322109734243E-2</v>
      </c>
      <c r="AC304" s="12">
        <f t="shared" si="71"/>
        <v>4.7151201479160888E-2</v>
      </c>
      <c r="AD304" s="12">
        <f t="shared" si="71"/>
        <v>4.7612960218014165E-2</v>
      </c>
      <c r="AE304" s="12">
        <f t="shared" si="71"/>
        <v>4.7612960218014165E-2</v>
      </c>
      <c r="AF304" s="12">
        <f t="shared" si="71"/>
        <v>4.7612960218014172E-2</v>
      </c>
      <c r="AG304" s="12">
        <f t="shared" si="71"/>
        <v>4.7612960218014165E-2</v>
      </c>
      <c r="AH304" s="12">
        <f t="shared" si="71"/>
        <v>4.7612960218014172E-2</v>
      </c>
      <c r="AI304" s="12">
        <f t="shared" si="71"/>
        <v>4.7612960218014165E-2</v>
      </c>
      <c r="AJ304" s="12">
        <f t="shared" si="71"/>
        <v>4.7843839587440803E-2</v>
      </c>
      <c r="AK304" s="12">
        <f t="shared" si="71"/>
        <v>4.8074718956867449E-2</v>
      </c>
      <c r="AL304" s="12">
        <f t="shared" si="71"/>
        <v>4.8305598326294087E-2</v>
      </c>
      <c r="AM304" s="12">
        <f t="shared" si="71"/>
        <v>4.8582653569606053E-2</v>
      </c>
      <c r="AN304" s="839">
        <f t="shared" si="71"/>
        <v>4.6919176180862665E-2</v>
      </c>
    </row>
    <row r="305" spans="2:40" ht="14.1" customHeight="1">
      <c r="O305" s="21">
        <f>ROW()</f>
        <v>305</v>
      </c>
    </row>
    <row r="306" spans="2:40" ht="14.1" customHeight="1">
      <c r="B306" t="s">
        <v>3600</v>
      </c>
      <c r="O306" s="21">
        <f>ROW()</f>
        <v>306</v>
      </c>
      <c r="P306" s="12">
        <f t="shared" ref="P306:AN306" si="72">P302/$AN$302</f>
        <v>9.0627849236880852E-3</v>
      </c>
      <c r="Q306" s="12">
        <f t="shared" si="72"/>
        <v>4.1626915230056644E-3</v>
      </c>
      <c r="R306" s="12">
        <f t="shared" si="72"/>
        <v>2.4053628417708651E-3</v>
      </c>
      <c r="S306" s="12">
        <f t="shared" si="72"/>
        <v>1.6930217524986401E-3</v>
      </c>
      <c r="T306" s="12">
        <f t="shared" si="72"/>
        <v>2.5964894872689544E-3</v>
      </c>
      <c r="U306" s="12">
        <f t="shared" si="72"/>
        <v>1.0368447962988601E-2</v>
      </c>
      <c r="V306" s="12">
        <f t="shared" si="72"/>
        <v>3.4500269459573497E-2</v>
      </c>
      <c r="W306" s="12">
        <f t="shared" si="72"/>
        <v>7.5500921009843361E-2</v>
      </c>
      <c r="X306" s="12">
        <f t="shared" si="72"/>
        <v>0.11898520355506477</v>
      </c>
      <c r="Y306" s="12">
        <f t="shared" si="72"/>
        <v>7.77114750314888E-2</v>
      </c>
      <c r="Z306" s="12">
        <f t="shared" si="72"/>
        <v>4.1697831232720292E-2</v>
      </c>
      <c r="AA306" s="12">
        <f t="shared" si="72"/>
        <v>3.2797179535623298E-2</v>
      </c>
      <c r="AB306" s="12">
        <f t="shared" si="72"/>
        <v>3.2873422951916358E-2</v>
      </c>
      <c r="AC306" s="12">
        <f t="shared" si="72"/>
        <v>3.4789775449315524E-2</v>
      </c>
      <c r="AD306" s="12">
        <f t="shared" si="72"/>
        <v>4.328956054716717E-2</v>
      </c>
      <c r="AE306" s="12">
        <f t="shared" si="72"/>
        <v>5.6012211032522637E-2</v>
      </c>
      <c r="AF306" s="12">
        <f t="shared" si="72"/>
        <v>7.3805922975095417E-2</v>
      </c>
      <c r="AG306" s="12">
        <f t="shared" si="72"/>
        <v>0.10238612206216892</v>
      </c>
      <c r="AH306" s="12">
        <f t="shared" si="72"/>
        <v>8.4414312381520681E-2</v>
      </c>
      <c r="AI306" s="12">
        <f t="shared" si="72"/>
        <v>5.5688139286316378E-2</v>
      </c>
      <c r="AJ306" s="12">
        <f t="shared" si="72"/>
        <v>3.8815199239443161E-2</v>
      </c>
      <c r="AK306" s="12">
        <f t="shared" si="72"/>
        <v>2.8388153710598794E-2</v>
      </c>
      <c r="AL306" s="12">
        <f t="shared" si="72"/>
        <v>2.3313138635636114E-2</v>
      </c>
      <c r="AM306" s="12">
        <f t="shared" si="72"/>
        <v>1.474236341276431E-2</v>
      </c>
      <c r="AN306" s="725">
        <f t="shared" si="72"/>
        <v>1</v>
      </c>
    </row>
    <row r="307" spans="2:40" ht="14.1" customHeight="1">
      <c r="O307" s="21">
        <f>ROW()</f>
        <v>307</v>
      </c>
    </row>
    <row r="308" spans="2:40" ht="14.1" customHeight="1">
      <c r="B308" s="24" t="s">
        <v>2471</v>
      </c>
      <c r="K308" s="3819" t="s">
        <v>3144</v>
      </c>
      <c r="L308" s="3678"/>
      <c r="M308" s="3678"/>
      <c r="N308" s="3679"/>
      <c r="O308" s="21">
        <f>ROW()</f>
        <v>308</v>
      </c>
      <c r="P308" s="22"/>
    </row>
    <row r="309" spans="2:40" ht="14.1" customHeight="1">
      <c r="K309" s="3680"/>
      <c r="L309" s="3681"/>
      <c r="M309" s="3681"/>
      <c r="N309" s="3682"/>
      <c r="O309" s="21">
        <f>ROW()</f>
        <v>309</v>
      </c>
      <c r="P309" s="22"/>
    </row>
    <row r="310" spans="2:40" ht="14.1" customHeight="1">
      <c r="B310" s="6" t="s">
        <v>237</v>
      </c>
      <c r="K310" s="3680"/>
      <c r="L310" s="3681"/>
      <c r="M310" s="3681"/>
      <c r="N310" s="3682"/>
      <c r="O310" s="21">
        <f>ROW()</f>
        <v>310</v>
      </c>
      <c r="P310" s="1185">
        <f>D74</f>
        <v>9752.7322514653479</v>
      </c>
      <c r="Q310" s="1185">
        <f>D75</f>
        <v>4305.6313308807967</v>
      </c>
      <c r="R310" s="1185">
        <f>D76</f>
        <v>3412.350991755236</v>
      </c>
      <c r="S310" s="1185">
        <f>D77</f>
        <v>3131.0028534479729</v>
      </c>
      <c r="T310" s="1185">
        <f>D78</f>
        <v>7006.5734586305243</v>
      </c>
      <c r="U310" s="1185">
        <f>D79</f>
        <v>34011.975477009124</v>
      </c>
      <c r="V310" s="1185">
        <f>D80</f>
        <v>108307.98028572001</v>
      </c>
      <c r="W310" s="1185">
        <f>D81</f>
        <v>242271.89634072341</v>
      </c>
      <c r="X310" s="1185">
        <f>D82</f>
        <v>414306.23476781824</v>
      </c>
      <c r="Y310" s="1185">
        <f>D83</f>
        <v>262552.07303877873</v>
      </c>
      <c r="Z310" s="1185">
        <f>D84</f>
        <v>127113.08888722154</v>
      </c>
      <c r="AA310" s="1185">
        <f>D85</f>
        <v>90337.872766123226</v>
      </c>
      <c r="AB310" s="1185">
        <f>D86</f>
        <v>79620.518326175836</v>
      </c>
      <c r="AC310" s="1185">
        <f>D87</f>
        <v>81994.895650533203</v>
      </c>
      <c r="AD310" s="1185">
        <f>D88</f>
        <v>90749.846825787434</v>
      </c>
      <c r="AE310" s="1185">
        <f>D89</f>
        <v>107313.2136538479</v>
      </c>
      <c r="AF310" s="1185">
        <f>D90</f>
        <v>126305.21780436783</v>
      </c>
      <c r="AG310" s="1185">
        <f>D91</f>
        <v>132592.34388075551</v>
      </c>
      <c r="AH310" s="1185">
        <f>D92</f>
        <v>95897.512942030677</v>
      </c>
      <c r="AI310" s="1185">
        <f>D93</f>
        <v>63957.46554069862</v>
      </c>
      <c r="AJ310" s="1185">
        <f>D94</f>
        <v>47615.157964165308</v>
      </c>
      <c r="AK310" s="1185">
        <f>D95</f>
        <v>30570.484856643496</v>
      </c>
      <c r="AL310" s="1185">
        <f>D96</f>
        <v>26566.297959663338</v>
      </c>
      <c r="AM310" s="1185">
        <f>D97</f>
        <v>15864.015741410974</v>
      </c>
      <c r="AN310" s="1185">
        <f>SUM(P310:AM310)</f>
        <v>2205556.3835956547</v>
      </c>
    </row>
    <row r="311" spans="2:40" ht="14.1" customHeight="1">
      <c r="B311" s="265" t="str">
        <f>CONCATENATE("Data at right [Row ",O310, "] are from Section 2, Row ",O74, ".")</f>
        <v>Data at right [Row 310] are from Section 2, Row 74.</v>
      </c>
      <c r="K311" s="3683"/>
      <c r="L311" s="3684"/>
      <c r="M311" s="3684"/>
      <c r="N311" s="3685"/>
      <c r="O311" s="21">
        <f>ROW()</f>
        <v>311</v>
      </c>
      <c r="P311" s="1122"/>
      <c r="Q311" s="1122"/>
      <c r="R311" s="1122"/>
      <c r="S311" s="1122"/>
      <c r="T311" s="1122"/>
      <c r="U311" s="1122"/>
      <c r="V311" s="1122"/>
      <c r="W311" s="1122"/>
      <c r="X311" s="1122"/>
      <c r="Y311" s="1122"/>
      <c r="Z311" s="1122"/>
      <c r="AA311" s="1122"/>
      <c r="AB311" s="1122"/>
      <c r="AC311" s="1122"/>
      <c r="AD311" s="1122"/>
      <c r="AE311" s="1122"/>
      <c r="AF311" s="1122"/>
      <c r="AG311" s="1122"/>
      <c r="AH311" s="1122"/>
      <c r="AI311" s="1122"/>
      <c r="AJ311" s="1122"/>
      <c r="AK311" s="1122"/>
      <c r="AL311" s="1122"/>
      <c r="AM311" s="1122"/>
      <c r="AN311" s="1122"/>
    </row>
    <row r="312" spans="2:40" ht="14.1" customHeight="1">
      <c r="B312" t="s">
        <v>2807</v>
      </c>
      <c r="O312" s="21">
        <f>ROW()</f>
        <v>312</v>
      </c>
      <c r="P312" s="1184">
        <f t="shared" ref="P312:AM312" si="73">P137*P310</f>
        <v>2340.6557403516836</v>
      </c>
      <c r="Q312" s="1184">
        <f t="shared" si="73"/>
        <v>1033.3515194113911</v>
      </c>
      <c r="R312" s="1184">
        <f t="shared" si="73"/>
        <v>818.96423802125662</v>
      </c>
      <c r="S312" s="1184">
        <f t="shared" si="73"/>
        <v>751.44068482751345</v>
      </c>
      <c r="T312" s="1184">
        <f t="shared" si="73"/>
        <v>3503.2867293152622</v>
      </c>
      <c r="U312" s="1184">
        <f t="shared" si="73"/>
        <v>27209.580381607302</v>
      </c>
      <c r="V312" s="1184">
        <f t="shared" si="73"/>
        <v>102892.58127143401</v>
      </c>
      <c r="W312" s="1184">
        <f t="shared" si="73"/>
        <v>230158.30152368723</v>
      </c>
      <c r="X312" s="1184">
        <f t="shared" si="73"/>
        <v>393590.9230294273</v>
      </c>
      <c r="Y312" s="1184">
        <f t="shared" si="73"/>
        <v>210041.65843102301</v>
      </c>
      <c r="Z312" s="1184">
        <f t="shared" si="73"/>
        <v>76267.853332332917</v>
      </c>
      <c r="AA312" s="1184">
        <f t="shared" si="73"/>
        <v>54202.723659673931</v>
      </c>
      <c r="AB312" s="1184">
        <f t="shared" si="73"/>
        <v>47772.310995705498</v>
      </c>
      <c r="AC312" s="1184">
        <f t="shared" si="73"/>
        <v>45097.192607793266</v>
      </c>
      <c r="AD312" s="1184">
        <f t="shared" si="73"/>
        <v>40837.43107160434</v>
      </c>
      <c r="AE312" s="1184">
        <f t="shared" si="73"/>
        <v>48290.946144231551</v>
      </c>
      <c r="AF312" s="1184">
        <f t="shared" si="73"/>
        <v>56837.348011965514</v>
      </c>
      <c r="AG312" s="1184">
        <f t="shared" si="73"/>
        <v>59666.554746339971</v>
      </c>
      <c r="AH312" s="1184">
        <f t="shared" si="73"/>
        <v>43153.880823913802</v>
      </c>
      <c r="AI312" s="1184">
        <f t="shared" si="73"/>
        <v>28780.859493314376</v>
      </c>
      <c r="AJ312" s="1184">
        <f t="shared" si="73"/>
        <v>19046.063185666124</v>
      </c>
      <c r="AK312" s="1184">
        <f t="shared" si="73"/>
        <v>10699.669699825223</v>
      </c>
      <c r="AL312" s="1184">
        <f t="shared" si="73"/>
        <v>7969.8893878990011</v>
      </c>
      <c r="AM312" s="1184">
        <f t="shared" si="73"/>
        <v>3807.3637779386336</v>
      </c>
      <c r="AN312" s="1184">
        <f>SUM(P312:AM312)</f>
        <v>1514770.8304873102</v>
      </c>
    </row>
    <row r="313" spans="2:40" ht="14.1" customHeight="1">
      <c r="B313" s="265" t="str">
        <f>CONCATENATE("Product of adjusted share of trips that are work-related in Row ",O137, " and baseline subway trips into CBD in Row ",O310, ".")</f>
        <v>Product of adjusted share of trips that are work-related in Row 137 and baseline subway trips into CBD in Row 310.</v>
      </c>
      <c r="O313" s="21">
        <f>ROW()</f>
        <v>313</v>
      </c>
      <c r="P313" s="1122"/>
      <c r="Q313" s="1122"/>
      <c r="R313" s="1122"/>
      <c r="S313" s="1122"/>
      <c r="T313" s="1122"/>
      <c r="U313" s="1122"/>
      <c r="V313" s="1122"/>
      <c r="W313" s="1122"/>
      <c r="X313" s="1122"/>
      <c r="Y313" s="1122"/>
      <c r="Z313" s="1122"/>
      <c r="AA313" s="1122"/>
      <c r="AB313" s="1122"/>
      <c r="AC313" s="1122"/>
      <c r="AD313" s="1122"/>
      <c r="AE313" s="1122"/>
      <c r="AF313" s="1122"/>
      <c r="AG313" s="1122"/>
      <c r="AH313" s="1122"/>
      <c r="AI313" s="1122"/>
      <c r="AJ313" s="1122"/>
      <c r="AK313" s="1122"/>
      <c r="AL313" s="1122"/>
      <c r="AM313" s="1122"/>
      <c r="AN313" s="1122"/>
    </row>
    <row r="314" spans="2:40" ht="14.1" customHeight="1">
      <c r="B314" t="s">
        <v>2161</v>
      </c>
      <c r="O314" s="21">
        <f>ROW()</f>
        <v>314</v>
      </c>
      <c r="P314" s="1184">
        <f t="shared" ref="P314:AM314" si="74">P310-P312</f>
        <v>7412.0765111136643</v>
      </c>
      <c r="Q314" s="1184">
        <f t="shared" si="74"/>
        <v>3272.2798114694056</v>
      </c>
      <c r="R314" s="1184">
        <f t="shared" si="74"/>
        <v>2593.3867537339793</v>
      </c>
      <c r="S314" s="1184">
        <f t="shared" si="74"/>
        <v>2379.5621686204595</v>
      </c>
      <c r="T314" s="1184">
        <f t="shared" si="74"/>
        <v>3503.2867293152622</v>
      </c>
      <c r="U314" s="1184">
        <f t="shared" si="74"/>
        <v>6802.3950954018219</v>
      </c>
      <c r="V314" s="1184">
        <f t="shared" si="74"/>
        <v>5415.3990142859984</v>
      </c>
      <c r="W314" s="1184">
        <f t="shared" si="74"/>
        <v>12113.594817036181</v>
      </c>
      <c r="X314" s="1184">
        <f t="shared" si="74"/>
        <v>20715.311738390941</v>
      </c>
      <c r="Y314" s="1184">
        <f t="shared" si="74"/>
        <v>52510.414607755723</v>
      </c>
      <c r="Z314" s="1184">
        <f t="shared" si="74"/>
        <v>50845.235554888626</v>
      </c>
      <c r="AA314" s="1184">
        <f t="shared" si="74"/>
        <v>36135.149106449295</v>
      </c>
      <c r="AB314" s="1184">
        <f t="shared" si="74"/>
        <v>31848.207330470337</v>
      </c>
      <c r="AC314" s="1184">
        <f t="shared" si="74"/>
        <v>36897.703042739937</v>
      </c>
      <c r="AD314" s="1184">
        <f t="shared" si="74"/>
        <v>49912.415754183094</v>
      </c>
      <c r="AE314" s="1184">
        <f t="shared" si="74"/>
        <v>59022.267509616344</v>
      </c>
      <c r="AF314" s="1184">
        <f t="shared" si="74"/>
        <v>69467.869792402314</v>
      </c>
      <c r="AG314" s="1184">
        <f t="shared" si="74"/>
        <v>72925.789134415536</v>
      </c>
      <c r="AH314" s="1184">
        <f t="shared" si="74"/>
        <v>52743.632118116875</v>
      </c>
      <c r="AI314" s="1184">
        <f t="shared" si="74"/>
        <v>35176.606047384244</v>
      </c>
      <c r="AJ314" s="1184">
        <f t="shared" si="74"/>
        <v>28569.094778499184</v>
      </c>
      <c r="AK314" s="1184">
        <f t="shared" si="74"/>
        <v>19870.815156818273</v>
      </c>
      <c r="AL314" s="1184">
        <f t="shared" si="74"/>
        <v>18596.408571764336</v>
      </c>
      <c r="AM314" s="1184">
        <f t="shared" si="74"/>
        <v>12056.651963472341</v>
      </c>
      <c r="AN314" s="1184">
        <f>SUM(P314:AM314)</f>
        <v>690785.5531083442</v>
      </c>
    </row>
    <row r="315" spans="2:40" ht="14.1" customHeight="1">
      <c r="B315" s="265" t="str">
        <f>CONCATENATE("Row ",O310, " less Row ",O312, ".")</f>
        <v>Row 310 less Row 312.</v>
      </c>
      <c r="O315" s="21">
        <f>ROW()</f>
        <v>315</v>
      </c>
      <c r="P315" s="22"/>
    </row>
    <row r="316" spans="2:40" ht="14.1" customHeight="1">
      <c r="B316" t="s">
        <v>195</v>
      </c>
      <c r="O316" s="21">
        <f>ROW()</f>
        <v>316</v>
      </c>
      <c r="P316" s="22">
        <f t="shared" ref="P316:AN316" si="75">P310/P129</f>
        <v>0.25320220175827618</v>
      </c>
      <c r="Q316" s="22">
        <f t="shared" si="75"/>
        <v>0.2433691145567104</v>
      </c>
      <c r="R316" s="22">
        <f t="shared" si="75"/>
        <v>0.33379201887163357</v>
      </c>
      <c r="S316" s="22">
        <f t="shared" si="75"/>
        <v>0.43513475771540294</v>
      </c>
      <c r="T316" s="22">
        <f t="shared" si="75"/>
        <v>0.6341973624374716</v>
      </c>
      <c r="U316" s="22">
        <f t="shared" si="75"/>
        <v>0.76992539350377576</v>
      </c>
      <c r="V316" s="22">
        <f t="shared" si="75"/>
        <v>0.73634413597114434</v>
      </c>
      <c r="W316" s="22">
        <f t="shared" si="75"/>
        <v>0.75265101498678011</v>
      </c>
      <c r="X316" s="22">
        <f t="shared" si="75"/>
        <v>0.81671658228550148</v>
      </c>
      <c r="Y316" s="22">
        <f t="shared" si="75"/>
        <v>0.79297745136718156</v>
      </c>
      <c r="Z316" s="22">
        <f t="shared" si="75"/>
        <v>0.71612793659779217</v>
      </c>
      <c r="AA316" s="22">
        <f t="shared" si="75"/>
        <v>0.64706390390303936</v>
      </c>
      <c r="AB316" s="22">
        <f t="shared" si="75"/>
        <v>0.56897591659127134</v>
      </c>
      <c r="AC316" s="22">
        <f t="shared" si="75"/>
        <v>0.55378956512297073</v>
      </c>
      <c r="AD316" s="22">
        <f t="shared" si="75"/>
        <v>0.49279213409577022</v>
      </c>
      <c r="AE316" s="22">
        <f t="shared" si="75"/>
        <v>0.45037215088451721</v>
      </c>
      <c r="AF316" s="22">
        <f t="shared" si="75"/>
        <v>0.40228248102999675</v>
      </c>
      <c r="AG316" s="22">
        <f t="shared" si="75"/>
        <v>0.30442365588917214</v>
      </c>
      <c r="AH316" s="22">
        <f t="shared" si="75"/>
        <v>0.26704982665461596</v>
      </c>
      <c r="AI316" s="22">
        <f t="shared" si="75"/>
        <v>0.26997874984624387</v>
      </c>
      <c r="AJ316" s="22">
        <f t="shared" si="75"/>
        <v>0.28842981746026919</v>
      </c>
      <c r="AK316" s="22">
        <f t="shared" si="75"/>
        <v>0.25325475310491796</v>
      </c>
      <c r="AL316" s="22">
        <f t="shared" si="75"/>
        <v>0.26805158464626805</v>
      </c>
      <c r="AM316" s="22">
        <f t="shared" si="75"/>
        <v>0.25319135287702865</v>
      </c>
      <c r="AN316" s="22">
        <f t="shared" si="75"/>
        <v>0.51812136427884203</v>
      </c>
    </row>
    <row r="317" spans="2:40" ht="14.1" customHeight="1">
      <c r="B317" s="265" t="str">
        <f>CONCATENATE("Baseline subway trips in Row ",O310, " divided by Total subway trips in same hour in Row ",O129, ".")</f>
        <v>Baseline subway trips in Row 310 divided by Total subway trips in same hour in Row 129.</v>
      </c>
      <c r="O317" s="21">
        <f>ROW()</f>
        <v>317</v>
      </c>
      <c r="P317" s="22"/>
    </row>
    <row r="318" spans="2:40" ht="14.1" customHeight="1">
      <c r="B318" s="1" t="s">
        <v>4457</v>
      </c>
      <c r="O318" s="21">
        <f>ROW()</f>
        <v>318</v>
      </c>
      <c r="P318" s="1184">
        <f t="shared" ref="P318:AM318" si="76">P$316*P219</f>
        <v>105.50104831428156</v>
      </c>
      <c r="Q318" s="1184">
        <f t="shared" si="76"/>
        <v>46.576549765783675</v>
      </c>
      <c r="R318" s="1184">
        <f t="shared" si="76"/>
        <v>36.913410269451894</v>
      </c>
      <c r="S318" s="1184">
        <f t="shared" si="76"/>
        <v>33.869901766670232</v>
      </c>
      <c r="T318" s="1184">
        <f t="shared" si="76"/>
        <v>157.90464873434931</v>
      </c>
      <c r="U318" s="1184">
        <f t="shared" si="76"/>
        <v>1226.4252298887686</v>
      </c>
      <c r="V318" s="1184">
        <f t="shared" si="76"/>
        <v>4637.7068616966699</v>
      </c>
      <c r="W318" s="1184">
        <f t="shared" si="76"/>
        <v>10373.991215527982</v>
      </c>
      <c r="X318" s="1184">
        <f t="shared" si="76"/>
        <v>17740.43669503968</v>
      </c>
      <c r="Y318" s="1184">
        <f t="shared" si="76"/>
        <v>9467.2679848313364</v>
      </c>
      <c r="Z318" s="1184">
        <f t="shared" si="76"/>
        <v>3437.6428538918894</v>
      </c>
      <c r="AA318" s="1184">
        <f t="shared" si="76"/>
        <v>2443.0949280587993</v>
      </c>
      <c r="AB318" s="1184">
        <f t="shared" si="76"/>
        <v>2153.2550915349666</v>
      </c>
      <c r="AC318" s="1184">
        <f t="shared" si="76"/>
        <v>2032.6787122647936</v>
      </c>
      <c r="AD318" s="1184">
        <f t="shared" si="76"/>
        <v>1840.6772573352187</v>
      </c>
      <c r="AE318" s="1184">
        <f t="shared" si="76"/>
        <v>2176.6316825128051</v>
      </c>
      <c r="AF318" s="1184">
        <f t="shared" si="76"/>
        <v>2561.846108033405</v>
      </c>
      <c r="AG318" s="1184">
        <f t="shared" si="76"/>
        <v>2689.3677555908039</v>
      </c>
      <c r="AH318" s="1184">
        <f t="shared" si="76"/>
        <v>1945.0872621996189</v>
      </c>
      <c r="AI318" s="1184">
        <f t="shared" si="76"/>
        <v>1297.2479444903281</v>
      </c>
      <c r="AJ318" s="1184">
        <f t="shared" si="76"/>
        <v>858.46867512687345</v>
      </c>
      <c r="AK318" s="1184">
        <f t="shared" si="76"/>
        <v>482.26928483661112</v>
      </c>
      <c r="AL318" s="1184">
        <f t="shared" si="76"/>
        <v>359.2291129689483</v>
      </c>
      <c r="AM318" s="1184">
        <f t="shared" si="76"/>
        <v>171.61040086398896</v>
      </c>
      <c r="AN318" s="1184">
        <f>SUM(P318:AM318)</f>
        <v>68275.700615544047</v>
      </c>
    </row>
    <row r="319" spans="2:40" ht="14.1" customHeight="1">
      <c r="B319" s="265" t="str">
        <f>CONCATENATE("Prorates absolute incrs in subway work trips in Row ",O219, " by % of trips in period that are CBD-bound, in Row ",O$316, ".")</f>
        <v>Prorates absolute incrs in subway work trips in Row 219 by % of trips in period that are CBD-bound, in Row 316.</v>
      </c>
      <c r="O319" s="21">
        <f>ROW()</f>
        <v>319</v>
      </c>
      <c r="P319" s="1184"/>
      <c r="Q319" s="1184"/>
      <c r="R319" s="1184"/>
      <c r="S319" s="1184"/>
      <c r="T319" s="1184"/>
      <c r="U319" s="1184"/>
      <c r="V319" s="1184"/>
      <c r="W319" s="1184"/>
      <c r="X319" s="1184"/>
      <c r="Y319" s="1184"/>
      <c r="Z319" s="1184"/>
      <c r="AA319" s="1184"/>
      <c r="AB319" s="1184"/>
      <c r="AC319" s="1184"/>
      <c r="AD319" s="1184"/>
      <c r="AE319" s="1184"/>
      <c r="AF319" s="1184"/>
      <c r="AG319" s="1184"/>
      <c r="AH319" s="1184"/>
      <c r="AI319" s="1184"/>
      <c r="AJ319" s="1184"/>
      <c r="AK319" s="1184"/>
      <c r="AL319" s="1184"/>
      <c r="AM319" s="1184"/>
      <c r="AN319" s="1184"/>
    </row>
    <row r="320" spans="2:40" ht="14.1" customHeight="1">
      <c r="B320" t="s">
        <v>4456</v>
      </c>
      <c r="O320" s="21">
        <f>ROW()</f>
        <v>320</v>
      </c>
      <c r="P320" s="1184">
        <f t="shared" ref="P320:AM320" si="77">P$316*P221</f>
        <v>368.31256401578355</v>
      </c>
      <c r="Q320" s="1184">
        <f t="shared" si="77"/>
        <v>162.60244558083991</v>
      </c>
      <c r="R320" s="1184">
        <f t="shared" si="77"/>
        <v>128.86765582089438</v>
      </c>
      <c r="S320" s="1184">
        <f t="shared" si="77"/>
        <v>118.24252518784066</v>
      </c>
      <c r="T320" s="1184">
        <f t="shared" si="77"/>
        <v>174.08138135404977</v>
      </c>
      <c r="U320" s="1184">
        <f t="shared" si="77"/>
        <v>338.0169612765369</v>
      </c>
      <c r="V320" s="1184">
        <f t="shared" si="77"/>
        <v>269.09591301838071</v>
      </c>
      <c r="W320" s="1184">
        <f t="shared" si="77"/>
        <v>601.93512031631042</v>
      </c>
      <c r="X320" s="1184">
        <f t="shared" si="77"/>
        <v>1029.3619567084929</v>
      </c>
      <c r="Y320" s="1184">
        <f t="shared" si="77"/>
        <v>2609.2884244672346</v>
      </c>
      <c r="Z320" s="1184">
        <f t="shared" si="77"/>
        <v>2526.5442210598262</v>
      </c>
      <c r="AA320" s="1184">
        <f t="shared" si="77"/>
        <v>1795.5871608358921</v>
      </c>
      <c r="AB320" s="1184">
        <f t="shared" si="77"/>
        <v>1582.5652748732018</v>
      </c>
      <c r="AC320" s="1184">
        <f t="shared" si="77"/>
        <v>1833.4791328162696</v>
      </c>
      <c r="AD320" s="1184">
        <f t="shared" si="77"/>
        <v>2480.1915893718779</v>
      </c>
      <c r="AE320" s="1184">
        <f t="shared" si="77"/>
        <v>2932.868090055109</v>
      </c>
      <c r="AF320" s="1184">
        <f t="shared" si="77"/>
        <v>3451.9192026135756</v>
      </c>
      <c r="AG320" s="1184">
        <f t="shared" si="77"/>
        <v>3623.7462388168624</v>
      </c>
      <c r="AH320" s="1184">
        <f t="shared" si="77"/>
        <v>2620.8772065157864</v>
      </c>
      <c r="AI320" s="1184">
        <f t="shared" si="77"/>
        <v>1747.9563179439674</v>
      </c>
      <c r="AJ320" s="1184">
        <f t="shared" si="77"/>
        <v>1419.6233044413061</v>
      </c>
      <c r="AK320" s="1184">
        <f t="shared" si="77"/>
        <v>987.39818302169704</v>
      </c>
      <c r="AL320" s="1184">
        <f t="shared" si="77"/>
        <v>924.07180528719482</v>
      </c>
      <c r="AM320" s="1184">
        <f t="shared" si="77"/>
        <v>599.10558012375748</v>
      </c>
      <c r="AN320" s="1184">
        <f>SUM(P320:AM320)</f>
        <v>34325.738255522694</v>
      </c>
    </row>
    <row r="321" spans="2:43" ht="14.1" customHeight="1">
      <c r="B321" s="265" t="str">
        <f>CONCATENATE("See explanation in Row ",O319, " except applies to non-work trips.")</f>
        <v>See explanation in Row 319 except applies to non-work trips.</v>
      </c>
      <c r="O321" s="21">
        <f>ROW()</f>
        <v>321</v>
      </c>
      <c r="P321" s="1184"/>
      <c r="Q321" s="1184"/>
      <c r="R321" s="1184"/>
      <c r="S321" s="1184"/>
      <c r="T321" s="1184"/>
      <c r="U321" s="1184"/>
      <c r="V321" s="1184"/>
      <c r="W321" s="1184"/>
      <c r="X321" s="1184"/>
      <c r="Y321" s="1184"/>
      <c r="Z321" s="1184"/>
      <c r="AA321" s="1184"/>
      <c r="AB321" s="1184"/>
      <c r="AC321" s="1184"/>
      <c r="AD321" s="1184"/>
      <c r="AE321" s="1184"/>
      <c r="AF321" s="1184"/>
      <c r="AG321" s="1184"/>
      <c r="AH321" s="1184"/>
      <c r="AI321" s="1184"/>
      <c r="AJ321" s="1184"/>
      <c r="AK321" s="1184"/>
      <c r="AL321" s="1184"/>
      <c r="AM321" s="1184"/>
      <c r="AN321" s="1184"/>
    </row>
    <row r="322" spans="2:43" ht="14.1" customHeight="1">
      <c r="B322" s="1" t="s">
        <v>4458</v>
      </c>
      <c r="O322" s="21">
        <f>ROW()</f>
        <v>322</v>
      </c>
      <c r="P322" s="1184">
        <f>P318*Elasticities!$I$97</f>
        <v>95.214696103639099</v>
      </c>
      <c r="Q322" s="1184">
        <f>Q318*Elasticities!$I$97</f>
        <v>42.035336163619768</v>
      </c>
      <c r="R322" s="1184">
        <f>R318*Elasticities!$I$97</f>
        <v>33.314352768180335</v>
      </c>
      <c r="S322" s="1184">
        <f>S318*Elasticities!$I$97</f>
        <v>30.567586344419883</v>
      </c>
      <c r="T322" s="1184">
        <f>T318*Elasticities!$I$97</f>
        <v>142.50894548275025</v>
      </c>
      <c r="U322" s="1184">
        <f>U318*Elasticities!$I$97</f>
        <v>1106.8487699746136</v>
      </c>
      <c r="V322" s="1184">
        <f>V318*Elasticities!$I$97</f>
        <v>4185.5304426812445</v>
      </c>
      <c r="W322" s="1184">
        <f>W318*Elasticities!$I$97</f>
        <v>9362.5270720140034</v>
      </c>
      <c r="X322" s="1184">
        <f>X318*Elasticities!$I$97</f>
        <v>16010.744117273311</v>
      </c>
      <c r="Y322" s="1184">
        <f>Y318*Elasticities!$I$97</f>
        <v>8544.2093563102808</v>
      </c>
      <c r="Z322" s="1184">
        <f>Z318*Elasticities!$I$97</f>
        <v>3102.4726756374303</v>
      </c>
      <c r="AA322" s="1184">
        <f>AA318*Elasticities!$I$97</f>
        <v>2204.8931725730663</v>
      </c>
      <c r="AB322" s="1184">
        <f>AB318*Elasticities!$I$97</f>
        <v>1943.3127201103073</v>
      </c>
      <c r="AC322" s="1184">
        <f>AC318*Elasticities!$I$97</f>
        <v>1834.4925378189762</v>
      </c>
      <c r="AD322" s="1184">
        <f>AD318*Elasticities!$I$97</f>
        <v>1661.2112247450348</v>
      </c>
      <c r="AE322" s="1184">
        <f>AE318*Elasticities!$I$97</f>
        <v>1964.4100934678065</v>
      </c>
      <c r="AF322" s="1184">
        <f>AF318*Elasticities!$I$97</f>
        <v>2312.0661125001479</v>
      </c>
      <c r="AG322" s="1184">
        <f>AG318*Elasticities!$I$97</f>
        <v>2427.1543994207004</v>
      </c>
      <c r="AH322" s="1184">
        <f>AH318*Elasticities!$I$97</f>
        <v>1755.441254135156</v>
      </c>
      <c r="AI322" s="1184">
        <f>AI318*Elasticities!$I$97</f>
        <v>1170.7662699025211</v>
      </c>
      <c r="AJ322" s="1184">
        <f>AJ318*Elasticities!$I$97</f>
        <v>774.76797930200325</v>
      </c>
      <c r="AK322" s="1184">
        <f>AK318*Elasticities!$I$97</f>
        <v>435.24802956504152</v>
      </c>
      <c r="AL322" s="1184">
        <f>AL318*Elasticities!$I$97</f>
        <v>324.20427445447581</v>
      </c>
      <c r="AM322" s="1184">
        <f>AM318*Elasticities!$I$97</f>
        <v>154.87838677975003</v>
      </c>
      <c r="AN322" s="1184">
        <f>SUM(P322:AM322)</f>
        <v>61618.819805528467</v>
      </c>
    </row>
    <row r="323" spans="2:43" ht="14.1" customHeight="1">
      <c r="B323" s="265" t="str">
        <f>CONCATENATE("Applies cross-elasticity from autos to transit in Row ",Elasticities!O97, " of 'Elasticities' worksheet to increase in work trips in Row ",O318, ".")</f>
        <v>Applies cross-elasticity from autos to transit in Row 97 of 'Elasticities' worksheet to increase in work trips in Row 318.</v>
      </c>
      <c r="O323" s="21">
        <f>ROW()</f>
        <v>323</v>
      </c>
      <c r="P323" s="1184"/>
      <c r="Q323" s="1184"/>
      <c r="R323" s="1184"/>
      <c r="S323" s="1184"/>
      <c r="T323" s="1184"/>
      <c r="U323" s="1184"/>
      <c r="V323" s="1184"/>
      <c r="W323" s="1184"/>
      <c r="X323" s="1184"/>
      <c r="Y323" s="1184"/>
      <c r="Z323" s="1184"/>
      <c r="AA323" s="1184"/>
      <c r="AB323" s="1184"/>
      <c r="AC323" s="1184"/>
      <c r="AD323" s="1184"/>
      <c r="AE323" s="1184"/>
      <c r="AF323" s="1184"/>
      <c r="AG323" s="1184"/>
      <c r="AH323" s="1184"/>
      <c r="AI323" s="1184"/>
      <c r="AJ323" s="1184"/>
      <c r="AK323" s="1184"/>
      <c r="AL323" s="1184"/>
      <c r="AM323" s="1184"/>
      <c r="AN323" s="1184"/>
    </row>
    <row r="324" spans="2:43" ht="14.1" customHeight="1">
      <c r="B324" s="1" t="s">
        <v>4459</v>
      </c>
      <c r="O324" s="21">
        <f>ROW()</f>
        <v>324</v>
      </c>
      <c r="P324" s="1184">
        <f>P320*Elasticities!$J$97</f>
        <v>174.94846790749719</v>
      </c>
      <c r="Q324" s="1184">
        <f>Q320*Elasticities!$J$97</f>
        <v>77.23616165089895</v>
      </c>
      <c r="R324" s="1184">
        <f>R320*Elasticities!$J$97</f>
        <v>61.212136514924829</v>
      </c>
      <c r="S324" s="1184">
        <f>S320*Elasticities!$J$97</f>
        <v>56.165199464224308</v>
      </c>
      <c r="T324" s="1184">
        <f>T320*Elasticities!$J$97</f>
        <v>82.688656143173631</v>
      </c>
      <c r="U324" s="1184">
        <f>U320*Elasticities!$J$97</f>
        <v>160.55805660635502</v>
      </c>
      <c r="V324" s="1184">
        <f>V320*Elasticities!$J$97</f>
        <v>127.82055868373084</v>
      </c>
      <c r="W324" s="1184">
        <f>W320*Elasticities!$J$97</f>
        <v>285.91918215024742</v>
      </c>
      <c r="X324" s="1184">
        <f>X320*Elasticities!$J$97</f>
        <v>488.94692943653411</v>
      </c>
      <c r="Y324" s="1184">
        <f>Y320*Elasticities!$J$97</f>
        <v>1239.4120016219363</v>
      </c>
      <c r="Z324" s="1184">
        <f>Z320*Elasticities!$J$97</f>
        <v>1200.1085050034173</v>
      </c>
      <c r="AA324" s="1184">
        <f>AA320*Elasticities!$J$97</f>
        <v>852.90390139704868</v>
      </c>
      <c r="AB324" s="1184">
        <f>AB320*Elasticities!$J$97</f>
        <v>751.71850556477079</v>
      </c>
      <c r="AC324" s="1184">
        <f>AC320*Elasticities!$J$97</f>
        <v>870.90258808772808</v>
      </c>
      <c r="AD324" s="1184">
        <f>AD320*Elasticities!$J$97</f>
        <v>1178.0910049516419</v>
      </c>
      <c r="AE324" s="1184">
        <f>AE320*Elasticities!$J$97</f>
        <v>1393.1123427761768</v>
      </c>
      <c r="AF324" s="1184">
        <f>AF320*Elasticities!$J$97</f>
        <v>1639.6616212414483</v>
      </c>
      <c r="AG324" s="1184">
        <f>AG320*Elasticities!$J$97</f>
        <v>1721.2794634380095</v>
      </c>
      <c r="AH324" s="1184">
        <f>AH320*Elasticities!$J$97</f>
        <v>1244.9166730949985</v>
      </c>
      <c r="AI324" s="1184">
        <f>AI320*Elasticities!$J$97</f>
        <v>830.27925102338452</v>
      </c>
      <c r="AJ324" s="1184">
        <f>AJ320*Elasticities!$J$97</f>
        <v>674.32106960962039</v>
      </c>
      <c r="AK324" s="1184">
        <f>AK320*Elasticities!$J$97</f>
        <v>469.01413693530606</v>
      </c>
      <c r="AL324" s="1184">
        <f>AL320*Elasticities!$J$97</f>
        <v>438.93410751141749</v>
      </c>
      <c r="AM324" s="1184">
        <f>AM320*Elasticities!$J$97</f>
        <v>284.5751505587848</v>
      </c>
      <c r="AN324" s="1184">
        <f>SUM(P324:AM324)</f>
        <v>16304.725671373277</v>
      </c>
    </row>
    <row r="325" spans="2:43" ht="14.1" customHeight="1">
      <c r="B325" s="265" t="str">
        <f>CONCATENATE("Applies cross-elasticity from autos to transit in Row ",Elasticities!O97, " of 'Elasticities' worksheet to increase in work trips in Row ",O320, ".")</f>
        <v>Applies cross-elasticity from autos to transit in Row 97 of 'Elasticities' worksheet to increase in work trips in Row 320.</v>
      </c>
      <c r="O325" s="21">
        <f>ROW()</f>
        <v>325</v>
      </c>
      <c r="P325" s="1184"/>
      <c r="Q325" s="1184"/>
      <c r="R325" s="1184"/>
      <c r="S325" s="1184"/>
      <c r="T325" s="1184"/>
      <c r="U325" s="1184"/>
      <c r="V325" s="1184"/>
      <c r="W325" s="1184"/>
      <c r="X325" s="1184"/>
      <c r="Y325" s="1184"/>
      <c r="Z325" s="1184"/>
      <c r="AA325" s="1184"/>
      <c r="AB325" s="1184"/>
      <c r="AC325" s="1184"/>
      <c r="AD325" s="1184"/>
      <c r="AE325" s="1184"/>
      <c r="AF325" s="1184"/>
      <c r="AG325" s="1184"/>
      <c r="AH325" s="1184"/>
      <c r="AI325" s="1184"/>
      <c r="AJ325" s="1184"/>
      <c r="AK325" s="1184"/>
      <c r="AL325" s="1184"/>
      <c r="AM325" s="1184"/>
      <c r="AN325" s="1184"/>
    </row>
    <row r="326" spans="2:43" ht="14.1" customHeight="1">
      <c r="B326" t="s">
        <v>1939</v>
      </c>
      <c r="O326" s="21">
        <f>ROW()</f>
        <v>326</v>
      </c>
      <c r="P326" s="1184">
        <f>P322/H.I.S.!$G$128</f>
        <v>82.795387916207915</v>
      </c>
      <c r="Q326" s="1184">
        <f>Q322/H.I.S.!$G$128</f>
        <v>36.552466229234582</v>
      </c>
      <c r="R326" s="1184">
        <f>R322/H.I.S.!$G$128</f>
        <v>28.969002407113337</v>
      </c>
      <c r="S326" s="1184">
        <f>S322/H.I.S.!$G$128</f>
        <v>26.580509864712944</v>
      </c>
      <c r="T326" s="1184">
        <f>T322/H.I.S.!$G$128</f>
        <v>123.92082215891327</v>
      </c>
      <c r="U326" s="1184">
        <f>U322/H.I.S.!$G$128</f>
        <v>962.47719128227277</v>
      </c>
      <c r="V326" s="1184">
        <f>V322/H.I.S.!$G$128</f>
        <v>3639.5916892880391</v>
      </c>
      <c r="W326" s="1184">
        <f>W322/H.I.S.!$G$128</f>
        <v>8141.3278887078295</v>
      </c>
      <c r="X326" s="1184">
        <f>X322/H.I.S.!$G$128</f>
        <v>13922.386188933315</v>
      </c>
      <c r="Y326" s="1184">
        <f>Y322/H.I.S.!$G$128</f>
        <v>7429.7472663567669</v>
      </c>
      <c r="Z326" s="1184">
        <f>Z322/H.I.S.!$G$128</f>
        <v>2697.8023266412438</v>
      </c>
      <c r="AA326" s="1184">
        <f>AA322/H.I.S.!$G$128</f>
        <v>1917.2984109331012</v>
      </c>
      <c r="AB326" s="1184">
        <f>AB322/H.I.S.!$G$128</f>
        <v>1689.8371479220064</v>
      </c>
      <c r="AC326" s="1184">
        <f>AC322/H.I.S.!$G$128</f>
        <v>1595.2109024512838</v>
      </c>
      <c r="AD326" s="1184">
        <f>AD322/H.I.S.!$G$128</f>
        <v>1444.5314997782912</v>
      </c>
      <c r="AE326" s="1184">
        <f>AE322/H.I.S.!$G$128</f>
        <v>1708.1826899720058</v>
      </c>
      <c r="AF326" s="1184">
        <f>AF322/H.I.S.!$G$128</f>
        <v>2010.4922717392592</v>
      </c>
      <c r="AG326" s="1184">
        <f>AG322/H.I.S.!$G$128</f>
        <v>2110.5690429745223</v>
      </c>
      <c r="AH326" s="1184">
        <f>AH322/H.I.S.!$G$128</f>
        <v>1526.4706557697009</v>
      </c>
      <c r="AI326" s="1184">
        <f>AI322/H.I.S.!$G$128</f>
        <v>1018.0576260021924</v>
      </c>
      <c r="AJ326" s="1184">
        <f>AJ322/H.I.S.!$G$128</f>
        <v>673.71128634956813</v>
      </c>
      <c r="AK326" s="1184">
        <f>AK322/H.I.S.!$G$128</f>
        <v>378.47654744786223</v>
      </c>
      <c r="AL326" s="1184">
        <f>AL322/H.I.S.!$G$128</f>
        <v>281.91676039519638</v>
      </c>
      <c r="AM326" s="1184">
        <f>AM322/H.I.S.!$G$128</f>
        <v>134.67685806934787</v>
      </c>
      <c r="AN326" s="1184">
        <f>SUM(P326:AM326)</f>
        <v>53581.582439589984</v>
      </c>
    </row>
    <row r="327" spans="2:43" ht="14.1" customHeight="1">
      <c r="B327" s="265" t="s">
        <v>1731</v>
      </c>
      <c r="O327" s="21">
        <f>ROW()</f>
        <v>327</v>
      </c>
      <c r="P327" s="1184"/>
      <c r="Q327" s="1184"/>
      <c r="R327" s="1184"/>
      <c r="S327" s="1184"/>
      <c r="T327" s="1184"/>
      <c r="U327" s="1184"/>
      <c r="V327" s="1184"/>
      <c r="W327" s="1184"/>
      <c r="X327" s="1184"/>
      <c r="Y327" s="1184"/>
      <c r="Z327" s="1184"/>
      <c r="AA327" s="1184"/>
      <c r="AB327" s="1184"/>
      <c r="AC327" s="1184"/>
      <c r="AD327" s="1184"/>
      <c r="AE327" s="1184"/>
      <c r="AF327" s="1184"/>
      <c r="AG327" s="1184"/>
      <c r="AH327" s="1184"/>
      <c r="AI327" s="1184"/>
      <c r="AJ327" s="1184"/>
      <c r="AK327" s="1184"/>
      <c r="AL327" s="1184"/>
      <c r="AM327" s="1184"/>
      <c r="AN327" s="1184"/>
      <c r="AO327" s="4760" t="s">
        <v>766</v>
      </c>
      <c r="AP327" s="4523"/>
      <c r="AQ327" s="4761"/>
    </row>
    <row r="328" spans="2:43" ht="14.1" customHeight="1">
      <c r="B328" t="s">
        <v>1073</v>
      </c>
      <c r="O328" s="21">
        <f>ROW()</f>
        <v>328</v>
      </c>
      <c r="P328" s="1184">
        <f>P324/H.I.S.!$H$128</f>
        <v>116.63231193833145</v>
      </c>
      <c r="Q328" s="1184">
        <f>Q324/H.I.S.!$H$128</f>
        <v>51.490774433932636</v>
      </c>
      <c r="R328" s="1184">
        <f>R324/H.I.S.!$H$128</f>
        <v>40.808091009949884</v>
      </c>
      <c r="S328" s="1184">
        <f>S324/H.I.S.!$H$128</f>
        <v>37.443466309482872</v>
      </c>
      <c r="T328" s="1184">
        <f>T324/H.I.S.!$H$128</f>
        <v>55.125770762115756</v>
      </c>
      <c r="U328" s="1184">
        <f>U324/H.I.S.!$H$128</f>
        <v>107.03870440423668</v>
      </c>
      <c r="V328" s="1184">
        <f>V324/H.I.S.!$H$128</f>
        <v>85.213705789153892</v>
      </c>
      <c r="W328" s="1184">
        <f>W324/H.I.S.!$H$128</f>
        <v>190.61278810016495</v>
      </c>
      <c r="X328" s="1184">
        <f>X324/H.I.S.!$H$128</f>
        <v>325.96461962435609</v>
      </c>
      <c r="Y328" s="1184">
        <f>Y324/H.I.S.!$H$128</f>
        <v>826.27466774795755</v>
      </c>
      <c r="Z328" s="1184">
        <f>Z324/H.I.S.!$H$128</f>
        <v>800.0723366689449</v>
      </c>
      <c r="AA328" s="1184">
        <f>AA324/H.I.S.!$H$128</f>
        <v>568.60260093136583</v>
      </c>
      <c r="AB328" s="1184">
        <f>AB324/H.I.S.!$H$128</f>
        <v>501.14567037651386</v>
      </c>
      <c r="AC328" s="1184">
        <f>AC324/H.I.S.!$H$128</f>
        <v>580.60172539181872</v>
      </c>
      <c r="AD328" s="1184">
        <f>AD324/H.I.S.!$H$128</f>
        <v>785.39400330109459</v>
      </c>
      <c r="AE328" s="1184">
        <f>AE324/H.I.S.!$H$128</f>
        <v>928.74156185078448</v>
      </c>
      <c r="AF328" s="1184">
        <f>AF324/H.I.S.!$H$128</f>
        <v>1093.1077474942988</v>
      </c>
      <c r="AG328" s="1184">
        <f>AG324/H.I.S.!$H$128</f>
        <v>1147.5196422920064</v>
      </c>
      <c r="AH328" s="1184">
        <f>AH324/H.I.S.!$H$128</f>
        <v>829.94444872999895</v>
      </c>
      <c r="AI328" s="1184">
        <f>AI324/H.I.S.!$H$128</f>
        <v>553.51950068225631</v>
      </c>
      <c r="AJ328" s="1184">
        <f>AJ324/H.I.S.!$H$128</f>
        <v>449.54737973974693</v>
      </c>
      <c r="AK328" s="1184">
        <f>AK324/H.I.S.!$H$128</f>
        <v>312.67609129020406</v>
      </c>
      <c r="AL328" s="1184">
        <f>AL324/H.I.S.!$H$128</f>
        <v>292.62273834094498</v>
      </c>
      <c r="AM328" s="1184">
        <f>AM324/H.I.S.!$H$128</f>
        <v>189.71676703918988</v>
      </c>
      <c r="AN328" s="1184">
        <f>SUM(P328:AM328)</f>
        <v>10869.81711424885</v>
      </c>
      <c r="AO328" s="4483"/>
      <c r="AP328" s="4484"/>
      <c r="AQ328" s="4485"/>
    </row>
    <row r="329" spans="2:43" ht="14.1" customHeight="1">
      <c r="B329" s="265" t="s">
        <v>1074</v>
      </c>
      <c r="O329" s="21">
        <f>ROW()</f>
        <v>329</v>
      </c>
      <c r="P329" s="1184"/>
      <c r="Q329" s="1184"/>
      <c r="R329" s="1184"/>
      <c r="S329" s="1184"/>
      <c r="T329" s="1184"/>
      <c r="U329" s="1184"/>
      <c r="V329" s="1184"/>
      <c r="W329" s="1184"/>
      <c r="X329" s="1184"/>
      <c r="Y329" s="1184"/>
      <c r="Z329" s="1184"/>
      <c r="AA329" s="1184"/>
      <c r="AB329" s="1184"/>
      <c r="AC329" s="1184"/>
      <c r="AD329" s="1184"/>
      <c r="AE329" s="1184"/>
      <c r="AF329" s="1184"/>
      <c r="AG329" s="1184"/>
      <c r="AH329" s="1184"/>
      <c r="AI329" s="1184"/>
      <c r="AJ329" s="1184"/>
      <c r="AK329" s="1184"/>
      <c r="AL329" s="1184"/>
      <c r="AM329" s="1184"/>
      <c r="AN329" s="1184"/>
    </row>
    <row r="330" spans="2:43" ht="14.1" customHeight="1">
      <c r="B330" t="s">
        <v>1075</v>
      </c>
      <c r="O330" s="21">
        <f>ROW()</f>
        <v>330</v>
      </c>
      <c r="P330" s="1184">
        <f>P326+P328</f>
        <v>199.42769985453936</v>
      </c>
      <c r="Q330" s="1184">
        <f t="shared" ref="Q330:AM330" si="78">Q326+Q328</f>
        <v>88.043240663167211</v>
      </c>
      <c r="R330" s="1184">
        <f t="shared" si="78"/>
        <v>69.777093417063213</v>
      </c>
      <c r="S330" s="1184">
        <f t="shared" si="78"/>
        <v>64.023976174195809</v>
      </c>
      <c r="T330" s="1184">
        <f t="shared" si="78"/>
        <v>179.04659292102903</v>
      </c>
      <c r="U330" s="1184">
        <f t="shared" si="78"/>
        <v>1069.5158956865093</v>
      </c>
      <c r="V330" s="1184">
        <f t="shared" si="78"/>
        <v>3724.8053950771928</v>
      </c>
      <c r="W330" s="1184">
        <f t="shared" si="78"/>
        <v>8331.9406768079953</v>
      </c>
      <c r="X330" s="1184">
        <f t="shared" si="78"/>
        <v>14248.35080855767</v>
      </c>
      <c r="Y330" s="1184">
        <f t="shared" si="78"/>
        <v>8256.021934104725</v>
      </c>
      <c r="Z330" s="1184">
        <f t="shared" si="78"/>
        <v>3497.8746633101887</v>
      </c>
      <c r="AA330" s="1184">
        <f t="shared" si="78"/>
        <v>2485.9010118644669</v>
      </c>
      <c r="AB330" s="1184">
        <f t="shared" si="78"/>
        <v>2190.9828182985202</v>
      </c>
      <c r="AC330" s="1184">
        <f t="shared" si="78"/>
        <v>2175.8126278431027</v>
      </c>
      <c r="AD330" s="1184">
        <f t="shared" si="78"/>
        <v>2229.9255030793856</v>
      </c>
      <c r="AE330" s="1184">
        <f t="shared" si="78"/>
        <v>2636.9242518227902</v>
      </c>
      <c r="AF330" s="1184">
        <f t="shared" si="78"/>
        <v>3103.6000192335578</v>
      </c>
      <c r="AG330" s="1184">
        <f t="shared" si="78"/>
        <v>3258.088685266529</v>
      </c>
      <c r="AH330" s="1184">
        <f t="shared" si="78"/>
        <v>2356.4151044996997</v>
      </c>
      <c r="AI330" s="1184">
        <f t="shared" si="78"/>
        <v>1571.5771266844486</v>
      </c>
      <c r="AJ330" s="1184">
        <f t="shared" si="78"/>
        <v>1123.2586660893151</v>
      </c>
      <c r="AK330" s="1184">
        <f t="shared" si="78"/>
        <v>691.15263873806634</v>
      </c>
      <c r="AL330" s="1184">
        <f t="shared" si="78"/>
        <v>574.53949873614135</v>
      </c>
      <c r="AM330" s="1184">
        <f t="shared" si="78"/>
        <v>324.39362510853778</v>
      </c>
      <c r="AN330" s="1184">
        <f>SUM(P330:AM330)</f>
        <v>64451.399553838834</v>
      </c>
    </row>
    <row r="331" spans="2:43" ht="14.1" customHeight="1">
      <c r="B331" s="265" t="str">
        <f>CONCATENATE("Each figure is sum of Rows ",O328, " and ",O330, ".")</f>
        <v>Each figure is sum of Rows 328 and 330.</v>
      </c>
      <c r="O331" s="21">
        <f>ROW()</f>
        <v>331</v>
      </c>
      <c r="P331" s="1184"/>
      <c r="Q331" s="1184"/>
      <c r="R331" s="1184"/>
      <c r="S331" s="1184"/>
      <c r="T331" s="1184"/>
      <c r="U331" s="1184"/>
      <c r="V331" s="1184"/>
      <c r="W331" s="1184"/>
      <c r="X331" s="1184"/>
      <c r="Y331" s="1184"/>
      <c r="Z331" s="1184"/>
      <c r="AA331" s="1184"/>
      <c r="AB331" s="1184"/>
      <c r="AC331" s="1184"/>
      <c r="AD331" s="1184"/>
      <c r="AE331" s="1184"/>
      <c r="AF331" s="1184"/>
      <c r="AG331" s="1184"/>
      <c r="AH331" s="1184"/>
      <c r="AI331" s="1184"/>
      <c r="AJ331" s="1184"/>
      <c r="AK331" s="1184"/>
      <c r="AL331" s="1184"/>
      <c r="AM331" s="1184"/>
      <c r="AN331" s="1184"/>
    </row>
    <row r="332" spans="2:43" ht="14.1" customHeight="1">
      <c r="B332" s="265"/>
      <c r="O332" s="21">
        <f>ROW()</f>
        <v>332</v>
      </c>
      <c r="P332" s="1184"/>
      <c r="Q332" s="1184"/>
      <c r="R332" s="1184"/>
      <c r="S332" s="1184"/>
      <c r="T332" s="1184"/>
      <c r="U332" s="1184"/>
      <c r="V332" s="1184"/>
      <c r="W332" s="1184"/>
      <c r="X332" s="1184"/>
      <c r="Y332" s="1184"/>
      <c r="Z332" s="1184"/>
      <c r="AA332" s="1184"/>
      <c r="AB332" s="1184"/>
      <c r="AC332" s="1184"/>
      <c r="AD332" s="1184"/>
      <c r="AE332" s="1184"/>
      <c r="AF332" s="1184"/>
      <c r="AG332" s="1184"/>
      <c r="AH332" s="1184"/>
      <c r="AI332" s="1184"/>
      <c r="AJ332" s="1184"/>
      <c r="AK332" s="1184"/>
      <c r="AL332" s="1184"/>
      <c r="AM332" s="1184"/>
      <c r="AN332" s="1184"/>
    </row>
    <row r="333" spans="2:43" ht="14.1" customHeight="1">
      <c r="B333" s="24" t="s">
        <v>1628</v>
      </c>
      <c r="O333" s="21">
        <f>ROW()</f>
        <v>333</v>
      </c>
      <c r="P333" s="1184"/>
      <c r="Q333" s="1184"/>
      <c r="R333" s="1184"/>
      <c r="S333" s="1184"/>
      <c r="T333" s="1184"/>
      <c r="U333" s="1184"/>
      <c r="V333" s="1184"/>
      <c r="W333" s="1184"/>
      <c r="X333" s="1184"/>
      <c r="Y333" s="1184"/>
      <c r="Z333" s="1184"/>
      <c r="AA333" s="1184"/>
      <c r="AB333" s="1184"/>
      <c r="AC333" s="1184"/>
      <c r="AD333" s="1184"/>
      <c r="AE333" s="1184"/>
      <c r="AF333" s="1184"/>
      <c r="AG333" s="1184"/>
      <c r="AH333" s="1184"/>
      <c r="AI333" s="1184"/>
      <c r="AJ333" s="1184"/>
      <c r="AK333" s="1184"/>
      <c r="AL333" s="1184"/>
      <c r="AM333" s="1184"/>
      <c r="AN333" s="1184"/>
    </row>
    <row r="334" spans="2:43" ht="14.1" customHeight="1">
      <c r="O334" s="21">
        <f>ROW()</f>
        <v>334</v>
      </c>
      <c r="P334" s="1184"/>
      <c r="Q334" s="1184"/>
      <c r="R334" s="1184"/>
      <c r="S334" s="1184"/>
      <c r="T334" s="1184"/>
      <c r="U334" s="1184"/>
      <c r="V334" s="1184"/>
      <c r="W334" s="1184"/>
      <c r="X334" s="1184"/>
      <c r="Y334" s="1184"/>
      <c r="Z334" s="1184"/>
      <c r="AA334" s="1184"/>
      <c r="AB334" s="1184"/>
      <c r="AC334" s="1184"/>
      <c r="AD334" s="1184"/>
      <c r="AE334" s="1184"/>
      <c r="AF334" s="1184"/>
      <c r="AG334" s="1184"/>
      <c r="AH334" s="1184"/>
      <c r="AI334" s="1184"/>
      <c r="AJ334" s="1184"/>
      <c r="AK334" s="1184"/>
      <c r="AL334" s="1184"/>
      <c r="AM334" s="1184"/>
      <c r="AN334" s="1184"/>
    </row>
    <row r="335" spans="2:43" ht="14.1" customHeight="1">
      <c r="B335" s="1" t="s">
        <v>4460</v>
      </c>
      <c r="O335" s="21">
        <f>ROW()</f>
        <v>335</v>
      </c>
      <c r="P335" s="1184">
        <f>P318*Elasticities!$I$103</f>
        <v>5.011299794928374</v>
      </c>
      <c r="Q335" s="1184">
        <f>Q318*Elasticities!$I$103</f>
        <v>2.2123861138747247</v>
      </c>
      <c r="R335" s="1184">
        <f>R318*Elasticities!$I$103</f>
        <v>1.753386987798965</v>
      </c>
      <c r="S335" s="1184">
        <f>S318*Elasticities!$I$103</f>
        <v>1.6088203339168361</v>
      </c>
      <c r="T335" s="1184">
        <f>T318*Elasticities!$I$103</f>
        <v>7.5004708148815924</v>
      </c>
      <c r="U335" s="1184">
        <f>U318*Elasticities!$I$103</f>
        <v>58.255198419716507</v>
      </c>
      <c r="V335" s="1184">
        <f>V318*Elasticities!$I$103</f>
        <v>220.29107593059183</v>
      </c>
      <c r="W335" s="1184">
        <f>W318*Elasticities!$I$103</f>
        <v>492.76458273757913</v>
      </c>
      <c r="X335" s="1184">
        <f>X318*Elasticities!$I$103</f>
        <v>842.67074301438481</v>
      </c>
      <c r="Y335" s="1184">
        <f>Y318*Elasticities!$I$103</f>
        <v>449.6952292794885</v>
      </c>
      <c r="Z335" s="1184">
        <f>Z318*Elasticities!$I$103</f>
        <v>163.28803555986474</v>
      </c>
      <c r="AA335" s="1184">
        <f>AA318*Elasticities!$I$103</f>
        <v>116.04700908279297</v>
      </c>
      <c r="AB335" s="1184">
        <f>AB318*Elasticities!$I$103</f>
        <v>102.27961684791092</v>
      </c>
      <c r="AC335" s="1184">
        <f>AC318*Elasticities!$I$103</f>
        <v>96.5522388325777</v>
      </c>
      <c r="AD335" s="1184">
        <f>AD318*Elasticities!$I$103</f>
        <v>87.432169723422888</v>
      </c>
      <c r="AE335" s="1184">
        <f>AE318*Elasticities!$I$103</f>
        <v>103.39000491935825</v>
      </c>
      <c r="AF335" s="1184">
        <f>AF318*Elasticities!$I$103</f>
        <v>121.68769013158673</v>
      </c>
      <c r="AG335" s="1184">
        <f>AG318*Elasticities!$I$103</f>
        <v>127.74496839056319</v>
      </c>
      <c r="AH335" s="1184">
        <f>AH318*Elasticities!$I$103</f>
        <v>92.39164495448189</v>
      </c>
      <c r="AI335" s="1184">
        <f>AI318*Elasticities!$I$103</f>
        <v>61.619277363290585</v>
      </c>
      <c r="AJ335" s="1184">
        <f>AJ318*Elasticities!$I$103</f>
        <v>40.77726206852649</v>
      </c>
      <c r="AK335" s="1184">
        <f>AK318*Elasticities!$I$103</f>
        <v>22.907791029739027</v>
      </c>
      <c r="AL335" s="1184">
        <f>AL318*Elasticities!$I$103</f>
        <v>17.063382866025044</v>
      </c>
      <c r="AM335" s="1184">
        <f>AM318*Elasticities!$I$103</f>
        <v>8.1514940410394754</v>
      </c>
      <c r="AN335" s="1184">
        <f>SUM(P335:AM335)</f>
        <v>3243.0957792383406</v>
      </c>
    </row>
    <row r="336" spans="2:43" ht="14.1" customHeight="1">
      <c r="B336" s="265" t="str">
        <f>CONCATENATE("Applies cross-elasticity from autos to transit in Row ",Elasticities!O103, " of 'Elasticities' worksheet to increase in work trips in Row ",O318, ".")</f>
        <v>Applies cross-elasticity from autos to transit in Row 103 of 'Elasticities' worksheet to increase in work trips in Row 318.</v>
      </c>
      <c r="O336" s="21">
        <f>ROW()</f>
        <v>336</v>
      </c>
      <c r="P336" s="1184"/>
      <c r="Q336" s="1184"/>
      <c r="R336" s="1184"/>
      <c r="S336" s="1184"/>
      <c r="T336" s="1184"/>
      <c r="U336" s="1184"/>
      <c r="V336" s="1184"/>
      <c r="W336" s="1184"/>
      <c r="X336" s="1184"/>
      <c r="Y336" s="1184"/>
      <c r="Z336" s="1184"/>
      <c r="AA336" s="1184"/>
      <c r="AB336" s="1184"/>
      <c r="AC336" s="1184"/>
      <c r="AD336" s="1184"/>
      <c r="AE336" s="1184"/>
      <c r="AF336" s="1184"/>
      <c r="AG336" s="1184"/>
      <c r="AH336" s="1184"/>
      <c r="AI336" s="1184"/>
      <c r="AJ336" s="1184"/>
      <c r="AK336" s="1184"/>
      <c r="AL336" s="1184"/>
      <c r="AM336" s="1184"/>
      <c r="AN336" s="1184"/>
    </row>
    <row r="337" spans="2:42" ht="14.1" customHeight="1">
      <c r="B337" s="1" t="s">
        <v>4461</v>
      </c>
      <c r="O337" s="21">
        <f>ROW()</f>
        <v>337</v>
      </c>
      <c r="P337" s="1184">
        <f>P320*Elasticities!$J$103</f>
        <v>9.4840485234064271</v>
      </c>
      <c r="Q337" s="1184">
        <f>Q320*Elasticities!$J$103</f>
        <v>4.1870129737066284</v>
      </c>
      <c r="R337" s="1184">
        <f>R320*Elasticities!$J$103</f>
        <v>3.3183421373880306</v>
      </c>
      <c r="S337" s="1184">
        <f>S320*Elasticities!$J$103</f>
        <v>3.0447450235868971</v>
      </c>
      <c r="T337" s="1184">
        <f>T320*Elasticities!$J$103</f>
        <v>4.4825955698667821</v>
      </c>
      <c r="U337" s="1184">
        <f>U320*Elasticities!$J$103</f>
        <v>8.7039367528708258</v>
      </c>
      <c r="V337" s="1184">
        <f>V320*Elasticities!$J$103</f>
        <v>6.9292197602233037</v>
      </c>
      <c r="W337" s="1184">
        <f>W320*Elasticities!$J$103</f>
        <v>15.499829348144994</v>
      </c>
      <c r="X337" s="1184">
        <f>X320*Elasticities!$J$103</f>
        <v>26.506070385243696</v>
      </c>
      <c r="Y337" s="1184">
        <f>Y320*Elasticities!$J$103</f>
        <v>67.189176930031294</v>
      </c>
      <c r="Z337" s="1184">
        <f>Z320*Elasticities!$J$103</f>
        <v>65.058513692290532</v>
      </c>
      <c r="AA337" s="1184">
        <f>AA320*Elasticities!$J$103</f>
        <v>46.236369391524221</v>
      </c>
      <c r="AB337" s="1184">
        <f>AB320*Elasticities!$J$103</f>
        <v>40.751055827984949</v>
      </c>
      <c r="AC337" s="1184">
        <f>AC320*Elasticities!$J$103</f>
        <v>47.212087670018946</v>
      </c>
      <c r="AD337" s="1184">
        <f>AD320*Elasticities!$J$103</f>
        <v>63.864933426325862</v>
      </c>
      <c r="AE337" s="1184">
        <f>AE320*Elasticities!$J$103</f>
        <v>75.521353318919068</v>
      </c>
      <c r="AF337" s="1184">
        <f>AF320*Elasticities!$J$103</f>
        <v>88.886919467299577</v>
      </c>
      <c r="AG337" s="1184">
        <f>AG320*Elasticities!$J$103</f>
        <v>93.311465649534213</v>
      </c>
      <c r="AH337" s="1184">
        <f>AH320*Elasticities!$J$103</f>
        <v>67.487588067781502</v>
      </c>
      <c r="AI337" s="1184">
        <f>AI320*Elasticities!$J$103</f>
        <v>45.009875187057162</v>
      </c>
      <c r="AJ337" s="1184">
        <f>AJ320*Elasticities!$J$103</f>
        <v>36.555300089363634</v>
      </c>
      <c r="AK337" s="1184">
        <f>AK320*Elasticities!$J$103</f>
        <v>25.4255032128087</v>
      </c>
      <c r="AL337" s="1184">
        <f>AL320*Elasticities!$J$103</f>
        <v>23.794848986145269</v>
      </c>
      <c r="AM337" s="1184">
        <f>AM320*Elasticities!$J$103</f>
        <v>15.426968688186756</v>
      </c>
      <c r="AN337" s="1184">
        <f>SUM(P337:AM337)</f>
        <v>883.88776007970921</v>
      </c>
    </row>
    <row r="338" spans="2:42" ht="14.1" customHeight="1">
      <c r="B338" s="265" t="str">
        <f>CONCATENATE("Applies cross-elasticity from autos to transit in Row ",Elasticities!O103, " of 'Elasticities' worksheet to increase in work trips in Row ",O320, ".")</f>
        <v>Applies cross-elasticity from autos to transit in Row 103 of 'Elasticities' worksheet to increase in work trips in Row 320.</v>
      </c>
      <c r="O338" s="21">
        <f>ROW()</f>
        <v>338</v>
      </c>
      <c r="P338" s="1184"/>
      <c r="Q338" s="1184"/>
      <c r="R338" s="1184"/>
      <c r="S338" s="1184"/>
      <c r="T338" s="1184"/>
      <c r="U338" s="1184"/>
      <c r="V338" s="1184"/>
      <c r="W338" s="1184"/>
      <c r="X338" s="1184"/>
      <c r="Y338" s="1184"/>
      <c r="Z338" s="1184"/>
      <c r="AA338" s="1184"/>
      <c r="AB338" s="1184"/>
      <c r="AC338" s="1184"/>
      <c r="AD338" s="1184"/>
      <c r="AE338" s="1184"/>
      <c r="AF338" s="1184"/>
      <c r="AG338" s="1184"/>
      <c r="AH338" s="1184"/>
      <c r="AI338" s="1184"/>
      <c r="AJ338" s="1184"/>
      <c r="AK338" s="1184"/>
      <c r="AL338" s="1184"/>
      <c r="AM338" s="1184"/>
      <c r="AN338" s="1184"/>
    </row>
    <row r="339" spans="2:42" ht="14.1" customHeight="1">
      <c r="B339" t="s">
        <v>2225</v>
      </c>
      <c r="O339" s="21">
        <f>ROW()</f>
        <v>339</v>
      </c>
      <c r="P339" s="1184">
        <f>P335/Taxis!$L$77</f>
        <v>3.5794998535202676</v>
      </c>
      <c r="Q339" s="1184">
        <f>Q335/Taxis!$L$77</f>
        <v>1.5802757956248035</v>
      </c>
      <c r="R339" s="1184">
        <f>R335/Taxis!$L$77</f>
        <v>1.2524192769992608</v>
      </c>
      <c r="S339" s="1184">
        <f>S335/Taxis!$L$77</f>
        <v>1.1491573813691687</v>
      </c>
      <c r="T339" s="1184">
        <f>T335/Taxis!$L$77</f>
        <v>5.3574791534868522</v>
      </c>
      <c r="U339" s="1184">
        <f>U335/Taxis!$L$77</f>
        <v>41.610856014083225</v>
      </c>
      <c r="V339" s="1184">
        <f>V335/Taxis!$L$77</f>
        <v>157.35076852185131</v>
      </c>
      <c r="W339" s="1184">
        <f>W335/Taxis!$L$77</f>
        <v>351.97470195541371</v>
      </c>
      <c r="X339" s="1184">
        <f>X335/Taxis!$L$77</f>
        <v>601.90767358170342</v>
      </c>
      <c r="Y339" s="1184">
        <f>Y335/Taxis!$L$77</f>
        <v>321.21087805677752</v>
      </c>
      <c r="Z339" s="1184">
        <f>Z335/Taxis!$L$77</f>
        <v>116.6343111141891</v>
      </c>
      <c r="AA339" s="1184">
        <f>AA335/Taxis!$L$77</f>
        <v>82.890720773423553</v>
      </c>
      <c r="AB339" s="1184">
        <f>AB335/Taxis!$L$77</f>
        <v>73.056869177079236</v>
      </c>
      <c r="AC339" s="1184">
        <f>AC335/Taxis!$L$77</f>
        <v>68.965884880412645</v>
      </c>
      <c r="AD339" s="1184">
        <f>AD335/Taxis!$L$77</f>
        <v>62.451549802444923</v>
      </c>
      <c r="AE339" s="1184">
        <f>AE335/Taxis!$L$77</f>
        <v>73.850003513827318</v>
      </c>
      <c r="AF339" s="1184">
        <f>AF335/Taxis!$L$77</f>
        <v>86.919778665419102</v>
      </c>
      <c r="AG339" s="1184">
        <f>AG335/Taxis!$L$77</f>
        <v>91.24640599325943</v>
      </c>
      <c r="AH339" s="1184">
        <f>AH335/Taxis!$L$77</f>
        <v>65.994032110344207</v>
      </c>
      <c r="AI339" s="1184">
        <f>AI335/Taxis!$L$77</f>
        <v>44.013769545207566</v>
      </c>
      <c r="AJ339" s="1184">
        <f>AJ335/Taxis!$L$77</f>
        <v>29.126615763233207</v>
      </c>
      <c r="AK339" s="1184">
        <f>AK335/Taxis!$L$77</f>
        <v>16.36270787838502</v>
      </c>
      <c r="AL339" s="1184">
        <f>AL335/Taxis!$L$77</f>
        <v>12.188130618589318</v>
      </c>
      <c r="AM339" s="1184">
        <f>AM335/Taxis!$L$77</f>
        <v>5.8224957435996254</v>
      </c>
      <c r="AN339" s="1184">
        <f>SUM(P339:AM339)</f>
        <v>2316.496985170244</v>
      </c>
    </row>
    <row r="340" spans="2:42" ht="14.1" customHeight="1">
      <c r="B340" s="265" t="s">
        <v>2224</v>
      </c>
      <c r="O340" s="21">
        <f>ROW()</f>
        <v>340</v>
      </c>
      <c r="P340" s="1184"/>
      <c r="Q340" s="1184"/>
      <c r="R340" s="1184"/>
      <c r="S340" s="1184"/>
      <c r="T340" s="1184"/>
      <c r="U340" s="1184"/>
      <c r="V340" s="1184"/>
      <c r="W340" s="1184"/>
      <c r="X340" s="1184"/>
      <c r="Y340" s="1184"/>
      <c r="Z340" s="1184"/>
      <c r="AA340" s="1184"/>
      <c r="AB340" s="1184"/>
      <c r="AC340" s="1184"/>
      <c r="AD340" s="1184"/>
      <c r="AE340" s="1184"/>
      <c r="AF340" s="1184"/>
      <c r="AG340" s="1184"/>
      <c r="AH340" s="1184"/>
      <c r="AI340" s="1184"/>
      <c r="AJ340" s="1184"/>
      <c r="AK340" s="1184"/>
      <c r="AL340" s="1184"/>
      <c r="AM340" s="1184"/>
      <c r="AN340" s="1184"/>
    </row>
    <row r="341" spans="2:42" ht="14.1" customHeight="1">
      <c r="B341" t="s">
        <v>2226</v>
      </c>
      <c r="O341" s="21">
        <f>ROW()</f>
        <v>341</v>
      </c>
      <c r="P341" s="1184">
        <f>P337/Taxis!$L$77</f>
        <v>6.7743203738617339</v>
      </c>
      <c r="Q341" s="1184">
        <f>Q337/Taxis!$L$77</f>
        <v>2.9907235526475917</v>
      </c>
      <c r="R341" s="1184">
        <f>R337/Taxis!$L$77</f>
        <v>2.3702443838485934</v>
      </c>
      <c r="S341" s="1184">
        <f>S337/Taxis!$L$77</f>
        <v>2.1748178739906407</v>
      </c>
      <c r="T341" s="1184">
        <f>T337/Taxis!$L$77</f>
        <v>3.2018539784762732</v>
      </c>
      <c r="U341" s="1184">
        <f>U337/Taxis!$L$77</f>
        <v>6.2170976806220191</v>
      </c>
      <c r="V341" s="1184">
        <f>V337/Taxis!$L$77</f>
        <v>4.9494426858737883</v>
      </c>
      <c r="W341" s="1184">
        <f>W337/Taxis!$L$77</f>
        <v>11.071306677246424</v>
      </c>
      <c r="X341" s="1184">
        <f>X337/Taxis!$L$77</f>
        <v>18.932907418031213</v>
      </c>
      <c r="Y341" s="1184">
        <f>Y337/Taxis!$L$77</f>
        <v>47.992269235736643</v>
      </c>
      <c r="Z341" s="1184">
        <f>Z337/Taxis!$L$77</f>
        <v>46.470366923064667</v>
      </c>
      <c r="AA341" s="1184">
        <f>AA337/Taxis!$L$77</f>
        <v>33.025978136803019</v>
      </c>
      <c r="AB341" s="1184">
        <f>AB337/Taxis!$L$77</f>
        <v>29.107897019989252</v>
      </c>
      <c r="AC341" s="1184">
        <f>AC337/Taxis!$L$77</f>
        <v>33.722919764299249</v>
      </c>
      <c r="AD341" s="1184">
        <f>AD337/Taxis!$L$77</f>
        <v>45.61780959023276</v>
      </c>
      <c r="AE341" s="1184">
        <f>AE337/Taxis!$L$77</f>
        <v>53.943823799227907</v>
      </c>
      <c r="AF341" s="1184">
        <f>AF337/Taxis!$L$77</f>
        <v>63.490656762356842</v>
      </c>
      <c r="AG341" s="1184">
        <f>AG337/Taxis!$L$77</f>
        <v>66.651046892524448</v>
      </c>
      <c r="AH341" s="1184">
        <f>AH337/Taxis!$L$77</f>
        <v>48.205420048415363</v>
      </c>
      <c r="AI341" s="1184">
        <f>AI337/Taxis!$L$77</f>
        <v>32.149910847897978</v>
      </c>
      <c r="AJ341" s="1184">
        <f>AJ337/Taxis!$L$77</f>
        <v>26.110928635259739</v>
      </c>
      <c r="AK341" s="1184">
        <f>AK337/Taxis!$L$77</f>
        <v>18.161073723434786</v>
      </c>
      <c r="AL341" s="1184">
        <f>AL337/Taxis!$L$77</f>
        <v>16.996320704389479</v>
      </c>
      <c r="AM341" s="1184">
        <f>AM337/Taxis!$L$77</f>
        <v>11.019263348704827</v>
      </c>
      <c r="AN341" s="1184">
        <f>SUM(P341:AM341)</f>
        <v>631.34840005693525</v>
      </c>
    </row>
    <row r="342" spans="2:42" ht="14.1" customHeight="1">
      <c r="B342" s="265" t="s">
        <v>2224</v>
      </c>
      <c r="O342" s="21">
        <f>ROW()</f>
        <v>342</v>
      </c>
      <c r="P342" s="1184"/>
      <c r="Q342" s="1184"/>
      <c r="R342" s="1184"/>
      <c r="S342" s="1184"/>
      <c r="T342" s="1184"/>
      <c r="U342" s="1184"/>
      <c r="V342" s="1184"/>
      <c r="W342" s="1184"/>
      <c r="X342" s="1184"/>
      <c r="Y342" s="1184"/>
      <c r="Z342" s="1184"/>
      <c r="AA342" s="1184"/>
      <c r="AB342" s="1184"/>
      <c r="AC342" s="1184"/>
      <c r="AD342" s="1184"/>
      <c r="AE342" s="1184"/>
      <c r="AF342" s="1184"/>
      <c r="AG342" s="1184"/>
      <c r="AH342" s="1184"/>
      <c r="AI342" s="1184"/>
      <c r="AJ342" s="1184"/>
      <c r="AK342" s="1184"/>
      <c r="AL342" s="1184"/>
      <c r="AM342" s="1184"/>
      <c r="AN342" s="1184"/>
    </row>
    <row r="343" spans="2:42" ht="14.1" customHeight="1">
      <c r="B343" t="s">
        <v>2227</v>
      </c>
      <c r="O343" s="21">
        <f>ROW()</f>
        <v>343</v>
      </c>
      <c r="P343" s="1184">
        <f t="shared" ref="P343:AM343" si="79">P339+P341</f>
        <v>10.353820227382002</v>
      </c>
      <c r="Q343" s="1184">
        <f t="shared" si="79"/>
        <v>4.5709993482723954</v>
      </c>
      <c r="R343" s="1184">
        <f t="shared" si="79"/>
        <v>3.622663660847854</v>
      </c>
      <c r="S343" s="1184">
        <f t="shared" si="79"/>
        <v>3.3239752553598096</v>
      </c>
      <c r="T343" s="1184">
        <f t="shared" si="79"/>
        <v>8.5593331319631254</v>
      </c>
      <c r="U343" s="1184">
        <f t="shared" si="79"/>
        <v>47.827953694705243</v>
      </c>
      <c r="V343" s="1184">
        <f t="shared" si="79"/>
        <v>162.30021120772508</v>
      </c>
      <c r="W343" s="1184">
        <f t="shared" si="79"/>
        <v>363.04600863266012</v>
      </c>
      <c r="X343" s="1184">
        <f t="shared" si="79"/>
        <v>620.84058099973458</v>
      </c>
      <c r="Y343" s="1184">
        <f t="shared" si="79"/>
        <v>369.20314729251413</v>
      </c>
      <c r="Z343" s="1184">
        <f t="shared" si="79"/>
        <v>163.10467803725376</v>
      </c>
      <c r="AA343" s="1184">
        <f t="shared" si="79"/>
        <v>115.91669891022657</v>
      </c>
      <c r="AB343" s="1184">
        <f t="shared" si="79"/>
        <v>102.16476619706849</v>
      </c>
      <c r="AC343" s="1184">
        <f t="shared" si="79"/>
        <v>102.68880464471189</v>
      </c>
      <c r="AD343" s="1184">
        <f t="shared" si="79"/>
        <v>108.06935939267768</v>
      </c>
      <c r="AE343" s="1184">
        <f t="shared" si="79"/>
        <v>127.79382731305523</v>
      </c>
      <c r="AF343" s="1184">
        <f t="shared" si="79"/>
        <v>150.41043542777595</v>
      </c>
      <c r="AG343" s="1184">
        <f t="shared" si="79"/>
        <v>157.89745288578388</v>
      </c>
      <c r="AH343" s="1184">
        <f t="shared" si="79"/>
        <v>114.19945215875957</v>
      </c>
      <c r="AI343" s="1184">
        <f t="shared" si="79"/>
        <v>76.163680393105551</v>
      </c>
      <c r="AJ343" s="1184">
        <f t="shared" si="79"/>
        <v>55.237544398492943</v>
      </c>
      <c r="AK343" s="1184">
        <f t="shared" si="79"/>
        <v>34.523781601819806</v>
      </c>
      <c r="AL343" s="1184">
        <f t="shared" si="79"/>
        <v>29.184451322978795</v>
      </c>
      <c r="AM343" s="1184">
        <f t="shared" si="79"/>
        <v>16.841759092304454</v>
      </c>
      <c r="AN343" s="1184">
        <f>SUM(P343:AM343)</f>
        <v>2947.8453852271791</v>
      </c>
    </row>
    <row r="344" spans="2:42" ht="14.1" customHeight="1">
      <c r="O344" s="21">
        <f>ROW()</f>
        <v>344</v>
      </c>
      <c r="P344" s="1184"/>
      <c r="Q344" s="1184"/>
      <c r="R344" s="1184"/>
      <c r="S344" s="1184"/>
      <c r="T344" s="1184"/>
      <c r="U344" s="1184"/>
      <c r="V344" s="1184"/>
      <c r="W344" s="1184"/>
      <c r="X344" s="1184"/>
      <c r="Y344" s="1184"/>
      <c r="Z344" s="1184"/>
      <c r="AA344" s="1184"/>
      <c r="AB344" s="1184"/>
      <c r="AC344" s="1184"/>
      <c r="AD344" s="1184"/>
      <c r="AE344" s="1184"/>
      <c r="AF344" s="1184"/>
      <c r="AG344" s="1184"/>
      <c r="AH344" s="1184"/>
      <c r="AI344" s="1184"/>
      <c r="AJ344" s="1184"/>
      <c r="AK344" s="1184"/>
      <c r="AL344" s="1184"/>
      <c r="AM344" s="1184"/>
      <c r="AN344" s="1184"/>
    </row>
    <row r="345" spans="2:42" ht="14.1" customHeight="1">
      <c r="B345" s="24" t="s">
        <v>2230</v>
      </c>
      <c r="C345" s="24"/>
      <c r="D345" s="24"/>
      <c r="E345" s="24"/>
      <c r="F345" s="24"/>
      <c r="G345" s="24"/>
      <c r="H345" s="24"/>
      <c r="I345" s="24"/>
      <c r="J345" s="24"/>
      <c r="K345" s="24"/>
      <c r="L345" s="24"/>
      <c r="M345" s="24"/>
      <c r="O345" s="21">
        <f>ROW()</f>
        <v>345</v>
      </c>
      <c r="P345" s="175"/>
      <c r="Q345" s="175"/>
      <c r="R345" s="175"/>
      <c r="S345" s="175"/>
      <c r="T345" s="175"/>
      <c r="U345" s="175"/>
      <c r="V345" s="175"/>
      <c r="W345" s="175"/>
      <c r="X345" s="175"/>
      <c r="Y345" s="175"/>
      <c r="Z345" s="175"/>
      <c r="AA345" s="175"/>
      <c r="AB345" s="175"/>
      <c r="AC345" s="175"/>
      <c r="AD345" s="175"/>
      <c r="AE345" s="175"/>
      <c r="AF345" s="175"/>
      <c r="AG345" s="175"/>
      <c r="AH345" s="175"/>
      <c r="AI345" s="175"/>
      <c r="AJ345" s="175"/>
      <c r="AK345" s="175"/>
    </row>
    <row r="346" spans="2:42" ht="14.1" customHeight="1">
      <c r="B346" s="165"/>
      <c r="C346" s="165"/>
      <c r="D346" s="165"/>
      <c r="E346" s="165"/>
      <c r="F346" s="165"/>
      <c r="G346" s="165"/>
      <c r="H346" s="165"/>
      <c r="I346" s="165"/>
      <c r="J346" s="165"/>
      <c r="K346" s="165"/>
      <c r="L346" s="165"/>
      <c r="M346" s="165"/>
      <c r="O346" s="21">
        <f>ROW()</f>
        <v>346</v>
      </c>
      <c r="P346" s="175"/>
      <c r="Q346" s="175"/>
      <c r="R346" s="175"/>
      <c r="S346" s="175"/>
      <c r="T346" s="175"/>
      <c r="U346" s="175"/>
      <c r="V346" s="175"/>
      <c r="W346" s="175"/>
      <c r="X346" s="175"/>
      <c r="Y346" s="175"/>
      <c r="Z346" s="175"/>
      <c r="AA346" s="175"/>
      <c r="AB346" s="175"/>
      <c r="AC346" s="175"/>
      <c r="AD346" s="175"/>
      <c r="AE346" s="175"/>
      <c r="AF346" s="175"/>
      <c r="AG346" s="175"/>
      <c r="AH346" s="175"/>
      <c r="AI346" s="175"/>
      <c r="AJ346" s="175"/>
      <c r="AK346" s="175"/>
      <c r="AL346" s="175"/>
      <c r="AM346" s="175"/>
    </row>
    <row r="347" spans="2:42" ht="14.1" customHeight="1">
      <c r="B347" s="2" t="s">
        <v>3046</v>
      </c>
      <c r="O347" s="21">
        <f>ROW()</f>
        <v>347</v>
      </c>
      <c r="P347" s="175"/>
      <c r="Q347" s="175"/>
      <c r="R347" s="175"/>
      <c r="S347" s="175"/>
      <c r="T347" s="175"/>
      <c r="U347" s="175"/>
      <c r="V347" s="175"/>
      <c r="W347" s="175"/>
      <c r="X347" s="175"/>
      <c r="Y347" s="175"/>
      <c r="Z347" s="175"/>
      <c r="AA347" s="175"/>
      <c r="AB347" s="175"/>
      <c r="AC347" s="175"/>
      <c r="AD347" s="175"/>
      <c r="AE347" s="175"/>
      <c r="AF347" s="175"/>
      <c r="AG347" s="175"/>
      <c r="AH347" s="175"/>
      <c r="AI347" s="175"/>
      <c r="AJ347" s="175"/>
      <c r="AK347" s="175"/>
      <c r="AL347" s="175"/>
      <c r="AM347" s="175"/>
      <c r="AN347" s="196"/>
      <c r="AO347" s="196"/>
      <c r="AP347" s="196"/>
    </row>
    <row r="348" spans="2:42" ht="14.1" customHeight="1">
      <c r="B348" t="s">
        <v>1857</v>
      </c>
      <c r="K348" s="4767" t="s">
        <v>1627</v>
      </c>
      <c r="L348" s="3678"/>
      <c r="M348" s="3678"/>
      <c r="N348" s="3679"/>
      <c r="O348" s="21">
        <f>ROW()</f>
        <v>348</v>
      </c>
      <c r="P348" s="4748">
        <f ca="1">'Motor Vs'!P891</f>
        <v>348.54417368715622</v>
      </c>
      <c r="Q348" s="4749"/>
      <c r="R348" s="4749"/>
      <c r="S348" s="4749"/>
      <c r="T348" s="4750"/>
      <c r="U348" s="1862">
        <f ca="1">'Motor Vs'!Q891</f>
        <v>-3743.7440800896948</v>
      </c>
      <c r="V348" s="4748">
        <f ca="1">'Motor Vs'!R891</f>
        <v>-17733.063303068397</v>
      </c>
      <c r="W348" s="4749"/>
      <c r="X348" s="4750"/>
      <c r="Y348" s="1862">
        <f ca="1">'Motor Vs'!S891</f>
        <v>-4358.1337599431445</v>
      </c>
      <c r="Z348" s="4748">
        <f ca="1">'Motor Vs'!T891</f>
        <v>-8420.3033901557428</v>
      </c>
      <c r="AA348" s="4749"/>
      <c r="AB348" s="4749"/>
      <c r="AC348" s="4750"/>
      <c r="AD348" s="4748">
        <f ca="1">'Motor Vs'!U891</f>
        <v>-13736.391637758476</v>
      </c>
      <c r="AE348" s="4749"/>
      <c r="AF348" s="4749"/>
      <c r="AG348" s="4749"/>
      <c r="AH348" s="4749"/>
      <c r="AI348" s="4750"/>
      <c r="AJ348" s="4748">
        <f ca="1">'Motor Vs'!V891</f>
        <v>-3924.5117671843491</v>
      </c>
      <c r="AK348" s="4749"/>
      <c r="AL348" s="4750"/>
      <c r="AM348" s="1184">
        <f ca="1">'Motor Vs'!P891</f>
        <v>348.54417368715622</v>
      </c>
      <c r="AN348" s="1184">
        <f ca="1">P348+U348+V348+Y348+Z348+AD348+AJ348</f>
        <v>-51567.603764512642</v>
      </c>
      <c r="AO348" s="509"/>
    </row>
    <row r="349" spans="2:42" ht="14.1" customHeight="1">
      <c r="B349" s="265" t="str">
        <f>CONCATENATE("From Motor Vehicles worksheet, Row ",'Motor Vs'!O891,", grouped by time bins.")</f>
        <v>From Motor Vehicles worksheet, Row 891, grouped by time bins.</v>
      </c>
      <c r="K349" s="3680"/>
      <c r="L349" s="3681"/>
      <c r="M349" s="3681"/>
      <c r="N349" s="3682"/>
      <c r="O349" s="21">
        <f>ROW()</f>
        <v>349</v>
      </c>
      <c r="P349" s="1184"/>
      <c r="Q349" s="1184"/>
      <c r="R349" s="1184"/>
      <c r="S349" s="1184"/>
      <c r="T349" s="1184"/>
      <c r="U349" s="1184"/>
      <c r="V349" s="1184"/>
      <c r="W349" s="1184"/>
      <c r="X349" s="1184"/>
      <c r="Y349" s="1184"/>
      <c r="Z349" s="1184"/>
      <c r="AA349" s="1184"/>
      <c r="AB349" s="1184"/>
      <c r="AC349" s="1184"/>
      <c r="AD349" s="1184"/>
      <c r="AE349" s="1184"/>
      <c r="AF349" s="1184"/>
      <c r="AG349" s="1184"/>
      <c r="AH349" s="1184"/>
      <c r="AI349" s="1184"/>
      <c r="AJ349" s="1184"/>
      <c r="AK349" s="1184"/>
      <c r="AL349" s="1184"/>
      <c r="AM349" s="1184"/>
      <c r="AN349" s="1184"/>
    </row>
    <row r="350" spans="2:42" ht="14.1" customHeight="1">
      <c r="B350" t="s">
        <v>1858</v>
      </c>
      <c r="K350" s="3680"/>
      <c r="L350" s="3681"/>
      <c r="M350" s="3681"/>
      <c r="N350" s="3682"/>
      <c r="O350" s="21">
        <f>ROW()</f>
        <v>350</v>
      </c>
      <c r="P350" s="4748">
        <f ca="1">P348*H.I.S.!$G$128</f>
        <v>400.82579974022963</v>
      </c>
      <c r="Q350" s="4749"/>
      <c r="R350" s="4749">
        <f ca="1">P348/H.I.S.!$G$128</f>
        <v>303.08189016274457</v>
      </c>
      <c r="S350" s="4749"/>
      <c r="T350" s="4750"/>
      <c r="U350" s="1862">
        <f ca="1">U348*H.I.S.!$G$128</f>
        <v>-4305.3056921031484</v>
      </c>
      <c r="V350" s="4748">
        <f ca="1">V348*H.I.S.!$G$128</f>
        <v>-20393.022798528655</v>
      </c>
      <c r="W350" s="4749"/>
      <c r="X350" s="4750"/>
      <c r="Y350" s="1862">
        <f ca="1">Y348*H.I.S.!$G$128</f>
        <v>-5011.8538239346153</v>
      </c>
      <c r="Z350" s="4748">
        <f ca="1">Z348*H.I.S.!$G$128</f>
        <v>-9683.3488986791035</v>
      </c>
      <c r="AA350" s="4749"/>
      <c r="AB350" s="4749"/>
      <c r="AC350" s="4750"/>
      <c r="AD350" s="4748">
        <f ca="1">AD348*H.I.S.!$G$128</f>
        <v>-15796.850383422247</v>
      </c>
      <c r="AE350" s="4749"/>
      <c r="AF350" s="4749"/>
      <c r="AG350" s="4749"/>
      <c r="AH350" s="4749"/>
      <c r="AI350" s="4750"/>
      <c r="AJ350" s="4748">
        <f ca="1">AJ348*H.I.S.!$G$128</f>
        <v>-4513.188532262001</v>
      </c>
      <c r="AK350" s="4749"/>
      <c r="AL350" s="4750"/>
      <c r="AM350" s="1184">
        <f ca="1">AM348*H.I.S.!$G$128</f>
        <v>400.82579974022963</v>
      </c>
      <c r="AN350" s="1863">
        <f ca="1">P350+U350+V350+Y350+Z350+AD350+AJ350</f>
        <v>-59302.74432918954</v>
      </c>
      <c r="AO350" s="4757" t="s">
        <v>3047</v>
      </c>
    </row>
    <row r="351" spans="2:42" ht="14.1" customHeight="1">
      <c r="B351" s="265" t="s">
        <v>2424</v>
      </c>
      <c r="K351" s="3680"/>
      <c r="L351" s="3681"/>
      <c r="M351" s="3681"/>
      <c r="N351" s="3682"/>
      <c r="O351" s="21">
        <f>ROW()</f>
        <v>351</v>
      </c>
      <c r="P351" s="1184"/>
      <c r="Q351" s="1184"/>
      <c r="R351" s="1184"/>
      <c r="S351" s="1184"/>
      <c r="T351" s="1184"/>
      <c r="U351" s="1184"/>
      <c r="V351" s="1184"/>
      <c r="W351" s="1184"/>
      <c r="X351" s="1184"/>
      <c r="Y351" s="1184"/>
      <c r="Z351" s="1184"/>
      <c r="AA351" s="1184"/>
      <c r="AB351" s="1184"/>
      <c r="AC351" s="1184"/>
      <c r="AD351" s="1184"/>
      <c r="AE351" s="1184"/>
      <c r="AF351" s="1184"/>
      <c r="AG351" s="1184"/>
      <c r="AH351" s="1184"/>
      <c r="AI351" s="1184"/>
      <c r="AJ351" s="1184"/>
      <c r="AK351" s="1184"/>
      <c r="AL351" s="1184"/>
      <c r="AM351" s="1184"/>
      <c r="AN351" s="1184"/>
      <c r="AO351" s="4758"/>
    </row>
    <row r="352" spans="2:42" ht="14.1" customHeight="1">
      <c r="B352" t="s">
        <v>2495</v>
      </c>
      <c r="K352" s="3680"/>
      <c r="L352" s="3681"/>
      <c r="M352" s="3681"/>
      <c r="N352" s="3682"/>
      <c r="O352" s="21">
        <f>ROW()</f>
        <v>352</v>
      </c>
      <c r="P352" s="4748">
        <f ca="1">'Motor Vs'!Y891</f>
        <v>-2065.3839566507595</v>
      </c>
      <c r="Q352" s="4749"/>
      <c r="R352" s="4749"/>
      <c r="S352" s="4749"/>
      <c r="T352" s="4750"/>
      <c r="U352" s="1862">
        <f ca="1">'Motor Vs'!Z891</f>
        <v>-655.25572774466764</v>
      </c>
      <c r="V352" s="4748">
        <f ca="1">'Motor Vs'!AA891</f>
        <v>-2373.0660687164636</v>
      </c>
      <c r="W352" s="4749"/>
      <c r="X352" s="4750"/>
      <c r="Y352" s="1862">
        <f ca="1">'Motor Vs'!AB891</f>
        <v>-1482.6597760109335</v>
      </c>
      <c r="Z352" s="4748">
        <f ca="1">'Motor Vs'!AC891</f>
        <v>-2894.6039229146954</v>
      </c>
      <c r="AA352" s="4749"/>
      <c r="AB352" s="4749"/>
      <c r="AC352" s="4750"/>
      <c r="AD352" s="4748">
        <f ca="1">'Motor Vs'!AD891</f>
        <v>-13071.833922766964</v>
      </c>
      <c r="AE352" s="4749"/>
      <c r="AF352" s="4749"/>
      <c r="AG352" s="4749"/>
      <c r="AH352" s="4749"/>
      <c r="AI352" s="4750"/>
      <c r="AJ352" s="4748">
        <f ca="1">'Motor Vs'!AE891</f>
        <v>-4935.680019282936</v>
      </c>
      <c r="AK352" s="4749"/>
      <c r="AL352" s="4750"/>
      <c r="AM352" s="1184">
        <f ca="1">'Motor Vs'!Y891</f>
        <v>-2065.3839566507595</v>
      </c>
      <c r="AN352" s="1184">
        <f ca="1">P352+U352+V352+Y352+Z352+AD352+AJ352</f>
        <v>-27478.48339408742</v>
      </c>
      <c r="AO352" s="4758"/>
    </row>
    <row r="353" spans="2:41" ht="14.1" customHeight="1">
      <c r="B353" s="265" t="str">
        <f>CONCATENATE("From Motor Vehicles worksheet, Row ",'Motor Vs'!O891, ", grouped by time bins.")</f>
        <v>From Motor Vehicles worksheet, Row 891, grouped by time bins.</v>
      </c>
      <c r="K353" s="3680"/>
      <c r="L353" s="3681"/>
      <c r="M353" s="3681"/>
      <c r="N353" s="3682"/>
      <c r="O353" s="21">
        <f>ROW()</f>
        <v>353</v>
      </c>
      <c r="P353" s="1184"/>
      <c r="Q353" s="1184"/>
      <c r="R353" s="1184"/>
      <c r="S353" s="1184"/>
      <c r="T353" s="1184"/>
      <c r="U353" s="1184"/>
      <c r="V353" s="1184"/>
      <c r="W353" s="1184"/>
      <c r="X353" s="1184"/>
      <c r="Y353" s="1184"/>
      <c r="Z353" s="1184"/>
      <c r="AA353" s="1184"/>
      <c r="AB353" s="1184"/>
      <c r="AC353" s="1184"/>
      <c r="AD353" s="1184"/>
      <c r="AE353" s="1184"/>
      <c r="AF353" s="1184"/>
      <c r="AG353" s="1184"/>
      <c r="AH353" s="1184"/>
      <c r="AI353" s="1184"/>
      <c r="AJ353" s="1184"/>
      <c r="AK353" s="1184"/>
      <c r="AL353" s="1184"/>
      <c r="AM353" s="1184"/>
      <c r="AN353" s="1184"/>
      <c r="AO353" s="4758"/>
    </row>
    <row r="354" spans="2:41" ht="14.1" customHeight="1">
      <c r="B354" t="s">
        <v>765</v>
      </c>
      <c r="K354" s="3683"/>
      <c r="L354" s="3684"/>
      <c r="M354" s="3684"/>
      <c r="N354" s="3685"/>
      <c r="O354" s="21">
        <f>ROW()</f>
        <v>354</v>
      </c>
      <c r="P354" s="4748">
        <f ca="1">P352*H.I.S.!$H$128</f>
        <v>-3098.0759349761393</v>
      </c>
      <c r="Q354" s="4749"/>
      <c r="R354" s="4749">
        <f ca="1">P352/H.I.S.!$G$128</f>
        <v>-1795.9860492615301</v>
      </c>
      <c r="S354" s="4749"/>
      <c r="T354" s="4750"/>
      <c r="U354" s="1862">
        <f ca="1">U352*H.I.S.!$H$128</f>
        <v>-982.88359161700146</v>
      </c>
      <c r="V354" s="4748">
        <f ca="1">V352*H.I.S.!$H$128</f>
        <v>-3559.5991030746954</v>
      </c>
      <c r="W354" s="4749"/>
      <c r="X354" s="4750"/>
      <c r="Y354" s="1862">
        <f ca="1">Y352*H.I.S.!$H$128</f>
        <v>-2223.9896640164002</v>
      </c>
      <c r="Z354" s="4748">
        <f ca="1">Z352*H.I.S.!$H$128</f>
        <v>-4341.9058843720431</v>
      </c>
      <c r="AA354" s="4749"/>
      <c r="AB354" s="4749"/>
      <c r="AC354" s="4750"/>
      <c r="AD354" s="4748">
        <f ca="1">AD352*H.I.S.!$H$128</f>
        <v>-19607.750884150446</v>
      </c>
      <c r="AE354" s="4749"/>
      <c r="AF354" s="4749"/>
      <c r="AG354" s="4749"/>
      <c r="AH354" s="4749"/>
      <c r="AI354" s="4750"/>
      <c r="AJ354" s="4748">
        <f ca="1">AJ352*H.I.S.!$H$128</f>
        <v>-7403.520028924404</v>
      </c>
      <c r="AK354" s="4749"/>
      <c r="AL354" s="4750"/>
      <c r="AM354" s="1184">
        <f ca="1">AM352*H.I.S.!$H$128</f>
        <v>-3098.0759349761393</v>
      </c>
      <c r="AN354" s="1864">
        <f ca="1">P354+U354+V354+Y354+Z354+AD354+AJ354</f>
        <v>-41217.725091131128</v>
      </c>
      <c r="AO354" s="4758"/>
    </row>
    <row r="355" spans="2:41" ht="14.1" customHeight="1">
      <c r="B355" s="265" t="s">
        <v>2424</v>
      </c>
      <c r="O355" s="21">
        <f>ROW()</f>
        <v>355</v>
      </c>
      <c r="P355" s="1184"/>
      <c r="Q355" s="1184"/>
      <c r="R355" s="1184"/>
      <c r="S355" s="1184"/>
      <c r="T355" s="1184"/>
      <c r="U355" s="1184"/>
      <c r="V355" s="1184"/>
      <c r="W355" s="1184"/>
      <c r="X355" s="1184"/>
      <c r="Y355" s="1184"/>
      <c r="Z355" s="1184"/>
      <c r="AA355" s="1184"/>
      <c r="AB355" s="1184"/>
      <c r="AC355" s="1184"/>
      <c r="AD355" s="1184"/>
      <c r="AE355" s="1184"/>
      <c r="AF355" s="1184"/>
      <c r="AG355" s="1184"/>
      <c r="AH355" s="1184"/>
      <c r="AI355" s="1184"/>
      <c r="AJ355" s="1184"/>
      <c r="AK355" s="1184"/>
      <c r="AL355" s="1184"/>
      <c r="AM355" s="1184"/>
      <c r="AN355" s="1184"/>
      <c r="AO355" s="4758"/>
    </row>
    <row r="356" spans="2:41" ht="14.1" customHeight="1">
      <c r="O356" s="21">
        <f>ROW()</f>
        <v>356</v>
      </c>
      <c r="P356" s="1184"/>
      <c r="Q356" s="1184"/>
      <c r="R356" s="1184"/>
      <c r="S356" s="1184"/>
      <c r="T356" s="1184"/>
      <c r="U356" s="1184"/>
      <c r="V356" s="1184"/>
      <c r="W356" s="1184"/>
      <c r="X356" s="1184"/>
      <c r="Y356" s="1184"/>
      <c r="Z356" s="1184"/>
      <c r="AA356" s="1184"/>
      <c r="AB356" s="1184"/>
      <c r="AC356" s="1184"/>
      <c r="AD356" s="1184"/>
      <c r="AE356" s="1184"/>
      <c r="AF356" s="1184"/>
      <c r="AG356" s="1184"/>
      <c r="AH356" s="1184"/>
      <c r="AI356" s="1184"/>
      <c r="AJ356" s="1184"/>
      <c r="AK356" s="1184"/>
      <c r="AL356" s="1184"/>
      <c r="AM356" s="1184"/>
      <c r="AN356" s="1184"/>
      <c r="AO356" s="4758"/>
    </row>
    <row r="357" spans="2:41" ht="14.1" customHeight="1">
      <c r="B357" s="2" t="s">
        <v>3049</v>
      </c>
      <c r="O357" s="21">
        <f>ROW()</f>
        <v>357</v>
      </c>
      <c r="P357" s="1184"/>
      <c r="Q357" s="1184"/>
      <c r="R357" s="1184"/>
      <c r="S357" s="1184"/>
      <c r="T357" s="1184"/>
      <c r="U357" s="1184"/>
      <c r="V357" s="1184"/>
      <c r="W357" s="1184"/>
      <c r="X357" s="1184"/>
      <c r="Y357" s="1184"/>
      <c r="Z357" s="1184"/>
      <c r="AA357" s="1184"/>
      <c r="AB357" s="1184"/>
      <c r="AC357" s="1184"/>
      <c r="AD357" s="1184"/>
      <c r="AE357" s="1184"/>
      <c r="AF357" s="1184"/>
      <c r="AG357" s="1184"/>
      <c r="AH357" s="1184"/>
      <c r="AI357" s="1184"/>
      <c r="AJ357" s="1184"/>
      <c r="AK357" s="1184"/>
      <c r="AL357" s="1184"/>
      <c r="AM357" s="1184"/>
      <c r="AN357" s="1184"/>
      <c r="AO357" s="4758"/>
    </row>
    <row r="358" spans="2:41" ht="14.1" customHeight="1">
      <c r="B358" t="s">
        <v>2350</v>
      </c>
      <c r="O358" s="21">
        <f>ROW()</f>
        <v>358</v>
      </c>
      <c r="P358" s="1184">
        <f ca="1">'Weekday Hours'!$T31/'Weekday Hours'!$T$62*Subways!$P$350</f>
        <v>78.586120045153834</v>
      </c>
      <c r="Q358" s="1184">
        <f ca="1">'Weekday Hours'!$T32/'Weekday Hours'!$T$62*Subways!$P$350</f>
        <v>50.972178328723885</v>
      </c>
      <c r="R358" s="1184">
        <f ca="1">'Weekday Hours'!$T33/'Weekday Hours'!$T$62*Subways!$P$350</f>
        <v>40.645835061335077</v>
      </c>
      <c r="S358" s="1184">
        <f ca="1">'Weekday Hours'!$T34/'Weekday Hours'!$T$62*Subways!$P$350</f>
        <v>43.394712453260027</v>
      </c>
      <c r="T358" s="1184">
        <f ca="1">'Weekday Hours'!$T35/'Weekday Hours'!$T$62*Subways!$P$350</f>
        <v>69.362216222162232</v>
      </c>
      <c r="U358" s="1184">
        <f ca="1">'Weekday Hours'!$T36/'Weekday Hours'!$T$63*Subways!$U$350</f>
        <v>-4305.3056921031484</v>
      </c>
      <c r="V358" s="1184">
        <f ca="1">'Weekday Hours'!$T37/'Weekday Hours'!$T$64*Subways!$V$350</f>
        <v>-6441.9762896817665</v>
      </c>
      <c r="W358" s="1184">
        <f ca="1">'Weekday Hours'!$T38/'Weekday Hours'!$T$64*Subways!$V$350</f>
        <v>-7186.8133323035681</v>
      </c>
      <c r="X358" s="1184">
        <f ca="1">'Weekday Hours'!$T39/'Weekday Hours'!$T$64*Subways!$V$350</f>
        <v>-6764.23317654332</v>
      </c>
      <c r="Y358" s="1184">
        <f ca="1">'Weekday Hours'!$T40/'Weekday Hours'!$T$65*Subways!$Y$350</f>
        <v>-5011.8538239346153</v>
      </c>
      <c r="Z358" s="1184">
        <f ca="1">'Weekday Hours'!$T41/'Weekday Hours'!$T$66*Subways!$Z$350</f>
        <v>-2598.4451223939272</v>
      </c>
      <c r="AA358" s="1184">
        <f ca="1">'Weekday Hours'!$T42/'Weekday Hours'!$T$66*Subways!$Z$350</f>
        <v>-2418.5943363667825</v>
      </c>
      <c r="AB358" s="1184">
        <f ca="1">'Weekday Hours'!$T43/'Weekday Hours'!$T$66*Subways!$Z$350</f>
        <v>-2320.0121814820091</v>
      </c>
      <c r="AC358" s="1184">
        <f ca="1">'Weekday Hours'!$T44/'Weekday Hours'!$T$66*Subways!$Z$350</f>
        <v>-2346.2972584363847</v>
      </c>
      <c r="AD358" s="1184">
        <f ca="1">'Weekday Hours'!$T45/'Weekday Hours'!$T$67*Subways!$AD$350</f>
        <v>-2550.7345279212964</v>
      </c>
      <c r="AE358" s="1184">
        <f ca="1">'Weekday Hours'!$T46/'Weekday Hours'!$T$67*Subways!$AD$350</f>
        <v>-2661.0396981875347</v>
      </c>
      <c r="AF358" s="1184">
        <f ca="1">'Weekday Hours'!$T47/'Weekday Hours'!$T$67*Subways!$AD$350</f>
        <v>-2731.0948230625054</v>
      </c>
      <c r="AG358" s="1184">
        <f ca="1">'Weekday Hours'!$T48/'Weekday Hours'!$T$67*Subways!$AD$350</f>
        <v>-2798.5123302840511</v>
      </c>
      <c r="AH358" s="1184">
        <f ca="1">'Weekday Hours'!$T49/'Weekday Hours'!$T$67*Subways!$AD$350</f>
        <v>-2669.1108082070155</v>
      </c>
      <c r="AI358" s="1184">
        <f ca="1">'Weekday Hours'!$T50/'Weekday Hours'!$T$67*Subways!$AD$350</f>
        <v>-2386.3581957598426</v>
      </c>
      <c r="AJ358" s="1184">
        <f ca="1">'Weekday Hours'!$T51/'Weekday Hours'!$T$68*Subways!$AJ$350</f>
        <v>-1632.9133053280584</v>
      </c>
      <c r="AK358" s="1184">
        <f ca="1">'Weekday Hours'!$T52/'Weekday Hours'!$T$68*Subways!$AJ$350</f>
        <v>-1491.735245791464</v>
      </c>
      <c r="AL358" s="1184">
        <f ca="1">'Weekday Hours'!$T53/'Weekday Hours'!$T$68*Subways!$AJ$350</f>
        <v>-1388.5399811424788</v>
      </c>
      <c r="AM358" s="1184">
        <f ca="1">'Weekday Hours'!$T54/'Weekday Hours'!$T$62*Subways!$AM$350</f>
        <v>117.86473762959453</v>
      </c>
      <c r="AN358" s="1863">
        <f ca="1">SUM(P358:AM358)</f>
        <v>-59302.744329189547</v>
      </c>
      <c r="AO358" s="4758"/>
    </row>
    <row r="359" spans="2:41" ht="14.1" customHeight="1">
      <c r="B359" s="265" t="str">
        <f>CONCATENATE("Pricing bins in Row ",O350, " are allocated to hour bins by prorating with %'s in array in 'By Hour' worksheet.")</f>
        <v>Pricing bins in Row 350 are allocated to hour bins by prorating with %'s in array in 'By Hour' worksheet.</v>
      </c>
      <c r="O359" s="21">
        <f>ROW()</f>
        <v>359</v>
      </c>
      <c r="P359" s="1184"/>
      <c r="Q359" s="1184"/>
      <c r="R359" s="1184"/>
      <c r="S359" s="1184"/>
      <c r="T359" s="1184"/>
      <c r="U359" s="1184"/>
      <c r="V359" s="1184"/>
      <c r="W359" s="1184"/>
      <c r="X359" s="1184"/>
      <c r="Y359" s="1184"/>
      <c r="Z359" s="1184"/>
      <c r="AA359" s="1184"/>
      <c r="AB359" s="1184"/>
      <c r="AC359" s="1184"/>
      <c r="AD359" s="1184"/>
      <c r="AE359" s="1184"/>
      <c r="AF359" s="1184"/>
      <c r="AG359" s="1184"/>
      <c r="AH359" s="1184"/>
      <c r="AI359" s="1184"/>
      <c r="AJ359" s="1184"/>
      <c r="AK359" s="1184"/>
      <c r="AL359" s="1184"/>
      <c r="AM359" s="1184"/>
      <c r="AN359" s="1184"/>
      <c r="AO359" s="4758"/>
    </row>
    <row r="360" spans="2:41" ht="14.1" customHeight="1">
      <c r="B360" t="s">
        <v>2472</v>
      </c>
      <c r="O360" s="21">
        <f>ROW()</f>
        <v>360</v>
      </c>
      <c r="P360" s="1184">
        <f ca="1">'Weekday Hours'!$U31/'Weekday Hours'!$U$62*Subways!$P$354</f>
        <v>-607.41041992013584</v>
      </c>
      <c r="Q360" s="1184">
        <f ca="1">'Weekday Hours'!$U32/'Weekday Hours'!$U$62*Subways!$P$354</f>
        <v>-393.97583472888977</v>
      </c>
      <c r="R360" s="1184">
        <f ca="1">'Weekday Hours'!$U33/'Weekday Hours'!$U$62*Subways!$P$354</f>
        <v>-314.16112321647307</v>
      </c>
      <c r="S360" s="1184">
        <f ca="1">'Weekday Hours'!$U34/'Weekday Hours'!$U$62*Subways!$P$354</f>
        <v>-335.40783663073398</v>
      </c>
      <c r="T360" s="1184">
        <f ca="1">'Weekday Hours'!$U35/'Weekday Hours'!$U$62*Subways!$P$354</f>
        <v>-536.11671956685348</v>
      </c>
      <c r="U360" s="1184">
        <f ca="1">'Weekday Hours'!$U36/'Weekday Hours'!$U$63*Subways!$U$354</f>
        <v>-982.88359161700146</v>
      </c>
      <c r="V360" s="1184">
        <f ca="1">'Weekday Hours'!$U37/'Weekday Hours'!$U$64*Subways!$V$354</f>
        <v>-1124.4460053481687</v>
      </c>
      <c r="W360" s="1184">
        <f ca="1">'Weekday Hours'!$U38/'Weekday Hours'!$U$64*Subways!$V$354</f>
        <v>-1254.4572006009219</v>
      </c>
      <c r="X360" s="1184">
        <f ca="1">'Weekday Hours'!$U39/'Weekday Hours'!$U$64*Subways!$V$354</f>
        <v>-1180.6958971256047</v>
      </c>
      <c r="Y360" s="1184">
        <f ca="1">'Weekday Hours'!$U40/'Weekday Hours'!$U$65*Subways!$Y$354</f>
        <v>-2223.9896640164002</v>
      </c>
      <c r="Z360" s="1184">
        <f ca="1">'Weekday Hours'!$U41/'Weekday Hours'!$U$66*Subways!$Z$354</f>
        <v>-1165.113875911155</v>
      </c>
      <c r="AA360" s="1184">
        <f ca="1">'Weekday Hours'!$U42/'Weekday Hours'!$U$66*Subways!$Z$354</f>
        <v>-1084.4707849380814</v>
      </c>
      <c r="AB360" s="1184">
        <f ca="1">'Weekday Hours'!$U43/'Weekday Hours'!$U$66*Subways!$Z$354</f>
        <v>-1040.2676437658506</v>
      </c>
      <c r="AC360" s="1184">
        <f ca="1">'Weekday Hours'!$U44/'Weekday Hours'!$U$66*Subways!$Z$354</f>
        <v>-1052.0535797569564</v>
      </c>
      <c r="AD360" s="1184">
        <f ca="1">'Weekday Hours'!$U45/'Weekday Hours'!$U$67*Subways!$AD$354</f>
        <v>-3166.0847562099111</v>
      </c>
      <c r="AE360" s="1184">
        <f ca="1">'Weekday Hours'!$U46/'Weekday Hours'!$U$67*Subways!$AD$354</f>
        <v>-3303.0004227711361</v>
      </c>
      <c r="AF360" s="1184">
        <f ca="1">'Weekday Hours'!$U47/'Weekday Hours'!$U$67*Subways!$AD$354</f>
        <v>-3389.9559489276676</v>
      </c>
      <c r="AG360" s="1184">
        <f ca="1">'Weekday Hours'!$U48/'Weekday Hours'!$U$67*Subways!$AD$354</f>
        <v>-3473.637547141559</v>
      </c>
      <c r="AH360" s="1184">
        <f ca="1">'Weekday Hours'!$U49/'Weekday Hours'!$U$67*Subways!$AD$354</f>
        <v>-3313.0186422756151</v>
      </c>
      <c r="AI360" s="1184">
        <f ca="1">'Weekday Hours'!$U50/'Weekday Hours'!$U$67*Subways!$AD$354</f>
        <v>-2962.0535668245552</v>
      </c>
      <c r="AJ360" s="1184">
        <f ca="1">'Weekday Hours'!$U51/'Weekday Hours'!$U$68*Subways!$AJ$354</f>
        <v>-2678.6619426763227</v>
      </c>
      <c r="AK360" s="1184">
        <f ca="1">'Weekday Hours'!$U52/'Weekday Hours'!$U$68*Subways!$AJ$354</f>
        <v>-2447.0707773721779</v>
      </c>
      <c r="AL360" s="1184">
        <f ca="1">'Weekday Hours'!$U53/'Weekday Hours'!$U$68*Subways!$AJ$354</f>
        <v>-2277.7873088759043</v>
      </c>
      <c r="AM360" s="1184">
        <f ca="1">'Weekday Hours'!$U54/'Weekday Hours'!$U$62*Subways!$AM$354</f>
        <v>-911.00400091305346</v>
      </c>
      <c r="AN360" s="1864">
        <f ca="1">SUM(P360:AM360)</f>
        <v>-41217.725091131135</v>
      </c>
      <c r="AO360" s="4759"/>
    </row>
    <row r="361" spans="2:41" ht="14.1" customHeight="1">
      <c r="B361" s="265" t="str">
        <f>CONCATENATE("Pricing bins in Row ",O354, " are allocated to hour bins by prorating with %'s in array in 'By Hour' worksheet.")</f>
        <v>Pricing bins in Row 354 are allocated to hour bins by prorating with %'s in array in 'By Hour' worksheet.</v>
      </c>
      <c r="O361" s="21">
        <f>ROW()</f>
        <v>361</v>
      </c>
      <c r="P361" s="1184"/>
      <c r="Q361" s="1184"/>
      <c r="R361" s="1184"/>
      <c r="S361" s="1184"/>
      <c r="T361" s="1184"/>
      <c r="U361" s="1184"/>
      <c r="V361" s="1184"/>
      <c r="W361" s="1184"/>
      <c r="X361" s="1184"/>
      <c r="Y361" s="1184"/>
      <c r="Z361" s="1184"/>
      <c r="AA361" s="1184"/>
      <c r="AB361" s="1184"/>
      <c r="AC361" s="1184"/>
      <c r="AD361" s="1184"/>
      <c r="AE361" s="1184"/>
      <c r="AF361" s="1184"/>
      <c r="AG361" s="1184"/>
      <c r="AH361" s="1184"/>
      <c r="AI361" s="1184"/>
      <c r="AJ361" s="1184"/>
      <c r="AK361" s="1184"/>
      <c r="AL361" s="1184"/>
      <c r="AM361" s="1184"/>
      <c r="AN361" s="1184"/>
    </row>
    <row r="362" spans="2:41" ht="14.1" customHeight="1">
      <c r="O362" s="21">
        <f>ROW()</f>
        <v>362</v>
      </c>
      <c r="P362" s="1184"/>
      <c r="Q362" s="1184"/>
      <c r="R362" s="1184"/>
      <c r="S362" s="1184"/>
      <c r="T362" s="1184"/>
      <c r="U362" s="1184"/>
      <c r="V362" s="1184"/>
      <c r="W362" s="1184"/>
      <c r="X362" s="1184"/>
      <c r="Y362" s="1184"/>
      <c r="Z362" s="1184"/>
      <c r="AA362" s="1184"/>
      <c r="AB362" s="1184"/>
      <c r="AC362" s="1184"/>
      <c r="AD362" s="1184"/>
      <c r="AE362" s="1184"/>
      <c r="AF362" s="1184"/>
      <c r="AG362" s="1184"/>
      <c r="AH362" s="1184"/>
      <c r="AI362" s="1184"/>
      <c r="AJ362" s="1184"/>
      <c r="AK362" s="1184"/>
      <c r="AL362" s="1184"/>
      <c r="AM362" s="1184"/>
      <c r="AN362" s="1184"/>
    </row>
    <row r="363" spans="2:41" ht="14.1" customHeight="1">
      <c r="B363" s="2" t="s">
        <v>3050</v>
      </c>
      <c r="O363" s="21">
        <f>ROW()</f>
        <v>363</v>
      </c>
      <c r="P363" s="1184"/>
      <c r="Q363" s="1184"/>
      <c r="R363" s="1184"/>
      <c r="S363" s="1184"/>
      <c r="T363" s="1184"/>
      <c r="U363" s="1184"/>
      <c r="V363" s="1184"/>
      <c r="W363" s="1184"/>
      <c r="X363" s="1184"/>
      <c r="Y363" s="1184"/>
      <c r="Z363" s="1184"/>
      <c r="AA363" s="1184"/>
      <c r="AB363" s="1184"/>
      <c r="AC363" s="1184"/>
      <c r="AD363" s="1184"/>
      <c r="AE363" s="1184"/>
      <c r="AF363" s="1184"/>
      <c r="AG363" s="1184"/>
      <c r="AH363" s="1184"/>
      <c r="AI363" s="1184"/>
      <c r="AJ363" s="1184"/>
      <c r="AK363" s="1184"/>
      <c r="AL363" s="1184"/>
      <c r="AM363" s="1184"/>
      <c r="AN363" s="1184"/>
    </row>
    <row r="364" spans="2:41" ht="14.1" customHeight="1">
      <c r="B364" t="s">
        <v>1882</v>
      </c>
      <c r="O364" s="21">
        <f>ROW()</f>
        <v>364</v>
      </c>
      <c r="P364" s="1184">
        <f ca="1">-Elasticities!$I$91*Subways!P358</f>
        <v>-70.923973340751331</v>
      </c>
      <c r="Q364" s="1184">
        <f ca="1">-Elasticities!$I$91*Subways!Q358</f>
        <v>-46.002390941673305</v>
      </c>
      <c r="R364" s="1184">
        <f ca="1">-Elasticities!$I$91*Subways!R358</f>
        <v>-36.682866142854905</v>
      </c>
      <c r="S364" s="1184">
        <f ca="1">-Elasticities!$I$91*Subways!S358</f>
        <v>-39.163727989067176</v>
      </c>
      <c r="T364" s="1184">
        <f ca="1">-Elasticities!$I$91*Subways!T358</f>
        <v>-62.599400140501409</v>
      </c>
      <c r="U364" s="1184">
        <f ca="1">-Elasticities!$I$91*Subways!U358</f>
        <v>3885.5383871230915</v>
      </c>
      <c r="V364" s="1184">
        <f ca="1">-Elasticities!$I$91*Subways!V358</f>
        <v>5813.8836014377939</v>
      </c>
      <c r="W364" s="1184">
        <f ca="1">-Elasticities!$I$91*Subways!W358</f>
        <v>6486.0990324039703</v>
      </c>
      <c r="X364" s="1184">
        <f ca="1">-Elasticities!$I$91*Subways!X358</f>
        <v>6104.7204418303463</v>
      </c>
      <c r="Y364" s="1184">
        <f ca="1">-Elasticities!$I$91*Subways!Y358</f>
        <v>4523.19807610099</v>
      </c>
      <c r="Z364" s="1184">
        <f ca="1">-Elasticities!$I$91*Subways!Z358</f>
        <v>2345.0967229605194</v>
      </c>
      <c r="AA364" s="1184">
        <f ca="1">-Elasticities!$I$91*Subways!AA358</f>
        <v>2182.7813885710211</v>
      </c>
      <c r="AB364" s="1184">
        <f ca="1">-Elasticities!$I$91*Subways!AB358</f>
        <v>2093.8109937875133</v>
      </c>
      <c r="AC364" s="1184">
        <f ca="1">-Elasticities!$I$91*Subways!AC358</f>
        <v>2117.5332757388373</v>
      </c>
      <c r="AD364" s="1184">
        <f ca="1">-Elasticities!$I$91*Subways!AD358</f>
        <v>2302.0379114489697</v>
      </c>
      <c r="AE364" s="1184">
        <f ca="1">-Elasticities!$I$91*Subways!AE358</f>
        <v>2401.5883276142499</v>
      </c>
      <c r="AF364" s="1184">
        <f ca="1">-Elasticities!$I$91*Subways!AF358</f>
        <v>2464.8130778139111</v>
      </c>
      <c r="AG364" s="1184">
        <f ca="1">-Elasticities!$I$91*Subways!AG358</f>
        <v>2525.657378081356</v>
      </c>
      <c r="AH364" s="1184">
        <f ca="1">-Elasticities!$I$91*Subways!AH358</f>
        <v>2408.8725044068315</v>
      </c>
      <c r="AI364" s="1184">
        <f ca="1">-Elasticities!$I$91*Subways!AI358</f>
        <v>2153.688271673258</v>
      </c>
      <c r="AJ364" s="1184">
        <f ca="1">-Elasticities!$I$91*Subways!AJ358</f>
        <v>1473.7042580585726</v>
      </c>
      <c r="AK364" s="1184">
        <f ca="1">-Elasticities!$I$91*Subways!AK358</f>
        <v>1346.2910593267961</v>
      </c>
      <c r="AL364" s="1184">
        <f ca="1">-Elasticities!$I$91*Subways!AL358</f>
        <v>1253.1573329810872</v>
      </c>
      <c r="AM364" s="1184">
        <f ca="1">-Elasticities!$I$91*Subways!AM358</f>
        <v>-106.37292571070905</v>
      </c>
      <c r="AN364" s="1184">
        <f ca="1">SUM(P364:AM364)</f>
        <v>53520.726757093551</v>
      </c>
    </row>
    <row r="365" spans="2:41" ht="14.1" customHeight="1">
      <c r="B365" t="s">
        <v>1883</v>
      </c>
      <c r="O365" s="21">
        <f>ROW()</f>
        <v>365</v>
      </c>
      <c r="P365" s="1184">
        <f ca="1">-Elasticities!$J$91*Subways!P360</f>
        <v>288.51994946206452</v>
      </c>
      <c r="Q365" s="1184">
        <f ca="1">-Elasticities!$J$91*Subways!Q360</f>
        <v>187.13852149622264</v>
      </c>
      <c r="R365" s="1184">
        <f ca="1">-Elasticities!$J$91*Subways!R360</f>
        <v>149.2265335278247</v>
      </c>
      <c r="S365" s="1184">
        <f ca="1">-Elasticities!$J$91*Subways!S360</f>
        <v>159.31872239959864</v>
      </c>
      <c r="T365" s="1184">
        <f ca="1">-Elasticities!$J$91*Subways!T360</f>
        <v>254.65544179425538</v>
      </c>
      <c r="U365" s="1184">
        <f ca="1">-Elasticities!$J$91*Subways!U360</f>
        <v>466.86970601807565</v>
      </c>
      <c r="V365" s="1184">
        <f ca="1">-Elasticities!$J$91*Subways!V360</f>
        <v>534.11185254038014</v>
      </c>
      <c r="W365" s="1184">
        <f ca="1">-Elasticities!$J$91*Subways!W360</f>
        <v>595.86717028543785</v>
      </c>
      <c r="X365" s="1184">
        <f ca="1">-Elasticities!$J$91*Subways!X360</f>
        <v>560.83055113466219</v>
      </c>
      <c r="Y365" s="1184">
        <f ca="1">-Elasticities!$J$91*Subways!Y360</f>
        <v>1056.3950904077901</v>
      </c>
      <c r="Z365" s="1184">
        <f ca="1">-Elasticities!$J$91*Subways!Z360</f>
        <v>553.42909105779859</v>
      </c>
      <c r="AA365" s="1184">
        <f ca="1">-Elasticities!$J$91*Subways!AA360</f>
        <v>515.12362284558867</v>
      </c>
      <c r="AB365" s="1184">
        <f ca="1">-Elasticities!$J$91*Subways!AB360</f>
        <v>494.12713078877903</v>
      </c>
      <c r="AC365" s="1184">
        <f ca="1">-Elasticities!$J$91*Subways!AC360</f>
        <v>499.72545038455428</v>
      </c>
      <c r="AD365" s="1184">
        <f ca="1">-Elasticities!$J$91*Subways!AD360</f>
        <v>1503.8902591997078</v>
      </c>
      <c r="AE365" s="1184">
        <f ca="1">-Elasticities!$J$91*Subways!AE360</f>
        <v>1568.9252008162896</v>
      </c>
      <c r="AF365" s="1184">
        <f ca="1">-Elasticities!$J$91*Subways!AF360</f>
        <v>1610.229075740642</v>
      </c>
      <c r="AG365" s="1184">
        <f ca="1">-Elasticities!$J$91*Subways!AG360</f>
        <v>1649.9778348922405</v>
      </c>
      <c r="AH365" s="1184">
        <f ca="1">-Elasticities!$J$91*Subways!AH360</f>
        <v>1573.6838550809171</v>
      </c>
      <c r="AI365" s="1184">
        <f ca="1">-Elasticities!$J$91*Subways!AI360</f>
        <v>1406.9754442416636</v>
      </c>
      <c r="AJ365" s="1184">
        <f ca="1">-Elasticities!$J$91*Subways!AJ360</f>
        <v>1272.3644227712532</v>
      </c>
      <c r="AK365" s="1184">
        <f ca="1">-Elasticities!$J$91*Subways!AK360</f>
        <v>1162.3586192517844</v>
      </c>
      <c r="AL365" s="1184">
        <f ca="1">-Elasticities!$J$91*Subways!AL360</f>
        <v>1081.9489717160545</v>
      </c>
      <c r="AM365" s="1184">
        <f ca="1">-Elasticities!$J$91*Subways!AM360</f>
        <v>432.72690043370039</v>
      </c>
      <c r="AN365" s="1184">
        <f ca="1">SUM(P365:AM365)</f>
        <v>19578.419418287282</v>
      </c>
    </row>
    <row r="366" spans="2:41" ht="14.1" customHeight="1">
      <c r="B366" s="265" t="str">
        <f>CONCATENATE("Above two rows are factored by respective cross-elasticities in Elasticities worksheet, Row ",Elasticities!O91, ".")</f>
        <v>Above two rows are factored by respective cross-elasticities in Elasticities worksheet, Row 91.</v>
      </c>
      <c r="O366" s="21">
        <f>ROW()</f>
        <v>366</v>
      </c>
      <c r="P366" s="1184"/>
      <c r="Q366" s="1184"/>
      <c r="R366" s="1184"/>
      <c r="S366" s="1184"/>
      <c r="T366" s="1184"/>
      <c r="U366" s="1184"/>
      <c r="V366" s="1184"/>
      <c r="W366" s="1184"/>
      <c r="X366" s="1184"/>
      <c r="Y366" s="1184"/>
      <c r="Z366" s="1184"/>
      <c r="AA366" s="1184"/>
      <c r="AB366" s="1184"/>
      <c r="AC366" s="1184"/>
      <c r="AD366" s="1184"/>
      <c r="AE366" s="1184"/>
      <c r="AF366" s="1184"/>
      <c r="AG366" s="1184"/>
      <c r="AH366" s="1184"/>
      <c r="AI366" s="1184"/>
      <c r="AJ366" s="1184"/>
      <c r="AK366" s="1184"/>
      <c r="AL366" s="1184"/>
      <c r="AM366" s="1184"/>
      <c r="AN366" s="1184"/>
    </row>
    <row r="367" spans="2:41" ht="14.1" customHeight="1">
      <c r="O367" s="21">
        <f>ROW()</f>
        <v>367</v>
      </c>
      <c r="P367" s="1184"/>
      <c r="Q367" s="1184"/>
      <c r="R367" s="1184"/>
      <c r="S367" s="1184"/>
      <c r="T367" s="1184"/>
      <c r="U367" s="1184"/>
      <c r="V367" s="1184"/>
      <c r="W367" s="1184"/>
      <c r="X367" s="1184"/>
      <c r="Y367" s="1184"/>
      <c r="Z367" s="1184"/>
      <c r="AA367" s="1184"/>
      <c r="AB367" s="1184"/>
      <c r="AC367" s="1184"/>
      <c r="AD367" s="1184"/>
      <c r="AE367" s="1184"/>
      <c r="AF367" s="1184"/>
      <c r="AG367" s="1184"/>
      <c r="AH367" s="1184"/>
      <c r="AI367" s="1184"/>
      <c r="AJ367" s="1184"/>
      <c r="AK367" s="1184"/>
      <c r="AL367" s="1184"/>
      <c r="AM367" s="1184"/>
      <c r="AN367" s="1184"/>
    </row>
    <row r="368" spans="2:41" ht="14.1" customHeight="1">
      <c r="B368" s="6" t="s">
        <v>401</v>
      </c>
      <c r="O368" s="21">
        <f>ROW()</f>
        <v>368</v>
      </c>
      <c r="P368" s="1184"/>
      <c r="Q368" s="1184"/>
      <c r="R368" s="1184"/>
      <c r="S368" s="1184"/>
      <c r="T368" s="1184"/>
      <c r="U368" s="1184"/>
      <c r="V368" s="1184"/>
      <c r="W368" s="1184"/>
      <c r="X368" s="1184"/>
      <c r="Y368" s="1184"/>
      <c r="Z368" s="1184"/>
      <c r="AA368" s="1184"/>
      <c r="AB368" s="1184"/>
      <c r="AC368" s="1184"/>
      <c r="AD368" s="1184"/>
      <c r="AE368" s="1184"/>
      <c r="AF368" s="1184"/>
      <c r="AG368" s="1184"/>
      <c r="AH368" s="1184"/>
      <c r="AI368" s="1184"/>
      <c r="AJ368" s="1184"/>
      <c r="AK368" s="1184"/>
      <c r="AL368" s="1184"/>
      <c r="AM368" s="1184"/>
      <c r="AN368" s="1184"/>
    </row>
    <row r="369" spans="2:40" ht="14.1" customHeight="1">
      <c r="B369" t="s">
        <v>1858</v>
      </c>
      <c r="O369" s="21">
        <f>ROW()</f>
        <v>369</v>
      </c>
      <c r="P369" s="1184">
        <f ca="1">'Weekday Hours'!$L$31*Subways!$AN$350</f>
        <v>-1688.8507301900663</v>
      </c>
      <c r="Q369" s="1184">
        <f ca="1">'Weekday Hours'!$L$32*Subways!$AN$350</f>
        <v>-1116.3642393133407</v>
      </c>
      <c r="R369" s="1184">
        <f ca="1">'Weekday Hours'!$L$33*Subways!$AN$350</f>
        <v>-785.89898350186547</v>
      </c>
      <c r="S369" s="1184">
        <f ca="1">'Weekday Hours'!$L$34*Subways!$AN$350</f>
        <v>-672.14962630534671</v>
      </c>
      <c r="T369" s="1184">
        <f ca="1">'Weekday Hours'!$L$35*Subways!$AN$350</f>
        <v>-830.71311381654868</v>
      </c>
      <c r="U369" s="1184">
        <f ca="1">'Weekday Hours'!$L$36*Subways!$AN$350</f>
        <v>-1328.6548204702408</v>
      </c>
      <c r="V369" s="1184">
        <f ca="1">'Weekday Hours'!$L$37*Subways!$AN$350</f>
        <v>-2219.8264967419254</v>
      </c>
      <c r="W369" s="1184">
        <f ca="1">'Weekday Hours'!$L$38*Subways!$AN$350</f>
        <v>-2694.2703909774873</v>
      </c>
      <c r="X369" s="1184">
        <f ca="1">'Weekday Hours'!$L$39*Subways!$AN$350</f>
        <v>-2742.9488830161072</v>
      </c>
      <c r="Y369" s="1184">
        <f ca="1">'Weekday Hours'!$L$40*Subways!$AN$350</f>
        <v>-2442.5882516023958</v>
      </c>
      <c r="Z369" s="1184">
        <f ca="1">'Weekday Hours'!$L$41*Subways!$AN$350</f>
        <v>-2388.3002022225778</v>
      </c>
      <c r="AA369" s="1184">
        <f ca="1">'Weekday Hours'!$L$42*Subways!$AN$350</f>
        <v>-2412.9822545238494</v>
      </c>
      <c r="AB369" s="1184">
        <f ca="1">'Weekday Hours'!$L$43*Subways!$AN$350</f>
        <v>-2553.4705017134129</v>
      </c>
      <c r="AC369" s="1184">
        <f ca="1">'Weekday Hours'!$L$44*Subways!$AN$350</f>
        <v>-2770.1864003283695</v>
      </c>
      <c r="AD369" s="1184">
        <f ca="1">'Weekday Hours'!$L$45*Subways!$AN$350</f>
        <v>-3165.4732076381347</v>
      </c>
      <c r="AE369" s="1184">
        <f ca="1">'Weekday Hours'!$L$46*Subways!$AN$350</f>
        <v>-3662.479988068294</v>
      </c>
      <c r="AF369" s="1184">
        <f ca="1">'Weekday Hours'!$L$47*Subways!$AN$350</f>
        <v>-3945.0146928199761</v>
      </c>
      <c r="AG369" s="1184">
        <f ca="1">'Weekday Hours'!$L$48*Subways!$AN$350</f>
        <v>-3933.7332497226771</v>
      </c>
      <c r="AH369" s="1184">
        <f ca="1">'Weekday Hours'!$L$49*Subways!$AN$350</f>
        <v>-3693.2702250299817</v>
      </c>
      <c r="AI369" s="1184">
        <f ca="1">'Weekday Hours'!$L$50*Subways!$AN$350</f>
        <v>-3427.8758343764052</v>
      </c>
      <c r="AJ369" s="1184">
        <f ca="1">'Weekday Hours'!$L$51*Subways!$AN$350</f>
        <v>-3133.6233876231099</v>
      </c>
      <c r="AK369" s="1184">
        <f ca="1">'Weekday Hours'!$L$52*Subways!$AN$350</f>
        <v>-2837.064789518432</v>
      </c>
      <c r="AL369" s="1184">
        <f ca="1">'Weekday Hours'!$L$53*Subways!$AN$350</f>
        <v>-2616.4222007646372</v>
      </c>
      <c r="AM369" s="1184">
        <f ca="1">'Weekday Hours'!$L$54*Subways!$AN$350</f>
        <v>-2240.5818589043588</v>
      </c>
      <c r="AN369" s="1184">
        <f ca="1">SUM(P369:AM369)</f>
        <v>-59302.744329189532</v>
      </c>
    </row>
    <row r="370" spans="2:40" ht="14.1" customHeight="1">
      <c r="B370" s="265" t="str">
        <f>CONCATENATE("Aggregate change in work person-trips in Row ",O350, " is allocated via hourly %'s of outbound trips in 'By Hour' worksheet.")</f>
        <v>Aggregate change in work person-trips in Row 350 is allocated via hourly %'s of outbound trips in 'By Hour' worksheet.</v>
      </c>
      <c r="O370" s="21">
        <f>ROW()</f>
        <v>370</v>
      </c>
      <c r="P370" s="1184"/>
      <c r="Q370" s="1184"/>
      <c r="R370" s="1184"/>
      <c r="S370" s="1184"/>
      <c r="T370" s="1184"/>
      <c r="U370" s="1184"/>
      <c r="V370" s="1184"/>
      <c r="W370" s="1184"/>
      <c r="X370" s="1184"/>
      <c r="Y370" s="1184"/>
      <c r="Z370" s="1184"/>
      <c r="AA370" s="1184"/>
      <c r="AB370" s="1184"/>
      <c r="AC370" s="1184"/>
      <c r="AD370" s="1184"/>
      <c r="AE370" s="1184"/>
      <c r="AF370" s="1184"/>
      <c r="AG370" s="1184"/>
      <c r="AH370" s="1184"/>
      <c r="AI370" s="1184"/>
      <c r="AJ370" s="1184"/>
      <c r="AK370" s="1184"/>
      <c r="AL370" s="1184"/>
      <c r="AM370" s="1184"/>
      <c r="AN370" s="1184"/>
    </row>
    <row r="371" spans="2:40" ht="14.1" customHeight="1">
      <c r="B371" t="s">
        <v>765</v>
      </c>
      <c r="O371" s="21">
        <f>ROW()</f>
        <v>371</v>
      </c>
      <c r="P371" s="1184">
        <f ca="1">'Weekday Hours'!$L$31*Subways!$AN$354</f>
        <v>-1173.8172643498901</v>
      </c>
      <c r="Q371" s="1184">
        <f ca="1">'Weekday Hours'!$L$32*Subways!$AN$354</f>
        <v>-775.91677818758797</v>
      </c>
      <c r="R371" s="1184">
        <f ca="1">'Weekday Hours'!$L$33*Subways!$AN$354</f>
        <v>-546.23050952863014</v>
      </c>
      <c r="S371" s="1184">
        <f ca="1">'Weekday Hours'!$L$34*Subways!$AN$354</f>
        <v>-467.17026050890217</v>
      </c>
      <c r="T371" s="1184">
        <f ca="1">'Weekday Hours'!$L$35*Subways!$AN$354</f>
        <v>-577.37808160818327</v>
      </c>
      <c r="U371" s="1184">
        <f ca="1">'Weekday Hours'!$L$36*Subways!$AN$354</f>
        <v>-923.46702923481712</v>
      </c>
      <c r="V371" s="1184">
        <f ca="1">'Weekday Hours'!$L$37*Subways!$AN$354</f>
        <v>-1542.8661747055407</v>
      </c>
      <c r="W371" s="1184">
        <f ca="1">'Weekday Hours'!$L$38*Subways!$AN$354</f>
        <v>-1872.6232243154966</v>
      </c>
      <c r="X371" s="1184">
        <f ca="1">'Weekday Hours'!$L$39*Subways!$AN$354</f>
        <v>-1906.4566788275008</v>
      </c>
      <c r="Y371" s="1184">
        <f ca="1">'Weekday Hours'!$L$40*Subways!$AN$354</f>
        <v>-1697.6943007310247</v>
      </c>
      <c r="Z371" s="1184">
        <f ca="1">'Weekday Hours'!$L$41*Subways!$AN$354</f>
        <v>-1659.9619846235271</v>
      </c>
      <c r="AA371" s="1184">
        <f ca="1">'Weekday Hours'!$L$42*Subways!$AN$354</f>
        <v>-1677.1169756436982</v>
      </c>
      <c r="AB371" s="1184">
        <f ca="1">'Weekday Hours'!$L$43*Subways!$AN$354</f>
        <v>-1774.7617982686115</v>
      </c>
      <c r="AC371" s="1184">
        <f ca="1">'Weekday Hours'!$L$44*Subways!$AN$354</f>
        <v>-1925.3878179078411</v>
      </c>
      <c r="AD371" s="1184">
        <f ca="1">'Weekday Hours'!$L$45*Subways!$AN$354</f>
        <v>-2200.1275983369451</v>
      </c>
      <c r="AE371" s="1184">
        <f ca="1">'Weekday Hours'!$L$46*Subways!$AN$354</f>
        <v>-2545.5667356976637</v>
      </c>
      <c r="AF371" s="1184">
        <f ca="1">'Weekday Hours'!$L$47*Subways!$AN$354</f>
        <v>-2741.93939805735</v>
      </c>
      <c r="AG371" s="1184">
        <f ca="1">'Weekday Hours'!$L$48*Subways!$AN$354</f>
        <v>-2734.0983541819683</v>
      </c>
      <c r="AH371" s="1184">
        <f ca="1">'Weekday Hours'!$L$49*Subways!$AN$354</f>
        <v>-2566.9671537884833</v>
      </c>
      <c r="AI371" s="1184">
        <f ca="1">'Weekday Hours'!$L$50*Subways!$AN$354</f>
        <v>-2382.5076796372491</v>
      </c>
      <c r="AJ371" s="1184">
        <f ca="1">'Weekday Hours'!$L$51*Subways!$AN$354</f>
        <v>-2177.9907286114217</v>
      </c>
      <c r="AK371" s="1184">
        <f ca="1">'Weekday Hours'!$L$52*Subways!$AN$354</f>
        <v>-1971.8709122630019</v>
      </c>
      <c r="AL371" s="1184">
        <f ca="1">'Weekday Hours'!$L$53*Subways!$AN$354</f>
        <v>-1818.5156895069269</v>
      </c>
      <c r="AM371" s="1184">
        <f ca="1">'Weekday Hours'!$L$54*Subways!$AN$354</f>
        <v>-1557.2919626088667</v>
      </c>
      <c r="AN371" s="1184">
        <f ca="1">SUM(P371:AM371)</f>
        <v>-41217.725091131142</v>
      </c>
    </row>
    <row r="372" spans="2:40" ht="14.1" customHeight="1">
      <c r="B372" s="265" t="str">
        <f>CONCATENATE("Aggregate change in work person-trips in Row ",O354, " is allocated via hourly %'s of outbound trips in 'By Hour' worksheet.")</f>
        <v>Aggregate change in work person-trips in Row 354 is allocated via hourly %'s of outbound trips in 'By Hour' worksheet.</v>
      </c>
      <c r="O372" s="21">
        <f>ROW()</f>
        <v>372</v>
      </c>
      <c r="P372" s="1184"/>
      <c r="Q372" s="1184"/>
      <c r="R372" s="1184"/>
      <c r="S372" s="1184"/>
      <c r="T372" s="1184"/>
      <c r="U372" s="1184"/>
      <c r="V372" s="1184"/>
      <c r="W372" s="1184"/>
      <c r="X372" s="1184"/>
      <c r="Y372" s="1184"/>
      <c r="Z372" s="1184"/>
      <c r="AA372" s="1184"/>
      <c r="AB372" s="1184"/>
      <c r="AC372" s="1184"/>
      <c r="AD372" s="1184"/>
      <c r="AE372" s="1184"/>
      <c r="AF372" s="1184"/>
      <c r="AG372" s="1184"/>
      <c r="AH372" s="1184"/>
      <c r="AI372" s="1184"/>
      <c r="AJ372" s="1184"/>
      <c r="AK372" s="1184"/>
      <c r="AL372" s="1184"/>
      <c r="AM372" s="1184"/>
      <c r="AN372" s="1184"/>
    </row>
    <row r="373" spans="2:40" ht="14.1" customHeight="1">
      <c r="B373" t="s">
        <v>1882</v>
      </c>
      <c r="O373" s="21">
        <f>ROW()</f>
        <v>373</v>
      </c>
      <c r="P373" s="1184">
        <f ca="1">-Elasticities!$I$91*Subways!P369</f>
        <v>1524.1877839965348</v>
      </c>
      <c r="Q373" s="1184">
        <f ca="1">-Elasticities!$I$91*Subways!Q369</f>
        <v>1007.5187259802899</v>
      </c>
      <c r="R373" s="1184">
        <f ca="1">-Elasticities!$I$91*Subways!R369</f>
        <v>709.2738326104336</v>
      </c>
      <c r="S373" s="1184">
        <f ca="1">-Elasticities!$I$91*Subways!S369</f>
        <v>606.61503774057542</v>
      </c>
      <c r="T373" s="1184">
        <f ca="1">-Elasticities!$I$91*Subways!T369</f>
        <v>749.71858521943511</v>
      </c>
      <c r="U373" s="1184">
        <f ca="1">-Elasticities!$I$91*Subways!U369</f>
        <v>1199.1109754743923</v>
      </c>
      <c r="V373" s="1184">
        <f ca="1">-Elasticities!$I$91*Subways!V369</f>
        <v>2003.3934133095877</v>
      </c>
      <c r="W373" s="1184">
        <f ca="1">-Elasticities!$I$91*Subways!W369</f>
        <v>2431.5790278571822</v>
      </c>
      <c r="X373" s="1184">
        <f ca="1">-Elasticities!$I$91*Subways!X369</f>
        <v>2475.5113669220368</v>
      </c>
      <c r="Y373" s="1184">
        <f ca="1">-Elasticities!$I$91*Subways!Y369</f>
        <v>2204.4358970711619</v>
      </c>
      <c r="Z373" s="1184">
        <f ca="1">-Elasticities!$I$91*Subways!Z369</f>
        <v>2155.4409325058764</v>
      </c>
      <c r="AA373" s="1184">
        <f ca="1">-Elasticities!$I$91*Subways!AA369</f>
        <v>2177.7164847077738</v>
      </c>
      <c r="AB373" s="1184">
        <f ca="1">-Elasticities!$I$91*Subways!AB369</f>
        <v>2304.5071277963552</v>
      </c>
      <c r="AC373" s="1184">
        <f ca="1">-Elasticities!$I$91*Subways!AC369</f>
        <v>2500.0932262963534</v>
      </c>
      <c r="AD373" s="1184">
        <f ca="1">-Elasticities!$I$91*Subways!AD369</f>
        <v>2856.8395698934164</v>
      </c>
      <c r="AE373" s="1184">
        <f ca="1">-Elasticities!$I$91*Subways!AE369</f>
        <v>3305.3881892316354</v>
      </c>
      <c r="AF373" s="1184">
        <f ca="1">-Elasticities!$I$91*Subways!AF369</f>
        <v>3560.3757602700284</v>
      </c>
      <c r="AG373" s="1184">
        <f ca="1">-Elasticities!$I$91*Subways!AG369</f>
        <v>3550.1942578747162</v>
      </c>
      <c r="AH373" s="1184">
        <f ca="1">-Elasticities!$I$91*Subways!AH369</f>
        <v>3333.1763780895585</v>
      </c>
      <c r="AI373" s="1184">
        <f ca="1">-Elasticities!$I$91*Subways!AI369</f>
        <v>3093.6579405247057</v>
      </c>
      <c r="AJ373" s="1184">
        <f ca="1">-Elasticities!$I$91*Subways!AJ369</f>
        <v>2828.0951073298565</v>
      </c>
      <c r="AK373" s="1184">
        <f ca="1">-Elasticities!$I$91*Subways!AK369</f>
        <v>2560.450972540385</v>
      </c>
      <c r="AL373" s="1184">
        <f ca="1">-Elasticities!$I$91*Subways!AL369</f>
        <v>2361.3210361900851</v>
      </c>
      <c r="AM373" s="1184">
        <f ca="1">-Elasticities!$I$91*Subways!AM369</f>
        <v>2022.1251276611838</v>
      </c>
      <c r="AN373" s="1184">
        <f ca="1">SUM(P373:AM373)</f>
        <v>53520.726757093551</v>
      </c>
    </row>
    <row r="374" spans="2:40" ht="14.1" customHeight="1">
      <c r="B374" t="s">
        <v>1883</v>
      </c>
      <c r="O374" s="21">
        <f>ROW()</f>
        <v>374</v>
      </c>
      <c r="P374" s="1184">
        <f ca="1">-Elasticities!$J$91*Subways!P371</f>
        <v>557.56320056619779</v>
      </c>
      <c r="Q374" s="1184">
        <f ca="1">-Elasticities!$J$91*Subways!Q371</f>
        <v>368.56046963910427</v>
      </c>
      <c r="R374" s="1184">
        <f ca="1">-Elasticities!$J$91*Subways!R371</f>
        <v>259.45949202609933</v>
      </c>
      <c r="S374" s="1184">
        <f ca="1">-Elasticities!$J$91*Subways!S371</f>
        <v>221.90587374172853</v>
      </c>
      <c r="T374" s="1184">
        <f ca="1">-Elasticities!$J$91*Subways!T371</f>
        <v>274.25458876388706</v>
      </c>
      <c r="U374" s="1184">
        <f ca="1">-Elasticities!$J$91*Subways!U371</f>
        <v>438.64683888653809</v>
      </c>
      <c r="V374" s="1184">
        <f ca="1">-Elasticities!$J$91*Subways!V371</f>
        <v>732.86143298513184</v>
      </c>
      <c r="W374" s="1184">
        <f ca="1">-Elasticities!$J$91*Subways!W371</f>
        <v>889.49603154986085</v>
      </c>
      <c r="X374" s="1184">
        <f ca="1">-Elasticities!$J$91*Subways!X371</f>
        <v>905.56692244306282</v>
      </c>
      <c r="Y374" s="1184">
        <f ca="1">-Elasticities!$J$91*Subways!Y371</f>
        <v>806.40479284723665</v>
      </c>
      <c r="Z374" s="1184">
        <f ca="1">-Elasticities!$J$91*Subways!Z371</f>
        <v>788.48194269617534</v>
      </c>
      <c r="AA374" s="1184">
        <f ca="1">-Elasticities!$J$91*Subways!AA371</f>
        <v>796.63056343075664</v>
      </c>
      <c r="AB374" s="1184">
        <f ca="1">-Elasticities!$J$91*Subways!AB371</f>
        <v>843.01185417759041</v>
      </c>
      <c r="AC374" s="1184">
        <f ca="1">-Elasticities!$J$91*Subways!AC371</f>
        <v>914.55921350622441</v>
      </c>
      <c r="AD374" s="1184">
        <f ca="1">-Elasticities!$J$91*Subways!AD371</f>
        <v>1045.0606092100488</v>
      </c>
      <c r="AE374" s="1184">
        <f ca="1">-Elasticities!$J$91*Subways!AE371</f>
        <v>1209.1441994563902</v>
      </c>
      <c r="AF374" s="1184">
        <f ca="1">-Elasticities!$J$91*Subways!AF371</f>
        <v>1302.4212140772411</v>
      </c>
      <c r="AG374" s="1184">
        <f ca="1">-Elasticities!$J$91*Subways!AG371</f>
        <v>1298.6967182364349</v>
      </c>
      <c r="AH374" s="1184">
        <f ca="1">-Elasticities!$J$91*Subways!AH371</f>
        <v>1219.3093980495296</v>
      </c>
      <c r="AI374" s="1184">
        <f ca="1">-Elasticities!$J$91*Subways!AI371</f>
        <v>1131.6911478276934</v>
      </c>
      <c r="AJ374" s="1184">
        <f ca="1">-Elasticities!$J$91*Subways!AJ371</f>
        <v>1034.5455960904253</v>
      </c>
      <c r="AK374" s="1184">
        <f ca="1">-Elasticities!$J$91*Subways!AK371</f>
        <v>936.63868332492586</v>
      </c>
      <c r="AL374" s="1184">
        <f ca="1">-Elasticities!$J$91*Subways!AL371</f>
        <v>863.79495251579021</v>
      </c>
      <c r="AM374" s="1184">
        <f ca="1">-Elasticities!$J$91*Subways!AM371</f>
        <v>739.71368223921161</v>
      </c>
      <c r="AN374" s="1184">
        <f ca="1">SUM(P374:AM374)</f>
        <v>19578.419418287289</v>
      </c>
    </row>
    <row r="375" spans="2:40" ht="14.1" customHeight="1">
      <c r="B375" s="265" t="str">
        <f>CONCATENATE("Above two rows are factored by respective cross-elasticities in Elasticities worksheet, Row ",Elasticities!O91, ".")</f>
        <v>Above two rows are factored by respective cross-elasticities in Elasticities worksheet, Row 91.</v>
      </c>
      <c r="O375" s="21">
        <f>ROW()</f>
        <v>375</v>
      </c>
      <c r="P375" s="1184"/>
      <c r="Q375" s="1184"/>
      <c r="R375" s="1184"/>
      <c r="S375" s="1184"/>
      <c r="T375" s="1184"/>
      <c r="U375" s="1184"/>
      <c r="V375" s="1184"/>
      <c r="W375" s="1184"/>
      <c r="X375" s="1184"/>
      <c r="Y375" s="1184"/>
      <c r="Z375" s="1184"/>
      <c r="AA375" s="1184"/>
      <c r="AB375" s="1184"/>
      <c r="AC375" s="1184"/>
      <c r="AD375" s="1184"/>
      <c r="AE375" s="1184"/>
      <c r="AF375" s="1184"/>
      <c r="AG375" s="1184"/>
      <c r="AH375" s="1184"/>
      <c r="AI375" s="1184"/>
      <c r="AJ375" s="1184"/>
      <c r="AK375" s="1184"/>
      <c r="AL375" s="1184"/>
      <c r="AM375" s="1184"/>
      <c r="AN375" s="1184"/>
    </row>
    <row r="376" spans="2:40" ht="14.1" customHeight="1">
      <c r="O376" s="21">
        <f>ROW()</f>
        <v>376</v>
      </c>
      <c r="P376" s="1184"/>
      <c r="Q376" s="1184"/>
      <c r="R376" s="1184"/>
      <c r="S376" s="1184"/>
      <c r="T376" s="1184"/>
      <c r="U376" s="1184"/>
      <c r="V376" s="1184"/>
      <c r="W376" s="1184"/>
      <c r="X376" s="1184"/>
      <c r="Y376" s="1184"/>
      <c r="Z376" s="1184"/>
      <c r="AA376" s="1184"/>
      <c r="AB376" s="1184"/>
      <c r="AC376" s="1184"/>
      <c r="AD376" s="1184"/>
      <c r="AE376" s="1184"/>
      <c r="AF376" s="1184"/>
      <c r="AG376" s="1184"/>
      <c r="AH376" s="1184"/>
      <c r="AI376" s="1184"/>
      <c r="AJ376" s="1184"/>
      <c r="AK376" s="1184"/>
      <c r="AL376" s="1184"/>
      <c r="AM376" s="1184"/>
      <c r="AN376" s="1184"/>
    </row>
    <row r="377" spans="2:40" s="6" customFormat="1" ht="14.1" customHeight="1">
      <c r="B377" s="2" t="s">
        <v>3051</v>
      </c>
      <c r="K377" s="18" t="str">
        <f>CONCATENATE("Sum of Rows ",O364," and ",O365,".")</f>
        <v>Sum of Rows 364 and 365.</v>
      </c>
      <c r="O377" s="21">
        <f>ROW()</f>
        <v>377</v>
      </c>
      <c r="P377" s="1188">
        <f ca="1">P364+P365</f>
        <v>217.59597612131319</v>
      </c>
      <c r="Q377" s="1188">
        <f t="shared" ref="Q377:AM377" ca="1" si="80">Q364+Q365</f>
        <v>141.13613055454934</v>
      </c>
      <c r="R377" s="1188">
        <f t="shared" ca="1" si="80"/>
        <v>112.54366738496979</v>
      </c>
      <c r="S377" s="1188">
        <f t="shared" ca="1" si="80"/>
        <v>120.15499441053146</v>
      </c>
      <c r="T377" s="1188">
        <f t="shared" ca="1" si="80"/>
        <v>192.05604165375397</v>
      </c>
      <c r="U377" s="1188">
        <f t="shared" ca="1" si="80"/>
        <v>4352.4080931411672</v>
      </c>
      <c r="V377" s="1188">
        <f t="shared" ca="1" si="80"/>
        <v>6347.9954539781738</v>
      </c>
      <c r="W377" s="1188">
        <f t="shared" ca="1" si="80"/>
        <v>7081.9662026894084</v>
      </c>
      <c r="X377" s="1188">
        <f t="shared" ca="1" si="80"/>
        <v>6665.5509929650088</v>
      </c>
      <c r="Y377" s="1188">
        <f t="shared" ca="1" si="80"/>
        <v>5579.5931665087801</v>
      </c>
      <c r="Z377" s="1188">
        <f t="shared" ca="1" si="80"/>
        <v>2898.5258140183178</v>
      </c>
      <c r="AA377" s="1188">
        <f t="shared" ca="1" si="80"/>
        <v>2697.9050114166098</v>
      </c>
      <c r="AB377" s="1188">
        <f t="shared" ca="1" si="80"/>
        <v>2587.9381245762925</v>
      </c>
      <c r="AC377" s="1188">
        <f t="shared" ca="1" si="80"/>
        <v>2617.2587261233916</v>
      </c>
      <c r="AD377" s="1188">
        <f t="shared" ca="1" si="80"/>
        <v>3805.9281706486772</v>
      </c>
      <c r="AE377" s="1188">
        <f t="shared" ca="1" si="80"/>
        <v>3970.5135284305397</v>
      </c>
      <c r="AF377" s="1188">
        <f t="shared" ca="1" si="80"/>
        <v>4075.0421535545529</v>
      </c>
      <c r="AG377" s="1188">
        <f t="shared" ca="1" si="80"/>
        <v>4175.6352129735969</v>
      </c>
      <c r="AH377" s="1188">
        <f t="shared" ca="1" si="80"/>
        <v>3982.5563594877485</v>
      </c>
      <c r="AI377" s="1188">
        <f t="shared" ca="1" si="80"/>
        <v>3560.6637159149213</v>
      </c>
      <c r="AJ377" s="1188">
        <f t="shared" ca="1" si="80"/>
        <v>2746.068680829826</v>
      </c>
      <c r="AK377" s="1188">
        <f t="shared" ca="1" si="80"/>
        <v>2508.6496785785803</v>
      </c>
      <c r="AL377" s="1188">
        <f t="shared" ca="1" si="80"/>
        <v>2335.1063046971417</v>
      </c>
      <c r="AM377" s="1188">
        <f t="shared" ca="1" si="80"/>
        <v>326.35397472299132</v>
      </c>
      <c r="AN377" s="1184">
        <f ca="1">SUM(P377:AM377)</f>
        <v>73099.146175380854</v>
      </c>
    </row>
    <row r="378" spans="2:40" s="6" customFormat="1" ht="14.1" customHeight="1">
      <c r="B378" s="2" t="s">
        <v>3052</v>
      </c>
      <c r="K378" s="18" t="str">
        <f>CONCATENATE("Sum of Rows ",O373," and ",O374,".")</f>
        <v>Sum of Rows 373 and 374.</v>
      </c>
      <c r="O378" s="21">
        <f>ROW()</f>
        <v>378</v>
      </c>
      <c r="P378" s="1184">
        <f ca="1">P373+P374</f>
        <v>2081.7509845627328</v>
      </c>
      <c r="Q378" s="1184">
        <f t="shared" ref="Q378:AM378" ca="1" si="81">Q373+Q374</f>
        <v>1376.0791956193941</v>
      </c>
      <c r="R378" s="1184">
        <f t="shared" ca="1" si="81"/>
        <v>968.73332463653287</v>
      </c>
      <c r="S378" s="1184">
        <f t="shared" ca="1" si="81"/>
        <v>828.52091148230397</v>
      </c>
      <c r="T378" s="1184">
        <f t="shared" ca="1" si="81"/>
        <v>1023.9731739833221</v>
      </c>
      <c r="U378" s="1184">
        <f t="shared" ca="1" si="81"/>
        <v>1637.7578143609303</v>
      </c>
      <c r="V378" s="1184">
        <f t="shared" ca="1" si="81"/>
        <v>2736.2548462947198</v>
      </c>
      <c r="W378" s="1184">
        <f t="shared" ca="1" si="81"/>
        <v>3321.0750594070432</v>
      </c>
      <c r="X378" s="1184">
        <f t="shared" ca="1" si="81"/>
        <v>3381.0782893650994</v>
      </c>
      <c r="Y378" s="1184">
        <f t="shared" ca="1" si="81"/>
        <v>3010.8406899183983</v>
      </c>
      <c r="Z378" s="1184">
        <f t="shared" ca="1" si="81"/>
        <v>2943.9228752020517</v>
      </c>
      <c r="AA378" s="1184">
        <f t="shared" ca="1" si="81"/>
        <v>2974.3470481385302</v>
      </c>
      <c r="AB378" s="1184">
        <f t="shared" ca="1" si="81"/>
        <v>3147.5189819739458</v>
      </c>
      <c r="AC378" s="1184">
        <f t="shared" ca="1" si="81"/>
        <v>3414.6524398025776</v>
      </c>
      <c r="AD378" s="1184">
        <f t="shared" ca="1" si="81"/>
        <v>3901.9001791034652</v>
      </c>
      <c r="AE378" s="1184">
        <f t="shared" ca="1" si="81"/>
        <v>4514.5323886880251</v>
      </c>
      <c r="AF378" s="1184">
        <f t="shared" ca="1" si="81"/>
        <v>4862.7969743472695</v>
      </c>
      <c r="AG378" s="1184">
        <f t="shared" ca="1" si="81"/>
        <v>4848.8909761111508</v>
      </c>
      <c r="AH378" s="1184">
        <f t="shared" ca="1" si="81"/>
        <v>4552.4857761390886</v>
      </c>
      <c r="AI378" s="1184">
        <f t="shared" ca="1" si="81"/>
        <v>4225.3490883523991</v>
      </c>
      <c r="AJ378" s="1184">
        <f t="shared" ca="1" si="81"/>
        <v>3862.6407034202821</v>
      </c>
      <c r="AK378" s="1184">
        <f t="shared" ca="1" si="81"/>
        <v>3497.0896558653108</v>
      </c>
      <c r="AL378" s="1184">
        <f t="shared" ca="1" si="81"/>
        <v>3225.1159887058752</v>
      </c>
      <c r="AM378" s="1184">
        <f t="shared" ca="1" si="81"/>
        <v>2761.8388099003955</v>
      </c>
      <c r="AN378" s="1184">
        <f ca="1">SUM(P378:AM378)</f>
        <v>73099.14617538084</v>
      </c>
    </row>
    <row r="379" spans="2:40" s="6" customFormat="1" ht="14.1" customHeight="1">
      <c r="B379" s="2" t="s">
        <v>3053</v>
      </c>
      <c r="K379" s="18" t="str">
        <f>CONCATENATE("Sum of Rows ",O377," and ",O378,".")</f>
        <v>Sum of Rows 377 and 378.</v>
      </c>
      <c r="O379" s="21">
        <f>ROW()</f>
        <v>379</v>
      </c>
      <c r="P379" s="1185">
        <f ca="1">P377+P378</f>
        <v>2299.3469606840458</v>
      </c>
      <c r="Q379" s="1185">
        <f t="shared" ref="Q379:AM379" ca="1" si="82">Q364+Q365+Q373+Q374</f>
        <v>1517.2153261739434</v>
      </c>
      <c r="R379" s="1185">
        <f t="shared" ca="1" si="82"/>
        <v>1081.2769920215028</v>
      </c>
      <c r="S379" s="1185">
        <f t="shared" ca="1" si="82"/>
        <v>948.67590589283543</v>
      </c>
      <c r="T379" s="1185">
        <f t="shared" ca="1" si="82"/>
        <v>1216.029215637076</v>
      </c>
      <c r="U379" s="1185">
        <f t="shared" ca="1" si="82"/>
        <v>5990.1659075020971</v>
      </c>
      <c r="V379" s="1185">
        <f t="shared" ca="1" si="82"/>
        <v>9084.2503002728936</v>
      </c>
      <c r="W379" s="1185">
        <f t="shared" ca="1" si="82"/>
        <v>10403.041262096453</v>
      </c>
      <c r="X379" s="1185">
        <f t="shared" ca="1" si="82"/>
        <v>10046.629282330108</v>
      </c>
      <c r="Y379" s="1185">
        <f t="shared" ca="1" si="82"/>
        <v>8590.4338564271784</v>
      </c>
      <c r="Z379" s="1185">
        <f t="shared" ca="1" si="82"/>
        <v>5842.4486892203695</v>
      </c>
      <c r="AA379" s="1185">
        <f t="shared" ca="1" si="82"/>
        <v>5672.2520595551405</v>
      </c>
      <c r="AB379" s="1185">
        <f t="shared" ca="1" si="82"/>
        <v>5735.4571065502378</v>
      </c>
      <c r="AC379" s="1185">
        <f t="shared" ca="1" si="82"/>
        <v>6031.9111659259697</v>
      </c>
      <c r="AD379" s="1185">
        <f t="shared" ca="1" si="82"/>
        <v>7707.8283497521425</v>
      </c>
      <c r="AE379" s="1185">
        <f t="shared" ca="1" si="82"/>
        <v>8485.0459171185648</v>
      </c>
      <c r="AF379" s="1185">
        <f t="shared" ca="1" si="82"/>
        <v>8937.8391279018233</v>
      </c>
      <c r="AG379" s="1185">
        <f t="shared" ca="1" si="82"/>
        <v>9024.5261890847487</v>
      </c>
      <c r="AH379" s="1185">
        <f t="shared" ca="1" si="82"/>
        <v>8535.042135626838</v>
      </c>
      <c r="AI379" s="1185">
        <f t="shared" ca="1" si="82"/>
        <v>7786.0128042673205</v>
      </c>
      <c r="AJ379" s="1185">
        <f t="shared" ca="1" si="82"/>
        <v>6608.7093842501081</v>
      </c>
      <c r="AK379" s="1185">
        <f t="shared" ca="1" si="82"/>
        <v>6005.7393344438915</v>
      </c>
      <c r="AL379" s="1185">
        <f t="shared" ca="1" si="82"/>
        <v>5560.2222934030169</v>
      </c>
      <c r="AM379" s="1185">
        <f t="shared" ca="1" si="82"/>
        <v>3088.1927846233871</v>
      </c>
      <c r="AN379" s="1185">
        <f ca="1">SUM(P379:AM379)</f>
        <v>146198.29235076171</v>
      </c>
    </row>
    <row r="380" spans="2:40" ht="14.1" customHeight="1">
      <c r="O380" s="21">
        <f>ROW()</f>
        <v>380</v>
      </c>
      <c r="P380" s="1122"/>
      <c r="Q380" s="1122"/>
      <c r="R380" s="1122"/>
      <c r="S380" s="1122"/>
      <c r="T380" s="1122"/>
      <c r="U380" s="1122"/>
      <c r="V380" s="1122"/>
      <c r="W380" s="1122"/>
      <c r="X380" s="1122"/>
      <c r="Y380" s="1122"/>
      <c r="Z380" s="1122"/>
      <c r="AA380" s="1122"/>
      <c r="AB380" s="1122"/>
      <c r="AC380" s="1122"/>
      <c r="AD380" s="1122"/>
      <c r="AE380" s="1122"/>
      <c r="AF380" s="1122"/>
      <c r="AG380" s="1122"/>
      <c r="AH380" s="1122"/>
      <c r="AI380" s="1122"/>
      <c r="AJ380" s="1122"/>
      <c r="AK380" s="1122"/>
      <c r="AL380" s="1122"/>
      <c r="AM380" s="1122"/>
      <c r="AN380" s="1122"/>
    </row>
    <row r="381" spans="2:40" ht="14.1" customHeight="1">
      <c r="B381" s="24" t="s">
        <v>4508</v>
      </c>
      <c r="O381" s="21">
        <f>ROW()</f>
        <v>381</v>
      </c>
      <c r="P381" s="1122"/>
      <c r="Q381" s="1122"/>
      <c r="R381" s="1122"/>
      <c r="S381" s="1122"/>
      <c r="T381" s="1122"/>
      <c r="U381" s="1122"/>
      <c r="V381" s="1122"/>
      <c r="W381" s="1122"/>
      <c r="X381" s="1122"/>
      <c r="Y381" s="1122"/>
      <c r="Z381" s="1122"/>
      <c r="AA381" s="1122"/>
      <c r="AB381" s="1122"/>
      <c r="AC381" s="1122"/>
      <c r="AD381" s="1122"/>
      <c r="AE381" s="1122"/>
      <c r="AF381" s="1122"/>
      <c r="AG381" s="1122"/>
      <c r="AH381" s="1122"/>
      <c r="AI381" s="1122"/>
      <c r="AJ381" s="1122"/>
      <c r="AK381" s="1122"/>
      <c r="AL381" s="1122"/>
      <c r="AM381" s="1122"/>
      <c r="AN381" s="1122"/>
    </row>
    <row r="382" spans="2:40" ht="14.1" customHeight="1">
      <c r="O382" s="21">
        <f>ROW()</f>
        <v>382</v>
      </c>
      <c r="P382" s="1122"/>
      <c r="Q382" s="1122"/>
      <c r="R382" s="1122"/>
      <c r="S382" s="1122"/>
      <c r="T382" s="1122"/>
      <c r="U382" s="1122"/>
      <c r="V382" s="1122"/>
      <c r="W382" s="1122"/>
      <c r="X382" s="1122"/>
      <c r="Y382" s="1122"/>
      <c r="Z382" s="1122"/>
      <c r="AA382" s="1122"/>
      <c r="AB382" s="1122"/>
      <c r="AC382" s="1122"/>
      <c r="AD382" s="1122"/>
      <c r="AE382" s="1122"/>
      <c r="AF382" s="1122"/>
      <c r="AG382" s="1122"/>
      <c r="AH382" s="1122"/>
      <c r="AI382" s="1122"/>
      <c r="AJ382" s="1122"/>
      <c r="AK382" s="1122"/>
      <c r="AL382" s="1122"/>
      <c r="AM382" s="1122"/>
      <c r="AN382" s="1122"/>
    </row>
    <row r="383" spans="2:40" ht="14.1" customHeight="1">
      <c r="B383" s="172" t="s">
        <v>1596</v>
      </c>
      <c r="D383" s="171"/>
      <c r="E383" s="171"/>
      <c r="F383" s="171"/>
      <c r="G383" s="171"/>
      <c r="H383" s="171"/>
      <c r="I383" s="171"/>
      <c r="J383" s="171"/>
      <c r="K383" s="171"/>
      <c r="L383" s="171"/>
      <c r="O383" s="21">
        <f>ROW()</f>
        <v>383</v>
      </c>
      <c r="P383" s="1122"/>
      <c r="Q383" s="1122"/>
      <c r="R383" s="1122"/>
      <c r="S383" s="1122"/>
      <c r="T383" s="1122"/>
      <c r="U383" s="1122"/>
      <c r="V383" s="1122"/>
      <c r="W383" s="1122"/>
      <c r="X383" s="1122"/>
      <c r="Y383" s="1122"/>
      <c r="Z383" s="1122"/>
      <c r="AA383" s="1122"/>
      <c r="AB383" s="1122"/>
      <c r="AC383" s="1122"/>
      <c r="AD383" s="1122"/>
      <c r="AE383" s="1122"/>
      <c r="AF383" s="1122"/>
      <c r="AG383" s="1122"/>
      <c r="AH383" s="1122"/>
      <c r="AI383" s="1122"/>
      <c r="AJ383" s="1122"/>
      <c r="AK383" s="1122"/>
      <c r="AL383" s="1122"/>
      <c r="AM383" s="1122"/>
      <c r="AN383" s="1122"/>
    </row>
    <row r="384" spans="2:40" ht="14.1" customHeight="1">
      <c r="B384" s="171" t="s">
        <v>1597</v>
      </c>
      <c r="D384" s="171"/>
      <c r="E384" s="171"/>
      <c r="F384" s="171"/>
      <c r="G384" s="171"/>
      <c r="H384" s="171"/>
      <c r="I384" s="171"/>
      <c r="J384" s="171"/>
      <c r="K384" s="171"/>
      <c r="L384" s="171"/>
      <c r="O384" s="21">
        <f>ROW()</f>
        <v>384</v>
      </c>
      <c r="P384" s="1184">
        <f>Buses!$I$195</f>
        <v>498</v>
      </c>
      <c r="Q384" s="1184">
        <f>Buses!$I$196</f>
        <v>146</v>
      </c>
      <c r="R384" s="1184">
        <f>Buses!$I$197</f>
        <v>101</v>
      </c>
      <c r="S384" s="1184">
        <f>Buses!$I$198</f>
        <v>73</v>
      </c>
      <c r="T384" s="1184">
        <f>Buses!$I$199</f>
        <v>283</v>
      </c>
      <c r="U384" s="1184">
        <f>Buses!$I$200</f>
        <v>2107</v>
      </c>
      <c r="V384" s="1184">
        <f>Buses!$I$201</f>
        <v>8724</v>
      </c>
      <c r="W384" s="1184">
        <f>Buses!$I$202</f>
        <v>20724</v>
      </c>
      <c r="X384" s="1184">
        <f>Buses!$I$203</f>
        <v>24299</v>
      </c>
      <c r="Y384" s="1184">
        <f>Buses!$I$204</f>
        <v>8467</v>
      </c>
      <c r="Z384" s="1184">
        <f>Buses!$I$205</f>
        <v>4373</v>
      </c>
      <c r="AA384" s="1184">
        <f>Buses!$I$206</f>
        <v>3708</v>
      </c>
      <c r="AB384" s="1184">
        <f>Buses!$I$207</f>
        <v>3786</v>
      </c>
      <c r="AC384" s="1184">
        <f>Buses!$I$208</f>
        <v>3622</v>
      </c>
      <c r="AD384" s="1184">
        <f>Buses!$I$209</f>
        <v>3878</v>
      </c>
      <c r="AE384" s="1184">
        <f>Buses!$I$210</f>
        <v>4479</v>
      </c>
      <c r="AF384" s="1184">
        <f>Buses!$I$211</f>
        <v>3420</v>
      </c>
      <c r="AG384" s="1184">
        <f>Buses!$I$212</f>
        <v>3320</v>
      </c>
      <c r="AH384" s="1184">
        <f>Buses!$I$213</f>
        <v>2599</v>
      </c>
      <c r="AI384" s="1184">
        <f>Buses!$I$214</f>
        <v>1731</v>
      </c>
      <c r="AJ384" s="1184">
        <f>Buses!$I$215</f>
        <v>1233</v>
      </c>
      <c r="AK384" s="1184">
        <f>Buses!$I$216</f>
        <v>977</v>
      </c>
      <c r="AL384" s="1184">
        <f>Buses!$I$217</f>
        <v>793</v>
      </c>
      <c r="AM384" s="1184">
        <f>Buses!$I$218</f>
        <v>720</v>
      </c>
      <c r="AN384" s="1184">
        <f>SUM(P384:AM384)</f>
        <v>104061</v>
      </c>
    </row>
    <row r="385" spans="2:255" ht="14.1" customHeight="1">
      <c r="B385" s="265" t="s">
        <v>574</v>
      </c>
      <c r="D385" s="171"/>
      <c r="E385" s="171"/>
      <c r="F385" s="171"/>
      <c r="G385" s="171"/>
      <c r="H385" s="171"/>
      <c r="I385" s="171"/>
      <c r="J385" s="171"/>
      <c r="K385" s="171"/>
      <c r="L385" s="171"/>
      <c r="O385" s="21">
        <f>ROW()</f>
        <v>385</v>
      </c>
      <c r="P385" s="1122"/>
      <c r="Q385" s="1122"/>
      <c r="R385" s="1122"/>
      <c r="S385" s="1122"/>
      <c r="T385" s="1122"/>
      <c r="U385" s="1122"/>
      <c r="V385" s="1122"/>
      <c r="W385" s="1122"/>
      <c r="X385" s="1122"/>
      <c r="Y385" s="1122"/>
      <c r="Z385" s="1122"/>
      <c r="AA385" s="1122"/>
      <c r="AB385" s="1122"/>
      <c r="AC385" s="1122"/>
      <c r="AD385" s="1122"/>
      <c r="AE385" s="1122"/>
      <c r="AF385" s="1122"/>
      <c r="AG385" s="1122"/>
      <c r="AH385" s="1122"/>
      <c r="AI385" s="1122"/>
      <c r="AJ385" s="1122"/>
      <c r="AK385" s="1122"/>
      <c r="AL385" s="1122"/>
      <c r="AM385" s="1122"/>
      <c r="AN385" s="1122"/>
    </row>
    <row r="386" spans="2:255" ht="14.1" customHeight="1">
      <c r="B386" s="171" t="s">
        <v>1132</v>
      </c>
      <c r="D386" s="171"/>
      <c r="E386" s="171"/>
      <c r="F386" s="171"/>
      <c r="G386" s="171"/>
      <c r="H386" s="171"/>
      <c r="I386" s="171"/>
      <c r="J386" s="171"/>
      <c r="K386" s="171"/>
      <c r="L386" s="171"/>
      <c r="O386" s="21">
        <f>ROW()</f>
        <v>386</v>
      </c>
      <c r="P386" s="1184">
        <f t="shared" ref="P386:AM386" si="83">P310</f>
        <v>9752.7322514653479</v>
      </c>
      <c r="Q386" s="1184">
        <f t="shared" si="83"/>
        <v>4305.6313308807967</v>
      </c>
      <c r="R386" s="1184">
        <f t="shared" si="83"/>
        <v>3412.350991755236</v>
      </c>
      <c r="S386" s="1184">
        <f t="shared" si="83"/>
        <v>3131.0028534479729</v>
      </c>
      <c r="T386" s="1184">
        <f t="shared" si="83"/>
        <v>7006.5734586305243</v>
      </c>
      <c r="U386" s="1184">
        <f t="shared" si="83"/>
        <v>34011.975477009124</v>
      </c>
      <c r="V386" s="1184">
        <f t="shared" si="83"/>
        <v>108307.98028572001</v>
      </c>
      <c r="W386" s="1184">
        <f t="shared" si="83"/>
        <v>242271.89634072341</v>
      </c>
      <c r="X386" s="1184">
        <f t="shared" si="83"/>
        <v>414306.23476781824</v>
      </c>
      <c r="Y386" s="1184">
        <f t="shared" si="83"/>
        <v>262552.07303877873</v>
      </c>
      <c r="Z386" s="1184">
        <f t="shared" si="83"/>
        <v>127113.08888722154</v>
      </c>
      <c r="AA386" s="1184">
        <f t="shared" si="83"/>
        <v>90337.872766123226</v>
      </c>
      <c r="AB386" s="1184">
        <f t="shared" si="83"/>
        <v>79620.518326175836</v>
      </c>
      <c r="AC386" s="1184">
        <f t="shared" si="83"/>
        <v>81994.895650533203</v>
      </c>
      <c r="AD386" s="1184">
        <f t="shared" si="83"/>
        <v>90749.846825787434</v>
      </c>
      <c r="AE386" s="1184">
        <f t="shared" si="83"/>
        <v>107313.2136538479</v>
      </c>
      <c r="AF386" s="1184">
        <f t="shared" si="83"/>
        <v>126305.21780436783</v>
      </c>
      <c r="AG386" s="1184">
        <f t="shared" si="83"/>
        <v>132592.34388075551</v>
      </c>
      <c r="AH386" s="1184">
        <f t="shared" si="83"/>
        <v>95897.512942030677</v>
      </c>
      <c r="AI386" s="1184">
        <f t="shared" si="83"/>
        <v>63957.46554069862</v>
      </c>
      <c r="AJ386" s="1184">
        <f t="shared" si="83"/>
        <v>47615.157964165308</v>
      </c>
      <c r="AK386" s="1184">
        <f t="shared" si="83"/>
        <v>30570.484856643496</v>
      </c>
      <c r="AL386" s="1184">
        <f t="shared" si="83"/>
        <v>26566.297959663338</v>
      </c>
      <c r="AM386" s="1184">
        <f t="shared" si="83"/>
        <v>15864.015741410974</v>
      </c>
      <c r="AN386" s="1184">
        <f>SUM(P386:AM386)</f>
        <v>2205556.3835956547</v>
      </c>
    </row>
    <row r="387" spans="2:255" ht="14.1" customHeight="1">
      <c r="B387" s="265" t="str">
        <f>CONCATENATE("Repeated from Row ",O46, ".")</f>
        <v>Repeated from Row 46.</v>
      </c>
      <c r="D387" s="171"/>
      <c r="E387" s="171"/>
      <c r="F387" s="171"/>
      <c r="G387" s="171"/>
      <c r="H387" s="171"/>
      <c r="I387" s="171"/>
      <c r="J387" s="171"/>
      <c r="K387" s="171"/>
      <c r="O387" s="21">
        <f>ROW()</f>
        <v>387</v>
      </c>
    </row>
    <row r="388" spans="2:255" ht="14.1" customHeight="1">
      <c r="B388" s="171" t="s">
        <v>343</v>
      </c>
      <c r="D388" s="171"/>
      <c r="E388" s="171"/>
      <c r="F388" s="171"/>
      <c r="G388" s="171"/>
      <c r="H388" s="171"/>
      <c r="I388" s="171"/>
      <c r="J388" s="171"/>
      <c r="K388" s="171"/>
      <c r="O388" s="21">
        <f>ROW()</f>
        <v>388</v>
      </c>
      <c r="P388" s="22">
        <f t="shared" ref="P388:AN388" si="84">P384/(P384+P386)</f>
        <v>4.8581895203516863E-2</v>
      </c>
      <c r="Q388" s="22">
        <f t="shared" si="84"/>
        <v>3.2796965684737542E-2</v>
      </c>
      <c r="R388" s="22">
        <f t="shared" si="84"/>
        <v>2.8747483595295834E-2</v>
      </c>
      <c r="S388" s="22">
        <f t="shared" si="84"/>
        <v>2.2783999683845906E-2</v>
      </c>
      <c r="T388" s="22">
        <f t="shared" si="84"/>
        <v>3.8822573310505683E-2</v>
      </c>
      <c r="U388" s="22">
        <f t="shared" si="84"/>
        <v>5.833498797165973E-2</v>
      </c>
      <c r="V388" s="22">
        <f t="shared" si="84"/>
        <v>7.4543727096656534E-2</v>
      </c>
      <c r="W388" s="22">
        <f t="shared" si="84"/>
        <v>7.8799708620362258E-2</v>
      </c>
      <c r="X388" s="22">
        <f t="shared" si="84"/>
        <v>5.5400615573735712E-2</v>
      </c>
      <c r="Y388" s="22">
        <f t="shared" si="84"/>
        <v>3.1241343662881248E-2</v>
      </c>
      <c r="Z388" s="22">
        <f t="shared" si="84"/>
        <v>3.325827117536987E-2</v>
      </c>
      <c r="AA388" s="22">
        <f t="shared" si="84"/>
        <v>3.9427567536336146E-2</v>
      </c>
      <c r="AB388" s="22">
        <f t="shared" si="84"/>
        <v>4.5392135722464547E-2</v>
      </c>
      <c r="AC388" s="22">
        <f t="shared" si="84"/>
        <v>4.2304734042029508E-2</v>
      </c>
      <c r="AD388" s="22">
        <f t="shared" si="84"/>
        <v>4.0981594003079332E-2</v>
      </c>
      <c r="AE388" s="22">
        <f t="shared" si="84"/>
        <v>4.0065402174329627E-2</v>
      </c>
      <c r="AF388" s="22">
        <f t="shared" si="84"/>
        <v>2.6363416904472133E-2</v>
      </c>
      <c r="AG388" s="22">
        <f t="shared" si="84"/>
        <v>2.442750897529106E-2</v>
      </c>
      <c r="AH388" s="22">
        <f t="shared" si="84"/>
        <v>2.638672093426922E-2</v>
      </c>
      <c r="AI388" s="22">
        <f t="shared" si="84"/>
        <v>2.635165832770936E-2</v>
      </c>
      <c r="AJ388" s="22">
        <f t="shared" si="84"/>
        <v>2.5241484047454171E-2</v>
      </c>
      <c r="AK388" s="22">
        <f t="shared" si="84"/>
        <v>3.0969188334335832E-2</v>
      </c>
      <c r="AL388" s="22">
        <f t="shared" si="84"/>
        <v>2.8984661856789766E-2</v>
      </c>
      <c r="AM388" s="22">
        <f t="shared" si="84"/>
        <v>4.3415298877347915E-2</v>
      </c>
      <c r="AN388" s="22">
        <f t="shared" si="84"/>
        <v>4.5055514709538565E-2</v>
      </c>
    </row>
    <row r="389" spans="2:255" ht="14.1" customHeight="1">
      <c r="B389" s="19" t="s">
        <v>3054</v>
      </c>
      <c r="D389" s="171"/>
      <c r="E389" s="171"/>
      <c r="F389" s="171"/>
      <c r="G389" s="171"/>
      <c r="H389" s="171"/>
      <c r="I389" s="171"/>
      <c r="J389" s="171"/>
      <c r="K389" s="171"/>
      <c r="O389" s="21">
        <f>ROW()</f>
        <v>389</v>
      </c>
      <c r="P389" s="841">
        <f ca="1">'Sub v. Bus'!J70</f>
        <v>1.2983408000799195</v>
      </c>
      <c r="Q389" s="841">
        <f ca="1">'Sub v. Bus'!K70</f>
        <v>1.2983408000799195</v>
      </c>
      <c r="R389" s="841">
        <f ca="1">'Sub v. Bus'!L70</f>
        <v>1.2983408000799195</v>
      </c>
      <c r="S389" s="841">
        <f ca="1">'Sub v. Bus'!M70</f>
        <v>1.2983408000799195</v>
      </c>
      <c r="T389" s="841">
        <f ca="1">'Sub v. Bus'!N70</f>
        <v>1.2983408000799195</v>
      </c>
      <c r="U389" s="841">
        <f ca="1">'Sub v. Bus'!O70</f>
        <v>1.2983408000799195</v>
      </c>
      <c r="V389" s="841">
        <f ca="1">'Sub v. Bus'!P70</f>
        <v>1.2983408000799195</v>
      </c>
      <c r="W389" s="841">
        <f ca="1">'Sub v. Bus'!Q70</f>
        <v>1.2983408000799195</v>
      </c>
      <c r="X389" s="841">
        <f ca="1">'Sub v. Bus'!R70</f>
        <v>1.2983408000799195</v>
      </c>
      <c r="Y389" s="841">
        <f ca="1">'Sub v. Bus'!S70</f>
        <v>1.2983408000799195</v>
      </c>
      <c r="Z389" s="841">
        <f ca="1">'Sub v. Bus'!T70</f>
        <v>1.2983408000799195</v>
      </c>
      <c r="AA389" s="841">
        <f ca="1">'Sub v. Bus'!U70</f>
        <v>1.2983408000799195</v>
      </c>
      <c r="AB389" s="841">
        <f ca="1">'Sub v. Bus'!V70</f>
        <v>1.2983408000799195</v>
      </c>
      <c r="AC389" s="841">
        <f ca="1">'Sub v. Bus'!W70</f>
        <v>1.2983408000799195</v>
      </c>
      <c r="AD389" s="841">
        <f ca="1">'Sub v. Bus'!X70</f>
        <v>1.2983408000799195</v>
      </c>
      <c r="AE389" s="841">
        <f ca="1">'Sub v. Bus'!Y70</f>
        <v>1.2983408000799195</v>
      </c>
      <c r="AF389" s="841">
        <f ca="1">'Sub v. Bus'!Z70</f>
        <v>1.2983408000799195</v>
      </c>
      <c r="AG389" s="841">
        <f ca="1">'Sub v. Bus'!AA70</f>
        <v>1.2983408000799195</v>
      </c>
      <c r="AH389" s="841">
        <f ca="1">'Sub v. Bus'!AB70</f>
        <v>1.2983408000799195</v>
      </c>
      <c r="AI389" s="841">
        <f ca="1">'Sub v. Bus'!AC70</f>
        <v>1.2983408000799195</v>
      </c>
      <c r="AJ389" s="841">
        <f ca="1">'Sub v. Bus'!AD70</f>
        <v>1.2983408000799195</v>
      </c>
      <c r="AK389" s="841">
        <f ca="1">'Sub v. Bus'!AE70</f>
        <v>1.2983408000799195</v>
      </c>
      <c r="AL389" s="841">
        <f ca="1">'Sub v. Bus'!AF70</f>
        <v>1.2983408000799195</v>
      </c>
      <c r="AM389" s="841">
        <f ca="1">'Sub v. Bus'!AG70</f>
        <v>1.2983408000799195</v>
      </c>
      <c r="AN389" s="841"/>
    </row>
    <row r="390" spans="2:255" ht="14.1" customHeight="1">
      <c r="B390" s="4581" t="s">
        <v>2017</v>
      </c>
      <c r="C390" s="4581"/>
      <c r="D390" s="4581"/>
      <c r="E390" s="4581"/>
      <c r="F390" s="4581"/>
      <c r="G390" s="4581"/>
      <c r="H390" s="4581"/>
      <c r="I390" s="4581"/>
      <c r="J390" s="4581"/>
      <c r="K390" s="4581"/>
      <c r="L390" s="4581"/>
      <c r="O390" s="21">
        <f>ROW()</f>
        <v>390</v>
      </c>
      <c r="P390" s="841"/>
      <c r="Q390" s="841"/>
      <c r="R390" s="841"/>
      <c r="S390" s="841"/>
      <c r="T390" s="841"/>
      <c r="U390" s="841"/>
      <c r="V390" s="841"/>
      <c r="W390" s="841"/>
      <c r="X390" s="841"/>
      <c r="Y390" s="841"/>
      <c r="Z390" s="841"/>
      <c r="AA390" s="841"/>
      <c r="AB390" s="841"/>
      <c r="AC390" s="841"/>
      <c r="AD390" s="841"/>
      <c r="AE390" s="841"/>
      <c r="AF390" s="841"/>
      <c r="AG390" s="841"/>
      <c r="AH390" s="841"/>
      <c r="AI390" s="841"/>
      <c r="AJ390" s="841"/>
      <c r="AK390" s="841"/>
      <c r="AL390" s="841"/>
      <c r="AM390" s="841"/>
      <c r="AN390" s="841"/>
    </row>
    <row r="391" spans="2:255" ht="14.1" customHeight="1">
      <c r="B391" s="171" t="s">
        <v>344</v>
      </c>
      <c r="D391" s="171"/>
      <c r="E391" s="171"/>
      <c r="F391" s="171"/>
      <c r="G391" s="171"/>
      <c r="H391" s="171"/>
      <c r="I391" s="171"/>
      <c r="J391" s="171"/>
      <c r="K391" s="171"/>
      <c r="O391" s="21">
        <f>ROW()</f>
        <v>391</v>
      </c>
      <c r="P391" s="22">
        <f t="shared" ref="P391:AM391" ca="1" si="85">P388*P389</f>
        <v>6.3075856687932891E-2</v>
      </c>
      <c r="Q391" s="22">
        <f t="shared" ca="1" si="85"/>
        <v>4.2581638667315805E-2</v>
      </c>
      <c r="R391" s="22">
        <f t="shared" ca="1" si="85"/>
        <v>3.7324030851400757E-2</v>
      </c>
      <c r="S391" s="22">
        <f t="shared" ca="1" si="85"/>
        <v>2.9581396378545125E-2</v>
      </c>
      <c r="T391" s="22">
        <f t="shared" ca="1" si="85"/>
        <v>5.0404930893123277E-2</v>
      </c>
      <c r="U391" s="22">
        <f t="shared" ca="1" si="85"/>
        <v>7.5738694955777175E-2</v>
      </c>
      <c r="V391" s="22">
        <f t="shared" ca="1" si="85"/>
        <v>9.6783162279612214E-2</v>
      </c>
      <c r="W391" s="22">
        <f t="shared" ca="1" si="85"/>
        <v>0.10230887673622566</v>
      </c>
      <c r="X391" s="22">
        <f t="shared" ca="1" si="85"/>
        <v>7.1928879548924074E-2</v>
      </c>
      <c r="Y391" s="22">
        <f t="shared" ca="1" si="85"/>
        <v>4.0561911126836964E-2</v>
      </c>
      <c r="Z391" s="22">
        <f t="shared" ca="1" si="85"/>
        <v>4.3180570407104643E-2</v>
      </c>
      <c r="AA391" s="22">
        <f t="shared" ca="1" si="85"/>
        <v>5.1190419580331728E-2</v>
      </c>
      <c r="AB391" s="22">
        <f t="shared" ca="1" si="85"/>
        <v>5.8934461811240915E-2</v>
      </c>
      <c r="AC391" s="22">
        <f t="shared" ca="1" si="85"/>
        <v>5.4925962243296801E-2</v>
      </c>
      <c r="AD391" s="22">
        <f t="shared" ca="1" si="85"/>
        <v>5.320807554650845E-2</v>
      </c>
      <c r="AE391" s="22">
        <f t="shared" ca="1" si="85"/>
        <v>5.2018546314542877E-2</v>
      </c>
      <c r="AF391" s="22">
        <f t="shared" ca="1" si="85"/>
        <v>3.4228699796592821E-2</v>
      </c>
      <c r="AG391" s="22">
        <f t="shared" ca="1" si="85"/>
        <v>3.171523154693881E-2</v>
      </c>
      <c r="AH391" s="22">
        <f t="shared" ca="1" si="85"/>
        <v>3.4258956369284659E-2</v>
      </c>
      <c r="AI391" s="22">
        <f t="shared" ca="1" si="85"/>
        <v>3.4213433156630842E-2</v>
      </c>
      <c r="AJ391" s="22">
        <f t="shared" ca="1" si="85"/>
        <v>3.2772048593376173E-2</v>
      </c>
      <c r="AK391" s="22">
        <f t="shared" ca="1" si="85"/>
        <v>4.0208560759827296E-2</v>
      </c>
      <c r="AL391" s="22">
        <f t="shared" ca="1" si="85"/>
        <v>3.7631969065190347E-2</v>
      </c>
      <c r="AM391" s="22">
        <f t="shared" ca="1" si="85"/>
        <v>5.6367853880124719E-2</v>
      </c>
      <c r="AN391" s="22">
        <f ca="1">AN393/AN379</f>
        <v>5.3786097672034142E-2</v>
      </c>
    </row>
    <row r="392" spans="2:255" ht="14.1" customHeight="1">
      <c r="B392" s="265" t="str">
        <f>CONCATENATE("Product of Rows ",O388, " and ",O389, ".")</f>
        <v>Product of Rows 388 and 389.</v>
      </c>
      <c r="M392" s="171"/>
      <c r="O392" s="21">
        <f>ROW()</f>
        <v>392</v>
      </c>
    </row>
    <row r="393" spans="2:255" ht="14.1" customHeight="1">
      <c r="B393" s="19" t="s">
        <v>3055</v>
      </c>
      <c r="D393" s="171"/>
      <c r="E393" s="171"/>
      <c r="F393" s="171"/>
      <c r="G393" s="171"/>
      <c r="H393" s="171"/>
      <c r="I393" s="171"/>
      <c r="J393" s="171"/>
      <c r="K393" s="171"/>
      <c r="L393" s="171"/>
      <c r="O393" s="21">
        <f>ROW()</f>
        <v>393</v>
      </c>
      <c r="P393" s="1184">
        <f t="shared" ref="P393:AM393" ca="1" si="86">P391*P379</f>
        <v>145.03327936794093</v>
      </c>
      <c r="Q393" s="1184">
        <f t="shared" ca="1" si="86"/>
        <v>64.605514799652553</v>
      </c>
      <c r="R393" s="1184">
        <f t="shared" ca="1" si="86"/>
        <v>40.357615809120382</v>
      </c>
      <c r="S393" s="1184">
        <f t="shared" ca="1" si="86"/>
        <v>28.063158006991337</v>
      </c>
      <c r="T393" s="1184">
        <f t="shared" ca="1" si="86"/>
        <v>61.293868578205725</v>
      </c>
      <c r="U393" s="1184">
        <f t="shared" ca="1" si="86"/>
        <v>453.68734840279751</v>
      </c>
      <c r="V393" s="1184">
        <f t="shared" ca="1" si="86"/>
        <v>879.20247099992741</v>
      </c>
      <c r="W393" s="1184">
        <f t="shared" ca="1" si="86"/>
        <v>1064.3234661656954</v>
      </c>
      <c r="X393" s="1184">
        <f t="shared" ca="1" si="86"/>
        <v>722.64278752141593</v>
      </c>
      <c r="Y393" s="1184">
        <f t="shared" ca="1" si="86"/>
        <v>348.44441462537054</v>
      </c>
      <c r="Z393" s="1184">
        <f t="shared" ca="1" si="86"/>
        <v>252.2802669747764</v>
      </c>
      <c r="AA393" s="1184">
        <f t="shared" ca="1" si="86"/>
        <v>290.36496289402845</v>
      </c>
      <c r="AB393" s="1184">
        <f t="shared" ca="1" si="86"/>
        <v>338.01607781599529</v>
      </c>
      <c r="AC393" s="1184">
        <f t="shared" ca="1" si="86"/>
        <v>331.3085249545702</v>
      </c>
      <c r="AD393" s="1184">
        <f t="shared" ca="1" si="86"/>
        <v>410.11871313313156</v>
      </c>
      <c r="AE393" s="1184">
        <f t="shared" ca="1" si="86"/>
        <v>441.37975402065501</v>
      </c>
      <c r="AF393" s="1184">
        <f t="shared" ca="1" si="86"/>
        <v>305.93061233919252</v>
      </c>
      <c r="AG393" s="1184">
        <f t="shared" ca="1" si="86"/>
        <v>286.21493768823609</v>
      </c>
      <c r="AH393" s="1184">
        <f t="shared" ca="1" si="86"/>
        <v>292.40163613444599</v>
      </c>
      <c r="AI393" s="1184">
        <f t="shared" ca="1" si="86"/>
        <v>266.38622863547181</v>
      </c>
      <c r="AJ393" s="1184">
        <f t="shared" ca="1" si="86"/>
        <v>216.58094508014565</v>
      </c>
      <c r="AK393" s="1184">
        <f t="shared" ca="1" si="86"/>
        <v>241.48213493667197</v>
      </c>
      <c r="AL393" s="1184">
        <f t="shared" ca="1" si="86"/>
        <v>209.24211334092405</v>
      </c>
      <c r="AM393" s="1184">
        <f t="shared" ca="1" si="86"/>
        <v>174.07479963730654</v>
      </c>
      <c r="AN393" s="1184">
        <f ca="1">SUM(P393:AM393)</f>
        <v>7863.4356318626687</v>
      </c>
      <c r="IU393" s="22"/>
    </row>
    <row r="394" spans="2:255" ht="14.1" customHeight="1">
      <c r="B394" s="265" t="str">
        <f>CONCATENATE("Product of total new transit trips in Row ",O379, " and percent of such trips allocated to bus in Row ",O391, ".")</f>
        <v>Product of total new transit trips in Row 379 and percent of such trips allocated to bus in Row 391.</v>
      </c>
      <c r="D394" s="171"/>
      <c r="E394" s="171"/>
      <c r="F394" s="171"/>
      <c r="G394" s="171"/>
      <c r="H394" s="171"/>
      <c r="I394" s="171"/>
      <c r="J394" s="171"/>
      <c r="K394" s="171"/>
      <c r="L394" s="171"/>
      <c r="O394" s="21">
        <f>ROW()</f>
        <v>394</v>
      </c>
      <c r="P394" s="1184"/>
      <c r="Q394" s="1184"/>
      <c r="R394" s="1184"/>
      <c r="S394" s="1184"/>
      <c r="T394" s="1184"/>
      <c r="U394" s="1184"/>
      <c r="V394" s="1184"/>
      <c r="W394" s="1184"/>
      <c r="X394" s="1184"/>
      <c r="Y394" s="1184"/>
      <c r="Z394" s="1184"/>
      <c r="AA394" s="1184"/>
      <c r="AB394" s="1184"/>
      <c r="AC394" s="1184"/>
      <c r="AD394" s="1184"/>
      <c r="AE394" s="1184"/>
      <c r="AF394" s="1184"/>
      <c r="AG394" s="1184"/>
      <c r="AH394" s="1184"/>
      <c r="AI394" s="1184"/>
      <c r="AJ394" s="1184"/>
      <c r="AK394" s="1184"/>
      <c r="AL394" s="1184"/>
      <c r="AM394" s="1184"/>
      <c r="AN394" s="1184"/>
      <c r="IU394" s="22"/>
    </row>
    <row r="395" spans="2:255" s="2" customFormat="1" ht="14.1" customHeight="1">
      <c r="B395" s="2087" t="s">
        <v>275</v>
      </c>
      <c r="D395" s="2087"/>
      <c r="E395" s="2087"/>
      <c r="F395" s="2087"/>
      <c r="G395" s="2087"/>
      <c r="H395" s="2087"/>
      <c r="I395" s="2087"/>
      <c r="J395" s="2087"/>
      <c r="K395" s="2087"/>
      <c r="L395" s="2087"/>
      <c r="O395" s="2146">
        <f>ROW()</f>
        <v>395</v>
      </c>
      <c r="P395" s="2970">
        <f t="shared" ref="P395:AM395" ca="1" si="87">P379-P393</f>
        <v>2154.313681316105</v>
      </c>
      <c r="Q395" s="2970">
        <f t="shared" ca="1" si="87"/>
        <v>1452.6098113742908</v>
      </c>
      <c r="R395" s="2970">
        <f t="shared" ca="1" si="87"/>
        <v>1040.9193762123823</v>
      </c>
      <c r="S395" s="2970">
        <f t="shared" ca="1" si="87"/>
        <v>920.6127478858441</v>
      </c>
      <c r="T395" s="2970">
        <f t="shared" ca="1" si="87"/>
        <v>1154.7353470588703</v>
      </c>
      <c r="U395" s="2970">
        <f t="shared" ca="1" si="87"/>
        <v>5536.4785590992997</v>
      </c>
      <c r="V395" s="2970">
        <f t="shared" ca="1" si="87"/>
        <v>8205.0478292729658</v>
      </c>
      <c r="W395" s="2970">
        <f t="shared" ca="1" si="87"/>
        <v>9338.7177959307573</v>
      </c>
      <c r="X395" s="2970">
        <f t="shared" ca="1" si="87"/>
        <v>9323.9864948086924</v>
      </c>
      <c r="Y395" s="2970">
        <f t="shared" ca="1" si="87"/>
        <v>8241.9894418018084</v>
      </c>
      <c r="Z395" s="2970">
        <f t="shared" ca="1" si="87"/>
        <v>5590.1684222455933</v>
      </c>
      <c r="AA395" s="2970">
        <f t="shared" ca="1" si="87"/>
        <v>5381.8870966611121</v>
      </c>
      <c r="AB395" s="2970">
        <f t="shared" ca="1" si="87"/>
        <v>5397.4410287342425</v>
      </c>
      <c r="AC395" s="2970">
        <f t="shared" ca="1" si="87"/>
        <v>5700.6026409713995</v>
      </c>
      <c r="AD395" s="2970">
        <f t="shared" ca="1" si="87"/>
        <v>7297.7096366190108</v>
      </c>
      <c r="AE395" s="2970">
        <f t="shared" ca="1" si="87"/>
        <v>8043.6661630979097</v>
      </c>
      <c r="AF395" s="2970">
        <f t="shared" ca="1" si="87"/>
        <v>8631.9085155626308</v>
      </c>
      <c r="AG395" s="2970">
        <f t="shared" ca="1" si="87"/>
        <v>8738.3112513965134</v>
      </c>
      <c r="AH395" s="2970">
        <f t="shared" ca="1" si="87"/>
        <v>8242.6404994923923</v>
      </c>
      <c r="AI395" s="2970">
        <f t="shared" ca="1" si="87"/>
        <v>7519.6265756318489</v>
      </c>
      <c r="AJ395" s="2970">
        <f t="shared" ca="1" si="87"/>
        <v>6392.1284391699628</v>
      </c>
      <c r="AK395" s="2970">
        <f t="shared" ca="1" si="87"/>
        <v>5764.2571995072194</v>
      </c>
      <c r="AL395" s="2970">
        <f t="shared" ca="1" si="87"/>
        <v>5350.9801800620926</v>
      </c>
      <c r="AM395" s="2970">
        <f t="shared" ca="1" si="87"/>
        <v>2914.1179849860805</v>
      </c>
      <c r="AN395" s="2970">
        <f ca="1">SUM(P395:AM395)</f>
        <v>138334.85671889901</v>
      </c>
    </row>
    <row r="396" spans="2:255" ht="14.1" customHeight="1">
      <c r="B396" s="265" t="str">
        <f>CONCATENATE("Difference between Rows ",O379, " and ",O393, ".")</f>
        <v>Difference between Rows 379 and 393.</v>
      </c>
      <c r="D396" s="171"/>
      <c r="E396" s="171"/>
      <c r="F396" s="171"/>
      <c r="G396" s="171"/>
      <c r="H396" s="171"/>
      <c r="I396" s="171"/>
      <c r="J396" s="171"/>
      <c r="K396" s="171"/>
      <c r="L396" s="171"/>
      <c r="O396" s="21">
        <f>ROW()</f>
        <v>396</v>
      </c>
      <c r="P396" s="1184"/>
      <c r="Q396" s="1184"/>
      <c r="R396" s="1184"/>
      <c r="S396" s="1184"/>
      <c r="T396" s="1184"/>
      <c r="U396" s="1184"/>
      <c r="V396" s="1184"/>
      <c r="W396" s="1184"/>
      <c r="X396" s="1184"/>
      <c r="Y396" s="1184"/>
      <c r="Z396" s="1184"/>
      <c r="AA396" s="1184"/>
      <c r="AB396" s="1184"/>
      <c r="AC396" s="1184"/>
      <c r="AD396" s="1184"/>
      <c r="AE396" s="1184"/>
      <c r="AF396" s="1184"/>
      <c r="AG396" s="1184"/>
      <c r="AH396" s="1184"/>
      <c r="AI396" s="1184"/>
      <c r="AJ396" s="1184"/>
      <c r="AK396" s="1184"/>
      <c r="AL396" s="1184"/>
      <c r="AM396" s="1184"/>
      <c r="AN396" s="1184"/>
    </row>
    <row r="397" spans="2:255" ht="14.1" customHeight="1">
      <c r="B397" s="1" t="s">
        <v>5098</v>
      </c>
      <c r="J397" s="3754" t="str">
        <f>CONCATENATE("Each figure multiplies Row ",O395, " by respective share of pay-per and unlimited rides taken from Row ",Transit!O20, " of 'Transit' tab.")</f>
        <v>Each figure multiplies Row 395 by respective share of pay-per and unlimited rides taken from Row 20 of 'Transit' tab.</v>
      </c>
      <c r="K397" s="3659"/>
      <c r="L397" s="3659"/>
      <c r="M397" s="3659"/>
      <c r="N397" s="3659"/>
      <c r="O397" s="21">
        <f>ROW()</f>
        <v>397</v>
      </c>
      <c r="P397" s="2961">
        <f ca="1">Transit!$H$20*P395</f>
        <v>1038.1045091011028</v>
      </c>
      <c r="Q397" s="2961">
        <f ca="1">Transit!$H$20*Q395</f>
        <v>699.97271438712505</v>
      </c>
      <c r="R397" s="2961">
        <f ca="1">Transit!$H$20*R395</f>
        <v>501.59041713769176</v>
      </c>
      <c r="S397" s="2961">
        <f ca="1">Transit!$H$20*S395</f>
        <v>443.61796195454872</v>
      </c>
      <c r="T397" s="2961">
        <f ca="1">Transit!$H$20*T395</f>
        <v>556.43520300530849</v>
      </c>
      <c r="U397" s="2961">
        <f ca="1">Transit!$H$20*U395</f>
        <v>2667.8767380019394</v>
      </c>
      <c r="V397" s="2961">
        <f ca="1">Transit!$H$20*V395</f>
        <v>3953.7868708863621</v>
      </c>
      <c r="W397" s="2961">
        <f ca="1">Transit!$H$20*W395</f>
        <v>4500.0712464750568</v>
      </c>
      <c r="X397" s="2961">
        <f ca="1">Transit!$H$20*X395</f>
        <v>4492.9726376455392</v>
      </c>
      <c r="Y397" s="2961">
        <f ca="1">Transit!$H$20*Y395</f>
        <v>3971.5880178930643</v>
      </c>
      <c r="Z397" s="2961">
        <f ca="1">Transit!$H$20*Z395</f>
        <v>2693.7484063242327</v>
      </c>
      <c r="AA397" s="2961">
        <f ca="1">Transit!$H$20*AA395</f>
        <v>2593.3833642572326</v>
      </c>
      <c r="AB397" s="2961">
        <f ca="1">Transit!$H$20*AB395</f>
        <v>2600.8783763157853</v>
      </c>
      <c r="AC397" s="2961">
        <f ca="1">Transit!$H$20*AC395</f>
        <v>2746.9636188592431</v>
      </c>
      <c r="AD397" s="2961">
        <f ca="1">Transit!$H$20*AD395</f>
        <v>3516.5655519843317</v>
      </c>
      <c r="AE397" s="2961">
        <f ca="1">Transit!$H$20*AE395</f>
        <v>3876.0214847239222</v>
      </c>
      <c r="AF397" s="2961">
        <f ca="1">Transit!$H$20*AF395</f>
        <v>4159.4792948998329</v>
      </c>
      <c r="AG397" s="2961">
        <f ca="1">Transit!$H$20*AG395</f>
        <v>4210.7518467142772</v>
      </c>
      <c r="AH397" s="2961">
        <f ca="1">Transit!$H$20*AH395</f>
        <v>3971.9017446869575</v>
      </c>
      <c r="AI397" s="2961">
        <f ca="1">Transit!$H$20*AI395</f>
        <v>3623.5012211179014</v>
      </c>
      <c r="AJ397" s="2961">
        <f ca="1">Transit!$H$20*AJ395</f>
        <v>3080.1908807457785</v>
      </c>
      <c r="AK397" s="2961">
        <f ca="1">Transit!$H$20*AK395</f>
        <v>2777.6369998129885</v>
      </c>
      <c r="AL397" s="2961">
        <f ca="1">Transit!$H$20*AL395</f>
        <v>2578.4901712361248</v>
      </c>
      <c r="AM397" s="2961">
        <f ca="1">Transit!$H$20*AM395</f>
        <v>1404.2333047889999</v>
      </c>
      <c r="AN397" s="1184">
        <f ca="1">SUM(P397:AM397)</f>
        <v>66659.762582955358</v>
      </c>
    </row>
    <row r="398" spans="2:255" ht="14.1" customHeight="1">
      <c r="B398" s="1" t="s">
        <v>5099</v>
      </c>
      <c r="J398" s="3659"/>
      <c r="K398" s="3659"/>
      <c r="L398" s="3659"/>
      <c r="M398" s="3659"/>
      <c r="N398" s="3659"/>
      <c r="O398" s="21">
        <f>ROW()</f>
        <v>398</v>
      </c>
      <c r="P398" s="2961">
        <f ca="1">Transit!$U$20*P395</f>
        <v>1116.2091722150028</v>
      </c>
      <c r="Q398" s="2961">
        <f ca="1">Transit!$U$20*Q395</f>
        <v>752.63709698716627</v>
      </c>
      <c r="R398" s="2961">
        <f ca="1">Transit!$U$20*R395</f>
        <v>539.32895907469094</v>
      </c>
      <c r="S398" s="2961">
        <f ca="1">Transit!$U$20*S395</f>
        <v>476.99478593129572</v>
      </c>
      <c r="T398" s="2961">
        <f ca="1">Transit!$U$20*T395</f>
        <v>598.30014405356224</v>
      </c>
      <c r="U398" s="2961">
        <f ca="1">Transit!$U$20*U395</f>
        <v>2868.6018210973621</v>
      </c>
      <c r="V398" s="2961">
        <f ca="1">Transit!$U$20*V395</f>
        <v>4251.260958386606</v>
      </c>
      <c r="W398" s="2961">
        <f ca="1">Transit!$U$20*W395</f>
        <v>4838.6465494557033</v>
      </c>
      <c r="X398" s="2961">
        <f ca="1">Transit!$U$20*X395</f>
        <v>4831.0138571631569</v>
      </c>
      <c r="Y398" s="2961">
        <f ca="1">Transit!$U$20*Y395</f>
        <v>4270.4014239087473</v>
      </c>
      <c r="Z398" s="2961">
        <f ca="1">Transit!$U$20*Z395</f>
        <v>2896.4200159213624</v>
      </c>
      <c r="AA398" s="2961">
        <f ca="1">Transit!$U$20*AA395</f>
        <v>2788.5037324038813</v>
      </c>
      <c r="AB398" s="2961">
        <f ca="1">Transit!$U$20*AB395</f>
        <v>2796.562652418459</v>
      </c>
      <c r="AC398" s="2961">
        <f ca="1">Transit!$U$20*AC395</f>
        <v>2953.6390221121583</v>
      </c>
      <c r="AD398" s="2961">
        <f ca="1">Transit!$U$20*AD395</f>
        <v>3781.1440846346813</v>
      </c>
      <c r="AE398" s="2961">
        <f ca="1">Transit!$U$20*AE395</f>
        <v>4167.6446783739902</v>
      </c>
      <c r="AF398" s="2961">
        <f ca="1">Transit!$U$20*AF395</f>
        <v>4472.4292206628015</v>
      </c>
      <c r="AG398" s="2961">
        <f ca="1">Transit!$U$20*AG395</f>
        <v>4527.5594046822389</v>
      </c>
      <c r="AH398" s="2961">
        <f ca="1">Transit!$U$20*AH395</f>
        <v>4270.7387548054376</v>
      </c>
      <c r="AI398" s="2961">
        <f ca="1">Transit!$U$20*AI395</f>
        <v>3896.1253545139498</v>
      </c>
      <c r="AJ398" s="2961">
        <f ca="1">Transit!$U$20*AJ395</f>
        <v>3311.9375584241866</v>
      </c>
      <c r="AK398" s="2961">
        <f ca="1">Transit!$U$20*AK395</f>
        <v>2986.6201996942327</v>
      </c>
      <c r="AL398" s="2961">
        <f ca="1">Transit!$U$20*AL395</f>
        <v>2772.4900088259697</v>
      </c>
      <c r="AM398" s="2961">
        <f ca="1">Transit!$U$20*AM395</f>
        <v>1509.8846801970817</v>
      </c>
      <c r="AN398" s="1184">
        <f ca="1">SUM(P398:AM398)</f>
        <v>71675.094135943727</v>
      </c>
    </row>
    <row r="399" spans="2:255" ht="14.1" customHeight="1">
      <c r="B399" s="172" t="s">
        <v>2080</v>
      </c>
      <c r="O399" s="21">
        <f>ROW()</f>
        <v>399</v>
      </c>
      <c r="P399" s="1185">
        <f t="shared" ref="P399:AM399" ca="1" si="88">P302+P395</f>
        <v>42543.164144624323</v>
      </c>
      <c r="Q399" s="1185">
        <f t="shared" ca="1" si="88"/>
        <v>20003.896955805143</v>
      </c>
      <c r="R399" s="1185">
        <f t="shared" ca="1" si="88"/>
        <v>11760.564710876974</v>
      </c>
      <c r="S399" s="1185">
        <f t="shared" ca="1" si="88"/>
        <v>8465.6668309930919</v>
      </c>
      <c r="T399" s="1185">
        <f t="shared" ca="1" si="88"/>
        <v>12726.148164851005</v>
      </c>
      <c r="U399" s="1185">
        <f t="shared" ca="1" si="88"/>
        <v>51744.095515689471</v>
      </c>
      <c r="V399" s="1185">
        <f t="shared" ca="1" si="88"/>
        <v>161957.59032914517</v>
      </c>
      <c r="W399" s="1185">
        <f t="shared" ca="1" si="88"/>
        <v>345813.14968255471</v>
      </c>
      <c r="X399" s="1185">
        <f t="shared" ca="1" si="88"/>
        <v>539588.75987267436</v>
      </c>
      <c r="Y399" s="1185">
        <f t="shared" ca="1" si="88"/>
        <v>354567.88934549631</v>
      </c>
      <c r="Z399" s="1185">
        <f t="shared" ca="1" si="88"/>
        <v>191419.08133186036</v>
      </c>
      <c r="AA399" s="1185">
        <f t="shared" ca="1" si="88"/>
        <v>151544.50609694759</v>
      </c>
      <c r="AB399" s="1185">
        <f t="shared" ca="1" si="88"/>
        <v>151899.84343615235</v>
      </c>
      <c r="AC399" s="1185">
        <f t="shared" ca="1" si="88"/>
        <v>160743.34613605429</v>
      </c>
      <c r="AD399" s="1185">
        <f t="shared" ca="1" si="88"/>
        <v>200220.26073809073</v>
      </c>
      <c r="AE399" s="1185">
        <f t="shared" ca="1" si="88"/>
        <v>257665.48049069569</v>
      </c>
      <c r="AF399" s="1185">
        <f t="shared" ca="1" si="88"/>
        <v>337552.47889741894</v>
      </c>
      <c r="AG399" s="1185">
        <f t="shared" ca="1" si="88"/>
        <v>465028.2716010377</v>
      </c>
      <c r="AH399" s="1185">
        <f t="shared" ca="1" si="88"/>
        <v>384440.14142758213</v>
      </c>
      <c r="AI399" s="1185">
        <f t="shared" ca="1" si="88"/>
        <v>255697.19551871251</v>
      </c>
      <c r="AJ399" s="1185">
        <f t="shared" ca="1" si="88"/>
        <v>179374.41710496027</v>
      </c>
      <c r="AK399" s="1185">
        <f t="shared" ca="1" si="88"/>
        <v>132277.78530386725</v>
      </c>
      <c r="AL399" s="1185">
        <f t="shared" ca="1" si="88"/>
        <v>109247.39591911083</v>
      </c>
      <c r="AM399" s="1185">
        <f t="shared" ca="1" si="88"/>
        <v>68614.354321564155</v>
      </c>
      <c r="AN399" s="1185">
        <f ca="1">SUM(P399:AM399)</f>
        <v>4594895.4838767657</v>
      </c>
    </row>
    <row r="400" spans="2:255" ht="14.1" customHeight="1">
      <c r="B400" s="265" t="str">
        <f>CONCATENATE("Sum of prior calculation of new transit trips in Row ",O302, " and new trips calc'd in this section and shown in Row ",O395, ".")</f>
        <v>Sum of prior calculation of new transit trips in Row 302 and new trips calc'd in this section and shown in Row 395.</v>
      </c>
      <c r="O400" s="21">
        <f>ROW()</f>
        <v>400</v>
      </c>
      <c r="P400" s="175"/>
      <c r="Q400" s="175"/>
      <c r="R400" s="175"/>
      <c r="S400" s="175"/>
      <c r="T400" s="175"/>
      <c r="U400" s="175"/>
      <c r="V400" s="175"/>
      <c r="W400" s="175"/>
      <c r="X400" s="175"/>
      <c r="Y400" s="175"/>
      <c r="Z400" s="175"/>
      <c r="AA400" s="175"/>
      <c r="AB400" s="175"/>
      <c r="AC400" s="175"/>
      <c r="AD400" s="175"/>
      <c r="AE400" s="175"/>
      <c r="AF400" s="175"/>
      <c r="AG400" s="175"/>
      <c r="AH400" s="175"/>
      <c r="AI400" s="175"/>
      <c r="AJ400" s="175"/>
      <c r="AK400" s="175"/>
      <c r="AL400" s="175"/>
      <c r="AM400" s="175"/>
      <c r="AN400" s="175"/>
    </row>
    <row r="401" spans="2:41" ht="14.1" customHeight="1">
      <c r="B401" s="1" t="s">
        <v>5102</v>
      </c>
      <c r="K401" s="18" t="str">
        <f>CONCATENATE("Sum of Rows ",O147, ", ",229, " and ",O397,".")</f>
        <v>Sum of Rows 147, 229 and 397.</v>
      </c>
      <c r="O401" s="21">
        <f>ROW()</f>
        <v>401</v>
      </c>
      <c r="P401" s="2962">
        <f ca="1">P147+P230+P397</f>
        <v>20500.380660899031</v>
      </c>
      <c r="Q401" s="2962">
        <f t="shared" ref="Q401:AM401" ca="1" si="89">Q147+Q230+Q397</f>
        <v>9639.3277402057684</v>
      </c>
      <c r="R401" s="2962">
        <f t="shared" ca="1" si="89"/>
        <v>5667.092662419619</v>
      </c>
      <c r="S401" s="2962">
        <f t="shared" ca="1" si="89"/>
        <v>4079.3719995468305</v>
      </c>
      <c r="T401" s="2962">
        <f t="shared" ca="1" si="89"/>
        <v>6132.3807707286614</v>
      </c>
      <c r="U401" s="2962">
        <f t="shared" ca="1" si="89"/>
        <v>24934.056419016732</v>
      </c>
      <c r="V401" s="2962">
        <f t="shared" ca="1" si="89"/>
        <v>78042.908171628093</v>
      </c>
      <c r="W401" s="2962">
        <f t="shared" ca="1" si="89"/>
        <v>166637.84531721575</v>
      </c>
      <c r="X401" s="2962">
        <f t="shared" ca="1" si="89"/>
        <v>260012.98211219232</v>
      </c>
      <c r="Y401" s="2962">
        <f t="shared" ca="1" si="89"/>
        <v>170856.51356359373</v>
      </c>
      <c r="Z401" s="2962">
        <f t="shared" ca="1" si="89"/>
        <v>92239.590353990599</v>
      </c>
      <c r="AA401" s="2962">
        <f t="shared" ca="1" si="89"/>
        <v>73025.129289729128</v>
      </c>
      <c r="AB401" s="2962">
        <f t="shared" ca="1" si="89"/>
        <v>73196.356580016363</v>
      </c>
      <c r="AC401" s="2962">
        <f t="shared" ca="1" si="89"/>
        <v>77457.797292497693</v>
      </c>
      <c r="AD401" s="2962">
        <f t="shared" ca="1" si="89"/>
        <v>96480.636635344519</v>
      </c>
      <c r="AE401" s="2962">
        <f t="shared" ca="1" si="89"/>
        <v>124161.90801595958</v>
      </c>
      <c r="AF401" s="2962">
        <f t="shared" ca="1" si="89"/>
        <v>162657.25527379627</v>
      </c>
      <c r="AG401" s="2962">
        <f t="shared" ca="1" si="89"/>
        <v>224084.33358396121</v>
      </c>
      <c r="AH401" s="2962">
        <f t="shared" ca="1" si="89"/>
        <v>185251.1302122116</v>
      </c>
      <c r="AI401" s="2962">
        <f t="shared" ca="1" si="89"/>
        <v>123213.44562520717</v>
      </c>
      <c r="AJ401" s="2962">
        <f t="shared" ca="1" si="89"/>
        <v>86435.597948894298</v>
      </c>
      <c r="AK401" s="2962">
        <f t="shared" ca="1" si="89"/>
        <v>63741.026466471842</v>
      </c>
      <c r="AL401" s="2962">
        <f t="shared" ca="1" si="89"/>
        <v>52643.31526776465</v>
      </c>
      <c r="AM401" s="2962">
        <f t="shared" ca="1" si="89"/>
        <v>33063.370124800786</v>
      </c>
      <c r="AN401" s="1184">
        <f ca="1">SUM(P401:AM401)</f>
        <v>2214153.7520880918</v>
      </c>
    </row>
    <row r="402" spans="2:41" ht="14.1" customHeight="1">
      <c r="B402" s="1" t="s">
        <v>5103</v>
      </c>
      <c r="K402" s="18" t="str">
        <f>CONCATENATE("Sum of Rows ",O148, ", ",229, " and ",O398,".")</f>
        <v>Sum of Rows 148, 229 and 398.</v>
      </c>
      <c r="O402" s="21">
        <f>ROW()</f>
        <v>402</v>
      </c>
      <c r="P402" s="2962">
        <f ca="1">P148+P231+P398</f>
        <v>22042.783483725292</v>
      </c>
      <c r="Q402" s="2962">
        <f t="shared" ref="Q402:AM402" ca="1" si="90">Q148+Q231+Q398</f>
        <v>10364.569215599371</v>
      </c>
      <c r="R402" s="2962">
        <f t="shared" ca="1" si="90"/>
        <v>6093.4720484573563</v>
      </c>
      <c r="S402" s="2962">
        <f t="shared" ca="1" si="90"/>
        <v>4386.2948314462619</v>
      </c>
      <c r="T402" s="2962">
        <f t="shared" ca="1" si="90"/>
        <v>6593.7673941223456</v>
      </c>
      <c r="U402" s="2962">
        <f t="shared" ca="1" si="90"/>
        <v>26810.039096672743</v>
      </c>
      <c r="V402" s="2962">
        <f t="shared" ca="1" si="90"/>
        <v>83914.68215751712</v>
      </c>
      <c r="W402" s="2962">
        <f t="shared" ca="1" si="90"/>
        <v>179175.30436533899</v>
      </c>
      <c r="X402" s="2962">
        <f t="shared" ca="1" si="90"/>
        <v>279575.77776048204</v>
      </c>
      <c r="Y402" s="2962">
        <f t="shared" ca="1" si="90"/>
        <v>183711.37578190261</v>
      </c>
      <c r="Z402" s="2962">
        <f t="shared" ca="1" si="90"/>
        <v>99179.490977869777</v>
      </c>
      <c r="AA402" s="2962">
        <f t="shared" ca="1" si="90"/>
        <v>78519.376807218476</v>
      </c>
      <c r="AB402" s="2962">
        <f t="shared" ca="1" si="90"/>
        <v>78703.486856136005</v>
      </c>
      <c r="AC402" s="2962">
        <f t="shared" ca="1" si="90"/>
        <v>83285.548843556608</v>
      </c>
      <c r="AD402" s="2962">
        <f t="shared" ca="1" si="90"/>
        <v>103739.62410274621</v>
      </c>
      <c r="AE402" s="2962">
        <f t="shared" ca="1" si="90"/>
        <v>133503.57247473611</v>
      </c>
      <c r="AF402" s="2962">
        <f t="shared" ca="1" si="90"/>
        <v>174895.22362362265</v>
      </c>
      <c r="AG402" s="2962">
        <f t="shared" ca="1" si="90"/>
        <v>240943.93801707652</v>
      </c>
      <c r="AH402" s="2962">
        <f t="shared" ca="1" si="90"/>
        <v>199189.0112153705</v>
      </c>
      <c r="AI402" s="2962">
        <f t="shared" ca="1" si="90"/>
        <v>132483.74989350536</v>
      </c>
      <c r="AJ402" s="2962">
        <f t="shared" ca="1" si="90"/>
        <v>92938.819156065976</v>
      </c>
      <c r="AK402" s="2962">
        <f t="shared" ca="1" si="90"/>
        <v>68536.758837395435</v>
      </c>
      <c r="AL402" s="2962">
        <f t="shared" ca="1" si="90"/>
        <v>56604.080651346172</v>
      </c>
      <c r="AM402" s="2962">
        <f t="shared" ca="1" si="90"/>
        <v>35550.984196763377</v>
      </c>
      <c r="AN402" s="1184">
        <f ca="1">SUM(P402:AM402)</f>
        <v>2380741.7317886734</v>
      </c>
    </row>
    <row r="403" spans="2:41" ht="14.1" customHeight="1">
      <c r="B403" s="265"/>
      <c r="O403" s="21">
        <f>ROW()</f>
        <v>403</v>
      </c>
      <c r="P403" s="838"/>
      <c r="Q403" s="838"/>
      <c r="R403" s="838"/>
      <c r="S403" s="838"/>
      <c r="T403" s="838"/>
      <c r="U403" s="838"/>
      <c r="V403" s="838"/>
      <c r="W403" s="838"/>
      <c r="X403" s="838"/>
      <c r="Y403" s="838"/>
      <c r="Z403" s="838"/>
      <c r="AA403" s="838"/>
      <c r="AB403" s="838"/>
      <c r="AC403" s="838"/>
      <c r="AD403" s="838"/>
      <c r="AE403" s="838"/>
      <c r="AF403" s="838"/>
      <c r="AG403" s="838"/>
      <c r="AH403" s="838"/>
      <c r="AI403" s="838"/>
      <c r="AJ403" s="838"/>
      <c r="AK403" s="838"/>
      <c r="AL403" s="838"/>
      <c r="AM403" s="838"/>
      <c r="AN403" s="838"/>
    </row>
    <row r="404" spans="2:41" ht="14.1" customHeight="1">
      <c r="B404" s="24" t="s">
        <v>2077</v>
      </c>
      <c r="O404" s="21">
        <f>ROW()</f>
        <v>404</v>
      </c>
      <c r="P404" s="838"/>
      <c r="Q404" s="838"/>
      <c r="R404" s="838"/>
      <c r="S404" s="838"/>
      <c r="T404" s="838"/>
      <c r="U404" s="838"/>
      <c r="V404" s="838"/>
      <c r="W404" s="838"/>
      <c r="X404" s="838"/>
      <c r="Y404" s="838"/>
      <c r="Z404" s="838"/>
      <c r="AA404" s="838"/>
      <c r="AB404" s="838"/>
      <c r="AC404" s="838"/>
      <c r="AD404" s="838"/>
      <c r="AE404" s="838"/>
      <c r="AF404" s="838"/>
      <c r="AG404" s="838"/>
      <c r="AH404" s="838"/>
      <c r="AI404" s="838"/>
      <c r="AJ404" s="838"/>
      <c r="AK404" s="838"/>
      <c r="AL404" s="838"/>
      <c r="AM404" s="838"/>
      <c r="AN404" s="838"/>
    </row>
    <row r="405" spans="2:41" ht="14.1" customHeight="1">
      <c r="B405" s="265"/>
      <c r="O405" s="21">
        <f>ROW()</f>
        <v>405</v>
      </c>
      <c r="P405" s="838"/>
      <c r="Q405" s="838"/>
      <c r="R405" s="838"/>
      <c r="S405" s="838"/>
      <c r="T405" s="838"/>
      <c r="U405" s="838"/>
      <c r="V405" s="838"/>
      <c r="W405" s="838"/>
      <c r="X405" s="838"/>
      <c r="Y405" s="838"/>
      <c r="Z405" s="838"/>
      <c r="AA405" s="838"/>
      <c r="AB405" s="838"/>
      <c r="AC405" s="838"/>
      <c r="AD405" s="838"/>
      <c r="AE405" s="838"/>
      <c r="AF405" s="838"/>
      <c r="AG405" s="838"/>
      <c r="AH405" s="838"/>
      <c r="AI405" s="838"/>
      <c r="AJ405" s="838"/>
      <c r="AK405" s="838"/>
      <c r="AL405" s="838"/>
      <c r="AM405" s="838"/>
      <c r="AN405" s="838"/>
    </row>
    <row r="406" spans="2:41" ht="14.1" customHeight="1">
      <c r="B406" s="19" t="s">
        <v>2078</v>
      </c>
      <c r="N406" s="575">
        <f ca="1">Taxis!J440</f>
        <v>-20558.270602263947</v>
      </c>
      <c r="O406" s="21">
        <f>ROW()</f>
        <v>406</v>
      </c>
      <c r="P406" s="838"/>
      <c r="Q406" s="838"/>
      <c r="R406" s="838"/>
      <c r="S406" s="838"/>
      <c r="T406" s="838"/>
      <c r="U406" s="838"/>
      <c r="V406" s="838"/>
      <c r="W406" s="838"/>
      <c r="X406" s="838"/>
      <c r="Y406" s="838"/>
      <c r="Z406" s="838"/>
      <c r="AA406" s="838"/>
      <c r="AB406" s="838"/>
      <c r="AC406" s="838"/>
      <c r="AD406" s="838"/>
      <c r="AE406" s="838"/>
      <c r="AF406" s="838"/>
      <c r="AG406" s="838"/>
      <c r="AH406" s="838"/>
      <c r="AI406" s="838"/>
      <c r="AJ406" s="838"/>
      <c r="AK406" s="838"/>
      <c r="AL406" s="838"/>
      <c r="AM406" s="838"/>
      <c r="AN406" s="838"/>
    </row>
    <row r="407" spans="2:41" ht="14.1" customHeight="1">
      <c r="B407" s="265" t="str">
        <f>CONCATENATE("Derived in Taxi worksheet, Row ",O292, ". Captures both fare and travel-time changes.")</f>
        <v>Derived in Taxi worksheet, Row 292. Captures both fare and travel-time changes.</v>
      </c>
      <c r="O407" s="21">
        <f>ROW()</f>
        <v>407</v>
      </c>
      <c r="P407" s="838"/>
      <c r="Q407" s="838"/>
      <c r="R407" s="838"/>
      <c r="S407" s="838"/>
      <c r="T407" s="838"/>
      <c r="U407" s="838"/>
      <c r="V407" s="838"/>
      <c r="W407" s="838"/>
      <c r="X407" s="838"/>
      <c r="Y407" s="838"/>
      <c r="Z407" s="838"/>
      <c r="AA407" s="838"/>
      <c r="AB407" s="838"/>
      <c r="AC407" s="838"/>
      <c r="AD407" s="838"/>
      <c r="AE407" s="838"/>
      <c r="AF407" s="838"/>
      <c r="AG407" s="838"/>
      <c r="AH407" s="838"/>
      <c r="AI407" s="838"/>
      <c r="AJ407" s="838"/>
      <c r="AK407" s="838"/>
      <c r="AL407" s="838"/>
      <c r="AM407" s="838"/>
      <c r="AN407" s="838"/>
    </row>
    <row r="408" spans="2:41" ht="14.1" customHeight="1">
      <c r="B408" s="19" t="s">
        <v>2082</v>
      </c>
      <c r="O408" s="21">
        <f>ROW()</f>
        <v>408</v>
      </c>
      <c r="P408" s="1184">
        <f ca="1">'Motor Vs'!$AQ$125/'Motor Vs'!$AX$122*Subways!$N$406</f>
        <v>-298.51586480444905</v>
      </c>
      <c r="Q408" s="1184">
        <f ca="1">'Motor Vs'!$AQ$125/'Motor Vs'!$AX$122*Subways!$N$406</f>
        <v>-298.51586480444905</v>
      </c>
      <c r="R408" s="1184">
        <f ca="1">'Motor Vs'!$AQ$125/'Motor Vs'!$AX$122*Subways!$N$406</f>
        <v>-298.51586480444905</v>
      </c>
      <c r="S408" s="1184">
        <f ca="1">'Motor Vs'!$AQ$125/'Motor Vs'!$AX$122*Subways!$N$406</f>
        <v>-298.51586480444905</v>
      </c>
      <c r="T408" s="1184">
        <f ca="1">'Motor Vs'!$AQ$125/'Motor Vs'!$AX$122*Subways!$N$406</f>
        <v>-298.51586480444905</v>
      </c>
      <c r="U408" s="1184">
        <f ca="1">'Motor Vs'!$AR$125/'Motor Vs'!$AX$122*Subways!$N$406</f>
        <v>-721.66550924296314</v>
      </c>
      <c r="V408" s="1184">
        <f ca="1">'Motor Vs'!$AS$125/'Motor Vs'!$AX$122*Subways!$N$406</f>
        <v>-1387.6434324645152</v>
      </c>
      <c r="W408" s="1184">
        <f ca="1">'Motor Vs'!$AS$125/'Motor Vs'!$AX$122*Subways!$N$406</f>
        <v>-1387.6434324645152</v>
      </c>
      <c r="X408" s="1184">
        <f ca="1">'Motor Vs'!$AS$125/'Motor Vs'!$AX$122*Subways!$N$406</f>
        <v>-1387.6434324645152</v>
      </c>
      <c r="Y408" s="1184">
        <f ca="1">'Motor Vs'!$AT$125/'Motor Vs'!$AX$122*Subways!$N$406</f>
        <v>-1231.1574435712291</v>
      </c>
      <c r="Z408" s="1184">
        <f ca="1">'Motor Vs'!$AU$125/'Motor Vs'!$AX$122*Subways!$N$406</f>
        <v>-992.60468927509135</v>
      </c>
      <c r="AA408" s="1184">
        <f ca="1">'Motor Vs'!$AU$125/'Motor Vs'!$AX$122*Subways!$N$406</f>
        <v>-992.60468927509135</v>
      </c>
      <c r="AB408" s="1184">
        <f ca="1">'Motor Vs'!$AU$125/'Motor Vs'!$AX$122*Subways!$N$406</f>
        <v>-992.60468927509135</v>
      </c>
      <c r="AC408" s="1184">
        <f ca="1">'Motor Vs'!$AU$125/'Motor Vs'!$AX$122*Subways!$N$406</f>
        <v>-992.60468927509135</v>
      </c>
      <c r="AD408" s="1184">
        <f ca="1">'Motor Vs'!$AV$125/'Motor Vs'!$AX$122*Subways!$N$406</f>
        <v>-1073.6424605247018</v>
      </c>
      <c r="AE408" s="1184">
        <f ca="1">'Motor Vs'!$AV$125/'Motor Vs'!$AX$122*Subways!$N$406</f>
        <v>-1073.6424605247018</v>
      </c>
      <c r="AF408" s="1184">
        <f ca="1">'Motor Vs'!$AV$125/'Motor Vs'!$AX$122*Subways!$N$406</f>
        <v>-1073.6424605247018</v>
      </c>
      <c r="AG408" s="1184">
        <f ca="1">'Motor Vs'!$AV$125/'Motor Vs'!$AX$122*Subways!$N$406</f>
        <v>-1073.6424605247018</v>
      </c>
      <c r="AH408" s="1184">
        <f ca="1">'Motor Vs'!$AV$125/'Motor Vs'!$AX$122*Subways!$N$406</f>
        <v>-1073.6424605247018</v>
      </c>
      <c r="AI408" s="1184">
        <f ca="1">'Motor Vs'!$AV$125/'Motor Vs'!$AX$122*Subways!$N$406</f>
        <v>-1073.6424605247018</v>
      </c>
      <c r="AJ408" s="1184">
        <f ca="1">'Motor Vs'!$AW$125/'Motor Vs'!$AX$122*Subways!$N$406</f>
        <v>-746.38288099364615</v>
      </c>
      <c r="AK408" s="1184">
        <f ca="1">'Motor Vs'!$AW$125/'Motor Vs'!$AX$122*Subways!$N$406</f>
        <v>-746.38288099364615</v>
      </c>
      <c r="AL408" s="1184">
        <f ca="1">'Motor Vs'!$AW$125/'Motor Vs'!$AX$122*Subways!$N$406</f>
        <v>-746.38288099364615</v>
      </c>
      <c r="AM408" s="1184">
        <f ca="1">'Motor Vs'!$AQ$125/'Motor Vs'!$AX$122*Subways!$N$406</f>
        <v>-298.51586480444905</v>
      </c>
      <c r="AN408" s="1184">
        <f ca="1">SUM(P408:AM408)</f>
        <v>-20558.270602263943</v>
      </c>
    </row>
    <row r="409" spans="2:41" ht="14.1" customHeight="1">
      <c r="B409" s="265" t="str">
        <f>CONCATENATE("Row ",O406, " prorated by respective hour's share of total taxi entries, using Rows ",O94, " and ",O97, " of Motor Vs worksheet.")</f>
        <v>Row 406 prorated by respective hour's share of total taxi entries, using Rows 94 and 97 of Motor Vs worksheet.</v>
      </c>
      <c r="M409" s="146"/>
      <c r="O409" s="21">
        <f>ROW()</f>
        <v>409</v>
      </c>
      <c r="P409" s="838"/>
      <c r="Q409" s="838"/>
      <c r="R409" s="838"/>
      <c r="S409" s="838"/>
      <c r="T409" s="838"/>
      <c r="U409" s="838"/>
      <c r="V409" s="838"/>
      <c r="W409" s="838"/>
      <c r="X409" s="838"/>
      <c r="Y409" s="838"/>
      <c r="Z409" s="838"/>
      <c r="AA409" s="838"/>
      <c r="AB409" s="838"/>
      <c r="AC409" s="838"/>
      <c r="AD409" s="838"/>
      <c r="AE409" s="838"/>
      <c r="AF409" s="838"/>
      <c r="AG409" s="838"/>
    </row>
    <row r="410" spans="2:41" ht="14.1" customHeight="1">
      <c r="B410" s="1" t="s">
        <v>5098</v>
      </c>
      <c r="J410" s="3754" t="str">
        <f>CONCATENATE("Each figure multiplies Row ",O408, " by respective share of pay-per and unlimited rides taken from Row ",Transit!O20, " of 'Transit' tab.")</f>
        <v>Each figure multiplies Row 408 by respective share of pay-per and unlimited rides taken from Row 20 of 'Transit' tab.</v>
      </c>
      <c r="K410" s="3659"/>
      <c r="L410" s="3659"/>
      <c r="M410" s="3659"/>
      <c r="N410" s="3659"/>
      <c r="O410" s="21">
        <f>ROW()</f>
        <v>410</v>
      </c>
      <c r="P410" s="2961">
        <f ca="1">Transit!$H$20*P408</f>
        <v>-143.84658463589972</v>
      </c>
      <c r="Q410" s="2961">
        <f ca="1">Transit!$H$20*Q408</f>
        <v>-143.84658463589972</v>
      </c>
      <c r="R410" s="2961">
        <f ca="1">Transit!$H$20*R408</f>
        <v>-143.84658463589972</v>
      </c>
      <c r="S410" s="2961">
        <f ca="1">Transit!$H$20*S408</f>
        <v>-143.84658463589972</v>
      </c>
      <c r="T410" s="2961">
        <f ca="1">Transit!$H$20*T408</f>
        <v>-143.84658463589972</v>
      </c>
      <c r="U410" s="2961">
        <f ca="1">Transit!$H$20*U408</f>
        <v>-347.75075965269235</v>
      </c>
      <c r="V410" s="2961">
        <f ca="1">Transit!$H$20*V408</f>
        <v>-668.66720327650182</v>
      </c>
      <c r="W410" s="2961">
        <f ca="1">Transit!$H$20*W408</f>
        <v>-668.66720327650182</v>
      </c>
      <c r="X410" s="2961">
        <f ca="1">Transit!$H$20*X408</f>
        <v>-668.66720327650182</v>
      </c>
      <c r="Y410" s="2961">
        <f ca="1">Transit!$H$20*Y408</f>
        <v>-593.26090934161732</v>
      </c>
      <c r="Z410" s="2961">
        <f ca="1">Transit!$H$20*Z408</f>
        <v>-478.30889838747476</v>
      </c>
      <c r="AA410" s="2961">
        <f ca="1">Transit!$H$20*AA408</f>
        <v>-478.30889838747476</v>
      </c>
      <c r="AB410" s="2961">
        <f ca="1">Transit!$H$20*AB408</f>
        <v>-478.30889838747476</v>
      </c>
      <c r="AC410" s="2961">
        <f ca="1">Transit!$H$20*AC408</f>
        <v>-478.30889838747476</v>
      </c>
      <c r="AD410" s="2961">
        <f ca="1">Transit!$H$20*AD408</f>
        <v>-517.35877142654431</v>
      </c>
      <c r="AE410" s="2961">
        <f ca="1">Transit!$H$20*AE408</f>
        <v>-517.35877142654431</v>
      </c>
      <c r="AF410" s="2961">
        <f ca="1">Transit!$H$20*AF408</f>
        <v>-517.35877142654431</v>
      </c>
      <c r="AG410" s="2961">
        <f ca="1">Transit!$H$20*AG408</f>
        <v>-517.35877142654431</v>
      </c>
      <c r="AH410" s="2961">
        <f ca="1">Transit!$H$20*AH408</f>
        <v>-517.35877142654431</v>
      </c>
      <c r="AI410" s="2961">
        <f ca="1">Transit!$H$20*AI408</f>
        <v>-517.35877142654431</v>
      </c>
      <c r="AJ410" s="2961">
        <f ca="1">Transit!$H$20*AJ408</f>
        <v>-359.66138125345975</v>
      </c>
      <c r="AK410" s="2961">
        <f ca="1">Transit!$H$20*AK408</f>
        <v>-359.66138125345975</v>
      </c>
      <c r="AL410" s="2961">
        <f ca="1">Transit!$H$20*AL408</f>
        <v>-359.66138125345975</v>
      </c>
      <c r="AM410" s="2961">
        <f ca="1">Transit!$H$20*AM408</f>
        <v>-143.84658463589972</v>
      </c>
      <c r="AN410" s="1184">
        <f ca="1">SUM(P410:AM410)</f>
        <v>-9906.4651525087575</v>
      </c>
    </row>
    <row r="411" spans="2:41" ht="14.1" customHeight="1">
      <c r="B411" s="1" t="s">
        <v>5099</v>
      </c>
      <c r="J411" s="3659"/>
      <c r="K411" s="3659"/>
      <c r="L411" s="3659"/>
      <c r="M411" s="3659"/>
      <c r="N411" s="3659"/>
      <c r="O411" s="21">
        <f>ROW()</f>
        <v>411</v>
      </c>
      <c r="P411" s="2961">
        <f ca="1">Transit!$U$20*P408</f>
        <v>-154.66928016854942</v>
      </c>
      <c r="Q411" s="2961">
        <f ca="1">Transit!$U$20*Q408</f>
        <v>-154.66928016854942</v>
      </c>
      <c r="R411" s="2961">
        <f ca="1">Transit!$U$20*R408</f>
        <v>-154.66928016854942</v>
      </c>
      <c r="S411" s="2961">
        <f ca="1">Transit!$U$20*S408</f>
        <v>-154.66928016854942</v>
      </c>
      <c r="T411" s="2961">
        <f ca="1">Transit!$U$20*T408</f>
        <v>-154.66928016854942</v>
      </c>
      <c r="U411" s="2961">
        <f ca="1">Transit!$U$20*U408</f>
        <v>-373.91474959027101</v>
      </c>
      <c r="V411" s="2961">
        <f ca="1">Transit!$U$20*V408</f>
        <v>-718.9762291880138</v>
      </c>
      <c r="W411" s="2961">
        <f ca="1">Transit!$U$20*W408</f>
        <v>-718.9762291880138</v>
      </c>
      <c r="X411" s="2961">
        <f ca="1">Transit!$U$20*X408</f>
        <v>-718.9762291880138</v>
      </c>
      <c r="Y411" s="2961">
        <f ca="1">Transit!$U$20*Y408</f>
        <v>-637.89653422961226</v>
      </c>
      <c r="Z411" s="2961">
        <f ca="1">Transit!$U$20*Z408</f>
        <v>-514.29579088761693</v>
      </c>
      <c r="AA411" s="2961">
        <f ca="1">Transit!$U$20*AA408</f>
        <v>-514.29579088761693</v>
      </c>
      <c r="AB411" s="2961">
        <f ca="1">Transit!$U$20*AB408</f>
        <v>-514.29579088761693</v>
      </c>
      <c r="AC411" s="2961">
        <f ca="1">Transit!$U$20*AC408</f>
        <v>-514.29579088761693</v>
      </c>
      <c r="AD411" s="2961">
        <f ca="1">Transit!$U$20*AD408</f>
        <v>-556.28368909815799</v>
      </c>
      <c r="AE411" s="2961">
        <f ca="1">Transit!$U$20*AE408</f>
        <v>-556.28368909815799</v>
      </c>
      <c r="AF411" s="2961">
        <f ca="1">Transit!$U$20*AF408</f>
        <v>-556.28368909815799</v>
      </c>
      <c r="AG411" s="2961">
        <f ca="1">Transit!$U$20*AG408</f>
        <v>-556.28368909815799</v>
      </c>
      <c r="AH411" s="2961">
        <f ca="1">Transit!$U$20*AH408</f>
        <v>-556.28368909815799</v>
      </c>
      <c r="AI411" s="2961">
        <f ca="1">Transit!$U$20*AI408</f>
        <v>-556.28368909815799</v>
      </c>
      <c r="AJ411" s="2961">
        <f ca="1">Transit!$U$20*AJ408</f>
        <v>-386.72149974018669</v>
      </c>
      <c r="AK411" s="2961">
        <f ca="1">Transit!$U$20*AK408</f>
        <v>-386.72149974018669</v>
      </c>
      <c r="AL411" s="2961">
        <f ca="1">Transit!$U$20*AL408</f>
        <v>-386.72149974018669</v>
      </c>
      <c r="AM411" s="2961">
        <f ca="1">Transit!$U$20*AM408</f>
        <v>-154.66928016854942</v>
      </c>
      <c r="AN411" s="1184">
        <f ca="1">SUM(P411:AM411)</f>
        <v>-10651.805449755197</v>
      </c>
    </row>
    <row r="412" spans="2:41" ht="14.1" customHeight="1">
      <c r="B412" s="172" t="s">
        <v>2083</v>
      </c>
      <c r="O412" s="21">
        <f>ROW()</f>
        <v>412</v>
      </c>
      <c r="P412" s="1555">
        <f t="shared" ref="P412:AM412" ca="1" si="91">P399+P408</f>
        <v>42244.64827981987</v>
      </c>
      <c r="Q412" s="1555">
        <f t="shared" ca="1" si="91"/>
        <v>19705.381091000694</v>
      </c>
      <c r="R412" s="1555">
        <f t="shared" ca="1" si="91"/>
        <v>11462.048846072525</v>
      </c>
      <c r="S412" s="1555">
        <f t="shared" ca="1" si="91"/>
        <v>8167.150966188643</v>
      </c>
      <c r="T412" s="1555">
        <f t="shared" ca="1" si="91"/>
        <v>12427.632300046556</v>
      </c>
      <c r="U412" s="1555">
        <f t="shared" ca="1" si="91"/>
        <v>51022.430006446506</v>
      </c>
      <c r="V412" s="1555">
        <f t="shared" ca="1" si="91"/>
        <v>160569.94689668066</v>
      </c>
      <c r="W412" s="1555">
        <f t="shared" ca="1" si="91"/>
        <v>344425.5062500902</v>
      </c>
      <c r="X412" s="1555">
        <f t="shared" ca="1" si="91"/>
        <v>538201.11644020979</v>
      </c>
      <c r="Y412" s="1555">
        <f t="shared" ca="1" si="91"/>
        <v>353336.73190192506</v>
      </c>
      <c r="Z412" s="1555">
        <f t="shared" ca="1" si="91"/>
        <v>190426.47664258527</v>
      </c>
      <c r="AA412" s="1555">
        <f t="shared" ca="1" si="91"/>
        <v>150551.9014076725</v>
      </c>
      <c r="AB412" s="1555">
        <f t="shared" ca="1" si="91"/>
        <v>150907.23874687726</v>
      </c>
      <c r="AC412" s="1555">
        <f t="shared" ca="1" si="91"/>
        <v>159750.7414467792</v>
      </c>
      <c r="AD412" s="1555">
        <f t="shared" ca="1" si="91"/>
        <v>199146.61827756601</v>
      </c>
      <c r="AE412" s="1555">
        <f t="shared" ca="1" si="91"/>
        <v>256591.83803017097</v>
      </c>
      <c r="AF412" s="1555">
        <f t="shared" ca="1" si="91"/>
        <v>336478.83643689426</v>
      </c>
      <c r="AG412" s="1555">
        <f t="shared" ca="1" si="91"/>
        <v>463954.62914051302</v>
      </c>
      <c r="AH412" s="1555">
        <f t="shared" ca="1" si="91"/>
        <v>383366.49896705744</v>
      </c>
      <c r="AI412" s="1555">
        <f t="shared" ca="1" si="91"/>
        <v>254623.5530581878</v>
      </c>
      <c r="AJ412" s="1555">
        <f t="shared" ca="1" si="91"/>
        <v>178628.03422396662</v>
      </c>
      <c r="AK412" s="1555">
        <f t="shared" ca="1" si="91"/>
        <v>131531.40242287359</v>
      </c>
      <c r="AL412" s="1555">
        <f t="shared" ca="1" si="91"/>
        <v>108501.01303811718</v>
      </c>
      <c r="AM412" s="1555">
        <f t="shared" ca="1" si="91"/>
        <v>68315.83845675971</v>
      </c>
      <c r="AN412" s="1185">
        <f ca="1">SUM(P412:AM412)</f>
        <v>4574337.2132745022</v>
      </c>
    </row>
    <row r="413" spans="2:41" ht="14.1" customHeight="1">
      <c r="B413" s="1" t="s">
        <v>5102</v>
      </c>
      <c r="K413" s="18" t="str">
        <f>CONCATENATE("Sum of Rows ",O401," and ",O410,".")</f>
        <v>Sum of Rows 401 and 410.</v>
      </c>
      <c r="O413" s="21">
        <f>ROW()</f>
        <v>413</v>
      </c>
      <c r="P413" s="2641">
        <f ca="1">P401+P410</f>
        <v>20356.534076263131</v>
      </c>
      <c r="Q413" s="2641">
        <f t="shared" ref="Q413:AM413" ca="1" si="92">Q401+Q410</f>
        <v>9495.4811555698689</v>
      </c>
      <c r="R413" s="2641">
        <f t="shared" ca="1" si="92"/>
        <v>5523.2460777837196</v>
      </c>
      <c r="S413" s="2641">
        <f t="shared" ca="1" si="92"/>
        <v>3935.5254149109305</v>
      </c>
      <c r="T413" s="2641">
        <f t="shared" ca="1" si="92"/>
        <v>5988.534186092762</v>
      </c>
      <c r="U413" s="2641">
        <f t="shared" ca="1" si="92"/>
        <v>24586.305659364039</v>
      </c>
      <c r="V413" s="2641">
        <f t="shared" ca="1" si="92"/>
        <v>77374.240968351587</v>
      </c>
      <c r="W413" s="2641">
        <f t="shared" ca="1" si="92"/>
        <v>165969.17811393924</v>
      </c>
      <c r="X413" s="2641">
        <f t="shared" ca="1" si="92"/>
        <v>259344.31490891581</v>
      </c>
      <c r="Y413" s="2641">
        <f t="shared" ca="1" si="92"/>
        <v>170263.25265425211</v>
      </c>
      <c r="Z413" s="2641">
        <f t="shared" ca="1" si="92"/>
        <v>91761.281455603123</v>
      </c>
      <c r="AA413" s="2641">
        <f t="shared" ca="1" si="92"/>
        <v>72546.820391341651</v>
      </c>
      <c r="AB413" s="2641">
        <f t="shared" ca="1" si="92"/>
        <v>72718.047681628886</v>
      </c>
      <c r="AC413" s="2641">
        <f t="shared" ca="1" si="92"/>
        <v>76979.488394110216</v>
      </c>
      <c r="AD413" s="2641">
        <f t="shared" ca="1" si="92"/>
        <v>95963.277863917974</v>
      </c>
      <c r="AE413" s="2641">
        <f t="shared" ca="1" si="92"/>
        <v>123644.54924453303</v>
      </c>
      <c r="AF413" s="2641">
        <f t="shared" ca="1" si="92"/>
        <v>162139.89650236972</v>
      </c>
      <c r="AG413" s="2641">
        <f t="shared" ca="1" si="92"/>
        <v>223566.97481253467</v>
      </c>
      <c r="AH413" s="2641">
        <f t="shared" ca="1" si="92"/>
        <v>184733.77144078506</v>
      </c>
      <c r="AI413" s="2641">
        <f t="shared" ca="1" si="92"/>
        <v>122696.08685378062</v>
      </c>
      <c r="AJ413" s="2641">
        <f t="shared" ca="1" si="92"/>
        <v>86075.936567640834</v>
      </c>
      <c r="AK413" s="2641">
        <f t="shared" ca="1" si="92"/>
        <v>63381.365085218378</v>
      </c>
      <c r="AL413" s="2641">
        <f t="shared" ca="1" si="92"/>
        <v>52283.653886511187</v>
      </c>
      <c r="AM413" s="2641">
        <f t="shared" ca="1" si="92"/>
        <v>32919.523540164882</v>
      </c>
      <c r="AN413" s="1184">
        <f ca="1">SUM(P413:AM413)</f>
        <v>2204247.2869355832</v>
      </c>
      <c r="AO413" s="2640">
        <f ca="1">AN413/$AN$412</f>
        <v>0.48187249521940922</v>
      </c>
    </row>
    <row r="414" spans="2:41" ht="14.1" customHeight="1">
      <c r="B414" s="1" t="s">
        <v>5103</v>
      </c>
      <c r="K414" s="18" t="str">
        <f>CONCATENATE("Sum of Rows ",O402," and ",O411,".")</f>
        <v>Sum of Rows 402 and 411.</v>
      </c>
      <c r="O414" s="21">
        <f>ROW()</f>
        <v>414</v>
      </c>
      <c r="P414" s="2641">
        <f ca="1">P402+P411</f>
        <v>21888.114203556743</v>
      </c>
      <c r="Q414" s="2641">
        <f t="shared" ref="Q414:AM414" ca="1" si="93">Q402+Q411</f>
        <v>10209.899935430822</v>
      </c>
      <c r="R414" s="2641">
        <f t="shared" ca="1" si="93"/>
        <v>5938.8027682888069</v>
      </c>
      <c r="S414" s="2641">
        <f t="shared" ca="1" si="93"/>
        <v>4231.6255512777125</v>
      </c>
      <c r="T414" s="2641">
        <f t="shared" ca="1" si="93"/>
        <v>6439.0981139537962</v>
      </c>
      <c r="U414" s="2641">
        <f t="shared" ca="1" si="93"/>
        <v>26436.12434708247</v>
      </c>
      <c r="V414" s="2641">
        <f t="shared" ca="1" si="93"/>
        <v>83195.705928329102</v>
      </c>
      <c r="W414" s="2641">
        <f t="shared" ca="1" si="93"/>
        <v>178456.32813615099</v>
      </c>
      <c r="X414" s="2641">
        <f t="shared" ca="1" si="93"/>
        <v>278856.80153129401</v>
      </c>
      <c r="Y414" s="2641">
        <f t="shared" ca="1" si="93"/>
        <v>183073.47924767301</v>
      </c>
      <c r="Z414" s="2641">
        <f t="shared" ca="1" si="93"/>
        <v>98665.195186982164</v>
      </c>
      <c r="AA414" s="2641">
        <f t="shared" ca="1" si="93"/>
        <v>78005.081016330863</v>
      </c>
      <c r="AB414" s="2641">
        <f t="shared" ca="1" si="93"/>
        <v>78189.191065248393</v>
      </c>
      <c r="AC414" s="2641">
        <f t="shared" ca="1" si="93"/>
        <v>82771.253052668995</v>
      </c>
      <c r="AD414" s="2641">
        <f t="shared" ca="1" si="93"/>
        <v>103183.34041364805</v>
      </c>
      <c r="AE414" s="2641">
        <f t="shared" ca="1" si="93"/>
        <v>132947.28878563794</v>
      </c>
      <c r="AF414" s="2641">
        <f t="shared" ca="1" si="93"/>
        <v>174338.93993452447</v>
      </c>
      <c r="AG414" s="2641">
        <f t="shared" ca="1" si="93"/>
        <v>240387.65432797835</v>
      </c>
      <c r="AH414" s="2641">
        <f t="shared" ca="1" si="93"/>
        <v>198632.72752627233</v>
      </c>
      <c r="AI414" s="2641">
        <f t="shared" ca="1" si="93"/>
        <v>131927.46620440719</v>
      </c>
      <c r="AJ414" s="2641">
        <f t="shared" ca="1" si="93"/>
        <v>92552.097656325786</v>
      </c>
      <c r="AK414" s="2641">
        <f t="shared" ca="1" si="93"/>
        <v>68150.037337655245</v>
      </c>
      <c r="AL414" s="2641">
        <f t="shared" ca="1" si="93"/>
        <v>56217.359151605982</v>
      </c>
      <c r="AM414" s="2641">
        <f t="shared" ca="1" si="93"/>
        <v>35396.314916594827</v>
      </c>
      <c r="AN414" s="1184">
        <f ca="1">SUM(P414:AM414)</f>
        <v>2370089.9263389185</v>
      </c>
      <c r="AO414" s="2640">
        <f ca="1">AN414/$AN$412</f>
        <v>0.51812750478059066</v>
      </c>
    </row>
    <row r="415" spans="2:41" ht="14.1" customHeight="1">
      <c r="B415" s="172"/>
      <c r="O415" s="21">
        <f>ROW()</f>
        <v>415</v>
      </c>
      <c r="P415" s="1555"/>
      <c r="Q415" s="1555"/>
      <c r="R415" s="1555"/>
      <c r="S415" s="1555"/>
      <c r="T415" s="1555"/>
      <c r="U415" s="1555"/>
      <c r="V415" s="1555"/>
      <c r="W415" s="1555"/>
      <c r="X415" s="1555"/>
      <c r="Y415" s="1555"/>
      <c r="Z415" s="1555"/>
      <c r="AA415" s="1555"/>
      <c r="AB415" s="1555"/>
      <c r="AC415" s="1555"/>
      <c r="AD415" s="1555"/>
      <c r="AE415" s="1555"/>
      <c r="AF415" s="1555"/>
      <c r="AG415" s="1555"/>
      <c r="AH415" s="1555"/>
      <c r="AI415" s="1555"/>
      <c r="AJ415" s="1555"/>
      <c r="AK415" s="1555"/>
      <c r="AL415" s="1555"/>
      <c r="AM415" s="1555"/>
      <c r="AN415" s="1185"/>
    </row>
    <row r="416" spans="2:41" s="6" customFormat="1" ht="14.1" customHeight="1">
      <c r="B416" s="172" t="s">
        <v>2079</v>
      </c>
      <c r="M416" s="146"/>
      <c r="O416" s="144">
        <f>ROW()</f>
        <v>416</v>
      </c>
      <c r="P416" s="1185">
        <f t="shared" ref="P416:AN416" ca="1" si="94">P412-P129</f>
        <v>3727.0833307758585</v>
      </c>
      <c r="Q416" s="1185">
        <f t="shared" ca="1" si="94"/>
        <v>2013.6072653721785</v>
      </c>
      <c r="R416" s="1185">
        <f t="shared" ca="1" si="94"/>
        <v>1239.0632777221799</v>
      </c>
      <c r="S416" s="1185">
        <f t="shared" ca="1" si="94"/>
        <v>971.67232898038492</v>
      </c>
      <c r="T416" s="1185">
        <f t="shared" ca="1" si="94"/>
        <v>1379.6937975881283</v>
      </c>
      <c r="U416" s="1185">
        <f t="shared" ca="1" si="94"/>
        <v>6846.7530330874943</v>
      </c>
      <c r="V416" s="1185">
        <f t="shared" ca="1" si="94"/>
        <v>13481.140189643396</v>
      </c>
      <c r="W416" s="1185">
        <f t="shared" ca="1" si="94"/>
        <v>22534.096397970628</v>
      </c>
      <c r="X416" s="1185">
        <f t="shared" ca="1" si="94"/>
        <v>30918.365294858057</v>
      </c>
      <c r="Y416" s="1185">
        <f t="shared" ca="1" si="94"/>
        <v>22240.213853259629</v>
      </c>
      <c r="Z416" s="1185">
        <f t="shared" ca="1" si="94"/>
        <v>12925.945814092207</v>
      </c>
      <c r="AA416" s="1185">
        <f t="shared" ca="1" si="94"/>
        <v>10939.921476150776</v>
      </c>
      <c r="AB416" s="1185">
        <f t="shared" ca="1" si="94"/>
        <v>10970.70364152253</v>
      </c>
      <c r="AC416" s="1185">
        <f t="shared" ca="1" si="94"/>
        <v>11689.27403302255</v>
      </c>
      <c r="AD416" s="1185">
        <f t="shared" ca="1" si="94"/>
        <v>14992.203978106176</v>
      </c>
      <c r="AE416" s="1185">
        <f t="shared" ca="1" si="94"/>
        <v>18315.085253410682</v>
      </c>
      <c r="AF416" s="1185">
        <f t="shared" ca="1" si="94"/>
        <v>22507.376678124128</v>
      </c>
      <c r="AG416" s="1185">
        <f t="shared" ca="1" si="94"/>
        <v>28402.590671377722</v>
      </c>
      <c r="AH416" s="1185">
        <f t="shared" ca="1" si="94"/>
        <v>24266.797823802335</v>
      </c>
      <c r="AI416" s="1185">
        <f t="shared" ca="1" si="94"/>
        <v>17725.406159133097</v>
      </c>
      <c r="AJ416" s="1185">
        <f t="shared" ca="1" si="94"/>
        <v>13543.99962784088</v>
      </c>
      <c r="AK416" s="1185">
        <f t="shared" ca="1" si="94"/>
        <v>10820.993311701634</v>
      </c>
      <c r="AL416" s="1185">
        <f t="shared" ca="1" si="94"/>
        <v>9392.112060265019</v>
      </c>
      <c r="AM416" s="1185">
        <f t="shared" ca="1" si="94"/>
        <v>5659.6080557321693</v>
      </c>
      <c r="AN416" s="1185">
        <f t="shared" ca="1" si="94"/>
        <v>317503.7073535407</v>
      </c>
    </row>
    <row r="417" spans="2:40" ht="14.1" customHeight="1">
      <c r="B417" s="265" t="str">
        <f>CONCATENATE("Row ",O412, " less Row ",O403, ".")</f>
        <v>Row 412 less Row 403.</v>
      </c>
      <c r="M417" s="146"/>
      <c r="O417" s="21">
        <f>ROW()</f>
        <v>417</v>
      </c>
    </row>
    <row r="418" spans="2:40" ht="14.1" customHeight="1">
      <c r="B418" s="172" t="s">
        <v>2081</v>
      </c>
      <c r="M418" s="146"/>
      <c r="O418" s="21">
        <f>ROW()</f>
        <v>418</v>
      </c>
      <c r="P418" s="47">
        <f t="shared" ref="P418:AN418" ca="1" si="95">P416/P129</f>
        <v>9.6763212724026645E-2</v>
      </c>
      <c r="Q418" s="47">
        <f t="shared" ca="1" si="95"/>
        <v>0.11381601897121491</v>
      </c>
      <c r="R418" s="47">
        <f t="shared" ca="1" si="95"/>
        <v>0.12120366104773091</v>
      </c>
      <c r="S418" s="47">
        <f t="shared" ca="1" si="95"/>
        <v>0.13503929036156234</v>
      </c>
      <c r="T418" s="47">
        <f t="shared" ca="1" si="95"/>
        <v>0.12488246538312227</v>
      </c>
      <c r="U418" s="47">
        <f t="shared" ca="1" si="95"/>
        <v>0.15498920451669726</v>
      </c>
      <c r="V418" s="47">
        <f t="shared" ca="1" si="95"/>
        <v>9.1653066548390255E-2</v>
      </c>
      <c r="W418" s="47">
        <f t="shared" ca="1" si="95"/>
        <v>7.0005274164734746E-2</v>
      </c>
      <c r="X418" s="47">
        <f t="shared" ca="1" si="95"/>
        <v>6.0948978109446932E-2</v>
      </c>
      <c r="Y418" s="47">
        <f t="shared" ca="1" si="95"/>
        <v>6.7171391545684286E-2</v>
      </c>
      <c r="Z418" s="47">
        <f t="shared" ca="1" si="95"/>
        <v>7.2822012158271721E-2</v>
      </c>
      <c r="AA418" s="47">
        <f t="shared" ca="1" si="95"/>
        <v>7.8359475179112112E-2</v>
      </c>
      <c r="AB418" s="47">
        <f t="shared" ca="1" si="95"/>
        <v>7.8397708170085539E-2</v>
      </c>
      <c r="AC418" s="47">
        <f t="shared" ca="1" si="95"/>
        <v>7.894879226312787E-2</v>
      </c>
      <c r="AD418" s="47">
        <f t="shared" ca="1" si="95"/>
        <v>8.1411048630780233E-2</v>
      </c>
      <c r="AE418" s="47">
        <f t="shared" ca="1" si="95"/>
        <v>7.6864759318631251E-2</v>
      </c>
      <c r="AF418" s="47">
        <f t="shared" ca="1" si="95"/>
        <v>7.1686059285187731E-2</v>
      </c>
      <c r="AG418" s="47">
        <f t="shared" ca="1" si="95"/>
        <v>6.5210556174197368E-2</v>
      </c>
      <c r="AH418" s="47">
        <f t="shared" ca="1" si="95"/>
        <v>6.7576769756546293E-2</v>
      </c>
      <c r="AI418" s="47">
        <f t="shared" ca="1" si="95"/>
        <v>7.4822899170613258E-2</v>
      </c>
      <c r="AJ418" s="47">
        <f t="shared" ca="1" si="95"/>
        <v>8.2043061650243526E-2</v>
      </c>
      <c r="AK418" s="47">
        <f t="shared" ca="1" si="95"/>
        <v>8.9644243536079041E-2</v>
      </c>
      <c r="AL418" s="47">
        <f t="shared" ca="1" si="95"/>
        <v>9.4765575721234882E-2</v>
      </c>
      <c r="AM418" s="47">
        <f t="shared" ca="1" si="95"/>
        <v>9.032793737363673E-2</v>
      </c>
      <c r="AN418" s="839">
        <f t="shared" ca="1" si="95"/>
        <v>7.4586827723451002E-2</v>
      </c>
    </row>
    <row r="419" spans="2:40" ht="14.1" customHeight="1">
      <c r="B419" s="172" t="s">
        <v>858</v>
      </c>
      <c r="M419" s="146"/>
      <c r="O419" s="21">
        <f>ROW()</f>
        <v>419</v>
      </c>
      <c r="P419" s="839">
        <f t="shared" ref="P419:AN419" ca="1" si="96">P412/$AN$412</f>
        <v>9.2351408106136068E-3</v>
      </c>
      <c r="Q419" s="839">
        <f t="shared" ca="1" si="96"/>
        <v>4.30781120242221E-3</v>
      </c>
      <c r="R419" s="839">
        <f t="shared" ca="1" si="96"/>
        <v>2.5057288764829626E-3</v>
      </c>
      <c r="S419" s="839">
        <f t="shared" ca="1" si="96"/>
        <v>1.7854282676161197E-3</v>
      </c>
      <c r="T419" s="839">
        <f t="shared" ca="1" si="96"/>
        <v>2.7168159496379447E-3</v>
      </c>
      <c r="U419" s="839">
        <f t="shared" ca="1" si="96"/>
        <v>1.1154059621661017E-2</v>
      </c>
      <c r="V419" s="839">
        <f t="shared" ca="1" si="96"/>
        <v>3.5102341478174051E-2</v>
      </c>
      <c r="W419" s="839">
        <f t="shared" ca="1" si="96"/>
        <v>7.5295171779331066E-2</v>
      </c>
      <c r="X419" s="839">
        <f t="shared" ca="1" si="96"/>
        <v>0.1176566333759515</v>
      </c>
      <c r="Y419" s="839">
        <f t="shared" ca="1" si="96"/>
        <v>7.7243262887694245E-2</v>
      </c>
      <c r="Z419" s="839">
        <f t="shared" ca="1" si="96"/>
        <v>4.1629304479341177E-2</v>
      </c>
      <c r="AA419" s="839">
        <f t="shared" ca="1" si="96"/>
        <v>3.2912287483043069E-2</v>
      </c>
      <c r="AB419" s="839">
        <f t="shared" ca="1" si="96"/>
        <v>3.2989968100504675E-2</v>
      </c>
      <c r="AC419" s="839">
        <f t="shared" ca="1" si="96"/>
        <v>3.4923254233026453E-2</v>
      </c>
      <c r="AD419" s="839">
        <f t="shared" ca="1" si="96"/>
        <v>4.3535622537764003E-2</v>
      </c>
      <c r="AE419" s="839">
        <f t="shared" ca="1" si="96"/>
        <v>5.609377404130899E-2</v>
      </c>
      <c r="AF419" s="839">
        <f t="shared" ca="1" si="96"/>
        <v>7.3557943096204004E-2</v>
      </c>
      <c r="AG419" s="839">
        <f t="shared" ca="1" si="96"/>
        <v>0.10142554156133034</v>
      </c>
      <c r="AH419" s="839">
        <f t="shared" ca="1" si="96"/>
        <v>8.380809745607444E-2</v>
      </c>
      <c r="AI419" s="839">
        <f t="shared" ca="1" si="96"/>
        <v>5.5663485481411985E-2</v>
      </c>
      <c r="AJ419" s="839">
        <f t="shared" ca="1" si="96"/>
        <v>3.9050036299378373E-2</v>
      </c>
      <c r="AK419" s="839">
        <f t="shared" ca="1" si="96"/>
        <v>2.8754198977980004E-2</v>
      </c>
      <c r="AL419" s="839">
        <f t="shared" ca="1" si="96"/>
        <v>2.3719504701851135E-2</v>
      </c>
      <c r="AM419" s="839">
        <f t="shared" ca="1" si="96"/>
        <v>1.4934587301196444E-2</v>
      </c>
      <c r="AN419" s="839">
        <f t="shared" ca="1" si="96"/>
        <v>1</v>
      </c>
    </row>
    <row r="420" spans="2:40" ht="14.1" customHeight="1">
      <c r="B420" s="19" t="str">
        <f>CONCATENATE("Change in subway trips in period (subtotal; pending mode shifts from taxicabs, shown in Row ",O426,")")</f>
        <v>Change in subway trips in period (subtotal; pending mode shifts from taxicabs, shown in Row 426)</v>
      </c>
      <c r="M420" s="146"/>
      <c r="O420" s="21">
        <f>ROW()</f>
        <v>420</v>
      </c>
    </row>
    <row r="421" spans="2:40" ht="14.1" customHeight="1">
      <c r="B421" s="265" t="str">
        <f>CONCATENATE("Total with all pricing policies from Row ",O416," less baseline value in Row ",O149, ".")</f>
        <v>Total with all pricing policies from Row 416 less baseline value in Row 149.</v>
      </c>
      <c r="M421" s="146"/>
      <c r="O421" s="21">
        <f>ROW()</f>
        <v>421</v>
      </c>
      <c r="P421" s="838"/>
      <c r="Q421" s="838"/>
      <c r="R421" s="838"/>
      <c r="S421" s="838"/>
      <c r="T421" s="838"/>
      <c r="U421" s="838"/>
      <c r="V421" s="838"/>
      <c r="W421" s="838"/>
      <c r="X421" s="838"/>
      <c r="Y421" s="838"/>
      <c r="Z421" s="838"/>
      <c r="AA421" s="838"/>
      <c r="AB421" s="838"/>
      <c r="AC421" s="838"/>
      <c r="AD421" s="838"/>
      <c r="AE421" s="838"/>
      <c r="AF421" s="838"/>
      <c r="AG421" s="838"/>
      <c r="AH421" s="1528"/>
      <c r="AI421" s="1528"/>
      <c r="AJ421" s="1528"/>
      <c r="AK421" s="1528"/>
      <c r="AL421" s="1528"/>
      <c r="AM421" s="1529" t="s">
        <v>596</v>
      </c>
      <c r="AN421" s="1528">
        <f ca="1">(AN412-AG412-AX412)/(AN129-AG129-AX129)-1</f>
        <v>7.5655540986606873E-2</v>
      </c>
    </row>
    <row r="422" spans="2:40" ht="14.1" customHeight="1">
      <c r="M422" s="146"/>
      <c r="O422" s="21">
        <f>ROW()</f>
        <v>422</v>
      </c>
      <c r="P422" s="838"/>
      <c r="Q422" s="838"/>
      <c r="R422" s="838"/>
      <c r="S422" s="838"/>
      <c r="T422" s="838"/>
      <c r="U422" s="838"/>
      <c r="V422" s="838"/>
      <c r="W422" s="838"/>
      <c r="X422" s="838"/>
      <c r="Y422" s="838"/>
      <c r="Z422" s="838"/>
      <c r="AA422" s="838"/>
      <c r="AB422" s="838"/>
      <c r="AC422" s="838"/>
      <c r="AD422" s="838"/>
      <c r="AE422" s="838"/>
      <c r="AF422" s="838"/>
      <c r="AG422" s="838"/>
      <c r="AH422" s="838"/>
      <c r="AI422" s="1553"/>
      <c r="AJ422" s="1553"/>
      <c r="AK422" s="1553"/>
      <c r="AL422" s="1553"/>
      <c r="AM422" s="1554"/>
      <c r="AN422" s="1553"/>
    </row>
    <row r="423" spans="2:40" ht="14.1" customHeight="1">
      <c r="B423" s="24" t="s">
        <v>2084</v>
      </c>
      <c r="G423" s="161"/>
      <c r="O423" s="21">
        <f>ROW()</f>
        <v>423</v>
      </c>
    </row>
    <row r="424" spans="2:40" ht="14.1" customHeight="1">
      <c r="B424" s="6"/>
      <c r="O424" s="21">
        <f>ROW()</f>
        <v>424</v>
      </c>
    </row>
    <row r="425" spans="2:40" ht="14.1" customHeight="1">
      <c r="B425" s="6" t="s">
        <v>135</v>
      </c>
      <c r="O425" s="21">
        <f>ROW()</f>
        <v>425</v>
      </c>
    </row>
    <row r="426" spans="2:40" ht="14.1" customHeight="1">
      <c r="N426" s="1816" t="s">
        <v>2684</v>
      </c>
      <c r="O426" s="21">
        <f>ROW()</f>
        <v>426</v>
      </c>
    </row>
    <row r="427" spans="2:40" ht="14.1" customHeight="1">
      <c r="B427" s="1" t="s">
        <v>4376</v>
      </c>
      <c r="M427" s="3" t="s">
        <v>2443</v>
      </c>
      <c r="N427" s="167">
        <f>AN427</f>
        <v>6650170.9472209504</v>
      </c>
      <c r="O427" s="21">
        <f>ROW()</f>
        <v>427</v>
      </c>
      <c r="P427" s="124">
        <f t="shared" ref="P427:AM427" si="97">P129*P150</f>
        <v>60173.457812137531</v>
      </c>
      <c r="Q427" s="124">
        <f t="shared" si="97"/>
        <v>27638.694380776498</v>
      </c>
      <c r="R427" s="124">
        <f t="shared" si="97"/>
        <v>15970.697826433809</v>
      </c>
      <c r="S427" s="124">
        <f t="shared" si="97"/>
        <v>11241.022914791873</v>
      </c>
      <c r="T427" s="124">
        <f t="shared" si="97"/>
        <v>17259.46752522506</v>
      </c>
      <c r="U427" s="124">
        <f t="shared" si="97"/>
        <v>69012.754004456074</v>
      </c>
      <c r="V427" s="124">
        <f t="shared" si="97"/>
        <v>229787.16636767122</v>
      </c>
      <c r="W427" s="124">
        <f t="shared" si="97"/>
        <v>502869.77373700059</v>
      </c>
      <c r="X427" s="124">
        <f t="shared" si="97"/>
        <v>792494.47012686869</v>
      </c>
      <c r="Y427" s="124">
        <f t="shared" si="97"/>
        <v>517250.3087073132</v>
      </c>
      <c r="Z427" s="124">
        <f t="shared" si="97"/>
        <v>277297.40230386599</v>
      </c>
      <c r="AA427" s="124">
        <f t="shared" si="97"/>
        <v>218106.61176510644</v>
      </c>
      <c r="AB427" s="124">
        <f t="shared" si="97"/>
        <v>218613.64296207301</v>
      </c>
      <c r="AC427" s="124">
        <f t="shared" si="97"/>
        <v>231306.69020254322</v>
      </c>
      <c r="AD427" s="124">
        <f t="shared" si="97"/>
        <v>287692.326719695</v>
      </c>
      <c r="AE427" s="124">
        <f t="shared" si="97"/>
        <v>372244.09564295079</v>
      </c>
      <c r="AF427" s="124">
        <f t="shared" si="97"/>
        <v>490496.95672619354</v>
      </c>
      <c r="AG427" s="124">
        <f t="shared" si="97"/>
        <v>680434.29657314054</v>
      </c>
      <c r="AH427" s="124">
        <f t="shared" si="97"/>
        <v>560997.8394449664</v>
      </c>
      <c r="AI427" s="124">
        <f t="shared" si="97"/>
        <v>370090.39037286362</v>
      </c>
      <c r="AJ427" s="124">
        <f t="shared" si="97"/>
        <v>257899.92706883134</v>
      </c>
      <c r="AK427" s="124">
        <f t="shared" si="97"/>
        <v>188577.93112690645</v>
      </c>
      <c r="AL427" s="124">
        <f t="shared" si="97"/>
        <v>154831.31604211443</v>
      </c>
      <c r="AM427" s="124">
        <f t="shared" si="97"/>
        <v>97883.706867024448</v>
      </c>
      <c r="AN427" s="124">
        <f>SUM(P427:AM427)</f>
        <v>6650170.9472209504</v>
      </c>
    </row>
    <row r="428" spans="2:40" ht="14.1" customHeight="1">
      <c r="B428" s="3754" t="str">
        <f>CONCATENATE("Total is sum of 24 respective column figures, each of which is product of the number of CBD weekday trips in Row ",O129," and baseline nominal fare for each in Row ",O150,".")</f>
        <v>Total is sum of 24 respective column figures, each of which is product of the number of CBD weekday trips in Row 129 and baseline nominal fare for each in Row 150.</v>
      </c>
      <c r="C428" s="3659"/>
      <c r="D428" s="3659"/>
      <c r="E428" s="3659"/>
      <c r="F428" s="3659"/>
      <c r="G428" s="3659"/>
      <c r="H428" s="3659"/>
      <c r="I428" s="3659"/>
      <c r="J428" s="3659"/>
      <c r="K428" s="3659"/>
      <c r="L428" s="3659"/>
      <c r="M428" s="3"/>
      <c r="N428" s="167"/>
      <c r="O428" s="21">
        <f>ROW()</f>
        <v>428</v>
      </c>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729"/>
    </row>
    <row r="429" spans="2:40" ht="14.1" customHeight="1">
      <c r="B429" s="3659"/>
      <c r="C429" s="3659"/>
      <c r="D429" s="3659"/>
      <c r="E429" s="3659"/>
      <c r="F429" s="3659"/>
      <c r="G429" s="3659"/>
      <c r="H429" s="3659"/>
      <c r="I429" s="3659"/>
      <c r="J429" s="3659"/>
      <c r="K429" s="3659"/>
      <c r="L429" s="3659"/>
      <c r="M429" s="3"/>
      <c r="N429" s="167"/>
      <c r="O429" s="21">
        <f>ROW()</f>
        <v>429</v>
      </c>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729"/>
    </row>
    <row r="430" spans="2:40" ht="14.1" customHeight="1">
      <c r="B430" s="1" t="s">
        <v>4377</v>
      </c>
      <c r="M430" s="3"/>
      <c r="N430" s="167">
        <f>N427*$J$22</f>
        <v>6355900.8828064231</v>
      </c>
      <c r="O430" s="21">
        <f>ROW()</f>
        <v>430</v>
      </c>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729"/>
    </row>
    <row r="431" spans="2:40" ht="14.1" customHeight="1">
      <c r="B431" s="265" t="str">
        <f>CONCATENATE("Product of Row ",O427, " figure and normalizing-fare factor in Row ",$O$22, ".")</f>
        <v>Product of Row 427 figure and normalizing-fare factor in Row 22.</v>
      </c>
      <c r="M431" s="3"/>
      <c r="N431" s="167"/>
      <c r="O431" s="21">
        <f>ROW()</f>
        <v>431</v>
      </c>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729"/>
    </row>
    <row r="432" spans="2:40" ht="14.1" customHeight="1">
      <c r="B432" s="1" t="s">
        <v>4378</v>
      </c>
      <c r="M432" s="3" t="s">
        <v>645</v>
      </c>
      <c r="N432" s="167">
        <f>N430*$N$57</f>
        <v>7915194.1255372632</v>
      </c>
      <c r="O432" s="21">
        <f>ROW()</f>
        <v>432</v>
      </c>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729"/>
    </row>
    <row r="433" spans="2:40" ht="14.1" customHeight="1">
      <c r="B433" s="265" t="str">
        <f>CONCATENATE("Product of Row ",O430, " figure and true-up factor from CBD to all trips in Row ",$O$57, ".")</f>
        <v>Product of Row 430 figure and true-up factor from CBD to all trips in Row 57.</v>
      </c>
      <c r="N433" s="9"/>
      <c r="O433" s="21">
        <f>ROW()</f>
        <v>433</v>
      </c>
    </row>
    <row r="434" spans="2:40" ht="14.1" customHeight="1">
      <c r="B434" s="1" t="s">
        <v>4379</v>
      </c>
      <c r="L434" s="6"/>
      <c r="M434" s="8" t="s">
        <v>134</v>
      </c>
      <c r="N434" s="2081">
        <f>N432*weekday_per_yr/1000</f>
        <v>1978798.5313843158</v>
      </c>
      <c r="O434" s="21">
        <f>ROW()</f>
        <v>434</v>
      </c>
    </row>
    <row r="435" spans="2:40" ht="14.1" customHeight="1">
      <c r="B435" s="265" t="str">
        <f>CONCATENATE("Product of Row ",O432, " figure and figure from 'Constants' worksheet for number of weekdays in year.")</f>
        <v>Product of Row 432 figure and figure from 'Constants' worksheet for number of weekdays in year.</v>
      </c>
      <c r="L435" s="6"/>
      <c r="M435" s="8"/>
      <c r="N435" s="2081"/>
      <c r="O435" s="21">
        <f>ROW()</f>
        <v>435</v>
      </c>
    </row>
    <row r="436" spans="2:40" ht="14.1" customHeight="1">
      <c r="B436" s="1" t="s">
        <v>4436</v>
      </c>
      <c r="L436" s="6"/>
      <c r="M436" s="8"/>
      <c r="N436" s="2081"/>
      <c r="O436" s="21">
        <f>ROW()</f>
        <v>436</v>
      </c>
      <c r="P436" s="124">
        <f ca="1">P413*P163</f>
        <v>43483.636120113799</v>
      </c>
      <c r="Q436" s="124">
        <f t="shared" ref="Q436:AM436" ca="1" si="98">Q413*Q163</f>
        <v>20283.317671236593</v>
      </c>
      <c r="R436" s="124">
        <f t="shared" ca="1" si="98"/>
        <v>11798.217798198062</v>
      </c>
      <c r="S436" s="124">
        <f t="shared" ca="1" si="98"/>
        <v>8406.6842834014242</v>
      </c>
      <c r="T436" s="124">
        <f t="shared" ca="1" si="98"/>
        <v>12792.120724743827</v>
      </c>
      <c r="U436" s="124">
        <f t="shared" ca="1" si="98"/>
        <v>52518.860274761304</v>
      </c>
      <c r="V436" s="124">
        <f t="shared" ca="1" si="98"/>
        <v>165279.28215741867</v>
      </c>
      <c r="W436" s="124">
        <f t="shared" ca="1" si="98"/>
        <v>354527.1174957162</v>
      </c>
      <c r="X436" s="124">
        <f t="shared" ca="1" si="98"/>
        <v>553985.94756213389</v>
      </c>
      <c r="Y436" s="124">
        <f t="shared" ca="1" si="98"/>
        <v>363699.69933524152</v>
      </c>
      <c r="Z436" s="124">
        <f t="shared" ca="1" si="98"/>
        <v>196011.47021306987</v>
      </c>
      <c r="AA436" s="124">
        <f t="shared" ca="1" si="98"/>
        <v>154967.41870448337</v>
      </c>
      <c r="AB436" s="124">
        <f t="shared" ca="1" si="98"/>
        <v>155333.17768667499</v>
      </c>
      <c r="AC436" s="124">
        <f t="shared" ca="1" si="98"/>
        <v>164436.05033654571</v>
      </c>
      <c r="AD436" s="124">
        <f t="shared" ca="1" si="98"/>
        <v>204987.3637572586</v>
      </c>
      <c r="AE436" s="124">
        <f t="shared" ca="1" si="98"/>
        <v>264117.38695017272</v>
      </c>
      <c r="AF436" s="124">
        <f t="shared" ca="1" si="98"/>
        <v>346347.38082860381</v>
      </c>
      <c r="AG436" s="124">
        <f t="shared" ca="1" si="98"/>
        <v>477561.89461342187</v>
      </c>
      <c r="AH436" s="124">
        <f t="shared" ca="1" si="98"/>
        <v>394610.20556511037</v>
      </c>
      <c r="AI436" s="124">
        <f t="shared" ca="1" si="98"/>
        <v>262091.37440213381</v>
      </c>
      <c r="AJ436" s="124">
        <f t="shared" ca="1" si="98"/>
        <v>183866.99279862765</v>
      </c>
      <c r="AK436" s="124">
        <f t="shared" ca="1" si="98"/>
        <v>135389.06995839896</v>
      </c>
      <c r="AL436" s="124">
        <f t="shared" ca="1" si="98"/>
        <v>111683.22525404932</v>
      </c>
      <c r="AM436" s="124">
        <f t="shared" ca="1" si="98"/>
        <v>70319.464870850192</v>
      </c>
      <c r="AN436" s="124">
        <f ca="1">SUM(P436:AM436)</f>
        <v>4708497.3593623675</v>
      </c>
    </row>
    <row r="437" spans="2:40" ht="14.1" customHeight="1">
      <c r="B437" s="265" t="str">
        <f>CONCATENATE("Product of total new rides using pay-per-fare cards in Row ",O413, " and effective fare for these rides in Row ",O163, ".")</f>
        <v>Product of total new rides using pay-per-fare cards in Row 413 and effective fare for these rides in Row 163.</v>
      </c>
      <c r="C437" s="265"/>
      <c r="D437" s="265"/>
      <c r="E437" s="265"/>
      <c r="F437" s="265"/>
      <c r="G437" s="265"/>
      <c r="H437" s="265"/>
      <c r="I437" s="265"/>
      <c r="J437" s="265"/>
      <c r="K437" s="265"/>
      <c r="L437" s="265"/>
      <c r="M437" s="8"/>
      <c r="N437" s="2081"/>
      <c r="O437" s="21">
        <f>ROW()</f>
        <v>437</v>
      </c>
    </row>
    <row r="438" spans="2:40" ht="14.1" customHeight="1">
      <c r="B438" s="1" t="s">
        <v>5104</v>
      </c>
      <c r="L438" s="6"/>
      <c r="M438" s="8"/>
      <c r="N438" s="2081"/>
      <c r="O438" s="21">
        <f>ROW()</f>
        <v>438</v>
      </c>
      <c r="P438" s="124">
        <f ca="1">P414*P180</f>
        <v>22512.39879063984</v>
      </c>
      <c r="Q438" s="124">
        <f t="shared" ref="Q438:AM438" ca="1" si="99">Q414*Q180</f>
        <v>10501.102873521962</v>
      </c>
      <c r="R438" s="124">
        <f t="shared" ca="1" si="99"/>
        <v>6108.1870742865649</v>
      </c>
      <c r="S438" s="124">
        <f t="shared" ca="1" si="99"/>
        <v>4352.3183887420028</v>
      </c>
      <c r="T438" s="124">
        <f t="shared" ca="1" si="99"/>
        <v>6622.7516562312749</v>
      </c>
      <c r="U438" s="124">
        <f t="shared" ca="1" si="99"/>
        <v>27190.125574351925</v>
      </c>
      <c r="V438" s="124">
        <f t="shared" ca="1" si="99"/>
        <v>85568.582661314809</v>
      </c>
      <c r="W438" s="124">
        <f t="shared" ca="1" si="99"/>
        <v>183546.1926209013</v>
      </c>
      <c r="X438" s="124">
        <f t="shared" ca="1" si="99"/>
        <v>286810.25067635503</v>
      </c>
      <c r="Y438" s="124">
        <f t="shared" ca="1" si="99"/>
        <v>188295.03238537675</v>
      </c>
      <c r="Z438" s="124">
        <f t="shared" ca="1" si="99"/>
        <v>101479.28689282539</v>
      </c>
      <c r="AA438" s="124">
        <f t="shared" ca="1" si="99"/>
        <v>80229.91269163118</v>
      </c>
      <c r="AB438" s="124">
        <f t="shared" ca="1" si="99"/>
        <v>80419.273858337896</v>
      </c>
      <c r="AC438" s="124">
        <f t="shared" ca="1" si="99"/>
        <v>85132.023699869809</v>
      </c>
      <c r="AD438" s="124">
        <f t="shared" ca="1" si="99"/>
        <v>106126.29696371584</v>
      </c>
      <c r="AE438" s="124">
        <f t="shared" ca="1" si="99"/>
        <v>136739.16151215509</v>
      </c>
      <c r="AF438" s="124">
        <f t="shared" ca="1" si="99"/>
        <v>179311.36981666772</v>
      </c>
      <c r="AG438" s="124">
        <f t="shared" ca="1" si="99"/>
        <v>247243.90087925183</v>
      </c>
      <c r="AH438" s="124">
        <f t="shared" ca="1" si="99"/>
        <v>204298.0557099483</v>
      </c>
      <c r="AI438" s="124">
        <f t="shared" ca="1" si="99"/>
        <v>135690.25193361149</v>
      </c>
      <c r="AJ438" s="124">
        <f t="shared" ca="1" si="99"/>
        <v>95191.833886305118</v>
      </c>
      <c r="AK438" s="124">
        <f t="shared" ca="1" si="99"/>
        <v>70093.787151977871</v>
      </c>
      <c r="AL438" s="124">
        <f t="shared" ca="1" si="99"/>
        <v>57820.769592472541</v>
      </c>
      <c r="AM438" s="124">
        <f t="shared" ca="1" si="99"/>
        <v>36405.875339958249</v>
      </c>
      <c r="AN438" s="124">
        <f ca="1">SUM(P438:AM438)</f>
        <v>2437688.7426304501</v>
      </c>
    </row>
    <row r="439" spans="2:40" ht="14.1" customHeight="1">
      <c r="B439" s="265" t="str">
        <f>CONCATENATE("Product of total new rides using unlimiteds in Row ",O414, " and effective fare for these rides in Row ",O180, ".")</f>
        <v>Product of total new rides using unlimiteds in Row 414 and effective fare for these rides in Row 180.</v>
      </c>
      <c r="L439" s="6"/>
      <c r="M439" s="8"/>
      <c r="N439" s="2081"/>
      <c r="O439" s="21">
        <f>ROW()</f>
        <v>439</v>
      </c>
    </row>
    <row r="440" spans="2:40" ht="14.1" customHeight="1">
      <c r="B440" s="1" t="s">
        <v>4380</v>
      </c>
      <c r="M440" s="3" t="s">
        <v>2443</v>
      </c>
      <c r="N440" s="167">
        <f ca="1">AN440</f>
        <v>7146186.1019928157</v>
      </c>
      <c r="O440" s="21">
        <f>ROW()</f>
        <v>440</v>
      </c>
      <c r="P440" s="124">
        <f t="shared" ref="P440:AM440" ca="1" si="100">P436+P438</f>
        <v>65996.034910753631</v>
      </c>
      <c r="Q440" s="124">
        <f t="shared" ca="1" si="100"/>
        <v>30784.420544758555</v>
      </c>
      <c r="R440" s="124">
        <f t="shared" ca="1" si="100"/>
        <v>17906.404872484629</v>
      </c>
      <c r="S440" s="124">
        <f t="shared" ca="1" si="100"/>
        <v>12759.002672143426</v>
      </c>
      <c r="T440" s="124">
        <f t="shared" ca="1" si="100"/>
        <v>19414.872380975103</v>
      </c>
      <c r="U440" s="124">
        <f t="shared" ca="1" si="100"/>
        <v>79708.985849113233</v>
      </c>
      <c r="V440" s="124">
        <f t="shared" ca="1" si="100"/>
        <v>250847.86481873348</v>
      </c>
      <c r="W440" s="124">
        <f t="shared" ca="1" si="100"/>
        <v>538073.31011661747</v>
      </c>
      <c r="X440" s="124">
        <f t="shared" ca="1" si="100"/>
        <v>840796.19823848899</v>
      </c>
      <c r="Y440" s="124">
        <f t="shared" ca="1" si="100"/>
        <v>551994.73172061821</v>
      </c>
      <c r="Z440" s="124">
        <f t="shared" ca="1" si="100"/>
        <v>297490.75710589526</v>
      </c>
      <c r="AA440" s="124">
        <f t="shared" ca="1" si="100"/>
        <v>235197.33139611455</v>
      </c>
      <c r="AB440" s="124">
        <f t="shared" ca="1" si="100"/>
        <v>235752.45154501288</v>
      </c>
      <c r="AC440" s="124">
        <f t="shared" ca="1" si="100"/>
        <v>249568.07403641552</v>
      </c>
      <c r="AD440" s="124">
        <f t="shared" ca="1" si="100"/>
        <v>311113.66072097444</v>
      </c>
      <c r="AE440" s="124">
        <f t="shared" ca="1" si="100"/>
        <v>400856.5484623278</v>
      </c>
      <c r="AF440" s="124">
        <f t="shared" ca="1" si="100"/>
        <v>525658.7506452715</v>
      </c>
      <c r="AG440" s="124">
        <f t="shared" ca="1" si="100"/>
        <v>724805.79549267376</v>
      </c>
      <c r="AH440" s="124">
        <f t="shared" ca="1" si="100"/>
        <v>598908.26127505861</v>
      </c>
      <c r="AI440" s="124">
        <f t="shared" ca="1" si="100"/>
        <v>397781.62633574533</v>
      </c>
      <c r="AJ440" s="124">
        <f t="shared" ca="1" si="100"/>
        <v>279058.82668493275</v>
      </c>
      <c r="AK440" s="124">
        <f t="shared" ca="1" si="100"/>
        <v>205482.85711037682</v>
      </c>
      <c r="AL440" s="124">
        <f t="shared" ca="1" si="100"/>
        <v>169503.99484652188</v>
      </c>
      <c r="AM440" s="124">
        <f t="shared" ca="1" si="100"/>
        <v>106725.34021080844</v>
      </c>
      <c r="AN440" s="124">
        <f ca="1">SUM(P440:AM440)</f>
        <v>7146186.1019928157</v>
      </c>
    </row>
    <row r="441" spans="2:40" ht="14.1" customHeight="1">
      <c r="B441" s="265" t="str">
        <f>CONCATENATE("Sum of Rows ",O436, " and ",O438, ".")</f>
        <v>Sum of Rows 436 and 438.</v>
      </c>
      <c r="M441" s="3"/>
      <c r="N441" s="167"/>
      <c r="O441" s="21">
        <f>ROW()</f>
        <v>441</v>
      </c>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729"/>
    </row>
    <row r="442" spans="2:40" ht="14.1" customHeight="1">
      <c r="B442" s="1" t="s">
        <v>4381</v>
      </c>
      <c r="M442" s="3"/>
      <c r="N442" s="167">
        <f ca="1">N440*$J$22</f>
        <v>6829967.3669796335</v>
      </c>
      <c r="O442" s="21">
        <f>ROW()</f>
        <v>442</v>
      </c>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729"/>
    </row>
    <row r="443" spans="2:40" ht="14.1" customHeight="1">
      <c r="B443" s="265" t="str">
        <f>CONCATENATE("Product of Row ",O440, " figure and normalizing-fare factor in Row ",$O$22, ".")</f>
        <v>Product of Row 440 figure and normalizing-fare factor in Row 22.</v>
      </c>
      <c r="N443" s="9"/>
      <c r="O443" s="21">
        <f>ROW()</f>
        <v>443</v>
      </c>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729"/>
    </row>
    <row r="444" spans="2:40" ht="14.1" customHeight="1">
      <c r="B444" s="1" t="s">
        <v>4382</v>
      </c>
      <c r="M444" s="3" t="s">
        <v>645</v>
      </c>
      <c r="N444" s="167">
        <f ca="1">N442*$N$57</f>
        <v>8505563.3461763803</v>
      </c>
      <c r="O444" s="21">
        <f>ROW()</f>
        <v>444</v>
      </c>
    </row>
    <row r="445" spans="2:40" ht="14.1" customHeight="1">
      <c r="B445" s="265" t="str">
        <f>CONCATENATE("Product of Row ",O442, " figure and true-up factor from CBD to all trips in Row ",$O$57, ".")</f>
        <v>Product of Row 442 figure and true-up factor from CBD to all trips in Row 57.</v>
      </c>
      <c r="N445" s="9"/>
      <c r="O445" s="21">
        <f>ROW()</f>
        <v>445</v>
      </c>
    </row>
    <row r="446" spans="2:40" ht="14.1" customHeight="1">
      <c r="B446" s="1" t="s">
        <v>4383</v>
      </c>
      <c r="L446" s="6"/>
      <c r="M446" s="8" t="s">
        <v>134</v>
      </c>
      <c r="N446" s="2081">
        <f ca="1">N444*weekday_per_yr/1000</f>
        <v>2126390.8365440951</v>
      </c>
      <c r="O446" s="21">
        <f>ROW()</f>
        <v>446</v>
      </c>
    </row>
    <row r="447" spans="2:40" ht="14.1" customHeight="1">
      <c r="B447" s="265" t="str">
        <f>CONCATENATE("Product of Row ",O442, " figure and figure from 'Constants' worksheet for number of weekdays in year.")</f>
        <v>Product of Row 442 figure and figure from 'Constants' worksheet for number of weekdays in year.</v>
      </c>
      <c r="L447" s="6"/>
      <c r="M447" s="8"/>
      <c r="N447" s="2081"/>
      <c r="O447" s="21">
        <f>ROW()</f>
        <v>447</v>
      </c>
    </row>
    <row r="448" spans="2:40" ht="14.1" customHeight="1">
      <c r="B448" t="s">
        <v>1133</v>
      </c>
      <c r="L448" s="22">
        <f ca="1">(N446-N434)/N434</f>
        <v>7.4586827723450724E-2</v>
      </c>
      <c r="N448" s="9"/>
      <c r="O448" s="21">
        <f>ROW()</f>
        <v>448</v>
      </c>
      <c r="P448" s="39">
        <f t="shared" ref="P448:AN448" ca="1" si="101">(P440-P427)/P427</f>
        <v>9.6763212724026534E-2</v>
      </c>
      <c r="Q448" s="39">
        <f t="shared" ca="1" si="101"/>
        <v>0.11381601897121449</v>
      </c>
      <c r="R448" s="39">
        <f t="shared" ca="1" si="101"/>
        <v>0.12120366104773117</v>
      </c>
      <c r="S448" s="39">
        <f t="shared" ca="1" si="101"/>
        <v>0.13503929036156215</v>
      </c>
      <c r="T448" s="39">
        <f t="shared" ca="1" si="101"/>
        <v>0.12488246538312234</v>
      </c>
      <c r="U448" s="39">
        <f t="shared" ca="1" si="101"/>
        <v>0.15498920451669723</v>
      </c>
      <c r="V448" s="39">
        <f t="shared" ca="1" si="101"/>
        <v>9.1653066548390533E-2</v>
      </c>
      <c r="W448" s="39">
        <f t="shared" ca="1" si="101"/>
        <v>7.0005274164734801E-2</v>
      </c>
      <c r="X448" s="39">
        <f t="shared" ca="1" si="101"/>
        <v>6.0948978109446966E-2</v>
      </c>
      <c r="Y448" s="39">
        <f t="shared" ca="1" si="101"/>
        <v>6.7171391545684273E-2</v>
      </c>
      <c r="Z448" s="39">
        <f t="shared" ca="1" si="101"/>
        <v>7.2822012158271623E-2</v>
      </c>
      <c r="AA448" s="39">
        <f t="shared" ca="1" si="101"/>
        <v>7.835947517911214E-2</v>
      </c>
      <c r="AB448" s="39">
        <f t="shared" ca="1" si="101"/>
        <v>7.8397708170085553E-2</v>
      </c>
      <c r="AC448" s="39">
        <f t="shared" ca="1" si="101"/>
        <v>7.8948792263128051E-2</v>
      </c>
      <c r="AD448" s="39">
        <f t="shared" ca="1" si="101"/>
        <v>8.1411048630780344E-2</v>
      </c>
      <c r="AE448" s="39">
        <f t="shared" ca="1" si="101"/>
        <v>7.6864759318631376E-2</v>
      </c>
      <c r="AF448" s="39">
        <f t="shared" ca="1" si="101"/>
        <v>7.1686059285187495E-2</v>
      </c>
      <c r="AG448" s="39">
        <f t="shared" ca="1" si="101"/>
        <v>6.5210556174197312E-2</v>
      </c>
      <c r="AH448" s="39">
        <f t="shared" ca="1" si="101"/>
        <v>6.7576769756545918E-2</v>
      </c>
      <c r="AI448" s="39">
        <f t="shared" ca="1" si="101"/>
        <v>7.4822899170613341E-2</v>
      </c>
      <c r="AJ448" s="39">
        <f t="shared" ca="1" si="101"/>
        <v>8.2043061650243401E-2</v>
      </c>
      <c r="AK448" s="39">
        <f t="shared" ca="1" si="101"/>
        <v>8.9644243536079193E-2</v>
      </c>
      <c r="AL448" s="39">
        <f t="shared" ca="1" si="101"/>
        <v>9.476557572123491E-2</v>
      </c>
      <c r="AM448" s="39">
        <f t="shared" ca="1" si="101"/>
        <v>9.032793737363666E-2</v>
      </c>
      <c r="AN448" s="743">
        <f t="shared" ca="1" si="101"/>
        <v>7.4586827723450599E-2</v>
      </c>
    </row>
    <row r="449" spans="2:20" ht="14.1" customHeight="1">
      <c r="B449" t="s">
        <v>964</v>
      </c>
      <c r="G449" s="804"/>
      <c r="L449" s="6"/>
      <c r="M449" s="8" t="s">
        <v>134</v>
      </c>
      <c r="N449" s="1891">
        <f ca="1">N446-N434</f>
        <v>147592.30515977927</v>
      </c>
      <c r="O449" s="21">
        <f>ROW()</f>
        <v>449</v>
      </c>
    </row>
    <row r="450" spans="2:20" ht="14.1" customHeight="1">
      <c r="B450" s="265" t="str">
        <f>CONCATENATE("Difference between Rows ",O446, " and ",O434, ".")</f>
        <v>Difference between Rows 446 and 434.</v>
      </c>
      <c r="O450" s="21">
        <f>ROW()</f>
        <v>450</v>
      </c>
    </row>
    <row r="451" spans="2:20" ht="14.1" customHeight="1">
      <c r="O451" s="21">
        <f>ROW()</f>
        <v>451</v>
      </c>
    </row>
    <row r="452" spans="2:20" ht="14.1" customHeight="1">
      <c r="B452" s="2" t="s">
        <v>4451</v>
      </c>
      <c r="N452" s="4232" t="s">
        <v>4466</v>
      </c>
      <c r="O452" s="21">
        <f>ROW()</f>
        <v>452</v>
      </c>
    </row>
    <row r="453" spans="2:20" ht="14.1" customHeight="1">
      <c r="N453" s="3807"/>
      <c r="O453" s="21">
        <f>ROW()</f>
        <v>453</v>
      </c>
    </row>
    <row r="454" spans="2:20" ht="14.1" customHeight="1">
      <c r="B454" s="3787" t="s">
        <v>4452</v>
      </c>
      <c r="C454" s="3779"/>
      <c r="D454" s="3779"/>
      <c r="E454" s="3779"/>
      <c r="F454" s="3779"/>
      <c r="G454" s="3779"/>
      <c r="H454" s="3779"/>
      <c r="I454" s="3779"/>
      <c r="J454" s="3779"/>
      <c r="K454" s="3779"/>
      <c r="L454" s="3779"/>
      <c r="N454" s="3807"/>
      <c r="O454" s="21">
        <f>ROW()</f>
        <v>454</v>
      </c>
    </row>
    <row r="455" spans="2:20" ht="14.1" customHeight="1">
      <c r="B455" s="3779"/>
      <c r="C455" s="3779"/>
      <c r="D455" s="3779"/>
      <c r="E455" s="3779"/>
      <c r="F455" s="3779"/>
      <c r="G455" s="3779"/>
      <c r="H455" s="3779"/>
      <c r="I455" s="3779"/>
      <c r="J455" s="3779"/>
      <c r="K455" s="3779"/>
      <c r="L455" s="3779"/>
      <c r="N455" s="3807"/>
      <c r="O455" s="21">
        <f>ROW()</f>
        <v>455</v>
      </c>
      <c r="T455" s="4232" t="s">
        <v>4440</v>
      </c>
    </row>
    <row r="456" spans="2:20" ht="14.1" customHeight="1">
      <c r="B456" s="3779"/>
      <c r="C456" s="3779"/>
      <c r="D456" s="3779"/>
      <c r="E456" s="3779"/>
      <c r="F456" s="3779"/>
      <c r="G456" s="3779"/>
      <c r="H456" s="3779"/>
      <c r="I456" s="3779"/>
      <c r="J456" s="3779"/>
      <c r="K456" s="3779"/>
      <c r="L456" s="3779"/>
      <c r="N456" s="3807"/>
      <c r="O456" s="21">
        <f>ROW()</f>
        <v>456</v>
      </c>
      <c r="R456" s="1816" t="s">
        <v>1923</v>
      </c>
      <c r="T456" s="3807"/>
    </row>
    <row r="457" spans="2:20" ht="14.1" customHeight="1">
      <c r="O457" s="21">
        <f>ROW()</f>
        <v>457</v>
      </c>
    </row>
    <row r="458" spans="2:20" ht="14.1" customHeight="1">
      <c r="B458" s="2" t="s">
        <v>6131</v>
      </c>
      <c r="O458" s="21">
        <f>ROW()</f>
        <v>458</v>
      </c>
    </row>
    <row r="459" spans="2:20" ht="14.1" customHeight="1">
      <c r="B459" s="1" t="s">
        <v>4443</v>
      </c>
      <c r="O459" s="21">
        <f>ROW()</f>
        <v>459</v>
      </c>
      <c r="R459" s="1179">
        <f>K47*$J$18/$R$9</f>
        <v>3024318.2684998172</v>
      </c>
      <c r="S459" s="1179"/>
      <c r="T459" s="1179">
        <f>L47*$J$18/$R$9</f>
        <v>2358522.4273309084</v>
      </c>
    </row>
    <row r="460" spans="2:20" ht="14.1" customHeight="1">
      <c r="B460" s="265" t="str">
        <f>CONCATENATE("Actual Sat/Sun rides in Row ",O47, ", prorated by ratio of 2011 proj. annual rides in Row ",O18, " to actual 2009 rides in Row ",O9,".")</f>
        <v>Actual Sat/Sun rides in Row 47, prorated by ratio of 2011 proj. annual rides in Row 18 to actual 2009 rides in Row 9.</v>
      </c>
      <c r="O460" s="21">
        <f>ROW()</f>
        <v>460</v>
      </c>
      <c r="R460" s="1179"/>
      <c r="T460" s="1179"/>
    </row>
    <row r="461" spans="2:20" ht="14.1" customHeight="1">
      <c r="B461" s="1" t="s">
        <v>4444</v>
      </c>
      <c r="O461" s="21">
        <f>ROW()</f>
        <v>461</v>
      </c>
      <c r="R461" s="1179">
        <f>R459*$J$22</f>
        <v>2890492.1851187004</v>
      </c>
      <c r="T461" s="1179">
        <f>T459*$J$22</f>
        <v>2254157.8099215156</v>
      </c>
    </row>
    <row r="462" spans="2:20" ht="14.1" customHeight="1">
      <c r="B462" s="265" t="str">
        <f>CONCATENATE("Row ",O459, " times normalizing factor in Row ",O22, " to convert turnstile to paying rides.")</f>
        <v>Row 459 times normalizing factor in Row 22 to convert turnstile to paying rides.</v>
      </c>
      <c r="O462" s="21">
        <f>ROW()</f>
        <v>462</v>
      </c>
      <c r="R462" s="1179"/>
      <c r="T462" s="1179"/>
    </row>
    <row r="463" spans="2:20" ht="14.1" customHeight="1">
      <c r="B463" s="1" t="s">
        <v>4445</v>
      </c>
      <c r="N463" s="2496">
        <f>R463+T463</f>
        <v>292317.53565122792</v>
      </c>
      <c r="O463" s="21">
        <f>ROW()</f>
        <v>463</v>
      </c>
      <c r="Q463" s="1892" t="s">
        <v>1264</v>
      </c>
      <c r="R463" s="2496">
        <f>R461*Constants!$J$28/1000</f>
        <v>150305.59362617243</v>
      </c>
      <c r="S463" s="2"/>
      <c r="T463" s="2496">
        <f>T461*Constants!$J$29/1000</f>
        <v>142011.9420250555</v>
      </c>
    </row>
    <row r="464" spans="2:20" ht="14.1" customHeight="1">
      <c r="B464" s="265" t="str">
        <f>CONCATENATE("Row ",O461, " times # of Saturdays or Sundays-Holidays from 'Constants' worksheet.")</f>
        <v>Row 461 times # of Saturdays or Sundays-Holidays from 'Constants' worksheet.</v>
      </c>
      <c r="O464" s="21">
        <f>ROW()</f>
        <v>464</v>
      </c>
      <c r="R464" s="1179"/>
      <c r="T464" s="1179"/>
    </row>
    <row r="465" spans="2:20" ht="14.1" customHeight="1">
      <c r="B465" s="1" t="s">
        <v>4446</v>
      </c>
      <c r="N465" s="2081">
        <f>R465+T465</f>
        <v>456668.45561309921</v>
      </c>
      <c r="O465" s="21">
        <f>ROW()</f>
        <v>465</v>
      </c>
      <c r="P465" s="6"/>
      <c r="Q465" s="1892" t="s">
        <v>1264</v>
      </c>
      <c r="R465" s="2081">
        <f>R463*J44</f>
        <v>234812.54095262458</v>
      </c>
      <c r="T465" s="2081">
        <f>T463*L44</f>
        <v>221855.91466047463</v>
      </c>
    </row>
    <row r="466" spans="2:20" ht="14.1" customHeight="1">
      <c r="B466" s="265" t="str">
        <f>CONCATENATE("Baseline normalized rides in Row ",O463, " times normalized fare in Row ",O44, ".")</f>
        <v>Baseline normalized rides in Row 463 times normalized fare in Row 44.</v>
      </c>
      <c r="O466" s="21">
        <f>ROW()</f>
        <v>466</v>
      </c>
      <c r="R466" s="1179"/>
      <c r="T466" s="1179"/>
    </row>
    <row r="467" spans="2:20" ht="14.1" customHeight="1">
      <c r="B467" s="1" t="s">
        <v>5111</v>
      </c>
      <c r="J467" s="3754" t="str">
        <f>CONCATENATE("Each figure multiplies Rows ",O459, " and ",O461, " by shares of pay-per and unlimited rides taken from Row ",Transit!O20, " of 'Transit' tab.")</f>
        <v>Each figure multiplies Rows 459 and 461 by shares of pay-per and unlimited rides taken from Row 20 of 'Transit' tab.</v>
      </c>
      <c r="K467" s="3659"/>
      <c r="L467" s="3659"/>
      <c r="M467" s="3659"/>
      <c r="N467" s="3659"/>
      <c r="O467" s="21">
        <f>ROW()</f>
        <v>467</v>
      </c>
      <c r="R467" s="1179">
        <f>Transit!$H$20*R459</f>
        <v>1457335.7903796504</v>
      </c>
      <c r="S467" s="1179"/>
      <c r="T467" s="1179">
        <f>Transit!$H$20*T459</f>
        <v>1136507.0870888829</v>
      </c>
    </row>
    <row r="468" spans="2:20" ht="14.1" customHeight="1">
      <c r="B468" s="1" t="s">
        <v>5112</v>
      </c>
      <c r="J468" s="3659"/>
      <c r="K468" s="3659"/>
      <c r="L468" s="3659"/>
      <c r="M468" s="3659"/>
      <c r="N468" s="3659"/>
      <c r="O468" s="21">
        <f>ROW()</f>
        <v>468</v>
      </c>
      <c r="R468" s="1179">
        <f>Transit!$U$20*R459</f>
        <v>1566982.4781201677</v>
      </c>
      <c r="T468" s="1179">
        <f>Transit!$U$20*T459</f>
        <v>1222015.3402420264</v>
      </c>
    </row>
    <row r="469" spans="2:20" ht="14.1" customHeight="1">
      <c r="B469" t="s">
        <v>1266</v>
      </c>
      <c r="O469" s="21">
        <f>ROW()</f>
        <v>469</v>
      </c>
      <c r="R469" s="53">
        <v>0.2</v>
      </c>
      <c r="T469" s="53">
        <f>R469</f>
        <v>0.2</v>
      </c>
    </row>
    <row r="470" spans="2:20" ht="14.1" customHeight="1">
      <c r="B470" s="1" t="s">
        <v>4463</v>
      </c>
      <c r="O470" s="21">
        <f>ROW()</f>
        <v>470</v>
      </c>
      <c r="R470" s="621">
        <f>R469*Elasticities!$G$49+(1-R469)*Elasticities!$H$49</f>
        <v>-0.20520000000000002</v>
      </c>
      <c r="T470" s="621">
        <f>T469*Elasticities!$G$49+(1-T469)*Elasticities!$H$49</f>
        <v>-0.20520000000000002</v>
      </c>
    </row>
    <row r="471" spans="2:20" ht="14.1" customHeight="1">
      <c r="B471" s="265" t="s">
        <v>4462</v>
      </c>
      <c r="O471" s="21">
        <f>ROW()</f>
        <v>471</v>
      </c>
      <c r="R471" s="621"/>
      <c r="T471" s="621"/>
    </row>
    <row r="472" spans="2:20" ht="14.1" customHeight="1">
      <c r="O472" s="21">
        <f>ROW()</f>
        <v>472</v>
      </c>
      <c r="T472" s="4232" t="s">
        <v>4440</v>
      </c>
    </row>
    <row r="473" spans="2:20" ht="14.1" customHeight="1">
      <c r="B473" s="2" t="s">
        <v>6132</v>
      </c>
      <c r="O473" s="21">
        <f>ROW()</f>
        <v>473</v>
      </c>
      <c r="R473" s="1816" t="s">
        <v>1923</v>
      </c>
      <c r="T473" s="3807"/>
    </row>
    <row r="474" spans="2:20" ht="14.1" customHeight="1">
      <c r="O474" s="21">
        <f>ROW()</f>
        <v>474</v>
      </c>
    </row>
    <row r="475" spans="2:20" ht="14.1" customHeight="1">
      <c r="B475" s="1" t="s">
        <v>4442</v>
      </c>
      <c r="O475" s="21">
        <f>ROW()</f>
        <v>475</v>
      </c>
      <c r="R475" s="596">
        <f>'User Inputs'!J129</f>
        <v>2.25</v>
      </c>
      <c r="T475" s="596">
        <f>'User Inputs'!J132</f>
        <v>2.25</v>
      </c>
    </row>
    <row r="476" spans="2:20" ht="14.1" customHeight="1">
      <c r="B476" s="265" t="str">
        <f>CONCATENATE("From 'User Inputs' Rows ",'User Inputs'!N129, " and ",'User Inputs'!N132, ".")</f>
        <v>From 'User Inputs' Rows 129 and 132.</v>
      </c>
      <c r="O476" s="21">
        <f>ROW()</f>
        <v>476</v>
      </c>
    </row>
    <row r="477" spans="2:20" ht="14.1" customHeight="1">
      <c r="B477" s="1" t="s">
        <v>5105</v>
      </c>
      <c r="O477" s="21">
        <f>ROW()</f>
        <v>477</v>
      </c>
      <c r="R477" s="596">
        <f>R475*(Transit!$H$51*(1/(1+'User Inputs'!$J$115))+1-Transit!$H$51)</f>
        <v>2.1361021457389535</v>
      </c>
      <c r="T477" s="596">
        <f>T475*(Transit!$H$51*(1/(1+'User Inputs'!$J$115))+1-Transit!$H$51)</f>
        <v>2.1361021457389535</v>
      </c>
    </row>
    <row r="478" spans="2:20" ht="14.1" customHeight="1">
      <c r="B478" s="265" t="str">
        <f>CONCATENATE("See note in Row ",O156, ", except that the nominal fare is from Row ",O475, " rather than Row ",O150, ".")</f>
        <v>See note in Row 156, except that the nominal fare is from Row 475 rather than Row 150.</v>
      </c>
      <c r="O478" s="21">
        <f>ROW()</f>
        <v>478</v>
      </c>
    </row>
    <row r="479" spans="2:20" ht="14.1" customHeight="1">
      <c r="B479" s="1" t="s">
        <v>5108</v>
      </c>
      <c r="O479" s="21">
        <f>ROW()</f>
        <v>479</v>
      </c>
      <c r="R479" s="576">
        <f>R477/R155-1</f>
        <v>0</v>
      </c>
      <c r="T479" s="39">
        <f>T477/T155-1</f>
        <v>0</v>
      </c>
    </row>
    <row r="480" spans="2:20" ht="14.1" customHeight="1">
      <c r="B480" s="265" t="str">
        <f>CONCATENATE("Ratio of Proposed fare in ",O477, " to baseline fare in Row ",O155, " less one.")</f>
        <v>Ratio of Proposed fare in 477 to baseline fare in Row 155 less one.</v>
      </c>
      <c r="O480" s="21">
        <f>ROW()</f>
        <v>480</v>
      </c>
    </row>
    <row r="481" spans="2:20" ht="14.1" customHeight="1">
      <c r="B481" s="1" t="s">
        <v>5107</v>
      </c>
      <c r="O481" s="21">
        <f>ROW()</f>
        <v>481</v>
      </c>
      <c r="R481" s="2971">
        <f>IF(R477=0,R$470*(R477-$P$155)/$P$155,(1+R479)^R$470-1)</f>
        <v>0</v>
      </c>
      <c r="S481" s="22"/>
      <c r="T481" s="2971">
        <f>IF(T477=0,T470*(T477-$P$155)/$P$155,(1+T479)^T470-1)</f>
        <v>0</v>
      </c>
    </row>
    <row r="482" spans="2:20" ht="14.1" customHeight="1">
      <c r="B482" s="265" t="str">
        <f>CONCATENATE("Calculated as one plus percentage fare change in Row ",O479," exponentiated to elasticity shown in Row ",O470,".")</f>
        <v>Calculated as one plus percentage fare change in Row 479 exponentiated to elasticity shown in Row 470.</v>
      </c>
      <c r="C482" s="265"/>
      <c r="D482" s="265"/>
      <c r="E482" s="265"/>
      <c r="F482" s="265"/>
      <c r="G482" s="265"/>
      <c r="H482" s="265"/>
      <c r="I482" s="265"/>
      <c r="J482" s="265"/>
      <c r="K482" s="265"/>
      <c r="L482" s="265"/>
      <c r="M482" s="265"/>
      <c r="N482" s="265"/>
      <c r="O482" s="21">
        <f>ROW()</f>
        <v>482</v>
      </c>
    </row>
    <row r="483" spans="2:20" ht="14.1" customHeight="1">
      <c r="B483" s="1" t="s">
        <v>5114</v>
      </c>
      <c r="C483" s="265"/>
      <c r="D483" s="265"/>
      <c r="E483" s="265"/>
      <c r="F483" s="265"/>
      <c r="G483" s="265"/>
      <c r="H483" s="265"/>
      <c r="I483" s="265"/>
      <c r="J483" s="265"/>
      <c r="K483" s="265"/>
      <c r="L483" s="265"/>
      <c r="M483" s="265"/>
      <c r="N483" s="265"/>
      <c r="O483" s="21">
        <f>ROW()</f>
        <v>483</v>
      </c>
      <c r="R483" s="1179">
        <f>R467*(1+R481)</f>
        <v>1457335.7903796504</v>
      </c>
      <c r="T483" s="1179">
        <f>T467*(1+T481)</f>
        <v>1136507.0870888829</v>
      </c>
    </row>
    <row r="484" spans="2:20" ht="14.1" customHeight="1">
      <c r="B484" s="265" t="str">
        <f>CONCATENATE("Calculated as baseline pay-per rides in Row ",O467, ", increased by percent in Row ",O481,".")</f>
        <v>Calculated as baseline pay-per rides in Row 467, increased by percent in Row 481.</v>
      </c>
      <c r="C484" s="265"/>
      <c r="D484" s="265"/>
      <c r="E484" s="265"/>
      <c r="F484" s="265"/>
      <c r="G484" s="265"/>
      <c r="H484" s="265"/>
      <c r="I484" s="265"/>
      <c r="J484" s="265"/>
      <c r="K484" s="265"/>
      <c r="L484" s="265"/>
      <c r="M484" s="265"/>
      <c r="N484" s="265"/>
      <c r="O484" s="21">
        <f>ROW()</f>
        <v>484</v>
      </c>
    </row>
    <row r="485" spans="2:20" ht="14.1" customHeight="1">
      <c r="B485" s="1" t="s">
        <v>5106</v>
      </c>
      <c r="O485" s="21">
        <f>ROW()</f>
        <v>485</v>
      </c>
      <c r="R485" s="596">
        <f>P180</f>
        <v>1.0285216250827882</v>
      </c>
      <c r="T485" s="596">
        <f>R180</f>
        <v>1.0285216250827882</v>
      </c>
    </row>
    <row r="486" spans="2:20" ht="14.1" customHeight="1">
      <c r="B486" s="265" t="str">
        <f>CONCATENATE("From Row ",O180, "; reflects change (if any) from Unlimited Fares, taken from 'User Inputs' Row ",'User Inputs'!N112, ".")</f>
        <v>From Row 180; reflects change (if any) from Unlimited Fares, taken from 'User Inputs' Row 112.</v>
      </c>
      <c r="O486" s="21">
        <f>ROW()</f>
        <v>486</v>
      </c>
    </row>
    <row r="487" spans="2:20" ht="14.1" customHeight="1">
      <c r="B487" s="1" t="s">
        <v>5109</v>
      </c>
      <c r="O487" s="21">
        <f>ROW()</f>
        <v>487</v>
      </c>
      <c r="R487" s="576">
        <f>R485/P178-1</f>
        <v>0</v>
      </c>
      <c r="T487" s="39">
        <f>T485/R178-1</f>
        <v>0</v>
      </c>
    </row>
    <row r="488" spans="2:20" ht="14.1" customHeight="1">
      <c r="B488" s="265" t="str">
        <f>CONCATENATE("Ratio of Proposed fare in ",O485, " to baseline fare in Row ",O178, " less one.")</f>
        <v>Ratio of Proposed fare in 485 to baseline fare in Row 178 less one.</v>
      </c>
      <c r="O488" s="21">
        <f>ROW()</f>
        <v>488</v>
      </c>
    </row>
    <row r="489" spans="2:20" ht="14.1" customHeight="1">
      <c r="B489" s="1" t="s">
        <v>5110</v>
      </c>
      <c r="O489" s="21">
        <f>ROW()</f>
        <v>489</v>
      </c>
      <c r="R489" s="2971">
        <f>IF(R485=0,R$470*(R485-$P$180)/$P$180,(1+R487)^R$470-1)</f>
        <v>0</v>
      </c>
      <c r="T489" s="2971">
        <f>IF(T485=0,T$470*(T485-$P$180)/$P$180,(1+T487)^T$470-1)</f>
        <v>0</v>
      </c>
    </row>
    <row r="490" spans="2:20" ht="14.1" customHeight="1">
      <c r="B490" s="265" t="str">
        <f>CONCATENATE("Calculated as one plus percentage fare change in Row ",O487," exponentiated to elasticity shown in Row ",O470,".")</f>
        <v>Calculated as one plus percentage fare change in Row 487 exponentiated to elasticity shown in Row 470.</v>
      </c>
      <c r="C490" s="265"/>
      <c r="D490" s="265"/>
      <c r="E490" s="265"/>
      <c r="F490" s="265"/>
      <c r="G490" s="265"/>
      <c r="H490" s="265"/>
      <c r="I490" s="265"/>
      <c r="J490" s="265"/>
      <c r="K490" s="265"/>
      <c r="L490" s="265"/>
      <c r="M490" s="265"/>
      <c r="N490" s="265"/>
      <c r="O490" s="21">
        <f>ROW()</f>
        <v>490</v>
      </c>
      <c r="R490" s="1179"/>
    </row>
    <row r="491" spans="2:20" ht="14.1" customHeight="1">
      <c r="B491" s="1" t="s">
        <v>5115</v>
      </c>
      <c r="O491" s="21">
        <f>ROW()</f>
        <v>491</v>
      </c>
      <c r="R491" s="1179">
        <f>R468*(1+R489)</f>
        <v>1566982.4781201677</v>
      </c>
      <c r="T491" s="1179">
        <f>T468*(1+T489)</f>
        <v>1222015.3402420264</v>
      </c>
    </row>
    <row r="492" spans="2:20" ht="14.1" customHeight="1">
      <c r="B492" s="265" t="str">
        <f>CONCATENATE("Calculated as baseline pay-per rides in Row ",O468, ", increased by percent in Row ",O489,".")</f>
        <v>Calculated as baseline pay-per rides in Row 468, increased by percent in Row 489.</v>
      </c>
      <c r="O492" s="21">
        <f>ROW()</f>
        <v>492</v>
      </c>
    </row>
    <row r="493" spans="2:20" ht="14.1" customHeight="1">
      <c r="O493" s="21">
        <f>ROW()</f>
        <v>493</v>
      </c>
      <c r="T493" s="4232" t="s">
        <v>4440</v>
      </c>
    </row>
    <row r="494" spans="2:20" ht="14.1" customHeight="1">
      <c r="B494" s="2" t="s">
        <v>6133</v>
      </c>
      <c r="O494" s="21">
        <f>ROW()</f>
        <v>494</v>
      </c>
      <c r="R494" s="1816" t="s">
        <v>1923</v>
      </c>
      <c r="T494" s="3807"/>
    </row>
    <row r="495" spans="2:20" ht="14.1" customHeight="1">
      <c r="O495" s="21">
        <f>ROW()</f>
        <v>495</v>
      </c>
    </row>
    <row r="496" spans="2:20" ht="14.1" customHeight="1">
      <c r="B496" s="1" t="s">
        <v>4464</v>
      </c>
      <c r="K496" s="265" t="str">
        <f>CONCATENATE("Row ",O471, " note applies here.")</f>
        <v>Row 471 note applies here.</v>
      </c>
      <c r="O496" s="21">
        <f>ROW()</f>
        <v>496</v>
      </c>
      <c r="R496" s="621">
        <f>R469*Elasticities!$G$50+(1-R469)*Elasticities!$H$50</f>
        <v>-0.54</v>
      </c>
      <c r="T496" s="621">
        <f>T469*Elasticities!$G$50+(1-T469)*Elasticities!$H$50</f>
        <v>-0.54</v>
      </c>
    </row>
    <row r="497" spans="2:20" ht="14.1" customHeight="1">
      <c r="B497" s="1" t="s">
        <v>4465</v>
      </c>
      <c r="O497" s="21">
        <f>ROW()</f>
        <v>497</v>
      </c>
      <c r="R497" s="23">
        <f>(1+R$207)^R496-1</f>
        <v>4.8765727742440035E-2</v>
      </c>
      <c r="T497" s="23">
        <f>(1+T$207)^T496-1</f>
        <v>4.8765727742440035E-2</v>
      </c>
    </row>
    <row r="498" spans="2:20" ht="14.1" customHeight="1">
      <c r="B498" s="265" t="str">
        <f>CONCATENATE("Calculated as one plus total % change in trip duration in Row ",O207, ", exponentiated to elasticity in Row ",O496,"; less one.")</f>
        <v>Calculated as one plus total % change in trip duration in Row 207, exponentiated to elasticity in Row 496; less one.</v>
      </c>
      <c r="C498" s="265"/>
      <c r="D498" s="265"/>
      <c r="E498" s="265"/>
      <c r="F498" s="265"/>
      <c r="G498" s="265"/>
      <c r="H498" s="265"/>
      <c r="I498" s="265"/>
      <c r="J498" s="265"/>
      <c r="K498" s="265"/>
      <c r="L498" s="265"/>
      <c r="M498" s="265"/>
      <c r="N498" s="265"/>
      <c r="O498" s="21">
        <f>ROW()</f>
        <v>498</v>
      </c>
    </row>
    <row r="499" spans="2:20" ht="14.1" customHeight="1">
      <c r="B499" s="1" t="s">
        <v>5113</v>
      </c>
      <c r="J499" s="265" t="str">
        <f>CONCATENATE("Product of baseline in Row ",O459, " and % in Row ",O497, ".")</f>
        <v>Product of baseline in Row 459 and % in Row 497.</v>
      </c>
      <c r="O499" s="21">
        <f>ROW()</f>
        <v>499</v>
      </c>
      <c r="R499" s="1179">
        <f>R497*R459</f>
        <v>147483.08128814975</v>
      </c>
      <c r="T499" s="1179">
        <f>T497*T459</f>
        <v>115015.06256565789</v>
      </c>
    </row>
    <row r="500" spans="2:20" ht="14.1" customHeight="1">
      <c r="B500" s="1" t="s">
        <v>5098</v>
      </c>
      <c r="J500" s="3754" t="str">
        <f>CONCATENATE("Each figure multiplies Row ",O499, " by respective share of pay-per and unlimited rides taken from Row ",Transit!O20, " of 'Transit' tab.")</f>
        <v>Each figure multiplies Row 499 by respective share of pay-per and unlimited rides taken from Row 20 of 'Transit' tab.</v>
      </c>
      <c r="K500" s="3659"/>
      <c r="L500" s="3659"/>
      <c r="M500" s="3659"/>
      <c r="N500" s="3659"/>
      <c r="O500" s="21">
        <f>ROW()</f>
        <v>500</v>
      </c>
      <c r="R500" s="1179">
        <f>Transit!$H$20*R499</f>
        <v>71068.040382967694</v>
      </c>
      <c r="T500" s="1179">
        <f>Transit!$H$20*T499</f>
        <v>55422.595186330051</v>
      </c>
    </row>
    <row r="501" spans="2:20" ht="14.1" customHeight="1">
      <c r="B501" s="1" t="s">
        <v>5099</v>
      </c>
      <c r="J501" s="3659"/>
      <c r="K501" s="3659"/>
      <c r="L501" s="3659"/>
      <c r="M501" s="3659"/>
      <c r="N501" s="3659"/>
      <c r="O501" s="21">
        <f>ROW()</f>
        <v>501</v>
      </c>
      <c r="R501" s="1179">
        <f>Transit!$U$20*R499</f>
        <v>76415.040905182104</v>
      </c>
      <c r="T501" s="1179">
        <f>Transit!$U$20*T499</f>
        <v>59592.467379327885</v>
      </c>
    </row>
    <row r="502" spans="2:20" ht="14.1" customHeight="1">
      <c r="O502" s="21">
        <f>ROW()</f>
        <v>502</v>
      </c>
    </row>
    <row r="503" spans="2:20" ht="14.1" customHeight="1">
      <c r="B503" s="2" t="s">
        <v>6134</v>
      </c>
      <c r="O503" s="21">
        <f>ROW()</f>
        <v>503</v>
      </c>
    </row>
    <row r="504" spans="2:20" ht="14.1" customHeight="1">
      <c r="B504" s="1" t="s">
        <v>5116</v>
      </c>
      <c r="L504" s="265" t="str">
        <f>CONCATENATE("Sum of Rows ",O483, " and ",O500, ".")</f>
        <v>Sum of Rows 483 and 500.</v>
      </c>
      <c r="O504" s="21">
        <f>ROW()</f>
        <v>504</v>
      </c>
      <c r="R504" s="1179">
        <f>R483+R500</f>
        <v>1528403.8307626182</v>
      </c>
      <c r="T504" s="1179">
        <f>T483+T500</f>
        <v>1191929.6822752131</v>
      </c>
    </row>
    <row r="505" spans="2:20" ht="14.1" customHeight="1">
      <c r="B505" s="1" t="s">
        <v>5117</v>
      </c>
      <c r="L505" s="265" t="str">
        <f>CONCATENATE("Sum of Rows ",O491, " and ",O501, ".")</f>
        <v>Sum of Rows 491 and 501.</v>
      </c>
      <c r="O505" s="21">
        <f>ROW()</f>
        <v>505</v>
      </c>
      <c r="R505" s="1179">
        <f>R491+R501</f>
        <v>1643397.5190253498</v>
      </c>
      <c r="T505" s="1179">
        <f>T491+T501</f>
        <v>1281607.8076213542</v>
      </c>
    </row>
    <row r="506" spans="2:20" ht="14.1" customHeight="1">
      <c r="B506" s="1" t="s">
        <v>4447</v>
      </c>
      <c r="L506" s="265" t="str">
        <f>CONCATENATE("Sum of Rows ",O504, " and ",O505, ".")</f>
        <v>Sum of Rows 504 and 505.</v>
      </c>
      <c r="O506" s="21">
        <f>ROW()</f>
        <v>506</v>
      </c>
      <c r="R506" s="1179">
        <f>R504+R505</f>
        <v>3171801.3497879682</v>
      </c>
      <c r="T506" s="1179">
        <f>T504+T505</f>
        <v>2473537.4898965675</v>
      </c>
    </row>
    <row r="507" spans="2:20" ht="14.1" customHeight="1">
      <c r="B507" s="1" t="s">
        <v>4448</v>
      </c>
      <c r="O507" s="21">
        <f>ROW()</f>
        <v>507</v>
      </c>
      <c r="R507" s="1179">
        <f>R506*$J$22</f>
        <v>3031449.1400598506</v>
      </c>
      <c r="T507" s="1179">
        <f>T506*$J$22</f>
        <v>2364083.4559686445</v>
      </c>
    </row>
    <row r="508" spans="2:20" ht="14.1" customHeight="1">
      <c r="B508" s="265" t="str">
        <f>CONCATENATE("Projected rides in Row ",O506, " times normalizing factor in Row ",O22, ".")</f>
        <v>Projected rides in Row 506 times normalizing factor in Row 22.</v>
      </c>
      <c r="O508" s="21">
        <f>ROW()</f>
        <v>508</v>
      </c>
      <c r="R508" s="1179"/>
      <c r="T508" s="1179"/>
    </row>
    <row r="509" spans="2:20" ht="14.1" customHeight="1">
      <c r="B509" s="1" t="s">
        <v>4449</v>
      </c>
      <c r="N509" s="2496">
        <f>R509+T509</f>
        <v>306572.61300913687</v>
      </c>
      <c r="O509" s="21">
        <f>ROW()</f>
        <v>509</v>
      </c>
      <c r="Q509" s="1892" t="s">
        <v>1264</v>
      </c>
      <c r="R509" s="2496">
        <f>R507*Constants!$J$28/1000</f>
        <v>157635.35528311224</v>
      </c>
      <c r="S509" s="2"/>
      <c r="T509" s="2496">
        <f>T507*Constants!$J$29/1000</f>
        <v>148937.2577260246</v>
      </c>
    </row>
    <row r="510" spans="2:20" ht="14.1" customHeight="1">
      <c r="B510" s="265" t="str">
        <f>CONCATENATE("Row ",O507, " times # of Saturdays or Sundays-Holidays from 'Constants' worksheet.")</f>
        <v>Row 507 times # of Saturdays or Sundays-Holidays from 'Constants' worksheet.</v>
      </c>
      <c r="O510" s="21">
        <f>ROW()</f>
        <v>510</v>
      </c>
    </row>
    <row r="511" spans="2:20" ht="14.1" customHeight="1">
      <c r="B511" s="1" t="s">
        <v>4450</v>
      </c>
      <c r="O511" s="21">
        <f>ROW()</f>
        <v>511</v>
      </c>
      <c r="R511" s="1179">
        <f>R$509*R504/R$506</f>
        <v>75960.141985071372</v>
      </c>
      <c r="T511" s="1179">
        <f>T$509*T504/T$506</f>
        <v>71768.768011575696</v>
      </c>
    </row>
    <row r="512" spans="2:20" ht="14.1" customHeight="1">
      <c r="B512" s="265" t="str">
        <f>CONCATENATE("Row ",O$509, " times ratio of pay-per-rides in Row ",O504, " to total in Row ",O$506, ".")</f>
        <v>Row 509 times ratio of pay-per-rides in Row 504 to total in Row 506.</v>
      </c>
      <c r="O512" s="21">
        <f>ROW()</f>
        <v>512</v>
      </c>
    </row>
    <row r="513" spans="2:20" ht="14.1" customHeight="1">
      <c r="B513" s="1" t="s">
        <v>5118</v>
      </c>
      <c r="O513" s="21">
        <f>ROW()</f>
        <v>513</v>
      </c>
      <c r="R513" s="1179">
        <f>R$509*R505/R$506</f>
        <v>81675.21329804085</v>
      </c>
      <c r="T513" s="1179">
        <f>T$509*T505/T$506</f>
        <v>77168.489714448893</v>
      </c>
    </row>
    <row r="514" spans="2:20" ht="14.1" customHeight="1">
      <c r="B514" s="265" t="str">
        <f>CONCATENATE("Row ",O$509, " times ratio of unlimited fare rides in Row ",O505, " to total in Row ",O$506, ".")</f>
        <v>Row 509 times ratio of unlimited fare rides in Row 505 to total in Row 506.</v>
      </c>
      <c r="O514" s="21">
        <f>ROW()</f>
        <v>514</v>
      </c>
    </row>
    <row r="515" spans="2:20" ht="14.1" customHeight="1">
      <c r="B515" s="1" t="s">
        <v>4469</v>
      </c>
      <c r="N515" s="2499">
        <f>R515+T515</f>
        <v>315564.04163151456</v>
      </c>
      <c r="O515" s="21">
        <f>ROW()</f>
        <v>515</v>
      </c>
      <c r="P515" s="6"/>
      <c r="Q515" s="1892" t="s">
        <v>1264</v>
      </c>
      <c r="R515" s="2499">
        <f>R511*R477</f>
        <v>162258.62228494653</v>
      </c>
      <c r="S515" s="1"/>
      <c r="T515" s="2499">
        <f>T511*T477</f>
        <v>153305.419346568</v>
      </c>
    </row>
    <row r="516" spans="2:20" ht="14.1" customHeight="1">
      <c r="B516" s="265" t="str">
        <f>CONCATENATE("Pay-per ride riders from Row ",O511, " times applicable fare in Row ",O477, ".")</f>
        <v>Pay-per ride riders from Row 511 times applicable fare in Row 477.</v>
      </c>
      <c r="O516" s="21">
        <f>ROW()</f>
        <v>516</v>
      </c>
      <c r="R516" s="1"/>
      <c r="S516" s="1"/>
      <c r="T516" s="1"/>
    </row>
    <row r="517" spans="2:20" ht="14.1" customHeight="1">
      <c r="B517" s="1" t="s">
        <v>5119</v>
      </c>
      <c r="N517" s="2499">
        <f>R517+T517</f>
        <v>163374.18355657376</v>
      </c>
      <c r="O517" s="21">
        <f>ROW()</f>
        <v>517</v>
      </c>
      <c r="P517" s="6"/>
      <c r="Q517" s="1892" t="s">
        <v>1264</v>
      </c>
      <c r="R517" s="2499">
        <f>R513*R485</f>
        <v>84004.723110284336</v>
      </c>
      <c r="S517" s="1"/>
      <c r="T517" s="2499">
        <f>T513*T485</f>
        <v>79369.460446289406</v>
      </c>
    </row>
    <row r="518" spans="2:20" ht="14.1" customHeight="1">
      <c r="B518" s="265" t="str">
        <f>CONCATENATE("Non-pay-per ride riders from Row ",O513, " times applicable fare in Row ",O485, ".")</f>
        <v>Non-pay-per ride riders from Row 513 times applicable fare in Row 485.</v>
      </c>
      <c r="O518" s="21">
        <f>ROW()</f>
        <v>518</v>
      </c>
    </row>
    <row r="519" spans="2:20" ht="14.1" customHeight="1">
      <c r="B519" s="1" t="s">
        <v>5120</v>
      </c>
      <c r="N519" s="2081">
        <f>R519+T519</f>
        <v>478938.22518808825</v>
      </c>
      <c r="O519" s="21">
        <f>ROW()</f>
        <v>519</v>
      </c>
      <c r="P519" s="6"/>
      <c r="Q519" s="1892" t="s">
        <v>1264</v>
      </c>
      <c r="R519" s="2081">
        <f>R515+R517</f>
        <v>246263.34539523086</v>
      </c>
      <c r="T519" s="2081">
        <f>T515+T517</f>
        <v>232674.87979285739</v>
      </c>
    </row>
    <row r="520" spans="2:20" ht="14.1" customHeight="1">
      <c r="B520" s="265" t="str">
        <f>CONCATENATE("Sum of Rows ",O515, " and ",O517, ".")</f>
        <v>Sum of Rows 515 and 517.</v>
      </c>
      <c r="O520" s="21">
        <f>ROW()</f>
        <v>520</v>
      </c>
    </row>
    <row r="521" spans="2:20" ht="14.1" customHeight="1">
      <c r="O521" s="21">
        <f>ROW()</f>
        <v>521</v>
      </c>
    </row>
    <row r="522" spans="2:20" ht="14.1" customHeight="1">
      <c r="B522" s="2" t="s">
        <v>4467</v>
      </c>
      <c r="O522" s="21">
        <f>ROW()</f>
        <v>522</v>
      </c>
    </row>
    <row r="523" spans="2:20" ht="14.1" customHeight="1">
      <c r="B523" s="6"/>
      <c r="O523" s="21">
        <f>ROW()</f>
        <v>523</v>
      </c>
    </row>
    <row r="524" spans="2:20" ht="14.1" customHeight="1">
      <c r="B524" s="1" t="s">
        <v>4473</v>
      </c>
      <c r="N524" s="1131">
        <f>J99/N53*weekday_per_yr/1000</f>
        <v>1325290.6307350439</v>
      </c>
      <c r="O524" s="21">
        <f>ROW()</f>
        <v>524</v>
      </c>
    </row>
    <row r="525" spans="2:20" ht="14.1" customHeight="1">
      <c r="B525" s="265" t="str">
        <f>CONCATENATE("24-hr 2011 rides in/out of CBD from Rows ",O99, ", divided by CBD rides as % of all rides from Row ",O53, ", multiplied by weekdays in year.")</f>
        <v>24-hr 2011 rides in/out of CBD from Rows 99, divided by CBD rides as % of all rides from Row 53, multiplied by weekdays in year.</v>
      </c>
      <c r="O525" s="21">
        <f>ROW()</f>
        <v>525</v>
      </c>
    </row>
    <row r="526" spans="2:20" ht="14.1" customHeight="1">
      <c r="B526" s="1" t="s">
        <v>4474</v>
      </c>
      <c r="N526" s="1131">
        <f>N463/J22</f>
        <v>305851.46288383775</v>
      </c>
      <c r="O526" s="21">
        <f>ROW()</f>
        <v>526</v>
      </c>
      <c r="R526" s="7"/>
    </row>
    <row r="527" spans="2:20" ht="14.1" customHeight="1">
      <c r="B527" s="265" t="str">
        <f>CONCATENATE("Normalized (fare-paying) rides from Row ",O503, " divided by fare-to-turnstile adjustment factor in Row ",O22, ".")</f>
        <v>Normalized (fare-paying) rides from Row 503 divided by fare-to-turnstile adjustment factor in Row 22.</v>
      </c>
      <c r="O527" s="21">
        <f>ROW()</f>
        <v>527</v>
      </c>
    </row>
    <row r="528" spans="2:20" ht="14.1" customHeight="1">
      <c r="B528" s="2" t="s">
        <v>4477</v>
      </c>
      <c r="C528" s="2"/>
      <c r="D528" s="2"/>
      <c r="E528" s="2"/>
      <c r="F528" s="2"/>
      <c r="G528" s="2"/>
      <c r="H528" s="2"/>
      <c r="I528" s="2"/>
      <c r="J528" s="2"/>
      <c r="K528" s="2"/>
      <c r="L528" s="2"/>
      <c r="M528" s="2"/>
      <c r="N528" s="2496">
        <f>N524+N526</f>
        <v>1631142.0936188817</v>
      </c>
      <c r="O528" s="21">
        <f>ROW()</f>
        <v>528</v>
      </c>
    </row>
    <row r="529" spans="2:19" ht="14.1" customHeight="1">
      <c r="B529" s="265" t="str">
        <f>CONCATENATE("Sum of Rows ",O524, " and ",O526, ".")</f>
        <v>Sum of Rows 524 and 526.</v>
      </c>
      <c r="N529" s="2495"/>
      <c r="O529" s="21">
        <f>ROW()</f>
        <v>529</v>
      </c>
    </row>
    <row r="530" spans="2:19" ht="14.1" customHeight="1">
      <c r="B530" s="1" t="s">
        <v>4475</v>
      </c>
      <c r="L530" s="2502" t="s">
        <v>4479</v>
      </c>
      <c r="M530" s="12">
        <f ca="1">N530/N524-1</f>
        <v>7.9416302630954005E-2</v>
      </c>
      <c r="N530" s="1131">
        <f ca="1">AN399/N53*weekday_per_yr/1000</f>
        <v>1430540.3125394662</v>
      </c>
      <c r="O530" s="21">
        <f>ROW()</f>
        <v>530</v>
      </c>
    </row>
    <row r="531" spans="2:19" ht="14.1" customHeight="1">
      <c r="B531" s="265" t="str">
        <f>CONCATENATE("Projected 24-hr rides in/out of CBD from Row ",O399, ", div. by CBD rides as % of all rides from Row ",O53, ", times weekdays in year.")</f>
        <v>Projected 24-hr rides in/out of CBD from Row 399, div. by CBD rides as % of all rides from Row 53, times weekdays in year.</v>
      </c>
      <c r="O531" s="21">
        <f>ROW()</f>
        <v>531</v>
      </c>
      <c r="R531" s="4762" t="s">
        <v>4480</v>
      </c>
      <c r="S531" s="4762" t="s">
        <v>4481</v>
      </c>
    </row>
    <row r="532" spans="2:19" ht="14.1" customHeight="1">
      <c r="B532" s="1" t="s">
        <v>4476</v>
      </c>
      <c r="M532" s="12">
        <f>N532/N526-1</f>
        <v>4.8765727742440479E-2</v>
      </c>
      <c r="N532" s="1131">
        <f>N509/J22</f>
        <v>320766.53205245815</v>
      </c>
      <c r="O532" s="21">
        <f>ROW()</f>
        <v>532</v>
      </c>
      <c r="R532" s="4763"/>
      <c r="S532" s="4763"/>
    </row>
    <row r="533" spans="2:19" ht="14.1" customHeight="1">
      <c r="B533" s="265" t="str">
        <f>CONCATENATE("Projected normalized (fare-paying) rides from Row ",O509, " divided by fare-to-turnstile adjustment factor in Row ",O22, ".")</f>
        <v>Projected normalized (fare-paying) rides from Row 509 divided by fare-to-turnstile adjustment factor in Row 22.</v>
      </c>
      <c r="O533" s="21">
        <f>ROW()</f>
        <v>533</v>
      </c>
      <c r="P533" s="1831"/>
      <c r="R533" s="4763"/>
      <c r="S533" s="4763"/>
    </row>
    <row r="534" spans="2:19" ht="14.1" customHeight="1">
      <c r="B534" s="2" t="s">
        <v>4478</v>
      </c>
      <c r="L534" s="3508"/>
      <c r="M534" s="2082">
        <f ca="1">N534/N528-1</f>
        <v>7.3669088329664234E-2</v>
      </c>
      <c r="N534" s="2496">
        <f ca="1">N530+N532</f>
        <v>1751306.8445919245</v>
      </c>
      <c r="O534" s="21">
        <f>ROW()</f>
        <v>534</v>
      </c>
      <c r="Q534" s="2261" t="s">
        <v>4482</v>
      </c>
      <c r="R534" s="4763"/>
      <c r="S534" s="4763"/>
    </row>
    <row r="535" spans="2:19" ht="14.1" customHeight="1">
      <c r="B535" s="265" t="str">
        <f>CONCATENATE("Sum of Rows ",O530, " and ",O532, ".")</f>
        <v>Sum of Rows 530 and 532.</v>
      </c>
      <c r="N535" s="2495"/>
      <c r="O535" s="21">
        <f>ROW()</f>
        <v>535</v>
      </c>
      <c r="Q535" s="2261" t="s">
        <v>1463</v>
      </c>
      <c r="R535" s="2503">
        <f>N536/N528</f>
        <v>1.4931053502482075</v>
      </c>
      <c r="S535" s="2503">
        <f>R535/$J$22</f>
        <v>1.562234214227787</v>
      </c>
    </row>
    <row r="536" spans="2:19" ht="14.1" customHeight="1">
      <c r="B536" s="1" t="s">
        <v>4468</v>
      </c>
      <c r="L536" s="729"/>
      <c r="N536" s="2081">
        <f>N434+N465</f>
        <v>2435466.9869974148</v>
      </c>
      <c r="O536" s="21">
        <f>ROW()</f>
        <v>536</v>
      </c>
      <c r="Q536" s="2261" t="s">
        <v>4484</v>
      </c>
      <c r="R536" s="2503">
        <f ca="1">N446/N530</f>
        <v>1.4864249667801175</v>
      </c>
      <c r="S536" s="2503">
        <f ca="1">R536/$J$22</f>
        <v>1.5552445375674784</v>
      </c>
    </row>
    <row r="537" spans="2:19" ht="14.1" customHeight="1">
      <c r="B537" s="265" t="str">
        <f>CONCATENATE("Sum of Baseline Weekday revenues in Row ",O434, " and Baseline Weekend revenues in Row ",O505, ".")</f>
        <v>Sum of Baseline Weekday revenues in Row 434 and Baseline Weekend revenues in Row 505.</v>
      </c>
      <c r="N537" s="2081"/>
      <c r="O537" s="21">
        <f>ROW()</f>
        <v>537</v>
      </c>
      <c r="Q537" s="2261" t="s">
        <v>4485</v>
      </c>
      <c r="R537" s="2503">
        <f>S537*$J$22</f>
        <v>1.4931053502482075</v>
      </c>
      <c r="S537" s="2503">
        <f>R519/R509</f>
        <v>1.562234214227787</v>
      </c>
    </row>
    <row r="538" spans="2:19" ht="14.1" customHeight="1">
      <c r="B538" s="2500" t="str">
        <f>CONCATENATE("True-up Calculation: % difference from MTA revenue figure given in Row ",O37,".")</f>
        <v>True-up Calculation: % difference from MTA revenue figure given in Row 37.</v>
      </c>
      <c r="C538" s="198"/>
      <c r="D538" s="198"/>
      <c r="E538" s="198"/>
      <c r="F538" s="198"/>
      <c r="G538" s="198"/>
      <c r="H538" s="198"/>
      <c r="I538" s="198"/>
      <c r="J538" s="198"/>
      <c r="K538" s="198"/>
      <c r="L538" s="2501">
        <f>1-N536/(J36*1000)</f>
        <v>3.4191725263110762E-4</v>
      </c>
      <c r="O538" s="21">
        <f>ROW()</f>
        <v>538</v>
      </c>
      <c r="Q538" s="2261" t="s">
        <v>4486</v>
      </c>
      <c r="R538" s="2503">
        <f>S538*$J$22</f>
        <v>1.4931053502482072</v>
      </c>
      <c r="S538" s="2503">
        <f>T519/T509</f>
        <v>1.5622342142277867</v>
      </c>
    </row>
    <row r="539" spans="2:19" ht="14.1" customHeight="1">
      <c r="B539" s="2437" t="str">
        <f>CONCATENATE("Complement of ratio of baseline revenue directly above in Row ",O524, " and baseline revenue in Row ",O36, ".")</f>
        <v>Complement of ratio of baseline revenue directly above in Row 524 and baseline revenue in Row 36.</v>
      </c>
      <c r="C539" s="141"/>
      <c r="D539" s="141"/>
      <c r="E539" s="141"/>
      <c r="F539" s="141"/>
      <c r="G539" s="141"/>
      <c r="H539" s="141"/>
      <c r="I539" s="141"/>
      <c r="J539" s="141"/>
      <c r="K539" s="141"/>
      <c r="L539" s="2490"/>
      <c r="N539" s="2495"/>
      <c r="O539" s="21">
        <f>ROW()</f>
        <v>539</v>
      </c>
      <c r="Q539" s="2261" t="s">
        <v>5811</v>
      </c>
      <c r="R539" s="2503">
        <f>N519/N532</f>
        <v>1.493105350248207</v>
      </c>
      <c r="S539" s="2503">
        <f>R539/$J$22</f>
        <v>1.5622342142277865</v>
      </c>
    </row>
    <row r="540" spans="2:19" ht="14.1" customHeight="1">
      <c r="B540" s="1" t="s">
        <v>4472</v>
      </c>
      <c r="M540" s="2082">
        <f ca="1">N540/N536-1</f>
        <v>6.9745176445271451E-2</v>
      </c>
      <c r="N540" s="2081">
        <f ca="1">N446+N519</f>
        <v>2605329.0617321832</v>
      </c>
      <c r="O540" s="21">
        <f>ROW()</f>
        <v>540</v>
      </c>
      <c r="Q540" s="2261" t="s">
        <v>4483</v>
      </c>
      <c r="R540" s="2503">
        <f ca="1">N540/N534</f>
        <v>1.4876485350225741</v>
      </c>
      <c r="S540" s="2503">
        <f ca="1">R540/$J$22</f>
        <v>1.556524755451294</v>
      </c>
    </row>
    <row r="541" spans="2:19" ht="14.1" customHeight="1">
      <c r="N541" s="2495"/>
      <c r="O541" s="21">
        <f>ROW()</f>
        <v>541</v>
      </c>
    </row>
    <row r="542" spans="2:19" ht="14.1" customHeight="1">
      <c r="O542" s="21">
        <f>ROW()</f>
        <v>542</v>
      </c>
    </row>
    <row r="543" spans="2:19" ht="14.1" customHeight="1">
      <c r="B543" s="24" t="s">
        <v>2085</v>
      </c>
      <c r="N543" s="9"/>
      <c r="O543" s="21">
        <f>ROW()</f>
        <v>543</v>
      </c>
    </row>
    <row r="544" spans="2:19" ht="14.1" customHeight="1">
      <c r="N544" s="9"/>
      <c r="O544" s="21">
        <f>ROW()</f>
        <v>544</v>
      </c>
    </row>
    <row r="545" spans="2:15" ht="14.1" customHeight="1">
      <c r="B545" s="6" t="s">
        <v>2315</v>
      </c>
      <c r="N545" s="9"/>
      <c r="O545" s="21">
        <f>ROW()</f>
        <v>545</v>
      </c>
    </row>
    <row r="546" spans="2:15" ht="14.1" customHeight="1">
      <c r="B546" t="s">
        <v>2257</v>
      </c>
      <c r="N546" s="150">
        <f>N47/J47</f>
        <v>0.50622717599493172</v>
      </c>
      <c r="O546" s="21">
        <f>ROW()</f>
        <v>546</v>
      </c>
    </row>
    <row r="547" spans="2:15" ht="14.1" customHeight="1">
      <c r="B547" s="265" t="str">
        <f>CONCATENATE("Ratio of respective volumes in Row ",O41,".")</f>
        <v>Ratio of respective volumes in Row 41.</v>
      </c>
      <c r="O547" s="21">
        <f>ROW()</f>
        <v>547</v>
      </c>
    </row>
    <row r="548" spans="2:15" ht="14.1" customHeight="1">
      <c r="B548" s="6" t="s">
        <v>2316</v>
      </c>
      <c r="O548" s="21">
        <f>ROW()</f>
        <v>548</v>
      </c>
    </row>
    <row r="549" spans="2:15" ht="14.1" customHeight="1">
      <c r="B549" t="s">
        <v>2314</v>
      </c>
      <c r="N549" s="117">
        <f>R470</f>
        <v>-0.20520000000000002</v>
      </c>
      <c r="O549" s="21">
        <f>ROW()</f>
        <v>549</v>
      </c>
    </row>
    <row r="550" spans="2:15" ht="14.1" customHeight="1">
      <c r="B550" t="s">
        <v>2258</v>
      </c>
      <c r="N550" s="117">
        <f>K31*Elasticities!G49+L31*Elasticities!H49</f>
        <v>-0.14760000000000001</v>
      </c>
      <c r="O550" s="21">
        <f>ROW()</f>
        <v>550</v>
      </c>
    </row>
    <row r="551" spans="2:15" ht="14.1" customHeight="1">
      <c r="B551" t="s">
        <v>2318</v>
      </c>
      <c r="N551" s="117">
        <f>R539/R535</f>
        <v>0.99999999999999967</v>
      </c>
      <c r="O551" s="21">
        <f>ROW()</f>
        <v>551</v>
      </c>
    </row>
    <row r="552" spans="2:15" ht="14.1" customHeight="1">
      <c r="B552" s="265" t="str">
        <f>CONCATENATE("Ratio of effective fares in Row ",O539, " (projected for weekends) to baseline in Row ",O535,".")</f>
        <v>Ratio of effective fares in Row 539 (projected for weekends) to baseline in Row 535.</v>
      </c>
      <c r="O552" s="21">
        <f>ROW()</f>
        <v>552</v>
      </c>
    </row>
    <row r="553" spans="2:15" ht="14.1" customHeight="1">
      <c r="B553" t="s">
        <v>2317</v>
      </c>
      <c r="N553" s="117">
        <f ca="1">R536/R535</f>
        <v>0.99552584587083592</v>
      </c>
      <c r="O553" s="21">
        <f>ROW()</f>
        <v>553</v>
      </c>
    </row>
    <row r="554" spans="2:15" ht="14.1" customHeight="1">
      <c r="B554" s="265" t="str">
        <f>CONCATENATE("Ratio of effective fares in Row ",O536, " (projected for weekdays) to baseline in Row ",O535,".")</f>
        <v>Ratio of effective fares in Row 536 (projected for weekdays) to baseline in Row 535.</v>
      </c>
      <c r="O554" s="21">
        <f>ROW()</f>
        <v>554</v>
      </c>
    </row>
    <row r="555" spans="2:15" ht="14.1" customHeight="1">
      <c r="B555" t="s">
        <v>1692</v>
      </c>
      <c r="N555" s="621">
        <f>IF(N551=0,1-N549,N551^N549)</f>
        <v>1</v>
      </c>
      <c r="O555" s="21">
        <f>ROW()</f>
        <v>555</v>
      </c>
    </row>
    <row r="556" spans="2:15" ht="14.1" customHeight="1">
      <c r="B556" t="s">
        <v>204</v>
      </c>
      <c r="N556" s="621">
        <f ca="1">IF(N553=0,1-N550,N553^N550)</f>
        <v>1.0006620859855488</v>
      </c>
      <c r="O556" s="21">
        <f>ROW()</f>
        <v>556</v>
      </c>
    </row>
    <row r="557" spans="2:15" ht="14.1" customHeight="1">
      <c r="B557" t="s">
        <v>154</v>
      </c>
      <c r="N557" s="621">
        <f ca="1">N555/N556</f>
        <v>0.99933835208226485</v>
      </c>
      <c r="O557" s="21">
        <f>ROW()</f>
        <v>557</v>
      </c>
    </row>
    <row r="558" spans="2:15" ht="14.1" customHeight="1">
      <c r="B558" s="6" t="s">
        <v>2319</v>
      </c>
      <c r="O558" s="21">
        <f>ROW()</f>
        <v>558</v>
      </c>
    </row>
    <row r="559" spans="2:15" ht="14.1" customHeight="1">
      <c r="B559" t="s">
        <v>549</v>
      </c>
      <c r="N559" s="117">
        <v>2</v>
      </c>
      <c r="O559" s="21">
        <f>ROW()</f>
        <v>559</v>
      </c>
    </row>
    <row r="560" spans="2:15" ht="14.1" customHeight="1">
      <c r="B560" s="1" t="s">
        <v>3848</v>
      </c>
      <c r="N560">
        <f>K31*H.I.S.!G128+L31*H.I.S.!H128</f>
        <v>1.29</v>
      </c>
      <c r="O560" s="21">
        <f>ROW()</f>
        <v>560</v>
      </c>
    </row>
    <row r="561" spans="2:23" ht="14.1" customHeight="1">
      <c r="B561" s="6" t="s">
        <v>2253</v>
      </c>
      <c r="O561" s="21">
        <f>ROW()</f>
        <v>561</v>
      </c>
    </row>
    <row r="562" spans="2:23" ht="14.1" customHeight="1">
      <c r="B562" t="s">
        <v>1520</v>
      </c>
      <c r="N562" s="621">
        <f>N546*N555/N559</f>
        <v>0.25311358799746586</v>
      </c>
      <c r="O562" s="21">
        <f>ROW()</f>
        <v>562</v>
      </c>
    </row>
    <row r="563" spans="2:23" ht="14.1" customHeight="1">
      <c r="B563" t="s">
        <v>1905</v>
      </c>
      <c r="N563" s="621">
        <f ca="1">N556/N560</f>
        <v>0.77570704339965024</v>
      </c>
      <c r="O563" s="21">
        <f>ROW()</f>
        <v>563</v>
      </c>
    </row>
    <row r="564" spans="2:23" s="6" customFormat="1" ht="14.1" customHeight="1">
      <c r="B564" s="6" t="s">
        <v>1519</v>
      </c>
      <c r="N564" s="635">
        <f ca="1">N562/N563</f>
        <v>0.32630048953553176</v>
      </c>
      <c r="O564" s="21">
        <f>ROW()</f>
        <v>564</v>
      </c>
      <c r="W564"/>
    </row>
    <row r="566" spans="2:23" ht="14.1" customHeight="1">
      <c r="W566" s="6"/>
    </row>
  </sheetData>
  <customSheetViews>
    <customSheetView guid="{BD5E6263-A0AD-4076-921A-D4EBD62848EF}" showRuler="0" topLeftCell="L171">
      <selection activeCell="AC196" sqref="AC196"/>
      <pageMargins left="0.75" right="0.75" top="1" bottom="1" header="0.5" footer="0.5"/>
      <pageSetup orientation="portrait" r:id="rId1"/>
      <headerFooter alignWithMargins="0"/>
    </customSheetView>
    <customSheetView guid="{1D5AE30A-CA7C-4B32-AEA4-9F37A560AAA8}" showRuler="0" topLeftCell="L171">
      <selection activeCell="AC196" sqref="AC196"/>
      <pageMargins left="0.75" right="0.75" top="1" bottom="1" header="0.5" footer="0.5"/>
      <pageSetup orientation="portrait" r:id="rId2"/>
      <headerFooter alignWithMargins="0"/>
    </customSheetView>
  </customSheetViews>
  <mergeCells count="82">
    <mergeCell ref="B6:M7"/>
    <mergeCell ref="B18:I20"/>
    <mergeCell ref="R72:X74"/>
    <mergeCell ref="L243:N245"/>
    <mergeCell ref="B112:N117"/>
    <mergeCell ref="P81:P91"/>
    <mergeCell ref="P66:Q70"/>
    <mergeCell ref="G70:H70"/>
    <mergeCell ref="P72:Q72"/>
    <mergeCell ref="T6:U6"/>
    <mergeCell ref="R6:S6"/>
    <mergeCell ref="Q26:W26"/>
    <mergeCell ref="Q58:W62"/>
    <mergeCell ref="Q27:W27"/>
    <mergeCell ref="Q16:Y18"/>
    <mergeCell ref="B111:L111"/>
    <mergeCell ref="B103:N104"/>
    <mergeCell ref="B109:L110"/>
    <mergeCell ref="B32:L34"/>
    <mergeCell ref="B54:L56"/>
    <mergeCell ref="J70:L70"/>
    <mergeCell ref="D70:E70"/>
    <mergeCell ref="B9:M12"/>
    <mergeCell ref="B23:L26"/>
    <mergeCell ref="B47:G49"/>
    <mergeCell ref="B68:N68"/>
    <mergeCell ref="M70:N71"/>
    <mergeCell ref="B50:L51"/>
    <mergeCell ref="B64:N66"/>
    <mergeCell ref="B37:L38"/>
    <mergeCell ref="H43:I43"/>
    <mergeCell ref="B42:G44"/>
    <mergeCell ref="M38:N44"/>
    <mergeCell ref="H44:I44"/>
    <mergeCell ref="B118:N120"/>
    <mergeCell ref="K198:N198"/>
    <mergeCell ref="B160:N162"/>
    <mergeCell ref="L251:N252"/>
    <mergeCell ref="B156:N158"/>
    <mergeCell ref="B203:N205"/>
    <mergeCell ref="J397:N398"/>
    <mergeCell ref="P350:T350"/>
    <mergeCell ref="P348:T348"/>
    <mergeCell ref="B122:N123"/>
    <mergeCell ref="B200:N201"/>
    <mergeCell ref="N283:N287"/>
    <mergeCell ref="K348:N354"/>
    <mergeCell ref="B268:N269"/>
    <mergeCell ref="K308:N311"/>
    <mergeCell ref="P352:T352"/>
    <mergeCell ref="V352:X352"/>
    <mergeCell ref="S531:S534"/>
    <mergeCell ref="N452:N456"/>
    <mergeCell ref="R531:R534"/>
    <mergeCell ref="AJ354:AL354"/>
    <mergeCell ref="T493:T494"/>
    <mergeCell ref="T455:T456"/>
    <mergeCell ref="Z354:AC354"/>
    <mergeCell ref="J467:N468"/>
    <mergeCell ref="T472:T473"/>
    <mergeCell ref="J500:N501"/>
    <mergeCell ref="B428:L429"/>
    <mergeCell ref="B454:L456"/>
    <mergeCell ref="B390:L390"/>
    <mergeCell ref="P354:T354"/>
    <mergeCell ref="V354:X354"/>
    <mergeCell ref="Z352:AC352"/>
    <mergeCell ref="J410:N411"/>
    <mergeCell ref="AO202:AP210"/>
    <mergeCell ref="AO350:AO360"/>
    <mergeCell ref="AO327:AQ328"/>
    <mergeCell ref="AD350:AI350"/>
    <mergeCell ref="AJ350:AL350"/>
    <mergeCell ref="AD352:AI352"/>
    <mergeCell ref="V348:X348"/>
    <mergeCell ref="AD348:AI348"/>
    <mergeCell ref="AJ348:AL348"/>
    <mergeCell ref="Z348:AC348"/>
    <mergeCell ref="AD354:AI354"/>
    <mergeCell ref="AJ352:AL352"/>
    <mergeCell ref="V350:X350"/>
    <mergeCell ref="Z350:AC350"/>
  </mergeCells>
  <phoneticPr fontId="6" type="noConversion"/>
  <pageMargins left="0.75" right="0.75" top="1" bottom="1" header="0.5" footer="0.5"/>
  <pageSetup orientation="portrait" r:id="rId3"/>
  <headerFooter alignWithMargins="0"/>
  <drawing r:id="rId4"/>
</worksheet>
</file>

<file path=xl/worksheets/sheet22.xml><?xml version="1.0" encoding="utf-8"?>
<worksheet xmlns="http://schemas.openxmlformats.org/spreadsheetml/2006/main" xmlns:r="http://schemas.openxmlformats.org/officeDocument/2006/relationships">
  <sheetPr codeName="Sheet21"/>
  <dimension ref="B1:AH73"/>
  <sheetViews>
    <sheetView showRuler="0" workbookViewId="0">
      <selection activeCell="K21" sqref="K21"/>
    </sheetView>
  </sheetViews>
  <sheetFormatPr defaultColWidth="10.75" defaultRowHeight="13.95" customHeight="1"/>
  <cols>
    <col min="1" max="1" width="2.75" customWidth="1"/>
    <col min="6" max="6" width="10.75" customWidth="1"/>
    <col min="7" max="7" width="12.75" bestFit="1" customWidth="1"/>
    <col min="9" max="9" width="2.75" customWidth="1"/>
  </cols>
  <sheetData>
    <row r="1" spans="2:12" ht="13.95" customHeight="1">
      <c r="B1" s="115" t="s">
        <v>910</v>
      </c>
      <c r="H1" s="181">
        <f>'Title Page'!K1</f>
        <v>40914</v>
      </c>
      <c r="I1" s="21">
        <f>ROW()</f>
        <v>1</v>
      </c>
    </row>
    <row r="2" spans="2:12" ht="13.95" customHeight="1">
      <c r="I2" s="21">
        <f>ROW()</f>
        <v>2</v>
      </c>
    </row>
    <row r="3" spans="2:12" ht="13.95" customHeight="1">
      <c r="I3" s="21">
        <f>ROW()</f>
        <v>3</v>
      </c>
    </row>
    <row r="4" spans="2:12" ht="13.95" customHeight="1">
      <c r="B4" s="3779" t="s">
        <v>348</v>
      </c>
      <c r="C4" s="3779"/>
      <c r="D4" s="3779"/>
      <c r="E4" s="3779"/>
      <c r="F4" s="3779"/>
      <c r="G4" s="3779"/>
      <c r="H4" s="3779"/>
      <c r="I4" s="21">
        <f>ROW()</f>
        <v>4</v>
      </c>
    </row>
    <row r="5" spans="2:12" ht="13.95" customHeight="1">
      <c r="B5" s="3779"/>
      <c r="C5" s="3779"/>
      <c r="D5" s="3779"/>
      <c r="E5" s="3779"/>
      <c r="F5" s="3779"/>
      <c r="G5" s="3779"/>
      <c r="H5" s="3779"/>
      <c r="I5" s="21">
        <f>ROW()</f>
        <v>5</v>
      </c>
    </row>
    <row r="6" spans="2:12" ht="13.95" customHeight="1">
      <c r="B6" s="3779"/>
      <c r="C6" s="3779"/>
      <c r="D6" s="3779"/>
      <c r="E6" s="3779"/>
      <c r="F6" s="3779"/>
      <c r="G6" s="3779"/>
      <c r="H6" s="3779"/>
      <c r="I6" s="21">
        <f>ROW()</f>
        <v>6</v>
      </c>
    </row>
    <row r="7" spans="2:12" ht="13.95" customHeight="1">
      <c r="B7" s="3779"/>
      <c r="C7" s="3779"/>
      <c r="D7" s="3779"/>
      <c r="E7" s="3779"/>
      <c r="F7" s="3779"/>
      <c r="G7" s="3779"/>
      <c r="H7" s="3779"/>
      <c r="I7" s="21">
        <f>ROW()</f>
        <v>7</v>
      </c>
    </row>
    <row r="8" spans="2:12" ht="13.95" customHeight="1">
      <c r="B8" s="3779"/>
      <c r="C8" s="3779"/>
      <c r="D8" s="3779"/>
      <c r="E8" s="3779"/>
      <c r="F8" s="3779"/>
      <c r="G8" s="3779"/>
      <c r="H8" s="3779"/>
      <c r="I8" s="21">
        <f>ROW()</f>
        <v>8</v>
      </c>
    </row>
    <row r="9" spans="2:12" ht="13.95" customHeight="1">
      <c r="B9" t="s">
        <v>533</v>
      </c>
      <c r="I9" s="21">
        <f>ROW()</f>
        <v>9</v>
      </c>
    </row>
    <row r="10" spans="2:12" ht="13.95" customHeight="1">
      <c r="B10" s="3779" t="s">
        <v>683</v>
      </c>
      <c r="C10" s="3779"/>
      <c r="D10" s="3779"/>
      <c r="E10" s="3779"/>
      <c r="F10" s="3779"/>
      <c r="G10" s="3779"/>
      <c r="H10" s="3779"/>
      <c r="I10" s="21">
        <f>ROW()</f>
        <v>10</v>
      </c>
    </row>
    <row r="11" spans="2:12" ht="13.95" customHeight="1">
      <c r="B11" s="3779"/>
      <c r="C11" s="3779"/>
      <c r="D11" s="3779"/>
      <c r="E11" s="3779"/>
      <c r="F11" s="3779"/>
      <c r="G11" s="3779"/>
      <c r="H11" s="3779"/>
      <c r="I11" s="21">
        <f>ROW()</f>
        <v>11</v>
      </c>
    </row>
    <row r="12" spans="2:12" ht="13.95" customHeight="1">
      <c r="B12" s="3779"/>
      <c r="C12" s="3779"/>
      <c r="D12" s="3779"/>
      <c r="E12" s="3779"/>
      <c r="F12" s="3779"/>
      <c r="G12" s="3779"/>
      <c r="H12" s="3779"/>
      <c r="I12" s="21">
        <f>ROW()</f>
        <v>12</v>
      </c>
    </row>
    <row r="13" spans="2:12" ht="13.95" customHeight="1">
      <c r="B13" s="3779"/>
      <c r="C13" s="3779"/>
      <c r="D13" s="3779"/>
      <c r="E13" s="3779"/>
      <c r="F13" s="3779"/>
      <c r="G13" s="3779"/>
      <c r="H13" s="3779"/>
      <c r="I13" s="21">
        <f>ROW()</f>
        <v>13</v>
      </c>
    </row>
    <row r="14" spans="2:12" ht="13.95" customHeight="1">
      <c r="B14" s="3779"/>
      <c r="C14" s="3779"/>
      <c r="D14" s="3779"/>
      <c r="E14" s="3779"/>
      <c r="F14" s="3779"/>
      <c r="G14" s="3779"/>
      <c r="H14" s="3779"/>
      <c r="I14" s="21">
        <f>ROW()</f>
        <v>14</v>
      </c>
    </row>
    <row r="15" spans="2:12" ht="13.95" customHeight="1">
      <c r="I15" s="21">
        <f>ROW()</f>
        <v>15</v>
      </c>
    </row>
    <row r="16" spans="2:12" ht="13.95" customHeight="1">
      <c r="F16" s="4147" t="s">
        <v>1726</v>
      </c>
      <c r="G16" s="4147"/>
      <c r="H16" s="4147"/>
      <c r="I16" s="21">
        <f>ROW()</f>
        <v>16</v>
      </c>
      <c r="J16" s="4147" t="s">
        <v>1727</v>
      </c>
      <c r="K16" s="4147"/>
      <c r="L16" s="4147"/>
    </row>
    <row r="17" spans="2:12" ht="13.95" customHeight="1">
      <c r="I17" s="21">
        <f>ROW()</f>
        <v>17</v>
      </c>
    </row>
    <row r="18" spans="2:12" ht="13.95" customHeight="1">
      <c r="B18" s="6" t="s">
        <v>913</v>
      </c>
      <c r="F18" s="8" t="s">
        <v>966</v>
      </c>
      <c r="G18" s="8" t="s">
        <v>967</v>
      </c>
      <c r="H18" s="8" t="s">
        <v>40</v>
      </c>
      <c r="I18" s="21">
        <f>ROW()</f>
        <v>18</v>
      </c>
      <c r="J18" s="8" t="s">
        <v>966</v>
      </c>
      <c r="K18" s="8" t="s">
        <v>967</v>
      </c>
      <c r="L18" s="8" t="s">
        <v>40</v>
      </c>
    </row>
    <row r="19" spans="2:12" ht="13.95" customHeight="1">
      <c r="I19" s="21">
        <f>ROW()</f>
        <v>19</v>
      </c>
    </row>
    <row r="20" spans="2:12" ht="13.95" customHeight="1">
      <c r="B20" t="s">
        <v>2270</v>
      </c>
      <c r="F20">
        <v>10</v>
      </c>
      <c r="G20">
        <v>10</v>
      </c>
      <c r="I20" s="21">
        <f>ROW()</f>
        <v>20</v>
      </c>
      <c r="J20">
        <v>10</v>
      </c>
      <c r="K20">
        <v>10</v>
      </c>
    </row>
    <row r="21" spans="2:12" ht="13.95" customHeight="1">
      <c r="B21" s="9" t="s">
        <v>3045</v>
      </c>
      <c r="I21" s="21">
        <f>ROW()</f>
        <v>21</v>
      </c>
      <c r="J21" s="22">
        <f>1/(1+Subways!AN207)-1</f>
        <v>9.2178175523538464E-2</v>
      </c>
      <c r="K21" s="22">
        <f ca="1">1/((1+Transit!I340)*(1-'Bus Boarding'!J147))-1</f>
        <v>4.8520167196140607E-2</v>
      </c>
    </row>
    <row r="22" spans="2:12" ht="13.95" customHeight="1">
      <c r="B22" s="265" t="str">
        <f>CONCATENATE("For subways: Reciprocal-complement of additive inverse of figure in 'Subways' worksheet, Row ",Subways!O207,".")</f>
        <v>For subways: Reciprocal-complement of additive inverse of figure in 'Subways' worksheet, Row 207.</v>
      </c>
      <c r="C22" s="265"/>
      <c r="D22" s="265"/>
      <c r="E22" s="265"/>
      <c r="F22" s="265"/>
      <c r="G22" s="265"/>
      <c r="H22" s="265"/>
      <c r="I22" s="21">
        <f>ROW()</f>
        <v>22</v>
      </c>
      <c r="J22" s="22"/>
      <c r="K22" s="22"/>
    </row>
    <row r="23" spans="2:12" ht="13.95" customHeight="1">
      <c r="B23" s="3754" t="str">
        <f>CONCATENATE("For buses: Reciprocal-complement of product of (i) figure in 'Bus Boarding' worksheet, Row ",'Bus Boarding'!AG147, ", reflecting faster traffic, and (ii) figure in 'Transit' worksheet, Row ",Transit!O335, ", reflecting investment in increased service. Note that impact of fare-free boarding isn't reflected unless plan includes free buses.")</f>
        <v>For buses: Reciprocal-complement of product of (i) figure in 'Bus Boarding' worksheet, Row 147, reflecting faster traffic, and (ii) figure in 'Transit' worksheet, Row 335, reflecting investment in increased service. Note that impact of fare-free boarding isn't reflected unless plan includes free buses.</v>
      </c>
      <c r="C23" s="3659"/>
      <c r="D23" s="3659"/>
      <c r="E23" s="3659"/>
      <c r="F23" s="3659"/>
      <c r="G23" s="3659"/>
      <c r="H23" s="3659"/>
      <c r="I23" s="21">
        <f>ROW()</f>
        <v>23</v>
      </c>
      <c r="J23" s="265"/>
      <c r="K23" s="265"/>
      <c r="L23" s="265"/>
    </row>
    <row r="24" spans="2:12" ht="13.95" customHeight="1">
      <c r="B24" s="3659"/>
      <c r="C24" s="3659"/>
      <c r="D24" s="3659"/>
      <c r="E24" s="3659"/>
      <c r="F24" s="3659"/>
      <c r="G24" s="3659"/>
      <c r="H24" s="3659"/>
      <c r="I24" s="21">
        <f>ROW()</f>
        <v>24</v>
      </c>
      <c r="J24" s="265"/>
      <c r="K24" s="265"/>
      <c r="L24" s="265"/>
    </row>
    <row r="25" spans="2:12" ht="13.95" customHeight="1">
      <c r="B25" s="3659"/>
      <c r="C25" s="3659"/>
      <c r="D25" s="3659"/>
      <c r="E25" s="3659"/>
      <c r="F25" s="3659"/>
      <c r="G25" s="3659"/>
      <c r="H25" s="3659"/>
      <c r="I25" s="21">
        <f>ROW()</f>
        <v>25</v>
      </c>
      <c r="J25" s="2411"/>
      <c r="K25" s="2411"/>
      <c r="L25" s="2411"/>
    </row>
    <row r="26" spans="2:12" ht="13.95" customHeight="1">
      <c r="B26" s="1" t="s">
        <v>4265</v>
      </c>
      <c r="F26" s="21">
        <f>(Transit!J273/Transit!J275)*60</f>
        <v>25.567401475485788</v>
      </c>
      <c r="G26" s="21">
        <f>(Transit!J273/Transit!I275)*60</f>
        <v>60.297116147362743</v>
      </c>
      <c r="I26" s="21">
        <f>ROW()</f>
        <v>26</v>
      </c>
      <c r="J26" s="21">
        <f>F26/(1+J$21)</f>
        <v>23.409551709115583</v>
      </c>
      <c r="K26" s="21">
        <f ca="1">G26/(1+K$21)</f>
        <v>57.50687305195467</v>
      </c>
    </row>
    <row r="27" spans="2:12" ht="13.95" customHeight="1">
      <c r="B27" s="3754" t="str">
        <f>CONCATENATE("For subways: Quotient of mean subway commute-trip distance in 'Transit' worksheet, Row ",Transit!O273, ", to mean subway speed in Row ",Transit!O275, ". For buses: same, except subway distance is used instead of bus, to put comparison on equal footing.")</f>
        <v>For subways: Quotient of mean subway commute-trip distance in 'Transit' worksheet, Row 273, to mean subway speed in Row 275. For buses: same, except subway distance is used instead of bus, to put comparison on equal footing.</v>
      </c>
      <c r="C27" s="3659"/>
      <c r="D27" s="3659"/>
      <c r="E27" s="3659"/>
      <c r="F27" s="3659"/>
      <c r="G27" s="3659"/>
      <c r="H27" s="3659"/>
      <c r="I27" s="21">
        <f>ROW()</f>
        <v>27</v>
      </c>
      <c r="J27" s="265" t="s">
        <v>3850</v>
      </c>
    </row>
    <row r="28" spans="2:12" ht="13.95" customHeight="1">
      <c r="B28" s="3659"/>
      <c r="C28" s="3659"/>
      <c r="D28" s="3659"/>
      <c r="E28" s="3659"/>
      <c r="F28" s="3659"/>
      <c r="G28" s="3659"/>
      <c r="H28" s="3659"/>
      <c r="I28" s="21">
        <f>ROW()</f>
        <v>28</v>
      </c>
      <c r="J28" s="265"/>
      <c r="K28" s="265"/>
      <c r="L28" s="265"/>
    </row>
    <row r="29" spans="2:12" ht="13.95" customHeight="1">
      <c r="B29" s="3659"/>
      <c r="C29" s="3659"/>
      <c r="D29" s="3659"/>
      <c r="E29" s="3659"/>
      <c r="F29" s="3659"/>
      <c r="G29" s="3659"/>
      <c r="H29" s="3659"/>
      <c r="I29" s="21">
        <f>ROW()</f>
        <v>29</v>
      </c>
      <c r="J29" s="265"/>
      <c r="K29" s="265"/>
      <c r="L29" s="265"/>
    </row>
    <row r="30" spans="2:12" ht="13.95" customHeight="1">
      <c r="B30" s="1" t="s">
        <v>4266</v>
      </c>
      <c r="C30" s="2408"/>
      <c r="D30" s="2408"/>
      <c r="E30" s="2408"/>
      <c r="F30" s="2430">
        <f>-1/3</f>
        <v>-0.33333333333333331</v>
      </c>
      <c r="G30" s="2430">
        <f>F30</f>
        <v>-0.33333333333333331</v>
      </c>
      <c r="H30" s="2408"/>
      <c r="I30" s="21">
        <f>ROW()</f>
        <v>30</v>
      </c>
      <c r="J30" s="265"/>
      <c r="K30" s="265"/>
      <c r="L30" s="265"/>
    </row>
    <row r="31" spans="2:12" ht="13.95" customHeight="1">
      <c r="B31" s="1" t="s">
        <v>4267</v>
      </c>
      <c r="C31" s="2408"/>
      <c r="D31" s="2408"/>
      <c r="E31" s="2408"/>
      <c r="F31" s="21">
        <f>F26*(1+F30)</f>
        <v>17.044934316990528</v>
      </c>
      <c r="G31" s="21">
        <f>G26*(1+G30)</f>
        <v>40.198077431575165</v>
      </c>
      <c r="H31" s="2408"/>
      <c r="I31" s="21">
        <f>ROW()</f>
        <v>31</v>
      </c>
      <c r="J31" s="21">
        <f>F31/(1+J$21)</f>
        <v>15.606367806077056</v>
      </c>
      <c r="K31" s="21">
        <f ca="1">G31/(1+K$21)</f>
        <v>38.337915367969785</v>
      </c>
      <c r="L31" s="265"/>
    </row>
    <row r="32" spans="2:12" ht="13.95" customHeight="1">
      <c r="B32" s="265" t="str">
        <f>CONCATENATE("% in Row ",I30, " is Komanoff assumption. Row ",I31, " equals Row ",I26, " times one plus Row ",I30, ".")</f>
        <v>% in Row 30 is Komanoff assumption. Row 31 equals Row 26 times one plus Row 30.</v>
      </c>
      <c r="C32" s="2408"/>
      <c r="D32" s="2408"/>
      <c r="E32" s="2408"/>
      <c r="F32" s="2408"/>
      <c r="G32" s="2408"/>
      <c r="H32" s="2408"/>
      <c r="I32" s="21">
        <f>ROW()</f>
        <v>32</v>
      </c>
      <c r="J32" s="265"/>
      <c r="K32" s="265"/>
      <c r="L32" s="265"/>
    </row>
    <row r="33" spans="2:17" ht="13.95" customHeight="1">
      <c r="B33" s="1" t="s">
        <v>4271</v>
      </c>
      <c r="C33" s="2408"/>
      <c r="D33" s="2408"/>
      <c r="E33" s="2408"/>
      <c r="F33" s="2408"/>
      <c r="G33" s="21">
        <f>G31*Transit!$I$273/Transit!$J$273</f>
        <v>18.767719752619655</v>
      </c>
      <c r="H33" s="2408"/>
      <c r="I33" s="21">
        <f>ROW()</f>
        <v>33</v>
      </c>
      <c r="J33" s="265"/>
      <c r="K33" s="21">
        <f ca="1">K31*Transit!$I$273/Transit!$J$273</f>
        <v>17.899245374370459</v>
      </c>
      <c r="L33" s="265"/>
    </row>
    <row r="34" spans="2:17" ht="13.95" customHeight="1">
      <c r="B34" s="3754" t="str">
        <f>CONCATENATE("Prorates Row ",I31, " figures by ratio of bus to subway trips (in miles) in 'Transit' worksheet, Row ",Transit!O273, ". Will be used in 'Cost-Benefit' worksheet in estimating amount and value of bus riders' saved time.")</f>
        <v>Prorates Row 31 figures by ratio of bus to subway trips (in miles) in 'Transit' worksheet, Row 273. Will be used in 'Cost-Benefit' worksheet in estimating amount and value of bus riders' saved time.</v>
      </c>
      <c r="C34" s="3659"/>
      <c r="D34" s="3659"/>
      <c r="E34" s="3659"/>
      <c r="F34" s="3659"/>
      <c r="G34" s="3659"/>
      <c r="H34" s="3659"/>
      <c r="I34" s="21">
        <f>ROW()</f>
        <v>34</v>
      </c>
      <c r="J34" s="265"/>
      <c r="K34" s="21"/>
      <c r="L34" s="265"/>
    </row>
    <row r="35" spans="2:17" ht="13.95" customHeight="1">
      <c r="B35" s="3659"/>
      <c r="C35" s="3659"/>
      <c r="D35" s="3659"/>
      <c r="E35" s="3659"/>
      <c r="F35" s="3659"/>
      <c r="G35" s="3659"/>
      <c r="H35" s="3659"/>
      <c r="I35" s="21">
        <f>ROW()</f>
        <v>35</v>
      </c>
      <c r="J35" s="265"/>
      <c r="K35" s="21"/>
      <c r="L35" s="265"/>
    </row>
    <row r="36" spans="2:17" ht="13.95" customHeight="1">
      <c r="B36" t="s">
        <v>911</v>
      </c>
      <c r="F36" s="26">
        <f>Subways!$J44</f>
        <v>1.5622342142277872</v>
      </c>
      <c r="G36" s="26">
        <f>Buses!J28</f>
        <v>1.5051236749116608</v>
      </c>
      <c r="I36" s="21">
        <f>ROW()</f>
        <v>36</v>
      </c>
      <c r="J36" s="846">
        <f>F36</f>
        <v>1.5622342142277872</v>
      </c>
      <c r="K36" s="847">
        <f>G36</f>
        <v>1.5051236749116608</v>
      </c>
    </row>
    <row r="37" spans="2:17" ht="13.95" customHeight="1">
      <c r="B37" s="3754" t="s">
        <v>349</v>
      </c>
      <c r="C37" s="3659"/>
      <c r="D37" s="3659"/>
      <c r="E37" s="3659"/>
      <c r="F37" s="3659"/>
      <c r="G37" s="3659"/>
      <c r="H37" s="3659"/>
      <c r="I37" s="21">
        <f>ROW()</f>
        <v>37</v>
      </c>
    </row>
    <row r="38" spans="2:17" ht="13.95" customHeight="1">
      <c r="B38" s="3659"/>
      <c r="C38" s="3659"/>
      <c r="D38" s="3659"/>
      <c r="E38" s="3659"/>
      <c r="F38" s="3659"/>
      <c r="G38" s="3659"/>
      <c r="H38" s="3659"/>
      <c r="I38" s="21">
        <f>ROW()</f>
        <v>38</v>
      </c>
    </row>
    <row r="39" spans="2:17" ht="13.95" customHeight="1">
      <c r="B39" t="s">
        <v>1661</v>
      </c>
      <c r="H39" s="26">
        <f ca="1">ROUND(G40*(1-G41),1)</f>
        <v>21.8</v>
      </c>
      <c r="I39" s="21">
        <f>ROW()</f>
        <v>39</v>
      </c>
      <c r="L39" s="716">
        <f ca="1">H39</f>
        <v>21.8</v>
      </c>
    </row>
    <row r="40" spans="2:17" ht="13.95" customHeight="1">
      <c r="B40" s="843" t="s">
        <v>2151</v>
      </c>
      <c r="C40" s="198"/>
      <c r="D40" s="198"/>
      <c r="E40" s="198"/>
      <c r="F40" s="198"/>
      <c r="G40" s="2003">
        <f ca="1">'Value of Time'!N91</f>
        <v>29.084004054535797</v>
      </c>
      <c r="H40" s="716"/>
      <c r="I40" s="21">
        <f>ROW()</f>
        <v>40</v>
      </c>
      <c r="L40" s="716"/>
    </row>
    <row r="41" spans="2:17" ht="13.95" customHeight="1">
      <c r="B41" s="493" t="s">
        <v>748</v>
      </c>
      <c r="C41" s="141"/>
      <c r="D41" s="141"/>
      <c r="E41" s="141"/>
      <c r="F41" s="141"/>
      <c r="G41" s="845">
        <v>0.25</v>
      </c>
      <c r="I41" s="21">
        <f>ROW()</f>
        <v>41</v>
      </c>
    </row>
    <row r="42" spans="2:17" ht="13.95" customHeight="1">
      <c r="B42" t="s">
        <v>912</v>
      </c>
      <c r="F42" s="716">
        <f ca="1">(F20+F31)/60*$H39</f>
        <v>9.8263261351732254</v>
      </c>
      <c r="G42" s="716">
        <f ca="1">(G20+G31)/60*$H39</f>
        <v>18.238634800138978</v>
      </c>
      <c r="I42" s="21">
        <f>ROW()</f>
        <v>42</v>
      </c>
      <c r="J42" s="716">
        <f ca="1">(J20+J31)/60*$H39</f>
        <v>9.3036469695413313</v>
      </c>
      <c r="K42" s="716">
        <f ca="1">(K20+K31)/60*$H39</f>
        <v>17.562775917029022</v>
      </c>
      <c r="N42" s="4818" t="s">
        <v>2898</v>
      </c>
      <c r="O42" s="4797"/>
      <c r="P42" s="4797"/>
      <c r="Q42" s="4798"/>
    </row>
    <row r="43" spans="2:17" ht="13.95" customHeight="1">
      <c r="B43" s="265" t="s">
        <v>2091</v>
      </c>
      <c r="I43" s="21">
        <f>ROW()</f>
        <v>43</v>
      </c>
      <c r="N43" s="4799"/>
      <c r="O43" s="4800"/>
      <c r="P43" s="4800"/>
      <c r="Q43" s="4801"/>
    </row>
    <row r="44" spans="2:17" ht="13.95" customHeight="1">
      <c r="B44" t="s">
        <v>914</v>
      </c>
      <c r="F44" s="716">
        <f ca="1">F42+F36</f>
        <v>11.388560349401013</v>
      </c>
      <c r="G44" s="716">
        <f ca="1">G42+G36</f>
        <v>19.74375847505064</v>
      </c>
      <c r="I44" s="21">
        <f>ROW()</f>
        <v>44</v>
      </c>
      <c r="J44" s="716">
        <f ca="1">J42+J36</f>
        <v>10.865881183769119</v>
      </c>
      <c r="K44" s="716">
        <f ca="1">K42+K36</f>
        <v>19.067899591940684</v>
      </c>
      <c r="N44" s="4802"/>
      <c r="O44" s="4803"/>
      <c r="P44" s="4803"/>
      <c r="Q44" s="4804"/>
    </row>
    <row r="45" spans="2:17" ht="13.95" customHeight="1">
      <c r="B45" s="265" t="s">
        <v>2092</v>
      </c>
      <c r="I45" s="21">
        <f>ROW()</f>
        <v>45</v>
      </c>
    </row>
    <row r="46" spans="2:17" ht="13.95" customHeight="1">
      <c r="B46" t="s">
        <v>2700</v>
      </c>
      <c r="F46" s="716">
        <f ca="1">F44*$H47</f>
        <v>2.744643044205644</v>
      </c>
      <c r="G46" s="716">
        <f ca="1">G44*$H47</f>
        <v>4.7582457924872044</v>
      </c>
      <c r="I46" s="21">
        <f>ROW()</f>
        <v>46</v>
      </c>
      <c r="J46" s="716"/>
      <c r="K46" s="716"/>
    </row>
    <row r="47" spans="2:17" ht="13.95" customHeight="1">
      <c r="B47" s="265" t="s">
        <v>2701</v>
      </c>
      <c r="H47" s="209">
        <v>0.24099999999999999</v>
      </c>
      <c r="I47" s="21">
        <f>ROW()</f>
        <v>47</v>
      </c>
    </row>
    <row r="48" spans="2:17" ht="13.95" customHeight="1">
      <c r="B48" t="s">
        <v>1739</v>
      </c>
      <c r="H48" s="716">
        <f ca="1">G44-F44</f>
        <v>8.3551981256496273</v>
      </c>
      <c r="I48" s="21">
        <f>ROW()</f>
        <v>48</v>
      </c>
      <c r="L48" s="716"/>
      <c r="N48" s="857"/>
    </row>
    <row r="49" spans="2:33" ht="13.95" customHeight="1">
      <c r="B49" t="s">
        <v>1740</v>
      </c>
      <c r="H49" s="716">
        <f ca="1">(F46^2+G46^2)^0.5</f>
        <v>5.4930836933209575</v>
      </c>
      <c r="I49" s="21">
        <f>ROW()</f>
        <v>49</v>
      </c>
      <c r="J49" s="117"/>
      <c r="K49" s="117"/>
      <c r="L49" s="117"/>
      <c r="N49" s="857"/>
    </row>
    <row r="50" spans="2:33" ht="13.95" customHeight="1">
      <c r="B50" s="265" t="s">
        <v>1433</v>
      </c>
      <c r="I50" s="21">
        <f>ROW()</f>
        <v>50</v>
      </c>
    </row>
    <row r="51" spans="2:33" ht="13.95" customHeight="1">
      <c r="I51" s="21">
        <f>ROW()</f>
        <v>51</v>
      </c>
    </row>
    <row r="52" spans="2:33" ht="13.95" customHeight="1">
      <c r="B52" t="s">
        <v>1607</v>
      </c>
      <c r="G52" s="12">
        <f ca="1">NORMSDIST((-H48/H49))</f>
        <v>6.4124943152810587E-2</v>
      </c>
      <c r="I52" s="21">
        <f>ROW()</f>
        <v>52</v>
      </c>
      <c r="K52" s="858"/>
    </row>
    <row r="53" spans="2:33" ht="13.95" customHeight="1">
      <c r="B53" s="3754" t="s">
        <v>2877</v>
      </c>
      <c r="C53" s="3659"/>
      <c r="D53" s="3659"/>
      <c r="E53" s="3659"/>
      <c r="F53" s="3659"/>
      <c r="G53" s="3659"/>
      <c r="H53" s="3659"/>
      <c r="I53" s="21">
        <f>ROW()</f>
        <v>53</v>
      </c>
    </row>
    <row r="54" spans="2:33" ht="13.95" customHeight="1">
      <c r="B54" s="3659"/>
      <c r="C54" s="3659"/>
      <c r="D54" s="3659"/>
      <c r="E54" s="3659"/>
      <c r="F54" s="3659"/>
      <c r="G54" s="3659"/>
      <c r="H54" s="3659"/>
      <c r="I54" s="21">
        <f>ROW()</f>
        <v>54</v>
      </c>
    </row>
    <row r="55" spans="2:33" s="20" customFormat="1" ht="13.95" customHeight="1">
      <c r="B55" s="6" t="s">
        <v>2917</v>
      </c>
      <c r="I55" s="21">
        <f>ROW()</f>
        <v>55</v>
      </c>
      <c r="J55" s="840" t="str">
        <f>Subways!P127</f>
        <v>Midnight</v>
      </c>
      <c r="K55" s="840" t="str">
        <f>Subways!Q127</f>
        <v>1 a.m.</v>
      </c>
      <c r="L55" s="840" t="str">
        <f>Subways!R127</f>
        <v>2 a.m.</v>
      </c>
      <c r="M55" s="840" t="str">
        <f>Subways!S127</f>
        <v>3 a.m.</v>
      </c>
      <c r="N55" s="840" t="str">
        <f>Subways!T127</f>
        <v>4 a.m.</v>
      </c>
      <c r="O55" s="840" t="str">
        <f>Subways!U127</f>
        <v>5 a.m.</v>
      </c>
      <c r="P55" s="840" t="str">
        <f>Subways!V127</f>
        <v>6 a.m.</v>
      </c>
      <c r="Q55" s="840" t="str">
        <f>Subways!W127</f>
        <v>7 a.m.</v>
      </c>
      <c r="R55" s="840" t="str">
        <f>Subways!X127</f>
        <v>8 a.m.</v>
      </c>
      <c r="S55" s="840" t="str">
        <f>Subways!Y127</f>
        <v>9 a.m.</v>
      </c>
      <c r="T55" s="840" t="str">
        <f>Subways!Z127</f>
        <v>10 a.m.</v>
      </c>
      <c r="U55" s="840" t="str">
        <f>Subways!AA127</f>
        <v>11 a.m.</v>
      </c>
      <c r="V55" s="840" t="str">
        <f>Subways!AB127</f>
        <v>Noon</v>
      </c>
      <c r="W55" s="840" t="str">
        <f>Subways!AC127</f>
        <v>1 p.m.</v>
      </c>
      <c r="X55" s="840" t="str">
        <f>Subways!AD127</f>
        <v>2 p.m.</v>
      </c>
      <c r="Y55" s="840" t="str">
        <f>Subways!AE127</f>
        <v>3 p.m.</v>
      </c>
      <c r="Z55" s="840" t="str">
        <f>Subways!AF127</f>
        <v>4 p.m.</v>
      </c>
      <c r="AA55" s="840" t="str">
        <f>Subways!AG127</f>
        <v>5 p.m.</v>
      </c>
      <c r="AB55" s="840" t="str">
        <f>Subways!AH127</f>
        <v>6 p.m.</v>
      </c>
      <c r="AC55" s="840" t="str">
        <f>Subways!AI127</f>
        <v>7 p.m.</v>
      </c>
      <c r="AD55" s="840" t="str">
        <f>Subways!AJ127</f>
        <v>8 p.m.</v>
      </c>
      <c r="AE55" s="840" t="str">
        <f>Subways!AK127</f>
        <v>9 p.m.</v>
      </c>
      <c r="AF55" s="840" t="str">
        <f>Subways!AL127</f>
        <v>10 p.m.</v>
      </c>
      <c r="AG55" s="840" t="str">
        <f>Subways!AM127</f>
        <v>11 p.m.</v>
      </c>
    </row>
    <row r="56" spans="2:33" ht="13.95" customHeight="1">
      <c r="I56" s="21">
        <f>ROW()</f>
        <v>56</v>
      </c>
    </row>
    <row r="57" spans="2:33" s="86" customFormat="1" ht="13.95" customHeight="1">
      <c r="B57" s="86" t="s">
        <v>2663</v>
      </c>
      <c r="I57" s="21">
        <f>ROW()</f>
        <v>57</v>
      </c>
      <c r="J57" s="859">
        <f>Subways!P159</f>
        <v>2.25</v>
      </c>
      <c r="K57" s="859">
        <f>Subways!Q159</f>
        <v>2.25</v>
      </c>
      <c r="L57" s="859">
        <f>Subways!R159</f>
        <v>2.25</v>
      </c>
      <c r="M57" s="859">
        <f>Subways!S159</f>
        <v>2.25</v>
      </c>
      <c r="N57" s="859">
        <f>Subways!T159</f>
        <v>2.25</v>
      </c>
      <c r="O57" s="859">
        <f>Subways!U159</f>
        <v>2.25</v>
      </c>
      <c r="P57" s="859">
        <f>Subways!V159</f>
        <v>2.25</v>
      </c>
      <c r="Q57" s="859">
        <f>Subways!W159</f>
        <v>2.25</v>
      </c>
      <c r="R57" s="859">
        <f>Subways!X159</f>
        <v>2.25</v>
      </c>
      <c r="S57" s="859">
        <f>Subways!Y159</f>
        <v>2.25</v>
      </c>
      <c r="T57" s="859">
        <f>Subways!Z159</f>
        <v>2.25</v>
      </c>
      <c r="U57" s="859">
        <f>Subways!AA159</f>
        <v>2.25</v>
      </c>
      <c r="V57" s="859">
        <f>Subways!AB159</f>
        <v>2.25</v>
      </c>
      <c r="W57" s="859">
        <f>Subways!AC159</f>
        <v>2.25</v>
      </c>
      <c r="X57" s="859">
        <f>Subways!AD159</f>
        <v>2.25</v>
      </c>
      <c r="Y57" s="859">
        <f>Subways!AE159</f>
        <v>2.25</v>
      </c>
      <c r="Z57" s="859">
        <f>Subways!AF159</f>
        <v>2.25</v>
      </c>
      <c r="AA57" s="859">
        <f>Subways!AG159</f>
        <v>2.25</v>
      </c>
      <c r="AB57" s="859">
        <f>Subways!AH159</f>
        <v>2.25</v>
      </c>
      <c r="AC57" s="859">
        <f>Subways!AI159</f>
        <v>2.25</v>
      </c>
      <c r="AD57" s="859">
        <f>Subways!AJ159</f>
        <v>2.25</v>
      </c>
      <c r="AE57" s="859">
        <f>Subways!AK159</f>
        <v>2.25</v>
      </c>
      <c r="AF57" s="859">
        <f>Subways!AL159</f>
        <v>2.25</v>
      </c>
      <c r="AG57" s="859">
        <f>Subways!AM159</f>
        <v>2.25</v>
      </c>
    </row>
    <row r="58" spans="2:33" s="86" customFormat="1" ht="13.95" customHeight="1">
      <c r="B58" s="86" t="s">
        <v>2664</v>
      </c>
      <c r="I58" s="21">
        <f>ROW()</f>
        <v>58</v>
      </c>
      <c r="J58" s="859">
        <f>'User Inputs'!$J$135</f>
        <v>2.25</v>
      </c>
      <c r="K58" s="859">
        <f>'User Inputs'!$J$135</f>
        <v>2.25</v>
      </c>
      <c r="L58" s="859">
        <f>'User Inputs'!$J$135</f>
        <v>2.25</v>
      </c>
      <c r="M58" s="859">
        <f>'User Inputs'!$J$135</f>
        <v>2.25</v>
      </c>
      <c r="N58" s="859">
        <f>'User Inputs'!$J$135</f>
        <v>2.25</v>
      </c>
      <c r="O58" s="859">
        <f>'User Inputs'!$J$135</f>
        <v>2.25</v>
      </c>
      <c r="P58" s="859">
        <f>'User Inputs'!$J$135</f>
        <v>2.25</v>
      </c>
      <c r="Q58" s="859">
        <f>'User Inputs'!$J$135</f>
        <v>2.25</v>
      </c>
      <c r="R58" s="859">
        <f>'User Inputs'!$J$135</f>
        <v>2.25</v>
      </c>
      <c r="S58" s="859">
        <f>'User Inputs'!$J$135</f>
        <v>2.25</v>
      </c>
      <c r="T58" s="859">
        <f>'User Inputs'!$J$135</f>
        <v>2.25</v>
      </c>
      <c r="U58" s="859">
        <f>'User Inputs'!$J$135</f>
        <v>2.25</v>
      </c>
      <c r="V58" s="859">
        <f>'User Inputs'!$J$135</f>
        <v>2.25</v>
      </c>
      <c r="W58" s="859">
        <f>'User Inputs'!$J$135</f>
        <v>2.25</v>
      </c>
      <c r="X58" s="859">
        <f>'User Inputs'!$J$135</f>
        <v>2.25</v>
      </c>
      <c r="Y58" s="859">
        <f>'User Inputs'!$J$135</f>
        <v>2.25</v>
      </c>
      <c r="Z58" s="859">
        <f>'User Inputs'!$J$135</f>
        <v>2.25</v>
      </c>
      <c r="AA58" s="859">
        <f>'User Inputs'!$J$135</f>
        <v>2.25</v>
      </c>
      <c r="AB58" s="859">
        <f>'User Inputs'!$J$135</f>
        <v>2.25</v>
      </c>
      <c r="AC58" s="859">
        <f>'User Inputs'!$J$135</f>
        <v>2.25</v>
      </c>
      <c r="AD58" s="859">
        <f>'User Inputs'!$J$135</f>
        <v>2.25</v>
      </c>
      <c r="AE58" s="859">
        <f>'User Inputs'!$J$135</f>
        <v>2.25</v>
      </c>
      <c r="AF58" s="859">
        <f>'User Inputs'!$J$135</f>
        <v>2.25</v>
      </c>
      <c r="AG58" s="859">
        <f>'User Inputs'!$J$135</f>
        <v>2.25</v>
      </c>
    </row>
    <row r="59" spans="2:33" s="86" customFormat="1" ht="13.95" customHeight="1">
      <c r="B59" s="4581" t="str">
        <f>CONCATENATE("Subways values are from 'Subways' worksheet, Row ",Subways!O159, "; bus values are from constant fare selected in 'Summary' worksheet.")</f>
        <v>Subways values are from 'Subways' worksheet, Row 159; bus values are from constant fare selected in 'Summary' worksheet.</v>
      </c>
      <c r="C59" s="4187"/>
      <c r="D59" s="4187"/>
      <c r="E59" s="4187"/>
      <c r="F59" s="4187"/>
      <c r="G59" s="4187"/>
      <c r="H59" s="4187"/>
      <c r="I59" s="21">
        <f>ROW()</f>
        <v>59</v>
      </c>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row>
    <row r="60" spans="2:33" s="86" customFormat="1" ht="13.95" customHeight="1">
      <c r="B60" s="4187"/>
      <c r="C60" s="4187"/>
      <c r="D60" s="4187"/>
      <c r="E60" s="4187"/>
      <c r="F60" s="4187"/>
      <c r="G60" s="4187"/>
      <c r="H60" s="4187"/>
      <c r="I60" s="21">
        <f>ROW()</f>
        <v>60</v>
      </c>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row>
    <row r="61" spans="2:33" s="86" customFormat="1" ht="13.95" customHeight="1">
      <c r="B61" s="86" t="s">
        <v>2324</v>
      </c>
      <c r="I61" s="21">
        <f>ROW()</f>
        <v>61</v>
      </c>
      <c r="J61" s="859">
        <f ca="1">J57+$F$42</f>
        <v>12.076326135173225</v>
      </c>
      <c r="K61" s="859">
        <f t="shared" ref="K61:AG61" ca="1" si="0">K57+$F$42</f>
        <v>12.076326135173225</v>
      </c>
      <c r="L61" s="859">
        <f t="shared" ca="1" si="0"/>
        <v>12.076326135173225</v>
      </c>
      <c r="M61" s="859">
        <f t="shared" ca="1" si="0"/>
        <v>12.076326135173225</v>
      </c>
      <c r="N61" s="859">
        <f t="shared" ca="1" si="0"/>
        <v>12.076326135173225</v>
      </c>
      <c r="O61" s="859">
        <f t="shared" ca="1" si="0"/>
        <v>12.076326135173225</v>
      </c>
      <c r="P61" s="859">
        <f t="shared" ca="1" si="0"/>
        <v>12.076326135173225</v>
      </c>
      <c r="Q61" s="859">
        <f t="shared" ca="1" si="0"/>
        <v>12.076326135173225</v>
      </c>
      <c r="R61" s="859">
        <f t="shared" ca="1" si="0"/>
        <v>12.076326135173225</v>
      </c>
      <c r="S61" s="859">
        <f t="shared" ca="1" si="0"/>
        <v>12.076326135173225</v>
      </c>
      <c r="T61" s="859">
        <f t="shared" ca="1" si="0"/>
        <v>12.076326135173225</v>
      </c>
      <c r="U61" s="859">
        <f t="shared" ca="1" si="0"/>
        <v>12.076326135173225</v>
      </c>
      <c r="V61" s="859">
        <f t="shared" ca="1" si="0"/>
        <v>12.076326135173225</v>
      </c>
      <c r="W61" s="859">
        <f t="shared" ca="1" si="0"/>
        <v>12.076326135173225</v>
      </c>
      <c r="X61" s="859">
        <f t="shared" ca="1" si="0"/>
        <v>12.076326135173225</v>
      </c>
      <c r="Y61" s="859">
        <f t="shared" ca="1" si="0"/>
        <v>12.076326135173225</v>
      </c>
      <c r="Z61" s="859">
        <f t="shared" ca="1" si="0"/>
        <v>12.076326135173225</v>
      </c>
      <c r="AA61" s="859">
        <f t="shared" ca="1" si="0"/>
        <v>12.076326135173225</v>
      </c>
      <c r="AB61" s="859">
        <f t="shared" ca="1" si="0"/>
        <v>12.076326135173225</v>
      </c>
      <c r="AC61" s="859">
        <f t="shared" ca="1" si="0"/>
        <v>12.076326135173225</v>
      </c>
      <c r="AD61" s="859">
        <f t="shared" ca="1" si="0"/>
        <v>12.076326135173225</v>
      </c>
      <c r="AE61" s="859">
        <f t="shared" ca="1" si="0"/>
        <v>12.076326135173225</v>
      </c>
      <c r="AF61" s="859">
        <f t="shared" ca="1" si="0"/>
        <v>12.076326135173225</v>
      </c>
      <c r="AG61" s="859">
        <f t="shared" ca="1" si="0"/>
        <v>12.076326135173225</v>
      </c>
    </row>
    <row r="62" spans="2:33" s="86" customFormat="1" ht="13.95" customHeight="1">
      <c r="B62" s="86" t="s">
        <v>2325</v>
      </c>
      <c r="I62" s="21">
        <f>ROW()</f>
        <v>62</v>
      </c>
      <c r="J62" s="859">
        <f ca="1">J58+$K$42</f>
        <v>19.812775917029022</v>
      </c>
      <c r="K62" s="859">
        <f t="shared" ref="K62:AG62" ca="1" si="1">K58+$K$42</f>
        <v>19.812775917029022</v>
      </c>
      <c r="L62" s="859">
        <f t="shared" ca="1" si="1"/>
        <v>19.812775917029022</v>
      </c>
      <c r="M62" s="859">
        <f t="shared" ca="1" si="1"/>
        <v>19.812775917029022</v>
      </c>
      <c r="N62" s="859">
        <f t="shared" ca="1" si="1"/>
        <v>19.812775917029022</v>
      </c>
      <c r="O62" s="859">
        <f t="shared" ca="1" si="1"/>
        <v>19.812775917029022</v>
      </c>
      <c r="P62" s="859">
        <f t="shared" ca="1" si="1"/>
        <v>19.812775917029022</v>
      </c>
      <c r="Q62" s="859">
        <f t="shared" ca="1" si="1"/>
        <v>19.812775917029022</v>
      </c>
      <c r="R62" s="859">
        <f t="shared" ca="1" si="1"/>
        <v>19.812775917029022</v>
      </c>
      <c r="S62" s="859">
        <f t="shared" ca="1" si="1"/>
        <v>19.812775917029022</v>
      </c>
      <c r="T62" s="859">
        <f t="shared" ca="1" si="1"/>
        <v>19.812775917029022</v>
      </c>
      <c r="U62" s="859">
        <f t="shared" ca="1" si="1"/>
        <v>19.812775917029022</v>
      </c>
      <c r="V62" s="859">
        <f t="shared" ca="1" si="1"/>
        <v>19.812775917029022</v>
      </c>
      <c r="W62" s="859">
        <f t="shared" ca="1" si="1"/>
        <v>19.812775917029022</v>
      </c>
      <c r="X62" s="859">
        <f t="shared" ca="1" si="1"/>
        <v>19.812775917029022</v>
      </c>
      <c r="Y62" s="859">
        <f t="shared" ca="1" si="1"/>
        <v>19.812775917029022</v>
      </c>
      <c r="Z62" s="859">
        <f t="shared" ca="1" si="1"/>
        <v>19.812775917029022</v>
      </c>
      <c r="AA62" s="859">
        <f t="shared" ca="1" si="1"/>
        <v>19.812775917029022</v>
      </c>
      <c r="AB62" s="859">
        <f t="shared" ca="1" si="1"/>
        <v>19.812775917029022</v>
      </c>
      <c r="AC62" s="859">
        <f t="shared" ca="1" si="1"/>
        <v>19.812775917029022</v>
      </c>
      <c r="AD62" s="859">
        <f t="shared" ca="1" si="1"/>
        <v>19.812775917029022</v>
      </c>
      <c r="AE62" s="859">
        <f t="shared" ca="1" si="1"/>
        <v>19.812775917029022</v>
      </c>
      <c r="AF62" s="859">
        <f t="shared" ca="1" si="1"/>
        <v>19.812775917029022</v>
      </c>
      <c r="AG62" s="859">
        <f t="shared" ca="1" si="1"/>
        <v>19.812775917029022</v>
      </c>
    </row>
    <row r="63" spans="2:33" s="86" customFormat="1" ht="13.95" customHeight="1">
      <c r="B63" s="826" t="s">
        <v>4263</v>
      </c>
      <c r="I63" s="21">
        <f>ROW()</f>
        <v>63</v>
      </c>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row>
    <row r="64" spans="2:33" s="86" customFormat="1" ht="13.95" customHeight="1">
      <c r="B64" s="86" t="s">
        <v>1739</v>
      </c>
      <c r="I64" s="21">
        <f>ROW()</f>
        <v>64</v>
      </c>
      <c r="J64" s="860">
        <f ca="1">J62-J61</f>
        <v>7.7364497818557965</v>
      </c>
      <c r="K64" s="860">
        <f t="shared" ref="K64:AG64" ca="1" si="2">K62-K61</f>
        <v>7.7364497818557965</v>
      </c>
      <c r="L64" s="860">
        <f t="shared" ca="1" si="2"/>
        <v>7.7364497818557965</v>
      </c>
      <c r="M64" s="860">
        <f t="shared" ca="1" si="2"/>
        <v>7.7364497818557965</v>
      </c>
      <c r="N64" s="860">
        <f t="shared" ca="1" si="2"/>
        <v>7.7364497818557965</v>
      </c>
      <c r="O64" s="860">
        <f t="shared" ca="1" si="2"/>
        <v>7.7364497818557965</v>
      </c>
      <c r="P64" s="860">
        <f t="shared" ca="1" si="2"/>
        <v>7.7364497818557965</v>
      </c>
      <c r="Q64" s="860">
        <f t="shared" ca="1" si="2"/>
        <v>7.7364497818557965</v>
      </c>
      <c r="R64" s="860">
        <f t="shared" ca="1" si="2"/>
        <v>7.7364497818557965</v>
      </c>
      <c r="S64" s="860">
        <f t="shared" ca="1" si="2"/>
        <v>7.7364497818557965</v>
      </c>
      <c r="T64" s="860">
        <f t="shared" ca="1" si="2"/>
        <v>7.7364497818557965</v>
      </c>
      <c r="U64" s="860">
        <f t="shared" ca="1" si="2"/>
        <v>7.7364497818557965</v>
      </c>
      <c r="V64" s="860">
        <f t="shared" ca="1" si="2"/>
        <v>7.7364497818557965</v>
      </c>
      <c r="W64" s="860">
        <f t="shared" ca="1" si="2"/>
        <v>7.7364497818557965</v>
      </c>
      <c r="X64" s="860">
        <f t="shared" ca="1" si="2"/>
        <v>7.7364497818557965</v>
      </c>
      <c r="Y64" s="860">
        <f t="shared" ca="1" si="2"/>
        <v>7.7364497818557965</v>
      </c>
      <c r="Z64" s="860">
        <f t="shared" ca="1" si="2"/>
        <v>7.7364497818557965</v>
      </c>
      <c r="AA64" s="860">
        <f t="shared" ca="1" si="2"/>
        <v>7.7364497818557965</v>
      </c>
      <c r="AB64" s="860">
        <f t="shared" ca="1" si="2"/>
        <v>7.7364497818557965</v>
      </c>
      <c r="AC64" s="860">
        <f t="shared" ca="1" si="2"/>
        <v>7.7364497818557965</v>
      </c>
      <c r="AD64" s="860">
        <f t="shared" ca="1" si="2"/>
        <v>7.7364497818557965</v>
      </c>
      <c r="AE64" s="860">
        <f t="shared" ca="1" si="2"/>
        <v>7.7364497818557965</v>
      </c>
      <c r="AF64" s="860">
        <f t="shared" ca="1" si="2"/>
        <v>7.7364497818557965</v>
      </c>
      <c r="AG64" s="860">
        <f t="shared" ca="1" si="2"/>
        <v>7.7364497818557965</v>
      </c>
    </row>
    <row r="65" spans="2:34" s="86" customFormat="1" ht="13.95" customHeight="1">
      <c r="B65" s="86" t="s">
        <v>1740</v>
      </c>
      <c r="I65" s="21">
        <f>ROW()</f>
        <v>65</v>
      </c>
      <c r="J65" s="859">
        <f ca="1">$H$47*(J61^2 + J62^2)^0.5</f>
        <v>5.5919465435485716</v>
      </c>
      <c r="K65" s="859">
        <f t="shared" ref="K65:AG65" ca="1" si="3">$H$47*(K61^2 + K62^2)^0.5</f>
        <v>5.5919465435485716</v>
      </c>
      <c r="L65" s="859">
        <f t="shared" ca="1" si="3"/>
        <v>5.5919465435485716</v>
      </c>
      <c r="M65" s="859">
        <f t="shared" ca="1" si="3"/>
        <v>5.5919465435485716</v>
      </c>
      <c r="N65" s="859">
        <f t="shared" ca="1" si="3"/>
        <v>5.5919465435485716</v>
      </c>
      <c r="O65" s="859">
        <f t="shared" ca="1" si="3"/>
        <v>5.5919465435485716</v>
      </c>
      <c r="P65" s="859">
        <f t="shared" ca="1" si="3"/>
        <v>5.5919465435485716</v>
      </c>
      <c r="Q65" s="859">
        <f t="shared" ca="1" si="3"/>
        <v>5.5919465435485716</v>
      </c>
      <c r="R65" s="859">
        <f t="shared" ca="1" si="3"/>
        <v>5.5919465435485716</v>
      </c>
      <c r="S65" s="859">
        <f t="shared" ca="1" si="3"/>
        <v>5.5919465435485716</v>
      </c>
      <c r="T65" s="859">
        <f t="shared" ca="1" si="3"/>
        <v>5.5919465435485716</v>
      </c>
      <c r="U65" s="859">
        <f t="shared" ca="1" si="3"/>
        <v>5.5919465435485716</v>
      </c>
      <c r="V65" s="859">
        <f t="shared" ca="1" si="3"/>
        <v>5.5919465435485716</v>
      </c>
      <c r="W65" s="859">
        <f t="shared" ca="1" si="3"/>
        <v>5.5919465435485716</v>
      </c>
      <c r="X65" s="859">
        <f t="shared" ca="1" si="3"/>
        <v>5.5919465435485716</v>
      </c>
      <c r="Y65" s="859">
        <f t="shared" ca="1" si="3"/>
        <v>5.5919465435485716</v>
      </c>
      <c r="Z65" s="859">
        <f t="shared" ca="1" si="3"/>
        <v>5.5919465435485716</v>
      </c>
      <c r="AA65" s="859">
        <f t="shared" ca="1" si="3"/>
        <v>5.5919465435485716</v>
      </c>
      <c r="AB65" s="859">
        <f t="shared" ca="1" si="3"/>
        <v>5.5919465435485716</v>
      </c>
      <c r="AC65" s="859">
        <f t="shared" ca="1" si="3"/>
        <v>5.5919465435485716</v>
      </c>
      <c r="AD65" s="859">
        <f t="shared" ca="1" si="3"/>
        <v>5.5919465435485716</v>
      </c>
      <c r="AE65" s="859">
        <f t="shared" ca="1" si="3"/>
        <v>5.5919465435485716</v>
      </c>
      <c r="AF65" s="859">
        <f t="shared" ca="1" si="3"/>
        <v>5.5919465435485716</v>
      </c>
      <c r="AG65" s="859">
        <f t="shared" ca="1" si="3"/>
        <v>5.5919465435485716</v>
      </c>
    </row>
    <row r="66" spans="2:34" s="86" customFormat="1" ht="13.95" customHeight="1">
      <c r="B66" s="826" t="s">
        <v>1433</v>
      </c>
      <c r="I66" s="21">
        <f>ROW()</f>
        <v>66</v>
      </c>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row>
    <row r="67" spans="2:34" s="86" customFormat="1" ht="13.95" customHeight="1">
      <c r="B67" s="86" t="s">
        <v>1389</v>
      </c>
      <c r="I67" s="21">
        <f>ROW()</f>
        <v>67</v>
      </c>
      <c r="J67" s="862">
        <f ca="1">NORMSDIST(-J64/J65)</f>
        <v>8.3256029998099446E-2</v>
      </c>
      <c r="K67" s="862">
        <f t="shared" ref="K67:AG67" ca="1" si="4">NORMSDIST(-K64/K65)</f>
        <v>8.3256029998099446E-2</v>
      </c>
      <c r="L67" s="862">
        <f t="shared" ca="1" si="4"/>
        <v>8.3256029998099446E-2</v>
      </c>
      <c r="M67" s="862">
        <f t="shared" ca="1" si="4"/>
        <v>8.3256029998099446E-2</v>
      </c>
      <c r="N67" s="862">
        <f t="shared" ca="1" si="4"/>
        <v>8.3256029998099446E-2</v>
      </c>
      <c r="O67" s="862">
        <f t="shared" ca="1" si="4"/>
        <v>8.3256029998099446E-2</v>
      </c>
      <c r="P67" s="862">
        <f t="shared" ca="1" si="4"/>
        <v>8.3256029998099446E-2</v>
      </c>
      <c r="Q67" s="862">
        <f t="shared" ca="1" si="4"/>
        <v>8.3256029998099446E-2</v>
      </c>
      <c r="R67" s="862">
        <f t="shared" ca="1" si="4"/>
        <v>8.3256029998099446E-2</v>
      </c>
      <c r="S67" s="862">
        <f t="shared" ca="1" si="4"/>
        <v>8.3256029998099446E-2</v>
      </c>
      <c r="T67" s="862">
        <f t="shared" ca="1" si="4"/>
        <v>8.3256029998099446E-2</v>
      </c>
      <c r="U67" s="862">
        <f t="shared" ca="1" si="4"/>
        <v>8.3256029998099446E-2</v>
      </c>
      <c r="V67" s="862">
        <f t="shared" ca="1" si="4"/>
        <v>8.3256029998099446E-2</v>
      </c>
      <c r="W67" s="862">
        <f t="shared" ca="1" si="4"/>
        <v>8.3256029998099446E-2</v>
      </c>
      <c r="X67" s="862">
        <f t="shared" ca="1" si="4"/>
        <v>8.3256029998099446E-2</v>
      </c>
      <c r="Y67" s="862">
        <f t="shared" ca="1" si="4"/>
        <v>8.3256029998099446E-2</v>
      </c>
      <c r="Z67" s="862">
        <f t="shared" ca="1" si="4"/>
        <v>8.3256029998099446E-2</v>
      </c>
      <c r="AA67" s="862">
        <f t="shared" ca="1" si="4"/>
        <v>8.3256029998099446E-2</v>
      </c>
      <c r="AB67" s="862">
        <f t="shared" ca="1" si="4"/>
        <v>8.3256029998099446E-2</v>
      </c>
      <c r="AC67" s="862">
        <f t="shared" ca="1" si="4"/>
        <v>8.3256029998099446E-2</v>
      </c>
      <c r="AD67" s="862">
        <f t="shared" ca="1" si="4"/>
        <v>8.3256029998099446E-2</v>
      </c>
      <c r="AE67" s="862">
        <f t="shared" ca="1" si="4"/>
        <v>8.3256029998099446E-2</v>
      </c>
      <c r="AF67" s="862">
        <f t="shared" ca="1" si="4"/>
        <v>8.3256029998099446E-2</v>
      </c>
      <c r="AG67" s="862">
        <f t="shared" ca="1" si="4"/>
        <v>8.3256029998099446E-2</v>
      </c>
    </row>
    <row r="68" spans="2:34" s="86" customFormat="1" ht="13.95" customHeight="1">
      <c r="B68" s="3754" t="s">
        <v>1666</v>
      </c>
      <c r="C68" s="3659"/>
      <c r="D68" s="3659"/>
      <c r="E68" s="3659"/>
      <c r="F68" s="3659"/>
      <c r="G68" s="3659"/>
      <c r="H68" s="3659"/>
      <c r="I68" s="21">
        <f>ROW()</f>
        <v>68</v>
      </c>
      <c r="J68" s="861"/>
      <c r="K68" s="861"/>
      <c r="L68" s="861"/>
      <c r="M68" s="861"/>
      <c r="N68" s="861"/>
      <c r="O68" s="861"/>
      <c r="P68" s="861"/>
      <c r="Q68" s="861"/>
      <c r="R68" s="861"/>
      <c r="S68" s="861"/>
      <c r="T68" s="861"/>
      <c r="U68" s="861"/>
      <c r="V68" s="861"/>
      <c r="W68" s="861"/>
      <c r="X68" s="861"/>
      <c r="Y68" s="861"/>
      <c r="Z68" s="861"/>
      <c r="AA68" s="861"/>
      <c r="AB68" s="861"/>
      <c r="AC68" s="861"/>
      <c r="AD68" s="861"/>
      <c r="AE68" s="861"/>
      <c r="AF68" s="861"/>
      <c r="AG68" s="861"/>
    </row>
    <row r="69" spans="2:34" s="86" customFormat="1" ht="13.95" customHeight="1">
      <c r="B69" s="3659"/>
      <c r="C69" s="3659"/>
      <c r="D69" s="3659"/>
      <c r="E69" s="3659"/>
      <c r="F69" s="3659"/>
      <c r="G69" s="3659"/>
      <c r="H69" s="3659"/>
      <c r="I69" s="21">
        <f>ROW()</f>
        <v>69</v>
      </c>
      <c r="J69" s="861"/>
      <c r="K69" s="861"/>
      <c r="L69" s="861"/>
      <c r="M69" s="861"/>
      <c r="N69" s="861"/>
      <c r="O69" s="861"/>
      <c r="P69" s="861"/>
      <c r="Q69" s="861"/>
      <c r="R69" s="861"/>
      <c r="S69" s="861"/>
      <c r="T69" s="861"/>
      <c r="U69" s="861"/>
      <c r="V69" s="861"/>
      <c r="W69" s="861"/>
      <c r="X69" s="861"/>
      <c r="Y69" s="861"/>
      <c r="Z69" s="861"/>
      <c r="AA69" s="861"/>
      <c r="AB69" s="861"/>
      <c r="AC69" s="861"/>
      <c r="AD69" s="861"/>
      <c r="AE69" s="861"/>
      <c r="AF69" s="861"/>
      <c r="AG69" s="861"/>
    </row>
    <row r="70" spans="2:34" ht="13.95" customHeight="1">
      <c r="B70" t="s">
        <v>342</v>
      </c>
      <c r="I70" s="21">
        <f>ROW()</f>
        <v>70</v>
      </c>
      <c r="J70" s="598">
        <f t="shared" ref="J70:AG70" ca="1" si="5">J67/$G$52</f>
        <v>1.2983408000799195</v>
      </c>
      <c r="K70" s="598">
        <f t="shared" ca="1" si="5"/>
        <v>1.2983408000799195</v>
      </c>
      <c r="L70" s="598">
        <f t="shared" ca="1" si="5"/>
        <v>1.2983408000799195</v>
      </c>
      <c r="M70" s="598">
        <f t="shared" ca="1" si="5"/>
        <v>1.2983408000799195</v>
      </c>
      <c r="N70" s="598">
        <f t="shared" ca="1" si="5"/>
        <v>1.2983408000799195</v>
      </c>
      <c r="O70" s="598">
        <f t="shared" ca="1" si="5"/>
        <v>1.2983408000799195</v>
      </c>
      <c r="P70" s="598">
        <f t="shared" ca="1" si="5"/>
        <v>1.2983408000799195</v>
      </c>
      <c r="Q70" s="598">
        <f t="shared" ca="1" si="5"/>
        <v>1.2983408000799195</v>
      </c>
      <c r="R70" s="598">
        <f t="shared" ca="1" si="5"/>
        <v>1.2983408000799195</v>
      </c>
      <c r="S70" s="598">
        <f t="shared" ca="1" si="5"/>
        <v>1.2983408000799195</v>
      </c>
      <c r="T70" s="598">
        <f t="shared" ca="1" si="5"/>
        <v>1.2983408000799195</v>
      </c>
      <c r="U70" s="598">
        <f t="shared" ca="1" si="5"/>
        <v>1.2983408000799195</v>
      </c>
      <c r="V70" s="598">
        <f t="shared" ca="1" si="5"/>
        <v>1.2983408000799195</v>
      </c>
      <c r="W70" s="598">
        <f t="shared" ca="1" si="5"/>
        <v>1.2983408000799195</v>
      </c>
      <c r="X70" s="598">
        <f t="shared" ca="1" si="5"/>
        <v>1.2983408000799195</v>
      </c>
      <c r="Y70" s="598">
        <f t="shared" ca="1" si="5"/>
        <v>1.2983408000799195</v>
      </c>
      <c r="Z70" s="598">
        <f t="shared" ca="1" si="5"/>
        <v>1.2983408000799195</v>
      </c>
      <c r="AA70" s="598">
        <f t="shared" ca="1" si="5"/>
        <v>1.2983408000799195</v>
      </c>
      <c r="AB70" s="598">
        <f t="shared" ca="1" si="5"/>
        <v>1.2983408000799195</v>
      </c>
      <c r="AC70" s="598">
        <f t="shared" ca="1" si="5"/>
        <v>1.2983408000799195</v>
      </c>
      <c r="AD70" s="598">
        <f t="shared" ca="1" si="5"/>
        <v>1.2983408000799195</v>
      </c>
      <c r="AE70" s="598">
        <f t="shared" ca="1" si="5"/>
        <v>1.2983408000799195</v>
      </c>
      <c r="AF70" s="598">
        <f t="shared" ca="1" si="5"/>
        <v>1.2983408000799195</v>
      </c>
      <c r="AG70" s="598">
        <f t="shared" ca="1" si="5"/>
        <v>1.2983408000799195</v>
      </c>
      <c r="AH70" s="21"/>
    </row>
    <row r="71" spans="2:34" ht="13.95" customHeight="1">
      <c r="B71" s="3754" t="s">
        <v>35</v>
      </c>
      <c r="C71" s="3659"/>
      <c r="D71" s="3659"/>
      <c r="E71" s="3659"/>
      <c r="F71" s="3659"/>
      <c r="G71" s="3659"/>
      <c r="H71" s="3659"/>
      <c r="I71" s="21">
        <f>ROW()</f>
        <v>71</v>
      </c>
    </row>
    <row r="72" spans="2:34" ht="13.95" customHeight="1">
      <c r="B72" s="3659"/>
      <c r="C72" s="3659"/>
      <c r="D72" s="3659"/>
      <c r="E72" s="3659"/>
      <c r="F72" s="3659"/>
      <c r="G72" s="3659"/>
      <c r="H72" s="3659"/>
      <c r="I72" s="21">
        <f>ROW()</f>
        <v>72</v>
      </c>
    </row>
    <row r="73" spans="2:34" ht="13.95" customHeight="1">
      <c r="B73" s="3659"/>
      <c r="C73" s="3659"/>
      <c r="D73" s="3659"/>
      <c r="E73" s="3659"/>
      <c r="F73" s="3659"/>
      <c r="G73" s="3659"/>
      <c r="H73" s="3659"/>
      <c r="I73" s="21">
        <f>ROW()</f>
        <v>73</v>
      </c>
    </row>
  </sheetData>
  <customSheetViews>
    <customSheetView guid="{BD5E6263-A0AD-4076-921A-D4EBD62848EF}" showRuler="0">
      <selection activeCell="A30" sqref="A30"/>
      <pageMargins left="0.75" right="0.75" top="1" bottom="1" header="0.5" footer="0.5"/>
      <pageSetup orientation="portrait" r:id="rId1"/>
      <headerFooter alignWithMargins="0"/>
    </customSheetView>
    <customSheetView guid="{1D5AE30A-CA7C-4B32-AEA4-9F37A560AAA8}" showRuler="0">
      <selection activeCell="A30" sqref="A30"/>
      <pageMargins left="0.75" right="0.75" top="1" bottom="1" header="0.5" footer="0.5"/>
      <pageSetup orientation="portrait" r:id="rId2"/>
      <headerFooter alignWithMargins="0"/>
    </customSheetView>
  </customSheetViews>
  <mergeCells count="13">
    <mergeCell ref="B53:H54"/>
    <mergeCell ref="B59:H60"/>
    <mergeCell ref="B68:H69"/>
    <mergeCell ref="B71:H73"/>
    <mergeCell ref="N42:Q44"/>
    <mergeCell ref="B34:H35"/>
    <mergeCell ref="B37:H38"/>
    <mergeCell ref="B4:H8"/>
    <mergeCell ref="F16:H16"/>
    <mergeCell ref="J16:L16"/>
    <mergeCell ref="B10:H14"/>
    <mergeCell ref="B27:H29"/>
    <mergeCell ref="B23:H25"/>
  </mergeCells>
  <phoneticPr fontId="6" type="noConversion"/>
  <pageMargins left="0.75" right="0.75" top="1" bottom="1" header="0.5" footer="0.5"/>
  <pageSetup orientation="portrait" r:id="rId3"/>
  <headerFooter alignWithMargins="0"/>
  <drawing r:id="rId4"/>
</worksheet>
</file>

<file path=xl/worksheets/sheet23.xml><?xml version="1.0" encoding="utf-8"?>
<worksheet xmlns="http://schemas.openxmlformats.org/spreadsheetml/2006/main" xmlns:r="http://schemas.openxmlformats.org/officeDocument/2006/relationships">
  <sheetPr codeName="Sheet50"/>
  <dimension ref="B1:AK338"/>
  <sheetViews>
    <sheetView showRuler="0" zoomScaleNormal="100" workbookViewId="0"/>
  </sheetViews>
  <sheetFormatPr defaultRowHeight="15" customHeight="1"/>
  <cols>
    <col min="1" max="1" width="2.75" customWidth="1"/>
    <col min="2" max="7" width="11.75" customWidth="1"/>
    <col min="8" max="10" width="12.625" customWidth="1"/>
    <col min="11" max="11" width="1.375" customWidth="1"/>
    <col min="12" max="14" width="12.625" customWidth="1"/>
    <col min="15" max="15" width="1.875" style="621" customWidth="1"/>
    <col min="18" max="30" width="10.75" customWidth="1"/>
  </cols>
  <sheetData>
    <row r="1" spans="2:15" ht="15" customHeight="1">
      <c r="O1" s="621">
        <f>ROW()</f>
        <v>1</v>
      </c>
    </row>
    <row r="2" spans="2:15" ht="15" customHeight="1">
      <c r="B2" s="115" t="s">
        <v>3975</v>
      </c>
      <c r="J2" s="181">
        <f>'Title Page'!K1</f>
        <v>40914</v>
      </c>
      <c r="O2" s="621">
        <f>ROW()</f>
        <v>2</v>
      </c>
    </row>
    <row r="3" spans="2:15" ht="15" customHeight="1">
      <c r="O3" s="621">
        <f>ROW()</f>
        <v>3</v>
      </c>
    </row>
    <row r="4" spans="2:15" ht="15" customHeight="1">
      <c r="O4" s="621">
        <f>ROW()</f>
        <v>4</v>
      </c>
    </row>
    <row r="5" spans="2:15" ht="15" customHeight="1">
      <c r="O5" s="621">
        <f>ROW()</f>
        <v>5</v>
      </c>
    </row>
    <row r="6" spans="2:15" ht="15" customHeight="1">
      <c r="B6" s="4563" t="s">
        <v>6021</v>
      </c>
      <c r="C6" s="4563"/>
      <c r="D6" s="4563"/>
      <c r="E6" s="4563"/>
      <c r="F6" s="4563"/>
      <c r="G6" s="4563"/>
      <c r="H6" s="4563"/>
      <c r="I6" s="4563"/>
      <c r="J6" s="4563"/>
      <c r="O6" s="621">
        <f>ROW()</f>
        <v>6</v>
      </c>
    </row>
    <row r="7" spans="2:15" ht="15" customHeight="1">
      <c r="B7" s="4563"/>
      <c r="C7" s="4563"/>
      <c r="D7" s="4563"/>
      <c r="E7" s="4563"/>
      <c r="F7" s="4563"/>
      <c r="G7" s="4563"/>
      <c r="H7" s="4563"/>
      <c r="I7" s="4563"/>
      <c r="J7" s="4563"/>
      <c r="O7" s="621">
        <f>ROW()</f>
        <v>7</v>
      </c>
    </row>
    <row r="8" spans="2:15" ht="15" customHeight="1">
      <c r="B8" s="4563"/>
      <c r="C8" s="4563"/>
      <c r="D8" s="4563"/>
      <c r="E8" s="4563"/>
      <c r="F8" s="4563"/>
      <c r="G8" s="4563"/>
      <c r="H8" s="4563"/>
      <c r="I8" s="4563"/>
      <c r="J8" s="4563"/>
      <c r="O8" s="621">
        <f>ROW()</f>
        <v>8</v>
      </c>
    </row>
    <row r="9" spans="2:15" ht="15" customHeight="1">
      <c r="B9" s="4563"/>
      <c r="C9" s="4563"/>
      <c r="D9" s="4563"/>
      <c r="E9" s="4563"/>
      <c r="F9" s="4563"/>
      <c r="G9" s="4563"/>
      <c r="H9" s="4563"/>
      <c r="I9" s="4563"/>
      <c r="J9" s="4563"/>
      <c r="O9" s="621">
        <f>ROW()</f>
        <v>9</v>
      </c>
    </row>
    <row r="10" spans="2:15" ht="15" customHeight="1">
      <c r="B10" s="4563" t="str">
        <f>CONCATENATE("The first scenario analyzed, starting in Row ",O57, ", is the standard park-and-ride model. We assess the likelihood that someone who now drives from home to a work destination in the CBD will " &amp; "instead divide her trip into two sections: (i) drive from home to a location outside the CBD and park there, either curbside or in a parking lot; (ii) take the subway from that location to the work destination in the CBD.")</f>
        <v>The first scenario analyzed, starting in Row 57, is the standard park-and-ride model. We assess the likelihood that someone who now drives from home to a work destination in the CBD will instead divide her trip into two sections: (i) drive from home to a location outside the CBD and park there, either curbside or in a parking lot; (ii) take the subway from that location to the work destination in the CBD.</v>
      </c>
      <c r="C10" s="4563"/>
      <c r="D10" s="4563"/>
      <c r="E10" s="4563"/>
      <c r="F10" s="4563"/>
      <c r="G10" s="4563"/>
      <c r="H10" s="4563"/>
      <c r="I10" s="4563"/>
      <c r="J10" s="4563"/>
      <c r="O10" s="621">
        <f>ROW()</f>
        <v>10</v>
      </c>
    </row>
    <row r="11" spans="2:15" ht="15" customHeight="1">
      <c r="B11" s="4563"/>
      <c r="C11" s="4563"/>
      <c r="D11" s="4563"/>
      <c r="E11" s="4563"/>
      <c r="F11" s="4563"/>
      <c r="G11" s="4563"/>
      <c r="H11" s="4563"/>
      <c r="I11" s="4563"/>
      <c r="J11" s="4563"/>
      <c r="O11" s="621">
        <f>ROW()</f>
        <v>11</v>
      </c>
    </row>
    <row r="12" spans="2:15" ht="15" customHeight="1">
      <c r="B12" s="4563"/>
      <c r="C12" s="4563"/>
      <c r="D12" s="4563"/>
      <c r="E12" s="4563"/>
      <c r="F12" s="4563"/>
      <c r="G12" s="4563"/>
      <c r="H12" s="4563"/>
      <c r="I12" s="4563"/>
      <c r="J12" s="4563"/>
      <c r="O12" s="621">
        <f>ROW()</f>
        <v>12</v>
      </c>
    </row>
    <row r="13" spans="2:15" ht="15" customHeight="1">
      <c r="B13" s="4563"/>
      <c r="C13" s="4563"/>
      <c r="D13" s="4563"/>
      <c r="E13" s="4563"/>
      <c r="F13" s="4563"/>
      <c r="G13" s="4563"/>
      <c r="H13" s="4563"/>
      <c r="I13" s="4563"/>
      <c r="J13" s="4563"/>
      <c r="O13" s="621">
        <f>ROW()</f>
        <v>13</v>
      </c>
    </row>
    <row r="14" spans="2:15" ht="15" customHeight="1">
      <c r="C14" s="1"/>
      <c r="D14" s="1"/>
      <c r="E14" s="1"/>
      <c r="F14" s="1"/>
      <c r="G14" s="1"/>
      <c r="H14" s="1"/>
      <c r="I14" s="1"/>
      <c r="J14" s="1"/>
      <c r="O14" s="621">
        <f>ROW()</f>
        <v>14</v>
      </c>
    </row>
    <row r="15" spans="2:15" ht="15" customHeight="1">
      <c r="B15" s="4563" t="str">
        <f>CONCATENATE("The second scenario, shown at Row ",O213, ", is one that might be prompted if the LIRR or Metro-North were to reduce fares for intra-city trips. It is hypothesized that someone who now travels by train to a work destination " &amp; "in the CBD will instead divides her trip into two sections: (i) drive from home to a location just across the NYC line and park there, either curbside or in a parking lot; (ii) take the now-discounted" &amp; "LIRR or Metro-North from that location to the work destination in the CBD.")</f>
        <v>The second scenario, shown at Row 213, is one that might be prompted if the LIRR or Metro-North were to reduce fares for intra-city trips. It is hypothesized that someone who now travels by train to a work destination in the CBD will instead divides her trip into two sections: (i) drive from home to a location just across the NYC line and park there, either curbside or in a parking lot; (ii) take the now-discountedLIRR or Metro-North from that location to the work destination in the CBD.</v>
      </c>
      <c r="C15" s="4563"/>
      <c r="D15" s="4563"/>
      <c r="E15" s="4563"/>
      <c r="F15" s="4563"/>
      <c r="G15" s="4563"/>
      <c r="H15" s="4563"/>
      <c r="I15" s="4563"/>
      <c r="J15" s="4563"/>
      <c r="O15" s="621">
        <f>ROW()</f>
        <v>15</v>
      </c>
    </row>
    <row r="16" spans="2:15" ht="15" customHeight="1">
      <c r="B16" s="4563"/>
      <c r="C16" s="4563"/>
      <c r="D16" s="4563"/>
      <c r="E16" s="4563"/>
      <c r="F16" s="4563"/>
      <c r="G16" s="4563"/>
      <c r="H16" s="4563"/>
      <c r="I16" s="4563"/>
      <c r="J16" s="4563"/>
      <c r="O16" s="621">
        <f>ROW()</f>
        <v>16</v>
      </c>
    </row>
    <row r="17" spans="2:15" ht="15" customHeight="1">
      <c r="B17" s="4563"/>
      <c r="C17" s="4563"/>
      <c r="D17" s="4563"/>
      <c r="E17" s="4563"/>
      <c r="F17" s="4563"/>
      <c r="G17" s="4563"/>
      <c r="H17" s="4563"/>
      <c r="I17" s="4563"/>
      <c r="J17" s="4563"/>
      <c r="O17" s="621">
        <f>ROW()</f>
        <v>17</v>
      </c>
    </row>
    <row r="18" spans="2:15" ht="15" customHeight="1">
      <c r="B18" s="4563"/>
      <c r="C18" s="4563"/>
      <c r="D18" s="4563"/>
      <c r="E18" s="4563"/>
      <c r="F18" s="4563"/>
      <c r="G18" s="4563"/>
      <c r="H18" s="4563"/>
      <c r="I18" s="4563"/>
      <c r="J18" s="4563"/>
      <c r="O18" s="621">
        <f>ROW()</f>
        <v>18</v>
      </c>
    </row>
    <row r="19" spans="2:15" ht="15" customHeight="1">
      <c r="B19" s="3779"/>
      <c r="C19" s="3779"/>
      <c r="D19" s="3779"/>
      <c r="E19" s="3779"/>
      <c r="F19" s="3779"/>
      <c r="G19" s="3779"/>
      <c r="H19" s="3779"/>
      <c r="I19" s="3779"/>
      <c r="J19" s="3779"/>
      <c r="O19" s="621">
        <f>ROW()</f>
        <v>19</v>
      </c>
    </row>
    <row r="20" spans="2:15" ht="15" customHeight="1">
      <c r="O20" s="621">
        <f>ROW()</f>
        <v>20</v>
      </c>
    </row>
    <row r="21" spans="2:15" ht="15" customHeight="1">
      <c r="B21" s="4563" t="s">
        <v>5187</v>
      </c>
      <c r="C21" s="4563"/>
      <c r="D21" s="4563"/>
      <c r="E21" s="4563"/>
      <c r="F21" s="4563"/>
      <c r="G21" s="4563"/>
      <c r="H21" s="4563"/>
      <c r="I21" s="4563"/>
      <c r="J21" s="4563"/>
      <c r="O21" s="621">
        <f>ROW()</f>
        <v>21</v>
      </c>
    </row>
    <row r="22" spans="2:15" ht="15" customHeight="1">
      <c r="B22" s="4563"/>
      <c r="C22" s="4563"/>
      <c r="D22" s="4563"/>
      <c r="E22" s="4563"/>
      <c r="F22" s="4563"/>
      <c r="G22" s="4563"/>
      <c r="H22" s="4563"/>
      <c r="I22" s="4563"/>
      <c r="J22" s="4563"/>
      <c r="O22" s="621">
        <f>ROW()</f>
        <v>22</v>
      </c>
    </row>
    <row r="23" spans="2:15" ht="15" customHeight="1">
      <c r="B23" s="4563"/>
      <c r="C23" s="4563"/>
      <c r="D23" s="4563"/>
      <c r="E23" s="4563"/>
      <c r="F23" s="4563"/>
      <c r="G23" s="4563"/>
      <c r="H23" s="4563"/>
      <c r="I23" s="4563"/>
      <c r="J23" s="4563"/>
      <c r="O23" s="621">
        <f>ROW()</f>
        <v>23</v>
      </c>
    </row>
    <row r="24" spans="2:15" ht="15" customHeight="1">
      <c r="B24" s="4563"/>
      <c r="C24" s="4563"/>
      <c r="D24" s="4563"/>
      <c r="E24" s="4563"/>
      <c r="F24" s="4563"/>
      <c r="G24" s="4563"/>
      <c r="H24" s="4563"/>
      <c r="I24" s="4563"/>
      <c r="J24" s="4563"/>
      <c r="O24" s="621">
        <f>ROW()</f>
        <v>24</v>
      </c>
    </row>
    <row r="25" spans="2:15" ht="15" customHeight="1">
      <c r="B25" s="3779"/>
      <c r="C25" s="3779"/>
      <c r="D25" s="3779"/>
      <c r="E25" s="3779"/>
      <c r="F25" s="3779"/>
      <c r="G25" s="3779"/>
      <c r="H25" s="3779"/>
      <c r="I25" s="3779"/>
      <c r="J25" s="3779"/>
      <c r="O25" s="621">
        <f>ROW()</f>
        <v>25</v>
      </c>
    </row>
    <row r="26" spans="2:15" ht="15" customHeight="1">
      <c r="O26" s="621">
        <f>ROW()</f>
        <v>26</v>
      </c>
    </row>
    <row r="27" spans="2:15" ht="15" customHeight="1">
      <c r="O27" s="621">
        <f>ROW()</f>
        <v>27</v>
      </c>
    </row>
    <row r="28" spans="2:15" ht="15" customHeight="1">
      <c r="B28" s="2" t="s">
        <v>6022</v>
      </c>
      <c r="C28" s="2338"/>
      <c r="D28" s="2338"/>
      <c r="E28" s="2338"/>
      <c r="F28" s="2338"/>
      <c r="G28" s="2338"/>
      <c r="H28" s="2338"/>
      <c r="I28" s="2338"/>
      <c r="O28" s="621">
        <f>ROW()</f>
        <v>28</v>
      </c>
    </row>
    <row r="29" spans="2:15" ht="15" customHeight="1">
      <c r="B29" s="2339"/>
      <c r="C29" s="2338"/>
      <c r="D29" s="2338"/>
      <c r="E29" s="2338"/>
      <c r="F29" s="2338"/>
      <c r="G29" s="2338"/>
      <c r="H29" s="2338"/>
      <c r="I29" s="2338"/>
      <c r="O29" s="621">
        <f>ROW()</f>
        <v>29</v>
      </c>
    </row>
    <row r="30" spans="2:15" ht="15" customHeight="1">
      <c r="B30" s="585" t="s">
        <v>3953</v>
      </c>
      <c r="C30" s="2338"/>
      <c r="D30" s="2338"/>
      <c r="E30" s="2338"/>
      <c r="F30" s="2338"/>
      <c r="G30" s="2338"/>
      <c r="H30" s="2338"/>
      <c r="I30" s="2338"/>
      <c r="J30" s="3448">
        <v>10</v>
      </c>
      <c r="O30" s="621">
        <f>ROW()</f>
        <v>30</v>
      </c>
    </row>
    <row r="31" spans="2:15" ht="15" customHeight="1">
      <c r="B31" s="265" t="s">
        <v>5193</v>
      </c>
      <c r="C31" s="2338"/>
      <c r="D31" s="2338"/>
      <c r="E31" s="2338"/>
      <c r="F31" s="2338"/>
      <c r="G31" s="2338"/>
      <c r="H31" s="2338"/>
      <c r="I31" s="2338"/>
      <c r="J31" s="2996"/>
      <c r="O31" s="621">
        <f>ROW()</f>
        <v>31</v>
      </c>
    </row>
    <row r="32" spans="2:15" ht="15" customHeight="1">
      <c r="B32" s="265"/>
      <c r="C32" s="2981"/>
      <c r="D32" s="2981"/>
      <c r="E32" s="2981"/>
      <c r="F32" s="2981"/>
      <c r="G32" s="2981"/>
      <c r="H32" s="2981"/>
      <c r="I32" s="2981"/>
      <c r="J32" s="2996"/>
      <c r="O32" s="621">
        <f>ROW()</f>
        <v>32</v>
      </c>
    </row>
    <row r="33" spans="2:15" ht="15" customHeight="1">
      <c r="B33" s="1" t="s">
        <v>5189</v>
      </c>
      <c r="C33" s="2338"/>
      <c r="D33" s="2338"/>
      <c r="E33" s="2338"/>
      <c r="F33" s="2338"/>
      <c r="G33" s="2338"/>
      <c r="H33" s="2338"/>
      <c r="I33" s="2338"/>
      <c r="J33" s="2997">
        <v>5</v>
      </c>
      <c r="O33" s="621">
        <f>ROW()</f>
        <v>33</v>
      </c>
    </row>
    <row r="34" spans="2:15" ht="15" customHeight="1">
      <c r="B34" s="265" t="s">
        <v>768</v>
      </c>
      <c r="C34" s="2338"/>
      <c r="D34" s="2338"/>
      <c r="E34" s="2338"/>
      <c r="F34" s="2338"/>
      <c r="G34" s="2338"/>
      <c r="H34" s="2338"/>
      <c r="I34" s="2338"/>
      <c r="J34" s="2339"/>
      <c r="O34" s="621">
        <f>ROW()</f>
        <v>34</v>
      </c>
    </row>
    <row r="35" spans="2:15" ht="15" customHeight="1">
      <c r="B35" s="585"/>
      <c r="C35" s="2338"/>
      <c r="D35" s="2338"/>
      <c r="E35" s="2338"/>
      <c r="F35" s="2338"/>
      <c r="G35" s="2338"/>
      <c r="H35" s="2338"/>
      <c r="I35" s="2338"/>
      <c r="J35" s="2339"/>
      <c r="O35" s="621">
        <f>ROW()</f>
        <v>35</v>
      </c>
    </row>
    <row r="36" spans="2:15" ht="15" customHeight="1">
      <c r="B36" s="2" t="s">
        <v>5190</v>
      </c>
      <c r="O36" s="621">
        <f>ROW()</f>
        <v>36</v>
      </c>
    </row>
    <row r="37" spans="2:15" ht="15" customHeight="1">
      <c r="O37" s="621">
        <f>ROW()</f>
        <v>37</v>
      </c>
    </row>
    <row r="38" spans="2:15" ht="15" customHeight="1">
      <c r="B38" s="1" t="s">
        <v>6025</v>
      </c>
      <c r="J38">
        <f>3/4</f>
        <v>0.75</v>
      </c>
      <c r="O38" s="621">
        <f>ROW()</f>
        <v>38</v>
      </c>
    </row>
    <row r="39" spans="2:15" ht="15" customHeight="1">
      <c r="B39" s="1" t="s">
        <v>3967</v>
      </c>
      <c r="J39">
        <f>J38</f>
        <v>0.75</v>
      </c>
      <c r="O39" s="621">
        <f>ROW()</f>
        <v>39</v>
      </c>
    </row>
    <row r="40" spans="2:15" ht="15" customHeight="1">
      <c r="B40" s="1" t="s">
        <v>6024</v>
      </c>
      <c r="J40" s="21">
        <f>0.5*AVERAGE(7.9,11.9)</f>
        <v>4.95</v>
      </c>
      <c r="O40" s="621">
        <f>ROW()</f>
        <v>40</v>
      </c>
    </row>
    <row r="41" spans="2:15" ht="15" customHeight="1">
      <c r="B41" s="3754" t="s">
        <v>6023</v>
      </c>
      <c r="C41" s="3659"/>
      <c r="D41" s="3659"/>
      <c r="E41" s="3659"/>
      <c r="F41" s="3659"/>
      <c r="G41" s="3659"/>
      <c r="H41" s="3659"/>
      <c r="I41" s="3659"/>
      <c r="J41" s="3659"/>
      <c r="O41" s="621">
        <f>ROW()</f>
        <v>41</v>
      </c>
    </row>
    <row r="42" spans="2:15" ht="15" customHeight="1">
      <c r="B42" s="3659"/>
      <c r="C42" s="3659"/>
      <c r="D42" s="3659"/>
      <c r="E42" s="3659"/>
      <c r="F42" s="3659"/>
      <c r="G42" s="3659"/>
      <c r="H42" s="3659"/>
      <c r="I42" s="3659"/>
      <c r="J42" s="3659"/>
      <c r="O42" s="621">
        <f>ROW()</f>
        <v>42</v>
      </c>
    </row>
    <row r="43" spans="2:15" ht="15" customHeight="1">
      <c r="B43" s="3659"/>
      <c r="C43" s="3659"/>
      <c r="D43" s="3659"/>
      <c r="E43" s="3659"/>
      <c r="F43" s="3659"/>
      <c r="G43" s="3659"/>
      <c r="H43" s="3659"/>
      <c r="I43" s="3659"/>
      <c r="J43" s="3659"/>
      <c r="O43" s="621">
        <f>ROW()</f>
        <v>43</v>
      </c>
    </row>
    <row r="44" spans="2:15" ht="15" customHeight="1">
      <c r="B44" s="3659"/>
      <c r="C44" s="3659"/>
      <c r="D44" s="3659"/>
      <c r="E44" s="3659"/>
      <c r="F44" s="3659"/>
      <c r="G44" s="3659"/>
      <c r="H44" s="3659"/>
      <c r="I44" s="3659"/>
      <c r="J44" s="3659"/>
      <c r="O44" s="621">
        <f>ROW()</f>
        <v>44</v>
      </c>
    </row>
    <row r="45" spans="2:15" ht="15" customHeight="1">
      <c r="B45" s="1" t="s">
        <v>4548</v>
      </c>
      <c r="J45">
        <v>15</v>
      </c>
      <c r="O45" s="621">
        <f>ROW()</f>
        <v>45</v>
      </c>
    </row>
    <row r="46" spans="2:15" ht="15" customHeight="1">
      <c r="B46" s="1" t="s">
        <v>3962</v>
      </c>
      <c r="J46" s="117">
        <f>(J40/60)*J45</f>
        <v>1.2375</v>
      </c>
      <c r="O46" s="621">
        <f>ROW()</f>
        <v>46</v>
      </c>
    </row>
    <row r="47" spans="2:15" ht="15" customHeight="1">
      <c r="B47" s="265" t="str">
        <f>CONCATENATE("Product of Rows ",O40, " and ",O45, ", divided by 60.")</f>
        <v>Product of Rows 40 and 45, divided by 60.</v>
      </c>
      <c r="O47" s="621">
        <f>ROW()</f>
        <v>47</v>
      </c>
    </row>
    <row r="48" spans="2:15" ht="15" customHeight="1">
      <c r="B48" s="1" t="s">
        <v>5194</v>
      </c>
      <c r="J48" s="2349">
        <f>'Value of Time'!$J63</f>
        <v>32.142110599078336</v>
      </c>
      <c r="O48" s="621">
        <f>ROW()</f>
        <v>48</v>
      </c>
    </row>
    <row r="49" spans="2:15" ht="15" customHeight="1">
      <c r="B49" s="1" t="s">
        <v>5195</v>
      </c>
      <c r="J49" s="2350">
        <f>'Value of Time'!$J101</f>
        <v>21.428073732718889</v>
      </c>
      <c r="O49" s="621">
        <f>ROW()</f>
        <v>49</v>
      </c>
    </row>
    <row r="50" spans="2:15" ht="15" customHeight="1">
      <c r="B50" s="265" t="str">
        <f>CONCATENATE("Both above figures are from 'Value of Time' worksheet, Rows ",'Value of Time'!O63, " and ",'Value of Time'!O101, ", and pertain to auto trips for work by solo drivers.")</f>
        <v>Both above figures are from 'Value of Time' worksheet, Rows 63 and 101, and pertain to auto trips for work by solo drivers.</v>
      </c>
      <c r="O50" s="621">
        <f>ROW()</f>
        <v>50</v>
      </c>
    </row>
    <row r="51" spans="2:15" ht="15" customHeight="1">
      <c r="B51" s="1" t="s">
        <v>6026</v>
      </c>
      <c r="J51" s="23">
        <v>0.25</v>
      </c>
      <c r="O51" s="621">
        <f>ROW()</f>
        <v>51</v>
      </c>
    </row>
    <row r="52" spans="2:15" ht="15" customHeight="1">
      <c r="B52" s="265" t="s">
        <v>3972</v>
      </c>
      <c r="O52" s="621">
        <f>ROW()</f>
        <v>52</v>
      </c>
    </row>
    <row r="53" spans="2:15" ht="15" customHeight="1">
      <c r="B53" s="1" t="s">
        <v>3974</v>
      </c>
      <c r="J53" s="2350">
        <f>J51*J48+(1-J51)*J49</f>
        <v>24.106582949308752</v>
      </c>
      <c r="O53" s="621">
        <f>ROW()</f>
        <v>53</v>
      </c>
    </row>
    <row r="54" spans="2:15" ht="15" customHeight="1">
      <c r="B54" s="265" t="str">
        <f>CONCATENATE("Simple math weighting on Rows ",O48, ", ",O49, " and ",O51, ".")</f>
        <v>Simple math weighting on Rows 48, 49 and 51.</v>
      </c>
      <c r="O54" s="621">
        <f>ROW()</f>
        <v>54</v>
      </c>
    </row>
    <row r="55" spans="2:15" ht="15" customHeight="1">
      <c r="O55" s="621">
        <f>ROW()</f>
        <v>55</v>
      </c>
    </row>
    <row r="56" spans="2:15" ht="15" customHeight="1">
      <c r="O56" s="621">
        <f>ROW()</f>
        <v>56</v>
      </c>
    </row>
    <row r="57" spans="2:15" ht="15" customHeight="1">
      <c r="B57" s="115" t="s">
        <v>5188</v>
      </c>
      <c r="O57" s="621">
        <f>ROW()</f>
        <v>57</v>
      </c>
    </row>
    <row r="58" spans="2:15" ht="15" customHeight="1">
      <c r="O58" s="621">
        <f>ROW()</f>
        <v>58</v>
      </c>
    </row>
    <row r="59" spans="2:15" ht="15" customHeight="1">
      <c r="B59" s="24" t="s">
        <v>1881</v>
      </c>
      <c r="O59" s="621">
        <f>ROW()</f>
        <v>59</v>
      </c>
    </row>
    <row r="60" spans="2:15" ht="15" customHeight="1">
      <c r="O60" s="621">
        <f>ROW()</f>
        <v>60</v>
      </c>
    </row>
    <row r="61" spans="2:15" ht="15" customHeight="1">
      <c r="B61" s="4824" t="s">
        <v>6027</v>
      </c>
      <c r="C61" s="4109"/>
      <c r="D61" s="4109"/>
      <c r="E61" s="4109"/>
      <c r="F61" s="4109"/>
      <c r="G61" s="4109"/>
      <c r="H61" s="4109"/>
      <c r="I61" s="4462"/>
      <c r="J61" s="4825">
        <f ca="1">L192/H192-1</f>
        <v>5.4897848020758255E-2</v>
      </c>
      <c r="L61" s="4824" t="s">
        <v>5234</v>
      </c>
      <c r="M61" s="4109"/>
      <c r="N61" s="4462"/>
      <c r="O61" s="621">
        <f>ROW()</f>
        <v>61</v>
      </c>
    </row>
    <row r="62" spans="2:15" ht="15" customHeight="1">
      <c r="B62" s="4110"/>
      <c r="C62" s="4111"/>
      <c r="D62" s="4111"/>
      <c r="E62" s="4111"/>
      <c r="F62" s="4111"/>
      <c r="G62" s="4111"/>
      <c r="H62" s="4111"/>
      <c r="I62" s="4463"/>
      <c r="J62" s="4827"/>
      <c r="L62" s="4110"/>
      <c r="M62" s="4111"/>
      <c r="N62" s="4463"/>
      <c r="O62" s="621">
        <f>ROW()</f>
        <v>62</v>
      </c>
    </row>
    <row r="63" spans="2:15" ht="15" customHeight="1">
      <c r="B63" s="4112"/>
      <c r="C63" s="4113"/>
      <c r="D63" s="4113"/>
      <c r="E63" s="4113"/>
      <c r="F63" s="4113"/>
      <c r="G63" s="4113"/>
      <c r="H63" s="4113"/>
      <c r="I63" s="4464"/>
      <c r="J63" s="4827"/>
      <c r="L63" s="4110"/>
      <c r="M63" s="4111"/>
      <c r="N63" s="4463"/>
      <c r="O63" s="621">
        <f>ROW()</f>
        <v>63</v>
      </c>
    </row>
    <row r="64" spans="2:15" ht="15" customHeight="1">
      <c r="L64" s="4110"/>
      <c r="M64" s="4111"/>
      <c r="N64" s="4463"/>
      <c r="O64" s="621">
        <f>ROW()</f>
        <v>64</v>
      </c>
    </row>
    <row r="65" spans="2:18" ht="15" customHeight="1">
      <c r="B65" s="4824" t="s">
        <v>6028</v>
      </c>
      <c r="C65" s="4109"/>
      <c r="D65" s="4109"/>
      <c r="E65" s="4109"/>
      <c r="F65" s="4109"/>
      <c r="G65" s="4109"/>
      <c r="H65" s="4109"/>
      <c r="I65" s="4462"/>
      <c r="J65" s="4825">
        <f ca="1">L201/H201-1</f>
        <v>5.5694801022574403E-2</v>
      </c>
      <c r="L65" s="4110"/>
      <c r="M65" s="4111"/>
      <c r="N65" s="4463"/>
      <c r="O65" s="621">
        <f>ROW()</f>
        <v>65</v>
      </c>
      <c r="R65" s="1766"/>
    </row>
    <row r="66" spans="2:18" ht="15" customHeight="1">
      <c r="B66" s="4110"/>
      <c r="C66" s="4111"/>
      <c r="D66" s="4111"/>
      <c r="E66" s="4111"/>
      <c r="F66" s="4111"/>
      <c r="G66" s="4111"/>
      <c r="H66" s="4111"/>
      <c r="I66" s="4463"/>
      <c r="J66" s="4827"/>
      <c r="L66" s="4110"/>
      <c r="M66" s="4111"/>
      <c r="N66" s="4463"/>
      <c r="O66" s="621">
        <f>ROW()</f>
        <v>66</v>
      </c>
    </row>
    <row r="67" spans="2:18" ht="15" customHeight="1">
      <c r="B67" s="4112"/>
      <c r="C67" s="4113"/>
      <c r="D67" s="4113"/>
      <c r="E67" s="4113"/>
      <c r="F67" s="4113"/>
      <c r="G67" s="4113"/>
      <c r="H67" s="4113"/>
      <c r="I67" s="4464"/>
      <c r="J67" s="4827"/>
      <c r="L67" s="4112"/>
      <c r="M67" s="4113"/>
      <c r="N67" s="4464"/>
      <c r="O67" s="621">
        <f>ROW()</f>
        <v>67</v>
      </c>
    </row>
    <row r="68" spans="2:18" ht="15" customHeight="1">
      <c r="B68" s="487"/>
      <c r="C68" s="487"/>
      <c r="D68" s="487"/>
      <c r="E68" s="487"/>
      <c r="F68" s="487"/>
      <c r="G68" s="487"/>
      <c r="H68" s="487"/>
      <c r="I68" s="487"/>
      <c r="O68" s="621">
        <f>ROW()</f>
        <v>68</v>
      </c>
    </row>
    <row r="69" spans="2:18" ht="15" customHeight="1">
      <c r="B69" s="4563" t="s">
        <v>5236</v>
      </c>
      <c r="C69" s="4563"/>
      <c r="D69" s="4563"/>
      <c r="E69" s="4563"/>
      <c r="F69" s="4563"/>
      <c r="G69" s="4563"/>
      <c r="H69" s="4563"/>
      <c r="I69" s="4563"/>
      <c r="J69" s="4563"/>
      <c r="O69" s="621">
        <f>ROW()</f>
        <v>69</v>
      </c>
    </row>
    <row r="70" spans="2:18" ht="15" customHeight="1">
      <c r="B70" s="4563"/>
      <c r="C70" s="4563"/>
      <c r="D70" s="4563"/>
      <c r="E70" s="4563"/>
      <c r="F70" s="4563"/>
      <c r="G70" s="4563"/>
      <c r="H70" s="4563"/>
      <c r="I70" s="4563"/>
      <c r="J70" s="4563"/>
      <c r="O70" s="621">
        <f>ROW()</f>
        <v>70</v>
      </c>
    </row>
    <row r="71" spans="2:18" ht="15" customHeight="1">
      <c r="B71" s="2998"/>
      <c r="C71" s="2998"/>
      <c r="D71" s="2998"/>
      <c r="E71" s="2998"/>
      <c r="F71" s="2998"/>
      <c r="G71" s="2998"/>
      <c r="H71" s="2998"/>
      <c r="I71" s="2998"/>
      <c r="J71" s="2998"/>
      <c r="O71" s="621">
        <f>ROW()</f>
        <v>71</v>
      </c>
    </row>
    <row r="72" spans="2:18" ht="15" customHeight="1">
      <c r="B72" s="24" t="s">
        <v>3973</v>
      </c>
      <c r="O72" s="621">
        <f>ROW()</f>
        <v>72</v>
      </c>
    </row>
    <row r="73" spans="2:18" ht="15" customHeight="1">
      <c r="F73" s="172"/>
      <c r="G73" s="172"/>
      <c r="H73" s="4819" t="s">
        <v>3942</v>
      </c>
      <c r="I73" s="4819"/>
      <c r="J73" s="4819"/>
      <c r="L73" s="4819" t="s">
        <v>3943</v>
      </c>
      <c r="M73" s="4819"/>
      <c r="N73" s="4819"/>
      <c r="O73" s="621">
        <f>ROW()</f>
        <v>73</v>
      </c>
      <c r="R73" s="2336"/>
    </row>
    <row r="74" spans="2:18" ht="15" customHeight="1">
      <c r="H74" s="3804" t="s">
        <v>6029</v>
      </c>
      <c r="I74" s="3804" t="s">
        <v>6030</v>
      </c>
      <c r="J74" s="3804" t="s">
        <v>6031</v>
      </c>
      <c r="L74" s="3804" t="s">
        <v>6029</v>
      </c>
      <c r="M74" s="3804" t="s">
        <v>6030</v>
      </c>
      <c r="N74" s="3804" t="s">
        <v>6031</v>
      </c>
      <c r="O74" s="621">
        <f>ROW()</f>
        <v>74</v>
      </c>
    </row>
    <row r="75" spans="2:18" ht="15" customHeight="1">
      <c r="B75" s="6"/>
      <c r="H75" s="3807"/>
      <c r="I75" s="3807"/>
      <c r="J75" s="3807"/>
      <c r="L75" s="3807"/>
      <c r="M75" s="3807"/>
      <c r="N75" s="3807"/>
      <c r="O75" s="621">
        <f>ROW()</f>
        <v>75</v>
      </c>
      <c r="R75" s="1892"/>
    </row>
    <row r="76" spans="2:18" ht="15" customHeight="1">
      <c r="B76" s="46" t="s">
        <v>3952</v>
      </c>
      <c r="O76" s="621">
        <f>ROW()</f>
        <v>76</v>
      </c>
    </row>
    <row r="77" spans="2:18" ht="15" customHeight="1">
      <c r="B77" s="46"/>
      <c r="O77" s="621">
        <f>ROW()</f>
        <v>77</v>
      </c>
    </row>
    <row r="78" spans="2:18" ht="15" customHeight="1">
      <c r="B78" s="2" t="s">
        <v>1675</v>
      </c>
      <c r="O78" s="621">
        <f>ROW()</f>
        <v>78</v>
      </c>
    </row>
    <row r="79" spans="2:18" ht="15" customHeight="1">
      <c r="B79" s="46"/>
      <c r="O79" s="621">
        <f>ROW()</f>
        <v>79</v>
      </c>
    </row>
    <row r="80" spans="2:18" ht="15" customHeight="1">
      <c r="B80" s="2" t="s">
        <v>5208</v>
      </c>
      <c r="O80" s="621">
        <f>ROW()</f>
        <v>80</v>
      </c>
    </row>
    <row r="81" spans="2:15" ht="15" customHeight="1">
      <c r="B81" s="1" t="s">
        <v>5191</v>
      </c>
      <c r="H81" s="2990">
        <f>J38*60/J96</f>
        <v>2.63595119845127</v>
      </c>
      <c r="I81" s="2990">
        <f>J39*60/J96</f>
        <v>2.63595119845127</v>
      </c>
      <c r="J81" s="2991">
        <v>0</v>
      </c>
      <c r="L81" s="2990">
        <f>H81*(1+L84)</f>
        <v>2.8995463182963972</v>
      </c>
      <c r="M81" s="2990">
        <f>I81*(1+M84)</f>
        <v>3.2949389980640875</v>
      </c>
      <c r="N81" s="2991">
        <f>J81*(1+N84)</f>
        <v>0</v>
      </c>
      <c r="O81" s="621">
        <f>ROW()</f>
        <v>81</v>
      </c>
    </row>
    <row r="82" spans="2:15" ht="15" customHeight="1">
      <c r="B82" s="3754" t="str">
        <f>CONCATENATE("Park-n-Ride Baseline figures apply distances in Rows ",O38, " or ",O39, " to 'All Drive' speed in Row ",O96, ". Note that both roughly match figure from WE ACT report, 'Congestion Pricing and Northern Manhattan', &lt;http://bit.ly/fqtZXs&gt;, p. 16. 'After' figures add factor equal to one plus percents in Row ",O84, ".")</f>
        <v>Park-n-Ride Baseline figures apply distances in Rows 38 or 39 to 'All Drive' speed in Row 96. Note that both roughly match figure from WE ACT report, 'Congestion Pricing and Northern Manhattan', &lt;http://bit.ly/fqtZXs&gt;, p. 16. 'After' figures add factor equal to one plus percents in Row 84.</v>
      </c>
      <c r="C82" s="3659"/>
      <c r="D82" s="3659"/>
      <c r="E82" s="3659"/>
      <c r="F82" s="3659"/>
      <c r="G82" s="3659"/>
      <c r="H82" s="3659"/>
      <c r="I82" s="3659"/>
      <c r="J82" s="3659"/>
      <c r="O82" s="621">
        <f>ROW()</f>
        <v>82</v>
      </c>
    </row>
    <row r="83" spans="2:15" ht="15" customHeight="1">
      <c r="B83" s="3659"/>
      <c r="C83" s="3659"/>
      <c r="D83" s="3659"/>
      <c r="E83" s="3659"/>
      <c r="F83" s="3659"/>
      <c r="G83" s="3659"/>
      <c r="H83" s="3659"/>
      <c r="I83" s="3659"/>
      <c r="J83" s="3659"/>
      <c r="O83" s="621">
        <f>ROW()</f>
        <v>83</v>
      </c>
    </row>
    <row r="84" spans="2:15" ht="15" customHeight="1">
      <c r="B84" s="1" t="s">
        <v>5230</v>
      </c>
      <c r="L84" s="23">
        <v>0.1</v>
      </c>
      <c r="M84" s="23">
        <v>0.25</v>
      </c>
      <c r="N84" s="23">
        <v>-0.1</v>
      </c>
      <c r="O84" s="621">
        <f>ROW()</f>
        <v>84</v>
      </c>
    </row>
    <row r="85" spans="2:15" ht="15" customHeight="1">
      <c r="B85" s="265" t="s">
        <v>6034</v>
      </c>
      <c r="O85" s="621">
        <f>ROW()</f>
        <v>85</v>
      </c>
    </row>
    <row r="86" spans="2:15" ht="15" customHeight="1">
      <c r="B86" s="1" t="s">
        <v>5235</v>
      </c>
      <c r="H86" s="2990">
        <v>2</v>
      </c>
      <c r="I86" s="2990">
        <f>J40</f>
        <v>4.95</v>
      </c>
      <c r="J86" s="2990">
        <v>0</v>
      </c>
      <c r="L86" s="2990">
        <f>H86*(1+L84)</f>
        <v>2.2000000000000002</v>
      </c>
      <c r="M86" s="2990">
        <f>I86*(1+M84)</f>
        <v>6.1875</v>
      </c>
      <c r="N86" s="2990">
        <f>J86</f>
        <v>0</v>
      </c>
      <c r="O86" s="621">
        <f>ROW()</f>
        <v>86</v>
      </c>
    </row>
    <row r="87" spans="2:15" ht="15" customHeight="1">
      <c r="B87" s="265" t="str">
        <f>CONCATENATE("Komanoff assumptions, except that 'On-street Baseline', which reflects cruising, is from Row ",O40, ". Park-n-Ride After figures incorporate percents in Row ",O84, ".")</f>
        <v>Komanoff assumptions, except that 'On-street Baseline', which reflects cruising, is from Row 40. Park-n-Ride After figures incorporate percents in Row 84.</v>
      </c>
      <c r="H87" s="21"/>
      <c r="I87" s="21"/>
      <c r="J87" s="21"/>
      <c r="L87" s="21"/>
      <c r="M87" s="21"/>
      <c r="N87" s="21"/>
      <c r="O87" s="621">
        <f>ROW()</f>
        <v>87</v>
      </c>
    </row>
    <row r="88" spans="2:15" ht="15" customHeight="1">
      <c r="B88" s="1" t="s">
        <v>5196</v>
      </c>
      <c r="H88" s="2990">
        <v>5</v>
      </c>
      <c r="I88" s="2990">
        <f>H88</f>
        <v>5</v>
      </c>
      <c r="J88" s="2990">
        <v>0</v>
      </c>
      <c r="L88" s="2990">
        <f>H88*(1+L84)</f>
        <v>5.5</v>
      </c>
      <c r="M88" s="2990">
        <f>I88*(1+M84)</f>
        <v>6.25</v>
      </c>
      <c r="N88" s="2990">
        <f>J88</f>
        <v>0</v>
      </c>
      <c r="O88" s="621">
        <f>ROW()</f>
        <v>88</v>
      </c>
    </row>
    <row r="89" spans="2:15" ht="15" customHeight="1">
      <c r="B89" s="3754" t="str">
        <f>CONCATENATE("Off-street Baseline is assumed to be 1/2 of that in WE ACT report cited in Row ",O82, ", p. 16. We assume On-street Baseline is same, though it could be greater if on-street parking is hard to find. 'After' figures add percents in Row ",O84, " on premise that competition moves parking further from subway.")</f>
        <v>Off-street Baseline is assumed to be 1/2 of that in WE ACT report cited in Row 82, p. 16. We assume On-street Baseline is same, though it could be greater if on-street parking is hard to find. 'After' figures add percents in Row 84 on premise that competition moves parking further from subway.</v>
      </c>
      <c r="C89" s="3659"/>
      <c r="D89" s="3659"/>
      <c r="E89" s="3659"/>
      <c r="F89" s="3659"/>
      <c r="G89" s="3659"/>
      <c r="H89" s="3659"/>
      <c r="I89" s="3659"/>
      <c r="J89" s="3659"/>
      <c r="O89" s="621">
        <f>ROW()</f>
        <v>89</v>
      </c>
    </row>
    <row r="90" spans="2:15" ht="15" customHeight="1">
      <c r="B90" s="3659"/>
      <c r="C90" s="3659"/>
      <c r="D90" s="3659"/>
      <c r="E90" s="3659"/>
      <c r="F90" s="3659"/>
      <c r="G90" s="3659"/>
      <c r="H90" s="3659"/>
      <c r="I90" s="3659"/>
      <c r="J90" s="3659"/>
      <c r="O90" s="621">
        <f>ROW()</f>
        <v>90</v>
      </c>
    </row>
    <row r="91" spans="2:15" ht="15" customHeight="1">
      <c r="B91" s="2" t="s">
        <v>5209</v>
      </c>
      <c r="C91" s="2978"/>
      <c r="D91" s="2978"/>
      <c r="E91" s="2978"/>
      <c r="F91" s="2978"/>
      <c r="G91" s="2978"/>
      <c r="H91" s="2978"/>
      <c r="I91" s="2978"/>
      <c r="J91" s="2978"/>
      <c r="O91" s="621">
        <f>ROW()</f>
        <v>91</v>
      </c>
    </row>
    <row r="92" spans="2:15" ht="15" customHeight="1">
      <c r="B92" s="1" t="s">
        <v>5197</v>
      </c>
      <c r="H92" s="2990">
        <v>5</v>
      </c>
      <c r="I92" s="2990">
        <f>H92</f>
        <v>5</v>
      </c>
      <c r="J92" s="2990">
        <v>0</v>
      </c>
      <c r="L92" s="2990">
        <f>H92/(1-Transit!$I$210)</f>
        <v>4.728439024970946</v>
      </c>
      <c r="M92" s="2990">
        <f>I92/(1-Transit!$I$210)</f>
        <v>4.728439024970946</v>
      </c>
      <c r="N92" s="2990">
        <f>J92</f>
        <v>0</v>
      </c>
      <c r="O92" s="621">
        <f>ROW()</f>
        <v>92</v>
      </c>
    </row>
    <row r="93" spans="2:15" ht="15" customHeight="1">
      <c r="B93" s="265" t="str">
        <f>CONCATENATE("Figures are intended to include interval from station entrance to platform. 'Park-n-Ride After' figures incorporate anticipated improvement in transit service from 'Transit' tab, Row ",Transit!O210, ".")</f>
        <v>Figures are intended to include interval from station entrance to platform. 'Park-n-Ride After' figures incorporate anticipated improvement in transit service from 'Transit' tab, Row 210.</v>
      </c>
      <c r="O93" s="621">
        <f>ROW()</f>
        <v>93</v>
      </c>
    </row>
    <row r="94" spans="2:15" ht="15" customHeight="1">
      <c r="B94" s="1" t="s">
        <v>5198</v>
      </c>
      <c r="H94" s="123">
        <f>$J$33</f>
        <v>5</v>
      </c>
      <c r="I94" s="123">
        <f>$J$33</f>
        <v>5</v>
      </c>
      <c r="J94" s="123">
        <f>$J$33</f>
        <v>5</v>
      </c>
      <c r="L94">
        <f>H94</f>
        <v>5</v>
      </c>
      <c r="M94">
        <f>I94</f>
        <v>5</v>
      </c>
      <c r="N94">
        <f>J94</f>
        <v>5</v>
      </c>
      <c r="O94" s="621">
        <f>ROW()</f>
        <v>94</v>
      </c>
    </row>
    <row r="95" spans="2:15" ht="15" customHeight="1">
      <c r="B95" s="265" t="str">
        <f>CONCATENATE("From Row ",O33, " above.")</f>
        <v>From Row 33 above.</v>
      </c>
      <c r="H95" s="4820" t="s">
        <v>5199</v>
      </c>
      <c r="I95" s="4821"/>
      <c r="J95" s="2988" t="s">
        <v>5200</v>
      </c>
      <c r="L95" s="4820" t="s">
        <v>5199</v>
      </c>
      <c r="M95" s="4821"/>
      <c r="N95" s="2988" t="s">
        <v>5200</v>
      </c>
      <c r="O95" s="621">
        <f>ROW()</f>
        <v>95</v>
      </c>
    </row>
    <row r="96" spans="2:15" ht="15" customHeight="1">
      <c r="B96" s="1" t="s">
        <v>3968</v>
      </c>
      <c r="H96" s="2986">
        <f>Transit!$J125</f>
        <v>21.895068239012883</v>
      </c>
      <c r="I96" s="2987">
        <f>Transit!$J125</f>
        <v>21.895068239012883</v>
      </c>
      <c r="J96" s="2989">
        <f>'Motor Vs'!I200</f>
        <v>17.071636237590194</v>
      </c>
      <c r="L96" s="2986">
        <f>H96/(1+Transit!$I$210)</f>
        <v>23.229151427443746</v>
      </c>
      <c r="M96" s="2986">
        <f>I96/(1+Transit!$I$210)</f>
        <v>23.229151427443746</v>
      </c>
      <c r="N96" s="2989">
        <f ca="1">'Motor Vs'!I870</f>
        <v>18.264843405236153</v>
      </c>
      <c r="O96" s="621">
        <f>ROW()</f>
        <v>96</v>
      </c>
    </row>
    <row r="97" spans="2:15" ht="15" customHeight="1">
      <c r="B97" s="3754" t="str">
        <f>CONCATENATE("Baseline Park-n-Ride is systemwide average, from 'Transit' worksheet, Row ",Transit!O$125, ". After Park-n-Ride is Before figure divided by complement of subway-average time saving percent estimated in 'Transit' worksheet, Row ",Transit!O210, ". Baseline All Drive is baseline speed for A.M. Peak from 'Motor Vs' worksheet, Row ",'Motor Vs'!O$200, ". After All Drive is final speed for A.M. Peak from same worksheet, Row ",'Motor Vs'!O870, ".")</f>
        <v>Baseline Park-n-Ride is systemwide average, from 'Transit' worksheet, Row 125. After Park-n-Ride is Before figure divided by complement of subway-average time saving percent estimated in 'Transit' worksheet, Row 210. Baseline All Drive is baseline speed for A.M. Peak from 'Motor Vs' worksheet, Row 200. After All Drive is final speed for A.M. Peak from same worksheet, Row 870.</v>
      </c>
      <c r="C97" s="3659"/>
      <c r="D97" s="3659"/>
      <c r="E97" s="3659"/>
      <c r="F97" s="3659"/>
      <c r="G97" s="3659"/>
      <c r="H97" s="3659"/>
      <c r="I97" s="3659"/>
      <c r="J97" s="3659"/>
      <c r="O97" s="621">
        <f>ROW()</f>
        <v>97</v>
      </c>
    </row>
    <row r="98" spans="2:15" ht="15" customHeight="1">
      <c r="B98" s="3659"/>
      <c r="C98" s="3659"/>
      <c r="D98" s="3659"/>
      <c r="E98" s="3659"/>
      <c r="F98" s="3659"/>
      <c r="G98" s="3659"/>
      <c r="H98" s="3659"/>
      <c r="I98" s="3659"/>
      <c r="J98" s="3659"/>
      <c r="O98" s="621">
        <f>ROW()</f>
        <v>98</v>
      </c>
    </row>
    <row r="99" spans="2:15" ht="15" customHeight="1">
      <c r="B99" s="3659"/>
      <c r="C99" s="3659"/>
      <c r="D99" s="3659"/>
      <c r="E99" s="3659"/>
      <c r="F99" s="3659"/>
      <c r="G99" s="3659"/>
      <c r="H99" s="3659"/>
      <c r="I99" s="3659"/>
      <c r="J99" s="3659"/>
      <c r="O99" s="621">
        <f>ROW()</f>
        <v>99</v>
      </c>
    </row>
    <row r="100" spans="2:15" ht="15" customHeight="1">
      <c r="B100" s="1" t="s">
        <v>5223</v>
      </c>
      <c r="C100" s="2335"/>
      <c r="D100" s="2335"/>
      <c r="E100" s="2337"/>
      <c r="F100" s="2335"/>
      <c r="G100" s="2337"/>
      <c r="H100" s="2990">
        <f>H94*60/H96</f>
        <v>13.701715688899137</v>
      </c>
      <c r="I100" s="2990">
        <f>I94*60/I96</f>
        <v>13.701715688899137</v>
      </c>
      <c r="J100" s="2990">
        <f>J94*60/J96</f>
        <v>17.573007989675133</v>
      </c>
      <c r="L100" s="2990">
        <f>L94*60/L96</f>
        <v>12.914806678885796</v>
      </c>
      <c r="M100" s="2990">
        <f>M94*60/M96</f>
        <v>12.914806678885796</v>
      </c>
      <c r="N100" s="2990">
        <f ca="1">N94*60/N96</f>
        <v>16.424997102028051</v>
      </c>
      <c r="O100" s="621">
        <f>ROW()</f>
        <v>100</v>
      </c>
    </row>
    <row r="101" spans="2:15" ht="15" customHeight="1">
      <c r="B101" s="265" t="str">
        <f>CONCATENATE("Algebra on Rows ",O94, " and ",O96, ".")</f>
        <v>Algebra on Rows 94 and 96.</v>
      </c>
      <c r="C101" s="2335"/>
      <c r="D101" s="2335"/>
      <c r="E101" s="2337"/>
      <c r="F101" s="2335"/>
      <c r="G101" s="2337"/>
      <c r="H101" s="21"/>
      <c r="J101" s="21"/>
      <c r="L101" s="2335"/>
      <c r="M101" s="2335"/>
      <c r="N101" s="2335"/>
      <c r="O101" s="621">
        <f>ROW()</f>
        <v>101</v>
      </c>
    </row>
    <row r="102" spans="2:15" ht="15" customHeight="1">
      <c r="B102" s="2" t="s">
        <v>5210</v>
      </c>
      <c r="C102" s="2978"/>
      <c r="D102" s="2978"/>
      <c r="E102" s="2978"/>
      <c r="F102" s="2978"/>
      <c r="G102" s="2978"/>
      <c r="H102" s="21"/>
      <c r="J102" s="21"/>
      <c r="L102" s="2978"/>
      <c r="M102" s="2978"/>
      <c r="N102" s="2978"/>
      <c r="O102" s="621">
        <f>ROW()</f>
        <v>102</v>
      </c>
    </row>
    <row r="103" spans="2:15" ht="15" customHeight="1">
      <c r="B103" s="1" t="s">
        <v>3969</v>
      </c>
      <c r="C103" s="2335"/>
      <c r="D103" s="2335"/>
      <c r="E103" s="2337"/>
      <c r="F103" s="2335"/>
      <c r="G103" s="2337"/>
      <c r="H103" s="117">
        <f>'Motor Vs'!$I85</f>
        <v>1.25</v>
      </c>
      <c r="I103" s="117">
        <f>'Motor Vs'!$I85</f>
        <v>1.25</v>
      </c>
      <c r="J103" s="117">
        <f>'Motor Vs'!$I85</f>
        <v>1.25</v>
      </c>
      <c r="L103" s="117">
        <f>H103</f>
        <v>1.25</v>
      </c>
      <c r="M103" s="117">
        <f>I103</f>
        <v>1.25</v>
      </c>
      <c r="N103" s="117">
        <f>J103</f>
        <v>1.25</v>
      </c>
      <c r="O103" s="621">
        <f>ROW()</f>
        <v>103</v>
      </c>
    </row>
    <row r="104" spans="2:15" ht="15" customHeight="1">
      <c r="B104" s="265" t="str">
        <f>CONCATENATE("From 'Motor Vs' worksheet, Row ",'Motor Vs'!O85, ".")</f>
        <v>From 'Motor Vs' worksheet, Row 85.</v>
      </c>
      <c r="C104" s="2335"/>
      <c r="D104" s="2335"/>
      <c r="E104" s="2337"/>
      <c r="F104" s="2335"/>
      <c r="G104" s="2337"/>
      <c r="H104" s="4820" t="s">
        <v>5199</v>
      </c>
      <c r="I104" s="4821"/>
      <c r="J104" s="2988" t="s">
        <v>5200</v>
      </c>
      <c r="L104" s="4820" t="s">
        <v>5199</v>
      </c>
      <c r="M104" s="4821"/>
      <c r="N104" s="2988" t="s">
        <v>5200</v>
      </c>
      <c r="O104" s="621">
        <f>ROW()</f>
        <v>104</v>
      </c>
    </row>
    <row r="105" spans="2:15" ht="15" customHeight="1">
      <c r="B105" s="1" t="s">
        <v>3968</v>
      </c>
      <c r="C105" s="2335"/>
      <c r="D105" s="2335"/>
      <c r="E105" s="2337"/>
      <c r="F105" s="2335"/>
      <c r="G105" s="2337"/>
      <c r="H105" s="2986">
        <f>Transit!$J125</f>
        <v>21.895068239012883</v>
      </c>
      <c r="I105" s="2987">
        <f>Transit!$J125</f>
        <v>21.895068239012883</v>
      </c>
      <c r="J105" s="2989">
        <f>'Motor Vs'!I184</f>
        <v>9.18464960823135</v>
      </c>
      <c r="L105" s="2986">
        <f>H105/(1+Transit!$I$210)</f>
        <v>23.229151427443746</v>
      </c>
      <c r="M105" s="2986">
        <f>I105/(1+Transit!$I$210)</f>
        <v>23.229151427443746</v>
      </c>
      <c r="N105" s="2989">
        <f ca="1">'Motor Vs'!I869</f>
        <v>10.964902053667959</v>
      </c>
      <c r="O105" s="621">
        <f>ROW()</f>
        <v>105</v>
      </c>
    </row>
    <row r="106" spans="2:15" ht="15" customHeight="1">
      <c r="B106" s="3754" t="str">
        <f>CONCATENATE("Baseline: Park-n-Ride is systemwide average, from 'Transit' worksheet, Row ",Transit!O$396, ". All Drive is baseline speed for A.M. Peak from 'Motor Vs' worksheet, Row ",'Motor Vs'!O$184, ". All Drive, after, is final speed for A.M. Peak from same worksheet, Row ",'Motor Vs'!O869, ".")</f>
        <v>Baseline: Park-n-Ride is systemwide average, from 'Transit' worksheet, Row 396. All Drive is baseline speed for A.M. Peak from 'Motor Vs' worksheet, Row 184. All Drive, after, is final speed for A.M. Peak from same worksheet, Row 869.</v>
      </c>
      <c r="C106" s="3659"/>
      <c r="D106" s="3659"/>
      <c r="E106" s="3659"/>
      <c r="F106" s="3659"/>
      <c r="G106" s="3659"/>
      <c r="H106" s="3659"/>
      <c r="I106" s="3659"/>
      <c r="J106" s="3659"/>
      <c r="O106" s="621">
        <f>ROW()</f>
        <v>106</v>
      </c>
    </row>
    <row r="107" spans="2:15" ht="15" customHeight="1">
      <c r="B107" s="3659"/>
      <c r="C107" s="3659"/>
      <c r="D107" s="3659"/>
      <c r="E107" s="3659"/>
      <c r="F107" s="3659"/>
      <c r="G107" s="3659"/>
      <c r="H107" s="3659"/>
      <c r="I107" s="3659"/>
      <c r="J107" s="3659"/>
      <c r="O107" s="621">
        <f>ROW()</f>
        <v>107</v>
      </c>
    </row>
    <row r="108" spans="2:15" ht="15" customHeight="1">
      <c r="B108" s="1" t="s">
        <v>5201</v>
      </c>
      <c r="C108" s="2335"/>
      <c r="D108" s="2335"/>
      <c r="E108" s="2337"/>
      <c r="F108" s="2335"/>
      <c r="G108" s="2337"/>
      <c r="H108" s="2990">
        <f>H103*60/H105</f>
        <v>3.4254289222247842</v>
      </c>
      <c r="I108" s="2990">
        <f>I103*60/I105</f>
        <v>3.4254289222247842</v>
      </c>
      <c r="J108" s="2990">
        <f>J103*60/J105</f>
        <v>8.1657987184164824</v>
      </c>
      <c r="L108" s="2990">
        <f>L103*60/L105</f>
        <v>3.228701669721449</v>
      </c>
      <c r="M108" s="2990">
        <f>M103*60/M105</f>
        <v>3.228701669721449</v>
      </c>
      <c r="N108" s="2990">
        <f ca="1">N103*60/N105</f>
        <v>6.8400063797114479</v>
      </c>
      <c r="O108" s="621">
        <f>ROW()</f>
        <v>108</v>
      </c>
    </row>
    <row r="109" spans="2:15" ht="15" customHeight="1">
      <c r="B109" s="265" t="str">
        <f>CONCATENATE("Algebra on Rows ",O103, " and ",O105, ".")</f>
        <v>Algebra on Rows 103 and 105.</v>
      </c>
      <c r="C109" s="2335"/>
      <c r="D109" s="2335"/>
      <c r="E109" s="2337"/>
      <c r="F109" s="2335"/>
      <c r="G109" s="2337"/>
      <c r="H109" s="21"/>
      <c r="J109" s="21"/>
      <c r="L109" s="2335"/>
      <c r="M109" s="2335"/>
      <c r="N109" s="2335"/>
      <c r="O109" s="621">
        <f>ROW()</f>
        <v>109</v>
      </c>
    </row>
    <row r="110" spans="2:15" ht="15" customHeight="1">
      <c r="B110" s="1" t="s">
        <v>5224</v>
      </c>
      <c r="C110" s="2978"/>
      <c r="D110" s="2978"/>
      <c r="E110" s="2978"/>
      <c r="F110" s="2978"/>
      <c r="G110" s="2978"/>
      <c r="H110" s="2990">
        <v>0</v>
      </c>
      <c r="I110" s="2990">
        <v>0</v>
      </c>
      <c r="J110" s="2990">
        <v>2</v>
      </c>
      <c r="K110" s="21"/>
      <c r="L110" s="2990">
        <f>H110</f>
        <v>0</v>
      </c>
      <c r="M110" s="2990">
        <f>I110</f>
        <v>0</v>
      </c>
      <c r="N110" s="2990">
        <f>J110*(1+$N$84)</f>
        <v>1.8</v>
      </c>
      <c r="O110" s="621">
        <f>ROW()</f>
        <v>110</v>
      </c>
    </row>
    <row r="111" spans="2:15" ht="15" customHeight="1">
      <c r="B111" s="265" t="str">
        <f>CONCATENATE("Baseline All-Drive is Komanoff assumption. After All-Drive incorporates Row ",O84, " change reflecting less competition for off-street CBD parking.")</f>
        <v>Baseline All-Drive is Komanoff assumption. After All-Drive incorporates Row 84 change reflecting less competition for off-street CBD parking.</v>
      </c>
      <c r="C111" s="2978"/>
      <c r="D111" s="2978"/>
      <c r="E111" s="2978"/>
      <c r="F111" s="2978"/>
      <c r="G111" s="2978"/>
      <c r="H111" s="21"/>
      <c r="I111" s="21"/>
      <c r="J111" s="21"/>
      <c r="K111" s="21"/>
      <c r="L111" s="3449"/>
      <c r="M111" s="3449"/>
      <c r="N111" s="3449"/>
      <c r="O111" s="621">
        <f>ROW()</f>
        <v>111</v>
      </c>
    </row>
    <row r="112" spans="2:15" ht="15" customHeight="1">
      <c r="B112" s="1" t="s">
        <v>5202</v>
      </c>
      <c r="C112" s="2335"/>
      <c r="D112" s="2335"/>
      <c r="E112" s="2337"/>
      <c r="F112" s="2335"/>
      <c r="G112" s="2337"/>
      <c r="H112" s="2990">
        <v>5</v>
      </c>
      <c r="I112" s="2990">
        <v>5</v>
      </c>
      <c r="J112" s="2990">
        <f>H112/2</f>
        <v>2.5</v>
      </c>
      <c r="K112" s="21"/>
      <c r="L112" s="2990">
        <f>H112</f>
        <v>5</v>
      </c>
      <c r="M112" s="2990">
        <f>I112</f>
        <v>5</v>
      </c>
      <c r="N112" s="2990">
        <f>J112</f>
        <v>2.5</v>
      </c>
      <c r="O112" s="621">
        <f>ROW()</f>
        <v>112</v>
      </c>
    </row>
    <row r="113" spans="2:15" ht="15" customHeight="1">
      <c r="B113" s="265" t="s">
        <v>3945</v>
      </c>
      <c r="C113" s="2337"/>
      <c r="D113" s="2337"/>
      <c r="E113" s="2337"/>
      <c r="F113" s="2337"/>
      <c r="G113" s="2337"/>
      <c r="L113" s="2337"/>
      <c r="M113" s="2337"/>
      <c r="N113" s="2337"/>
      <c r="O113" s="621">
        <f>ROW()</f>
        <v>113</v>
      </c>
    </row>
    <row r="114" spans="2:15" s="2" customFormat="1" ht="15" customHeight="1">
      <c r="B114" s="2" t="s">
        <v>5211</v>
      </c>
      <c r="C114" s="2979"/>
      <c r="D114" s="2979"/>
      <c r="E114" s="2979"/>
      <c r="F114" s="2979"/>
      <c r="G114" s="2979"/>
      <c r="H114" s="2992">
        <f>H81+H86+H88+H92+H100+H108+H110+H112</f>
        <v>36.763095809575191</v>
      </c>
      <c r="I114" s="2993">
        <f>I81+I86+I88+I92+I100+I108+I110+I112</f>
        <v>39.713095809575186</v>
      </c>
      <c r="J114" s="2993">
        <f>J81+J86+J88+J92+J100+J108+J110+J112</f>
        <v>30.238806708091616</v>
      </c>
      <c r="K114" s="173"/>
      <c r="L114" s="2993">
        <f>L81+L86+L88+L92+L100+L108+L110+L112</f>
        <v>36.471493691874585</v>
      </c>
      <c r="M114" s="2993">
        <f>M81+M86+M88+M92+M100+M108+M110+M112</f>
        <v>41.604386371642278</v>
      </c>
      <c r="N114" s="2994">
        <f ca="1">N81+N86+N88+N92+N100+N108+N110+N112</f>
        <v>27.565003481739499</v>
      </c>
      <c r="O114" s="621">
        <f>ROW()</f>
        <v>114</v>
      </c>
    </row>
    <row r="115" spans="2:15" ht="15" customHeight="1">
      <c r="B115" s="265" t="str">
        <f>CONCATENATE("Total time for this leg of journey (following highway 'exit point'; one way). Is sum of 8 different 'time' entries between Rows ",O80, " and ",O114, ".")</f>
        <v>Total time for this leg of journey (following highway 'exit point'; one way). Is sum of 8 different 'time' entries between Rows 80 and 114.</v>
      </c>
      <c r="C115" s="2335"/>
      <c r="D115" s="2335"/>
      <c r="E115" s="2337"/>
      <c r="F115" s="2335"/>
      <c r="G115" s="2337"/>
      <c r="O115" s="621">
        <f>ROW()</f>
        <v>115</v>
      </c>
    </row>
    <row r="116" spans="2:15" ht="15" customHeight="1">
      <c r="B116" s="265"/>
      <c r="C116" s="2337"/>
      <c r="D116" s="2337"/>
      <c r="E116" s="2337"/>
      <c r="F116" s="2337"/>
      <c r="G116" s="2337"/>
      <c r="H116" s="21"/>
      <c r="I116" s="21"/>
      <c r="J116" s="21"/>
      <c r="K116" s="2337"/>
      <c r="L116" s="2337"/>
      <c r="M116" s="2337"/>
      <c r="N116" s="2337"/>
      <c r="O116" s="621">
        <f>ROW()</f>
        <v>116</v>
      </c>
    </row>
    <row r="117" spans="2:15" ht="15" customHeight="1">
      <c r="B117" s="265"/>
      <c r="C117" s="2978"/>
      <c r="D117" s="2978"/>
      <c r="E117" s="2978"/>
      <c r="F117" s="2978"/>
      <c r="G117" s="2978"/>
      <c r="H117" s="4819" t="s">
        <v>3942</v>
      </c>
      <c r="I117" s="4819"/>
      <c r="J117" s="4819"/>
      <c r="K117" s="3445"/>
      <c r="L117" s="4819" t="s">
        <v>3943</v>
      </c>
      <c r="M117" s="4819"/>
      <c r="N117" s="4819"/>
      <c r="O117" s="621">
        <f>ROW()</f>
        <v>117</v>
      </c>
    </row>
    <row r="118" spans="2:15" ht="15" customHeight="1">
      <c r="B118" s="265"/>
      <c r="C118" s="2978"/>
      <c r="D118" s="2978"/>
      <c r="E118" s="2978"/>
      <c r="F118" s="2978"/>
      <c r="G118" s="2978"/>
      <c r="H118" s="3804" t="s">
        <v>6029</v>
      </c>
      <c r="I118" s="3804" t="s">
        <v>6030</v>
      </c>
      <c r="J118" s="3804" t="s">
        <v>6031</v>
      </c>
      <c r="K118" s="3445"/>
      <c r="L118" s="3804" t="s">
        <v>6029</v>
      </c>
      <c r="M118" s="3804" t="s">
        <v>6030</v>
      </c>
      <c r="N118" s="3804" t="s">
        <v>6031</v>
      </c>
      <c r="O118" s="621">
        <f>ROW()</f>
        <v>118</v>
      </c>
    </row>
    <row r="119" spans="2:15" ht="15" customHeight="1">
      <c r="B119" s="4562" t="s">
        <v>5205</v>
      </c>
      <c r="C119" s="3779"/>
      <c r="D119" s="3779"/>
      <c r="E119" s="3779"/>
      <c r="F119" s="3779"/>
      <c r="G119" s="3779"/>
      <c r="H119" s="3807"/>
      <c r="I119" s="3807"/>
      <c r="J119" s="3807"/>
      <c r="K119" s="3445"/>
      <c r="L119" s="3807"/>
      <c r="M119" s="3807"/>
      <c r="N119" s="3807"/>
      <c r="O119" s="621">
        <f>ROW()</f>
        <v>119</v>
      </c>
    </row>
    <row r="120" spans="2:15" ht="15" customHeight="1">
      <c r="B120" s="3779"/>
      <c r="C120" s="3779"/>
      <c r="D120" s="3779"/>
      <c r="E120" s="3779"/>
      <c r="F120" s="3779"/>
      <c r="G120" s="3779"/>
      <c r="H120" s="21"/>
      <c r="I120" s="21"/>
      <c r="J120" s="21"/>
      <c r="K120" s="2978"/>
      <c r="L120" s="2978"/>
      <c r="M120" s="2978"/>
      <c r="N120" s="2978"/>
      <c r="O120" s="621">
        <f>ROW()</f>
        <v>120</v>
      </c>
    </row>
    <row r="121" spans="2:15" ht="15" customHeight="1">
      <c r="B121" s="265"/>
      <c r="C121" s="2978"/>
      <c r="D121" s="2978"/>
      <c r="E121" s="2978"/>
      <c r="F121" s="2978"/>
      <c r="G121" s="2978"/>
      <c r="H121" s="21"/>
      <c r="I121" s="21"/>
      <c r="J121" s="21"/>
      <c r="K121" s="2978"/>
      <c r="L121" s="2978"/>
      <c r="M121" s="2978"/>
      <c r="N121" s="2978"/>
      <c r="O121" s="621">
        <f>ROW()</f>
        <v>121</v>
      </c>
    </row>
    <row r="122" spans="2:15" ht="15" customHeight="1">
      <c r="B122" s="2" t="s">
        <v>5217</v>
      </c>
      <c r="C122" s="2978"/>
      <c r="D122" s="2978"/>
      <c r="E122" s="2978"/>
      <c r="F122" s="2978"/>
      <c r="G122" s="2978"/>
      <c r="H122" s="21"/>
      <c r="I122" s="21"/>
      <c r="J122" s="21"/>
      <c r="K122" s="2978"/>
      <c r="L122" s="2978"/>
      <c r="M122" s="2978"/>
      <c r="N122" s="2978"/>
      <c r="O122" s="621">
        <f>ROW()</f>
        <v>122</v>
      </c>
    </row>
    <row r="123" spans="2:15" ht="15" customHeight="1">
      <c r="B123" s="1" t="s">
        <v>5204</v>
      </c>
      <c r="C123" s="2978"/>
      <c r="D123" s="2978"/>
      <c r="E123" s="2978"/>
      <c r="F123" s="2978"/>
      <c r="G123" s="2978"/>
      <c r="H123" s="2990">
        <f>H112</f>
        <v>5</v>
      </c>
      <c r="I123" s="2990">
        <f>I112</f>
        <v>5</v>
      </c>
      <c r="J123" s="2990">
        <f>J112</f>
        <v>2.5</v>
      </c>
      <c r="K123" s="3449"/>
      <c r="L123" s="2990">
        <f>L112</f>
        <v>5</v>
      </c>
      <c r="M123" s="2990">
        <f>M112</f>
        <v>5</v>
      </c>
      <c r="N123" s="2990">
        <f>N112</f>
        <v>2.5</v>
      </c>
      <c r="O123" s="621">
        <f>ROW()</f>
        <v>123</v>
      </c>
    </row>
    <row r="124" spans="2:15" ht="15" customHeight="1">
      <c r="B124" s="1" t="s">
        <v>5218</v>
      </c>
      <c r="C124" s="2978"/>
      <c r="D124" s="2978"/>
      <c r="E124" s="2978"/>
      <c r="F124" s="2978"/>
      <c r="G124" s="2978"/>
      <c r="H124" s="2990">
        <v>0</v>
      </c>
      <c r="I124" s="2990">
        <v>0</v>
      </c>
      <c r="J124" s="2990">
        <f>J110</f>
        <v>2</v>
      </c>
      <c r="K124" s="3449"/>
      <c r="L124" s="2990">
        <v>0</v>
      </c>
      <c r="M124" s="2990">
        <v>0</v>
      </c>
      <c r="N124" s="2990">
        <f>N110</f>
        <v>1.8</v>
      </c>
      <c r="O124" s="621">
        <f>ROW()</f>
        <v>124</v>
      </c>
    </row>
    <row r="125" spans="2:15" ht="15" customHeight="1">
      <c r="B125" s="1" t="s">
        <v>5216</v>
      </c>
      <c r="C125" s="2978"/>
      <c r="D125" s="2978"/>
      <c r="E125" s="2978"/>
      <c r="F125" s="2978"/>
      <c r="G125" s="2978"/>
      <c r="H125" s="2990">
        <f>H92</f>
        <v>5</v>
      </c>
      <c r="I125" s="2990">
        <f>I92</f>
        <v>5</v>
      </c>
      <c r="J125" s="2990">
        <f>J92</f>
        <v>0</v>
      </c>
      <c r="K125" s="3449"/>
      <c r="L125" s="2990">
        <f>L92</f>
        <v>4.728439024970946</v>
      </c>
      <c r="M125" s="2990">
        <f>M92</f>
        <v>4.728439024970946</v>
      </c>
      <c r="N125" s="2990">
        <f>N92</f>
        <v>0</v>
      </c>
      <c r="O125" s="621">
        <f>ROW()</f>
        <v>125</v>
      </c>
    </row>
    <row r="126" spans="2:15" ht="15" customHeight="1">
      <c r="B126" s="1" t="s">
        <v>5207</v>
      </c>
      <c r="C126" s="2978"/>
      <c r="D126" s="2978"/>
      <c r="E126" s="2978"/>
      <c r="F126" s="2978"/>
      <c r="G126" s="2978"/>
      <c r="H126" s="117">
        <f>H103</f>
        <v>1.25</v>
      </c>
      <c r="I126" s="117">
        <f>I103</f>
        <v>1.25</v>
      </c>
      <c r="J126" s="117">
        <f>J103</f>
        <v>1.25</v>
      </c>
      <c r="K126" s="2978"/>
      <c r="L126" s="117">
        <f>L103</f>
        <v>1.25</v>
      </c>
      <c r="M126" s="117">
        <f>M103</f>
        <v>1.25</v>
      </c>
      <c r="N126" s="117">
        <f>N103</f>
        <v>1.25</v>
      </c>
      <c r="O126" s="621">
        <f>ROW()</f>
        <v>126</v>
      </c>
    </row>
    <row r="127" spans="2:15" ht="15" customHeight="1">
      <c r="B127" s="1" t="str">
        <f>CONCATENATE("Speed to cover distance, mph (same as Row ",O105, " except auto speeds are p.m. peak)")</f>
        <v>Speed to cover distance, mph (same as Row 105 except auto speeds are p.m. peak)</v>
      </c>
      <c r="C127" s="2978"/>
      <c r="D127" s="2978"/>
      <c r="E127" s="2978"/>
      <c r="F127" s="2978"/>
      <c r="G127" s="2978"/>
      <c r="H127" s="21">
        <f>Transit!$J$125</f>
        <v>21.895068239012883</v>
      </c>
      <c r="I127" s="21">
        <f>Transit!$J125</f>
        <v>21.895068239012883</v>
      </c>
      <c r="J127" s="21">
        <f>'Motor Vs'!L184</f>
        <v>8.1810393307876197</v>
      </c>
      <c r="K127" s="2978"/>
      <c r="L127" s="21">
        <f>H105/(1+Transit!$I$210)</f>
        <v>23.229151427443746</v>
      </c>
      <c r="M127" s="21">
        <f>I105/(1+Transit!$I$210)</f>
        <v>23.229151427443746</v>
      </c>
      <c r="N127" s="21">
        <f ca="1">'Motor Vs'!L869</f>
        <v>9.890240850748194</v>
      </c>
      <c r="O127" s="621">
        <f>ROW()</f>
        <v>127</v>
      </c>
    </row>
    <row r="128" spans="2:15" ht="15" customHeight="1">
      <c r="B128" s="1" t="s">
        <v>5206</v>
      </c>
      <c r="C128" s="2978"/>
      <c r="D128" s="2978"/>
      <c r="E128" s="2978"/>
      <c r="F128" s="2978"/>
      <c r="G128" s="2978"/>
      <c r="H128" s="2990">
        <f>H126*60/H127</f>
        <v>3.4254289222247842</v>
      </c>
      <c r="I128" s="2990">
        <f>I126*60/I127</f>
        <v>3.4254289222247842</v>
      </c>
      <c r="J128" s="2990">
        <f>J126*60/J127</f>
        <v>9.1675393513576307</v>
      </c>
      <c r="K128" s="2978"/>
      <c r="L128" s="2990">
        <f>L126*60/L127</f>
        <v>3.228701669721449</v>
      </c>
      <c r="M128" s="2990">
        <f>M126*60/M127</f>
        <v>3.228701669721449</v>
      </c>
      <c r="N128" s="2990">
        <f ca="1">N126*60/N127</f>
        <v>7.5832329193809542</v>
      </c>
      <c r="O128" s="621">
        <f>ROW()</f>
        <v>128</v>
      </c>
    </row>
    <row r="129" spans="2:15" ht="15" customHeight="1">
      <c r="B129" s="2" t="s">
        <v>5213</v>
      </c>
      <c r="C129" s="2978"/>
      <c r="D129" s="2978"/>
      <c r="E129" s="2978"/>
      <c r="F129" s="2978"/>
      <c r="G129" s="2978"/>
      <c r="H129" s="21"/>
      <c r="I129" s="21"/>
      <c r="J129" s="21"/>
      <c r="K129" s="2978"/>
      <c r="L129" s="2978"/>
      <c r="M129" s="2978"/>
      <c r="N129" s="2978"/>
      <c r="O129" s="621">
        <f>ROW()</f>
        <v>129</v>
      </c>
    </row>
    <row r="130" spans="2:15" ht="15" customHeight="1">
      <c r="B130" s="1" t="s">
        <v>5214</v>
      </c>
      <c r="C130" s="2978"/>
      <c r="D130" s="2978"/>
      <c r="E130" s="2978"/>
      <c r="F130" s="2978"/>
      <c r="G130" s="2978"/>
      <c r="H130" s="123">
        <f>H94</f>
        <v>5</v>
      </c>
      <c r="I130" s="123">
        <f>I94</f>
        <v>5</v>
      </c>
      <c r="J130" s="123">
        <f>J94</f>
        <v>5</v>
      </c>
      <c r="K130" s="2978"/>
      <c r="L130" s="123">
        <f>L94</f>
        <v>5</v>
      </c>
      <c r="M130" s="123">
        <f>M94</f>
        <v>5</v>
      </c>
      <c r="N130" s="123">
        <f>N94</f>
        <v>5</v>
      </c>
      <c r="O130" s="621">
        <f>ROW()</f>
        <v>130</v>
      </c>
    </row>
    <row r="131" spans="2:15" ht="15" customHeight="1">
      <c r="B131" s="1" t="str">
        <f>CONCATENATE("Speed to cover distance, mph (same as Row ",O96, " except auto speeds are p.m. peak)")</f>
        <v>Speed to cover distance, mph (same as Row 96 except auto speeds are p.m. peak)</v>
      </c>
      <c r="C131" s="2978"/>
      <c r="D131" s="2978"/>
      <c r="E131" s="2978"/>
      <c r="F131" s="2978"/>
      <c r="G131" s="2978"/>
      <c r="H131" s="21">
        <f>Transit!$J$125</f>
        <v>21.895068239012883</v>
      </c>
      <c r="I131" s="21">
        <f>Transit!$J$125</f>
        <v>21.895068239012883</v>
      </c>
      <c r="J131" s="21">
        <f>'Motor Vs'!L200</f>
        <v>15.481363917407503</v>
      </c>
      <c r="K131" s="2978"/>
      <c r="L131" s="21">
        <f>H131/(1+Transit!$I$210)</f>
        <v>23.229151427443746</v>
      </c>
      <c r="M131" s="21">
        <f>I131/(1+Transit!$I$210)</f>
        <v>23.229151427443746</v>
      </c>
      <c r="N131" s="21">
        <f ca="1">'Motor Vs'!L870</f>
        <v>16.45336060912414</v>
      </c>
      <c r="O131" s="621">
        <f>ROW()</f>
        <v>131</v>
      </c>
    </row>
    <row r="132" spans="2:15" ht="15" customHeight="1">
      <c r="B132" s="1" t="s">
        <v>5215</v>
      </c>
      <c r="C132" s="2978"/>
      <c r="D132" s="2978"/>
      <c r="E132" s="2978"/>
      <c r="F132" s="2978"/>
      <c r="G132" s="2978"/>
      <c r="H132" s="2990">
        <f>H130*60/H131</f>
        <v>13.701715688899137</v>
      </c>
      <c r="I132" s="2990">
        <f>I130*60/I131</f>
        <v>13.701715688899137</v>
      </c>
      <c r="J132" s="2990">
        <f>J130*60/J131</f>
        <v>19.378137585324446</v>
      </c>
      <c r="K132" s="2978"/>
      <c r="L132" s="2990">
        <f>L130*60/L131</f>
        <v>12.914806678885796</v>
      </c>
      <c r="M132" s="2990">
        <f>M130*60/M131</f>
        <v>12.914806678885796</v>
      </c>
      <c r="N132" s="2990">
        <f ca="1">N130*60/N131</f>
        <v>18.233357131529488</v>
      </c>
      <c r="O132" s="621">
        <f>ROW()</f>
        <v>132</v>
      </c>
    </row>
    <row r="133" spans="2:15" ht="15" customHeight="1">
      <c r="B133" s="2" t="s">
        <v>5219</v>
      </c>
      <c r="C133" s="2978"/>
      <c r="D133" s="2978"/>
      <c r="E133" s="2978"/>
      <c r="F133" s="2978"/>
      <c r="G133" s="2978"/>
      <c r="H133" s="21"/>
      <c r="I133" s="21"/>
      <c r="J133" s="21"/>
      <c r="K133" s="2978"/>
      <c r="L133" s="2978"/>
      <c r="M133" s="2978"/>
      <c r="N133" s="2978"/>
      <c r="O133" s="621">
        <f>ROW()</f>
        <v>133</v>
      </c>
    </row>
    <row r="134" spans="2:15" ht="15" customHeight="1">
      <c r="B134" s="1" t="s">
        <v>5220</v>
      </c>
      <c r="C134" s="2978"/>
      <c r="D134" s="2978"/>
      <c r="E134" s="2978"/>
      <c r="F134" s="2978"/>
      <c r="G134" s="2978"/>
      <c r="H134" s="2990">
        <f>H88</f>
        <v>5</v>
      </c>
      <c r="I134" s="2990">
        <f>I88</f>
        <v>5</v>
      </c>
      <c r="J134" s="2990">
        <f>J88</f>
        <v>0</v>
      </c>
      <c r="K134" s="2978"/>
      <c r="L134" s="2990">
        <f>L88</f>
        <v>5.5</v>
      </c>
      <c r="M134" s="2990">
        <f>M88</f>
        <v>6.25</v>
      </c>
      <c r="N134" s="2990">
        <f>N88</f>
        <v>0</v>
      </c>
      <c r="O134" s="621">
        <f>ROW()</f>
        <v>134</v>
      </c>
    </row>
    <row r="135" spans="2:15" ht="15" customHeight="1">
      <c r="B135" s="1" t="s">
        <v>5221</v>
      </c>
      <c r="C135" s="2978"/>
      <c r="D135" s="2978"/>
      <c r="E135" s="2978"/>
      <c r="F135" s="2978"/>
      <c r="G135" s="2978"/>
      <c r="H135" s="2990">
        <f>H86</f>
        <v>2</v>
      </c>
      <c r="I135" s="2990">
        <v>1</v>
      </c>
      <c r="J135" s="2990">
        <v>0</v>
      </c>
      <c r="K135" s="2978"/>
      <c r="L135" s="2990">
        <f>L86</f>
        <v>2.2000000000000002</v>
      </c>
      <c r="M135" s="2990">
        <f>I135</f>
        <v>1</v>
      </c>
      <c r="N135" s="2990">
        <f>J135</f>
        <v>0</v>
      </c>
      <c r="O135" s="621">
        <f>ROW()</f>
        <v>135</v>
      </c>
    </row>
    <row r="136" spans="2:15" ht="15" customHeight="1">
      <c r="B136" s="1" t="s">
        <v>5222</v>
      </c>
      <c r="C136" s="2978"/>
      <c r="D136" s="2978"/>
      <c r="E136" s="2978"/>
      <c r="F136" s="2978"/>
      <c r="G136" s="2978"/>
      <c r="H136" s="2990">
        <f>H81</f>
        <v>2.63595119845127</v>
      </c>
      <c r="I136" s="2990">
        <f>I81</f>
        <v>2.63595119845127</v>
      </c>
      <c r="J136" s="2990">
        <f>J81</f>
        <v>0</v>
      </c>
      <c r="K136" s="2978"/>
      <c r="L136" s="2990">
        <f>L81</f>
        <v>2.8995463182963972</v>
      </c>
      <c r="M136" s="2990">
        <f>M81</f>
        <v>3.2949389980640875</v>
      </c>
      <c r="N136" s="2990">
        <f>N81</f>
        <v>0</v>
      </c>
      <c r="O136" s="621">
        <f>ROW()</f>
        <v>136</v>
      </c>
    </row>
    <row r="137" spans="2:15" s="2" customFormat="1" ht="15" customHeight="1">
      <c r="B137" s="2" t="s">
        <v>5212</v>
      </c>
      <c r="C137" s="2979"/>
      <c r="D137" s="2979"/>
      <c r="E137" s="2979"/>
      <c r="F137" s="2979"/>
      <c r="G137" s="2979"/>
      <c r="H137" s="2992">
        <f>H123+H124+H125+H128+H132+H134+H135+H136</f>
        <v>36.763095809575191</v>
      </c>
      <c r="I137" s="2993">
        <f>I123+I124+I125+I128+I132+I134+I135+I136</f>
        <v>35.763095809575191</v>
      </c>
      <c r="J137" s="2993">
        <f>J123+J124+J125+J128+J132+J134+J135+J136</f>
        <v>33.045676936682078</v>
      </c>
      <c r="K137" s="173"/>
      <c r="L137" s="2993">
        <f>L123+L124+L125+L128+L132+L134+L135+L136</f>
        <v>36.471493691874585</v>
      </c>
      <c r="M137" s="2993">
        <f>M123+M124+M125+M128+M132+M134+M135+M136</f>
        <v>36.416886371642285</v>
      </c>
      <c r="N137" s="2994">
        <f ca="1">N123+N124+N125+N128+N132+N134+N135+N136</f>
        <v>30.116590050910442</v>
      </c>
      <c r="O137" s="621">
        <f>ROW()</f>
        <v>137</v>
      </c>
    </row>
    <row r="138" spans="2:15" ht="15" customHeight="1">
      <c r="B138" s="1" t="s">
        <v>5203</v>
      </c>
      <c r="C138" s="2978"/>
      <c r="D138" s="2978"/>
      <c r="E138" s="2978"/>
      <c r="F138" s="2978"/>
      <c r="G138" s="2978"/>
      <c r="I138" s="21"/>
      <c r="J138" s="21"/>
      <c r="K138" s="2978"/>
      <c r="L138" s="2978"/>
      <c r="M138" s="2978"/>
      <c r="N138" s="2978"/>
      <c r="O138" s="621">
        <f>ROW()</f>
        <v>138</v>
      </c>
    </row>
    <row r="139" spans="2:15" ht="15" customHeight="1">
      <c r="B139" s="265"/>
      <c r="C139" s="2978"/>
      <c r="D139" s="2978"/>
      <c r="E139" s="2978"/>
      <c r="F139" s="2978"/>
      <c r="G139" s="2978"/>
      <c r="H139" s="21"/>
      <c r="I139" s="21"/>
      <c r="J139" s="21"/>
      <c r="K139" s="2978"/>
      <c r="L139" s="2978"/>
      <c r="M139" s="2978"/>
      <c r="N139" s="2978"/>
      <c r="O139" s="621">
        <f>ROW()</f>
        <v>139</v>
      </c>
    </row>
    <row r="140" spans="2:15" ht="15" customHeight="1">
      <c r="B140" s="2" t="s">
        <v>5226</v>
      </c>
      <c r="C140" s="2978"/>
      <c r="D140" s="2978"/>
      <c r="E140" s="2978"/>
      <c r="F140" s="2978"/>
      <c r="G140" s="2978"/>
      <c r="H140" s="2992">
        <f>H114+H137</f>
        <v>73.526191619150381</v>
      </c>
      <c r="I140" s="2993">
        <f>I114+I137</f>
        <v>75.47619161915037</v>
      </c>
      <c r="J140" s="2993">
        <f>J114+J137</f>
        <v>63.284483644773694</v>
      </c>
      <c r="K140" s="173"/>
      <c r="L140" s="2993">
        <f>L114+L137</f>
        <v>72.94298738374917</v>
      </c>
      <c r="M140" s="2993">
        <f>M114+M137</f>
        <v>78.021272743284555</v>
      </c>
      <c r="N140" s="2994">
        <f ca="1">N114+N137</f>
        <v>57.681593532649941</v>
      </c>
      <c r="O140" s="621">
        <f>ROW()</f>
        <v>140</v>
      </c>
    </row>
    <row r="141" spans="2:15" ht="15" customHeight="1">
      <c r="B141" s="265"/>
      <c r="C141" s="2978"/>
      <c r="D141" s="2978"/>
      <c r="E141" s="2978"/>
      <c r="F141" s="2978"/>
      <c r="G141" s="2978"/>
      <c r="H141" s="21"/>
      <c r="I141" s="21"/>
      <c r="J141" s="21"/>
      <c r="K141" s="2978"/>
      <c r="L141" s="2978"/>
      <c r="M141" s="2978"/>
      <c r="N141" s="2978"/>
      <c r="O141" s="621">
        <f>ROW()</f>
        <v>141</v>
      </c>
    </row>
    <row r="142" spans="2:15" ht="15" customHeight="1">
      <c r="B142" s="1" t="s">
        <v>5225</v>
      </c>
      <c r="C142" s="2335"/>
      <c r="D142" s="2335"/>
      <c r="E142" s="2337"/>
      <c r="F142" s="2335"/>
      <c r="G142" s="2337"/>
      <c r="H142" s="25">
        <f>$J$53</f>
        <v>24.106582949308752</v>
      </c>
      <c r="I142" s="25">
        <f>$J$53</f>
        <v>24.106582949308752</v>
      </c>
      <c r="J142" s="25">
        <f>$J$53</f>
        <v>24.106582949308752</v>
      </c>
      <c r="K142" s="2335"/>
      <c r="L142" s="25">
        <f>H142</f>
        <v>24.106582949308752</v>
      </c>
      <c r="M142" s="25">
        <f>I142</f>
        <v>24.106582949308752</v>
      </c>
      <c r="N142" s="25">
        <f>J142</f>
        <v>24.106582949308752</v>
      </c>
      <c r="O142" s="621">
        <f>ROW()</f>
        <v>142</v>
      </c>
    </row>
    <row r="143" spans="2:15" ht="15" customHeight="1">
      <c r="B143" s="265" t="str">
        <f>CONCATENATE("Derived in Row ",O53, ".")</f>
        <v>Derived in Row 53.</v>
      </c>
      <c r="C143" s="2337"/>
      <c r="D143" s="2337"/>
      <c r="E143" s="2337"/>
      <c r="F143" s="2337"/>
      <c r="G143" s="2337"/>
      <c r="H143" s="2337"/>
      <c r="I143" s="21"/>
      <c r="J143" s="21"/>
      <c r="K143" s="2337"/>
      <c r="L143" s="2337"/>
      <c r="M143" s="2337"/>
      <c r="N143" s="2337"/>
      <c r="O143" s="621">
        <f>ROW()</f>
        <v>143</v>
      </c>
    </row>
    <row r="144" spans="2:15" s="2" customFormat="1" ht="15" customHeight="1">
      <c r="B144" s="2" t="s">
        <v>3946</v>
      </c>
      <c r="C144" s="2340"/>
      <c r="D144" s="2340"/>
      <c r="E144" s="2340"/>
      <c r="F144" s="2340"/>
      <c r="G144" s="2340"/>
      <c r="H144" s="2343">
        <f>H142*H140/60</f>
        <v>29.541087286896978</v>
      </c>
      <c r="I144" s="2343">
        <f>I142*I140/60</f>
        <v>30.324551232749506</v>
      </c>
      <c r="J144" s="2343">
        <f>J142*J140/60</f>
        <v>25.4262109064485</v>
      </c>
      <c r="K144" s="2340"/>
      <c r="L144" s="2343">
        <f>L142*L140/60</f>
        <v>29.306769598945518</v>
      </c>
      <c r="M144" s="2343">
        <f>M142*M140/60</f>
        <v>31.34710471994385</v>
      </c>
      <c r="N144" s="2343">
        <f ca="1">N142*N140/60</f>
        <v>23.17510198571895</v>
      </c>
      <c r="O144" s="621">
        <f>ROW()</f>
        <v>144</v>
      </c>
    </row>
    <row r="145" spans="2:15" ht="15" customHeight="1">
      <c r="B145" s="265" t="str">
        <f>CONCATENATE("Product of Rows ",O142, " and ",O115, ", divided by 60.")</f>
        <v>Product of Rows 142 and 115, divided by 60.</v>
      </c>
      <c r="C145" s="2337"/>
      <c r="D145" s="2337"/>
      <c r="E145" s="2337"/>
      <c r="F145" s="2337"/>
      <c r="G145" s="2337"/>
      <c r="H145" s="2337"/>
      <c r="I145" s="21"/>
      <c r="J145" s="21"/>
      <c r="K145" s="2337"/>
      <c r="L145" s="2337"/>
      <c r="M145" s="2337"/>
      <c r="N145" s="2337"/>
      <c r="O145" s="621">
        <f>ROW()</f>
        <v>145</v>
      </c>
    </row>
    <row r="146" spans="2:15" s="3445" customFormat="1" ht="15" customHeight="1">
      <c r="B146" s="265"/>
      <c r="C146" s="3444"/>
      <c r="D146" s="3444"/>
      <c r="E146" s="3444"/>
      <c r="F146" s="3444"/>
      <c r="G146" s="3444"/>
      <c r="H146" s="4819" t="s">
        <v>3942</v>
      </c>
      <c r="I146" s="4819"/>
      <c r="J146" s="4819"/>
      <c r="L146" s="4819" t="s">
        <v>3943</v>
      </c>
      <c r="M146" s="4819"/>
      <c r="N146" s="4819"/>
      <c r="O146" s="621">
        <f>ROW()</f>
        <v>146</v>
      </c>
    </row>
    <row r="147" spans="2:15" ht="15" customHeight="1">
      <c r="B147" s="265"/>
      <c r="C147" s="2337"/>
      <c r="D147" s="2337"/>
      <c r="E147" s="2337"/>
      <c r="F147" s="2337"/>
      <c r="G147" s="2337"/>
      <c r="H147" s="3804" t="s">
        <v>6029</v>
      </c>
      <c r="I147" s="3804" t="s">
        <v>6030</v>
      </c>
      <c r="J147" s="3804" t="s">
        <v>6031</v>
      </c>
      <c r="K147" s="3445"/>
      <c r="L147" s="3804" t="s">
        <v>6029</v>
      </c>
      <c r="M147" s="3804" t="s">
        <v>6030</v>
      </c>
      <c r="N147" s="3804" t="s">
        <v>6031</v>
      </c>
      <c r="O147" s="621">
        <f>ROW()</f>
        <v>147</v>
      </c>
    </row>
    <row r="148" spans="2:15" ht="15" customHeight="1">
      <c r="B148" s="46" t="s">
        <v>3950</v>
      </c>
      <c r="C148" s="2337"/>
      <c r="D148" s="2337"/>
      <c r="E148" s="2337"/>
      <c r="F148" s="2337"/>
      <c r="G148" s="2337"/>
      <c r="H148" s="3807"/>
      <c r="I148" s="3807"/>
      <c r="J148" s="3807"/>
      <c r="K148" s="3445"/>
      <c r="L148" s="3807"/>
      <c r="M148" s="3807"/>
      <c r="N148" s="3807"/>
      <c r="O148" s="621">
        <f>ROW()</f>
        <v>148</v>
      </c>
    </row>
    <row r="149" spans="2:15" ht="15" customHeight="1">
      <c r="K149" s="2337"/>
      <c r="L149" s="2337"/>
      <c r="M149" s="2337"/>
      <c r="N149" s="2337"/>
      <c r="O149" s="621">
        <f>ROW()</f>
        <v>149</v>
      </c>
    </row>
    <row r="150" spans="2:15" ht="15" customHeight="1">
      <c r="B150" s="1" t="s">
        <v>3961</v>
      </c>
      <c r="K150" s="2337"/>
      <c r="L150" s="23">
        <v>0.25</v>
      </c>
      <c r="M150" s="23">
        <v>0</v>
      </c>
      <c r="N150" s="23">
        <v>-0.1</v>
      </c>
      <c r="O150" s="621">
        <f>ROW()</f>
        <v>150</v>
      </c>
    </row>
    <row r="151" spans="2:15" ht="15" customHeight="1">
      <c r="B151" s="265" t="s">
        <v>3960</v>
      </c>
      <c r="K151" s="2337"/>
      <c r="L151" s="2337"/>
      <c r="M151" s="2337"/>
      <c r="N151" s="2337"/>
      <c r="O151" s="621">
        <f>ROW()</f>
        <v>151</v>
      </c>
    </row>
    <row r="152" spans="2:15" ht="15" customHeight="1">
      <c r="B152" s="1" t="s">
        <v>1325</v>
      </c>
      <c r="C152" s="2337"/>
      <c r="D152" s="2337"/>
      <c r="E152" s="2337"/>
      <c r="F152" s="2337"/>
      <c r="G152" s="2337"/>
      <c r="H152" s="25">
        <v>10</v>
      </c>
      <c r="I152" s="25">
        <v>0</v>
      </c>
      <c r="J152" s="25">
        <f>'Motor Vs'!R244</f>
        <v>25</v>
      </c>
      <c r="K152" s="2337"/>
      <c r="L152" s="25">
        <f>H152*(1+L150)</f>
        <v>12.5</v>
      </c>
      <c r="M152" s="25">
        <f>I152*(1+M150)</f>
        <v>0</v>
      </c>
      <c r="N152" s="25">
        <f>J152*(1+N150)</f>
        <v>22.5</v>
      </c>
      <c r="O152" s="621">
        <f>ROW()</f>
        <v>152</v>
      </c>
    </row>
    <row r="153" spans="2:15" ht="15" customHeight="1">
      <c r="B153" s="3754" t="str">
        <f>CONCATENATE("Park-n-Ride Off-street is based on Josef Szende observations, TK. Park-n-Ride On-street assumes no charge to park curbside in gateway districts. All Drive is from 'Motor Vs' worksheet, Row ",'Motor Vs'!O244, ", Work trips, 6-9 a.m., and assumes commuter pays to park in CBD lot or garage.")</f>
        <v>Park-n-Ride Off-street is based on Josef Szende observations, TK. Park-n-Ride On-street assumes no charge to park curbside in gateway districts. All Drive is from 'Motor Vs' worksheet, Row 244, Work trips, 6-9 a.m., and assumes commuter pays to park in CBD lot or garage.</v>
      </c>
      <c r="C153" s="3659"/>
      <c r="D153" s="3659"/>
      <c r="E153" s="3659"/>
      <c r="F153" s="3659"/>
      <c r="G153" s="3659"/>
      <c r="H153" s="3659"/>
      <c r="I153" s="3659"/>
      <c r="J153" s="3659"/>
      <c r="K153" s="2337"/>
      <c r="L153" s="2337"/>
      <c r="M153" s="2337"/>
      <c r="N153" s="2337"/>
      <c r="O153" s="621">
        <f>ROW()</f>
        <v>153</v>
      </c>
    </row>
    <row r="154" spans="2:15" ht="15" customHeight="1">
      <c r="B154" s="3659"/>
      <c r="C154" s="3659"/>
      <c r="D154" s="3659"/>
      <c r="E154" s="3659"/>
      <c r="F154" s="3659"/>
      <c r="G154" s="3659"/>
      <c r="H154" s="3659"/>
      <c r="I154" s="3659"/>
      <c r="J154" s="3659"/>
      <c r="K154" s="2337"/>
      <c r="L154" s="2337"/>
      <c r="M154" s="2337"/>
      <c r="N154" s="2337"/>
      <c r="O154" s="621">
        <f>ROW()</f>
        <v>154</v>
      </c>
    </row>
    <row r="155" spans="2:15" ht="15" customHeight="1">
      <c r="B155" s="1" t="s">
        <v>5227</v>
      </c>
      <c r="H155" s="21">
        <v>0</v>
      </c>
      <c r="I155" s="21">
        <v>0</v>
      </c>
      <c r="J155" s="21">
        <f>2*J103</f>
        <v>2.5</v>
      </c>
      <c r="K155" s="3449"/>
      <c r="L155" s="21">
        <f>H155</f>
        <v>0</v>
      </c>
      <c r="M155" s="21">
        <f>I155</f>
        <v>0</v>
      </c>
      <c r="N155" s="21">
        <f>J155</f>
        <v>2.5</v>
      </c>
      <c r="O155" s="621">
        <f>ROW()</f>
        <v>155</v>
      </c>
    </row>
    <row r="156" spans="2:15" ht="15" customHeight="1">
      <c r="B156" s="1" t="s">
        <v>5228</v>
      </c>
      <c r="H156" s="21">
        <f>J38</f>
        <v>0.75</v>
      </c>
      <c r="I156" s="21">
        <f>J39+J46</f>
        <v>1.9875</v>
      </c>
      <c r="J156" s="21">
        <f>J94</f>
        <v>5</v>
      </c>
      <c r="K156" s="21"/>
      <c r="L156" s="21">
        <f>H156*(1+L84)</f>
        <v>0.82500000000000007</v>
      </c>
      <c r="M156" s="21">
        <f>J39+J46*(1+M84)</f>
        <v>2.296875</v>
      </c>
      <c r="N156" s="21">
        <f>J156</f>
        <v>5</v>
      </c>
      <c r="O156" s="621">
        <f>ROW()</f>
        <v>156</v>
      </c>
    </row>
    <row r="157" spans="2:15" ht="15" customHeight="1">
      <c r="B157" s="3754" t="str">
        <f>CONCATENATE("Park-n-Ride figures, Before, are Row ",O38, " (Off-street), and sum of Rows ",O39, " and ",O46, " (On-street). Park-n-Ride, After, reflect percent additions from Row ",O84, " (applied only to cruising portion of On-Street). All Drive figures are from Rows ",O94, " and ",O103, ", above.")</f>
        <v>Park-n-Ride figures, Before, are Row 38 (Off-street), and sum of Rows 39 and 46 (On-street). Park-n-Ride, After, reflect percent additions from Row 84 (applied only to cruising portion of On-Street). All Drive figures are from Rows 94 and 103, above.</v>
      </c>
      <c r="C157" s="3659"/>
      <c r="D157" s="3659"/>
      <c r="E157" s="3659"/>
      <c r="F157" s="3659"/>
      <c r="G157" s="3659"/>
      <c r="H157" s="3659"/>
      <c r="I157" s="3659"/>
      <c r="J157" s="3659"/>
      <c r="K157" s="2337"/>
      <c r="L157" s="2337"/>
      <c r="M157" s="2337"/>
      <c r="N157" s="2337"/>
      <c r="O157" s="621">
        <f>ROW()</f>
        <v>157</v>
      </c>
    </row>
    <row r="158" spans="2:15" ht="15" customHeight="1">
      <c r="B158" s="3659"/>
      <c r="C158" s="3659"/>
      <c r="D158" s="3659"/>
      <c r="E158" s="3659"/>
      <c r="F158" s="3659"/>
      <c r="G158" s="3659"/>
      <c r="H158" s="3659"/>
      <c r="I158" s="3659"/>
      <c r="J158" s="3659"/>
      <c r="K158" s="2337"/>
      <c r="L158" s="2337"/>
      <c r="M158" s="2337"/>
      <c r="N158" s="2337"/>
      <c r="O158" s="621">
        <f>ROW()</f>
        <v>158</v>
      </c>
    </row>
    <row r="159" spans="2:15" ht="15" customHeight="1">
      <c r="B159" s="1" t="s">
        <v>5229</v>
      </c>
      <c r="H159" s="21">
        <f>H156</f>
        <v>0.75</v>
      </c>
      <c r="I159" s="21">
        <f>J39</f>
        <v>0.75</v>
      </c>
      <c r="J159" s="21">
        <f>J156</f>
        <v>5</v>
      </c>
      <c r="K159" s="21"/>
      <c r="L159" s="21">
        <f>L156</f>
        <v>0.82500000000000007</v>
      </c>
      <c r="M159" s="21">
        <f>J39*(1+M84)</f>
        <v>0.9375</v>
      </c>
      <c r="N159" s="21">
        <f>N156</f>
        <v>5</v>
      </c>
      <c r="O159" s="621">
        <f>ROW()</f>
        <v>159</v>
      </c>
    </row>
    <row r="160" spans="2:15" ht="15" customHeight="1">
      <c r="B160" s="265" t="str">
        <f>CONCATENATE("Same as Row ",O156, " except that On-street Park-n-Ride excludes cruising.")</f>
        <v>Same as Row 156 except that On-street Park-n-Ride excludes cruising.</v>
      </c>
      <c r="C160" s="2978"/>
      <c r="D160" s="2978"/>
      <c r="E160" s="2978"/>
      <c r="F160" s="2978"/>
      <c r="G160" s="2978"/>
      <c r="H160" s="3449"/>
      <c r="I160" s="3449"/>
      <c r="J160" s="3449"/>
      <c r="K160" s="3449"/>
      <c r="L160" s="3449"/>
      <c r="M160" s="3449"/>
      <c r="N160" s="3449"/>
      <c r="O160" s="621">
        <f>ROW()</f>
        <v>160</v>
      </c>
    </row>
    <row r="161" spans="2:15" ht="15" customHeight="1">
      <c r="B161" s="1" t="s">
        <v>5231</v>
      </c>
      <c r="C161" s="2978"/>
      <c r="D161" s="2978"/>
      <c r="E161" s="2978"/>
      <c r="F161" s="2978"/>
      <c r="G161" s="2978"/>
      <c r="H161" s="21">
        <f>H156+H159</f>
        <v>1.5</v>
      </c>
      <c r="I161" s="21">
        <f>I156+I159</f>
        <v>2.7374999999999998</v>
      </c>
      <c r="J161" s="21">
        <f>J156+J159</f>
        <v>10</v>
      </c>
      <c r="K161" s="3449"/>
      <c r="L161" s="21">
        <f>L156+L159</f>
        <v>1.6500000000000001</v>
      </c>
      <c r="M161" s="21">
        <f>M156+M159</f>
        <v>3.234375</v>
      </c>
      <c r="N161" s="21">
        <f>N156+N159</f>
        <v>10</v>
      </c>
      <c r="O161" s="621">
        <f>ROW()</f>
        <v>161</v>
      </c>
    </row>
    <row r="162" spans="2:15" ht="15" customHeight="1">
      <c r="B162" s="265" t="str">
        <f>CONCATENATE("Sum of Rows ",O156, " and ",O159, ".")</f>
        <v>Sum of Rows 156 and 159.</v>
      </c>
      <c r="C162" s="2978"/>
      <c r="D162" s="2978"/>
      <c r="E162" s="2978"/>
      <c r="F162" s="2978"/>
      <c r="G162" s="2978"/>
      <c r="H162" s="2978"/>
      <c r="I162" s="2978"/>
      <c r="J162" s="2978"/>
      <c r="K162" s="2978"/>
      <c r="L162" s="2978"/>
      <c r="M162" s="2978"/>
      <c r="N162" s="2978"/>
      <c r="O162" s="621">
        <f>ROW()</f>
        <v>162</v>
      </c>
    </row>
    <row r="163" spans="2:15" ht="15" customHeight="1">
      <c r="B163" s="1" t="s">
        <v>3948</v>
      </c>
      <c r="H163" s="25">
        <f>H155*('Motor Vs'!$W$259/100)/'Motor Vs'!$R229</f>
        <v>0</v>
      </c>
      <c r="I163" s="25">
        <f>I155*('Motor Vs'!$W$259/100)/'Motor Vs'!$R229</f>
        <v>0</v>
      </c>
      <c r="J163" s="25">
        <f>J155*('Motor Vs'!$W$259/100)/'Motor Vs'!$R229</f>
        <v>1.0824297994160261</v>
      </c>
      <c r="K163" s="2337"/>
      <c r="L163" s="25">
        <f>L155*('Motor Vs'!$W$259/100)/'Motor Vs'!$R229</f>
        <v>0</v>
      </c>
      <c r="M163" s="25">
        <f>M155*('Motor Vs'!$W$259/100)/'Motor Vs'!$R229</f>
        <v>0</v>
      </c>
      <c r="N163" s="25">
        <f>N155*('Motor Vs'!$W$259/100)/'Motor Vs'!$R229</f>
        <v>1.0824297994160261</v>
      </c>
      <c r="O163" s="621">
        <f>ROW()</f>
        <v>163</v>
      </c>
    </row>
    <row r="164" spans="2:15" ht="15" customHeight="1">
      <c r="B164" s="1" t="s">
        <v>3947</v>
      </c>
      <c r="C164" s="2337"/>
      <c r="D164" s="2337"/>
      <c r="E164" s="2337"/>
      <c r="F164" s="2337"/>
      <c r="G164" s="2337"/>
      <c r="H164" s="25">
        <f>H161*('Motor Vs'!$W$259/100)/'Motor Vs'!$R230</f>
        <v>0.33782841896415822</v>
      </c>
      <c r="I164" s="25">
        <f>I161*('Motor Vs'!$W$259/100)/'Motor Vs'!$R230</f>
        <v>0.61653686460958868</v>
      </c>
      <c r="J164" s="25">
        <f>J161*('Motor Vs'!$W$259/100)/'Motor Vs'!$R230</f>
        <v>2.252189459761055</v>
      </c>
      <c r="K164" s="2337"/>
      <c r="L164" s="25">
        <f>L161*('Motor Vs'!$W$259/100)/'Motor Vs'!$R230</f>
        <v>0.37161126086057411</v>
      </c>
      <c r="M164" s="25">
        <f>M161*('Motor Vs'!$W$259/100)/'Motor Vs'!$R230</f>
        <v>0.72844252839146617</v>
      </c>
      <c r="N164" s="25">
        <f>N161*('Motor Vs'!$W$259/100)/'Motor Vs'!$R230</f>
        <v>2.252189459761055</v>
      </c>
      <c r="O164" s="621">
        <f>ROW()</f>
        <v>164</v>
      </c>
    </row>
    <row r="165" spans="2:15" ht="15" customHeight="1">
      <c r="B165" s="3754" t="str">
        <f>CONCATENATE("Both rows above reflect distances in Rows ",O155, " &amp; ",O159, ", fuel economy figures from 'Motor Vs' sheet, Rows ",'Motor Vs'!O229, " &amp; ",'Motor Vs'!O230, ", and per-gallon fuel cost from 'Motor Vs' tab, Row ",'Motor Vs'!O259, ". Note: we haven't changed fuel economies to reflect lesser traffic -- a minor oversight.")</f>
        <v>Both rows above reflect distances in Rows 155 &amp; 159, fuel economy figures from 'Motor Vs' sheet, Rows 229 &amp; 230, and per-gallon fuel cost from 'Motor Vs' tab, Row 259. Note: we haven't changed fuel economies to reflect lesser traffic -- a minor oversight.</v>
      </c>
      <c r="C165" s="3659"/>
      <c r="D165" s="3659"/>
      <c r="E165" s="3659"/>
      <c r="F165" s="3659"/>
      <c r="G165" s="3659"/>
      <c r="H165" s="3659"/>
      <c r="I165" s="3659"/>
      <c r="J165" s="3659"/>
      <c r="K165" s="2337"/>
      <c r="L165" s="2337"/>
      <c r="M165" s="2337"/>
      <c r="N165" s="2337"/>
      <c r="O165" s="621">
        <f>ROW()</f>
        <v>165</v>
      </c>
    </row>
    <row r="166" spans="2:15" ht="15" customHeight="1">
      <c r="B166" s="3659"/>
      <c r="C166" s="3659"/>
      <c r="D166" s="3659"/>
      <c r="E166" s="3659"/>
      <c r="F166" s="3659"/>
      <c r="G166" s="3659"/>
      <c r="H166" s="3659"/>
      <c r="I166" s="3659"/>
      <c r="J166" s="3659"/>
      <c r="K166" s="2337"/>
      <c r="L166" s="2337"/>
      <c r="M166" s="2337"/>
      <c r="N166" s="2337"/>
      <c r="O166" s="621">
        <f>ROW()</f>
        <v>166</v>
      </c>
    </row>
    <row r="167" spans="2:15" ht="15" customHeight="1">
      <c r="B167" s="585" t="s">
        <v>637</v>
      </c>
      <c r="D167" s="2337"/>
      <c r="E167" s="2337"/>
      <c r="F167" s="2337"/>
      <c r="G167" s="2337"/>
      <c r="H167" s="25">
        <v>0</v>
      </c>
      <c r="I167" s="25">
        <v>0</v>
      </c>
      <c r="J167" s="25">
        <v>0</v>
      </c>
      <c r="K167" s="2337"/>
      <c r="L167" s="25">
        <f>H167</f>
        <v>0</v>
      </c>
      <c r="M167" s="25">
        <f>I167</f>
        <v>0</v>
      </c>
      <c r="N167" s="25">
        <f>'Motor Vs'!R287</f>
        <v>8.2258268636129657</v>
      </c>
      <c r="O167" s="621">
        <f>ROW()</f>
        <v>167</v>
      </c>
    </row>
    <row r="168" spans="2:15" ht="15" customHeight="1">
      <c r="B168" s="265" t="str">
        <f>CONCATENATE("We assume zero except for Drive to CBD, After, which assumes peak toll reduced by MTA and PA factors but surcharged for non-E-ZPass drivers, from 'Motor Vs' worksheet, Row ",'Motor Vs'!O287, ".")</f>
        <v>We assume zero except for Drive to CBD, After, which assumes peak toll reduced by MTA and PA factors but surcharged for non-E-ZPass drivers, from 'Motor Vs' worksheet, Row 287.</v>
      </c>
      <c r="D168" s="2337"/>
      <c r="E168" s="2337"/>
      <c r="F168" s="2337"/>
      <c r="G168" s="2337"/>
      <c r="H168" s="25"/>
      <c r="I168" s="21"/>
      <c r="J168" s="21"/>
      <c r="K168" s="2337"/>
      <c r="L168" s="2337"/>
      <c r="M168" s="2337"/>
      <c r="N168" s="2337"/>
      <c r="O168" s="621">
        <f>ROW()</f>
        <v>168</v>
      </c>
    </row>
    <row r="169" spans="2:15" ht="15" customHeight="1">
      <c r="B169" s="585" t="s">
        <v>5232</v>
      </c>
      <c r="D169" s="2341"/>
      <c r="E169" s="2341"/>
      <c r="F169" s="2341"/>
      <c r="G169" s="2341"/>
      <c r="H169" s="25">
        <f>2*Transit!$H$40/(1+Transit!$H$42)</f>
        <v>4.2056074766355138</v>
      </c>
      <c r="I169" s="25">
        <f>2*Transit!$H$40/(1+Transit!$H$42)</f>
        <v>4.2056074766355138</v>
      </c>
      <c r="J169" s="25">
        <v>0</v>
      </c>
      <c r="K169" s="2341"/>
      <c r="L169" s="25">
        <f>2*Transit!$H$40/(1+Transit!$H$45)</f>
        <v>3.9130434782608701</v>
      </c>
      <c r="M169" s="25">
        <f>2*Transit!$H$40/(1+Transit!$H$45)</f>
        <v>3.9130434782608701</v>
      </c>
      <c r="N169" s="25">
        <f>J169</f>
        <v>0</v>
      </c>
      <c r="O169" s="621">
        <f>ROW()</f>
        <v>169</v>
      </c>
    </row>
    <row r="170" spans="2:15" ht="15" customHeight="1">
      <c r="B170" s="3754" t="str">
        <f>CONCATENATE("Assumes pay-per-ride, bought in bulk to provide bonus rides. 'Before' price reflects current (2011) bonus, from Row ",Transit!O42, " of 'Transit' tab, while 'After' price reflects prospective return to 2010 bonus, from Row ",Transit!O45, " of same tab.")</f>
        <v>Assumes pay-per-ride, bought in bulk to provide bonus rides. 'Before' price reflects current (2011) bonus, from Row 42 of 'Transit' tab, while 'After' price reflects prospective return to 2010 bonus, from Row 45 of same tab.</v>
      </c>
      <c r="C170" s="3659"/>
      <c r="D170" s="3659"/>
      <c r="E170" s="3659"/>
      <c r="F170" s="3659"/>
      <c r="G170" s="3659"/>
      <c r="H170" s="3659"/>
      <c r="I170" s="3659"/>
      <c r="J170" s="3659"/>
      <c r="K170" s="2341"/>
      <c r="L170" s="2341"/>
      <c r="M170" s="2341"/>
      <c r="N170" s="2341"/>
      <c r="O170" s="621">
        <f>ROW()</f>
        <v>170</v>
      </c>
    </row>
    <row r="171" spans="2:15" ht="15" customHeight="1">
      <c r="B171" s="3659"/>
      <c r="C171" s="3659"/>
      <c r="D171" s="3659"/>
      <c r="E171" s="3659"/>
      <c r="F171" s="3659"/>
      <c r="G171" s="3659"/>
      <c r="H171" s="3659"/>
      <c r="I171" s="3659"/>
      <c r="J171" s="3659"/>
      <c r="K171" s="2341"/>
      <c r="L171" s="2341"/>
      <c r="M171" s="2341"/>
      <c r="N171" s="2341"/>
      <c r="O171" s="621">
        <f>ROW()</f>
        <v>171</v>
      </c>
    </row>
    <row r="172" spans="2:15" ht="15" customHeight="1">
      <c r="B172" s="585" t="s">
        <v>3949</v>
      </c>
      <c r="D172" s="2337"/>
      <c r="E172" s="2337"/>
      <c r="F172" s="2337"/>
      <c r="G172" s="2337"/>
      <c r="H172" s="25">
        <f>(H161+H155)*'Trip Price'!$L$23</f>
        <v>0.12</v>
      </c>
      <c r="I172" s="25">
        <f>(I161+I155)*'Trip Price'!$L$23</f>
        <v>0.219</v>
      </c>
      <c r="J172" s="25">
        <f>(J161+J155)*'Trip Price'!$L$23</f>
        <v>1</v>
      </c>
      <c r="K172" s="2337"/>
      <c r="L172" s="25">
        <f>(L161+L155)*'Trip Price'!$L$23</f>
        <v>0.13200000000000001</v>
      </c>
      <c r="M172" s="25">
        <f>(M161+M155)*'Trip Price'!$L$23</f>
        <v>0.25874999999999998</v>
      </c>
      <c r="N172" s="25">
        <f>(N161+N155)*'Trip Price'!$L$23</f>
        <v>1</v>
      </c>
      <c r="O172" s="621">
        <f>ROW()</f>
        <v>172</v>
      </c>
    </row>
    <row r="173" spans="2:15" ht="15" customHeight="1">
      <c r="B173" s="265" t="str">
        <f>CONCATENATE("Product of per-mile 'other costs' as specified in 'Trip-Price (Hist.)' tab, times total distance as given by summing Rows ",O155, " and ",O161, ".")</f>
        <v>Product of per-mile 'other costs' as specified in 'Trip-Price (Hist.)' tab, times total distance as given by summing Rows 155 and 161.</v>
      </c>
      <c r="C173" s="265"/>
      <c r="D173" s="265"/>
      <c r="E173" s="265"/>
      <c r="F173" s="265"/>
      <c r="G173" s="265"/>
      <c r="H173" s="265"/>
      <c r="I173" s="265"/>
      <c r="J173" s="265"/>
      <c r="K173" s="2337"/>
      <c r="L173" s="2337"/>
      <c r="M173" s="2337"/>
      <c r="N173" s="2337"/>
      <c r="O173" s="621">
        <f>ROW()</f>
        <v>173</v>
      </c>
    </row>
    <row r="174" spans="2:15" s="2" customFormat="1" ht="15" customHeight="1">
      <c r="B174" s="2344" t="s">
        <v>3951</v>
      </c>
      <c r="D174" s="2340"/>
      <c r="E174" s="2340"/>
      <c r="F174" s="2340"/>
      <c r="G174" s="2340"/>
      <c r="H174" s="2343">
        <f>H152+SUM(H163:H172)</f>
        <v>14.663435895599672</v>
      </c>
      <c r="I174" s="2343">
        <f>I152+SUM(I163:I172)</f>
        <v>5.0411443412451025</v>
      </c>
      <c r="J174" s="2343">
        <f>J152+SUM(J163:J172)</f>
        <v>29.334619259177082</v>
      </c>
      <c r="K174" s="2340"/>
      <c r="L174" s="2343">
        <f>L152+SUM(L163:L172)</f>
        <v>16.916654739121444</v>
      </c>
      <c r="M174" s="2343">
        <f>M152+SUM(M163:M172)</f>
        <v>4.9002360066523361</v>
      </c>
      <c r="N174" s="2343">
        <f>N152+SUM(N163:N172)</f>
        <v>35.060446122790047</v>
      </c>
      <c r="O174" s="621">
        <f>ROW()</f>
        <v>174</v>
      </c>
    </row>
    <row r="175" spans="2:15" s="2" customFormat="1" ht="15" customHeight="1">
      <c r="B175" s="265" t="str">
        <f>CONCATENATE("Sum of Rows ",O163," through ",O172,", plus Row ",O152, ".")</f>
        <v>Sum of Rows 163 through 172, plus Row 152.</v>
      </c>
      <c r="D175" s="2342"/>
      <c r="E175" s="2342"/>
      <c r="F175" s="2342"/>
      <c r="G175" s="2342"/>
      <c r="H175" s="2343"/>
      <c r="I175" s="2343"/>
      <c r="J175" s="2343"/>
      <c r="K175" s="2342"/>
      <c r="L175" s="2343"/>
      <c r="M175" s="2343"/>
      <c r="N175" s="2343"/>
      <c r="O175" s="621">
        <f>ROW()</f>
        <v>175</v>
      </c>
    </row>
    <row r="176" spans="2:15" s="2" customFormat="1" ht="15" customHeight="1">
      <c r="B176" s="2344"/>
      <c r="D176" s="2340"/>
      <c r="E176" s="2340"/>
      <c r="F176" s="2340"/>
      <c r="G176" s="2340"/>
      <c r="H176" s="2343"/>
      <c r="I176" s="2343"/>
      <c r="J176" s="2343"/>
      <c r="K176" s="2340"/>
      <c r="L176" s="2340"/>
      <c r="M176" s="2340"/>
      <c r="N176" s="2340"/>
      <c r="O176" s="621">
        <f>ROW()</f>
        <v>176</v>
      </c>
    </row>
    <row r="177" spans="2:15" s="2" customFormat="1" ht="15" customHeight="1">
      <c r="B177" s="2344" t="s">
        <v>3953</v>
      </c>
      <c r="D177" s="2340"/>
      <c r="E177" s="2340"/>
      <c r="F177" s="2340"/>
      <c r="G177" s="2340"/>
      <c r="H177" s="2343">
        <f>$J$30</f>
        <v>10</v>
      </c>
      <c r="I177" s="2343">
        <f>$J$30</f>
        <v>10</v>
      </c>
      <c r="J177" s="2343">
        <v>0</v>
      </c>
      <c r="K177" s="2340"/>
      <c r="L177" s="2343">
        <f>H177</f>
        <v>10</v>
      </c>
      <c r="M177" s="2343">
        <f>I177</f>
        <v>10</v>
      </c>
      <c r="N177" s="2343">
        <f>J177</f>
        <v>0</v>
      </c>
      <c r="O177" s="621">
        <f>ROW()</f>
        <v>177</v>
      </c>
    </row>
    <row r="178" spans="2:15" s="2" customFormat="1" ht="15" customHeight="1">
      <c r="B178" s="265" t="str">
        <f>CONCATENATE("See Row ",O30, ".")</f>
        <v>See Row 30.</v>
      </c>
      <c r="D178" s="2340"/>
      <c r="E178" s="2340"/>
      <c r="F178" s="2340"/>
      <c r="G178" s="2340"/>
      <c r="H178" s="2343"/>
      <c r="I178" s="2343"/>
      <c r="J178" s="2343"/>
      <c r="K178" s="2340"/>
      <c r="L178" s="2340"/>
      <c r="M178" s="2340"/>
      <c r="N178" s="2340"/>
      <c r="O178" s="621">
        <f>ROW()</f>
        <v>178</v>
      </c>
    </row>
    <row r="179" spans="2:15" ht="15" customHeight="1">
      <c r="D179" s="2337"/>
      <c r="E179" s="2337"/>
      <c r="F179" s="2337"/>
      <c r="G179" s="2337"/>
      <c r="H179" s="4819" t="s">
        <v>3942</v>
      </c>
      <c r="I179" s="4819"/>
      <c r="J179" s="4819"/>
      <c r="K179" s="3445"/>
      <c r="L179" s="4819" t="s">
        <v>3943</v>
      </c>
      <c r="M179" s="4819"/>
      <c r="N179" s="4819"/>
      <c r="O179" s="621">
        <f>ROW()</f>
        <v>179</v>
      </c>
    </row>
    <row r="180" spans="2:15" s="3445" customFormat="1" ht="15" customHeight="1">
      <c r="D180" s="3444"/>
      <c r="E180" s="3444"/>
      <c r="F180" s="3444"/>
      <c r="G180" s="3444"/>
      <c r="H180" s="3804" t="s">
        <v>6029</v>
      </c>
      <c r="I180" s="3804" t="s">
        <v>6030</v>
      </c>
      <c r="J180" s="3804" t="s">
        <v>6031</v>
      </c>
      <c r="L180" s="3804" t="s">
        <v>6029</v>
      </c>
      <c r="M180" s="3804" t="s">
        <v>6030</v>
      </c>
      <c r="N180" s="3804" t="s">
        <v>6031</v>
      </c>
      <c r="O180" s="621">
        <f>ROW()</f>
        <v>180</v>
      </c>
    </row>
    <row r="181" spans="2:15" s="3445" customFormat="1" ht="15" customHeight="1">
      <c r="D181" s="3444"/>
      <c r="E181" s="3444"/>
      <c r="F181" s="3444"/>
      <c r="G181" s="3444"/>
      <c r="H181" s="3807"/>
      <c r="I181" s="3807"/>
      <c r="J181" s="3807"/>
      <c r="L181" s="3807"/>
      <c r="M181" s="3807"/>
      <c r="N181" s="3807"/>
      <c r="O181" s="621">
        <f>ROW()</f>
        <v>181</v>
      </c>
    </row>
    <row r="182" spans="2:15" ht="15" customHeight="1">
      <c r="B182" s="2344" t="s">
        <v>5256</v>
      </c>
      <c r="D182" s="2337"/>
      <c r="E182" s="2337"/>
      <c r="F182" s="2337"/>
      <c r="G182" s="2337"/>
      <c r="H182" s="2343">
        <f>H144+H174+H177</f>
        <v>54.204523182496651</v>
      </c>
      <c r="I182" s="2343">
        <f>I144+I174+I177</f>
        <v>45.365695573994607</v>
      </c>
      <c r="J182" s="2343">
        <f>J144+J174+J177</f>
        <v>54.760830165625578</v>
      </c>
      <c r="K182" s="2337"/>
      <c r="L182" s="2343">
        <f>L144+L174+L177</f>
        <v>56.223424338066962</v>
      </c>
      <c r="M182" s="2343">
        <f>M144+M174+M177</f>
        <v>46.247340726596185</v>
      </c>
      <c r="N182" s="2343">
        <f ca="1">N144+N174+N177</f>
        <v>58.235548108508993</v>
      </c>
      <c r="O182" s="621">
        <f>ROW()</f>
        <v>182</v>
      </c>
    </row>
    <row r="183" spans="2:15" ht="15" customHeight="1">
      <c r="B183" s="2344"/>
      <c r="D183" s="2337"/>
      <c r="E183" s="2337"/>
      <c r="F183" s="2337"/>
      <c r="G183" s="2337"/>
      <c r="H183" s="2343"/>
      <c r="I183" s="2343"/>
      <c r="J183" s="2343"/>
      <c r="K183" s="2337"/>
      <c r="L183" s="2337"/>
      <c r="M183" s="2337"/>
      <c r="N183" s="2337"/>
      <c r="O183" s="621">
        <f>ROW()</f>
        <v>183</v>
      </c>
    </row>
    <row r="184" spans="2:15" ht="15" customHeight="1">
      <c r="B184" s="2344" t="s">
        <v>5233</v>
      </c>
      <c r="D184" s="2978"/>
      <c r="E184" s="2978"/>
      <c r="F184" s="2978"/>
      <c r="G184" s="2978"/>
      <c r="H184" s="2343"/>
      <c r="I184" s="2343"/>
      <c r="J184" s="2343"/>
      <c r="K184" s="2978"/>
      <c r="L184" s="2343">
        <f>L182-H182</f>
        <v>2.0189011555703118</v>
      </c>
      <c r="M184" s="2343">
        <f>M182-I182</f>
        <v>0.88164515260157827</v>
      </c>
      <c r="N184" s="2343">
        <f ca="1">N182-J182</f>
        <v>3.4747179428834158</v>
      </c>
      <c r="O184" s="621">
        <f>ROW()</f>
        <v>184</v>
      </c>
    </row>
    <row r="185" spans="2:15" ht="15" customHeight="1">
      <c r="B185" s="2344"/>
      <c r="D185" s="2978"/>
      <c r="E185" s="2978"/>
      <c r="F185" s="2978"/>
      <c r="G185" s="2978"/>
      <c r="H185" s="2343"/>
      <c r="I185" s="2343"/>
      <c r="J185" s="2343"/>
      <c r="K185" s="2978"/>
      <c r="L185" s="2978"/>
      <c r="M185" s="2978"/>
      <c r="N185" s="2978"/>
      <c r="O185" s="621">
        <f>ROW()</f>
        <v>185</v>
      </c>
    </row>
    <row r="186" spans="2:15" ht="15" customHeight="1">
      <c r="B186" s="1205" t="s">
        <v>3954</v>
      </c>
      <c r="D186" s="2337"/>
      <c r="E186" s="2337"/>
      <c r="F186" s="2337"/>
      <c r="G186" s="2337"/>
      <c r="H186" s="2343"/>
      <c r="I186" s="2343"/>
      <c r="J186" s="2343"/>
      <c r="K186" s="2337"/>
      <c r="L186" s="2337"/>
      <c r="M186" s="2337"/>
      <c r="N186" s="2337"/>
      <c r="O186" s="621">
        <f>ROW()</f>
        <v>186</v>
      </c>
    </row>
    <row r="187" spans="2:15" ht="15" customHeight="1">
      <c r="B187" s="2344"/>
      <c r="D187" s="2337"/>
      <c r="E187" s="2337"/>
      <c r="F187" s="2337"/>
      <c r="G187" s="2337"/>
      <c r="H187" s="2343"/>
      <c r="I187" s="2343"/>
      <c r="J187" s="2343"/>
      <c r="K187" s="2337"/>
      <c r="L187" s="2337"/>
      <c r="M187" s="2337"/>
      <c r="N187" s="2337"/>
      <c r="O187" s="621">
        <f>ROW()</f>
        <v>187</v>
      </c>
    </row>
    <row r="188" spans="2:15" ht="15" customHeight="1">
      <c r="B188" s="585" t="s">
        <v>3971</v>
      </c>
      <c r="D188" s="2337"/>
      <c r="E188" s="2337"/>
      <c r="F188" s="2337"/>
      <c r="G188" s="2337"/>
      <c r="H188" s="588">
        <f>H182</f>
        <v>54.204523182496651</v>
      </c>
      <c r="I188" s="2343"/>
      <c r="J188" s="588">
        <f>J182</f>
        <v>54.760830165625578</v>
      </c>
      <c r="K188" s="2337"/>
      <c r="L188" s="588">
        <f>L182</f>
        <v>56.223424338066962</v>
      </c>
      <c r="M188" s="2337"/>
      <c r="N188" s="588">
        <f ca="1">N182</f>
        <v>58.235548108508993</v>
      </c>
      <c r="O188" s="621">
        <f>ROW()</f>
        <v>188</v>
      </c>
    </row>
    <row r="189" spans="2:15" ht="15" customHeight="1">
      <c r="B189" s="585" t="s">
        <v>3955</v>
      </c>
      <c r="D189" s="2337"/>
      <c r="E189" s="2337"/>
      <c r="F189" s="2337"/>
      <c r="G189" s="2337"/>
      <c r="H189" s="4823">
        <f>H188-J188</f>
        <v>-0.5563069831289269</v>
      </c>
      <c r="I189" s="4823"/>
      <c r="J189" s="4823"/>
      <c r="K189" s="2337"/>
      <c r="L189" s="4823">
        <f ca="1">L188-N188</f>
        <v>-2.0121237704420309</v>
      </c>
      <c r="M189" s="4823"/>
      <c r="N189" s="4823"/>
      <c r="O189" s="621">
        <f>ROW()</f>
        <v>189</v>
      </c>
    </row>
    <row r="190" spans="2:15" ht="15" customHeight="1">
      <c r="B190" s="585" t="s">
        <v>3956</v>
      </c>
      <c r="D190" s="2345"/>
      <c r="E190" s="2346"/>
      <c r="F190" s="2347" t="s">
        <v>3957</v>
      </c>
      <c r="G190" s="2348">
        <v>0.25</v>
      </c>
      <c r="H190" s="588">
        <f>$G$190*H188</f>
        <v>13.551130795624163</v>
      </c>
      <c r="I190" s="2343"/>
      <c r="J190" s="588">
        <f>$G$190*J188</f>
        <v>13.690207541406394</v>
      </c>
      <c r="K190" s="2337"/>
      <c r="L190" s="588">
        <f>$G$190*L188</f>
        <v>14.055856084516741</v>
      </c>
      <c r="M190" s="2337"/>
      <c r="N190" s="588">
        <f ca="1">$G$190*N188</f>
        <v>14.558887027127248</v>
      </c>
      <c r="O190" s="621">
        <f>ROW()</f>
        <v>190</v>
      </c>
    </row>
    <row r="191" spans="2:15" ht="15" customHeight="1">
      <c r="B191" s="585" t="s">
        <v>3958</v>
      </c>
      <c r="D191" s="2337"/>
      <c r="E191" s="2337"/>
      <c r="F191" s="2337"/>
      <c r="G191" s="2337"/>
      <c r="H191" s="4823">
        <f>(H190^2+J190^2)^0.5</f>
        <v>19.262786100844657</v>
      </c>
      <c r="I191" s="4823"/>
      <c r="J191" s="4823"/>
      <c r="K191" s="2337"/>
      <c r="L191" s="4823">
        <f ca="1">(L190^2+N190^2)^0.5</f>
        <v>20.236805126731351</v>
      </c>
      <c r="M191" s="4823"/>
      <c r="N191" s="4823"/>
      <c r="O191" s="621">
        <f>ROW()</f>
        <v>191</v>
      </c>
    </row>
    <row r="192" spans="2:15" ht="15" customHeight="1">
      <c r="B192" s="2" t="s">
        <v>3959</v>
      </c>
      <c r="D192" s="2337"/>
      <c r="E192" s="2337"/>
      <c r="F192" s="2337"/>
      <c r="G192" s="2337"/>
      <c r="H192" s="4822">
        <f>NORMSDIST((-H189/H191))</f>
        <v>0.51151980448272261</v>
      </c>
      <c r="I192" s="4822"/>
      <c r="J192" s="4822"/>
      <c r="K192" s="2337"/>
      <c r="L192" s="4822">
        <f ca="1">NORMSDIST((-L189/L191))</f>
        <v>0.53960114096882306</v>
      </c>
      <c r="M192" s="4822"/>
      <c r="N192" s="4822"/>
      <c r="O192" s="621">
        <f>ROW()</f>
        <v>192</v>
      </c>
    </row>
    <row r="193" spans="2:37" ht="15" customHeight="1">
      <c r="B193" s="265" t="s">
        <v>2877</v>
      </c>
      <c r="D193" s="2337"/>
      <c r="E193" s="2337"/>
      <c r="F193" s="2337"/>
      <c r="G193" s="2337"/>
      <c r="H193" s="2343"/>
      <c r="I193" s="2343"/>
      <c r="J193" s="2343"/>
      <c r="K193" s="2337"/>
      <c r="L193" s="2337"/>
      <c r="M193" s="2337"/>
      <c r="N193" s="2337"/>
      <c r="O193" s="621">
        <f>ROW()</f>
        <v>193</v>
      </c>
    </row>
    <row r="194" spans="2:37" ht="15" customHeight="1">
      <c r="B194" s="2344"/>
      <c r="D194" s="2337"/>
      <c r="E194" s="2337"/>
      <c r="F194" s="2337"/>
      <c r="G194" s="2337"/>
      <c r="H194" s="2343"/>
      <c r="I194" s="2343"/>
      <c r="J194" s="2343"/>
      <c r="K194" s="2337"/>
      <c r="L194" s="2337"/>
      <c r="M194" s="2337"/>
      <c r="N194" s="2337"/>
      <c r="O194" s="621">
        <f>ROW()</f>
        <v>194</v>
      </c>
    </row>
    <row r="195" spans="2:37" ht="15" customHeight="1">
      <c r="B195" s="1205" t="s">
        <v>3970</v>
      </c>
      <c r="D195" s="2337"/>
      <c r="E195" s="2337"/>
      <c r="F195" s="2337"/>
      <c r="G195" s="2337"/>
      <c r="H195" s="2343"/>
      <c r="I195" s="2343"/>
      <c r="J195" s="2343"/>
      <c r="K195" s="2337"/>
      <c r="L195" s="2337"/>
      <c r="M195" s="2337"/>
      <c r="N195" s="2337"/>
      <c r="O195" s="621">
        <f>ROW()</f>
        <v>195</v>
      </c>
    </row>
    <row r="196" spans="2:37" ht="15" customHeight="1">
      <c r="B196" s="1205"/>
      <c r="D196" s="2337"/>
      <c r="E196" s="2337"/>
      <c r="F196" s="2337"/>
      <c r="G196" s="2337"/>
      <c r="H196" s="2343"/>
      <c r="I196" s="2343"/>
      <c r="J196" s="2343"/>
      <c r="K196" s="2337"/>
      <c r="L196" s="2337"/>
      <c r="M196" s="2337"/>
      <c r="N196" s="2337"/>
      <c r="O196" s="621">
        <f>ROW()</f>
        <v>196</v>
      </c>
    </row>
    <row r="197" spans="2:37" ht="15" customHeight="1">
      <c r="B197" s="585" t="s">
        <v>3971</v>
      </c>
      <c r="D197" s="2337"/>
      <c r="E197" s="2337"/>
      <c r="F197" s="2337"/>
      <c r="G197" s="2337"/>
      <c r="H197" s="588">
        <f>I182</f>
        <v>45.365695573994607</v>
      </c>
      <c r="I197" s="2343"/>
      <c r="J197" s="588">
        <f>J182</f>
        <v>54.760830165625578</v>
      </c>
      <c r="K197" s="2337"/>
      <c r="L197" s="588">
        <f>M182</f>
        <v>46.247340726596185</v>
      </c>
      <c r="M197" s="2337"/>
      <c r="N197" s="588">
        <f ca="1">N182</f>
        <v>58.235548108508993</v>
      </c>
      <c r="O197" s="621">
        <f>ROW()</f>
        <v>197</v>
      </c>
    </row>
    <row r="198" spans="2:37" ht="15" customHeight="1">
      <c r="B198" s="585" t="s">
        <v>3955</v>
      </c>
      <c r="D198" s="2337"/>
      <c r="E198" s="2337"/>
      <c r="F198" s="2337"/>
      <c r="G198" s="2337"/>
      <c r="H198" s="4823">
        <f>H197-J197</f>
        <v>-9.3951345916309705</v>
      </c>
      <c r="I198" s="4823"/>
      <c r="J198" s="4823"/>
      <c r="K198" s="2337"/>
      <c r="L198" s="4823">
        <f ca="1">L197-N197</f>
        <v>-11.988207381912808</v>
      </c>
      <c r="M198" s="4823"/>
      <c r="N198" s="4823"/>
      <c r="O198" s="621">
        <f>ROW()</f>
        <v>198</v>
      </c>
    </row>
    <row r="199" spans="2:37" ht="15" customHeight="1">
      <c r="B199" s="585" t="s">
        <v>3956</v>
      </c>
      <c r="D199" s="2345"/>
      <c r="E199" s="2346"/>
      <c r="F199" s="2347" t="s">
        <v>3957</v>
      </c>
      <c r="G199" s="2348">
        <v>0.25</v>
      </c>
      <c r="H199" s="588">
        <f>$G$190*H197</f>
        <v>11.341423893498652</v>
      </c>
      <c r="I199" s="2343"/>
      <c r="J199" s="588">
        <f>$G$190*J197</f>
        <v>13.690207541406394</v>
      </c>
      <c r="K199" s="2337"/>
      <c r="L199" s="588">
        <f>$G$190*L197</f>
        <v>11.561835181649046</v>
      </c>
      <c r="M199" s="2343"/>
      <c r="N199" s="588">
        <f ca="1">$G$190*N197</f>
        <v>14.558887027127248</v>
      </c>
      <c r="O199" s="621">
        <f>ROW()</f>
        <v>199</v>
      </c>
    </row>
    <row r="200" spans="2:37" ht="15" customHeight="1">
      <c r="B200" s="585" t="s">
        <v>3958</v>
      </c>
      <c r="D200" s="2337"/>
      <c r="E200" s="2337"/>
      <c r="F200" s="2337"/>
      <c r="G200" s="2337"/>
      <c r="H200" s="4823">
        <f>(H199^2+J199^2)^0.5</f>
        <v>17.777786095540769</v>
      </c>
      <c r="I200" s="4823"/>
      <c r="J200" s="4823"/>
      <c r="K200" s="2337"/>
      <c r="L200" s="4823">
        <f ca="1">(L199^2+N199^2)^0.5</f>
        <v>18.591321207387917</v>
      </c>
      <c r="M200" s="4823"/>
      <c r="N200" s="4823"/>
      <c r="O200" s="621">
        <f>ROW()</f>
        <v>200</v>
      </c>
    </row>
    <row r="201" spans="2:37" ht="15" customHeight="1">
      <c r="B201" s="2" t="s">
        <v>3959</v>
      </c>
      <c r="D201" s="2337"/>
      <c r="E201" s="2337"/>
      <c r="F201" s="2337"/>
      <c r="G201" s="2337"/>
      <c r="H201" s="4822">
        <f>NORMSDIST((-H198/H200))</f>
        <v>0.70141552528422701</v>
      </c>
      <c r="I201" s="4822"/>
      <c r="J201" s="4822"/>
      <c r="K201" s="2337"/>
      <c r="L201" s="4822">
        <f ca="1">NORMSDIST((-L198/L200))</f>
        <v>0.74048072339907656</v>
      </c>
      <c r="M201" s="4822"/>
      <c r="N201" s="4822"/>
      <c r="O201" s="621">
        <f>ROW()</f>
        <v>201</v>
      </c>
    </row>
    <row r="202" spans="2:37" ht="15" customHeight="1">
      <c r="B202" s="265" t="s">
        <v>2877</v>
      </c>
      <c r="D202" s="2337"/>
      <c r="E202" s="2337"/>
      <c r="F202" s="2337"/>
      <c r="G202" s="2337"/>
      <c r="H202" s="2343"/>
      <c r="I202" s="2343"/>
      <c r="J202" s="2343"/>
      <c r="K202" s="2337"/>
      <c r="L202" s="2337"/>
      <c r="M202" s="2337"/>
      <c r="N202" s="2337"/>
      <c r="O202" s="621">
        <f>ROW()</f>
        <v>202</v>
      </c>
    </row>
    <row r="203" spans="2:37" ht="15" customHeight="1">
      <c r="B203" s="2344"/>
      <c r="D203" s="2337"/>
      <c r="E203" s="2337"/>
      <c r="F203" s="2337"/>
      <c r="G203" s="2337"/>
      <c r="H203" s="2343"/>
      <c r="I203" s="2343"/>
      <c r="J203" s="2343"/>
      <c r="K203" s="2337"/>
      <c r="L203" s="2337"/>
      <c r="M203" s="2337"/>
      <c r="N203" s="2337"/>
      <c r="O203" s="621">
        <f>ROW()</f>
        <v>203</v>
      </c>
    </row>
    <row r="204" spans="2:37" ht="15" customHeight="1">
      <c r="B204" s="1205" t="s">
        <v>5192</v>
      </c>
      <c r="D204" s="2337"/>
      <c r="E204" s="2337"/>
      <c r="F204" s="2337"/>
      <c r="G204" s="2337"/>
      <c r="H204" s="2343"/>
      <c r="I204" s="2343"/>
      <c r="J204" s="2343"/>
      <c r="K204" s="2337"/>
      <c r="L204" s="2337"/>
      <c r="M204" s="2337"/>
      <c r="N204" s="2337"/>
      <c r="O204" s="621">
        <f>ROW()</f>
        <v>204</v>
      </c>
    </row>
    <row r="205" spans="2:37" ht="15" customHeight="1">
      <c r="B205" s="1"/>
      <c r="O205" s="621">
        <f>ROW()</f>
        <v>205</v>
      </c>
    </row>
    <row r="206" spans="2:37" s="2334" customFormat="1" ht="15" customHeight="1">
      <c r="B206" s="1" t="s">
        <v>5257</v>
      </c>
      <c r="C206"/>
      <c r="D206"/>
      <c r="E206"/>
      <c r="F206"/>
      <c r="G206"/>
      <c r="H206"/>
      <c r="I206"/>
      <c r="J206" s="22">
        <f>SUM('Weekday Hours'!P$37:P$39)/'Weekday Hours'!P$55</f>
        <v>0.32329562193577821</v>
      </c>
      <c r="M206" s="840"/>
      <c r="N206" s="840"/>
      <c r="O206" s="621">
        <f>ROW()</f>
        <v>206</v>
      </c>
      <c r="R206" s="840"/>
      <c r="S206" s="840"/>
      <c r="T206" s="840"/>
      <c r="U206"/>
      <c r="V206" s="840"/>
      <c r="W206" s="840"/>
      <c r="X206" s="840"/>
      <c r="Y206" s="840"/>
      <c r="Z206" s="840"/>
      <c r="AA206" s="840"/>
      <c r="AB206" s="840"/>
      <c r="AC206" s="840"/>
      <c r="AD206" s="840"/>
      <c r="AE206" s="840"/>
      <c r="AF206" s="840"/>
      <c r="AG206" s="840"/>
      <c r="AH206" s="840"/>
      <c r="AI206" s="840"/>
      <c r="AJ206" s="840"/>
      <c r="AK206" s="840"/>
    </row>
    <row r="207" spans="2:37" ht="15" customHeight="1">
      <c r="B207" s="3754" t="str">
        <f>CONCATENATE("Ratio of sum of percent of all inbound auto trips that are 6-9 a.m. work trips, to all work trips' share of all inbound auto trips. Mathematically, is ratio of sum of Rows ",'Weekday Hours'!$N$37, "-",'Weekday Hours'!$N$39, " to Row ",'Weekday Hours'!$N$55, " from Column P of worksheet 'Weekday Hours'.")</f>
        <v>Ratio of sum of percent of all inbound auto trips that are 6-9 a.m. work trips, to all work trips' share of all inbound auto trips. Mathematically, is ratio of sum of Rows 37-39 to Row 55 from Column P of worksheet 'Weekday Hours'.</v>
      </c>
      <c r="C207" s="3659"/>
      <c r="D207" s="3659"/>
      <c r="E207" s="3659"/>
      <c r="F207" s="3659"/>
      <c r="G207" s="3659"/>
      <c r="H207" s="3659"/>
      <c r="I207" s="3659"/>
      <c r="J207" s="3659"/>
      <c r="O207" s="621">
        <f>ROW()</f>
        <v>207</v>
      </c>
      <c r="U207" s="840"/>
    </row>
    <row r="208" spans="2:37" ht="15" customHeight="1">
      <c r="B208" s="3659"/>
      <c r="C208" s="3659"/>
      <c r="D208" s="3659"/>
      <c r="E208" s="3659"/>
      <c r="F208" s="3659"/>
      <c r="G208" s="3659"/>
      <c r="H208" s="3659"/>
      <c r="I208" s="3659"/>
      <c r="J208" s="3659"/>
      <c r="O208" s="621">
        <f>ROW()</f>
        <v>208</v>
      </c>
      <c r="U208" s="840"/>
    </row>
    <row r="209" spans="2:37" s="86" customFormat="1" ht="15" customHeight="1">
      <c r="B209" s="1" t="s">
        <v>5258</v>
      </c>
      <c r="C209"/>
      <c r="D209"/>
      <c r="E209"/>
      <c r="F209"/>
      <c r="G209"/>
      <c r="H209"/>
      <c r="I209"/>
      <c r="J209" s="1122">
        <f>ROUND(J206*'Motor Vs'!I76,-2)</f>
        <v>84300</v>
      </c>
      <c r="M209" s="859"/>
      <c r="N209" s="859"/>
      <c r="O209" s="621">
        <f>ROW()</f>
        <v>209</v>
      </c>
      <c r="R209" s="859"/>
      <c r="S209" s="859"/>
      <c r="T209" s="859"/>
      <c r="U209"/>
      <c r="V209" s="859"/>
      <c r="W209" s="859"/>
      <c r="X209" s="859"/>
      <c r="Y209" s="859"/>
      <c r="Z209" s="859"/>
      <c r="AA209" s="859"/>
      <c r="AB209" s="859"/>
      <c r="AC209" s="859"/>
      <c r="AD209" s="859"/>
      <c r="AE209" s="859"/>
      <c r="AF209" s="859"/>
      <c r="AG209" s="859"/>
      <c r="AH209" s="859"/>
      <c r="AI209" s="859"/>
      <c r="AJ209" s="859"/>
      <c r="AK209" s="859"/>
    </row>
    <row r="210" spans="2:37" s="86" customFormat="1" ht="15" customHeight="1">
      <c r="B210" s="265" t="str">
        <f>CONCATENATE("Product of percent in Row ",O52, " and total number of 24-h work trips to CBD in Motor Vs worksheet, Row ",'Motor Vs'!O68, ".")</f>
        <v>Product of percent in Row 52 and total number of 24-h work trips to CBD in Motor Vs worksheet, Row 68.</v>
      </c>
      <c r="C210"/>
      <c r="D210"/>
      <c r="E210"/>
      <c r="F210"/>
      <c r="G210"/>
      <c r="H210"/>
      <c r="I210"/>
      <c r="J210" s="1122"/>
      <c r="M210" s="859"/>
      <c r="N210" s="859"/>
      <c r="O210" s="621">
        <f>ROW()</f>
        <v>210</v>
      </c>
      <c r="R210" s="859"/>
      <c r="S210" s="859"/>
      <c r="T210" s="859"/>
      <c r="U210" s="859"/>
      <c r="V210" s="859"/>
      <c r="W210" s="859"/>
      <c r="X210" s="859"/>
      <c r="Y210" s="859"/>
      <c r="Z210" s="859"/>
      <c r="AA210" s="859"/>
      <c r="AB210" s="859"/>
      <c r="AC210" s="859"/>
      <c r="AD210" s="859"/>
      <c r="AE210" s="859"/>
      <c r="AF210" s="859"/>
      <c r="AG210" s="859"/>
      <c r="AH210" s="859"/>
      <c r="AI210" s="859"/>
      <c r="AJ210" s="859"/>
      <c r="AK210" s="859"/>
    </row>
    <row r="211" spans="2:37" s="86" customFormat="1" ht="15" customHeight="1">
      <c r="B211" s="826"/>
      <c r="M211" s="859"/>
      <c r="N211" s="859"/>
      <c r="O211" s="621">
        <f>ROW()</f>
        <v>211</v>
      </c>
      <c r="P211"/>
      <c r="R211" s="859"/>
      <c r="S211" s="859"/>
      <c r="T211" s="859"/>
      <c r="U211" s="859"/>
      <c r="V211" s="859"/>
      <c r="W211" s="859"/>
      <c r="X211" s="859"/>
      <c r="Y211" s="859"/>
      <c r="Z211" s="859"/>
      <c r="AA211" s="859"/>
      <c r="AB211" s="859"/>
      <c r="AC211" s="859"/>
      <c r="AD211" s="859"/>
      <c r="AE211" s="859"/>
      <c r="AF211" s="859"/>
      <c r="AG211" s="859"/>
      <c r="AH211" s="859"/>
      <c r="AI211" s="859"/>
      <c r="AJ211" s="859"/>
      <c r="AK211" s="859"/>
    </row>
    <row r="212" spans="2:37" s="86" customFormat="1" ht="15" customHeight="1">
      <c r="B212"/>
      <c r="C212"/>
      <c r="D212"/>
      <c r="E212"/>
      <c r="F212"/>
      <c r="G212"/>
      <c r="H212"/>
      <c r="I212"/>
      <c r="J212"/>
      <c r="M212" s="859"/>
      <c r="N212" s="859"/>
      <c r="O212" s="621">
        <f>ROW()</f>
        <v>212</v>
      </c>
      <c r="P212"/>
      <c r="R212" s="859"/>
      <c r="S212" s="859"/>
      <c r="T212" s="859"/>
      <c r="U212" s="859"/>
      <c r="V212" s="859"/>
      <c r="W212" s="859"/>
      <c r="X212" s="859"/>
      <c r="Y212" s="859"/>
      <c r="Z212" s="859"/>
      <c r="AA212" s="859"/>
      <c r="AB212" s="859"/>
      <c r="AC212" s="859"/>
      <c r="AD212" s="859"/>
      <c r="AE212" s="859"/>
      <c r="AF212" s="859"/>
      <c r="AG212" s="859"/>
      <c r="AH212" s="859"/>
      <c r="AI212" s="859"/>
      <c r="AJ212" s="859"/>
      <c r="AK212" s="859"/>
    </row>
    <row r="213" spans="2:37" s="86" customFormat="1" ht="15" customHeight="1">
      <c r="B213" s="115" t="s">
        <v>6215</v>
      </c>
      <c r="C213"/>
      <c r="D213"/>
      <c r="E213"/>
      <c r="F213"/>
      <c r="G213"/>
      <c r="H213"/>
      <c r="I213"/>
      <c r="J213" s="1990"/>
      <c r="M213" s="859"/>
      <c r="N213" s="859"/>
      <c r="O213" s="621">
        <f>ROW()</f>
        <v>213</v>
      </c>
      <c r="P213"/>
      <c r="R213" s="859"/>
      <c r="S213" s="859"/>
      <c r="T213" s="859"/>
      <c r="U213" s="859"/>
      <c r="V213" s="859"/>
      <c r="W213" s="859"/>
      <c r="X213" s="859"/>
      <c r="Y213" s="859"/>
      <c r="Z213" s="859"/>
      <c r="AA213" s="859"/>
      <c r="AB213" s="859"/>
      <c r="AC213" s="859"/>
      <c r="AD213" s="859"/>
      <c r="AE213" s="859"/>
      <c r="AF213" s="859"/>
      <c r="AG213" s="859"/>
      <c r="AH213" s="859"/>
      <c r="AI213" s="859"/>
      <c r="AJ213" s="859"/>
      <c r="AK213" s="859"/>
    </row>
    <row r="214" spans="2:37" ht="15" customHeight="1">
      <c r="O214" s="621">
        <f>ROW()</f>
        <v>214</v>
      </c>
    </row>
    <row r="215" spans="2:37" ht="15" customHeight="1">
      <c r="B215" s="24" t="s">
        <v>1881</v>
      </c>
      <c r="O215" s="621">
        <f>ROW()</f>
        <v>215</v>
      </c>
    </row>
    <row r="216" spans="2:37" ht="15" customHeight="1">
      <c r="O216" s="621">
        <f>ROW()</f>
        <v>216</v>
      </c>
    </row>
    <row r="217" spans="2:37" ht="15" customHeight="1">
      <c r="B217" s="4824" t="s">
        <v>6035</v>
      </c>
      <c r="C217" s="4109"/>
      <c r="D217" s="4109"/>
      <c r="E217" s="4109"/>
      <c r="F217" s="4109"/>
      <c r="G217" s="4109"/>
      <c r="H217" s="4109"/>
      <c r="I217" s="4462"/>
      <c r="J217" s="4825">
        <f ca="1">L320/H320-1</f>
        <v>0.14812998708048375</v>
      </c>
      <c r="L217" s="4824" t="s">
        <v>5234</v>
      </c>
      <c r="M217" s="4109"/>
      <c r="N217" s="4462"/>
      <c r="O217" s="621">
        <f>ROW()</f>
        <v>217</v>
      </c>
    </row>
    <row r="218" spans="2:37" ht="15" customHeight="1">
      <c r="B218" s="4110"/>
      <c r="C218" s="4111"/>
      <c r="D218" s="4111"/>
      <c r="E218" s="4111"/>
      <c r="F218" s="4111"/>
      <c r="G218" s="4111"/>
      <c r="H218" s="4111"/>
      <c r="I218" s="4463"/>
      <c r="J218" s="3952"/>
      <c r="L218" s="4110"/>
      <c r="M218" s="4111"/>
      <c r="N218" s="4463"/>
      <c r="O218" s="621">
        <f>ROW()</f>
        <v>218</v>
      </c>
    </row>
    <row r="219" spans="2:37" ht="15" customHeight="1">
      <c r="B219" s="4112"/>
      <c r="C219" s="4113"/>
      <c r="D219" s="4113"/>
      <c r="E219" s="4113"/>
      <c r="F219" s="4113"/>
      <c r="G219" s="4113"/>
      <c r="H219" s="4113"/>
      <c r="I219" s="4464"/>
      <c r="J219" s="3952"/>
      <c r="L219" s="4110"/>
      <c r="M219" s="4111"/>
      <c r="N219" s="4463"/>
      <c r="O219" s="621">
        <f>ROW()</f>
        <v>219</v>
      </c>
    </row>
    <row r="220" spans="2:37" ht="15" customHeight="1">
      <c r="L220" s="4110"/>
      <c r="M220" s="4111"/>
      <c r="N220" s="4463"/>
      <c r="O220" s="621">
        <f>ROW()</f>
        <v>220</v>
      </c>
    </row>
    <row r="221" spans="2:37" ht="15" customHeight="1">
      <c r="B221" s="4824" t="s">
        <v>6036</v>
      </c>
      <c r="C221" s="4109"/>
      <c r="D221" s="4109"/>
      <c r="E221" s="4109"/>
      <c r="F221" s="4109"/>
      <c r="G221" s="4109"/>
      <c r="H221" s="4109"/>
      <c r="I221" s="4462"/>
      <c r="J221" s="4825">
        <f ca="1">L329/H329-1</f>
        <v>0.20850225031335112</v>
      </c>
      <c r="L221" s="4110"/>
      <c r="M221" s="4111"/>
      <c r="N221" s="4463"/>
      <c r="O221" s="621">
        <f>ROW()</f>
        <v>221</v>
      </c>
      <c r="R221" s="1766"/>
    </row>
    <row r="222" spans="2:37" ht="15" customHeight="1">
      <c r="B222" s="4110"/>
      <c r="C222" s="4111"/>
      <c r="D222" s="4111"/>
      <c r="E222" s="4111"/>
      <c r="F222" s="4111"/>
      <c r="G222" s="4111"/>
      <c r="H222" s="4111"/>
      <c r="I222" s="4463"/>
      <c r="J222" s="3952"/>
      <c r="L222" s="4110"/>
      <c r="M222" s="4111"/>
      <c r="N222" s="4463"/>
      <c r="O222" s="621">
        <f>ROW()</f>
        <v>222</v>
      </c>
    </row>
    <row r="223" spans="2:37" ht="15" customHeight="1">
      <c r="B223" s="4112"/>
      <c r="C223" s="4113"/>
      <c r="D223" s="4113"/>
      <c r="E223" s="4113"/>
      <c r="F223" s="4113"/>
      <c r="G223" s="4113"/>
      <c r="H223" s="4113"/>
      <c r="I223" s="4464"/>
      <c r="J223" s="3952"/>
      <c r="L223" s="4112"/>
      <c r="M223" s="4113"/>
      <c r="N223" s="4464"/>
      <c r="O223" s="621">
        <f>ROW()</f>
        <v>223</v>
      </c>
    </row>
    <row r="224" spans="2:37" ht="15" customHeight="1">
      <c r="B224" s="487"/>
      <c r="C224" s="487"/>
      <c r="D224" s="487"/>
      <c r="E224" s="487"/>
      <c r="F224" s="487"/>
      <c r="G224" s="487"/>
      <c r="H224" s="487"/>
      <c r="I224" s="487"/>
      <c r="O224" s="621">
        <f>ROW()</f>
        <v>224</v>
      </c>
    </row>
    <row r="225" spans="2:18" ht="15" customHeight="1">
      <c r="B225" s="4563" t="s">
        <v>6033</v>
      </c>
      <c r="C225" s="4563"/>
      <c r="D225" s="4563"/>
      <c r="E225" s="4563"/>
      <c r="F225" s="4563"/>
      <c r="G225" s="4563"/>
      <c r="H225" s="4563"/>
      <c r="I225" s="4563"/>
      <c r="J225" s="4563"/>
      <c r="O225" s="621">
        <f>ROW()</f>
        <v>225</v>
      </c>
    </row>
    <row r="226" spans="2:18" ht="15" customHeight="1">
      <c r="B226" s="4563"/>
      <c r="C226" s="4563"/>
      <c r="D226" s="4563"/>
      <c r="E226" s="4563"/>
      <c r="F226" s="4563"/>
      <c r="G226" s="4563"/>
      <c r="H226" s="4563"/>
      <c r="I226" s="4563"/>
      <c r="J226" s="4563"/>
      <c r="O226" s="621">
        <f>ROW()</f>
        <v>226</v>
      </c>
    </row>
    <row r="227" spans="2:18" ht="15" customHeight="1">
      <c r="B227" s="4563"/>
      <c r="C227" s="4563"/>
      <c r="D227" s="4563"/>
      <c r="E227" s="4563"/>
      <c r="F227" s="4563"/>
      <c r="G227" s="4563"/>
      <c r="H227" s="4563"/>
      <c r="I227" s="4563"/>
      <c r="J227" s="4563"/>
      <c r="O227" s="621">
        <f>ROW()</f>
        <v>227</v>
      </c>
    </row>
    <row r="228" spans="2:18" ht="15" customHeight="1">
      <c r="B228" s="3787"/>
      <c r="C228" s="3779"/>
      <c r="D228" s="3779"/>
      <c r="E228" s="3779"/>
      <c r="F228" s="3779"/>
      <c r="G228" s="3779"/>
      <c r="H228" s="3779"/>
      <c r="I228" s="3779"/>
      <c r="J228" s="2982"/>
      <c r="O228" s="621">
        <f>ROW()</f>
        <v>228</v>
      </c>
    </row>
    <row r="229" spans="2:18" ht="15" customHeight="1">
      <c r="B229" s="24" t="s">
        <v>3973</v>
      </c>
      <c r="O229" s="621">
        <f>ROW()</f>
        <v>229</v>
      </c>
    </row>
    <row r="230" spans="2:18" ht="15" customHeight="1">
      <c r="F230" s="172"/>
      <c r="G230" s="172"/>
      <c r="H230" s="4819" t="s">
        <v>3942</v>
      </c>
      <c r="I230" s="4819"/>
      <c r="J230" s="4819"/>
      <c r="K230" s="3445"/>
      <c r="L230" s="4819" t="s">
        <v>3943</v>
      </c>
      <c r="M230" s="4819"/>
      <c r="N230" s="4819"/>
      <c r="O230" s="621">
        <f>ROW()</f>
        <v>230</v>
      </c>
      <c r="R230" s="2983"/>
    </row>
    <row r="231" spans="2:18" ht="15" customHeight="1">
      <c r="H231" s="3804" t="s">
        <v>6029</v>
      </c>
      <c r="I231" s="3804" t="s">
        <v>6030</v>
      </c>
      <c r="J231" s="3804" t="s">
        <v>6032</v>
      </c>
      <c r="K231" s="3445"/>
      <c r="L231" s="3804" t="s">
        <v>6029</v>
      </c>
      <c r="M231" s="3804" t="s">
        <v>6030</v>
      </c>
      <c r="N231" s="3804" t="s">
        <v>6032</v>
      </c>
      <c r="O231" s="621">
        <f>ROW()</f>
        <v>231</v>
      </c>
    </row>
    <row r="232" spans="2:18" ht="15" customHeight="1">
      <c r="B232" s="6"/>
      <c r="H232" s="3807"/>
      <c r="I232" s="3807"/>
      <c r="J232" s="3807"/>
      <c r="K232" s="3445"/>
      <c r="L232" s="3807"/>
      <c r="M232" s="3807"/>
      <c r="N232" s="3807"/>
      <c r="O232" s="621">
        <f>ROW()</f>
        <v>232</v>
      </c>
      <c r="R232" s="1892"/>
    </row>
    <row r="233" spans="2:18" ht="15" customHeight="1">
      <c r="B233" s="46" t="s">
        <v>3952</v>
      </c>
      <c r="O233" s="621">
        <f>ROW()</f>
        <v>233</v>
      </c>
    </row>
    <row r="234" spans="2:18" ht="15" customHeight="1">
      <c r="B234" s="46"/>
      <c r="O234" s="621">
        <f>ROW()</f>
        <v>234</v>
      </c>
    </row>
    <row r="235" spans="2:18" ht="15" customHeight="1">
      <c r="B235" s="2" t="s">
        <v>1675</v>
      </c>
      <c r="O235" s="621">
        <f>ROW()</f>
        <v>235</v>
      </c>
    </row>
    <row r="236" spans="2:18" ht="15" customHeight="1">
      <c r="B236" s="46"/>
      <c r="O236" s="621">
        <f>ROW()</f>
        <v>236</v>
      </c>
    </row>
    <row r="237" spans="2:18" ht="15" customHeight="1">
      <c r="B237" s="2" t="s">
        <v>5239</v>
      </c>
      <c r="C237" s="2980"/>
      <c r="D237" s="2980"/>
      <c r="E237" s="2980"/>
      <c r="F237" s="2980"/>
      <c r="G237" s="2980"/>
      <c r="H237" s="2980"/>
      <c r="I237" s="2980"/>
      <c r="J237" s="2980"/>
      <c r="O237" s="621">
        <f>ROW()</f>
        <v>237</v>
      </c>
    </row>
    <row r="238" spans="2:18" ht="15" customHeight="1">
      <c r="B238" s="1" t="s">
        <v>5237</v>
      </c>
      <c r="H238" s="123">
        <v>25</v>
      </c>
      <c r="I238" s="123">
        <f>H238</f>
        <v>25</v>
      </c>
      <c r="J238" s="2999">
        <v>2</v>
      </c>
      <c r="L238">
        <f>H238</f>
        <v>25</v>
      </c>
      <c r="M238">
        <f>I238</f>
        <v>25</v>
      </c>
      <c r="N238" s="2999">
        <f>J238</f>
        <v>2</v>
      </c>
      <c r="O238" s="621">
        <f>ROW()</f>
        <v>238</v>
      </c>
    </row>
    <row r="239" spans="2:18" ht="15" customHeight="1">
      <c r="B239" s="3754" t="s">
        <v>5240</v>
      </c>
      <c r="C239" s="3659"/>
      <c r="D239" s="3659"/>
      <c r="E239" s="3659"/>
      <c r="F239" s="3659"/>
      <c r="G239" s="3659"/>
      <c r="H239" s="3659"/>
      <c r="I239" s="3659"/>
      <c r="J239" s="3659"/>
      <c r="O239" s="621">
        <f>ROW()</f>
        <v>239</v>
      </c>
    </row>
    <row r="240" spans="2:18" ht="15" customHeight="1">
      <c r="B240" s="3659"/>
      <c r="C240" s="3659"/>
      <c r="D240" s="3659"/>
      <c r="E240" s="3659"/>
      <c r="F240" s="3659"/>
      <c r="G240" s="3659"/>
      <c r="H240" s="3659"/>
      <c r="I240" s="3659"/>
      <c r="J240" s="3659"/>
      <c r="O240" s="621">
        <f>ROW()</f>
        <v>240</v>
      </c>
    </row>
    <row r="241" spans="2:15" ht="15" customHeight="1">
      <c r="B241" s="1" t="s">
        <v>5245</v>
      </c>
      <c r="H241">
        <v>30</v>
      </c>
      <c r="I241">
        <f>H241</f>
        <v>30</v>
      </c>
      <c r="J241" s="2999">
        <v>20</v>
      </c>
      <c r="L241" s="21">
        <f ca="1">H241*(1+'Motor Vs'!$I$924)</f>
        <v>32.096823909038001</v>
      </c>
      <c r="M241" s="21">
        <f ca="1">I241*(1+'Motor Vs'!$I$924)</f>
        <v>32.096823909038001</v>
      </c>
      <c r="N241" s="2999">
        <f>J241</f>
        <v>20</v>
      </c>
      <c r="O241" s="621">
        <f>ROW()</f>
        <v>241</v>
      </c>
    </row>
    <row r="242" spans="2:15" ht="15" customHeight="1">
      <c r="B242" s="4826" t="str">
        <f>CONCATENATE("Baseline speeds are Komanoff assumption, w/ Park-n-Ride fig. reflecting morning peak speeds on Southern State Pkwy and local roads," &amp; " and All LIRR fig. reflecting just local roads. After Park-n-Ride speed increases baseline speed by morning peak non-cordon speed improvement in 'Motor Vs' worksheet, Row ",'Motor Vs'!O924, ".")</f>
        <v>Baseline speeds are Komanoff assumption, w/ Park-n-Ride fig. reflecting morning peak speeds on Southern State Pkwy and local roads, and All LIRR fig. reflecting just local roads. After Park-n-Ride speed increases baseline speed by morning peak non-cordon speed improvement in 'Motor Vs' worksheet, Row 924.</v>
      </c>
      <c r="C242" s="3659"/>
      <c r="D242" s="3659"/>
      <c r="E242" s="3659"/>
      <c r="F242" s="3659"/>
      <c r="G242" s="3659"/>
      <c r="H242" s="3659"/>
      <c r="I242" s="3659"/>
      <c r="J242" s="3659"/>
      <c r="O242" s="621">
        <f>ROW()</f>
        <v>242</v>
      </c>
    </row>
    <row r="243" spans="2:15" ht="15" customHeight="1">
      <c r="B243" s="3659"/>
      <c r="C243" s="3659"/>
      <c r="D243" s="3659"/>
      <c r="E243" s="3659"/>
      <c r="F243" s="3659"/>
      <c r="G243" s="3659"/>
      <c r="H243" s="3659"/>
      <c r="I243" s="3659"/>
      <c r="J243" s="3659"/>
      <c r="O243" s="621">
        <f>ROW()</f>
        <v>243</v>
      </c>
    </row>
    <row r="244" spans="2:15" ht="15" customHeight="1">
      <c r="B244" s="3659"/>
      <c r="C244" s="3659"/>
      <c r="D244" s="3659"/>
      <c r="E244" s="3659"/>
      <c r="F244" s="3659"/>
      <c r="G244" s="3659"/>
      <c r="H244" s="3659"/>
      <c r="I244" s="3659"/>
      <c r="J244" s="3659"/>
      <c r="O244" s="621">
        <f>ROW()</f>
        <v>244</v>
      </c>
    </row>
    <row r="245" spans="2:15" ht="15" customHeight="1">
      <c r="B245" s="1" t="s">
        <v>5246</v>
      </c>
      <c r="C245" s="2980"/>
      <c r="D245" s="2980"/>
      <c r="E245" s="2980"/>
      <c r="F245" s="2980"/>
      <c r="G245" s="2980"/>
      <c r="H245" s="2990">
        <f>H238*60/H241</f>
        <v>50</v>
      </c>
      <c r="I245" s="2990">
        <f>I238*60/I241</f>
        <v>50</v>
      </c>
      <c r="J245" s="2990">
        <f>J238*60/J241</f>
        <v>6</v>
      </c>
      <c r="L245" s="2990">
        <f ca="1">L238*60/L241</f>
        <v>46.733595954882681</v>
      </c>
      <c r="M245" s="2990">
        <f ca="1">M238*60/M241</f>
        <v>46.733595954882681</v>
      </c>
      <c r="N245" s="2990">
        <f>N238*60/N241</f>
        <v>6</v>
      </c>
      <c r="O245" s="621">
        <f>ROW()</f>
        <v>245</v>
      </c>
    </row>
    <row r="246" spans="2:15" ht="15" customHeight="1">
      <c r="B246" s="265" t="str">
        <f>CONCATENATE("Algebra on Rows ",O238, " and ",O241, ".")</f>
        <v>Algebra on Rows 238 and 241.</v>
      </c>
      <c r="C246" s="2980"/>
      <c r="D246" s="2980"/>
      <c r="E246" s="2980"/>
      <c r="F246" s="2980"/>
      <c r="G246" s="2980"/>
      <c r="H246" s="21"/>
      <c r="J246" s="21"/>
      <c r="L246" s="2980"/>
      <c r="M246" s="2980"/>
      <c r="N246" s="2980"/>
      <c r="O246" s="621">
        <f>ROW()</f>
        <v>246</v>
      </c>
    </row>
    <row r="247" spans="2:15" ht="15" customHeight="1">
      <c r="B247" s="2" t="s">
        <v>5241</v>
      </c>
      <c r="O247" s="621">
        <f>ROW()</f>
        <v>247</v>
      </c>
    </row>
    <row r="248" spans="2:15" ht="15" customHeight="1">
      <c r="B248" s="1" t="s">
        <v>5230</v>
      </c>
      <c r="L248" s="23">
        <v>0.1</v>
      </c>
      <c r="M248" s="23">
        <v>0.25</v>
      </c>
      <c r="N248" s="23">
        <v>-0.1</v>
      </c>
      <c r="O248" s="621">
        <f>ROW()</f>
        <v>248</v>
      </c>
    </row>
    <row r="249" spans="2:15" ht="15" customHeight="1">
      <c r="B249" s="265" t="s">
        <v>6034</v>
      </c>
      <c r="O249" s="621">
        <f>ROW()</f>
        <v>249</v>
      </c>
    </row>
    <row r="250" spans="2:15" ht="15" customHeight="1">
      <c r="B250" s="1" t="s">
        <v>5235</v>
      </c>
      <c r="H250" s="2990">
        <v>2</v>
      </c>
      <c r="I250" s="2990">
        <f>J40</f>
        <v>4.95</v>
      </c>
      <c r="J250" s="2990">
        <v>0</v>
      </c>
      <c r="K250" s="21"/>
      <c r="L250" s="2990">
        <f>H250*(1+L84)</f>
        <v>2.2000000000000002</v>
      </c>
      <c r="M250" s="2990">
        <f>I250*(1+M84)</f>
        <v>6.1875</v>
      </c>
      <c r="N250" s="2990">
        <f>J250*(1+N84)</f>
        <v>0</v>
      </c>
      <c r="O250" s="621">
        <f>ROW()</f>
        <v>250</v>
      </c>
    </row>
    <row r="251" spans="2:15" ht="15" customHeight="1">
      <c r="B251" s="265" t="str">
        <f>CONCATENATE("Komanoff assumptions, except that 'On-street Baseline', which reflects cruising, is from Row ",O40, ". Park-n-Ride After figures incorporate percents in Row ",O248, ".")</f>
        <v>Komanoff assumptions, except that 'On-street Baseline', which reflects cruising, is from Row 40. Park-n-Ride After figures incorporate percents in Row 248.</v>
      </c>
      <c r="H251" s="21"/>
      <c r="I251" s="21"/>
      <c r="J251" s="21"/>
      <c r="K251" s="21"/>
      <c r="L251" s="21"/>
      <c r="M251" s="21"/>
      <c r="N251" s="21"/>
      <c r="O251" s="621">
        <f>ROW()</f>
        <v>251</v>
      </c>
    </row>
    <row r="252" spans="2:15" ht="15" customHeight="1">
      <c r="B252" s="1" t="s">
        <v>5238</v>
      </c>
      <c r="H252" s="2990">
        <f>H88</f>
        <v>5</v>
      </c>
      <c r="I252" s="2990">
        <f>I88</f>
        <v>5</v>
      </c>
      <c r="J252" s="2990">
        <v>2</v>
      </c>
      <c r="K252" s="21"/>
      <c r="L252" s="2990">
        <f>H252*(1+L248)</f>
        <v>5.5</v>
      </c>
      <c r="M252" s="2990">
        <f>I252*(1+M248)</f>
        <v>6.25</v>
      </c>
      <c r="N252" s="2990">
        <f>J252*(1+N84)</f>
        <v>1.8</v>
      </c>
      <c r="O252" s="621">
        <f>ROW()</f>
        <v>252</v>
      </c>
    </row>
    <row r="253" spans="2:15" ht="15" customHeight="1">
      <c r="B253" s="265" t="str">
        <f>CONCATENATE("Assumed to be same as for walk to subway station in Scenario #1, above (Row ",O88, ").")</f>
        <v>Assumed to be same as for walk to subway station in Scenario #1, above (Row 88).</v>
      </c>
      <c r="C253" s="265"/>
      <c r="D253" s="265"/>
      <c r="E253" s="265"/>
      <c r="F253" s="265"/>
      <c r="G253" s="265"/>
      <c r="H253" s="265"/>
      <c r="I253" s="265"/>
      <c r="J253" s="265"/>
      <c r="O253" s="621">
        <f>ROW()</f>
        <v>253</v>
      </c>
    </row>
    <row r="254" spans="2:15" ht="15" customHeight="1">
      <c r="B254" s="2" t="s">
        <v>5242</v>
      </c>
      <c r="C254" s="2980"/>
      <c r="D254" s="2980"/>
      <c r="E254" s="2980"/>
      <c r="F254" s="2980"/>
      <c r="G254" s="2980"/>
      <c r="H254" s="21"/>
      <c r="J254" s="21"/>
      <c r="L254" s="2980"/>
      <c r="M254" s="2980"/>
      <c r="N254" s="2980"/>
      <c r="O254" s="621">
        <f>ROW()</f>
        <v>254</v>
      </c>
    </row>
    <row r="255" spans="2:15" ht="15" customHeight="1">
      <c r="B255" s="1" t="s">
        <v>5243</v>
      </c>
      <c r="C255" s="2980"/>
      <c r="D255" s="2980"/>
      <c r="E255" s="2980"/>
      <c r="F255" s="2980"/>
      <c r="G255" s="2980"/>
      <c r="H255" s="2991">
        <v>7</v>
      </c>
      <c r="I255" s="2991">
        <f>H255</f>
        <v>7</v>
      </c>
      <c r="J255" s="2991">
        <v>3</v>
      </c>
      <c r="L255" s="2991">
        <f>H255</f>
        <v>7</v>
      </c>
      <c r="M255" s="2991">
        <f>I255</f>
        <v>7</v>
      </c>
      <c r="N255" s="2991">
        <f>J255</f>
        <v>3</v>
      </c>
      <c r="O255" s="621">
        <f>ROW()</f>
        <v>255</v>
      </c>
    </row>
    <row r="256" spans="2:15" ht="15" customHeight="1">
      <c r="B256" s="4826" t="s">
        <v>6037</v>
      </c>
      <c r="C256" s="3659"/>
      <c r="D256" s="3659"/>
      <c r="E256" s="3659"/>
      <c r="F256" s="3659"/>
      <c r="G256" s="3659"/>
      <c r="H256" s="3659"/>
      <c r="I256" s="3659"/>
      <c r="J256" s="3659"/>
      <c r="L256" s="2980"/>
      <c r="M256" s="2980"/>
      <c r="N256" s="2980"/>
      <c r="O256" s="621">
        <f>ROW()</f>
        <v>256</v>
      </c>
    </row>
    <row r="257" spans="2:15" ht="15" customHeight="1">
      <c r="B257" s="3659"/>
      <c r="C257" s="3659"/>
      <c r="D257" s="3659"/>
      <c r="E257" s="3659"/>
      <c r="F257" s="3659"/>
      <c r="G257" s="3659"/>
      <c r="H257" s="3659"/>
      <c r="I257" s="3659"/>
      <c r="J257" s="3659"/>
      <c r="L257" s="2980"/>
      <c r="M257" s="2980"/>
      <c r="N257" s="2980"/>
      <c r="O257" s="621">
        <f>ROW()</f>
        <v>257</v>
      </c>
    </row>
    <row r="258" spans="2:15" ht="15" customHeight="1">
      <c r="B258" s="3659"/>
      <c r="C258" s="3659"/>
      <c r="D258" s="3659"/>
      <c r="E258" s="3659"/>
      <c r="F258" s="3659"/>
      <c r="G258" s="3659"/>
      <c r="H258" s="3659"/>
      <c r="I258" s="3659"/>
      <c r="J258" s="3659"/>
      <c r="L258" s="2980"/>
      <c r="M258" s="2980"/>
      <c r="N258" s="2980"/>
      <c r="O258" s="621">
        <f>ROW()</f>
        <v>258</v>
      </c>
    </row>
    <row r="259" spans="2:15" ht="15" customHeight="1">
      <c r="B259" s="1" t="s">
        <v>5244</v>
      </c>
      <c r="C259" s="2980"/>
      <c r="D259" s="2980"/>
      <c r="E259" s="2980"/>
      <c r="F259" s="2980"/>
      <c r="G259" s="2980"/>
      <c r="H259" s="2990">
        <f>AVERAGE(29,37,34,33,34,36,34,32)</f>
        <v>33.625</v>
      </c>
      <c r="I259" s="2990">
        <f>H259</f>
        <v>33.625</v>
      </c>
      <c r="J259" s="2990">
        <f>60+AVERAGE(5,7,10,10,2,13,11,13,11,8)</f>
        <v>69</v>
      </c>
      <c r="L259" s="2990">
        <f>H259</f>
        <v>33.625</v>
      </c>
      <c r="M259" s="2990">
        <f>I259</f>
        <v>33.625</v>
      </c>
      <c r="N259" s="2990">
        <f>J259</f>
        <v>69</v>
      </c>
      <c r="O259" s="621">
        <f>ROW()</f>
        <v>259</v>
      </c>
    </row>
    <row r="260" spans="2:15" ht="15" customHeight="1">
      <c r="B260" s="265" t="str">
        <f>CONCATENATE("Baseline All-Drive is Komanoff assumption. After All-Drive incorporates Row ",O248, " change reflecting less competition for off-street CBD parking.")</f>
        <v>Baseline All-Drive is Komanoff assumption. After All-Drive incorporates Row 248 change reflecting less competition for off-street CBD parking.</v>
      </c>
      <c r="C260" s="2980"/>
      <c r="D260" s="2980"/>
      <c r="E260" s="2980"/>
      <c r="F260" s="2980"/>
      <c r="G260" s="2980"/>
      <c r="L260" s="2980"/>
      <c r="M260" s="2980"/>
      <c r="N260" s="2980"/>
      <c r="O260" s="621">
        <f>ROW()</f>
        <v>260</v>
      </c>
    </row>
    <row r="261" spans="2:15" s="2" customFormat="1" ht="15" customHeight="1">
      <c r="B261" s="2" t="s">
        <v>5211</v>
      </c>
      <c r="C261" s="2984"/>
      <c r="D261" s="2984"/>
      <c r="E261" s="2984"/>
      <c r="F261" s="2984"/>
      <c r="G261" s="2984"/>
      <c r="H261" s="3000">
        <f>SUM(H245:H259)</f>
        <v>97.625</v>
      </c>
      <c r="I261" s="3000">
        <f>SUM(I245:I259)</f>
        <v>100.575</v>
      </c>
      <c r="J261" s="3000">
        <f>SUM(J245:J259)</f>
        <v>80</v>
      </c>
      <c r="K261" s="173"/>
      <c r="L261" s="3000">
        <f ca="1">SUM(L245:L259)</f>
        <v>95.158595954882685</v>
      </c>
      <c r="M261" s="3000">
        <f ca="1">SUM(M245:M259)</f>
        <v>100.04609595488267</v>
      </c>
      <c r="N261" s="3000">
        <f>SUM(N245:N259)</f>
        <v>79.7</v>
      </c>
      <c r="O261" s="621">
        <f>ROW()</f>
        <v>261</v>
      </c>
    </row>
    <row r="262" spans="2:15" ht="15" customHeight="1">
      <c r="B262" s="265" t="str">
        <f>CONCATENATE("Total time for inbound journey (home to Penn Station) is sum of 5 'time' entries in Rows ",O245, "-",O259, ".")</f>
        <v>Total time for inbound journey (home to Penn Station) is sum of 5 'time' entries in Rows 245-259.</v>
      </c>
      <c r="C262" s="2980"/>
      <c r="D262" s="2980"/>
      <c r="E262" s="2980"/>
      <c r="F262" s="2980"/>
      <c r="G262" s="2980"/>
      <c r="O262" s="621">
        <f>ROW()</f>
        <v>262</v>
      </c>
    </row>
    <row r="263" spans="2:15" ht="15" customHeight="1">
      <c r="B263" s="265"/>
      <c r="C263" s="2980"/>
      <c r="D263" s="2980"/>
      <c r="E263" s="2980"/>
      <c r="F263" s="2980"/>
      <c r="G263" s="2980"/>
      <c r="H263" s="21"/>
      <c r="I263" s="21"/>
      <c r="J263" s="21"/>
      <c r="K263" s="2980"/>
      <c r="L263" s="2980"/>
      <c r="M263" s="2980"/>
      <c r="N263" s="2980"/>
      <c r="O263" s="621">
        <f>ROW()</f>
        <v>263</v>
      </c>
    </row>
    <row r="264" spans="2:15" ht="15" customHeight="1">
      <c r="B264" s="265"/>
      <c r="C264" s="2980"/>
      <c r="D264" s="2980"/>
      <c r="E264" s="2980"/>
      <c r="F264" s="2980"/>
      <c r="G264" s="2980"/>
      <c r="H264" s="4819" t="s">
        <v>3942</v>
      </c>
      <c r="I264" s="4819"/>
      <c r="J264" s="4819"/>
      <c r="K264" s="3445"/>
      <c r="L264" s="4819" t="s">
        <v>3943</v>
      </c>
      <c r="M264" s="4819"/>
      <c r="N264" s="4819"/>
      <c r="O264" s="621">
        <f>ROW()</f>
        <v>264</v>
      </c>
    </row>
    <row r="265" spans="2:15" ht="15" customHeight="1">
      <c r="B265" s="265"/>
      <c r="C265" s="2980"/>
      <c r="D265" s="2980"/>
      <c r="E265" s="2980"/>
      <c r="F265" s="2980"/>
      <c r="G265" s="2980"/>
      <c r="H265" s="3804" t="s">
        <v>6029</v>
      </c>
      <c r="I265" s="3804" t="s">
        <v>6030</v>
      </c>
      <c r="J265" s="3804" t="s">
        <v>6032</v>
      </c>
      <c r="K265" s="3445"/>
      <c r="L265" s="3804" t="s">
        <v>6029</v>
      </c>
      <c r="M265" s="3804" t="s">
        <v>6030</v>
      </c>
      <c r="N265" s="3804" t="s">
        <v>6032</v>
      </c>
      <c r="O265" s="621">
        <f>ROW()</f>
        <v>265</v>
      </c>
    </row>
    <row r="266" spans="2:15" ht="15" customHeight="1">
      <c r="B266" s="4562" t="s">
        <v>5205</v>
      </c>
      <c r="C266" s="3779"/>
      <c r="D266" s="3779"/>
      <c r="E266" s="3779"/>
      <c r="F266" s="3779"/>
      <c r="G266" s="3779"/>
      <c r="H266" s="3807"/>
      <c r="I266" s="3807"/>
      <c r="J266" s="3807"/>
      <c r="K266" s="3445"/>
      <c r="L266" s="3807"/>
      <c r="M266" s="3807"/>
      <c r="N266" s="3807"/>
      <c r="O266" s="621">
        <f>ROW()</f>
        <v>266</v>
      </c>
    </row>
    <row r="267" spans="2:15" ht="15" customHeight="1">
      <c r="B267" s="3779"/>
      <c r="C267" s="3779"/>
      <c r="D267" s="3779"/>
      <c r="E267" s="3779"/>
      <c r="F267" s="3779"/>
      <c r="G267" s="3779"/>
      <c r="H267" s="21"/>
      <c r="I267" s="21"/>
      <c r="J267" s="21"/>
      <c r="K267" s="2980"/>
      <c r="L267" s="2980"/>
      <c r="M267" s="2980"/>
      <c r="N267" s="2980"/>
      <c r="O267" s="621">
        <f>ROW()</f>
        <v>267</v>
      </c>
    </row>
    <row r="268" spans="2:15" ht="15" customHeight="1">
      <c r="B268" s="265"/>
      <c r="C268" s="2980"/>
      <c r="D268" s="2980"/>
      <c r="E268" s="2980"/>
      <c r="F268" s="2980"/>
      <c r="G268" s="2980"/>
      <c r="H268" s="21"/>
      <c r="I268" s="21"/>
      <c r="J268" s="21"/>
      <c r="K268" s="2980"/>
      <c r="L268" s="2980"/>
      <c r="M268" s="2980"/>
      <c r="N268" s="2980"/>
      <c r="O268" s="621">
        <f>ROW()</f>
        <v>268</v>
      </c>
    </row>
    <row r="269" spans="2:15" ht="15" customHeight="1">
      <c r="B269" s="2" t="s">
        <v>5247</v>
      </c>
      <c r="C269" s="2980"/>
      <c r="D269" s="2980"/>
      <c r="E269" s="2980"/>
      <c r="F269" s="2980"/>
      <c r="G269" s="2980"/>
      <c r="H269" s="21"/>
      <c r="I269" s="21"/>
      <c r="J269" s="21"/>
      <c r="K269" s="2980"/>
      <c r="L269" s="2980"/>
      <c r="M269" s="2980"/>
      <c r="N269" s="2980"/>
      <c r="O269" s="621">
        <f>ROW()</f>
        <v>269</v>
      </c>
    </row>
    <row r="270" spans="2:15" ht="15" customHeight="1">
      <c r="B270" s="1" t="s">
        <v>5244</v>
      </c>
      <c r="C270" s="2980"/>
      <c r="D270" s="2980"/>
      <c r="E270" s="2980"/>
      <c r="F270" s="2980"/>
      <c r="G270" s="2980"/>
      <c r="H270" s="2990">
        <f>H259</f>
        <v>33.625</v>
      </c>
      <c r="I270" s="2990">
        <f>I259</f>
        <v>33.625</v>
      </c>
      <c r="J270" s="2990">
        <f>J259</f>
        <v>69</v>
      </c>
      <c r="K270" s="2980"/>
      <c r="L270" s="2990">
        <f>H270</f>
        <v>33.625</v>
      </c>
      <c r="M270" s="2990">
        <f>I270</f>
        <v>33.625</v>
      </c>
      <c r="N270" s="2990">
        <f>J270</f>
        <v>69</v>
      </c>
      <c r="O270" s="621">
        <f>ROW()</f>
        <v>270</v>
      </c>
    </row>
    <row r="271" spans="2:15" ht="15" customHeight="1">
      <c r="B271" s="2" t="s">
        <v>5248</v>
      </c>
      <c r="C271" s="2980"/>
      <c r="D271" s="2980"/>
      <c r="E271" s="2980"/>
      <c r="F271" s="2980"/>
      <c r="G271" s="2980"/>
      <c r="H271" s="21"/>
      <c r="I271" s="21"/>
      <c r="J271" s="21"/>
      <c r="K271" s="2980"/>
      <c r="L271" s="2980"/>
      <c r="M271" s="2980"/>
      <c r="N271" s="2980"/>
      <c r="O271" s="621">
        <f>ROW()</f>
        <v>271</v>
      </c>
    </row>
    <row r="272" spans="2:15" ht="15" customHeight="1">
      <c r="B272" s="1" t="s">
        <v>5249</v>
      </c>
      <c r="C272" s="2980"/>
      <c r="D272" s="2980"/>
      <c r="E272" s="2980"/>
      <c r="F272" s="2980"/>
      <c r="G272" s="2980"/>
      <c r="H272" s="2990">
        <f>H252</f>
        <v>5</v>
      </c>
      <c r="I272" s="2990">
        <f>I252</f>
        <v>5</v>
      </c>
      <c r="J272" s="2990">
        <f>J252</f>
        <v>2</v>
      </c>
      <c r="K272" s="2980"/>
      <c r="L272" s="2990">
        <f>L252</f>
        <v>5.5</v>
      </c>
      <c r="M272" s="2990">
        <f>M252</f>
        <v>6.25</v>
      </c>
      <c r="N272" s="2990">
        <f>N252</f>
        <v>1.8</v>
      </c>
      <c r="O272" s="621">
        <f>ROW()</f>
        <v>272</v>
      </c>
    </row>
    <row r="273" spans="2:15" ht="15" customHeight="1">
      <c r="B273" s="2" t="s">
        <v>5250</v>
      </c>
      <c r="C273" s="2980"/>
      <c r="D273" s="2980"/>
      <c r="E273" s="2980"/>
      <c r="F273" s="2980"/>
      <c r="G273" s="2980"/>
      <c r="H273" s="21"/>
      <c r="I273" s="21"/>
      <c r="J273" s="21"/>
      <c r="K273" s="2980"/>
      <c r="L273" s="2980"/>
      <c r="M273" s="2980"/>
      <c r="N273" s="2980"/>
      <c r="O273" s="621">
        <f>ROW()</f>
        <v>273</v>
      </c>
    </row>
    <row r="274" spans="2:15" ht="15" customHeight="1">
      <c r="B274" s="1" t="s">
        <v>5245</v>
      </c>
      <c r="C274" s="2980"/>
      <c r="D274" s="2980"/>
      <c r="E274" s="2980"/>
      <c r="F274" s="2980"/>
      <c r="G274" s="2980"/>
      <c r="H274" s="123">
        <f>H241</f>
        <v>30</v>
      </c>
      <c r="I274" s="123">
        <f>I241</f>
        <v>30</v>
      </c>
      <c r="J274" s="123">
        <f>J241</f>
        <v>20</v>
      </c>
      <c r="K274" s="2980"/>
      <c r="L274" s="21">
        <f ca="1">H274*(1+'Motor Vs'!$L$924)</f>
        <v>31.883548562456518</v>
      </c>
      <c r="M274" s="21">
        <f ca="1">I274*(1+'Motor Vs'!$L$924)</f>
        <v>31.883548562456518</v>
      </c>
      <c r="N274" s="2999">
        <f>J274</f>
        <v>20</v>
      </c>
      <c r="O274" s="621">
        <f>ROW()</f>
        <v>274</v>
      </c>
    </row>
    <row r="275" spans="2:15" ht="15" customHeight="1">
      <c r="B275" s="265" t="str">
        <f>CONCATENATE("Same assumptions as in Row ",O242, ", except that afternoon peak speed improvement is used.")</f>
        <v>Same assumptions as in Row 242, except that afternoon peak speed improvement is used.</v>
      </c>
      <c r="C275" s="2980"/>
      <c r="D275" s="2980"/>
      <c r="E275" s="2980"/>
      <c r="F275" s="2980"/>
      <c r="G275" s="2980"/>
      <c r="H275" s="21"/>
      <c r="I275" s="21"/>
      <c r="J275" s="21"/>
      <c r="K275" s="2980"/>
      <c r="L275" s="2980"/>
      <c r="M275" s="2980"/>
      <c r="N275" s="2980"/>
      <c r="O275" s="621">
        <f>ROW()</f>
        <v>275</v>
      </c>
    </row>
    <row r="276" spans="2:15" ht="15" customHeight="1">
      <c r="B276" s="1" t="s">
        <v>5251</v>
      </c>
      <c r="C276" s="2980"/>
      <c r="D276" s="2980"/>
      <c r="E276" s="2980"/>
      <c r="F276" s="2980"/>
      <c r="G276" s="2980"/>
      <c r="H276" s="2990">
        <f>H238*60/H274</f>
        <v>50</v>
      </c>
      <c r="I276" s="2990">
        <f>I238*60/I274</f>
        <v>50</v>
      </c>
      <c r="J276" s="2990">
        <f>J238*60/J274</f>
        <v>6</v>
      </c>
      <c r="K276" s="2980"/>
      <c r="L276" s="2990">
        <f ca="1">L238*60/L274</f>
        <v>47.046206198210896</v>
      </c>
      <c r="M276" s="2990">
        <f ca="1">M238*60/M274</f>
        <v>47.046206198210896</v>
      </c>
      <c r="N276" s="2990">
        <f>N238*60/N274</f>
        <v>6</v>
      </c>
      <c r="O276" s="621">
        <f>ROW()</f>
        <v>276</v>
      </c>
    </row>
    <row r="277" spans="2:15" s="2" customFormat="1" ht="15" customHeight="1">
      <c r="B277" s="2" t="s">
        <v>5212</v>
      </c>
      <c r="C277" s="2984"/>
      <c r="D277" s="2984"/>
      <c r="E277" s="2984"/>
      <c r="F277" s="2984"/>
      <c r="G277" s="2984"/>
      <c r="H277" s="3000">
        <f>H270+H272+H276</f>
        <v>88.625</v>
      </c>
      <c r="I277" s="3000">
        <f>I270+I272+I276</f>
        <v>88.625</v>
      </c>
      <c r="J277" s="3000">
        <f>J270+J272+J276</f>
        <v>77</v>
      </c>
      <c r="K277" s="2995"/>
      <c r="L277" s="3000">
        <f ca="1">L270+L272+L276</f>
        <v>86.171206198210896</v>
      </c>
      <c r="M277" s="3000">
        <f ca="1">M270+M272+M276</f>
        <v>86.921206198210896</v>
      </c>
      <c r="N277" s="3000">
        <f>N270+N272+N276</f>
        <v>76.8</v>
      </c>
      <c r="O277" s="621">
        <f>ROW()</f>
        <v>277</v>
      </c>
    </row>
    <row r="278" spans="2:15" ht="15" customHeight="1">
      <c r="B278" s="1" t="s">
        <v>5203</v>
      </c>
      <c r="C278" s="2980"/>
      <c r="D278" s="2980"/>
      <c r="E278" s="2980"/>
      <c r="F278" s="2980"/>
      <c r="G278" s="2980"/>
      <c r="I278" s="21"/>
      <c r="J278" s="21"/>
      <c r="K278" s="2980"/>
      <c r="M278" s="21"/>
      <c r="N278" s="21"/>
      <c r="O278" s="621">
        <f>ROW()</f>
        <v>278</v>
      </c>
    </row>
    <row r="279" spans="2:15" ht="15" customHeight="1">
      <c r="B279" s="265"/>
      <c r="C279" s="2980"/>
      <c r="D279" s="2980"/>
      <c r="E279" s="2980"/>
      <c r="F279" s="2980"/>
      <c r="G279" s="2980"/>
      <c r="H279" s="21"/>
      <c r="I279" s="21"/>
      <c r="J279" s="21"/>
      <c r="K279" s="2980"/>
      <c r="L279" s="21"/>
      <c r="M279" s="21"/>
      <c r="N279" s="21"/>
      <c r="O279" s="621">
        <f>ROW()</f>
        <v>279</v>
      </c>
    </row>
    <row r="280" spans="2:15" ht="15" customHeight="1">
      <c r="B280" s="2" t="s">
        <v>5226</v>
      </c>
      <c r="C280" s="2980"/>
      <c r="D280" s="2980"/>
      <c r="E280" s="2980"/>
      <c r="F280" s="2980"/>
      <c r="G280" s="2980"/>
      <c r="H280" s="3000">
        <f>H261+H277</f>
        <v>186.25</v>
      </c>
      <c r="I280" s="3000">
        <f>I261+I277</f>
        <v>189.2</v>
      </c>
      <c r="J280" s="3000">
        <f>J261+J277</f>
        <v>157</v>
      </c>
      <c r="K280" s="173"/>
      <c r="L280" s="3000">
        <f ca="1">L261+L277</f>
        <v>181.32980215309357</v>
      </c>
      <c r="M280" s="3000">
        <f ca="1">M261+M277</f>
        <v>186.96730215309356</v>
      </c>
      <c r="N280" s="3000">
        <f>N261+N277</f>
        <v>156.5</v>
      </c>
      <c r="O280" s="621">
        <f>ROW()</f>
        <v>280</v>
      </c>
    </row>
    <row r="281" spans="2:15" ht="15" customHeight="1">
      <c r="B281" s="265"/>
      <c r="C281" s="2980"/>
      <c r="D281" s="2980"/>
      <c r="E281" s="2980"/>
      <c r="F281" s="2980"/>
      <c r="G281" s="2980"/>
      <c r="H281" s="21"/>
      <c r="I281" s="21"/>
      <c r="J281" s="21"/>
      <c r="K281" s="2980"/>
      <c r="L281" s="2980"/>
      <c r="M281" s="2980"/>
      <c r="N281" s="2980"/>
      <c r="O281" s="621">
        <f>ROW()</f>
        <v>281</v>
      </c>
    </row>
    <row r="282" spans="2:15" ht="15" customHeight="1">
      <c r="B282" s="1" t="s">
        <v>5225</v>
      </c>
      <c r="C282" s="2980"/>
      <c r="D282" s="2980"/>
      <c r="E282" s="2980"/>
      <c r="F282" s="2980"/>
      <c r="G282" s="2980"/>
      <c r="H282" s="25">
        <f>$J$53</f>
        <v>24.106582949308752</v>
      </c>
      <c r="I282" s="25">
        <f>$J$53</f>
        <v>24.106582949308752</v>
      </c>
      <c r="J282" s="25">
        <f>$J$53</f>
        <v>24.106582949308752</v>
      </c>
      <c r="K282" s="2980"/>
      <c r="L282" s="25">
        <f>H282</f>
        <v>24.106582949308752</v>
      </c>
      <c r="M282" s="25">
        <f>I282</f>
        <v>24.106582949308752</v>
      </c>
      <c r="N282" s="25">
        <f>J282</f>
        <v>24.106582949308752</v>
      </c>
      <c r="O282" s="621">
        <f>ROW()</f>
        <v>282</v>
      </c>
    </row>
    <row r="283" spans="2:15" ht="15" customHeight="1">
      <c r="B283" s="265" t="str">
        <f>CONCATENATE("Copied from Row ",O53, ".")</f>
        <v>Copied from Row 53.</v>
      </c>
      <c r="C283" s="2980"/>
      <c r="D283" s="2980"/>
      <c r="E283" s="2980"/>
      <c r="F283" s="2980"/>
      <c r="G283" s="2980"/>
      <c r="H283" s="2980"/>
      <c r="I283" s="21"/>
      <c r="J283" s="21"/>
      <c r="K283" s="2980"/>
      <c r="L283" s="2980"/>
      <c r="M283" s="2980"/>
      <c r="N283" s="2980"/>
      <c r="O283" s="621">
        <f>ROW()</f>
        <v>283</v>
      </c>
    </row>
    <row r="284" spans="2:15" s="2" customFormat="1" ht="15" customHeight="1">
      <c r="B284" s="2" t="s">
        <v>3946</v>
      </c>
      <c r="C284" s="2984"/>
      <c r="D284" s="2984"/>
      <c r="E284" s="2984"/>
      <c r="F284" s="2984"/>
      <c r="G284" s="2984"/>
      <c r="H284" s="2343">
        <f>H282*H280/60</f>
        <v>74.830851238479255</v>
      </c>
      <c r="I284" s="2343">
        <f>I282*I280/60</f>
        <v>76.016091566820265</v>
      </c>
      <c r="J284" s="2343">
        <f>J282*J280/60</f>
        <v>63.078892050691238</v>
      </c>
      <c r="K284" s="2984"/>
      <c r="L284" s="2343">
        <f ca="1">L282*L280/60</f>
        <v>72.854031946421586</v>
      </c>
      <c r="M284" s="2343">
        <f ca="1">M282*M280/60</f>
        <v>75.119046302700369</v>
      </c>
      <c r="N284" s="2343">
        <f>N282*N280/60</f>
        <v>62.878003859446991</v>
      </c>
      <c r="O284" s="621">
        <f>ROW()</f>
        <v>284</v>
      </c>
    </row>
    <row r="285" spans="2:15" ht="15" customHeight="1">
      <c r="B285" s="265" t="str">
        <f>CONCATENATE("Product of Rows ",O282, " and ",O262, ", divided by 60.")</f>
        <v>Product of Rows 282 and 262, divided by 60.</v>
      </c>
      <c r="C285" s="2980"/>
      <c r="D285" s="2980"/>
      <c r="E285" s="2980"/>
      <c r="F285" s="2980"/>
      <c r="G285" s="2980"/>
      <c r="H285" s="2980"/>
      <c r="I285" s="21"/>
      <c r="J285" s="21"/>
      <c r="K285" s="2980"/>
      <c r="L285" s="2980"/>
      <c r="M285" s="2980"/>
      <c r="N285" s="2980"/>
      <c r="O285" s="621">
        <f>ROW()</f>
        <v>285</v>
      </c>
    </row>
    <row r="286" spans="2:15" s="3445" customFormat="1" ht="15" customHeight="1">
      <c r="B286" s="265"/>
      <c r="C286" s="3444"/>
      <c r="D286" s="3444"/>
      <c r="E286" s="3444"/>
      <c r="F286" s="3444"/>
      <c r="G286" s="3444"/>
      <c r="H286" s="4819" t="s">
        <v>3942</v>
      </c>
      <c r="I286" s="4819"/>
      <c r="J286" s="4819"/>
      <c r="L286" s="4819" t="s">
        <v>3943</v>
      </c>
      <c r="M286" s="4819"/>
      <c r="N286" s="4819"/>
      <c r="O286" s="621">
        <f>ROW()</f>
        <v>286</v>
      </c>
    </row>
    <row r="287" spans="2:15" ht="15" customHeight="1">
      <c r="B287" s="265"/>
      <c r="C287" s="2980"/>
      <c r="D287" s="2980"/>
      <c r="E287" s="2980"/>
      <c r="F287" s="2980"/>
      <c r="G287" s="2980"/>
      <c r="H287" s="3804" t="s">
        <v>6029</v>
      </c>
      <c r="I287" s="3804" t="s">
        <v>6030</v>
      </c>
      <c r="J287" s="3804" t="s">
        <v>6032</v>
      </c>
      <c r="K287" s="3445"/>
      <c r="L287" s="3804" t="s">
        <v>6029</v>
      </c>
      <c r="M287" s="3804" t="s">
        <v>6030</v>
      </c>
      <c r="N287" s="3804" t="s">
        <v>6032</v>
      </c>
      <c r="O287" s="621">
        <f>ROW()</f>
        <v>287</v>
      </c>
    </row>
    <row r="288" spans="2:15" ht="15" customHeight="1">
      <c r="B288" s="46" t="s">
        <v>3950</v>
      </c>
      <c r="C288" s="2980"/>
      <c r="D288" s="2980"/>
      <c r="E288" s="2980"/>
      <c r="F288" s="2980"/>
      <c r="G288" s="2980"/>
      <c r="H288" s="3807"/>
      <c r="I288" s="3807"/>
      <c r="J288" s="3807"/>
      <c r="K288" s="3445"/>
      <c r="L288" s="3807"/>
      <c r="M288" s="3807"/>
      <c r="N288" s="3807"/>
      <c r="O288" s="621">
        <f>ROW()</f>
        <v>288</v>
      </c>
    </row>
    <row r="289" spans="2:15" ht="15" customHeight="1">
      <c r="K289" s="2980"/>
      <c r="L289" s="2980"/>
      <c r="M289" s="2980"/>
      <c r="N289" s="2980"/>
      <c r="O289" s="621">
        <f>ROW()</f>
        <v>289</v>
      </c>
    </row>
    <row r="290" spans="2:15" ht="15" customHeight="1">
      <c r="B290" s="1" t="s">
        <v>3961</v>
      </c>
      <c r="K290" s="2980"/>
      <c r="L290" s="23">
        <v>0.25</v>
      </c>
      <c r="M290" s="23">
        <v>0</v>
      </c>
      <c r="N290" s="23">
        <v>-0.1</v>
      </c>
      <c r="O290" s="621">
        <f>ROW()</f>
        <v>290</v>
      </c>
    </row>
    <row r="291" spans="2:15" ht="15" customHeight="1">
      <c r="B291" s="265" t="s">
        <v>3960</v>
      </c>
      <c r="K291" s="2980"/>
      <c r="L291" s="2980"/>
      <c r="M291" s="2980"/>
      <c r="N291" s="2980"/>
      <c r="O291" s="621">
        <f>ROW()</f>
        <v>291</v>
      </c>
    </row>
    <row r="292" spans="2:15" ht="15" customHeight="1">
      <c r="B292" s="1" t="s">
        <v>1325</v>
      </c>
      <c r="C292" s="2980"/>
      <c r="D292" s="2980"/>
      <c r="E292" s="2980"/>
      <c r="F292" s="2980"/>
      <c r="G292" s="2980"/>
      <c r="H292" s="25">
        <v>10</v>
      </c>
      <c r="I292" s="25">
        <v>0</v>
      </c>
      <c r="J292" s="25">
        <f>25/weekday_per_yr</f>
        <v>0.1</v>
      </c>
      <c r="K292" s="2980"/>
      <c r="L292" s="25">
        <f>H292*(1+L290)</f>
        <v>12.5</v>
      </c>
      <c r="M292" s="25">
        <f>I292*(1+M290)</f>
        <v>0</v>
      </c>
      <c r="N292" s="25">
        <f>J292</f>
        <v>0.1</v>
      </c>
      <c r="O292" s="621">
        <f>ROW()</f>
        <v>292</v>
      </c>
    </row>
    <row r="293" spans="2:15" ht="15" customHeight="1">
      <c r="B293" s="3754" t="s">
        <v>6248</v>
      </c>
      <c r="C293" s="3659"/>
      <c r="D293" s="3659"/>
      <c r="E293" s="3659"/>
      <c r="F293" s="3659"/>
      <c r="G293" s="3659"/>
      <c r="H293" s="3659"/>
      <c r="I293" s="3659"/>
      <c r="J293" s="3659"/>
      <c r="K293" s="2980"/>
      <c r="L293" s="2980"/>
      <c r="M293" s="2980"/>
      <c r="N293" s="2980"/>
      <c r="O293" s="621">
        <f>ROW()</f>
        <v>293</v>
      </c>
    </row>
    <row r="294" spans="2:15" ht="15" customHeight="1">
      <c r="B294" s="3659"/>
      <c r="C294" s="3659"/>
      <c r="D294" s="3659"/>
      <c r="E294" s="3659"/>
      <c r="F294" s="3659"/>
      <c r="G294" s="3659"/>
      <c r="H294" s="3659"/>
      <c r="I294" s="3659"/>
      <c r="J294" s="3659"/>
      <c r="K294" s="2980"/>
      <c r="L294" s="2980"/>
      <c r="M294" s="2980"/>
      <c r="N294" s="2980"/>
      <c r="O294" s="621">
        <f>ROW()</f>
        <v>294</v>
      </c>
    </row>
    <row r="295" spans="2:15" ht="15" customHeight="1">
      <c r="B295" s="1" t="s">
        <v>5252</v>
      </c>
      <c r="H295">
        <f>2*H238</f>
        <v>50</v>
      </c>
      <c r="I295">
        <f>2*I238</f>
        <v>50</v>
      </c>
      <c r="J295">
        <f>2*J238</f>
        <v>4</v>
      </c>
      <c r="K295" s="2980"/>
      <c r="L295">
        <f>2*L238</f>
        <v>50</v>
      </c>
      <c r="M295">
        <f>2*M238</f>
        <v>50</v>
      </c>
      <c r="N295">
        <f>2*N238</f>
        <v>4</v>
      </c>
      <c r="O295" s="621">
        <f>ROW()</f>
        <v>295</v>
      </c>
    </row>
    <row r="296" spans="2:15" ht="15" customHeight="1">
      <c r="B296" s="1" t="s">
        <v>5253</v>
      </c>
      <c r="H296" s="25">
        <f>H295*('Motor Vs'!$W$259/100)/'Motor Vs'!$R230</f>
        <v>11.260947298805275</v>
      </c>
      <c r="I296" s="25">
        <f>I295*('Motor Vs'!$W$259/100)/'Motor Vs'!$R230</f>
        <v>11.260947298805275</v>
      </c>
      <c r="J296" s="25">
        <f>J295*('Motor Vs'!$W$259/100)/'Motor Vs'!$R230</f>
        <v>0.90087578390442191</v>
      </c>
      <c r="K296" s="2980"/>
      <c r="L296" s="25">
        <f>L295*('Motor Vs'!$W$259/100)/'Motor Vs'!$R230</f>
        <v>11.260947298805275</v>
      </c>
      <c r="M296" s="25">
        <f>M295*('Motor Vs'!$W$259/100)/'Motor Vs'!$R230</f>
        <v>11.260947298805275</v>
      </c>
      <c r="N296" s="25">
        <f>N295*('Motor Vs'!$W$259/100)/'Motor Vs'!$R230</f>
        <v>0.90087578390442191</v>
      </c>
      <c r="O296" s="621">
        <f>ROW()</f>
        <v>296</v>
      </c>
    </row>
    <row r="297" spans="2:15" ht="15" customHeight="1">
      <c r="B297" s="4826" t="str">
        <f>CONCATENATE("Figures reflect non-cordon mpg figures from 'Motor Vs' sheet, Row ",'Motor Vs'!O230, " and per-gallon fuel cost from 'Motor Vs' tab, Row ",'Motor Vs'!O259, ". Note: we haven't changed fuel economies to reflect lesser traffic -- a minor oversight.")</f>
        <v>Figures reflect non-cordon mpg figures from 'Motor Vs' sheet, Row 230 and per-gallon fuel cost from 'Motor Vs' tab, Row 259. Note: we haven't changed fuel economies to reflect lesser traffic -- a minor oversight.</v>
      </c>
      <c r="C297" s="3659"/>
      <c r="D297" s="3659"/>
      <c r="E297" s="3659"/>
      <c r="F297" s="3659"/>
      <c r="G297" s="3659"/>
      <c r="H297" s="3659"/>
      <c r="I297" s="3659"/>
      <c r="J297" s="3659"/>
      <c r="K297" s="2980"/>
      <c r="L297" s="2980"/>
      <c r="M297" s="2980"/>
      <c r="N297" s="2980"/>
      <c r="O297" s="621">
        <f>ROW()</f>
        <v>297</v>
      </c>
    </row>
    <row r="298" spans="2:15" ht="15" customHeight="1">
      <c r="B298" s="3659"/>
      <c r="C298" s="3659"/>
      <c r="D298" s="3659"/>
      <c r="E298" s="3659"/>
      <c r="F298" s="3659"/>
      <c r="G298" s="3659"/>
      <c r="H298" s="3659"/>
      <c r="I298" s="3659"/>
      <c r="J298" s="3659"/>
      <c r="K298" s="2980"/>
      <c r="L298" s="2980"/>
      <c r="M298" s="2980"/>
      <c r="N298" s="2980"/>
      <c r="O298" s="621">
        <f>ROW()</f>
        <v>298</v>
      </c>
    </row>
    <row r="299" spans="2:15" ht="15" customHeight="1">
      <c r="B299" s="585" t="s">
        <v>5254</v>
      </c>
      <c r="D299" s="2980"/>
      <c r="E299" s="2980"/>
      <c r="F299" s="2980"/>
      <c r="G299" s="2980"/>
      <c r="H299" s="25">
        <f>193*12/weekday_per_yr</f>
        <v>9.2639999999999993</v>
      </c>
      <c r="I299" s="25">
        <f>193*12/weekday_per_yr</f>
        <v>9.2639999999999993</v>
      </c>
      <c r="J299" s="25">
        <f>299*12/weekday_per_yr</f>
        <v>14.352</v>
      </c>
      <c r="K299" s="2980"/>
      <c r="L299" s="25">
        <f>2*Transit!$H$40</f>
        <v>4.5</v>
      </c>
      <c r="M299" s="25">
        <f>2*Transit!$H$40</f>
        <v>4.5</v>
      </c>
      <c r="N299" s="25">
        <f>J299</f>
        <v>14.352</v>
      </c>
      <c r="O299" s="621">
        <f>ROW()</f>
        <v>299</v>
      </c>
    </row>
    <row r="300" spans="2:15" ht="15" customHeight="1">
      <c r="B300" s="3754" t="str">
        <f>CONCATENATE("Baseline Park-n-Ride and all All Drive figures amortize LIRR monthly fares over number of weekdays in average month. After Park-n-Ride figures assume in-city one-way LIRR fare is reduced to current subway fare shown in Row ",Transit!O40, " of 'Transit' tab.")</f>
        <v>Baseline Park-n-Ride and all All Drive figures amortize LIRR monthly fares over number of weekdays in average month. After Park-n-Ride figures assume in-city one-way LIRR fare is reduced to current subway fare shown in Row 40 of 'Transit' tab.</v>
      </c>
      <c r="C300" s="3659"/>
      <c r="D300" s="3659"/>
      <c r="E300" s="3659"/>
      <c r="F300" s="3659"/>
      <c r="G300" s="3659"/>
      <c r="H300" s="3659"/>
      <c r="I300" s="3659"/>
      <c r="J300" s="3659"/>
      <c r="K300" s="2980"/>
      <c r="L300" s="2980"/>
      <c r="M300" s="2980"/>
      <c r="N300" s="2980"/>
      <c r="O300" s="621">
        <f>ROW()</f>
        <v>300</v>
      </c>
    </row>
    <row r="301" spans="2:15" ht="15" customHeight="1">
      <c r="B301" s="3659"/>
      <c r="C301" s="3659"/>
      <c r="D301" s="3659"/>
      <c r="E301" s="3659"/>
      <c r="F301" s="3659"/>
      <c r="G301" s="3659"/>
      <c r="H301" s="3659"/>
      <c r="I301" s="3659"/>
      <c r="J301" s="3659"/>
      <c r="K301" s="2980"/>
      <c r="L301" s="2980"/>
      <c r="M301" s="2980"/>
      <c r="N301" s="2980"/>
      <c r="O301" s="621">
        <f>ROW()</f>
        <v>301</v>
      </c>
    </row>
    <row r="302" spans="2:15" ht="15" customHeight="1">
      <c r="B302" s="585" t="s">
        <v>3949</v>
      </c>
      <c r="D302" s="2980"/>
      <c r="E302" s="2980"/>
      <c r="F302" s="2980"/>
      <c r="G302" s="2980"/>
      <c r="H302" s="25">
        <f>H295*'Trip Price'!$L$23</f>
        <v>4</v>
      </c>
      <c r="I302" s="25">
        <f>I295*'Trip Price'!$L$23</f>
        <v>4</v>
      </c>
      <c r="J302" s="25">
        <f>J295*'Trip Price'!$L$23</f>
        <v>0.32</v>
      </c>
      <c r="K302" s="2980"/>
      <c r="L302" s="25">
        <f>L295*'Trip Price'!$L$23</f>
        <v>4</v>
      </c>
      <c r="M302" s="25">
        <f>M295*'Trip Price'!$L$23</f>
        <v>4</v>
      </c>
      <c r="N302" s="25">
        <f>N295*'Trip Price'!$L$23</f>
        <v>0.32</v>
      </c>
      <c r="O302" s="621">
        <f>ROW()</f>
        <v>302</v>
      </c>
    </row>
    <row r="303" spans="2:15" ht="15" customHeight="1">
      <c r="B303" s="265" t="str">
        <f>CONCATENATE("Product of per-mile 'other costs' as specified in 'Trip-Price (Hist.)' tab, times total distance driven from Row ",O295, ".")</f>
        <v>Product of per-mile 'other costs' as specified in 'Trip-Price (Hist.)' tab, times total distance driven from Row 295.</v>
      </c>
      <c r="C303" s="265"/>
      <c r="D303" s="265"/>
      <c r="E303" s="265"/>
      <c r="F303" s="265"/>
      <c r="G303" s="265"/>
      <c r="H303" s="265"/>
      <c r="I303" s="265"/>
      <c r="J303" s="265"/>
      <c r="K303" s="2980"/>
      <c r="L303" s="2980"/>
      <c r="M303" s="2980"/>
      <c r="N303" s="2980"/>
      <c r="O303" s="621">
        <f>ROW()</f>
        <v>303</v>
      </c>
    </row>
    <row r="304" spans="2:15" s="2" customFormat="1" ht="15" customHeight="1">
      <c r="B304" s="2344" t="s">
        <v>3951</v>
      </c>
      <c r="D304" s="2984"/>
      <c r="E304" s="2984"/>
      <c r="F304" s="2984"/>
      <c r="G304" s="2984"/>
      <c r="H304" s="2343">
        <f>H292+SUM(H296:H302)</f>
        <v>34.524947298805273</v>
      </c>
      <c r="I304" s="2343">
        <f>I292+SUM(I296:I302)</f>
        <v>24.524947298805273</v>
      </c>
      <c r="J304" s="2343">
        <f>J292+SUM(J296:J302)</f>
        <v>15.672875783904422</v>
      </c>
      <c r="K304" s="2984"/>
      <c r="L304" s="2343">
        <f>L292+SUM(L296:L302)</f>
        <v>32.260947298805277</v>
      </c>
      <c r="M304" s="2343">
        <f>M292+SUM(M296:M302)</f>
        <v>19.760947298805277</v>
      </c>
      <c r="N304" s="2343">
        <f>N292+SUM(N296:N302)</f>
        <v>15.672875783904422</v>
      </c>
      <c r="O304" s="2228">
        <f>ROW()</f>
        <v>304</v>
      </c>
    </row>
    <row r="305" spans="2:15" s="2" customFormat="1" ht="15" customHeight="1">
      <c r="B305" s="265" t="str">
        <f>CONCATENATE("Sum of Rows ",O296," through ",O302,", plus Row ",O292, ".")</f>
        <v>Sum of Rows 296 through 302, plus Row 292.</v>
      </c>
      <c r="D305" s="2984"/>
      <c r="E305" s="2984"/>
      <c r="F305" s="2984"/>
      <c r="G305" s="2984"/>
      <c r="H305" s="2343"/>
      <c r="I305" s="2343"/>
      <c r="J305" s="2343"/>
      <c r="K305" s="2984"/>
      <c r="L305" s="2343"/>
      <c r="M305" s="2343"/>
      <c r="N305" s="2343"/>
      <c r="O305" s="2228">
        <f>ROW()</f>
        <v>305</v>
      </c>
    </row>
    <row r="306" spans="2:15" s="2" customFormat="1" ht="15" customHeight="1">
      <c r="B306" s="2344"/>
      <c r="D306" s="2984"/>
      <c r="E306" s="2984"/>
      <c r="F306" s="2984"/>
      <c r="G306" s="2984"/>
      <c r="H306" s="2343"/>
      <c r="I306" s="2343"/>
      <c r="J306" s="2343"/>
      <c r="K306" s="2984"/>
      <c r="L306" s="2984"/>
      <c r="M306" s="2984"/>
      <c r="N306" s="2984"/>
      <c r="O306" s="2228">
        <f>ROW()</f>
        <v>306</v>
      </c>
    </row>
    <row r="307" spans="2:15" s="2" customFormat="1" ht="15" customHeight="1">
      <c r="B307" s="2344" t="s">
        <v>3953</v>
      </c>
      <c r="D307" s="2984"/>
      <c r="E307" s="2984"/>
      <c r="F307" s="2984"/>
      <c r="G307" s="2984"/>
      <c r="H307" s="2343">
        <f>$J$30</f>
        <v>10</v>
      </c>
      <c r="I307" s="2343">
        <f>$J$30</f>
        <v>10</v>
      </c>
      <c r="J307" s="2343">
        <v>0</v>
      </c>
      <c r="K307" s="2984"/>
      <c r="L307" s="2343">
        <f>H307</f>
        <v>10</v>
      </c>
      <c r="M307" s="2343">
        <f>I307</f>
        <v>10</v>
      </c>
      <c r="N307" s="2343">
        <f>J307</f>
        <v>0</v>
      </c>
      <c r="O307" s="2228">
        <f>ROW()</f>
        <v>307</v>
      </c>
    </row>
    <row r="308" spans="2:15" s="2" customFormat="1" ht="15" customHeight="1">
      <c r="B308" s="265" t="str">
        <f>CONCATENATE("See Row ",O30, ".")</f>
        <v>See Row 30.</v>
      </c>
      <c r="D308" s="2984"/>
      <c r="E308" s="2984"/>
      <c r="F308" s="2984"/>
      <c r="G308" s="2984"/>
      <c r="H308" s="2343"/>
      <c r="I308" s="2343"/>
      <c r="J308" s="2343"/>
      <c r="K308" s="2984"/>
      <c r="L308" s="2984"/>
      <c r="M308" s="2984"/>
      <c r="N308" s="2984"/>
      <c r="O308" s="2228">
        <f>ROW()</f>
        <v>308</v>
      </c>
    </row>
    <row r="309" spans="2:15" ht="15" customHeight="1">
      <c r="D309" s="2980"/>
      <c r="E309" s="2980"/>
      <c r="F309" s="2980"/>
      <c r="G309" s="2980"/>
      <c r="H309" s="25"/>
      <c r="I309" s="21"/>
      <c r="J309" s="21"/>
      <c r="K309" s="2980"/>
      <c r="L309" s="2980"/>
      <c r="M309" s="2980"/>
      <c r="N309" s="2980"/>
      <c r="O309" s="621">
        <f>ROW()</f>
        <v>309</v>
      </c>
    </row>
    <row r="310" spans="2:15" ht="15" customHeight="1">
      <c r="B310" s="2344" t="s">
        <v>5256</v>
      </c>
      <c r="D310" s="2980"/>
      <c r="E310" s="2980"/>
      <c r="F310" s="2980"/>
      <c r="G310" s="2980"/>
      <c r="H310" s="2343">
        <f>H284+H304+H307</f>
        <v>119.35579853728453</v>
      </c>
      <c r="I310" s="2343">
        <f>I284+I304+I307</f>
        <v>110.54103886562554</v>
      </c>
      <c r="J310" s="2343">
        <f>J284+J304+J307</f>
        <v>78.751767834595654</v>
      </c>
      <c r="K310" s="2980"/>
      <c r="L310" s="2343">
        <f ca="1">L284+L304+L307</f>
        <v>115.11497924522686</v>
      </c>
      <c r="M310" s="2343">
        <f ca="1">M284+M304+M307</f>
        <v>104.87999360150565</v>
      </c>
      <c r="N310" s="2343">
        <f>N284+N304+N307</f>
        <v>78.550879643351408</v>
      </c>
      <c r="O310" s="621">
        <f>ROW()</f>
        <v>310</v>
      </c>
    </row>
    <row r="311" spans="2:15" ht="15" customHeight="1">
      <c r="B311" s="2344"/>
      <c r="D311" s="2980"/>
      <c r="E311" s="2980"/>
      <c r="F311" s="2980"/>
      <c r="G311" s="2980"/>
      <c r="H311" s="2343"/>
      <c r="I311" s="2343"/>
      <c r="J311" s="2343"/>
      <c r="K311" s="2980"/>
      <c r="L311" s="2980"/>
      <c r="M311" s="2980"/>
      <c r="N311" s="2980"/>
      <c r="O311" s="621">
        <f>ROW()</f>
        <v>311</v>
      </c>
    </row>
    <row r="312" spans="2:15" ht="15" customHeight="1">
      <c r="B312" s="2344" t="s">
        <v>5233</v>
      </c>
      <c r="D312" s="2980"/>
      <c r="E312" s="2980"/>
      <c r="F312" s="2980"/>
      <c r="G312" s="2980"/>
      <c r="H312" s="2343"/>
      <c r="I312" s="2343"/>
      <c r="J312" s="2343"/>
      <c r="K312" s="2980"/>
      <c r="L312" s="2343">
        <f ca="1">L310-H310</f>
        <v>-4.2408192920576653</v>
      </c>
      <c r="M312" s="2343">
        <f ca="1">M310-I310</f>
        <v>-5.6610452641198918</v>
      </c>
      <c r="N312" s="2343">
        <f>N310-J310</f>
        <v>-0.20088819124424617</v>
      </c>
      <c r="O312" s="621">
        <f>ROW()</f>
        <v>312</v>
      </c>
    </row>
    <row r="313" spans="2:15" ht="15" customHeight="1">
      <c r="B313" s="2344"/>
      <c r="D313" s="2980"/>
      <c r="E313" s="2980"/>
      <c r="F313" s="2980"/>
      <c r="G313" s="2980"/>
      <c r="H313" s="2343"/>
      <c r="I313" s="2343"/>
      <c r="J313" s="2343"/>
      <c r="K313" s="2980"/>
      <c r="L313" s="2980"/>
      <c r="M313" s="2980"/>
      <c r="N313" s="2980"/>
      <c r="O313" s="621">
        <f>ROW()</f>
        <v>313</v>
      </c>
    </row>
    <row r="314" spans="2:15" ht="15" customHeight="1">
      <c r="B314" s="1205" t="s">
        <v>3954</v>
      </c>
      <c r="D314" s="2980"/>
      <c r="E314" s="2980"/>
      <c r="F314" s="2980"/>
      <c r="G314" s="2980"/>
      <c r="H314" s="2343"/>
      <c r="I314" s="2343"/>
      <c r="J314" s="2343"/>
      <c r="K314" s="2980"/>
      <c r="L314" s="2980"/>
      <c r="M314" s="2980"/>
      <c r="N314" s="2980"/>
      <c r="O314" s="621">
        <f>ROW()</f>
        <v>314</v>
      </c>
    </row>
    <row r="315" spans="2:15" ht="15" customHeight="1">
      <c r="B315" s="2344"/>
      <c r="D315" s="2980"/>
      <c r="E315" s="2980"/>
      <c r="F315" s="2980"/>
      <c r="G315" s="2980"/>
      <c r="H315" s="2343"/>
      <c r="I315" s="2343"/>
      <c r="J315" s="2343"/>
      <c r="K315" s="2980"/>
      <c r="L315" s="2980"/>
      <c r="M315" s="2980"/>
      <c r="N315" s="2980"/>
      <c r="O315" s="621">
        <f>ROW()</f>
        <v>315</v>
      </c>
    </row>
    <row r="316" spans="2:15" ht="15" customHeight="1">
      <c r="B316" s="585" t="s">
        <v>3971</v>
      </c>
      <c r="D316" s="2980"/>
      <c r="E316" s="2980"/>
      <c r="F316" s="2980"/>
      <c r="G316" s="2980"/>
      <c r="H316" s="588">
        <f>H310</f>
        <v>119.35579853728453</v>
      </c>
      <c r="I316" s="2343"/>
      <c r="J316" s="588">
        <f>J310</f>
        <v>78.751767834595654</v>
      </c>
      <c r="K316" s="2980"/>
      <c r="L316" s="588">
        <f ca="1">L310</f>
        <v>115.11497924522686</v>
      </c>
      <c r="M316" s="2980"/>
      <c r="N316" s="588">
        <f>N310</f>
        <v>78.550879643351408</v>
      </c>
      <c r="O316" s="621">
        <f>ROW()</f>
        <v>316</v>
      </c>
    </row>
    <row r="317" spans="2:15" ht="15" customHeight="1">
      <c r="B317" s="585" t="s">
        <v>3955</v>
      </c>
      <c r="D317" s="2980"/>
      <c r="E317" s="2980"/>
      <c r="F317" s="2980"/>
      <c r="G317" s="2980"/>
      <c r="H317" s="4823">
        <f>H316-J316</f>
        <v>40.604030702688874</v>
      </c>
      <c r="I317" s="4823"/>
      <c r="J317" s="4823"/>
      <c r="K317" s="2980"/>
      <c r="L317" s="4823">
        <f ca="1">L316-N316</f>
        <v>36.564099601875455</v>
      </c>
      <c r="M317" s="4823"/>
      <c r="N317" s="4823"/>
      <c r="O317" s="621">
        <f>ROW()</f>
        <v>317</v>
      </c>
    </row>
    <row r="318" spans="2:15" ht="15" customHeight="1">
      <c r="B318" s="585" t="s">
        <v>3956</v>
      </c>
      <c r="D318" s="2345"/>
      <c r="E318" s="2346"/>
      <c r="F318" s="2347" t="s">
        <v>3957</v>
      </c>
      <c r="G318" s="2348">
        <v>0.25</v>
      </c>
      <c r="H318" s="588">
        <f>$G$190*H316</f>
        <v>29.838949634321132</v>
      </c>
      <c r="I318" s="2343"/>
      <c r="J318" s="588">
        <f>$G$190*J316</f>
        <v>19.687941958648913</v>
      </c>
      <c r="K318" s="2980"/>
      <c r="L318" s="588">
        <f ca="1">$G$190*L316</f>
        <v>28.778744811306716</v>
      </c>
      <c r="M318" s="2980"/>
      <c r="N318" s="588">
        <f>$G$190*N316</f>
        <v>19.637719910837852</v>
      </c>
      <c r="O318" s="621">
        <f>ROW()</f>
        <v>318</v>
      </c>
    </row>
    <row r="319" spans="2:15" ht="15" customHeight="1">
      <c r="B319" s="585" t="s">
        <v>3958</v>
      </c>
      <c r="D319" s="2980"/>
      <c r="E319" s="2980"/>
      <c r="F319" s="2980"/>
      <c r="G319" s="2980"/>
      <c r="H319" s="4823">
        <f>(H318^2+J318^2)^0.5</f>
        <v>35.748817796490577</v>
      </c>
      <c r="I319" s="4823"/>
      <c r="J319" s="4823"/>
      <c r="K319" s="2980"/>
      <c r="L319" s="4823">
        <f ca="1">(L318^2+N318^2)^0.5</f>
        <v>34.840439093255277</v>
      </c>
      <c r="M319" s="4823"/>
      <c r="N319" s="4823"/>
      <c r="O319" s="621">
        <f>ROW()</f>
        <v>319</v>
      </c>
    </row>
    <row r="320" spans="2:15" ht="15" customHeight="1">
      <c r="B320" s="2" t="s">
        <v>3959</v>
      </c>
      <c r="D320" s="2980"/>
      <c r="E320" s="2980"/>
      <c r="F320" s="2980"/>
      <c r="G320" s="2980"/>
      <c r="H320" s="4822">
        <f>NORMSDIST((-H317/H319))</f>
        <v>0.12801707382152339</v>
      </c>
      <c r="I320" s="4822"/>
      <c r="J320" s="4822"/>
      <c r="K320" s="2980"/>
      <c r="L320" s="4822">
        <f ca="1">NORMSDIST((-L317/L319))</f>
        <v>0.14698024131278697</v>
      </c>
      <c r="M320" s="4822"/>
      <c r="N320" s="4822"/>
      <c r="O320" s="621">
        <f>ROW()</f>
        <v>320</v>
      </c>
    </row>
    <row r="321" spans="2:37" ht="15" customHeight="1">
      <c r="B321" s="265" t="s">
        <v>2877</v>
      </c>
      <c r="D321" s="2980"/>
      <c r="E321" s="2980"/>
      <c r="F321" s="2980"/>
      <c r="G321" s="2980"/>
      <c r="H321" s="2343"/>
      <c r="I321" s="2343"/>
      <c r="J321" s="2343"/>
      <c r="K321" s="2980"/>
      <c r="L321" s="2980"/>
      <c r="M321" s="2980"/>
      <c r="N321" s="2980"/>
      <c r="O321" s="621">
        <f>ROW()</f>
        <v>321</v>
      </c>
    </row>
    <row r="322" spans="2:37" ht="15" customHeight="1">
      <c r="B322" s="2344"/>
      <c r="D322" s="2980"/>
      <c r="E322" s="2980"/>
      <c r="F322" s="2980"/>
      <c r="G322" s="2980"/>
      <c r="H322" s="2343"/>
      <c r="I322" s="2343"/>
      <c r="J322" s="2343"/>
      <c r="K322" s="2980"/>
      <c r="L322" s="2980"/>
      <c r="M322" s="2980"/>
      <c r="N322" s="2980"/>
      <c r="O322" s="621">
        <f>ROW()</f>
        <v>322</v>
      </c>
    </row>
    <row r="323" spans="2:37" ht="15" customHeight="1">
      <c r="B323" s="1205" t="s">
        <v>3970</v>
      </c>
      <c r="D323" s="2980"/>
      <c r="E323" s="2980"/>
      <c r="F323" s="2980"/>
      <c r="G323" s="2980"/>
      <c r="H323" s="2343"/>
      <c r="I323" s="2343"/>
      <c r="J323" s="2343"/>
      <c r="K323" s="2980"/>
      <c r="L323" s="2980"/>
      <c r="M323" s="2980"/>
      <c r="N323" s="2980"/>
      <c r="O323" s="621">
        <f>ROW()</f>
        <v>323</v>
      </c>
    </row>
    <row r="324" spans="2:37" ht="15" customHeight="1">
      <c r="B324" s="1205"/>
      <c r="D324" s="2980"/>
      <c r="E324" s="2980"/>
      <c r="F324" s="2980"/>
      <c r="G324" s="2980"/>
      <c r="H324" s="2343"/>
      <c r="I324" s="2343"/>
      <c r="J324" s="2343"/>
      <c r="K324" s="2980"/>
      <c r="L324" s="2980"/>
      <c r="M324" s="2980"/>
      <c r="N324" s="2980"/>
      <c r="O324" s="621">
        <f>ROW()</f>
        <v>324</v>
      </c>
    </row>
    <row r="325" spans="2:37" ht="15" customHeight="1">
      <c r="B325" s="585" t="s">
        <v>3971</v>
      </c>
      <c r="D325" s="2980"/>
      <c r="E325" s="2980"/>
      <c r="F325" s="2980"/>
      <c r="G325" s="2980"/>
      <c r="H325" s="588">
        <f>I310</f>
        <v>110.54103886562554</v>
      </c>
      <c r="I325" s="2343"/>
      <c r="J325" s="588">
        <f>J310</f>
        <v>78.751767834595654</v>
      </c>
      <c r="K325" s="2980"/>
      <c r="L325" s="588">
        <f ca="1">M310</f>
        <v>104.87999360150565</v>
      </c>
      <c r="M325" s="2980"/>
      <c r="N325" s="588">
        <f>N310</f>
        <v>78.550879643351408</v>
      </c>
      <c r="O325" s="621">
        <f>ROW()</f>
        <v>325</v>
      </c>
    </row>
    <row r="326" spans="2:37" ht="15" customHeight="1">
      <c r="B326" s="585" t="s">
        <v>3955</v>
      </c>
      <c r="D326" s="2980"/>
      <c r="E326" s="2980"/>
      <c r="F326" s="2980"/>
      <c r="G326" s="2980"/>
      <c r="H326" s="4823">
        <f>H325-J325</f>
        <v>31.789271031029884</v>
      </c>
      <c r="I326" s="4823"/>
      <c r="J326" s="4823"/>
      <c r="K326" s="2980"/>
      <c r="L326" s="4823">
        <f ca="1">L325-N325</f>
        <v>26.329113958154238</v>
      </c>
      <c r="M326" s="4823"/>
      <c r="N326" s="4823"/>
      <c r="O326" s="621">
        <f>ROW()</f>
        <v>326</v>
      </c>
    </row>
    <row r="327" spans="2:37" ht="15" customHeight="1">
      <c r="B327" s="585" t="s">
        <v>3956</v>
      </c>
      <c r="D327" s="2345"/>
      <c r="E327" s="2346"/>
      <c r="F327" s="2347" t="s">
        <v>3957</v>
      </c>
      <c r="G327" s="2348">
        <v>0.25</v>
      </c>
      <c r="H327" s="588">
        <f>$G$190*H325</f>
        <v>27.635259716406384</v>
      </c>
      <c r="I327" s="2343"/>
      <c r="J327" s="588">
        <f>$G$190*J325</f>
        <v>19.687941958648913</v>
      </c>
      <c r="K327" s="2980"/>
      <c r="L327" s="588">
        <f ca="1">$G$190*L325</f>
        <v>26.219998400376411</v>
      </c>
      <c r="M327" s="2343"/>
      <c r="N327" s="588">
        <f>$G$190*N325</f>
        <v>19.637719910837852</v>
      </c>
      <c r="O327" s="621">
        <f>ROW()</f>
        <v>327</v>
      </c>
    </row>
    <row r="328" spans="2:37" ht="15" customHeight="1">
      <c r="B328" s="585" t="s">
        <v>3958</v>
      </c>
      <c r="D328" s="2980"/>
      <c r="E328" s="2980"/>
      <c r="F328" s="2980"/>
      <c r="G328" s="2980"/>
      <c r="H328" s="4823">
        <f>(H327^2+J327^2)^0.5</f>
        <v>33.931145547422382</v>
      </c>
      <c r="I328" s="4823"/>
      <c r="J328" s="4823"/>
      <c r="K328" s="2980"/>
      <c r="L328" s="4823">
        <f ca="1">(L327^2+N327^2)^0.5</f>
        <v>32.758637935852263</v>
      </c>
      <c r="M328" s="4823"/>
      <c r="N328" s="4823"/>
      <c r="O328" s="621">
        <f>ROW()</f>
        <v>328</v>
      </c>
    </row>
    <row r="329" spans="2:37" ht="15" customHeight="1">
      <c r="B329" s="2" t="s">
        <v>3959</v>
      </c>
      <c r="D329" s="2980"/>
      <c r="E329" s="2980"/>
      <c r="F329" s="2980"/>
      <c r="G329" s="2980"/>
      <c r="H329" s="4822">
        <f>NORMSDIST((-H326/H328))</f>
        <v>0.17441120994958381</v>
      </c>
      <c r="I329" s="4822"/>
      <c r="J329" s="4822"/>
      <c r="K329" s="2980"/>
      <c r="L329" s="4822">
        <f ca="1">NORMSDIST((-L326/L328))</f>
        <v>0.21077633970394638</v>
      </c>
      <c r="M329" s="4822"/>
      <c r="N329" s="4822"/>
      <c r="O329" s="621">
        <f>ROW()</f>
        <v>329</v>
      </c>
    </row>
    <row r="330" spans="2:37" ht="15" customHeight="1">
      <c r="B330" s="265" t="s">
        <v>2877</v>
      </c>
      <c r="D330" s="2980"/>
      <c r="E330" s="2980"/>
      <c r="F330" s="2980"/>
      <c r="G330" s="2980"/>
      <c r="H330" s="2343"/>
      <c r="I330" s="2343"/>
      <c r="J330" s="2343"/>
      <c r="K330" s="2980"/>
      <c r="L330" s="2980"/>
      <c r="M330" s="2980"/>
      <c r="N330" s="2980"/>
      <c r="O330" s="621">
        <f>ROW()</f>
        <v>330</v>
      </c>
    </row>
    <row r="331" spans="2:37" ht="15" customHeight="1">
      <c r="B331" s="2344"/>
      <c r="D331" s="2980"/>
      <c r="E331" s="2980"/>
      <c r="F331" s="2980"/>
      <c r="G331" s="2980"/>
      <c r="H331" s="2343"/>
      <c r="I331" s="2343"/>
      <c r="J331" s="2343"/>
      <c r="K331" s="2980"/>
      <c r="L331" s="2980"/>
      <c r="M331" s="2980"/>
      <c r="N331" s="2980"/>
      <c r="O331" s="621">
        <f>ROW()</f>
        <v>331</v>
      </c>
    </row>
    <row r="332" spans="2:37" ht="15" customHeight="1">
      <c r="B332" s="1205" t="s">
        <v>5192</v>
      </c>
      <c r="D332" s="2980"/>
      <c r="E332" s="2980"/>
      <c r="F332" s="2980"/>
      <c r="G332" s="2980"/>
      <c r="H332" s="2343"/>
      <c r="I332" s="2343"/>
      <c r="J332" s="2343"/>
      <c r="K332" s="2980"/>
      <c r="L332" s="2980"/>
      <c r="M332" s="2980"/>
      <c r="N332" s="2980"/>
      <c r="O332" s="621">
        <f>ROW()</f>
        <v>332</v>
      </c>
    </row>
    <row r="333" spans="2:37" ht="15" customHeight="1">
      <c r="B333" s="1"/>
      <c r="O333" s="621">
        <f>ROW()</f>
        <v>333</v>
      </c>
    </row>
    <row r="334" spans="2:37" s="2985" customFormat="1" ht="15" customHeight="1">
      <c r="B334" s="1" t="s">
        <v>5259</v>
      </c>
      <c r="C334"/>
      <c r="D334"/>
      <c r="E334"/>
      <c r="F334"/>
      <c r="G334"/>
      <c r="H334"/>
      <c r="I334"/>
      <c r="J334" s="589" t="s">
        <v>5260</v>
      </c>
      <c r="M334" s="840"/>
      <c r="N334" s="840"/>
      <c r="O334" s="621">
        <f>ROW()</f>
        <v>334</v>
      </c>
      <c r="R334" s="840"/>
      <c r="S334" s="840"/>
      <c r="T334" s="840"/>
      <c r="U334"/>
      <c r="V334" s="840"/>
      <c r="W334" s="840"/>
      <c r="X334" s="840"/>
      <c r="Y334" s="840"/>
      <c r="Z334" s="840"/>
      <c r="AA334" s="840"/>
      <c r="AB334" s="840"/>
      <c r="AC334" s="840"/>
      <c r="AD334" s="840"/>
      <c r="AE334" s="840"/>
      <c r="AF334" s="840"/>
      <c r="AG334" s="840"/>
      <c r="AH334" s="840"/>
      <c r="AI334" s="840"/>
      <c r="AJ334" s="840"/>
      <c r="AK334" s="840"/>
    </row>
    <row r="335" spans="2:37" ht="15" customHeight="1">
      <c r="B335" s="3754" t="s">
        <v>5260</v>
      </c>
      <c r="C335" s="3659"/>
      <c r="D335" s="3659"/>
      <c r="E335" s="3659"/>
      <c r="F335" s="3659"/>
      <c r="G335" s="3659"/>
      <c r="H335" s="3659"/>
      <c r="I335" s="3659"/>
      <c r="J335" s="3659"/>
      <c r="O335" s="621">
        <f>ROW()</f>
        <v>335</v>
      </c>
      <c r="U335" s="840"/>
    </row>
    <row r="336" spans="2:37" ht="15" customHeight="1">
      <c r="B336" s="3659"/>
      <c r="C336" s="3659"/>
      <c r="D336" s="3659"/>
      <c r="E336" s="3659"/>
      <c r="F336" s="3659"/>
      <c r="G336" s="3659"/>
      <c r="H336" s="3659"/>
      <c r="I336" s="3659"/>
      <c r="J336" s="3659"/>
      <c r="O336" s="621">
        <f>ROW()</f>
        <v>336</v>
      </c>
      <c r="U336" s="840"/>
    </row>
    <row r="337" spans="2:37" s="86" customFormat="1" ht="15" customHeight="1">
      <c r="B337" s="1" t="s">
        <v>3944</v>
      </c>
      <c r="C337"/>
      <c r="D337"/>
      <c r="E337"/>
      <c r="F337"/>
      <c r="G337"/>
      <c r="H337"/>
      <c r="I337"/>
      <c r="J337" s="589" t="s">
        <v>5260</v>
      </c>
      <c r="M337" s="859"/>
      <c r="N337" s="859"/>
      <c r="O337" s="621">
        <f>ROW()</f>
        <v>337</v>
      </c>
      <c r="R337" s="859"/>
      <c r="S337" s="859"/>
      <c r="T337" s="859"/>
      <c r="U337"/>
      <c r="V337" s="859"/>
      <c r="W337" s="859"/>
      <c r="X337" s="859"/>
      <c r="Y337" s="859"/>
      <c r="Z337" s="859"/>
      <c r="AA337" s="859"/>
      <c r="AB337" s="859"/>
      <c r="AC337" s="859"/>
      <c r="AD337" s="859"/>
      <c r="AE337" s="859"/>
      <c r="AF337" s="859"/>
      <c r="AG337" s="859"/>
      <c r="AH337" s="859"/>
      <c r="AI337" s="859"/>
      <c r="AJ337" s="859"/>
      <c r="AK337" s="859"/>
    </row>
    <row r="338" spans="2:37" s="86" customFormat="1" ht="15" customHeight="1">
      <c r="B338" s="265" t="s">
        <v>5260</v>
      </c>
      <c r="C338"/>
      <c r="D338"/>
      <c r="E338"/>
      <c r="F338"/>
      <c r="G338"/>
      <c r="H338"/>
      <c r="I338"/>
      <c r="J338" s="1122"/>
      <c r="M338" s="859"/>
      <c r="N338" s="859"/>
      <c r="O338" s="621">
        <f>ROW()</f>
        <v>338</v>
      </c>
      <c r="R338" s="859"/>
      <c r="S338" s="859"/>
      <c r="T338" s="859"/>
      <c r="U338" s="859"/>
      <c r="V338" s="859"/>
      <c r="W338" s="859"/>
      <c r="X338" s="859"/>
      <c r="Y338" s="859"/>
      <c r="Z338" s="859"/>
      <c r="AA338" s="859"/>
      <c r="AB338" s="859"/>
      <c r="AC338" s="859"/>
      <c r="AD338" s="859"/>
      <c r="AE338" s="859"/>
      <c r="AF338" s="859"/>
      <c r="AG338" s="859"/>
      <c r="AH338" s="859"/>
      <c r="AI338" s="859"/>
      <c r="AJ338" s="859"/>
      <c r="AK338" s="859"/>
    </row>
  </sheetData>
  <mergeCells count="121">
    <mergeCell ref="L287:L288"/>
    <mergeCell ref="M287:M288"/>
    <mergeCell ref="L230:N230"/>
    <mergeCell ref="B293:J294"/>
    <mergeCell ref="B6:J8"/>
    <mergeCell ref="B9:J9"/>
    <mergeCell ref="B10:J13"/>
    <mergeCell ref="B119:G120"/>
    <mergeCell ref="H117:J117"/>
    <mergeCell ref="H74:H75"/>
    <mergeCell ref="I74:I75"/>
    <mergeCell ref="I118:I119"/>
    <mergeCell ref="H231:H232"/>
    <mergeCell ref="I231:I232"/>
    <mergeCell ref="B41:J44"/>
    <mergeCell ref="B97:J99"/>
    <mergeCell ref="L61:N67"/>
    <mergeCell ref="L200:N200"/>
    <mergeCell ref="L264:N264"/>
    <mergeCell ref="L147:L148"/>
    <mergeCell ref="M147:M148"/>
    <mergeCell ref="L73:N73"/>
    <mergeCell ref="L118:L119"/>
    <mergeCell ref="M118:M119"/>
    <mergeCell ref="B297:J298"/>
    <mergeCell ref="B15:J19"/>
    <mergeCell ref="B21:J25"/>
    <mergeCell ref="B225:J227"/>
    <mergeCell ref="J217:J219"/>
    <mergeCell ref="B228:I228"/>
    <mergeCell ref="H230:J230"/>
    <mergeCell ref="B207:J208"/>
    <mergeCell ref="H200:J200"/>
    <mergeCell ref="H287:H288"/>
    <mergeCell ref="I287:I288"/>
    <mergeCell ref="H147:H148"/>
    <mergeCell ref="I147:I148"/>
    <mergeCell ref="H286:J286"/>
    <mergeCell ref="J61:J63"/>
    <mergeCell ref="J65:J67"/>
    <mergeCell ref="B170:J171"/>
    <mergeCell ref="B242:J244"/>
    <mergeCell ref="B256:J258"/>
    <mergeCell ref="H264:J264"/>
    <mergeCell ref="H73:J73"/>
    <mergeCell ref="B61:I63"/>
    <mergeCell ref="B65:I67"/>
    <mergeCell ref="H189:J189"/>
    <mergeCell ref="H191:J191"/>
    <mergeCell ref="H192:J192"/>
    <mergeCell ref="B217:I219"/>
    <mergeCell ref="B221:I223"/>
    <mergeCell ref="L95:M95"/>
    <mergeCell ref="H104:I104"/>
    <mergeCell ref="L104:M104"/>
    <mergeCell ref="L117:N117"/>
    <mergeCell ref="H118:H119"/>
    <mergeCell ref="L189:N189"/>
    <mergeCell ref="L191:N191"/>
    <mergeCell ref="L192:N192"/>
    <mergeCell ref="H198:J198"/>
    <mergeCell ref="L198:N198"/>
    <mergeCell ref="M265:M266"/>
    <mergeCell ref="B266:G267"/>
    <mergeCell ref="L217:N223"/>
    <mergeCell ref="J221:J223"/>
    <mergeCell ref="H265:H266"/>
    <mergeCell ref="I265:I266"/>
    <mergeCell ref="L265:L266"/>
    <mergeCell ref="H201:J201"/>
    <mergeCell ref="L201:N201"/>
    <mergeCell ref="L231:L232"/>
    <mergeCell ref="M231:M232"/>
    <mergeCell ref="H329:J329"/>
    <mergeCell ref="L329:N329"/>
    <mergeCell ref="B335:J336"/>
    <mergeCell ref="B69:J70"/>
    <mergeCell ref="B239:J240"/>
    <mergeCell ref="H320:J320"/>
    <mergeCell ref="L320:N320"/>
    <mergeCell ref="H326:J326"/>
    <mergeCell ref="L326:N326"/>
    <mergeCell ref="H328:J328"/>
    <mergeCell ref="L328:N328"/>
    <mergeCell ref="B300:J301"/>
    <mergeCell ref="H317:J317"/>
    <mergeCell ref="L317:N317"/>
    <mergeCell ref="H319:J319"/>
    <mergeCell ref="L319:N319"/>
    <mergeCell ref="L74:L75"/>
    <mergeCell ref="M74:M75"/>
    <mergeCell ref="B165:J166"/>
    <mergeCell ref="B153:J154"/>
    <mergeCell ref="B157:J158"/>
    <mergeCell ref="B106:J107"/>
    <mergeCell ref="B89:J90"/>
    <mergeCell ref="B82:J83"/>
    <mergeCell ref="L286:N286"/>
    <mergeCell ref="J287:J288"/>
    <mergeCell ref="N287:N288"/>
    <mergeCell ref="L180:L181"/>
    <mergeCell ref="M180:M181"/>
    <mergeCell ref="N180:N181"/>
    <mergeCell ref="J265:J266"/>
    <mergeCell ref="N265:N266"/>
    <mergeCell ref="J74:J75"/>
    <mergeCell ref="N74:N75"/>
    <mergeCell ref="J231:J232"/>
    <mergeCell ref="N231:N232"/>
    <mergeCell ref="J147:J148"/>
    <mergeCell ref="N147:N148"/>
    <mergeCell ref="J118:J119"/>
    <mergeCell ref="N118:N119"/>
    <mergeCell ref="H146:J146"/>
    <mergeCell ref="L146:N146"/>
    <mergeCell ref="H179:J179"/>
    <mergeCell ref="L179:N179"/>
    <mergeCell ref="H180:H181"/>
    <mergeCell ref="I180:I181"/>
    <mergeCell ref="J180:J181"/>
    <mergeCell ref="H95:I95"/>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sheetPr codeName="Sheet22"/>
  <dimension ref="A1:J159"/>
  <sheetViews>
    <sheetView showRuler="0" workbookViewId="0">
      <selection activeCell="P25" sqref="P25"/>
    </sheetView>
  </sheetViews>
  <sheetFormatPr defaultColWidth="9" defaultRowHeight="13.2"/>
  <cols>
    <col min="1" max="6" width="9" style="55"/>
    <col min="7" max="7" width="10.125" style="55" customWidth="1"/>
    <col min="8" max="8" width="9" style="55" customWidth="1"/>
    <col min="9" max="9" width="9" style="55"/>
    <col min="10" max="10" width="10.75" style="55" customWidth="1"/>
    <col min="11" max="16384" width="9" style="55"/>
  </cols>
  <sheetData>
    <row r="1" spans="1:10" ht="13.8">
      <c r="A1" s="115" t="s">
        <v>1648</v>
      </c>
      <c r="J1" s="181">
        <f>'Title Page'!K1</f>
        <v>40914</v>
      </c>
    </row>
    <row r="3" spans="1:10">
      <c r="A3" s="769"/>
    </row>
    <row r="4" spans="1:10">
      <c r="A4" s="4833" t="s">
        <v>369</v>
      </c>
      <c r="B4" s="4523"/>
      <c r="C4" s="4523"/>
      <c r="D4" s="4523"/>
      <c r="E4" s="4523"/>
      <c r="F4" s="4523"/>
      <c r="G4" s="4523"/>
      <c r="H4" s="4523"/>
      <c r="I4" s="4523"/>
      <c r="J4" s="4761"/>
    </row>
    <row r="5" spans="1:10">
      <c r="A5" s="4481"/>
      <c r="B5" s="4139"/>
      <c r="C5" s="4139"/>
      <c r="D5" s="4139"/>
      <c r="E5" s="4139"/>
      <c r="F5" s="4139"/>
      <c r="G5" s="4139"/>
      <c r="H5" s="4139"/>
      <c r="I5" s="4139"/>
      <c r="J5" s="4482"/>
    </row>
    <row r="6" spans="1:10">
      <c r="A6" s="4481"/>
      <c r="B6" s="4139"/>
      <c r="C6" s="4139"/>
      <c r="D6" s="4139"/>
      <c r="E6" s="4139"/>
      <c r="F6" s="4139"/>
      <c r="G6" s="4139"/>
      <c r="H6" s="4139"/>
      <c r="I6" s="4139"/>
      <c r="J6" s="4482"/>
    </row>
    <row r="7" spans="1:10">
      <c r="A7" s="4481"/>
      <c r="B7" s="4139"/>
      <c r="C7" s="4139"/>
      <c r="D7" s="4139"/>
      <c r="E7" s="4139"/>
      <c r="F7" s="4139"/>
      <c r="G7" s="4139"/>
      <c r="H7" s="4139"/>
      <c r="I7" s="4139"/>
      <c r="J7" s="4482"/>
    </row>
    <row r="8" spans="1:10">
      <c r="A8" s="4481"/>
      <c r="B8" s="4139"/>
      <c r="C8" s="4139"/>
      <c r="D8" s="4139"/>
      <c r="E8" s="4139"/>
      <c r="F8" s="4139"/>
      <c r="G8" s="4139"/>
      <c r="H8" s="4139"/>
      <c r="I8" s="4139"/>
      <c r="J8" s="4482"/>
    </row>
    <row r="9" spans="1:10">
      <c r="A9" s="4483"/>
      <c r="B9" s="4484"/>
      <c r="C9" s="4484"/>
      <c r="D9" s="4484"/>
      <c r="E9" s="4484"/>
      <c r="F9" s="4484"/>
      <c r="G9" s="4484"/>
      <c r="H9" s="4484"/>
      <c r="I9" s="4484"/>
      <c r="J9" s="4485"/>
    </row>
    <row r="10" spans="1:10">
      <c r="A10" s="196"/>
      <c r="B10" s="196"/>
      <c r="C10" s="196"/>
      <c r="D10" s="196"/>
      <c r="E10" s="196"/>
      <c r="F10" s="196"/>
      <c r="G10" s="196"/>
      <c r="H10" s="196"/>
      <c r="I10" s="196"/>
      <c r="J10" s="196"/>
    </row>
    <row r="11" spans="1:10">
      <c r="A11" s="4828" t="s">
        <v>6216</v>
      </c>
      <c r="B11" s="4828"/>
      <c r="C11" s="4828"/>
      <c r="D11" s="4828"/>
      <c r="E11" s="4828"/>
      <c r="F11" s="4828"/>
      <c r="G11" s="4828"/>
      <c r="H11" s="4828"/>
      <c r="I11" s="4828"/>
      <c r="J11" s="4828"/>
    </row>
    <row r="12" spans="1:10">
      <c r="A12" s="4828"/>
      <c r="B12" s="4828"/>
      <c r="C12" s="4828"/>
      <c r="D12" s="4828"/>
      <c r="E12" s="4828"/>
      <c r="F12" s="4828"/>
      <c r="G12" s="4828"/>
      <c r="H12" s="4828"/>
      <c r="I12" s="4828"/>
      <c r="J12" s="4828"/>
    </row>
    <row r="13" spans="1:10">
      <c r="A13" s="4828"/>
      <c r="B13" s="4828"/>
      <c r="C13" s="4828"/>
      <c r="D13" s="4828"/>
      <c r="E13" s="4828"/>
      <c r="F13" s="4828"/>
      <c r="G13" s="4828"/>
      <c r="H13" s="4828"/>
      <c r="I13" s="4828"/>
      <c r="J13" s="4828"/>
    </row>
    <row r="14" spans="1:10">
      <c r="A14" s="4828"/>
      <c r="B14" s="4828"/>
      <c r="C14" s="4828"/>
      <c r="D14" s="4828"/>
      <c r="E14" s="4828"/>
      <c r="F14" s="4828"/>
      <c r="G14" s="4828"/>
      <c r="H14" s="4828"/>
      <c r="I14" s="4828"/>
      <c r="J14" s="4828"/>
    </row>
    <row r="15" spans="1:10">
      <c r="A15" s="4828"/>
      <c r="B15" s="4828"/>
      <c r="C15" s="4828"/>
      <c r="D15" s="4828"/>
      <c r="E15" s="4828"/>
      <c r="F15" s="4828"/>
      <c r="G15" s="4828"/>
      <c r="H15" s="4828"/>
      <c r="I15" s="4828"/>
      <c r="J15" s="4828"/>
    </row>
    <row r="16" spans="1:10">
      <c r="A16" s="3781"/>
      <c r="B16" s="3781"/>
      <c r="C16" s="3781"/>
      <c r="D16" s="3781"/>
      <c r="E16" s="3781"/>
      <c r="F16" s="3781"/>
      <c r="G16" s="3781"/>
      <c r="H16" s="3781"/>
      <c r="I16" s="3781"/>
      <c r="J16" s="3781"/>
    </row>
    <row r="17" spans="1:10">
      <c r="A17" s="3781"/>
      <c r="B17" s="3781"/>
      <c r="C17" s="3781"/>
      <c r="D17" s="3781"/>
      <c r="E17" s="3781"/>
      <c r="F17" s="3781"/>
      <c r="G17" s="3781"/>
      <c r="H17" s="3781"/>
      <c r="I17" s="3781"/>
      <c r="J17" s="3781"/>
    </row>
    <row r="19" spans="1:10">
      <c r="A19" s="4828" t="s">
        <v>370</v>
      </c>
      <c r="B19" s="4828"/>
      <c r="C19" s="4828"/>
      <c r="D19" s="4828"/>
      <c r="E19" s="4828"/>
      <c r="F19" s="4828"/>
      <c r="G19" s="4828"/>
      <c r="H19" s="4828"/>
      <c r="I19" s="4828"/>
      <c r="J19" s="4828"/>
    </row>
    <row r="20" spans="1:10">
      <c r="A20" s="4828"/>
      <c r="B20" s="4828"/>
      <c r="C20" s="4828"/>
      <c r="D20" s="4828"/>
      <c r="E20" s="4828"/>
      <c r="F20" s="4828"/>
      <c r="G20" s="4828"/>
      <c r="H20" s="4828"/>
      <c r="I20" s="4828"/>
      <c r="J20" s="4828"/>
    </row>
    <row r="21" spans="1:10">
      <c r="A21" s="4828"/>
      <c r="B21" s="4828"/>
      <c r="C21" s="4828"/>
      <c r="D21" s="4828"/>
      <c r="E21" s="4828"/>
      <c r="F21" s="4828"/>
      <c r="G21" s="4828"/>
      <c r="H21" s="4828"/>
      <c r="I21" s="4828"/>
      <c r="J21" s="4828"/>
    </row>
    <row r="22" spans="1:10">
      <c r="A22" s="4828"/>
      <c r="B22" s="4828"/>
      <c r="C22" s="4828"/>
      <c r="D22" s="4828"/>
      <c r="E22" s="4828"/>
      <c r="F22" s="4828"/>
      <c r="G22" s="4828"/>
      <c r="H22" s="4828"/>
      <c r="I22" s="4828"/>
      <c r="J22" s="4828"/>
    </row>
    <row r="23" spans="1:10">
      <c r="A23" s="4828"/>
      <c r="B23" s="4828"/>
      <c r="C23" s="4828"/>
      <c r="D23" s="4828"/>
      <c r="E23" s="4828"/>
      <c r="F23" s="4828"/>
      <c r="G23" s="4828"/>
      <c r="H23" s="4828"/>
      <c r="I23" s="4828"/>
      <c r="J23" s="4828"/>
    </row>
    <row r="24" spans="1:10">
      <c r="A24" s="191"/>
      <c r="B24" s="191"/>
      <c r="C24" s="191"/>
      <c r="D24" s="191"/>
      <c r="E24" s="191"/>
      <c r="F24" s="191"/>
      <c r="G24" s="191"/>
      <c r="H24" s="191"/>
      <c r="I24" s="191"/>
      <c r="J24" s="191"/>
    </row>
    <row r="25" spans="1:10">
      <c r="A25" s="4563" t="s">
        <v>1706</v>
      </c>
      <c r="B25" s="4563"/>
      <c r="C25" s="4563"/>
      <c r="D25" s="4563"/>
      <c r="E25" s="4563"/>
      <c r="F25" s="4563"/>
      <c r="G25" s="4563"/>
      <c r="H25" s="4563"/>
      <c r="I25" s="4563"/>
      <c r="J25" s="4563"/>
    </row>
    <row r="26" spans="1:10">
      <c r="A26" s="4563"/>
      <c r="B26" s="4563"/>
      <c r="C26" s="4563"/>
      <c r="D26" s="4563"/>
      <c r="E26" s="4563"/>
      <c r="F26" s="4563"/>
      <c r="G26" s="4563"/>
      <c r="H26" s="4563"/>
      <c r="I26" s="4563"/>
      <c r="J26" s="4563"/>
    </row>
    <row r="27" spans="1:10">
      <c r="A27" s="4563"/>
      <c r="B27" s="4563"/>
      <c r="C27" s="4563"/>
      <c r="D27" s="4563"/>
      <c r="E27" s="4563"/>
      <c r="F27" s="4563"/>
      <c r="G27" s="4563"/>
      <c r="H27" s="4563"/>
      <c r="I27" s="4563"/>
      <c r="J27" s="4563"/>
    </row>
    <row r="28" spans="1:10">
      <c r="A28" s="4563"/>
      <c r="B28" s="4563"/>
      <c r="C28" s="4563"/>
      <c r="D28" s="4563"/>
      <c r="E28" s="4563"/>
      <c r="F28" s="4563"/>
      <c r="G28" s="4563"/>
      <c r="H28" s="4563"/>
      <c r="I28" s="4563"/>
      <c r="J28" s="4563"/>
    </row>
    <row r="29" spans="1:10">
      <c r="A29" s="4563"/>
      <c r="B29" s="4563"/>
      <c r="C29" s="4563"/>
      <c r="D29" s="4563"/>
      <c r="E29" s="4563"/>
      <c r="F29" s="4563"/>
      <c r="G29" s="4563"/>
      <c r="H29" s="4563"/>
      <c r="I29" s="4563"/>
      <c r="J29" s="4563"/>
    </row>
    <row r="30" spans="1:10">
      <c r="A30" s="4563"/>
      <c r="B30" s="4563"/>
      <c r="C30" s="4563"/>
      <c r="D30" s="4563"/>
      <c r="E30" s="4563"/>
      <c r="F30" s="4563"/>
      <c r="G30" s="4563"/>
      <c r="H30" s="4563"/>
      <c r="I30" s="4563"/>
      <c r="J30" s="4563"/>
    </row>
    <row r="31" spans="1:10">
      <c r="A31" s="4563"/>
      <c r="B31" s="4563"/>
      <c r="C31" s="4563"/>
      <c r="D31" s="4563"/>
      <c r="E31" s="4563"/>
      <c r="F31" s="4563"/>
      <c r="G31" s="4563"/>
      <c r="H31" s="4563"/>
      <c r="I31" s="4563"/>
      <c r="J31" s="4563"/>
    </row>
    <row r="33" spans="1:10">
      <c r="A33" s="4828" t="s">
        <v>1757</v>
      </c>
      <c r="B33" s="4828"/>
      <c r="C33" s="4828"/>
      <c r="D33" s="4828"/>
      <c r="E33" s="4828"/>
      <c r="F33" s="4828"/>
      <c r="G33" s="4828"/>
      <c r="H33" s="4828"/>
      <c r="I33" s="4828"/>
      <c r="J33" s="4828"/>
    </row>
    <row r="34" spans="1:10">
      <c r="A34" s="4828"/>
      <c r="B34" s="4828"/>
      <c r="C34" s="4828"/>
      <c r="D34" s="4828"/>
      <c r="E34" s="4828"/>
      <c r="F34" s="4828"/>
      <c r="G34" s="4828"/>
      <c r="H34" s="4828"/>
      <c r="I34" s="4828"/>
      <c r="J34" s="4828"/>
    </row>
    <row r="35" spans="1:10">
      <c r="A35" s="4828"/>
      <c r="B35" s="4828"/>
      <c r="C35" s="4828"/>
      <c r="D35" s="4828"/>
      <c r="E35" s="4828"/>
      <c r="F35" s="4828"/>
      <c r="G35" s="4828"/>
      <c r="H35" s="4828"/>
      <c r="I35" s="4828"/>
      <c r="J35" s="4828"/>
    </row>
    <row r="36" spans="1:10">
      <c r="A36" s="4828"/>
      <c r="B36" s="4828"/>
      <c r="C36" s="4828"/>
      <c r="D36" s="4828"/>
      <c r="E36" s="4828"/>
      <c r="F36" s="4828"/>
      <c r="G36" s="4828"/>
      <c r="H36" s="4828"/>
      <c r="I36" s="4828"/>
      <c r="J36" s="4828"/>
    </row>
    <row r="38" spans="1:10">
      <c r="A38" s="770" t="s">
        <v>2094</v>
      </c>
    </row>
    <row r="40" spans="1:10">
      <c r="A40" s="4828" t="s">
        <v>2293</v>
      </c>
      <c r="B40" s="4828"/>
      <c r="C40" s="4828"/>
      <c r="D40" s="4828"/>
      <c r="E40" s="4828"/>
      <c r="F40" s="4828"/>
      <c r="G40" s="4828"/>
      <c r="H40" s="4828"/>
      <c r="I40" s="4828"/>
      <c r="J40" s="4828"/>
    </row>
    <row r="41" spans="1:10">
      <c r="A41" s="4828"/>
      <c r="B41" s="4828"/>
      <c r="C41" s="4828"/>
      <c r="D41" s="4828"/>
      <c r="E41" s="4828"/>
      <c r="F41" s="4828"/>
      <c r="G41" s="4828"/>
      <c r="H41" s="4828"/>
      <c r="I41" s="4828"/>
      <c r="J41" s="4828"/>
    </row>
    <row r="42" spans="1:10" ht="13.8" thickBot="1">
      <c r="A42" s="165"/>
      <c r="B42" s="165"/>
      <c r="C42" s="165"/>
      <c r="D42" s="165"/>
      <c r="E42" s="165"/>
      <c r="F42" s="165"/>
      <c r="G42" s="165"/>
      <c r="H42" s="165"/>
      <c r="I42" s="165"/>
      <c r="J42" s="165"/>
    </row>
    <row r="43" spans="1:10">
      <c r="A43" s="4834" t="s">
        <v>1272</v>
      </c>
      <c r="B43" s="4835" t="s">
        <v>1273</v>
      </c>
      <c r="C43" s="4836" t="s">
        <v>1274</v>
      </c>
      <c r="D43" s="4837" t="s">
        <v>1273</v>
      </c>
      <c r="E43" s="4835" t="s">
        <v>1273</v>
      </c>
      <c r="F43" s="4836" t="s">
        <v>1274</v>
      </c>
      <c r="G43" s="772" t="s">
        <v>1274</v>
      </c>
      <c r="H43" s="165"/>
      <c r="I43" s="165"/>
      <c r="J43" s="165"/>
    </row>
    <row r="44" spans="1:10">
      <c r="A44" s="4831" t="s">
        <v>2282</v>
      </c>
      <c r="B44" s="3796"/>
      <c r="C44" s="4139"/>
      <c r="D44" s="4830" t="s">
        <v>1271</v>
      </c>
      <c r="E44" s="3796"/>
      <c r="F44" s="4139"/>
      <c r="G44" s="777">
        <v>-0.6</v>
      </c>
      <c r="H44" s="165"/>
      <c r="I44" s="165"/>
      <c r="J44" s="165"/>
    </row>
    <row r="45" spans="1:10">
      <c r="A45" s="4831" t="s">
        <v>2282</v>
      </c>
      <c r="B45" s="3796"/>
      <c r="C45" s="4139"/>
      <c r="D45" s="4830" t="s">
        <v>2300</v>
      </c>
      <c r="E45" s="3796"/>
      <c r="F45" s="4139"/>
      <c r="G45" s="773">
        <v>-0.13</v>
      </c>
      <c r="H45" s="165"/>
      <c r="I45" s="165"/>
      <c r="J45" s="165"/>
    </row>
    <row r="46" spans="1:10">
      <c r="A46" s="4831" t="s">
        <v>1270</v>
      </c>
      <c r="B46" s="3796"/>
      <c r="C46" s="4139"/>
      <c r="D46" s="4830" t="s">
        <v>2302</v>
      </c>
      <c r="E46" s="3796"/>
      <c r="F46" s="4139"/>
      <c r="G46" s="773">
        <v>-0.22</v>
      </c>
      <c r="H46" s="165"/>
      <c r="I46" s="165"/>
      <c r="J46" s="165"/>
    </row>
    <row r="47" spans="1:10">
      <c r="A47" s="4831" t="s">
        <v>1270</v>
      </c>
      <c r="B47" s="3796"/>
      <c r="C47" s="4139"/>
      <c r="D47" s="4830" t="s">
        <v>773</v>
      </c>
      <c r="E47" s="3796"/>
      <c r="F47" s="4139"/>
      <c r="G47" s="773">
        <v>-0.09</v>
      </c>
      <c r="H47" s="165"/>
      <c r="I47" s="165"/>
      <c r="J47" s="165"/>
    </row>
    <row r="48" spans="1:10" ht="13.8" thickBot="1">
      <c r="A48" s="774" t="s">
        <v>803</v>
      </c>
      <c r="B48" s="775"/>
      <c r="C48" s="775"/>
      <c r="D48" s="775"/>
      <c r="E48" s="775"/>
      <c r="F48" s="775"/>
      <c r="G48" s="776"/>
      <c r="H48" s="165"/>
      <c r="I48" s="165"/>
      <c r="J48" s="165"/>
    </row>
    <row r="50" spans="1:10" ht="12.75" customHeight="1">
      <c r="A50" s="4828" t="s">
        <v>2187</v>
      </c>
      <c r="B50" s="4828"/>
      <c r="C50" s="4828"/>
      <c r="D50" s="4828"/>
      <c r="E50" s="4828"/>
      <c r="F50" s="4828"/>
      <c r="G50" s="4828"/>
      <c r="H50" s="4828"/>
      <c r="I50" s="4828"/>
      <c r="J50" s="4828"/>
    </row>
    <row r="51" spans="1:10">
      <c r="A51" s="4828"/>
      <c r="B51" s="4828"/>
      <c r="C51" s="4828"/>
      <c r="D51" s="4828"/>
      <c r="E51" s="4828"/>
      <c r="F51" s="4828"/>
      <c r="G51" s="4828"/>
      <c r="H51" s="4828"/>
      <c r="I51" s="4828"/>
      <c r="J51" s="4828"/>
    </row>
    <row r="52" spans="1:10">
      <c r="A52" s="4828"/>
      <c r="B52" s="4828"/>
      <c r="C52" s="4828"/>
      <c r="D52" s="4828"/>
      <c r="E52" s="4828"/>
      <c r="F52" s="4828"/>
      <c r="G52" s="4828"/>
      <c r="H52" s="4828"/>
      <c r="I52" s="4828"/>
      <c r="J52" s="4828"/>
    </row>
    <row r="53" spans="1:10">
      <c r="A53" s="4828"/>
      <c r="B53" s="4828"/>
      <c r="C53" s="4828"/>
      <c r="D53" s="4828"/>
      <c r="E53" s="4828"/>
      <c r="F53" s="4828"/>
      <c r="G53" s="4828"/>
      <c r="H53" s="4828"/>
      <c r="I53" s="4828"/>
      <c r="J53" s="4828"/>
    </row>
    <row r="54" spans="1:10">
      <c r="A54" s="4828" t="s">
        <v>1741</v>
      </c>
      <c r="B54" s="4828"/>
      <c r="C54" s="4828"/>
      <c r="D54" s="4828"/>
      <c r="E54" s="4828"/>
      <c r="F54" s="4828"/>
      <c r="G54" s="4828"/>
      <c r="H54" s="4828"/>
      <c r="I54" s="4828"/>
      <c r="J54" s="4828"/>
    </row>
    <row r="55" spans="1:10">
      <c r="A55" s="4828"/>
      <c r="B55" s="4828"/>
      <c r="C55" s="4828"/>
      <c r="D55" s="4828"/>
      <c r="E55" s="4828"/>
      <c r="F55" s="4828"/>
      <c r="G55" s="4828"/>
      <c r="H55" s="4828"/>
      <c r="I55" s="4828"/>
      <c r="J55" s="4828"/>
    </row>
    <row r="56" spans="1:10">
      <c r="A56" s="4828"/>
      <c r="B56" s="4828"/>
      <c r="C56" s="4828"/>
      <c r="D56" s="4828"/>
      <c r="E56" s="4828"/>
      <c r="F56" s="4828"/>
      <c r="G56" s="4828"/>
      <c r="H56" s="4828"/>
      <c r="I56" s="4828"/>
      <c r="J56" s="4828"/>
    </row>
    <row r="58" spans="1:10" ht="12.75" customHeight="1">
      <c r="A58" s="4828" t="s">
        <v>22</v>
      </c>
      <c r="B58" s="4828"/>
      <c r="C58" s="4828"/>
      <c r="D58" s="4828"/>
      <c r="E58" s="4828"/>
      <c r="F58" s="4828"/>
      <c r="G58" s="4828"/>
      <c r="H58" s="4828"/>
      <c r="I58" s="4828"/>
      <c r="J58" s="4828"/>
    </row>
    <row r="59" spans="1:10">
      <c r="A59" s="4828"/>
      <c r="B59" s="4828"/>
      <c r="C59" s="4828"/>
      <c r="D59" s="4828"/>
      <c r="E59" s="4828"/>
      <c r="F59" s="4828"/>
      <c r="G59" s="4828"/>
      <c r="H59" s="4828"/>
      <c r="I59" s="4828"/>
      <c r="J59" s="4828"/>
    </row>
    <row r="60" spans="1:10">
      <c r="A60" s="4828"/>
      <c r="B60" s="4828"/>
      <c r="C60" s="4828"/>
      <c r="D60" s="4828"/>
      <c r="E60" s="4828"/>
      <c r="F60" s="4828"/>
      <c r="G60" s="4828"/>
      <c r="H60" s="4828"/>
      <c r="I60" s="4828"/>
      <c r="J60" s="4828"/>
    </row>
    <row r="61" spans="1:10">
      <c r="A61" s="4828"/>
      <c r="B61" s="4828"/>
      <c r="C61" s="4828"/>
      <c r="D61" s="4828"/>
      <c r="E61" s="4828"/>
      <c r="F61" s="4828"/>
      <c r="G61" s="4828"/>
      <c r="H61" s="4828"/>
      <c r="I61" s="4828"/>
      <c r="J61" s="4828"/>
    </row>
    <row r="62" spans="1:10">
      <c r="A62" s="4828"/>
      <c r="B62" s="4828"/>
      <c r="C62" s="4828"/>
      <c r="D62" s="4828"/>
      <c r="E62" s="4828"/>
      <c r="F62" s="4828"/>
      <c r="G62" s="4828"/>
      <c r="H62" s="4828"/>
      <c r="I62" s="4828"/>
      <c r="J62" s="4828"/>
    </row>
    <row r="63" spans="1:10">
      <c r="A63" s="4828"/>
      <c r="B63" s="4828"/>
      <c r="C63" s="4828"/>
      <c r="D63" s="4828"/>
      <c r="E63" s="4828"/>
      <c r="F63" s="4828"/>
      <c r="G63" s="4828"/>
      <c r="H63" s="4828"/>
      <c r="I63" s="4828"/>
      <c r="J63" s="4828"/>
    </row>
    <row r="64" spans="1:10">
      <c r="A64" s="4828"/>
      <c r="B64" s="4828"/>
      <c r="C64" s="4828"/>
      <c r="D64" s="4828"/>
      <c r="E64" s="4828"/>
      <c r="F64" s="4828"/>
      <c r="G64" s="4828"/>
      <c r="H64" s="4828"/>
      <c r="I64" s="4828"/>
      <c r="J64" s="4828"/>
    </row>
    <row r="65" spans="1:10">
      <c r="A65" s="1695"/>
      <c r="B65" s="1695"/>
      <c r="C65" s="1695"/>
      <c r="D65" s="1695"/>
      <c r="E65" s="1695"/>
      <c r="F65" s="1695"/>
      <c r="G65" s="1695"/>
      <c r="H65" s="1695"/>
      <c r="I65" s="1695"/>
      <c r="J65" s="1695"/>
    </row>
    <row r="66" spans="1:10">
      <c r="A66" s="4828" t="s">
        <v>1400</v>
      </c>
      <c r="B66" s="4828"/>
      <c r="C66" s="4828"/>
      <c r="D66" s="4828"/>
      <c r="E66" s="4828"/>
      <c r="F66" s="4828"/>
      <c r="G66" s="4828"/>
      <c r="H66" s="4828"/>
      <c r="I66" s="4828"/>
      <c r="J66" s="4828"/>
    </row>
    <row r="67" spans="1:10">
      <c r="A67" s="4828"/>
      <c r="B67" s="4828"/>
      <c r="C67" s="4828"/>
      <c r="D67" s="4828"/>
      <c r="E67" s="4828"/>
      <c r="F67" s="4828"/>
      <c r="G67" s="4828"/>
      <c r="H67" s="4828"/>
      <c r="I67" s="4828"/>
      <c r="J67" s="4828"/>
    </row>
    <row r="69" spans="1:10" ht="12.75" customHeight="1">
      <c r="A69" s="4829" t="s">
        <v>23</v>
      </c>
      <c r="B69" s="4828"/>
      <c r="C69" s="4828"/>
      <c r="D69" s="4828"/>
      <c r="E69" s="4828"/>
      <c r="F69" s="4828"/>
      <c r="G69" s="4828"/>
      <c r="H69" s="4828"/>
      <c r="I69" s="4828"/>
      <c r="J69" s="4828"/>
    </row>
    <row r="70" spans="1:10">
      <c r="A70" s="4828"/>
      <c r="B70" s="4828"/>
      <c r="C70" s="4828"/>
      <c r="D70" s="4828"/>
      <c r="E70" s="4828"/>
      <c r="F70" s="4828"/>
      <c r="G70" s="4828"/>
      <c r="H70" s="4828"/>
      <c r="I70" s="4828"/>
      <c r="J70" s="4828"/>
    </row>
    <row r="71" spans="1:10">
      <c r="A71" s="4828"/>
      <c r="B71" s="4828"/>
      <c r="C71" s="4828"/>
      <c r="D71" s="4828"/>
      <c r="E71" s="4828"/>
      <c r="F71" s="4828"/>
      <c r="G71" s="4828"/>
      <c r="H71" s="4828"/>
      <c r="I71" s="4828"/>
      <c r="J71" s="4828"/>
    </row>
    <row r="72" spans="1:10">
      <c r="A72" s="4828"/>
      <c r="B72" s="4828"/>
      <c r="C72" s="4828"/>
      <c r="D72" s="4828"/>
      <c r="E72" s="4828"/>
      <c r="F72" s="4828"/>
      <c r="G72" s="4828"/>
      <c r="H72" s="4828"/>
      <c r="I72" s="4828"/>
      <c r="J72" s="4828"/>
    </row>
    <row r="73" spans="1:10">
      <c r="A73" s="4828"/>
      <c r="B73" s="4828"/>
      <c r="C73" s="4828"/>
      <c r="D73" s="4828"/>
      <c r="E73" s="4828"/>
      <c r="F73" s="4828"/>
      <c r="G73" s="4828"/>
      <c r="H73" s="4828"/>
      <c r="I73" s="4828"/>
      <c r="J73" s="4828"/>
    </row>
    <row r="74" spans="1:10">
      <c r="A74" s="4828"/>
      <c r="B74" s="4828"/>
      <c r="C74" s="4828"/>
      <c r="D74" s="4828"/>
      <c r="E74" s="4828"/>
      <c r="F74" s="4828"/>
      <c r="G74" s="4828"/>
      <c r="H74" s="4828"/>
      <c r="I74" s="4828"/>
      <c r="J74" s="4828"/>
    </row>
    <row r="75" spans="1:10">
      <c r="A75" s="4828"/>
      <c r="B75" s="4828"/>
      <c r="C75" s="4828"/>
      <c r="D75" s="4828"/>
      <c r="E75" s="4828"/>
      <c r="F75" s="4828"/>
      <c r="G75" s="4828"/>
      <c r="H75" s="4828"/>
      <c r="I75" s="4828"/>
      <c r="J75" s="4828"/>
    </row>
    <row r="76" spans="1:10">
      <c r="A76" s="4828"/>
      <c r="B76" s="4828"/>
      <c r="C76" s="4828"/>
      <c r="D76" s="4828"/>
      <c r="E76" s="4828"/>
      <c r="F76" s="4828"/>
      <c r="G76" s="4828"/>
      <c r="H76" s="4828"/>
      <c r="I76" s="4828"/>
      <c r="J76" s="4828"/>
    </row>
    <row r="77" spans="1:10">
      <c r="A77" s="4829" t="s">
        <v>24</v>
      </c>
      <c r="B77" s="3781"/>
      <c r="C77" s="3781"/>
      <c r="D77" s="3781"/>
      <c r="E77" s="3781"/>
      <c r="F77" s="3781"/>
      <c r="G77" s="3781"/>
      <c r="H77" s="3781"/>
      <c r="I77" s="3781"/>
      <c r="J77" s="3781"/>
    </row>
    <row r="78" spans="1:10">
      <c r="A78" s="3781"/>
      <c r="B78" s="3781"/>
      <c r="C78" s="3781"/>
      <c r="D78" s="3781"/>
      <c r="E78" s="3781"/>
      <c r="F78" s="3781"/>
      <c r="G78" s="3781"/>
      <c r="H78" s="3781"/>
      <c r="I78" s="3781"/>
      <c r="J78" s="3781"/>
    </row>
    <row r="79" spans="1:10">
      <c r="A79" s="3781"/>
      <c r="B79" s="3781"/>
      <c r="C79" s="3781"/>
      <c r="D79" s="3781"/>
      <c r="E79" s="3781"/>
      <c r="F79" s="3781"/>
      <c r="G79" s="3781"/>
      <c r="H79" s="3781"/>
      <c r="I79" s="3781"/>
      <c r="J79" s="3781"/>
    </row>
    <row r="80" spans="1:10">
      <c r="A80" s="3781"/>
      <c r="B80" s="3781"/>
      <c r="C80" s="3781"/>
      <c r="D80" s="3781"/>
      <c r="E80" s="3781"/>
      <c r="F80" s="3781"/>
      <c r="G80" s="3781"/>
      <c r="H80" s="3781"/>
      <c r="I80" s="3781"/>
      <c r="J80" s="3781"/>
    </row>
    <row r="81" spans="1:10">
      <c r="A81" s="3781"/>
      <c r="B81" s="3781"/>
      <c r="C81" s="3781"/>
      <c r="D81" s="3781"/>
      <c r="E81" s="3781"/>
      <c r="F81" s="3781"/>
      <c r="G81" s="3781"/>
      <c r="H81" s="3781"/>
      <c r="I81" s="3781"/>
      <c r="J81" s="3781"/>
    </row>
    <row r="82" spans="1:10">
      <c r="A82" s="3781"/>
      <c r="B82" s="3781"/>
      <c r="C82" s="3781"/>
      <c r="D82" s="3781"/>
      <c r="E82" s="3781"/>
      <c r="F82" s="3781"/>
      <c r="G82" s="3781"/>
      <c r="H82" s="3781"/>
      <c r="I82" s="3781"/>
      <c r="J82" s="3781"/>
    </row>
    <row r="83" spans="1:10">
      <c r="A83" s="191"/>
      <c r="B83" s="191"/>
      <c r="C83" s="191"/>
      <c r="D83" s="191"/>
      <c r="E83" s="191"/>
      <c r="F83" s="191"/>
      <c r="G83" s="191"/>
      <c r="H83" s="191"/>
      <c r="I83" s="191"/>
      <c r="J83" s="191"/>
    </row>
    <row r="84" spans="1:10" ht="12.75" customHeight="1">
      <c r="A84" s="4829" t="s">
        <v>25</v>
      </c>
      <c r="B84" s="4828"/>
      <c r="C84" s="4828"/>
      <c r="D84" s="4828"/>
      <c r="E84" s="4828"/>
      <c r="F84" s="4828"/>
      <c r="G84" s="4828"/>
      <c r="H84" s="4828"/>
      <c r="I84" s="4828"/>
      <c r="J84" s="4828"/>
    </row>
    <row r="85" spans="1:10">
      <c r="A85" s="4828"/>
      <c r="B85" s="4828"/>
      <c r="C85" s="4828"/>
      <c r="D85" s="4828"/>
      <c r="E85" s="4828"/>
      <c r="F85" s="4828"/>
      <c r="G85" s="4828"/>
      <c r="H85" s="4828"/>
      <c r="I85" s="4828"/>
      <c r="J85" s="4828"/>
    </row>
    <row r="86" spans="1:10">
      <c r="A86" s="4828"/>
      <c r="B86" s="4828"/>
      <c r="C86" s="4828"/>
      <c r="D86" s="4828"/>
      <c r="E86" s="4828"/>
      <c r="F86" s="4828"/>
      <c r="G86" s="4828"/>
      <c r="H86" s="4828"/>
      <c r="I86" s="4828"/>
      <c r="J86" s="4828"/>
    </row>
    <row r="87" spans="1:10">
      <c r="A87" s="4828"/>
      <c r="B87" s="4828"/>
      <c r="C87" s="4828"/>
      <c r="D87" s="4828"/>
      <c r="E87" s="4828"/>
      <c r="F87" s="4828"/>
      <c r="G87" s="4828"/>
      <c r="H87" s="4828"/>
      <c r="I87" s="4828"/>
      <c r="J87" s="4828"/>
    </row>
    <row r="88" spans="1:10">
      <c r="A88" s="3781"/>
      <c r="B88" s="3781"/>
      <c r="C88" s="3781"/>
      <c r="D88" s="3781"/>
      <c r="E88" s="3781"/>
      <c r="F88" s="3781"/>
      <c r="G88" s="3781"/>
      <c r="H88" s="3781"/>
      <c r="I88" s="3781"/>
      <c r="J88" s="3781"/>
    </row>
    <row r="89" spans="1:10">
      <c r="A89" s="4828"/>
      <c r="B89" s="4828"/>
      <c r="C89" s="4828"/>
      <c r="D89" s="4828"/>
      <c r="E89" s="4828"/>
      <c r="F89" s="4828"/>
      <c r="G89" s="4828"/>
      <c r="H89" s="4828"/>
      <c r="I89" s="4828"/>
      <c r="J89" s="4828"/>
    </row>
    <row r="90" spans="1:10">
      <c r="A90" s="4829" t="s">
        <v>5266</v>
      </c>
      <c r="B90" s="3781"/>
      <c r="C90" s="3781"/>
      <c r="D90" s="3781"/>
      <c r="E90" s="3781"/>
      <c r="F90" s="3781"/>
      <c r="G90" s="3781"/>
      <c r="H90" s="3781"/>
      <c r="I90" s="3781"/>
      <c r="J90" s="3781"/>
    </row>
    <row r="91" spans="1:10">
      <c r="A91" s="3781"/>
      <c r="B91" s="3781"/>
      <c r="C91" s="3781"/>
      <c r="D91" s="3781"/>
      <c r="E91" s="3781"/>
      <c r="F91" s="3781"/>
      <c r="G91" s="3781"/>
      <c r="H91" s="3781"/>
      <c r="I91" s="3781"/>
      <c r="J91" s="3781"/>
    </row>
    <row r="92" spans="1:10">
      <c r="A92" s="3781"/>
      <c r="B92" s="3781"/>
      <c r="C92" s="3781"/>
      <c r="D92" s="3781"/>
      <c r="E92" s="3781"/>
      <c r="F92" s="3781"/>
      <c r="G92" s="3781"/>
      <c r="H92" s="3781"/>
      <c r="I92" s="3781"/>
      <c r="J92" s="3781"/>
    </row>
    <row r="93" spans="1:10">
      <c r="A93" s="3781"/>
      <c r="B93" s="3781"/>
      <c r="C93" s="3781"/>
      <c r="D93" s="3781"/>
      <c r="E93" s="3781"/>
      <c r="F93" s="3781"/>
      <c r="G93" s="3781"/>
      <c r="H93" s="3781"/>
      <c r="I93" s="3781"/>
      <c r="J93" s="3781"/>
    </row>
    <row r="94" spans="1:10">
      <c r="A94" s="3781"/>
      <c r="B94" s="3781"/>
      <c r="C94" s="3781"/>
      <c r="D94" s="3781"/>
      <c r="E94" s="3781"/>
      <c r="F94" s="3781"/>
      <c r="G94" s="3781"/>
      <c r="H94" s="3781"/>
      <c r="I94" s="3781"/>
      <c r="J94" s="3781"/>
    </row>
    <row r="95" spans="1:10">
      <c r="A95" s="3781"/>
      <c r="B95" s="3781"/>
      <c r="C95" s="3781"/>
      <c r="D95" s="3781"/>
      <c r="E95" s="3781"/>
      <c r="F95" s="3781"/>
      <c r="G95" s="3781"/>
      <c r="H95" s="3781"/>
      <c r="I95" s="3781"/>
      <c r="J95" s="3781"/>
    </row>
    <row r="96" spans="1:10">
      <c r="A96" s="3781"/>
      <c r="B96" s="3781"/>
      <c r="C96" s="3781"/>
      <c r="D96" s="3781"/>
      <c r="E96" s="3781"/>
      <c r="F96" s="3781"/>
      <c r="G96" s="3781"/>
      <c r="H96" s="3781"/>
      <c r="I96" s="3781"/>
      <c r="J96" s="3781"/>
    </row>
    <row r="97" spans="1:10">
      <c r="A97" s="3781"/>
      <c r="B97" s="3781"/>
      <c r="C97" s="3781"/>
      <c r="D97" s="3781"/>
      <c r="E97" s="3781"/>
      <c r="F97" s="3781"/>
      <c r="G97" s="3781"/>
      <c r="H97" s="3781"/>
      <c r="I97" s="3781"/>
      <c r="J97" s="3781"/>
    </row>
    <row r="98" spans="1:10">
      <c r="A98" s="770"/>
    </row>
    <row r="99" spans="1:10" ht="12.75" customHeight="1">
      <c r="A99" s="4829" t="s">
        <v>26</v>
      </c>
      <c r="B99" s="3781"/>
      <c r="C99" s="3781"/>
      <c r="D99" s="3781"/>
      <c r="E99" s="3781"/>
      <c r="F99" s="3781"/>
      <c r="G99" s="3781"/>
      <c r="H99" s="3781"/>
      <c r="I99" s="3781"/>
      <c r="J99" s="3781"/>
    </row>
    <row r="100" spans="1:10">
      <c r="A100" s="3781"/>
      <c r="B100" s="3781"/>
      <c r="C100" s="3781"/>
      <c r="D100" s="3781"/>
      <c r="E100" s="3781"/>
      <c r="F100" s="3781"/>
      <c r="G100" s="3781"/>
      <c r="H100" s="3781"/>
      <c r="I100" s="3781"/>
      <c r="J100" s="3781"/>
    </row>
    <row r="101" spans="1:10">
      <c r="A101" s="3781"/>
      <c r="B101" s="3781"/>
      <c r="C101" s="3781"/>
      <c r="D101" s="3781"/>
      <c r="E101" s="3781"/>
      <c r="F101" s="3781"/>
      <c r="G101" s="3781"/>
      <c r="H101" s="3781"/>
      <c r="I101" s="3781"/>
      <c r="J101" s="3781"/>
    </row>
    <row r="102" spans="1:10">
      <c r="A102" s="3781"/>
      <c r="B102" s="3781"/>
      <c r="C102" s="3781"/>
      <c r="D102" s="3781"/>
      <c r="E102" s="3781"/>
      <c r="F102" s="3781"/>
      <c r="G102" s="3781"/>
      <c r="H102" s="3781"/>
      <c r="I102" s="3781"/>
      <c r="J102" s="3781"/>
    </row>
    <row r="103" spans="1:10">
      <c r="A103" s="3781"/>
      <c r="B103" s="3781"/>
      <c r="C103" s="3781"/>
      <c r="D103" s="3781"/>
      <c r="E103" s="3781"/>
      <c r="F103" s="3781"/>
      <c r="G103" s="3781"/>
      <c r="H103" s="3781"/>
      <c r="I103" s="3781"/>
      <c r="J103" s="3781"/>
    </row>
    <row r="104" spans="1:10">
      <c r="A104" s="3781"/>
      <c r="B104" s="3781"/>
      <c r="C104" s="3781"/>
      <c r="D104" s="3781"/>
      <c r="E104" s="3781"/>
      <c r="F104" s="3781"/>
      <c r="G104" s="3781"/>
      <c r="H104" s="3781"/>
      <c r="I104" s="3781"/>
      <c r="J104" s="3781"/>
    </row>
    <row r="105" spans="1:10">
      <c r="A105" s="4829"/>
      <c r="B105" s="3781"/>
      <c r="C105" s="3781"/>
      <c r="D105" s="3781"/>
      <c r="E105" s="3781"/>
      <c r="F105" s="3781"/>
      <c r="G105" s="3781"/>
      <c r="H105" s="3781"/>
      <c r="I105" s="3781"/>
      <c r="J105" s="3781"/>
    </row>
    <row r="106" spans="1:10">
      <c r="A106" s="4563" t="s">
        <v>173</v>
      </c>
      <c r="B106" s="4563"/>
      <c r="C106" s="4563"/>
      <c r="D106" s="4563"/>
      <c r="E106" s="4563"/>
      <c r="F106" s="4563"/>
      <c r="G106" s="4563"/>
      <c r="H106" s="4563"/>
      <c r="I106" s="4563"/>
      <c r="J106" s="4563"/>
    </row>
    <row r="107" spans="1:10">
      <c r="A107" s="4563"/>
      <c r="B107" s="4563"/>
      <c r="C107" s="4563"/>
      <c r="D107" s="4563"/>
      <c r="E107" s="4563"/>
      <c r="F107" s="4563"/>
      <c r="G107" s="4563"/>
      <c r="H107" s="4563"/>
      <c r="I107" s="4563"/>
      <c r="J107" s="4563"/>
    </row>
    <row r="108" spans="1:10">
      <c r="A108" s="4563"/>
      <c r="B108" s="4563"/>
      <c r="C108" s="4563"/>
      <c r="D108" s="4563"/>
      <c r="E108" s="4563"/>
      <c r="F108" s="4563"/>
      <c r="G108" s="4563"/>
      <c r="H108" s="4563"/>
      <c r="I108" s="4563"/>
      <c r="J108" s="4563"/>
    </row>
    <row r="109" spans="1:10">
      <c r="A109" s="4563"/>
      <c r="B109" s="4563"/>
      <c r="C109" s="4563"/>
      <c r="D109" s="4563"/>
      <c r="E109" s="4563"/>
      <c r="F109" s="4563"/>
      <c r="G109" s="4563"/>
      <c r="H109" s="4563"/>
      <c r="I109" s="4563"/>
      <c r="J109" s="4563"/>
    </row>
    <row r="110" spans="1:10">
      <c r="A110" s="4563"/>
      <c r="B110" s="4563"/>
      <c r="C110" s="4563"/>
      <c r="D110" s="4563"/>
      <c r="E110" s="4563"/>
      <c r="F110" s="4563"/>
      <c r="G110" s="4563"/>
      <c r="H110" s="4563"/>
      <c r="I110" s="4563"/>
      <c r="J110" s="4563"/>
    </row>
    <row r="111" spans="1:10">
      <c r="A111" s="4563"/>
      <c r="B111" s="4563"/>
      <c r="C111" s="4563"/>
      <c r="D111" s="4563"/>
      <c r="E111" s="4563"/>
      <c r="F111" s="4563"/>
      <c r="G111" s="4563"/>
      <c r="H111" s="4563"/>
      <c r="I111" s="4563"/>
      <c r="J111" s="4563"/>
    </row>
    <row r="112" spans="1:10">
      <c r="A112" s="4563"/>
      <c r="B112" s="4563"/>
      <c r="C112" s="4563"/>
      <c r="D112" s="4563"/>
      <c r="E112" s="4563"/>
      <c r="F112" s="4563"/>
      <c r="G112" s="4563"/>
      <c r="H112" s="4563"/>
      <c r="I112" s="4563"/>
      <c r="J112" s="4563"/>
    </row>
    <row r="113" spans="1:10">
      <c r="A113" s="4563"/>
      <c r="B113" s="4563"/>
      <c r="C113" s="4563"/>
      <c r="D113" s="4563"/>
      <c r="E113" s="4563"/>
      <c r="F113" s="4563"/>
      <c r="G113" s="4563"/>
      <c r="H113" s="4563"/>
      <c r="I113" s="4563"/>
      <c r="J113" s="4563"/>
    </row>
    <row r="114" spans="1:10">
      <c r="A114" s="4563"/>
      <c r="B114" s="4563"/>
      <c r="C114" s="4563"/>
      <c r="D114" s="4563"/>
      <c r="E114" s="4563"/>
      <c r="F114" s="4563"/>
      <c r="G114" s="4563"/>
      <c r="H114" s="4563"/>
      <c r="I114" s="4563"/>
      <c r="J114" s="4563"/>
    </row>
    <row r="116" spans="1:10" ht="12.75" customHeight="1">
      <c r="A116" s="4829" t="s">
        <v>174</v>
      </c>
      <c r="B116" s="4828"/>
      <c r="C116" s="4828"/>
      <c r="D116" s="4828"/>
      <c r="E116" s="4828"/>
      <c r="F116" s="4828"/>
      <c r="G116" s="4828"/>
      <c r="H116" s="4828"/>
      <c r="I116" s="4828"/>
      <c r="J116" s="4828"/>
    </row>
    <row r="117" spans="1:10">
      <c r="A117" s="4828"/>
      <c r="B117" s="4828"/>
      <c r="C117" s="4828"/>
      <c r="D117" s="4828"/>
      <c r="E117" s="4828"/>
      <c r="F117" s="4828"/>
      <c r="G117" s="4828"/>
      <c r="H117" s="4828"/>
      <c r="I117" s="4828"/>
      <c r="J117" s="4828"/>
    </row>
    <row r="118" spans="1:10">
      <c r="A118" s="4828"/>
      <c r="B118" s="4828"/>
      <c r="C118" s="4828"/>
      <c r="D118" s="4828"/>
      <c r="E118" s="4828"/>
      <c r="F118" s="4828"/>
      <c r="G118" s="4828"/>
      <c r="H118" s="4828"/>
      <c r="I118" s="4828"/>
      <c r="J118" s="4828"/>
    </row>
    <row r="119" spans="1:10">
      <c r="A119" s="4828"/>
      <c r="B119" s="4828"/>
      <c r="C119" s="4828"/>
      <c r="D119" s="4828"/>
      <c r="E119" s="4828"/>
      <c r="F119" s="4828"/>
      <c r="G119" s="4828"/>
      <c r="H119" s="4828"/>
      <c r="I119" s="4828"/>
      <c r="J119" s="4828"/>
    </row>
    <row r="120" spans="1:10">
      <c r="A120" s="4828"/>
      <c r="B120" s="4828"/>
      <c r="C120" s="4828"/>
      <c r="D120" s="4828"/>
      <c r="E120" s="4828"/>
      <c r="F120" s="4828"/>
      <c r="G120" s="4828"/>
      <c r="H120" s="4828"/>
      <c r="I120" s="4828"/>
      <c r="J120" s="4828"/>
    </row>
    <row r="121" spans="1:10">
      <c r="A121" s="4828"/>
      <c r="B121" s="4828"/>
      <c r="C121" s="4828"/>
      <c r="D121" s="4828"/>
      <c r="E121" s="4828"/>
      <c r="F121" s="4828"/>
      <c r="G121" s="4828"/>
      <c r="H121" s="4828"/>
      <c r="I121" s="4828"/>
      <c r="J121" s="4828"/>
    </row>
    <row r="122" spans="1:10">
      <c r="A122" s="4828"/>
      <c r="B122" s="4828"/>
      <c r="C122" s="4828"/>
      <c r="D122" s="4828"/>
      <c r="E122" s="4828"/>
      <c r="F122" s="4828"/>
      <c r="G122" s="4828"/>
      <c r="H122" s="4828"/>
      <c r="I122" s="4828"/>
      <c r="J122" s="4828"/>
    </row>
    <row r="123" spans="1:10">
      <c r="A123" s="4829"/>
      <c r="B123" s="4828"/>
      <c r="C123" s="4828"/>
      <c r="D123" s="4828"/>
      <c r="E123" s="4828"/>
      <c r="F123" s="4828"/>
      <c r="G123" s="4828"/>
      <c r="H123" s="4828"/>
      <c r="I123" s="4828"/>
      <c r="J123" s="4828"/>
    </row>
    <row r="124" spans="1:10">
      <c r="A124" s="4828" t="s">
        <v>1522</v>
      </c>
      <c r="B124" s="4828"/>
      <c r="C124" s="4828"/>
      <c r="D124" s="4828"/>
      <c r="E124" s="4828"/>
      <c r="F124" s="4828"/>
      <c r="G124" s="4828"/>
      <c r="H124" s="4828"/>
      <c r="I124" s="4828"/>
      <c r="J124" s="4828"/>
    </row>
    <row r="125" spans="1:10">
      <c r="A125" s="4828"/>
      <c r="B125" s="4828"/>
      <c r="C125" s="4828"/>
      <c r="D125" s="4828"/>
      <c r="E125" s="4828"/>
      <c r="F125" s="4828"/>
      <c r="G125" s="4828"/>
      <c r="H125" s="4828"/>
      <c r="I125" s="4828"/>
      <c r="J125" s="4828"/>
    </row>
    <row r="126" spans="1:10">
      <c r="A126" s="4828"/>
      <c r="B126" s="4828"/>
      <c r="C126" s="4828"/>
      <c r="D126" s="4828"/>
      <c r="E126" s="4828"/>
      <c r="F126" s="4828"/>
      <c r="G126" s="4828"/>
      <c r="H126" s="4828"/>
      <c r="I126" s="4828"/>
      <c r="J126" s="4828"/>
    </row>
    <row r="127" spans="1:10">
      <c r="A127" s="4828"/>
      <c r="B127" s="4828"/>
      <c r="C127" s="4828"/>
      <c r="D127" s="4828"/>
      <c r="E127" s="4828"/>
      <c r="F127" s="4828"/>
      <c r="G127" s="4828"/>
      <c r="H127" s="4828"/>
      <c r="I127" s="4828"/>
      <c r="J127" s="4828"/>
    </row>
    <row r="128" spans="1:10">
      <c r="A128" s="4828"/>
      <c r="B128" s="4828"/>
      <c r="C128" s="4828"/>
      <c r="D128" s="4828"/>
      <c r="E128" s="4828"/>
      <c r="F128" s="4828"/>
      <c r="G128" s="4828"/>
      <c r="H128" s="4828"/>
      <c r="I128" s="4828"/>
      <c r="J128" s="4828"/>
    </row>
    <row r="130" spans="1:10" ht="12.75" customHeight="1">
      <c r="A130" s="4828" t="s">
        <v>175</v>
      </c>
      <c r="B130" s="3781"/>
      <c r="C130" s="3781"/>
      <c r="D130" s="3781"/>
      <c r="E130" s="3781"/>
      <c r="F130" s="3781"/>
      <c r="G130" s="3781"/>
      <c r="H130" s="3781"/>
      <c r="I130" s="3781"/>
      <c r="J130" s="3781"/>
    </row>
    <row r="131" spans="1:10">
      <c r="A131" s="3781"/>
      <c r="B131" s="3781"/>
      <c r="C131" s="3781"/>
      <c r="D131" s="3781"/>
      <c r="E131" s="3781"/>
      <c r="F131" s="3781"/>
      <c r="G131" s="3781"/>
      <c r="H131" s="3781"/>
      <c r="I131" s="3781"/>
      <c r="J131" s="3781"/>
    </row>
    <row r="132" spans="1:10">
      <c r="A132" s="3781"/>
      <c r="B132" s="3781"/>
      <c r="C132" s="3781"/>
      <c r="D132" s="3781"/>
      <c r="E132" s="3781"/>
      <c r="F132" s="3781"/>
      <c r="G132" s="3781"/>
      <c r="H132" s="3781"/>
      <c r="I132" s="3781"/>
      <c r="J132" s="3781"/>
    </row>
    <row r="133" spans="1:10">
      <c r="A133" s="3781"/>
      <c r="B133" s="3781"/>
      <c r="C133" s="3781"/>
      <c r="D133" s="3781"/>
      <c r="E133" s="3781"/>
      <c r="F133" s="3781"/>
      <c r="G133" s="3781"/>
      <c r="H133" s="3781"/>
      <c r="I133" s="3781"/>
      <c r="J133" s="3781"/>
    </row>
    <row r="134" spans="1:10">
      <c r="A134" s="191"/>
      <c r="B134" s="191"/>
      <c r="C134" s="191"/>
      <c r="D134" s="191"/>
      <c r="E134" s="191"/>
      <c r="F134" s="191"/>
      <c r="G134" s="191"/>
      <c r="H134" s="191"/>
      <c r="I134" s="191"/>
      <c r="J134" s="191"/>
    </row>
    <row r="135" spans="1:10">
      <c r="A135" s="770" t="s">
        <v>1401</v>
      </c>
    </row>
    <row r="136" spans="1:10">
      <c r="A136" s="770"/>
    </row>
    <row r="137" spans="1:10">
      <c r="A137" s="4828" t="s">
        <v>177</v>
      </c>
      <c r="B137" s="4828"/>
      <c r="C137" s="4828"/>
      <c r="D137" s="4828"/>
      <c r="E137" s="4828"/>
      <c r="F137" s="4828"/>
      <c r="G137" s="4828"/>
      <c r="H137" s="4828"/>
      <c r="I137" s="4828"/>
      <c r="J137" s="4828"/>
    </row>
    <row r="138" spans="1:10">
      <c r="A138" s="4828"/>
      <c r="B138" s="4828"/>
      <c r="C138" s="4828"/>
      <c r="D138" s="4828"/>
      <c r="E138" s="4828"/>
      <c r="F138" s="4828"/>
      <c r="G138" s="4828"/>
      <c r="H138" s="4828"/>
      <c r="I138" s="4828"/>
      <c r="J138" s="4828"/>
    </row>
    <row r="139" spans="1:10">
      <c r="A139" s="1695"/>
      <c r="B139" s="1695"/>
      <c r="C139" s="1695"/>
      <c r="D139" s="1695"/>
      <c r="E139" s="1695"/>
      <c r="F139" s="1695"/>
      <c r="G139" s="1695"/>
      <c r="H139" s="1695"/>
      <c r="I139" s="1695"/>
      <c r="J139" s="1695"/>
    </row>
    <row r="140" spans="1:10">
      <c r="A140" s="4832" t="s">
        <v>3275</v>
      </c>
      <c r="B140" s="3659"/>
      <c r="C140" s="3659"/>
      <c r="D140" s="3659"/>
      <c r="E140" s="3659"/>
      <c r="F140" s="3659"/>
      <c r="G140" s="3659"/>
      <c r="H140" s="3659"/>
      <c r="I140" s="3659"/>
      <c r="J140" s="3659"/>
    </row>
    <row r="141" spans="1:10">
      <c r="A141" s="3659"/>
      <c r="B141" s="3659"/>
      <c r="C141" s="3659"/>
      <c r="D141" s="3659"/>
      <c r="E141" s="3659"/>
      <c r="F141" s="3659"/>
      <c r="G141" s="3659"/>
      <c r="H141" s="3659"/>
      <c r="I141" s="3659"/>
      <c r="J141" s="3659"/>
    </row>
    <row r="142" spans="1:10">
      <c r="A142" s="3659"/>
      <c r="B142" s="3659"/>
      <c r="C142" s="3659"/>
      <c r="D142" s="3659"/>
      <c r="E142" s="3659"/>
      <c r="F142" s="3659"/>
      <c r="G142" s="3659"/>
      <c r="H142" s="3659"/>
      <c r="I142" s="3659"/>
      <c r="J142" s="3659"/>
    </row>
    <row r="143" spans="1:10">
      <c r="A143" s="3659"/>
      <c r="B143" s="3659"/>
      <c r="C143" s="3659"/>
      <c r="D143" s="3659"/>
      <c r="E143" s="3659"/>
      <c r="F143" s="3659"/>
      <c r="G143" s="3659"/>
      <c r="H143" s="3659"/>
      <c r="I143" s="3659"/>
      <c r="J143" s="3659"/>
    </row>
    <row r="144" spans="1:10">
      <c r="A144" s="3659"/>
      <c r="B144" s="3659"/>
      <c r="C144" s="3659"/>
      <c r="D144" s="3659"/>
      <c r="E144" s="3659"/>
      <c r="F144" s="3659"/>
      <c r="G144" s="3659"/>
      <c r="H144" s="3659"/>
      <c r="I144" s="3659"/>
      <c r="J144" s="3659"/>
    </row>
    <row r="145" spans="1:10">
      <c r="A145" s="3659"/>
      <c r="B145" s="3659"/>
      <c r="C145" s="3659"/>
      <c r="D145" s="3659"/>
      <c r="E145" s="3659"/>
      <c r="F145" s="3659"/>
      <c r="G145" s="3659"/>
      <c r="H145" s="3659"/>
      <c r="I145" s="3659"/>
      <c r="J145" s="3659"/>
    </row>
    <row r="146" spans="1:10">
      <c r="A146" s="3659"/>
      <c r="B146" s="3659"/>
      <c r="C146" s="3659"/>
      <c r="D146" s="3659"/>
      <c r="E146" s="3659"/>
      <c r="F146" s="3659"/>
      <c r="G146" s="3659"/>
      <c r="H146" s="3659"/>
      <c r="I146" s="3659"/>
      <c r="J146" s="3659"/>
    </row>
    <row r="147" spans="1:10">
      <c r="A147" s="771"/>
    </row>
    <row r="148" spans="1:10">
      <c r="A148" s="4832" t="s">
        <v>3276</v>
      </c>
      <c r="B148" s="3659"/>
      <c r="C148" s="3659"/>
      <c r="D148" s="3659"/>
      <c r="E148" s="3659"/>
      <c r="F148" s="3659"/>
      <c r="G148" s="3659"/>
      <c r="H148" s="3659"/>
      <c r="I148" s="3659"/>
      <c r="J148" s="3659"/>
    </row>
    <row r="149" spans="1:10">
      <c r="A149" s="3659"/>
      <c r="B149" s="3659"/>
      <c r="C149" s="3659"/>
      <c r="D149" s="3659"/>
      <c r="E149" s="3659"/>
      <c r="F149" s="3659"/>
      <c r="G149" s="3659"/>
      <c r="H149" s="3659"/>
      <c r="I149" s="3659"/>
      <c r="J149" s="3659"/>
    </row>
    <row r="150" spans="1:10">
      <c r="A150" s="3659"/>
      <c r="B150" s="3659"/>
      <c r="C150" s="3659"/>
      <c r="D150" s="3659"/>
      <c r="E150" s="3659"/>
      <c r="F150" s="3659"/>
      <c r="G150" s="3659"/>
      <c r="H150" s="3659"/>
      <c r="I150" s="3659"/>
      <c r="J150" s="3659"/>
    </row>
    <row r="151" spans="1:10">
      <c r="A151" s="3659"/>
      <c r="B151" s="3659"/>
      <c r="C151" s="3659"/>
      <c r="D151" s="3659"/>
      <c r="E151" s="3659"/>
      <c r="F151" s="3659"/>
      <c r="G151" s="3659"/>
      <c r="H151" s="3659"/>
      <c r="I151" s="3659"/>
      <c r="J151" s="3659"/>
    </row>
    <row r="152" spans="1:10">
      <c r="A152" s="771"/>
    </row>
    <row r="153" spans="1:10">
      <c r="A153" s="4563" t="s">
        <v>176</v>
      </c>
      <c r="B153" s="4563"/>
      <c r="C153" s="4563"/>
      <c r="D153" s="4563"/>
      <c r="E153" s="4563"/>
      <c r="F153" s="4563"/>
      <c r="G153" s="4563"/>
      <c r="H153" s="4563"/>
      <c r="I153" s="4563"/>
      <c r="J153" s="4563"/>
    </row>
    <row r="154" spans="1:10">
      <c r="A154" s="4563"/>
      <c r="B154" s="4563"/>
      <c r="C154" s="4563"/>
      <c r="D154" s="4563"/>
      <c r="E154" s="4563"/>
      <c r="F154" s="4563"/>
      <c r="G154" s="4563"/>
      <c r="H154" s="4563"/>
      <c r="I154" s="4563"/>
      <c r="J154" s="4563"/>
    </row>
    <row r="155" spans="1:10">
      <c r="A155" s="4563"/>
      <c r="B155" s="4563"/>
      <c r="C155" s="4563"/>
      <c r="D155" s="4563"/>
      <c r="E155" s="4563"/>
      <c r="F155" s="4563"/>
      <c r="G155" s="4563"/>
      <c r="H155" s="4563"/>
      <c r="I155" s="4563"/>
      <c r="J155" s="4563"/>
    </row>
    <row r="156" spans="1:10">
      <c r="A156" s="4563"/>
      <c r="B156" s="4563"/>
      <c r="C156" s="4563"/>
      <c r="D156" s="4563"/>
      <c r="E156" s="4563"/>
      <c r="F156" s="4563"/>
      <c r="G156" s="4563"/>
      <c r="H156" s="4563"/>
      <c r="I156" s="4563"/>
      <c r="J156" s="4563"/>
    </row>
    <row r="157" spans="1:10">
      <c r="A157" s="4563"/>
      <c r="B157" s="4563"/>
      <c r="C157" s="4563"/>
      <c r="D157" s="4563"/>
      <c r="E157" s="4563"/>
      <c r="F157" s="4563"/>
      <c r="G157" s="4563"/>
      <c r="H157" s="4563"/>
      <c r="I157" s="4563"/>
      <c r="J157" s="4563"/>
    </row>
    <row r="158" spans="1:10">
      <c r="A158" s="4563"/>
      <c r="B158" s="4563"/>
      <c r="C158" s="4563"/>
      <c r="D158" s="4563"/>
      <c r="E158" s="4563"/>
      <c r="F158" s="4563"/>
      <c r="G158" s="4563"/>
      <c r="H158" s="4563"/>
      <c r="I158" s="4563"/>
      <c r="J158" s="4563"/>
    </row>
    <row r="159" spans="1:10">
      <c r="A159" s="4563"/>
      <c r="B159" s="4563"/>
      <c r="C159" s="4563"/>
      <c r="D159" s="4563"/>
      <c r="E159" s="4563"/>
      <c r="F159" s="4563"/>
      <c r="G159" s="4563"/>
      <c r="H159" s="4563"/>
      <c r="I159" s="4563"/>
      <c r="J159" s="4563"/>
    </row>
  </sheetData>
  <customSheetViews>
    <customSheetView guid="{BD5E6263-A0AD-4076-921A-D4EBD62848EF}" showRuler="0">
      <selection activeCell="A12" sqref="A12:J18"/>
      <pageMargins left="0.75" right="0.75" top="1" bottom="1" header="0.5" footer="0.5"/>
      <pageSetup orientation="portrait" r:id="rId1"/>
      <headerFooter alignWithMargins="0"/>
    </customSheetView>
    <customSheetView guid="{1D5AE30A-CA7C-4B32-AEA4-9F37A560AAA8}" showRuler="0">
      <selection activeCell="A12" sqref="A12:J18"/>
      <pageMargins left="0.75" right="0.75" top="1" bottom="1" header="0.5" footer="0.5"/>
      <pageSetup orientation="portrait" r:id="rId2"/>
      <headerFooter alignWithMargins="0"/>
    </customSheetView>
  </customSheetViews>
  <mergeCells count="38">
    <mergeCell ref="A4:J9"/>
    <mergeCell ref="A66:J67"/>
    <mergeCell ref="A25:J31"/>
    <mergeCell ref="A33:J36"/>
    <mergeCell ref="A40:J41"/>
    <mergeCell ref="A43:C43"/>
    <mergeCell ref="D43:F43"/>
    <mergeCell ref="A11:J17"/>
    <mergeCell ref="A19:J23"/>
    <mergeCell ref="A58:J64"/>
    <mergeCell ref="D44:F44"/>
    <mergeCell ref="D45:F45"/>
    <mergeCell ref="A44:C44"/>
    <mergeCell ref="A45:C45"/>
    <mergeCell ref="A153:J159"/>
    <mergeCell ref="A140:J146"/>
    <mergeCell ref="A124:J128"/>
    <mergeCell ref="A137:J138"/>
    <mergeCell ref="A130:J133"/>
    <mergeCell ref="A148:J151"/>
    <mergeCell ref="A105:J105"/>
    <mergeCell ref="A106:J114"/>
    <mergeCell ref="A77:J82"/>
    <mergeCell ref="A123:J123"/>
    <mergeCell ref="A116:J122"/>
    <mergeCell ref="A89:J89"/>
    <mergeCell ref="A99:J104"/>
    <mergeCell ref="A90:J97"/>
    <mergeCell ref="A84:J88"/>
    <mergeCell ref="A76:J76"/>
    <mergeCell ref="A69:J75"/>
    <mergeCell ref="A54:J56"/>
    <mergeCell ref="D46:F46"/>
    <mergeCell ref="D47:F47"/>
    <mergeCell ref="A50:J52"/>
    <mergeCell ref="A53:J53"/>
    <mergeCell ref="A46:C46"/>
    <mergeCell ref="A47:C47"/>
  </mergeCells>
  <phoneticPr fontId="6" type="noConversion"/>
  <pageMargins left="0.75" right="0.75" top="1" bottom="1" header="0.5" footer="0.5"/>
  <pageSetup orientation="portrait" r:id="rId3"/>
  <headerFooter alignWithMargins="0"/>
</worksheet>
</file>

<file path=xl/worksheets/sheet25.xml><?xml version="1.0" encoding="utf-8"?>
<worksheet xmlns="http://schemas.openxmlformats.org/spreadsheetml/2006/main" xmlns:r="http://schemas.openxmlformats.org/officeDocument/2006/relationships">
  <sheetPr codeName="Sheet24"/>
  <dimension ref="B1:AG276"/>
  <sheetViews>
    <sheetView showGridLines="0" showRuler="0" zoomScaleNormal="100" workbookViewId="0"/>
  </sheetViews>
  <sheetFormatPr defaultRowHeight="14.1" customHeight="1"/>
  <cols>
    <col min="1" max="1" width="2.75" customWidth="1"/>
    <col min="2" max="2" width="10.75" customWidth="1"/>
    <col min="3" max="3" width="11.375" customWidth="1"/>
    <col min="4" max="13" width="10.75" customWidth="1"/>
    <col min="14" max="14" width="9.25" customWidth="1"/>
    <col min="15" max="15" width="1.875" customWidth="1"/>
    <col min="16" max="16" width="10.75" customWidth="1"/>
    <col min="17" max="17" width="10.75" style="3278" customWidth="1"/>
    <col min="18" max="30" width="10.75" customWidth="1"/>
    <col min="31" max="31" width="12.125" customWidth="1"/>
    <col min="32" max="33" width="10.75" customWidth="1"/>
  </cols>
  <sheetData>
    <row r="1" spans="2:21" ht="14.1" customHeight="1">
      <c r="O1" s="21">
        <f>ROW()</f>
        <v>1</v>
      </c>
    </row>
    <row r="2" spans="2:21" ht="14.1" customHeight="1">
      <c r="B2" s="115" t="s">
        <v>810</v>
      </c>
      <c r="H2" s="181">
        <f>'Title Page'!K1</f>
        <v>40914</v>
      </c>
      <c r="O2" s="21">
        <f>ROW()</f>
        <v>2</v>
      </c>
    </row>
    <row r="3" spans="2:21" ht="14.1" customHeight="1">
      <c r="O3" s="21">
        <f>ROW()</f>
        <v>3</v>
      </c>
    </row>
    <row r="4" spans="2:21" ht="14.1" customHeight="1">
      <c r="B4" s="161"/>
      <c r="O4" s="21">
        <f>ROW()</f>
        <v>4</v>
      </c>
    </row>
    <row r="5" spans="2:21" ht="14.1" customHeight="1">
      <c r="O5" s="21">
        <f>ROW()</f>
        <v>5</v>
      </c>
    </row>
    <row r="6" spans="2:21" ht="14.1" customHeight="1">
      <c r="B6" s="3787" t="s">
        <v>4522</v>
      </c>
      <c r="C6" s="3779"/>
      <c r="D6" s="3779"/>
      <c r="E6" s="3779"/>
      <c r="F6" s="3779"/>
      <c r="G6" s="3779"/>
      <c r="H6" s="3779"/>
      <c r="I6" s="3779"/>
      <c r="J6" s="3779"/>
      <c r="O6" s="21">
        <f>ROW()</f>
        <v>6</v>
      </c>
    </row>
    <row r="7" spans="2:21" ht="14.1" customHeight="1">
      <c r="B7" s="3779"/>
      <c r="C7" s="3779"/>
      <c r="D7" s="3779"/>
      <c r="E7" s="3779"/>
      <c r="F7" s="3779"/>
      <c r="G7" s="3779"/>
      <c r="H7" s="3779"/>
      <c r="I7" s="3779"/>
      <c r="J7" s="3779"/>
      <c r="O7" s="21">
        <f>ROW()</f>
        <v>7</v>
      </c>
    </row>
    <row r="8" spans="2:21" ht="14.1" customHeight="1">
      <c r="B8" s="3779"/>
      <c r="C8" s="3779"/>
      <c r="D8" s="3779"/>
      <c r="E8" s="3779"/>
      <c r="F8" s="3779"/>
      <c r="G8" s="3779"/>
      <c r="H8" s="3779"/>
      <c r="I8" s="3779"/>
      <c r="J8" s="3779"/>
      <c r="O8" s="21">
        <f>ROW()</f>
        <v>8</v>
      </c>
    </row>
    <row r="9" spans="2:21" ht="14.1" customHeight="1">
      <c r="O9" s="21">
        <f>ROW()</f>
        <v>9</v>
      </c>
    </row>
    <row r="10" spans="2:21" ht="14.1" customHeight="1">
      <c r="O10" s="21">
        <f>ROW()</f>
        <v>10</v>
      </c>
    </row>
    <row r="11" spans="2:21" ht="14.1" customHeight="1">
      <c r="B11" s="24" t="s">
        <v>4524</v>
      </c>
      <c r="O11" s="21">
        <f>ROW()</f>
        <v>11</v>
      </c>
      <c r="T11" s="2513"/>
      <c r="U11" s="2513"/>
    </row>
    <row r="12" spans="2:21" ht="14.1" customHeight="1">
      <c r="O12" s="21">
        <f>ROW()</f>
        <v>12</v>
      </c>
      <c r="T12" s="2513"/>
      <c r="U12" s="2513"/>
    </row>
    <row r="13" spans="2:21" ht="14.1" customHeight="1">
      <c r="B13" s="2132" t="s">
        <v>3568</v>
      </c>
      <c r="C13" s="113"/>
      <c r="D13" s="113"/>
      <c r="E13" s="113"/>
      <c r="F13" s="113"/>
      <c r="G13" s="113"/>
      <c r="H13" s="113"/>
      <c r="I13" s="113"/>
      <c r="J13" s="113"/>
      <c r="O13" s="21">
        <f>ROW()</f>
        <v>13</v>
      </c>
      <c r="T13" s="2513"/>
      <c r="U13" s="2513"/>
    </row>
    <row r="14" spans="2:21" ht="14.1" customHeight="1">
      <c r="B14" s="500"/>
      <c r="C14" s="500"/>
      <c r="D14" s="500"/>
      <c r="E14" s="500"/>
      <c r="F14" s="500"/>
      <c r="G14" s="500"/>
      <c r="H14" s="500"/>
      <c r="I14" s="500"/>
      <c r="J14" s="500"/>
      <c r="O14" s="21">
        <f>ROW()</f>
        <v>14</v>
      </c>
      <c r="T14" s="2513"/>
      <c r="U14" s="2513"/>
    </row>
    <row r="15" spans="2:21" ht="14.1" customHeight="1">
      <c r="B15" s="2133" t="s">
        <v>4365</v>
      </c>
      <c r="C15" s="196"/>
      <c r="D15" s="196"/>
      <c r="E15" s="196"/>
      <c r="F15" s="196"/>
      <c r="G15" s="196"/>
      <c r="H15" s="196"/>
      <c r="I15" s="113"/>
      <c r="J15" s="1512">
        <v>707.5</v>
      </c>
      <c r="O15" s="21">
        <f>ROW()</f>
        <v>15</v>
      </c>
      <c r="T15" s="2513"/>
      <c r="U15" s="2513"/>
    </row>
    <row r="16" spans="2:21" ht="14.1" customHeight="1">
      <c r="B16" s="4354" t="s">
        <v>4366</v>
      </c>
      <c r="C16" s="4354"/>
      <c r="D16" s="4354"/>
      <c r="E16" s="4354"/>
      <c r="F16" s="4354"/>
      <c r="G16" s="4354"/>
      <c r="H16" s="4354"/>
      <c r="I16" s="4354"/>
      <c r="J16" s="1510"/>
      <c r="O16" s="21">
        <f>ROW()</f>
        <v>16</v>
      </c>
      <c r="T16" s="2513"/>
      <c r="U16" s="2513"/>
    </row>
    <row r="17" spans="2:21" ht="14.1" customHeight="1">
      <c r="B17" s="4354"/>
      <c r="C17" s="4354"/>
      <c r="D17" s="4354"/>
      <c r="E17" s="4354"/>
      <c r="F17" s="4354"/>
      <c r="G17" s="4354"/>
      <c r="H17" s="4354"/>
      <c r="I17" s="4354"/>
      <c r="J17" s="1510"/>
      <c r="N17" s="2147"/>
      <c r="O17" s="21">
        <f>ROW()</f>
        <v>17</v>
      </c>
      <c r="T17" s="2513"/>
      <c r="U17" s="2513"/>
    </row>
    <row r="18" spans="2:21" ht="14.1" customHeight="1">
      <c r="B18" s="4354"/>
      <c r="C18" s="4354"/>
      <c r="D18" s="4354"/>
      <c r="E18" s="4354"/>
      <c r="F18" s="4354"/>
      <c r="G18" s="4354"/>
      <c r="H18" s="4354"/>
      <c r="I18" s="4354"/>
      <c r="J18" s="1510"/>
      <c r="M18" s="2147"/>
      <c r="N18" s="2147"/>
      <c r="O18" s="21">
        <f>ROW()</f>
        <v>18</v>
      </c>
      <c r="T18" s="2513"/>
      <c r="U18" s="2513"/>
    </row>
    <row r="19" spans="2:21" ht="14.1" customHeight="1">
      <c r="B19" s="4354"/>
      <c r="C19" s="4354"/>
      <c r="D19" s="4354"/>
      <c r="E19" s="4354"/>
      <c r="F19" s="4354"/>
      <c r="G19" s="4354"/>
      <c r="H19" s="4354"/>
      <c r="I19" s="4354"/>
      <c r="J19" s="1510"/>
      <c r="O19" s="21">
        <f>ROW()</f>
        <v>19</v>
      </c>
      <c r="T19" s="2513"/>
      <c r="U19" s="2513"/>
    </row>
    <row r="20" spans="2:21" ht="14.1" customHeight="1">
      <c r="B20" s="4354"/>
      <c r="C20" s="4354"/>
      <c r="D20" s="4354"/>
      <c r="E20" s="4354"/>
      <c r="F20" s="4354"/>
      <c r="G20" s="4354"/>
      <c r="H20" s="4354"/>
      <c r="I20" s="4354"/>
      <c r="J20" s="1510"/>
      <c r="O20" s="21">
        <f>ROW()</f>
        <v>20</v>
      </c>
      <c r="T20" s="2513"/>
      <c r="U20" s="2513"/>
    </row>
    <row r="21" spans="2:21" ht="14.1" customHeight="1">
      <c r="B21" s="886" t="s">
        <v>905</v>
      </c>
      <c r="C21" s="842"/>
      <c r="D21" s="842"/>
      <c r="E21" s="842"/>
      <c r="F21" s="842"/>
      <c r="G21" s="113"/>
      <c r="H21" s="196"/>
      <c r="I21" s="113"/>
      <c r="J21" s="2529">
        <v>0.8</v>
      </c>
      <c r="O21" s="21">
        <f>ROW()</f>
        <v>21</v>
      </c>
      <c r="T21" s="2513"/>
      <c r="U21" s="2513"/>
    </row>
    <row r="22" spans="2:21" ht="14.1" customHeight="1">
      <c r="B22" s="855" t="str">
        <f>CONCATENATE("Komanoff estimate. Figure in 'Transit' worksheet, Row ",Transit!O106, " is slightly lower.")</f>
        <v>Komanoff estimate. Figure in 'Transit' worksheet, Row 106 is slightly lower.</v>
      </c>
      <c r="C22" s="855"/>
      <c r="D22" s="196"/>
      <c r="E22" s="196"/>
      <c r="F22" s="196"/>
      <c r="G22" s="196"/>
      <c r="H22" s="196"/>
      <c r="I22" s="113"/>
      <c r="J22" s="1511"/>
      <c r="O22" s="21">
        <f>ROW()</f>
        <v>22</v>
      </c>
      <c r="T22" s="2513"/>
      <c r="U22" s="2513"/>
    </row>
    <row r="23" spans="2:21" ht="14.1" customHeight="1">
      <c r="B23" s="2133" t="s">
        <v>4384</v>
      </c>
      <c r="C23" s="848"/>
      <c r="D23" s="848"/>
      <c r="E23" s="848"/>
      <c r="F23" s="848"/>
      <c r="G23" s="848"/>
      <c r="H23" s="848"/>
      <c r="I23" s="113"/>
      <c r="J23" s="1512">
        <f>J15*J21</f>
        <v>566</v>
      </c>
      <c r="O23" s="21">
        <f>ROW()</f>
        <v>23</v>
      </c>
      <c r="T23" s="2513"/>
      <c r="U23" s="2513"/>
    </row>
    <row r="24" spans="2:21" ht="14.1" customHeight="1">
      <c r="B24" s="855" t="str">
        <f>CONCATENATE("Product of Rows ",O15, " and ",O21, ".")</f>
        <v>Product of Rows 15 and 21.</v>
      </c>
      <c r="C24" s="848"/>
      <c r="D24" s="848"/>
      <c r="E24" s="848"/>
      <c r="F24" s="848"/>
      <c r="G24" s="848"/>
      <c r="H24" s="848"/>
      <c r="I24" s="113"/>
      <c r="J24" s="1512"/>
      <c r="O24" s="21">
        <f>ROW()</f>
        <v>24</v>
      </c>
      <c r="T24" s="2513"/>
      <c r="U24" s="2513"/>
    </row>
    <row r="25" spans="2:21" ht="14.1" customHeight="1">
      <c r="B25" s="2133" t="s">
        <v>4385</v>
      </c>
      <c r="C25" s="113"/>
      <c r="D25" s="113"/>
      <c r="E25" s="113"/>
      <c r="F25" s="113"/>
      <c r="G25" s="113"/>
      <c r="H25" s="113"/>
      <c r="I25" s="113"/>
      <c r="J25" s="1513">
        <v>851.9</v>
      </c>
      <c r="O25" s="21">
        <f>ROW()</f>
        <v>25</v>
      </c>
      <c r="T25" s="2513"/>
      <c r="U25" s="2513"/>
    </row>
    <row r="26" spans="2:21" ht="14.1" customHeight="1">
      <c r="B26" s="4354" t="s">
        <v>4367</v>
      </c>
      <c r="C26" s="4673"/>
      <c r="D26" s="4673"/>
      <c r="E26" s="4673"/>
      <c r="F26" s="4673"/>
      <c r="G26" s="4673"/>
      <c r="H26" s="4673"/>
      <c r="I26" s="4673"/>
      <c r="J26" s="1510"/>
      <c r="O26" s="21">
        <f>ROW()</f>
        <v>26</v>
      </c>
      <c r="T26" s="2513"/>
      <c r="U26" s="2513"/>
    </row>
    <row r="27" spans="2:21" ht="14.1" customHeight="1">
      <c r="B27" s="4673"/>
      <c r="C27" s="4673"/>
      <c r="D27" s="4673"/>
      <c r="E27" s="4673"/>
      <c r="F27" s="4673"/>
      <c r="G27" s="4673"/>
      <c r="H27" s="4673"/>
      <c r="I27" s="4673"/>
      <c r="J27" s="1510"/>
      <c r="O27" s="21">
        <f>ROW()</f>
        <v>27</v>
      </c>
      <c r="T27" s="2513"/>
      <c r="U27" s="2513"/>
    </row>
    <row r="28" spans="2:21" ht="14.1" customHeight="1">
      <c r="B28" s="2132" t="s">
        <v>4514</v>
      </c>
      <c r="C28" s="1498"/>
      <c r="D28" s="1498"/>
      <c r="E28" s="1498"/>
      <c r="F28" s="1498"/>
      <c r="G28" s="1498"/>
      <c r="H28" s="1498"/>
      <c r="I28" s="657"/>
      <c r="J28" s="1556">
        <f>J25/J23</f>
        <v>1.5051236749116608</v>
      </c>
      <c r="O28" s="21">
        <f>ROW()</f>
        <v>28</v>
      </c>
      <c r="T28" s="2513"/>
      <c r="U28" s="2513"/>
    </row>
    <row r="29" spans="2:21" ht="14.1" customHeight="1">
      <c r="B29" s="855" t="str">
        <f>CONCATENATE("Row ",O25, " divided by Row ",O23, ".")</f>
        <v>Row 25 divided by Row 23.</v>
      </c>
      <c r="C29" s="2458"/>
      <c r="D29" s="2458"/>
      <c r="E29" s="2458"/>
      <c r="F29" s="2458"/>
      <c r="G29" s="2458"/>
      <c r="H29" s="2458"/>
      <c r="I29" s="657"/>
      <c r="J29" s="1556"/>
      <c r="O29" s="21">
        <f>ROW()</f>
        <v>29</v>
      </c>
      <c r="T29" s="2513"/>
      <c r="U29" s="2513"/>
    </row>
    <row r="30" spans="2:21" ht="14.1" customHeight="1">
      <c r="B30" s="855"/>
      <c r="C30" s="2512"/>
      <c r="D30" s="2512"/>
      <c r="E30" s="2512"/>
      <c r="F30" s="2512"/>
      <c r="G30" s="2512"/>
      <c r="H30" s="2512"/>
      <c r="I30" s="657"/>
      <c r="J30" s="1556"/>
      <c r="O30" s="21">
        <f>ROW()</f>
        <v>30</v>
      </c>
      <c r="T30" s="2513"/>
      <c r="U30" s="2513"/>
    </row>
    <row r="31" spans="2:21" ht="14.1" customHeight="1">
      <c r="B31" s="2132" t="s">
        <v>4523</v>
      </c>
      <c r="C31" s="2512"/>
      <c r="D31" s="2512"/>
      <c r="E31" s="2512"/>
      <c r="F31" s="2512"/>
      <c r="G31" s="2512"/>
      <c r="H31" s="2512"/>
      <c r="I31" s="657"/>
      <c r="J31" s="1556"/>
      <c r="O31" s="21">
        <f>ROW()</f>
        <v>31</v>
      </c>
      <c r="T31" s="2513"/>
      <c r="U31" s="2513"/>
    </row>
    <row r="32" spans="2:21" ht="14.1" customHeight="1">
      <c r="B32" s="855"/>
      <c r="C32" s="2512"/>
      <c r="D32" s="2512"/>
      <c r="E32" s="2512"/>
      <c r="F32" s="2512"/>
      <c r="G32" s="2512"/>
      <c r="H32" s="2512"/>
      <c r="I32" s="657"/>
      <c r="J32" s="1556"/>
      <c r="O32" s="21">
        <f>ROW()</f>
        <v>32</v>
      </c>
      <c r="T32" s="2513"/>
      <c r="U32" s="2513"/>
    </row>
    <row r="33" spans="2:21" ht="14.1" customHeight="1">
      <c r="B33" s="2221" t="s">
        <v>1425</v>
      </c>
      <c r="C33" s="198"/>
      <c r="D33" s="198"/>
      <c r="E33" s="198"/>
      <c r="F33" s="198"/>
      <c r="G33" s="198"/>
      <c r="H33" s="2491" t="s">
        <v>2065</v>
      </c>
      <c r="I33" s="2491" t="s">
        <v>2066</v>
      </c>
      <c r="J33" s="2530" t="s">
        <v>1130</v>
      </c>
      <c r="O33" s="21">
        <f>ROW()</f>
        <v>33</v>
      </c>
      <c r="T33" s="2513"/>
      <c r="U33" s="2513"/>
    </row>
    <row r="34" spans="2:21" ht="14.1" customHeight="1">
      <c r="B34" s="2215" t="s">
        <v>1229</v>
      </c>
      <c r="C34" s="113"/>
      <c r="D34" s="113"/>
      <c r="E34" s="902"/>
      <c r="F34" s="902"/>
      <c r="G34" s="113"/>
      <c r="H34" s="851">
        <v>0.4</v>
      </c>
      <c r="I34" s="851">
        <f>1-H34</f>
        <v>0.6</v>
      </c>
      <c r="J34" s="4839" t="s">
        <v>4532</v>
      </c>
      <c r="O34" s="21">
        <f>ROW()</f>
        <v>34</v>
      </c>
      <c r="T34" s="2513"/>
      <c r="U34" s="2513"/>
    </row>
    <row r="35" spans="2:21" ht="14.1" customHeight="1">
      <c r="B35" s="2507" t="s">
        <v>2705</v>
      </c>
      <c r="C35" s="113"/>
      <c r="D35" s="113"/>
      <c r="E35" s="113"/>
      <c r="F35" s="113"/>
      <c r="G35" s="113"/>
      <c r="H35" s="113"/>
      <c r="I35" s="113"/>
      <c r="J35" s="4840"/>
      <c r="O35" s="21">
        <f>ROW()</f>
        <v>35</v>
      </c>
      <c r="T35" s="2513"/>
      <c r="U35" s="2513"/>
    </row>
    <row r="36" spans="2:21" ht="14.1" customHeight="1">
      <c r="B36" s="2427" t="s">
        <v>4501</v>
      </c>
      <c r="C36" s="113"/>
      <c r="D36" s="4480" t="s">
        <v>4503</v>
      </c>
      <c r="E36" s="4480"/>
      <c r="F36" s="4480"/>
      <c r="G36" s="4480"/>
      <c r="H36" s="208">
        <f>Elasticities!G49</f>
        <v>-0.09</v>
      </c>
      <c r="I36" s="208">
        <f>Elasticities!H49</f>
        <v>-0.23400000000000001</v>
      </c>
      <c r="J36" s="2531">
        <f>SUMPRODUCT($H$34:$I$34,H36:I36)</f>
        <v>-0.1764</v>
      </c>
      <c r="O36" s="21">
        <f>ROW()</f>
        <v>36</v>
      </c>
      <c r="T36" s="2513"/>
      <c r="U36" s="2513"/>
    </row>
    <row r="37" spans="2:21" ht="14.1" customHeight="1">
      <c r="B37" s="2429" t="s">
        <v>4502</v>
      </c>
      <c r="C37" s="141"/>
      <c r="D37" s="4841"/>
      <c r="E37" s="4841"/>
      <c r="F37" s="4841"/>
      <c r="G37" s="4841"/>
      <c r="H37" s="2508">
        <f>Elasticities!G50</f>
        <v>-0.5</v>
      </c>
      <c r="I37" s="2508">
        <f>Elasticities!H50</f>
        <v>-0.55000000000000004</v>
      </c>
      <c r="J37" s="2532">
        <f>SUMPRODUCT($H$34:$I$34,H37:I37)</f>
        <v>-0.53</v>
      </c>
      <c r="O37" s="21">
        <f>ROW()</f>
        <v>37</v>
      </c>
      <c r="T37" s="2513"/>
      <c r="U37" s="2513"/>
    </row>
    <row r="38" spans="2:21" ht="14.1" customHeight="1">
      <c r="J38" s="1509"/>
      <c r="O38" s="21">
        <f>ROW()</f>
        <v>38</v>
      </c>
      <c r="T38" s="2513"/>
      <c r="U38" s="2513"/>
    </row>
    <row r="39" spans="2:21" ht="14.1" customHeight="1">
      <c r="B39" s="886"/>
      <c r="C39" s="2489"/>
      <c r="D39" s="2489"/>
      <c r="E39" s="2489"/>
      <c r="F39" s="2489"/>
      <c r="G39" s="2489"/>
      <c r="H39" s="2504" t="s">
        <v>4497</v>
      </c>
      <c r="I39" s="2504" t="s">
        <v>781</v>
      </c>
      <c r="J39" s="2504" t="s">
        <v>1975</v>
      </c>
      <c r="K39" s="1816" t="s">
        <v>1923</v>
      </c>
      <c r="L39" s="1816" t="s">
        <v>1924</v>
      </c>
      <c r="O39" s="21">
        <f>ROW()</f>
        <v>39</v>
      </c>
      <c r="T39" s="2513"/>
      <c r="U39" s="2513"/>
    </row>
    <row r="40" spans="2:21" ht="14.1" customHeight="1">
      <c r="B40" s="886"/>
      <c r="C40" s="2489"/>
      <c r="D40" s="2489"/>
      <c r="E40" s="2489"/>
      <c r="F40" s="2489"/>
      <c r="G40" s="2489"/>
      <c r="H40" s="2489"/>
      <c r="I40" s="113"/>
      <c r="J40" s="1509"/>
      <c r="O40" s="21">
        <f>ROW()</f>
        <v>40</v>
      </c>
      <c r="T40" s="2513"/>
      <c r="U40" s="2513"/>
    </row>
    <row r="41" spans="2:21" ht="14.1" customHeight="1">
      <c r="B41" s="2133" t="s">
        <v>4498</v>
      </c>
      <c r="C41" s="2489"/>
      <c r="D41" s="2489"/>
      <c r="E41" s="2489"/>
      <c r="F41" s="2489"/>
      <c r="G41" s="2489"/>
      <c r="H41" s="2505">
        <f>J15</f>
        <v>707.5</v>
      </c>
      <c r="I41" s="2505">
        <f>$J$187*H41</f>
        <v>568.46164167915026</v>
      </c>
      <c r="J41" s="2505">
        <f>H41-I41</f>
        <v>139.03835832084974</v>
      </c>
      <c r="K41" s="2505">
        <f>J41*(Subways!$K$49/(Subways!$K$49+Subways!$L$49))</f>
        <v>71.491581706401831</v>
      </c>
      <c r="L41" s="2505">
        <f>J41-K41</f>
        <v>67.546776614447907</v>
      </c>
      <c r="O41" s="21">
        <f>ROW()</f>
        <v>41</v>
      </c>
      <c r="T41" s="2513"/>
      <c r="U41" s="2513"/>
    </row>
    <row r="42" spans="2:21" ht="14.1" customHeight="1">
      <c r="B42" s="2133" t="s">
        <v>5121</v>
      </c>
      <c r="C42" s="2958"/>
      <c r="D42" s="2958"/>
      <c r="E42" s="2958"/>
      <c r="F42" s="2958"/>
      <c r="G42" s="2958"/>
      <c r="H42" s="2505">
        <f>Transit!$I$20*H41</f>
        <v>364.28882044061788</v>
      </c>
      <c r="I42" s="2505">
        <f>Transit!$I$20*I41</f>
        <v>292.69854546011987</v>
      </c>
      <c r="J42" s="2505">
        <f>Transit!$I$20*J41</f>
        <v>71.590274980497966</v>
      </c>
      <c r="K42" s="2505">
        <f>Transit!$I$20*K41</f>
        <v>36.810719394005901</v>
      </c>
      <c r="L42" s="2505">
        <f>Transit!$I$20*L41</f>
        <v>34.779555586492066</v>
      </c>
      <c r="O42" s="21">
        <f>ROW()</f>
        <v>42</v>
      </c>
      <c r="T42" s="2513"/>
      <c r="U42" s="2513"/>
    </row>
    <row r="43" spans="2:21" ht="14.1" customHeight="1">
      <c r="B43" s="2133" t="s">
        <v>5122</v>
      </c>
      <c r="C43" s="2958"/>
      <c r="D43" s="2958"/>
      <c r="E43" s="2958"/>
      <c r="F43" s="2958"/>
      <c r="G43" s="2958"/>
      <c r="H43" s="2505">
        <f>Transit!$Z$20*H41</f>
        <v>343.21117955938229</v>
      </c>
      <c r="I43" s="2505">
        <f>Transit!$Z$20*I41</f>
        <v>275.7630962190305</v>
      </c>
      <c r="J43" s="2505">
        <f>Transit!$Z$20*J41</f>
        <v>67.448083340351801</v>
      </c>
      <c r="K43" s="2505">
        <f>Transit!$Z$20*K41</f>
        <v>34.680862312395945</v>
      </c>
      <c r="L43" s="2505">
        <f>Transit!$Z$20*L41</f>
        <v>32.767221027955856</v>
      </c>
      <c r="O43" s="21">
        <f>ROW()</f>
        <v>43</v>
      </c>
      <c r="T43" s="2513"/>
      <c r="U43" s="2513"/>
    </row>
    <row r="44" spans="2:21" ht="14.1" customHeight="1">
      <c r="B44" s="2133" t="s">
        <v>4499</v>
      </c>
      <c r="C44" s="2489"/>
      <c r="D44" s="2489"/>
      <c r="E44" s="2489"/>
      <c r="F44" s="2489"/>
      <c r="G44" s="2489"/>
      <c r="H44" s="2505">
        <f>J23</f>
        <v>566</v>
      </c>
      <c r="I44" s="2505">
        <f>$J$187*H44</f>
        <v>454.76931334332016</v>
      </c>
      <c r="J44" s="2505">
        <f>H44-I44</f>
        <v>111.23068665667984</v>
      </c>
      <c r="K44" s="2505">
        <f>J44*(Subways!$K$49/(Subways!$K$49+Subways!$L$49))</f>
        <v>57.193265365121484</v>
      </c>
      <c r="L44" s="2505">
        <f>J44-K44</f>
        <v>54.037421291558353</v>
      </c>
      <c r="O44" s="21">
        <f>ROW()</f>
        <v>44</v>
      </c>
      <c r="T44" s="2513"/>
      <c r="U44" s="2513"/>
    </row>
    <row r="45" spans="2:21" ht="14.1" customHeight="1">
      <c r="B45" s="4354" t="str">
        <f>CONCATENATE("7 Days figures are from Rows ",O15, " and ",O23, ". Weekdays and Weekends figures apply weekday/all days ratio from Row ",O188, ". Saturdays/Sundays apply split from 'Subways' worksheet, Row ",Subways!O49, ". Splits to Pay-Per-Ride and Unlimiteds use Bus fare media splits in 'Transit' tab, Row ",Transit!O20, ".")</f>
        <v>7 Days figures are from Rows 15 and 23. Weekdays and Weekends figures apply weekday/all days ratio from Row 188. Saturdays/Sundays apply split from 'Subways' worksheet, Row 49. Splits to Pay-Per-Ride and Unlimiteds use Bus fare media splits in 'Transit' tab, Row 20.</v>
      </c>
      <c r="C45" s="3786"/>
      <c r="D45" s="3786"/>
      <c r="E45" s="3786"/>
      <c r="F45" s="3786"/>
      <c r="G45" s="3786"/>
      <c r="H45" s="3786"/>
      <c r="I45" s="3786"/>
      <c r="J45" s="3786"/>
      <c r="K45" s="3786"/>
      <c r="L45" s="3786"/>
      <c r="O45" s="21">
        <f>ROW()</f>
        <v>45</v>
      </c>
      <c r="T45" s="2513"/>
      <c r="U45" s="2513"/>
    </row>
    <row r="46" spans="2:21" ht="14.1" customHeight="1">
      <c r="B46" s="3786"/>
      <c r="C46" s="3786"/>
      <c r="D46" s="3786"/>
      <c r="E46" s="3786"/>
      <c r="F46" s="3786"/>
      <c r="G46" s="3786"/>
      <c r="H46" s="3786"/>
      <c r="I46" s="3786"/>
      <c r="J46" s="3786"/>
      <c r="K46" s="3786"/>
      <c r="L46" s="3786"/>
      <c r="O46" s="21">
        <f>ROW()</f>
        <v>46</v>
      </c>
      <c r="T46" s="2513"/>
      <c r="U46" s="2513"/>
    </row>
    <row r="47" spans="2:21" ht="14.1" customHeight="1">
      <c r="B47" s="2133" t="s">
        <v>4500</v>
      </c>
      <c r="C47" s="2489"/>
      <c r="D47" s="2489"/>
      <c r="E47" s="2489"/>
      <c r="F47" s="2489"/>
      <c r="G47" s="2489"/>
      <c r="H47" s="2506">
        <f>$J$28</f>
        <v>1.5051236749116608</v>
      </c>
      <c r="I47" s="2506">
        <f>$J$28</f>
        <v>1.5051236749116608</v>
      </c>
      <c r="J47" s="2506">
        <f>$J$28</f>
        <v>1.5051236749116608</v>
      </c>
      <c r="K47" s="2506">
        <f>$J$28</f>
        <v>1.5051236749116608</v>
      </c>
      <c r="L47" s="2506">
        <f>$J$28</f>
        <v>1.5051236749116608</v>
      </c>
      <c r="O47" s="21">
        <f>ROW()</f>
        <v>47</v>
      </c>
      <c r="T47" s="2513"/>
      <c r="U47" s="2513"/>
    </row>
    <row r="48" spans="2:21" ht="14.1" customHeight="1">
      <c r="B48" s="855" t="str">
        <f>CONCATENATE("From Row ",O28, ".")</f>
        <v>From Row 28.</v>
      </c>
      <c r="C48" s="2489"/>
      <c r="D48" s="2489"/>
      <c r="E48" s="2489"/>
      <c r="F48" s="2489"/>
      <c r="G48" s="2489"/>
      <c r="H48" s="2489"/>
      <c r="I48" s="113"/>
      <c r="J48" s="1509"/>
      <c r="O48" s="21">
        <f>ROW()</f>
        <v>48</v>
      </c>
      <c r="T48" s="2513"/>
      <c r="U48" s="2513"/>
    </row>
    <row r="49" spans="2:21" ht="14.1" customHeight="1">
      <c r="B49" s="855"/>
      <c r="C49" s="2958"/>
      <c r="D49" s="2958"/>
      <c r="E49" s="2958"/>
      <c r="F49" s="2958"/>
      <c r="G49" s="2958"/>
      <c r="H49" s="2958"/>
      <c r="I49" s="2957"/>
      <c r="J49" s="1509"/>
      <c r="O49" s="21">
        <f>ROW()</f>
        <v>49</v>
      </c>
      <c r="T49" s="2513"/>
      <c r="U49" s="2513"/>
    </row>
    <row r="50" spans="2:21" ht="14.1" customHeight="1">
      <c r="B50" s="2132" t="s">
        <v>5127</v>
      </c>
      <c r="C50" s="2958"/>
      <c r="D50" s="2958"/>
      <c r="E50" s="2958"/>
      <c r="F50" s="2958"/>
      <c r="G50" s="2958"/>
      <c r="H50" s="2958"/>
      <c r="I50" s="2957"/>
      <c r="J50" s="1509"/>
      <c r="O50" s="21">
        <f>ROW()</f>
        <v>50</v>
      </c>
      <c r="T50" s="2513"/>
      <c r="U50" s="2513"/>
    </row>
    <row r="51" spans="2:21" ht="14.1" customHeight="1">
      <c r="B51" s="2133" t="s">
        <v>5126</v>
      </c>
      <c r="C51" s="2489"/>
      <c r="D51" s="2489"/>
      <c r="E51" s="2489"/>
      <c r="F51" s="2489"/>
      <c r="G51" s="2489"/>
      <c r="H51" s="2506">
        <f>Transit!$I$40*(Transit!$I$51*(1/(1+Transit!$I$42))+1-Transit!$I$51)</f>
        <v>2.1569737060237908</v>
      </c>
      <c r="I51" s="2506">
        <f>Transit!$I$40*(Transit!$I$51*(1/(1+Transit!$I$42))+1-Transit!$I$51)</f>
        <v>2.1569737060237908</v>
      </c>
      <c r="J51" s="2506">
        <f>Transit!$I$40*(Transit!$I$51*(1/(1+Transit!$I$42))+1-Transit!$I$51)</f>
        <v>2.1569737060237908</v>
      </c>
      <c r="K51" s="2506">
        <f>Transit!$I$40*(Transit!$I$51*(1/(1+Transit!$I$42))+1-Transit!$I$51)</f>
        <v>2.1569737060237908</v>
      </c>
      <c r="L51" s="2506">
        <f>Transit!$I$40*(Transit!$I$51*(1/(1+Transit!$I$42))+1-Transit!$I$51)</f>
        <v>2.1569737060237908</v>
      </c>
      <c r="O51" s="21">
        <f>ROW()</f>
        <v>51</v>
      </c>
      <c r="T51" s="2513"/>
      <c r="U51" s="2513"/>
    </row>
    <row r="52" spans="2:21" ht="14.1" customHeight="1">
      <c r="B52" s="4354" t="str">
        <f>CONCATENATE("Average of nominal and discounted fares, wghtd by share of pay-per-riders who do/don't use discounted media, from Row ",Transit!O51, " of 'Transit' worksheet. Former enjoy fare discount for qualifying pay-per-ride Metrocards shown in Row ",Transit!O42, " of 'Transit' sheet. Both shares pivot off nominal per-ride fare shown in Row ",Transit!O40, " of that sheet.")</f>
        <v>Average of nominal and discounted fares, wghtd by share of pay-per-riders who do/don't use discounted media, from Row 51 of 'Transit' worksheet. Former enjoy fare discount for qualifying pay-per-ride Metrocards shown in Row 42 of 'Transit' sheet. Both shares pivot off nominal per-ride fare shown in Row 40 of that sheet.</v>
      </c>
      <c r="C52" s="3786"/>
      <c r="D52" s="3786"/>
      <c r="E52" s="3786"/>
      <c r="F52" s="3786"/>
      <c r="G52" s="3786"/>
      <c r="H52" s="3786"/>
      <c r="I52" s="3786"/>
      <c r="J52" s="3786"/>
      <c r="K52" s="3786"/>
      <c r="L52" s="3786"/>
      <c r="O52" s="21">
        <f>ROW()</f>
        <v>52</v>
      </c>
      <c r="T52" s="2513"/>
      <c r="U52" s="2513"/>
    </row>
    <row r="53" spans="2:21" ht="14.1" customHeight="1">
      <c r="B53" s="3786"/>
      <c r="C53" s="3786"/>
      <c r="D53" s="3786"/>
      <c r="E53" s="3786"/>
      <c r="F53" s="3786"/>
      <c r="G53" s="3786"/>
      <c r="H53" s="3786"/>
      <c r="I53" s="3786"/>
      <c r="J53" s="3786"/>
      <c r="K53" s="3786"/>
      <c r="L53" s="3786"/>
      <c r="O53" s="21">
        <f>ROW()</f>
        <v>53</v>
      </c>
      <c r="T53" s="2513"/>
      <c r="U53" s="2513"/>
    </row>
    <row r="54" spans="2:21" ht="14.1" customHeight="1">
      <c r="B54" s="2133" t="s">
        <v>4434</v>
      </c>
      <c r="C54" s="2489"/>
      <c r="D54" s="2489"/>
      <c r="E54" s="2489"/>
      <c r="F54" s="2489"/>
      <c r="G54" s="2489"/>
      <c r="H54" s="2489"/>
      <c r="I54" s="2506">
        <f>'User Inputs'!J135</f>
        <v>2.25</v>
      </c>
      <c r="J54" s="2506"/>
      <c r="K54" s="2506">
        <f>'User Inputs'!J137</f>
        <v>2.25</v>
      </c>
      <c r="L54" s="2506">
        <f>'User Inputs'!J139</f>
        <v>2.25</v>
      </c>
      <c r="O54" s="21">
        <f>ROW()</f>
        <v>54</v>
      </c>
      <c r="T54" s="2513"/>
      <c r="U54" s="2513"/>
    </row>
    <row r="55" spans="2:21" ht="14.1" customHeight="1">
      <c r="B55" s="855" t="str">
        <f>CONCATENATE("From 'User Inputs,' Rows ",'User Inputs'!N135, ", ",'User Inputs'!N137, " and ",'User Inputs'!N139, ".")</f>
        <v>From 'User Inputs,' Rows 135, 137 and 139.</v>
      </c>
      <c r="C55" s="2489"/>
      <c r="D55" s="2489"/>
      <c r="E55" s="2489"/>
      <c r="F55" s="2489"/>
      <c r="G55" s="2489"/>
      <c r="H55" s="2489"/>
      <c r="I55" s="2506"/>
      <c r="J55" s="2506"/>
      <c r="K55" s="2506"/>
      <c r="L55" s="2506"/>
      <c r="O55" s="21">
        <f>ROW()</f>
        <v>55</v>
      </c>
      <c r="T55" s="2513"/>
      <c r="U55" s="2513"/>
    </row>
    <row r="56" spans="2:21" ht="14.1" customHeight="1">
      <c r="B56" s="2133" t="s">
        <v>4504</v>
      </c>
      <c r="C56" s="2489"/>
      <c r="D56" s="2489"/>
      <c r="E56" s="2489"/>
      <c r="F56" s="2489"/>
      <c r="G56" s="2489"/>
      <c r="H56" s="2489"/>
      <c r="I56" s="2506">
        <f>I54*(Transit!$I$51*(1/(1+'User Inputs'!$J$115))+1-Transit!$I$51)</f>
        <v>2.1569737060237908</v>
      </c>
      <c r="J56" s="2506">
        <f>SUMPRODUCT(K56:L56,K44:L44)/SUM(K44:L44)</f>
        <v>2.1569737060237908</v>
      </c>
      <c r="K56" s="2506">
        <f>K54*(Transit!$I$51*(1/(1+'User Inputs'!$J$115))+1-Transit!$I$51)</f>
        <v>2.1569737060237908</v>
      </c>
      <c r="L56" s="2506">
        <f>L54*(Transit!$I$51*(1/(1+'User Inputs'!$J$115))+1-Transit!$I$51)</f>
        <v>2.1569737060237908</v>
      </c>
      <c r="O56" s="21">
        <f>ROW()</f>
        <v>56</v>
      </c>
      <c r="T56" s="2513"/>
      <c r="U56" s="2513"/>
    </row>
    <row r="57" spans="2:21" ht="14.1" customHeight="1">
      <c r="B57" s="855" t="str">
        <f>CONCATENATE("Adjusts nominal fare from Row ",O54, " w/ pay-per-ride discount inputted in 'User Inputs' Row ",'User Inputs'!N115, " and % of pay-per-rides recv'ing discount from 'Transit' Row ",Transit!O51, ".")</f>
        <v>Adjusts nominal fare from Row 54 w/ pay-per-ride discount inputted in 'User Inputs' Row 115 and % of pay-per-rides recv'ing discount from 'Transit' Row 51.</v>
      </c>
      <c r="C57" s="2489"/>
      <c r="D57" s="2489"/>
      <c r="E57" s="2489"/>
      <c r="F57" s="2489"/>
      <c r="G57" s="2489"/>
      <c r="H57" s="2489"/>
      <c r="I57" s="2506"/>
      <c r="J57" s="2506"/>
      <c r="K57" s="2506"/>
      <c r="L57" s="2506"/>
      <c r="O57" s="21">
        <f>ROW()</f>
        <v>57</v>
      </c>
      <c r="T57" s="2513"/>
      <c r="U57" s="2513"/>
    </row>
    <row r="58" spans="2:21" ht="14.1" customHeight="1">
      <c r="B58" s="2133" t="s">
        <v>5124</v>
      </c>
      <c r="C58" s="2958"/>
      <c r="D58" s="2958"/>
      <c r="E58" s="2958"/>
      <c r="F58" s="2958"/>
      <c r="G58" s="2958"/>
      <c r="H58" s="2958"/>
      <c r="I58" s="66">
        <f>IF(I56=0,$J$36*Transit!$I$34*(I56-I51)/I51,MINA((I56/I51)^$J$36,$J$36*(I56-I51)/I51+1)-1)</f>
        <v>0</v>
      </c>
      <c r="J58" s="2506"/>
      <c r="K58" s="66">
        <f>IF(K56=0,$J$36*Transit!$I$34*(K56-K51)/K51,MINA((K56/K51)^$J$36,$J$36*(K56-K51)/K51+1)-1)</f>
        <v>0</v>
      </c>
      <c r="L58" s="66">
        <f>IF(L56=0,$J$36*Transit!$I$34*(L56-L51)/L51,MINA((L56/L51)^$J$36,$J$36*(L56-L51)/L51+1)-1)</f>
        <v>0</v>
      </c>
      <c r="O58" s="21">
        <f>ROW()</f>
        <v>58</v>
      </c>
      <c r="T58" s="2513"/>
      <c r="U58" s="2513"/>
    </row>
    <row r="59" spans="2:21" ht="14.1" customHeight="1">
      <c r="B59" s="855" t="str">
        <f>CONCATENATE("Results in Row ",O58, " draw on wghted-avg price-elasticities in Row ", $O$36, ". Mathematical function uses 'IF' statement to accommodate possible zero value (if free fare).")</f>
        <v>Results in Row 58 draw on wghted-avg price-elasticities in Row 36. Mathematical function uses 'IF' statement to accommodate possible zero value (if free fare).</v>
      </c>
      <c r="C59" s="855"/>
      <c r="D59" s="855"/>
      <c r="E59" s="855"/>
      <c r="F59" s="855"/>
      <c r="G59" s="855"/>
      <c r="H59" s="855"/>
      <c r="I59" s="855"/>
      <c r="J59" s="855"/>
      <c r="K59" s="855"/>
      <c r="L59" s="855"/>
      <c r="O59" s="21">
        <f>ROW()</f>
        <v>59</v>
      </c>
      <c r="T59" s="2513"/>
      <c r="U59" s="2513"/>
    </row>
    <row r="60" spans="2:21" s="2" customFormat="1" ht="14.1" customHeight="1">
      <c r="B60" s="2132" t="s">
        <v>5130</v>
      </c>
      <c r="C60" s="2972"/>
      <c r="D60" s="2972"/>
      <c r="E60" s="2972"/>
      <c r="F60" s="2972"/>
      <c r="G60" s="2972"/>
      <c r="H60" s="2972"/>
      <c r="I60" s="2519">
        <f>I42*I58</f>
        <v>0</v>
      </c>
      <c r="J60" s="2972"/>
      <c r="K60" s="2519">
        <f>K42*K58</f>
        <v>0</v>
      </c>
      <c r="L60" s="2519">
        <f>L42*L58</f>
        <v>0</v>
      </c>
      <c r="O60" s="2146">
        <f>ROW()</f>
        <v>60</v>
      </c>
      <c r="T60" s="2518"/>
      <c r="U60" s="2518"/>
    </row>
    <row r="61" spans="2:21" ht="14.1" customHeight="1">
      <c r="B61" s="855" t="str">
        <f>CONCATENATE("Product of % increase in Row ",O58," and baseline pay-per-rides figures in Row ",O42, ".")</f>
        <v>Product of % increase in Row 58 and baseline pay-per-rides figures in Row 42.</v>
      </c>
      <c r="C61" s="2958"/>
      <c r="D61" s="2958"/>
      <c r="E61" s="2958"/>
      <c r="F61" s="2958"/>
      <c r="G61" s="2958"/>
      <c r="H61" s="2958"/>
      <c r="I61" s="2506"/>
      <c r="J61" s="2506"/>
      <c r="K61" s="2506"/>
      <c r="L61" s="2506"/>
      <c r="O61" s="21">
        <f>ROW()</f>
        <v>61</v>
      </c>
      <c r="T61" s="2513"/>
      <c r="U61" s="2513"/>
    </row>
    <row r="62" spans="2:21" ht="14.1" customHeight="1">
      <c r="B62" s="855"/>
      <c r="C62" s="2958"/>
      <c r="D62" s="2958"/>
      <c r="E62" s="2958"/>
      <c r="F62" s="2958"/>
      <c r="G62" s="2958"/>
      <c r="H62" s="2958"/>
      <c r="I62" s="2506"/>
      <c r="J62" s="2506"/>
      <c r="K62" s="2506"/>
      <c r="L62" s="2506"/>
      <c r="O62" s="21">
        <f>ROW()</f>
        <v>62</v>
      </c>
      <c r="T62" s="2513"/>
      <c r="U62" s="2513"/>
    </row>
    <row r="63" spans="2:21" ht="14.1" customHeight="1">
      <c r="B63" s="2132" t="s">
        <v>5128</v>
      </c>
      <c r="C63" s="2958"/>
      <c r="D63" s="2958"/>
      <c r="E63" s="2958"/>
      <c r="F63" s="2958"/>
      <c r="G63" s="2958"/>
      <c r="H63" s="2958"/>
      <c r="I63" s="2506"/>
      <c r="J63" s="2506"/>
      <c r="K63" s="2506"/>
      <c r="L63" s="2506"/>
      <c r="O63" s="21">
        <f>ROW()</f>
        <v>63</v>
      </c>
      <c r="T63" s="2513"/>
      <c r="U63" s="2513"/>
    </row>
    <row r="64" spans="2:21" ht="14.1" customHeight="1">
      <c r="B64" s="2133" t="s">
        <v>5123</v>
      </c>
      <c r="C64" s="2489"/>
      <c r="D64" s="2489"/>
      <c r="E64" s="2489"/>
      <c r="F64" s="2489"/>
      <c r="G64" s="2489"/>
      <c r="H64" s="2506">
        <f>(H47-H51*Transit!$I$20)/(1-Transit!$I$20)</f>
        <v>0.81324155369732998</v>
      </c>
      <c r="I64" s="2506">
        <f>(I47-I51*Transit!$I$20)/(1-Transit!$I$20)</f>
        <v>0.81324155369732998</v>
      </c>
      <c r="J64" s="2506">
        <f>(J47-J51*Transit!$I$20)/(1-Transit!$I$20)</f>
        <v>0.81324155369732998</v>
      </c>
      <c r="K64" s="2506">
        <f>(K47-K51*Transit!$I$20)/(1-Transit!$I$20)</f>
        <v>0.81324155369732998</v>
      </c>
      <c r="L64" s="2506">
        <f>(L47-L51*Transit!$I$20)/(1-Transit!$I$20)</f>
        <v>0.81324155369732998</v>
      </c>
      <c r="O64" s="21">
        <f>ROW()</f>
        <v>64</v>
      </c>
      <c r="T64" s="2513"/>
      <c r="U64" s="2513"/>
    </row>
    <row r="65" spans="2:21" ht="14.1" customHeight="1">
      <c r="B65" s="855" t="str">
        <f>CONCATENATE("Solved algebraically with Rows ",O47, " and ",O51, " and % of riders who pay on per-ride basis from Row ",Transit!$O$20, " of 'Transit' worksheet.")</f>
        <v>Solved algebraically with Rows 47 and 51 and % of riders who pay on per-ride basis from Row 20 of 'Transit' worksheet.</v>
      </c>
      <c r="C65" s="2958"/>
      <c r="D65" s="2958"/>
      <c r="E65" s="2958"/>
      <c r="F65" s="2958"/>
      <c r="G65" s="2958"/>
      <c r="H65" s="2958"/>
      <c r="I65" s="2506"/>
      <c r="J65" s="2506"/>
      <c r="K65" s="2506"/>
      <c r="L65" s="2506"/>
      <c r="O65" s="21">
        <f>ROW()</f>
        <v>65</v>
      </c>
      <c r="T65" s="2513"/>
      <c r="U65" s="2513"/>
    </row>
    <row r="66" spans="2:21" ht="14.1" customHeight="1">
      <c r="B66" s="2133" t="s">
        <v>5153</v>
      </c>
      <c r="C66" s="2489"/>
      <c r="D66" s="2489"/>
      <c r="E66" s="2489"/>
      <c r="F66" s="2489"/>
      <c r="G66" s="2489"/>
      <c r="H66" s="2489"/>
      <c r="I66" s="2506">
        <f>I64*(1+'User Inputs'!$J$112)</f>
        <v>0.81324155369732998</v>
      </c>
      <c r="J66" s="2506"/>
      <c r="K66" s="2506">
        <f>K64*(1+'User Inputs'!$J$112)</f>
        <v>0.81324155369732998</v>
      </c>
      <c r="L66" s="2506">
        <f>L64*(1+'User Inputs'!$J$112)</f>
        <v>0.81324155369732998</v>
      </c>
      <c r="O66" s="21">
        <f>ROW()</f>
        <v>66</v>
      </c>
      <c r="T66" s="2513"/>
      <c r="U66" s="2513"/>
    </row>
    <row r="67" spans="2:21" ht="14.1" customHeight="1">
      <c r="B67" s="855" t="str">
        <f>CONCATENATE("Product of Row ",O64, " and factor calculated from assumed percentage change in unlimited fares from 'User Inputs' tab, Row ",'User Inputs'!N112, ".")</f>
        <v>Product of Row 64 and factor calculated from assumed percentage change in unlimited fares from 'User Inputs' tab, Row 112.</v>
      </c>
      <c r="C67" s="2489"/>
      <c r="D67" s="2489"/>
      <c r="E67" s="2489"/>
      <c r="F67" s="2489"/>
      <c r="G67" s="2489"/>
      <c r="H67" s="2489"/>
      <c r="I67" s="113"/>
      <c r="J67" s="1509"/>
      <c r="O67" s="21">
        <f>ROW()</f>
        <v>67</v>
      </c>
      <c r="T67" s="2513"/>
      <c r="U67" s="2513"/>
    </row>
    <row r="68" spans="2:21" ht="14.1" customHeight="1">
      <c r="B68" s="2133" t="s">
        <v>5125</v>
      </c>
      <c r="C68" s="2489"/>
      <c r="D68" s="2489"/>
      <c r="E68" s="2489"/>
      <c r="F68" s="2489"/>
      <c r="G68" s="2489"/>
      <c r="H68" s="2489"/>
      <c r="I68" s="66">
        <f>IF(I66=0,$J$36*(I66-I64)/I64,MINA((I66/I64)^$J$36,$J$36*(I66-I64)/I64+1)-1)</f>
        <v>0</v>
      </c>
      <c r="J68" s="1509"/>
      <c r="K68" s="66">
        <f>IF(K66=0,$J$36*(K66-K64)/K64,MINA((K66/K64)^$J$36,$J$36*(K66-K64)/K64+1)-1)</f>
        <v>0</v>
      </c>
      <c r="L68" s="66">
        <f>IF(L66=0,$J$36*(L66-L64)/L64,MINA((L66/L64)^$J$36,$J$36*(L66-L64)/L64+1)-1)</f>
        <v>0</v>
      </c>
      <c r="O68" s="21">
        <f>ROW()</f>
        <v>68</v>
      </c>
      <c r="T68" s="2513"/>
      <c r="U68" s="2513"/>
    </row>
    <row r="69" spans="2:21" ht="14.1" customHeight="1">
      <c r="B69" s="855" t="str">
        <f>CONCATENATE("Results in Row ",O68, " draw on wghted-avg price-elasticities in Row ", $O$36, ". Mathematical function uses 'IF' statement to accommodate possible zero value (if free fare).")</f>
        <v>Results in Row 68 draw on wghted-avg price-elasticities in Row 36. Mathematical function uses 'IF' statement to accommodate possible zero value (if free fare).</v>
      </c>
      <c r="C69" s="855"/>
      <c r="D69" s="855"/>
      <c r="E69" s="855"/>
      <c r="F69" s="855"/>
      <c r="G69" s="855"/>
      <c r="H69" s="855"/>
      <c r="I69" s="855"/>
      <c r="J69" s="855"/>
      <c r="K69" s="855"/>
      <c r="L69" s="855"/>
      <c r="O69" s="21">
        <f>ROW()</f>
        <v>69</v>
      </c>
      <c r="T69" s="2513"/>
      <c r="U69" s="2513"/>
    </row>
    <row r="70" spans="2:21" ht="14.1" customHeight="1">
      <c r="B70" s="2132" t="s">
        <v>5131</v>
      </c>
      <c r="C70" s="2972"/>
      <c r="D70" s="2972"/>
      <c r="E70" s="2972"/>
      <c r="F70" s="2972"/>
      <c r="G70" s="2972"/>
      <c r="H70" s="2972"/>
      <c r="I70" s="2519">
        <f>I43*I68</f>
        <v>0</v>
      </c>
      <c r="J70" s="2972"/>
      <c r="K70" s="2519">
        <f>K43*K68</f>
        <v>0</v>
      </c>
      <c r="L70" s="2519">
        <f>L43*L68</f>
        <v>0</v>
      </c>
      <c r="O70" s="21">
        <f>ROW()</f>
        <v>70</v>
      </c>
      <c r="T70" s="2513"/>
      <c r="U70" s="2513"/>
    </row>
    <row r="71" spans="2:21" ht="14.1" customHeight="1">
      <c r="B71" s="855" t="str">
        <f>CONCATENATE("Product of % increase in Row ",O68," and baseline unlimited rides figures in Row ",O43, ".")</f>
        <v>Product of % increase in Row 68 and baseline unlimited rides figures in Row 43.</v>
      </c>
      <c r="C71" s="2958"/>
      <c r="D71" s="2958"/>
      <c r="E71" s="2958"/>
      <c r="F71" s="2958"/>
      <c r="G71" s="2958"/>
      <c r="H71" s="2958"/>
      <c r="I71" s="2506"/>
      <c r="J71" s="2506"/>
      <c r="K71" s="2506"/>
      <c r="L71" s="2506"/>
      <c r="O71" s="21">
        <f>ROW()</f>
        <v>71</v>
      </c>
      <c r="T71" s="2513"/>
      <c r="U71" s="2513"/>
    </row>
    <row r="72" spans="2:21" ht="14.1" customHeight="1">
      <c r="B72" s="855"/>
      <c r="C72" s="855"/>
      <c r="D72" s="855"/>
      <c r="E72" s="855"/>
      <c r="F72" s="855"/>
      <c r="G72" s="855"/>
      <c r="H72" s="855"/>
      <c r="I72" s="855"/>
      <c r="J72" s="855"/>
      <c r="K72" s="855"/>
      <c r="L72" s="855"/>
      <c r="O72" s="21">
        <f>ROW()</f>
        <v>72</v>
      </c>
      <c r="T72" s="2513"/>
      <c r="U72" s="2513"/>
    </row>
    <row r="73" spans="2:21" ht="14.1" customHeight="1">
      <c r="B73" s="2132" t="s">
        <v>5129</v>
      </c>
      <c r="C73" s="855"/>
      <c r="D73" s="855"/>
      <c r="E73" s="855"/>
      <c r="F73" s="855"/>
      <c r="G73" s="855"/>
      <c r="H73" s="855"/>
      <c r="I73" s="855"/>
      <c r="J73" s="855"/>
      <c r="K73" s="855"/>
      <c r="L73" s="855"/>
      <c r="O73" s="21">
        <f>ROW()</f>
        <v>73</v>
      </c>
      <c r="T73" s="2513"/>
      <c r="U73" s="2513"/>
    </row>
    <row r="74" spans="2:21" ht="14.1" customHeight="1">
      <c r="B74" s="2133" t="s">
        <v>4505</v>
      </c>
      <c r="C74" s="2489"/>
      <c r="D74" s="2489"/>
      <c r="E74" s="2489"/>
      <c r="F74" s="2489"/>
      <c r="G74" s="2489"/>
      <c r="H74" s="2489"/>
      <c r="I74" s="66">
        <f ca="1">1-(1-'Bus Boarding'!$J$147)*(1+Transit!$I$340)</f>
        <v>4.6274901250482281E-2</v>
      </c>
      <c r="J74" s="1509"/>
      <c r="K74" s="66">
        <f ca="1">1-(1-'Bus Boarding'!$J$147)*(1+Transit!$I$340)</f>
        <v>4.6274901250482281E-2</v>
      </c>
      <c r="L74" s="66">
        <f ca="1">1-(1-'Bus Boarding'!$J$147)*(1+Transit!$I$340)</f>
        <v>4.6274901250482281E-2</v>
      </c>
      <c r="O74" s="21">
        <f>ROW()</f>
        <v>74</v>
      </c>
      <c r="T74" s="2513"/>
      <c r="U74" s="2513"/>
    </row>
    <row r="75" spans="2:21" ht="14.1" customHeight="1">
      <c r="B75" s="4354" t="str">
        <f>CONCATENATE("Results in Row ",O74, " draw on (i)+(ii) combined traffic and free-fare (if applicable) results calculated in 'Bus Boarding' worksheet, Row ",'Bus Boarding'!AG147, " and (iii) est'd system-avg duration change from 'Transit' worksheet, Row ",Transit!O340, ". Calculation uses complements to avoid possible double-counting.")</f>
        <v>Results in Row 74 draw on (i)+(ii) combined traffic and free-fare (if applicable) results calculated in 'Bus Boarding' worksheet, Row 147 and (iii) est'd system-avg duration change from 'Transit' worksheet, Row 340. Calculation uses complements to avoid possible double-counting.</v>
      </c>
      <c r="C75" s="3786"/>
      <c r="D75" s="3786"/>
      <c r="E75" s="3786"/>
      <c r="F75" s="3786"/>
      <c r="G75" s="3786"/>
      <c r="H75" s="3786"/>
      <c r="I75" s="3786"/>
      <c r="J75" s="3786"/>
      <c r="K75" s="3786"/>
      <c r="L75" s="3786"/>
      <c r="O75" s="21">
        <f>ROW()</f>
        <v>75</v>
      </c>
      <c r="T75" s="2513"/>
      <c r="U75" s="2513"/>
    </row>
    <row r="76" spans="2:21" ht="14.1" customHeight="1">
      <c r="B76" s="3786"/>
      <c r="C76" s="3786"/>
      <c r="D76" s="3786"/>
      <c r="E76" s="3786"/>
      <c r="F76" s="3786"/>
      <c r="G76" s="3786"/>
      <c r="H76" s="3786"/>
      <c r="I76" s="3786"/>
      <c r="J76" s="3786"/>
      <c r="K76" s="3786"/>
      <c r="L76" s="3786"/>
      <c r="O76" s="21">
        <f>ROW()</f>
        <v>76</v>
      </c>
      <c r="T76" s="2513"/>
      <c r="U76" s="2513"/>
    </row>
    <row r="77" spans="2:21" ht="14.1" customHeight="1">
      <c r="B77" s="2133" t="s">
        <v>4506</v>
      </c>
      <c r="C77" s="2489"/>
      <c r="D77" s="2489"/>
      <c r="E77" s="2489"/>
      <c r="F77" s="2489"/>
      <c r="G77" s="2489"/>
      <c r="H77" s="2489"/>
      <c r="I77" s="66">
        <f ca="1">(1-I74)^$J$37-1</f>
        <v>2.5429241288002613E-2</v>
      </c>
      <c r="J77" s="1509"/>
      <c r="K77" s="66">
        <f ca="1">(1-K74)^$J$37-1</f>
        <v>2.5429241288002613E-2</v>
      </c>
      <c r="L77" s="66">
        <f ca="1">(1-L74)^$J$37-1</f>
        <v>2.5429241288002613E-2</v>
      </c>
      <c r="O77" s="21">
        <f>ROW()</f>
        <v>77</v>
      </c>
      <c r="T77" s="2513"/>
      <c r="U77" s="2513"/>
    </row>
    <row r="78" spans="2:21" ht="14.1" customHeight="1">
      <c r="B78" s="855" t="str">
        <f>CONCATENATE("Standard elasticity calculation, with one minus Row ",O74, ",exponentiated to the wghtd-avg time-elasticity power in Row ",O37, ".")</f>
        <v>Standard elasticity calculation, with one minus Row 74,exponentiated to the wghtd-avg time-elasticity power in Row 37.</v>
      </c>
      <c r="C78" s="2489"/>
      <c r="D78" s="2489"/>
      <c r="E78" s="2489"/>
      <c r="F78" s="2489"/>
      <c r="G78" s="2489"/>
      <c r="H78" s="2489"/>
      <c r="I78" s="113"/>
      <c r="J78" s="1509"/>
      <c r="O78" s="21">
        <f>ROW()</f>
        <v>78</v>
      </c>
      <c r="T78" s="2513"/>
      <c r="U78" s="2513"/>
    </row>
    <row r="79" spans="2:21" ht="14.1" customHeight="1">
      <c r="B79" s="2132" t="s">
        <v>5132</v>
      </c>
      <c r="C79" s="2958"/>
      <c r="D79" s="2958"/>
      <c r="E79" s="2958"/>
      <c r="F79" s="2958"/>
      <c r="G79" s="2958"/>
      <c r="H79" s="2958"/>
      <c r="I79" s="2519">
        <f ca="1">I77*I41</f>
        <v>14.455548249233194</v>
      </c>
      <c r="J79" s="1509"/>
      <c r="K79" s="2519">
        <f ca="1">K77*K41</f>
        <v>1.8179766812730458</v>
      </c>
      <c r="L79" s="2519">
        <f ca="1">L77*L41</f>
        <v>1.717663280755608</v>
      </c>
      <c r="O79" s="21">
        <f>ROW()</f>
        <v>79</v>
      </c>
      <c r="T79" s="2513"/>
      <c r="U79" s="2513"/>
    </row>
    <row r="80" spans="2:21" ht="14.1" customHeight="1">
      <c r="B80" s="855" t="str">
        <f>CONCATENATE("Product of % increase in Row ",O77," and baseline all rides figures in Row ",O41, ".")</f>
        <v>Product of % increase in Row 77 and baseline all rides figures in Row 41.</v>
      </c>
      <c r="C80" s="2958"/>
      <c r="D80" s="2958"/>
      <c r="E80" s="2958"/>
      <c r="F80" s="2958"/>
      <c r="G80" s="2958"/>
      <c r="H80" s="2958"/>
      <c r="J80" s="1509"/>
      <c r="O80" s="21">
        <f>ROW()</f>
        <v>80</v>
      </c>
      <c r="T80" s="2513"/>
      <c r="U80" s="2513"/>
    </row>
    <row r="81" spans="2:21" ht="14.1" customHeight="1">
      <c r="B81" s="2133" t="s">
        <v>5133</v>
      </c>
      <c r="C81" s="2958"/>
      <c r="D81" s="2958"/>
      <c r="E81" s="2958"/>
      <c r="F81" s="2958"/>
      <c r="G81" s="2958"/>
      <c r="H81" s="2958"/>
      <c r="I81" s="2505">
        <f ca="1">Transit!$I$20*I79</f>
        <v>7.4431019371527904</v>
      </c>
      <c r="J81" s="1509"/>
      <c r="K81" s="2505">
        <f ca="1">Transit!$I$20*K79</f>
        <v>0.93606866545513345</v>
      </c>
      <c r="L81" s="2505">
        <f ca="1">Transit!$I$20*L79</f>
        <v>0.88441771089840604</v>
      </c>
      <c r="O81" s="21">
        <f>ROW()</f>
        <v>81</v>
      </c>
      <c r="T81" s="2513"/>
      <c r="U81" s="2513"/>
    </row>
    <row r="82" spans="2:21" ht="14.1" customHeight="1">
      <c r="B82" s="2133" t="s">
        <v>5134</v>
      </c>
      <c r="C82" s="2958"/>
      <c r="D82" s="2958"/>
      <c r="E82" s="2958"/>
      <c r="F82" s="2958"/>
      <c r="G82" s="2958"/>
      <c r="H82" s="2958"/>
      <c r="I82" s="2505">
        <f ca="1">Transit!$Z$20*I79</f>
        <v>7.0124463120804075</v>
      </c>
      <c r="J82" s="1509"/>
      <c r="K82" s="2505">
        <f ca="1">Transit!$Z$20*K79</f>
        <v>0.88190801581791267</v>
      </c>
      <c r="L82" s="2505">
        <f ca="1">Transit!$Z$20*L79</f>
        <v>0.83324556985720233</v>
      </c>
      <c r="O82" s="21">
        <f>ROW()</f>
        <v>82</v>
      </c>
      <c r="T82" s="2513"/>
      <c r="U82" s="2513"/>
    </row>
    <row r="83" spans="2:21" ht="14.1" customHeight="1">
      <c r="B83" s="855" t="str">
        <f>CONCATENATE("Splits to Pay-Per-Ride and Unlimiteds use Bus fare media splits in 'Transit' tab, Row ",Transit!O$20, ".")</f>
        <v>Splits to Pay-Per-Ride and Unlimiteds use Bus fare media splits in 'Transit' tab, Row 20.</v>
      </c>
      <c r="C83" s="2958"/>
      <c r="D83" s="2958"/>
      <c r="E83" s="2958"/>
      <c r="F83" s="2958"/>
      <c r="G83" s="2958"/>
      <c r="H83" s="2958"/>
      <c r="I83" s="2957"/>
      <c r="J83" s="1509"/>
      <c r="O83" s="21">
        <f>ROW()</f>
        <v>83</v>
      </c>
      <c r="T83" s="2513"/>
      <c r="U83" s="2513"/>
    </row>
    <row r="84" spans="2:21" ht="14.1" customHeight="1">
      <c r="B84" s="855"/>
      <c r="C84" s="2958"/>
      <c r="D84" s="2958"/>
      <c r="E84" s="2958"/>
      <c r="F84" s="2958"/>
      <c r="G84" s="2958"/>
      <c r="H84" s="2958"/>
      <c r="I84" s="2957"/>
      <c r="J84" s="1509"/>
      <c r="O84" s="21">
        <f>ROW()</f>
        <v>84</v>
      </c>
      <c r="T84" s="2513"/>
      <c r="U84" s="2513"/>
    </row>
    <row r="85" spans="2:21" ht="14.1" customHeight="1">
      <c r="B85" s="2132" t="s">
        <v>5135</v>
      </c>
      <c r="C85" s="2958"/>
      <c r="D85" s="2958"/>
      <c r="E85" s="2958"/>
      <c r="F85" s="2958"/>
      <c r="G85" s="2958"/>
      <c r="H85" s="2958"/>
      <c r="I85" s="2957"/>
      <c r="J85" s="1509"/>
      <c r="O85" s="21">
        <f>ROW()</f>
        <v>85</v>
      </c>
      <c r="T85" s="2513"/>
      <c r="U85" s="2513"/>
    </row>
    <row r="86" spans="2:21" ht="14.1" customHeight="1">
      <c r="B86" s="2133" t="s">
        <v>5136</v>
      </c>
      <c r="C86" s="2958"/>
      <c r="D86" s="2958"/>
      <c r="E86" s="2958"/>
      <c r="F86" s="2958"/>
      <c r="G86" s="2958"/>
      <c r="H86" s="2505">
        <f ca="1">SUM(I86:L86)</f>
        <v>9.2635883135063306</v>
      </c>
      <c r="I86" s="634">
        <f ca="1">I60+I81</f>
        <v>7.4431019371527904</v>
      </c>
      <c r="J86" s="1509"/>
      <c r="K86" s="634">
        <f ca="1">K60+K81</f>
        <v>0.93606866545513345</v>
      </c>
      <c r="L86" s="634">
        <f ca="1">L60+L81</f>
        <v>0.88441771089840604</v>
      </c>
      <c r="O86" s="21">
        <f>ROW()</f>
        <v>86</v>
      </c>
      <c r="T86" s="2513"/>
      <c r="U86" s="2513"/>
    </row>
    <row r="87" spans="2:21" ht="14.1" customHeight="1">
      <c r="B87" s="855" t="str">
        <f>CONCATENATE("Sum of changes from fare change in Row ",O60," and from service changes in Row ",O81, ".")</f>
        <v>Sum of changes from fare change in Row 60 and from service changes in Row 81.</v>
      </c>
      <c r="C87" s="2958"/>
      <c r="D87" s="2958"/>
      <c r="E87" s="2958"/>
      <c r="F87" s="2958"/>
      <c r="G87" s="2958"/>
      <c r="H87" s="2505"/>
      <c r="I87" s="634"/>
      <c r="J87" s="1509"/>
      <c r="K87" s="634"/>
      <c r="L87" s="634"/>
      <c r="O87" s="21">
        <f>ROW()</f>
        <v>87</v>
      </c>
      <c r="T87" s="2513"/>
      <c r="U87" s="2513"/>
    </row>
    <row r="88" spans="2:21" ht="14.1" customHeight="1">
      <c r="B88" s="2133" t="s">
        <v>5137</v>
      </c>
      <c r="C88" s="2958"/>
      <c r="D88" s="2958"/>
      <c r="E88" s="2958"/>
      <c r="F88" s="2958"/>
      <c r="G88" s="2958"/>
      <c r="H88" s="2505">
        <f ca="1">SUM(I88:L88)</f>
        <v>8.7275998977555229</v>
      </c>
      <c r="I88" s="634">
        <f ca="1">I70+I82</f>
        <v>7.0124463120804075</v>
      </c>
      <c r="J88" s="1509"/>
      <c r="K88" s="634">
        <f ca="1">K70+K82</f>
        <v>0.88190801581791267</v>
      </c>
      <c r="L88" s="634">
        <f ca="1">L70+L82</f>
        <v>0.83324556985720233</v>
      </c>
      <c r="O88" s="21">
        <f>ROW()</f>
        <v>88</v>
      </c>
      <c r="T88" s="2513"/>
      <c r="U88" s="2513"/>
    </row>
    <row r="89" spans="2:21" ht="14.1" customHeight="1">
      <c r="B89" s="855" t="str">
        <f>CONCATENATE("Sum of changes from fare change in Row ",O70," and from service changes in Row ",O82, ".")</f>
        <v>Sum of changes from fare change in Row 70 and from service changes in Row 82.</v>
      </c>
      <c r="C89" s="2958"/>
      <c r="D89" s="2958"/>
      <c r="E89" s="2958"/>
      <c r="F89" s="2958"/>
      <c r="G89" s="2958"/>
      <c r="H89" s="2505"/>
      <c r="I89" s="634"/>
      <c r="J89" s="1509"/>
      <c r="K89" s="634"/>
      <c r="L89" s="634"/>
      <c r="O89" s="21">
        <f>ROW()</f>
        <v>89</v>
      </c>
      <c r="T89" s="2513"/>
      <c r="U89" s="2513"/>
    </row>
    <row r="90" spans="2:21" s="2" customFormat="1" ht="14.1" customHeight="1">
      <c r="B90" s="2132" t="s">
        <v>5138</v>
      </c>
      <c r="C90" s="2515"/>
      <c r="D90" s="2515"/>
      <c r="E90" s="2515"/>
      <c r="F90" s="2515"/>
      <c r="G90" s="2515"/>
      <c r="H90" s="2519">
        <f ca="1">SUM(I90:L90)</f>
        <v>17.991188211261854</v>
      </c>
      <c r="I90" s="2973">
        <f ca="1">I86+I88</f>
        <v>14.455548249233198</v>
      </c>
      <c r="J90" s="2517"/>
      <c r="K90" s="2973">
        <f ca="1">K86+K88</f>
        <v>1.8179766812730462</v>
      </c>
      <c r="L90" s="2973">
        <f ca="1">L86+L88</f>
        <v>1.7176632807556085</v>
      </c>
      <c r="O90" s="2146">
        <f>ROW()</f>
        <v>90</v>
      </c>
      <c r="T90" s="2518"/>
      <c r="U90" s="2518"/>
    </row>
    <row r="91" spans="2:21" ht="14.1" customHeight="1">
      <c r="B91" s="855" t="str">
        <f>CONCATENATE("Sum of changes from pay-per-rides in Row ",O86," and from unlimiteds in Row ",O88, ".")</f>
        <v>Sum of changes from pay-per-rides in Row 86 and from unlimiteds in Row 88.</v>
      </c>
      <c r="C91" s="2958"/>
      <c r="D91" s="2958"/>
      <c r="E91" s="2958"/>
      <c r="F91" s="2958"/>
      <c r="G91" s="2958"/>
      <c r="H91" s="2958"/>
      <c r="I91" s="2957"/>
      <c r="J91" s="1509"/>
      <c r="O91" s="21">
        <f>ROW()</f>
        <v>91</v>
      </c>
      <c r="T91" s="2513"/>
      <c r="U91" s="2513"/>
    </row>
    <row r="92" spans="2:21" ht="14.1" customHeight="1">
      <c r="O92" s="21">
        <f>ROW()</f>
        <v>92</v>
      </c>
      <c r="T92" s="2513"/>
      <c r="U92" s="2513"/>
    </row>
    <row r="93" spans="2:21" ht="14.1" customHeight="1">
      <c r="B93" s="518" t="s">
        <v>4525</v>
      </c>
      <c r="C93" s="2489"/>
      <c r="D93" s="2489"/>
      <c r="E93" s="2489"/>
      <c r="F93" s="2489"/>
      <c r="G93" s="2489"/>
      <c r="H93" s="2504" t="s">
        <v>4497</v>
      </c>
      <c r="I93" s="2504" t="s">
        <v>781</v>
      </c>
      <c r="J93" s="2504" t="s">
        <v>1975</v>
      </c>
      <c r="K93" s="1816" t="s">
        <v>1923</v>
      </c>
      <c r="L93" s="1816" t="s">
        <v>1924</v>
      </c>
      <c r="O93" s="21">
        <f>ROW()</f>
        <v>93</v>
      </c>
      <c r="T93" s="2513"/>
      <c r="U93" s="2513"/>
    </row>
    <row r="94" spans="2:21" ht="14.1" customHeight="1">
      <c r="B94" s="886"/>
      <c r="C94" s="2498"/>
      <c r="D94" s="2498"/>
      <c r="E94" s="2498"/>
      <c r="F94" s="2498"/>
      <c r="G94" s="2498"/>
      <c r="H94" s="2498"/>
      <c r="I94" s="113"/>
      <c r="J94" s="1509"/>
      <c r="O94" s="21">
        <f>ROW()</f>
        <v>94</v>
      </c>
      <c r="T94" s="2513"/>
      <c r="U94" s="2513"/>
    </row>
    <row r="95" spans="2:21" ht="14.1" customHeight="1">
      <c r="B95" s="312" t="s">
        <v>4510</v>
      </c>
      <c r="I95" s="1557">
        <f ca="1">Subways!AN393</f>
        <v>7863.4356318626715</v>
      </c>
      <c r="J95" s="1509"/>
      <c r="K95" s="1557">
        <f ca="1">I95*'Motor Vs Weekends'!N891/'Motor Vs'!N891</f>
        <v>6142.2909847964384</v>
      </c>
      <c r="L95" s="1557">
        <f ca="1">K95</f>
        <v>6142.2909847964384</v>
      </c>
      <c r="O95" s="21">
        <f>ROW()</f>
        <v>95</v>
      </c>
      <c r="T95" s="2513"/>
      <c r="U95" s="2513"/>
    </row>
    <row r="96" spans="2:21" ht="14.1" customHeight="1">
      <c r="B96" s="4354" t="str">
        <f>CONCATENATE("Weekday fig. is from 'Subways', Row ",Subways!O393,", derived in section est'ing new transit trips from 'tolled-off' car trips (lion's share of which are assigned to subways). Weekend fig. prorates that by ratio of tolled-off m.v. trips on wknds to that on wkdays, using Row ",'Motor Vs'!O891, " figures from 'Motor Vs' and 'Motor Vs Weekends' tabs.")</f>
        <v>Weekday fig. is from 'Subways', Row 393, derived in section est'ing new transit trips from 'tolled-off' car trips (lion's share of which are assigned to subways). Weekend fig. prorates that by ratio of tolled-off m.v. trips on wknds to that on wkdays, using Row 891 figures from 'Motor Vs' and 'Motor Vs Weekends' tabs.</v>
      </c>
      <c r="C96" s="3786"/>
      <c r="D96" s="3786"/>
      <c r="E96" s="3786"/>
      <c r="F96" s="3786"/>
      <c r="G96" s="3786"/>
      <c r="H96" s="3786"/>
      <c r="I96" s="3786"/>
      <c r="J96" s="3786"/>
      <c r="K96" s="3786"/>
      <c r="L96" s="3786"/>
      <c r="O96" s="21">
        <f>ROW()</f>
        <v>96</v>
      </c>
      <c r="T96" s="2513"/>
      <c r="U96" s="2513"/>
    </row>
    <row r="97" spans="2:21" ht="14.1" customHeight="1">
      <c r="B97" s="3786"/>
      <c r="C97" s="3786"/>
      <c r="D97" s="3786"/>
      <c r="E97" s="3786"/>
      <c r="F97" s="3786"/>
      <c r="G97" s="3786"/>
      <c r="H97" s="3786"/>
      <c r="I97" s="3786"/>
      <c r="J97" s="3786"/>
      <c r="K97" s="3786"/>
      <c r="L97" s="3786"/>
      <c r="O97" s="21">
        <f>ROW()</f>
        <v>97</v>
      </c>
      <c r="T97" s="2513"/>
      <c r="U97" s="2513"/>
    </row>
    <row r="98" spans="2:21" ht="14.1" customHeight="1">
      <c r="B98" s="312" t="s">
        <v>4509</v>
      </c>
      <c r="C98" s="2498"/>
      <c r="D98" s="2498"/>
      <c r="E98" s="2498"/>
      <c r="F98" s="2498"/>
      <c r="G98" s="2498"/>
      <c r="H98" s="2498"/>
      <c r="I98" s="1557">
        <f ca="1">Taxis!J441</f>
        <v>-15076.065108326893</v>
      </c>
      <c r="J98" s="1509"/>
      <c r="K98" s="1557">
        <f ca="1">Taxis!M441</f>
        <v>-5839.6077794081957</v>
      </c>
      <c r="L98" s="1557">
        <f ca="1">K98</f>
        <v>-5839.6077794081957</v>
      </c>
      <c r="O98" s="21">
        <f>ROW()</f>
        <v>98</v>
      </c>
      <c r="T98" s="2513"/>
      <c r="U98" s="2513"/>
    </row>
    <row r="99" spans="2:21" ht="14.1" customHeight="1">
      <c r="B99" s="855" t="str">
        <f>CONCATENATE("Derived in 'Taxis' worksheet, Row ",Taxis!O441, ".")</f>
        <v>Derived in 'Taxis' worksheet, Row 441.</v>
      </c>
      <c r="C99" s="2498"/>
      <c r="D99" s="2498"/>
      <c r="E99" s="2498"/>
      <c r="F99" s="2498"/>
      <c r="G99" s="2498"/>
      <c r="H99" s="2498"/>
      <c r="I99" s="113"/>
      <c r="J99" s="1509"/>
      <c r="O99" s="21">
        <f>ROW()</f>
        <v>99</v>
      </c>
      <c r="T99" s="2513"/>
      <c r="U99" s="2513"/>
    </row>
    <row r="100" spans="2:21" ht="14.1" customHeight="1">
      <c r="B100" s="312" t="s">
        <v>4511</v>
      </c>
      <c r="C100" s="2498"/>
      <c r="D100" s="2498"/>
      <c r="E100" s="2498"/>
      <c r="F100" s="2498"/>
      <c r="G100" s="2498"/>
      <c r="H100" s="2498"/>
      <c r="I100" s="1557">
        <f ca="1">I95+I98</f>
        <v>-7212.6294764642216</v>
      </c>
      <c r="J100" s="1509"/>
      <c r="K100" s="1557">
        <f ca="1">K95+K98</f>
        <v>302.68320538824264</v>
      </c>
      <c r="L100" s="1557">
        <f ca="1">L95+L98</f>
        <v>302.68320538824264</v>
      </c>
      <c r="O100" s="21">
        <f>ROW()</f>
        <v>100</v>
      </c>
      <c r="T100" s="2513"/>
      <c r="U100" s="2513"/>
    </row>
    <row r="101" spans="2:21" ht="14.1" customHeight="1">
      <c r="B101" s="855" t="str">
        <f>CONCATENATE("Sum of Rows ",O95, " and ",O98, ".")</f>
        <v>Sum of Rows 95 and 98.</v>
      </c>
      <c r="C101" s="2498"/>
      <c r="D101" s="2498"/>
      <c r="E101" s="2498"/>
      <c r="F101" s="2498"/>
      <c r="G101" s="2498"/>
      <c r="H101" s="2498"/>
      <c r="I101" s="113"/>
      <c r="J101" s="1509"/>
      <c r="O101" s="21">
        <f>ROW()</f>
        <v>101</v>
      </c>
      <c r="T101" s="2513"/>
      <c r="U101" s="2513"/>
    </row>
    <row r="102" spans="2:21" s="2" customFormat="1" ht="14.1" customHeight="1">
      <c r="B102" s="518" t="s">
        <v>5139</v>
      </c>
      <c r="C102" s="2515"/>
      <c r="D102" s="2515"/>
      <c r="E102" s="2515"/>
      <c r="F102" s="2515"/>
      <c r="G102" s="2515"/>
      <c r="H102" s="2515"/>
      <c r="I102" s="2516">
        <f ca="1">I100*weekday_per_yr/1000000</f>
        <v>-1.8031573691160554</v>
      </c>
      <c r="J102" s="2517"/>
      <c r="K102" s="2516">
        <f ca="1">K100*Constants!J28/1000000</f>
        <v>1.5739526680188617E-2</v>
      </c>
      <c r="L102" s="2516">
        <f ca="1">L100*Constants!J29/1000000</f>
        <v>1.9069041939459287E-2</v>
      </c>
      <c r="O102" s="2146">
        <f>ROW()</f>
        <v>102</v>
      </c>
      <c r="T102" s="2518"/>
      <c r="U102" s="2518"/>
    </row>
    <row r="103" spans="2:21" ht="14.1" customHeight="1">
      <c r="B103" s="855" t="str">
        <f>CONCATENATE("Product of Row ",O100, " and applicable # of days in year from 'Constants' worksheet.")</f>
        <v>Product of Row 100 and applicable # of days in year from 'Constants' worksheet.</v>
      </c>
      <c r="C103" s="2498"/>
      <c r="D103" s="2498"/>
      <c r="E103" s="2498"/>
      <c r="F103" s="2498"/>
      <c r="G103" s="2498"/>
      <c r="H103" s="2498"/>
      <c r="I103" s="113"/>
      <c r="J103" s="1509"/>
      <c r="O103" s="21">
        <f>ROW()</f>
        <v>103</v>
      </c>
      <c r="T103" s="2513"/>
      <c r="U103" s="2513"/>
    </row>
    <row r="104" spans="2:21" ht="14.1" customHeight="1">
      <c r="B104" s="2133" t="s">
        <v>5133</v>
      </c>
      <c r="C104" s="2958"/>
      <c r="D104" s="2958"/>
      <c r="E104" s="2958"/>
      <c r="F104" s="2958"/>
      <c r="G104" s="2958"/>
      <c r="H104" s="2958"/>
      <c r="I104" s="2974">
        <f ca="1">Transit!$I$20*I102</f>
        <v>-0.92843826298812093</v>
      </c>
      <c r="J104" s="1509"/>
      <c r="K104" s="2505">
        <f ca="1">Transit!$I$20*K102</f>
        <v>8.1042171146566006E-3</v>
      </c>
      <c r="L104" s="2505">
        <f ca="1">Transit!$I$20*L102</f>
        <v>9.8185707350647283E-3</v>
      </c>
      <c r="O104" s="21">
        <f>ROW()</f>
        <v>104</v>
      </c>
      <c r="T104" s="2513"/>
      <c r="U104" s="2513"/>
    </row>
    <row r="105" spans="2:21" ht="14.1" customHeight="1">
      <c r="B105" s="2133" t="s">
        <v>5134</v>
      </c>
      <c r="C105" s="2958"/>
      <c r="D105" s="2958"/>
      <c r="E105" s="2958"/>
      <c r="F105" s="2958"/>
      <c r="G105" s="2958"/>
      <c r="H105" s="2958"/>
      <c r="I105" s="2974">
        <f ca="1">Transit!$Z$20*I102</f>
        <v>-0.8747191061279348</v>
      </c>
      <c r="J105" s="1509"/>
      <c r="K105" s="2505">
        <f ca="1">Transit!$Z$20*K102</f>
        <v>7.6353095655320195E-3</v>
      </c>
      <c r="L105" s="2505">
        <f ca="1">Transit!$Z$20*L102</f>
        <v>9.2504712043945617E-3</v>
      </c>
      <c r="O105" s="21">
        <f>ROW()</f>
        <v>105</v>
      </c>
      <c r="T105" s="2513"/>
      <c r="U105" s="2513"/>
    </row>
    <row r="106" spans="2:21" ht="14.1" customHeight="1">
      <c r="B106" s="855" t="str">
        <f>CONCATENATE("Splits to Pay-Per-Ride and Unlimiteds use Bus fare media splits in 'Transit' tab, Row ",Transit!O$20, ".")</f>
        <v>Splits to Pay-Per-Ride and Unlimiteds use Bus fare media splits in 'Transit' tab, Row 20.</v>
      </c>
      <c r="C106" s="2958"/>
      <c r="D106" s="2958"/>
      <c r="E106" s="2958"/>
      <c r="F106" s="2958"/>
      <c r="G106" s="2958"/>
      <c r="H106" s="2958"/>
      <c r="I106" s="2957"/>
      <c r="J106" s="1509"/>
      <c r="O106" s="21">
        <f>ROW()</f>
        <v>106</v>
      </c>
      <c r="T106" s="2513"/>
      <c r="U106" s="2513"/>
    </row>
    <row r="107" spans="2:21" ht="14.1" customHeight="1">
      <c r="B107" s="855"/>
      <c r="C107" s="2958"/>
      <c r="D107" s="2958"/>
      <c r="E107" s="2958"/>
      <c r="F107" s="2958"/>
      <c r="G107" s="2958"/>
      <c r="H107" s="2958"/>
      <c r="I107" s="2957"/>
      <c r="J107" s="1509"/>
      <c r="O107" s="21">
        <f>ROW()</f>
        <v>107</v>
      </c>
      <c r="T107" s="2513"/>
      <c r="U107" s="2513"/>
    </row>
    <row r="108" spans="2:21" ht="14.1" customHeight="1">
      <c r="B108" s="2132" t="s">
        <v>5140</v>
      </c>
      <c r="C108" s="2498"/>
      <c r="D108" s="2498"/>
      <c r="E108" s="2498"/>
      <c r="F108" s="2498"/>
      <c r="G108" s="2498"/>
      <c r="H108" s="2519">
        <f ca="1">I108+J108</f>
        <v>16.222839410765456</v>
      </c>
      <c r="I108" s="2519">
        <f ca="1">I90+I102</f>
        <v>12.652390880117142</v>
      </c>
      <c r="J108" s="2519">
        <f ca="1">K108+L108</f>
        <v>3.5704485306483029</v>
      </c>
      <c r="K108" s="2519">
        <f ca="1">K90+K102</f>
        <v>1.8337162079532348</v>
      </c>
      <c r="L108" s="2519">
        <f ca="1">L90+L102</f>
        <v>1.7367323226950677</v>
      </c>
      <c r="O108" s="21">
        <f>ROW()</f>
        <v>108</v>
      </c>
      <c r="T108" s="2513"/>
      <c r="U108" s="2513"/>
    </row>
    <row r="109" spans="2:21" ht="14.1" customHeight="1">
      <c r="B109" s="2133" t="s">
        <v>4507</v>
      </c>
      <c r="C109" s="2498"/>
      <c r="D109" s="2498"/>
      <c r="E109" s="2498"/>
      <c r="F109" s="2498"/>
      <c r="G109" s="2498"/>
      <c r="H109" s="2514">
        <f ca="1">H108/H$41</f>
        <v>2.2929808354438808E-2</v>
      </c>
      <c r="I109" s="2514">
        <f ca="1">I108/I$41</f>
        <v>2.2257246492030459E-2</v>
      </c>
      <c r="J109" s="2514">
        <f ca="1">J108/J$41</f>
        <v>2.5679593557980683E-2</v>
      </c>
      <c r="K109" s="2514">
        <f ca="1">K108/K$41</f>
        <v>2.5649400449466227E-2</v>
      </c>
      <c r="L109" s="2514">
        <f ca="1">L108/L$41</f>
        <v>2.5711549976813988E-2</v>
      </c>
      <c r="O109" s="21">
        <f>ROW()</f>
        <v>109</v>
      </c>
      <c r="T109" s="2513"/>
      <c r="U109" s="2513"/>
    </row>
    <row r="110" spans="2:21" ht="14.1" customHeight="1">
      <c r="B110" s="855" t="str">
        <f>CONCATENATE("Changes for Weekdays, Sat and Sun are sum of Rows ",O90, " and ",O102, ". Changes for 7 Days and Weekends are sums of applicable columns.")</f>
        <v>Changes for Weekdays, Sat and Sun are sum of Rows 90 and 102. Changes for 7 Days and Weekends are sums of applicable columns.</v>
      </c>
      <c r="C110" s="2498"/>
      <c r="D110" s="2498"/>
      <c r="E110" s="2498"/>
      <c r="F110" s="2498"/>
      <c r="G110" s="2498"/>
      <c r="H110" s="2498"/>
      <c r="I110" s="113"/>
      <c r="J110" s="1509"/>
      <c r="O110" s="21">
        <f>ROW()</f>
        <v>110</v>
      </c>
      <c r="T110" s="2513"/>
      <c r="U110" s="2513"/>
    </row>
    <row r="111" spans="2:21" ht="14.1" customHeight="1">
      <c r="B111" s="2133" t="s">
        <v>4515</v>
      </c>
      <c r="C111" s="2498"/>
      <c r="D111" s="2498"/>
      <c r="E111" s="2498"/>
      <c r="F111" s="2498"/>
      <c r="G111" s="2498"/>
      <c r="H111" s="2505">
        <f>I111+J111</f>
        <v>0</v>
      </c>
      <c r="I111" s="2522">
        <f>I60+I70</f>
        <v>0</v>
      </c>
      <c r="J111" s="2505">
        <f>K111+L111</f>
        <v>0</v>
      </c>
      <c r="K111" s="2522">
        <f>K60+K70</f>
        <v>0</v>
      </c>
      <c r="L111" s="2522">
        <f>L60+L70</f>
        <v>0</v>
      </c>
      <c r="O111" s="21">
        <f>ROW()</f>
        <v>111</v>
      </c>
      <c r="T111" s="2513"/>
      <c r="U111" s="2513"/>
    </row>
    <row r="112" spans="2:21" ht="14.1" customHeight="1">
      <c r="B112" s="855" t="str">
        <f>CONCATENATE("Sum of Rows ",O60, " and ",O70, ".")</f>
        <v>Sum of Rows 60 and 70.</v>
      </c>
      <c r="C112" s="2498"/>
      <c r="D112" s="2498"/>
      <c r="E112" s="2498"/>
      <c r="F112" s="2498"/>
      <c r="G112" s="2498"/>
      <c r="H112" s="2498"/>
      <c r="I112" s="113"/>
      <c r="J112" s="1509"/>
      <c r="O112" s="21">
        <f>ROW()</f>
        <v>112</v>
      </c>
      <c r="T112" s="2513"/>
      <c r="U112" s="2513"/>
    </row>
    <row r="113" spans="2:21" ht="14.1" customHeight="1">
      <c r="B113" s="2133" t="s">
        <v>4518</v>
      </c>
      <c r="C113" s="2498"/>
      <c r="D113" s="2498"/>
      <c r="E113" s="2498"/>
      <c r="F113" s="2498"/>
      <c r="G113" s="2498"/>
      <c r="H113" s="2505">
        <f ca="1">I113+J113</f>
        <v>16.222839410765456</v>
      </c>
      <c r="I113" s="2505">
        <f ca="1">I108-I111</f>
        <v>12.652390880117142</v>
      </c>
      <c r="J113" s="2505">
        <f ca="1">K113+L113</f>
        <v>3.5704485306483029</v>
      </c>
      <c r="K113" s="2505">
        <f ca="1">K108-K111</f>
        <v>1.8337162079532348</v>
      </c>
      <c r="L113" s="2505">
        <f ca="1">L108-L111</f>
        <v>1.7367323226950677</v>
      </c>
      <c r="O113" s="21">
        <f>ROW()</f>
        <v>113</v>
      </c>
      <c r="T113" s="2513"/>
      <c r="U113" s="2513"/>
    </row>
    <row r="114" spans="2:21" ht="14.1" customHeight="1">
      <c r="B114" s="855" t="str">
        <f>CONCATENATE("Difference between total changes in Row ",O108, " and changes allocable to changed bus fares in Row ",O111, ".")</f>
        <v>Difference between total changes in Row 108 and changes allocable to changed bus fares in Row 111.</v>
      </c>
      <c r="C114" s="2498"/>
      <c r="D114" s="2498"/>
      <c r="E114" s="2498"/>
      <c r="F114" s="2498"/>
      <c r="G114" s="2498"/>
      <c r="H114" s="2498"/>
      <c r="I114" s="113"/>
      <c r="J114" s="1509"/>
      <c r="O114" s="21">
        <f>ROW()</f>
        <v>114</v>
      </c>
      <c r="T114" s="2513"/>
      <c r="U114" s="2513"/>
    </row>
    <row r="115" spans="2:21" ht="14.1" customHeight="1">
      <c r="B115" s="2133" t="s">
        <v>4513</v>
      </c>
      <c r="C115" s="2498"/>
      <c r="D115" s="2498"/>
      <c r="E115" s="2498"/>
      <c r="F115" s="2498"/>
      <c r="G115" s="2498"/>
      <c r="H115" s="2498"/>
      <c r="I115" s="2521">
        <f ca="1">I111/I108</f>
        <v>0</v>
      </c>
      <c r="J115" s="2521">
        <f ca="1">J111/J108</f>
        <v>0</v>
      </c>
      <c r="K115" s="2521">
        <f ca="1">K111/K108</f>
        <v>0</v>
      </c>
      <c r="L115" s="2521">
        <f ca="1">L111/L108</f>
        <v>0</v>
      </c>
      <c r="O115" s="21">
        <f>ROW()</f>
        <v>115</v>
      </c>
      <c r="T115" s="2513"/>
      <c r="U115" s="2513"/>
    </row>
    <row r="116" spans="2:21" ht="14.1" customHeight="1">
      <c r="B116" s="855" t="str">
        <f>CONCATENATE("Quotient of Row ",O111, " to Row ",114, ".")</f>
        <v>Quotient of Row 111 to Row 114.</v>
      </c>
      <c r="C116" s="2498"/>
      <c r="D116" s="2498"/>
      <c r="E116" s="2498"/>
      <c r="F116" s="2498"/>
      <c r="G116" s="2498"/>
      <c r="H116" s="2498"/>
      <c r="I116" s="113"/>
      <c r="J116" s="1509"/>
      <c r="O116" s="21">
        <f>ROW()</f>
        <v>116</v>
      </c>
      <c r="T116" s="2513"/>
      <c r="U116" s="2513"/>
    </row>
    <row r="117" spans="2:21" ht="14.1" customHeight="1">
      <c r="O117" s="21">
        <f>ROW()</f>
        <v>117</v>
      </c>
    </row>
    <row r="118" spans="2:21" ht="14.1" customHeight="1">
      <c r="B118" s="2132" t="s">
        <v>4520</v>
      </c>
      <c r="C118" s="2489"/>
      <c r="D118" s="2489"/>
      <c r="E118" s="2489"/>
      <c r="F118" s="2489"/>
      <c r="G118" s="2489"/>
      <c r="H118" s="2519">
        <f ca="1">H41+H108</f>
        <v>723.72283941076546</v>
      </c>
      <c r="I118" s="2519">
        <f ca="1">I41+I108</f>
        <v>581.11403255926746</v>
      </c>
      <c r="J118" s="2519">
        <f ca="1">K118+L118</f>
        <v>142.60880685149803</v>
      </c>
      <c r="K118" s="2519">
        <f ca="1">K41+K108</f>
        <v>73.325297914355062</v>
      </c>
      <c r="L118" s="2519">
        <f ca="1">L41+L108</f>
        <v>69.283508937142969</v>
      </c>
      <c r="O118" s="21">
        <f>ROW()</f>
        <v>118</v>
      </c>
      <c r="T118" s="2513"/>
      <c r="U118" s="2513"/>
    </row>
    <row r="119" spans="2:21" ht="14.1" customHeight="1">
      <c r="B119" s="855" t="str">
        <f>CONCATENATE("Sum of Rows ",O41, " and ",O108, ".")</f>
        <v>Sum of Rows 41 and 108.</v>
      </c>
      <c r="C119" s="2498"/>
      <c r="D119" s="2498"/>
      <c r="E119" s="2498"/>
      <c r="F119" s="2498"/>
      <c r="G119" s="2498"/>
      <c r="H119" s="2498"/>
      <c r="I119" s="113"/>
      <c r="J119" s="1509"/>
      <c r="O119" s="21">
        <f>ROW()</f>
        <v>119</v>
      </c>
      <c r="T119" s="2513"/>
      <c r="U119" s="2513"/>
    </row>
    <row r="120" spans="2:21" ht="14.1" customHeight="1">
      <c r="B120" s="2133" t="s">
        <v>5142</v>
      </c>
      <c r="C120" s="2958"/>
      <c r="D120" s="2958"/>
      <c r="E120" s="2958"/>
      <c r="F120" s="2958"/>
      <c r="G120" s="2958"/>
      <c r="H120" s="2505">
        <f ca="1">I120+J120</f>
        <v>372.64189327898578</v>
      </c>
      <c r="I120" s="2974">
        <f ca="1">I42+I60+I81+I104</f>
        <v>299.21320913428457</v>
      </c>
      <c r="J120" s="2505">
        <f ca="1">K120+L120</f>
        <v>73.428684144701222</v>
      </c>
      <c r="K120" s="2505">
        <f ca="1">Transit!$I$20*K118</f>
        <v>37.754892276575688</v>
      </c>
      <c r="L120" s="2505">
        <f ca="1">Transit!$I$20*L118</f>
        <v>35.673791868125534</v>
      </c>
      <c r="O120" s="21">
        <f>ROW()</f>
        <v>120</v>
      </c>
      <c r="T120" s="2513"/>
      <c r="U120" s="2513"/>
    </row>
    <row r="121" spans="2:21" ht="14.1" customHeight="1">
      <c r="B121" s="855" t="str">
        <f>CONCATENATE("Sum of Rows ",O42, ", ",O60, ", ",O81, " and ",O104, ".")</f>
        <v>Sum of Rows 42, 60, 81 and 104.</v>
      </c>
      <c r="C121" s="2958"/>
      <c r="D121" s="2958"/>
      <c r="E121" s="2958"/>
      <c r="F121" s="2958"/>
      <c r="G121" s="2958"/>
      <c r="H121" s="2958"/>
      <c r="I121" s="2974"/>
      <c r="J121" s="1509"/>
      <c r="K121" s="2505"/>
      <c r="L121" s="2505"/>
      <c r="O121" s="21">
        <f>ROW()</f>
        <v>121</v>
      </c>
      <c r="T121" s="2513"/>
      <c r="U121" s="2513"/>
    </row>
    <row r="122" spans="2:21" ht="14.1" customHeight="1">
      <c r="B122" s="2133" t="s">
        <v>5143</v>
      </c>
      <c r="C122" s="2958"/>
      <c r="D122" s="2958"/>
      <c r="E122" s="2958"/>
      <c r="F122" s="2958"/>
      <c r="G122" s="2958"/>
      <c r="H122" s="2505">
        <f ca="1">I122+J122</f>
        <v>351.0809461317798</v>
      </c>
      <c r="I122" s="2974">
        <f ca="1">I43+I70+I82+I105</f>
        <v>281.90082342498295</v>
      </c>
      <c r="J122" s="2505">
        <f ca="1">K122+L122</f>
        <v>69.180122706796837</v>
      </c>
      <c r="K122" s="2505">
        <f ca="1">Transit!$Z$20*K118</f>
        <v>35.570405637779388</v>
      </c>
      <c r="L122" s="2505">
        <f ca="1">Transit!$Z$20*L118</f>
        <v>33.609717069017449</v>
      </c>
      <c r="O122" s="21">
        <f>ROW()</f>
        <v>122</v>
      </c>
      <c r="T122" s="2513"/>
      <c r="U122" s="2513"/>
    </row>
    <row r="123" spans="2:21" ht="14.1" customHeight="1">
      <c r="B123" s="855" t="str">
        <f>CONCATENATE("Sum of Rows ",O43, ", ",O70, ", ",O82, " and ",O105, ".")</f>
        <v>Sum of Rows 43, 70, 82 and 105.</v>
      </c>
      <c r="C123" s="2958"/>
      <c r="D123" s="2958"/>
      <c r="E123" s="2958"/>
      <c r="F123" s="2958"/>
      <c r="G123" s="2958"/>
      <c r="H123" s="2958"/>
      <c r="I123" s="2957"/>
      <c r="J123" s="1509"/>
      <c r="O123" s="21">
        <f>ROW()</f>
        <v>123</v>
      </c>
      <c r="T123" s="2513"/>
      <c r="U123" s="2513"/>
    </row>
    <row r="124" spans="2:21" ht="14.1" customHeight="1">
      <c r="B124" s="855"/>
      <c r="C124" s="2958"/>
      <c r="D124" s="2958"/>
      <c r="E124" s="2958"/>
      <c r="F124" s="2958"/>
      <c r="G124" s="2958"/>
      <c r="H124" s="2958"/>
      <c r="I124" s="2957"/>
      <c r="J124" s="1509"/>
      <c r="O124" s="21">
        <f>ROW()</f>
        <v>124</v>
      </c>
      <c r="T124" s="2513"/>
      <c r="U124" s="2513"/>
    </row>
    <row r="125" spans="2:21" ht="14.1" customHeight="1">
      <c r="B125" s="518" t="s">
        <v>5141</v>
      </c>
      <c r="C125" s="2498"/>
      <c r="D125" s="2498"/>
      <c r="E125" s="2498"/>
      <c r="F125" s="2498"/>
      <c r="G125" s="2498"/>
      <c r="H125" s="2504" t="s">
        <v>4497</v>
      </c>
      <c r="I125" s="2504" t="s">
        <v>781</v>
      </c>
      <c r="J125" s="2504" t="s">
        <v>1975</v>
      </c>
      <c r="K125" s="1816" t="s">
        <v>1923</v>
      </c>
      <c r="L125" s="1816" t="s">
        <v>1924</v>
      </c>
      <c r="O125" s="21">
        <f>ROW()</f>
        <v>125</v>
      </c>
      <c r="T125" s="2513"/>
      <c r="U125" s="2513"/>
    </row>
    <row r="126" spans="2:21" ht="14.1" customHeight="1">
      <c r="B126" s="886"/>
      <c r="C126" s="2498"/>
      <c r="D126" s="2498"/>
      <c r="E126" s="2498"/>
      <c r="F126" s="2498"/>
      <c r="G126" s="2498"/>
      <c r="H126" s="2498"/>
      <c r="I126" s="113"/>
      <c r="J126" s="1509"/>
      <c r="O126" s="21">
        <f>ROW()</f>
        <v>126</v>
      </c>
      <c r="T126" s="2513"/>
      <c r="U126" s="2513"/>
    </row>
    <row r="127" spans="2:21" ht="14.1" customHeight="1">
      <c r="B127" s="2133" t="s">
        <v>4512</v>
      </c>
      <c r="C127" s="2498"/>
      <c r="D127" s="2498"/>
      <c r="E127" s="2498"/>
      <c r="F127" s="2498"/>
      <c r="G127" s="2498"/>
      <c r="H127" s="2520">
        <f>J23*J28</f>
        <v>851.9</v>
      </c>
      <c r="I127" s="2520">
        <f>I41/$H$41*H127</f>
        <v>684.48406013635065</v>
      </c>
      <c r="J127" s="2520">
        <f>J41/$H$41*H127</f>
        <v>167.4159398636493</v>
      </c>
      <c r="K127" s="2520">
        <f>K41/$J$41*$J$127</f>
        <v>86.082937746549405</v>
      </c>
      <c r="L127" s="2520">
        <f>L41/$J$41*$J$127</f>
        <v>81.33300211709988</v>
      </c>
      <c r="O127" s="21">
        <f>ROW()</f>
        <v>127</v>
      </c>
      <c r="T127" s="2513"/>
      <c r="U127" s="2513"/>
    </row>
    <row r="128" spans="2:21" ht="14.1" customHeight="1">
      <c r="B128" s="4354" t="str">
        <f>CONCATENATE("7 Days figure could have been copied from Row ",O25, " but was instead calc's as product of Rows ",O23, " and ",O28, ", as check. That figure is subdivided into Weekdays / Weekends, and latter into Sat / Sun, by prorating from breakdowns in Row ",O41, ".")</f>
        <v>7 Days figure could have been copied from Row 25 but was instead calc's as product of Rows 23 and 28, as check. That figure is subdivided into Weekdays / Weekends, and latter into Sat / Sun, by prorating from breakdowns in Row 41.</v>
      </c>
      <c r="C128" s="3786"/>
      <c r="D128" s="3786"/>
      <c r="E128" s="3786"/>
      <c r="F128" s="3786"/>
      <c r="G128" s="3786"/>
      <c r="H128" s="3786"/>
      <c r="I128" s="3786"/>
      <c r="J128" s="3786"/>
      <c r="K128" s="3786"/>
      <c r="L128" s="3786"/>
      <c r="O128" s="21">
        <f>ROW()</f>
        <v>128</v>
      </c>
      <c r="T128" s="2513"/>
      <c r="U128" s="2513"/>
    </row>
    <row r="129" spans="2:21" ht="14.1" customHeight="1">
      <c r="B129" s="3786"/>
      <c r="C129" s="3786"/>
      <c r="D129" s="3786"/>
      <c r="E129" s="3786"/>
      <c r="F129" s="3786"/>
      <c r="G129" s="3786"/>
      <c r="H129" s="3786"/>
      <c r="I129" s="3786"/>
      <c r="J129" s="3786"/>
      <c r="K129" s="3786"/>
      <c r="L129" s="3786"/>
      <c r="O129" s="21">
        <f>ROW()</f>
        <v>129</v>
      </c>
      <c r="T129" s="2513"/>
      <c r="U129" s="2513"/>
    </row>
    <row r="130" spans="2:21" ht="14.1" customHeight="1">
      <c r="B130" s="2133" t="s">
        <v>5145</v>
      </c>
      <c r="C130" s="2497"/>
      <c r="D130" s="2497"/>
      <c r="E130" s="2497"/>
      <c r="F130" s="2497"/>
      <c r="G130" s="2497"/>
      <c r="H130" s="2505">
        <f>I130+J130</f>
        <v>291.43105635249429</v>
      </c>
      <c r="I130" s="2505">
        <f>Transit!$I$20*I44</f>
        <v>234.15883636809588</v>
      </c>
      <c r="J130" s="2505">
        <f>K130+L130</f>
        <v>57.272219984398404</v>
      </c>
      <c r="K130" s="2505">
        <f>Transit!$I$20*K44</f>
        <v>29.448575515204734</v>
      </c>
      <c r="L130" s="2505">
        <f>Transit!$I$20*L44</f>
        <v>27.82364446919367</v>
      </c>
      <c r="O130" s="21">
        <f>ROW()</f>
        <v>130</v>
      </c>
      <c r="T130" s="2513"/>
      <c r="U130" s="2513"/>
    </row>
    <row r="131" spans="2:21" ht="14.1" customHeight="1">
      <c r="B131" s="855" t="str">
        <f>CONCATENATE("Product of 'Transit' worksheet Row ",Transit!O20, " denoting % bus riders who pay on per-ride basis, and applicable figure from Row ",O44, ".")</f>
        <v>Product of 'Transit' worksheet Row 20 denoting % bus riders who pay on per-ride basis, and applicable figure from Row 44.</v>
      </c>
      <c r="C131" s="2497"/>
      <c r="D131" s="2497"/>
      <c r="E131" s="2497"/>
      <c r="F131" s="2497"/>
      <c r="G131" s="2497"/>
      <c r="H131" s="2497"/>
      <c r="I131" s="2497"/>
      <c r="J131" s="2497"/>
      <c r="K131" s="2497"/>
      <c r="L131" s="2497"/>
      <c r="O131" s="21">
        <f>ROW()</f>
        <v>131</v>
      </c>
      <c r="T131" s="2513"/>
      <c r="U131" s="2513"/>
    </row>
    <row r="132" spans="2:21" ht="14.1" customHeight="1">
      <c r="B132" s="2133" t="s">
        <v>5146</v>
      </c>
      <c r="C132" s="2497"/>
      <c r="D132" s="2497"/>
      <c r="E132" s="2497"/>
      <c r="F132" s="2497"/>
      <c r="G132" s="2497"/>
      <c r="H132" s="2520">
        <f>H130*H51</f>
        <v>628.60912567106789</v>
      </c>
      <c r="I132" s="2520">
        <f>I130*I51</f>
        <v>505.07445307911019</v>
      </c>
      <c r="J132" s="2520">
        <f>J130*J51</f>
        <v>123.53467259195764</v>
      </c>
      <c r="K132" s="2520">
        <f>K130*K51</f>
        <v>63.519803066152619</v>
      </c>
      <c r="L132" s="2520">
        <f>L130*L51</f>
        <v>60.014869525805018</v>
      </c>
      <c r="O132" s="21">
        <f>ROW()</f>
        <v>132</v>
      </c>
      <c r="T132" s="2513"/>
      <c r="U132" s="2513"/>
    </row>
    <row r="133" spans="2:21" ht="14.1" customHeight="1">
      <c r="B133" s="855" t="str">
        <f>CONCATENATE("Product of fare quantities in Row ",O130, " and fare levels in Row ",O51, ".")</f>
        <v>Product of fare quantities in Row 130 and fare levels in Row 51.</v>
      </c>
      <c r="C133" s="2497"/>
      <c r="D133" s="2497"/>
      <c r="E133" s="2497"/>
      <c r="F133" s="2497"/>
      <c r="G133" s="2497"/>
      <c r="H133" s="2497"/>
      <c r="I133" s="2497"/>
      <c r="J133" s="2497"/>
      <c r="K133" s="2497"/>
      <c r="L133" s="2497"/>
      <c r="O133" s="21">
        <f>ROW()</f>
        <v>133</v>
      </c>
      <c r="T133" s="2513"/>
      <c r="U133" s="2513"/>
    </row>
    <row r="134" spans="2:21" ht="14.1" customHeight="1">
      <c r="B134" s="2133" t="s">
        <v>5147</v>
      </c>
      <c r="C134" s="2497"/>
      <c r="D134" s="2497"/>
      <c r="E134" s="2497"/>
      <c r="F134" s="2497"/>
      <c r="G134" s="2497"/>
      <c r="H134" s="2505">
        <f>I134+J134</f>
        <v>274.56894364750571</v>
      </c>
      <c r="I134" s="2505">
        <f>(1-Transit!$I$20)*Buses!I44</f>
        <v>220.61047697522429</v>
      </c>
      <c r="J134" s="2505">
        <f>K134+L134</f>
        <v>53.958466672281432</v>
      </c>
      <c r="K134" s="2505">
        <f>(1-Transit!$I$20)*Buses!K44</f>
        <v>27.74468984991675</v>
      </c>
      <c r="L134" s="2505">
        <f>(1-Transit!$I$20)*Buses!L44</f>
        <v>26.213776822364682</v>
      </c>
      <c r="O134" s="21">
        <f>ROW()</f>
        <v>134</v>
      </c>
      <c r="T134" s="2513"/>
      <c r="U134" s="2513"/>
    </row>
    <row r="135" spans="2:21" ht="14.1" customHeight="1">
      <c r="B135" s="855" t="str">
        <f>CONCATENATE("Product of complement of figure in 'Transit' worksheet Row ",Transit!O20, " and applicable figure from Row ",O44, ".")</f>
        <v>Product of complement of figure in 'Transit' worksheet Row 20 and applicable figure from Row 44.</v>
      </c>
      <c r="C135" s="2497"/>
      <c r="D135" s="2497"/>
      <c r="E135" s="2497"/>
      <c r="F135" s="2497"/>
      <c r="G135" s="2497"/>
      <c r="H135" s="2497"/>
      <c r="I135" s="2497"/>
      <c r="J135" s="2497"/>
      <c r="K135" s="2497"/>
      <c r="L135" s="2497"/>
      <c r="O135" s="21">
        <f>ROW()</f>
        <v>135</v>
      </c>
      <c r="T135" s="2513"/>
      <c r="U135" s="2513"/>
    </row>
    <row r="136" spans="2:21" ht="14.1" customHeight="1">
      <c r="B136" s="2133" t="s">
        <v>5148</v>
      </c>
      <c r="C136" s="2497"/>
      <c r="D136" s="2497"/>
      <c r="E136" s="2497"/>
      <c r="F136" s="2497"/>
      <c r="G136" s="2497"/>
      <c r="H136" s="2520">
        <f>H134*H64</f>
        <v>223.29087432893218</v>
      </c>
      <c r="I136" s="2520">
        <f>I134*I64</f>
        <v>179.40960705724044</v>
      </c>
      <c r="J136" s="2520">
        <f>J134*J64</f>
        <v>43.881267271691748</v>
      </c>
      <c r="K136" s="2520">
        <f>K134*K64</f>
        <v>22.563134680396839</v>
      </c>
      <c r="L136" s="2520">
        <f>L134*L64</f>
        <v>21.318132591294912</v>
      </c>
      <c r="O136" s="21">
        <f>ROW()</f>
        <v>136</v>
      </c>
      <c r="T136" s="2513"/>
      <c r="U136" s="2513"/>
    </row>
    <row r="137" spans="2:21" ht="14.1" customHeight="1">
      <c r="B137" s="855" t="str">
        <f>CONCATENATE("Product of fare quantities in Row ",O134, " and baseline fare in Row ",O64, ".")</f>
        <v>Product of fare quantities in Row 134 and baseline fare in Row 64.</v>
      </c>
      <c r="C137" s="2497"/>
      <c r="D137" s="2497"/>
      <c r="E137" s="2497"/>
      <c r="F137" s="2497"/>
      <c r="G137" s="2497"/>
      <c r="H137" s="2497"/>
      <c r="I137" s="2497"/>
      <c r="J137" s="2497"/>
      <c r="K137" s="2497"/>
      <c r="L137" s="2497"/>
      <c r="O137" s="21">
        <f>ROW()</f>
        <v>137</v>
      </c>
      <c r="T137" s="2513"/>
      <c r="U137" s="2513"/>
    </row>
    <row r="138" spans="2:21" ht="14.1" customHeight="1">
      <c r="B138" s="2133" t="s">
        <v>5149</v>
      </c>
      <c r="C138" s="2497"/>
      <c r="D138" s="2497"/>
      <c r="E138" s="2497"/>
      <c r="F138" s="2497"/>
      <c r="G138" s="2497"/>
      <c r="H138" s="2520">
        <f>H132+H136</f>
        <v>851.90000000000009</v>
      </c>
      <c r="I138" s="2520">
        <f>I132+I136</f>
        <v>684.48406013635065</v>
      </c>
      <c r="J138" s="2520">
        <f>J132+J136</f>
        <v>167.41593986364938</v>
      </c>
      <c r="K138" s="2520">
        <f>K132+K136</f>
        <v>86.082937746549462</v>
      </c>
      <c r="L138" s="2520">
        <f>L132+L136</f>
        <v>81.333002117099937</v>
      </c>
      <c r="O138" s="21">
        <f>ROW()</f>
        <v>138</v>
      </c>
      <c r="T138" s="2513"/>
      <c r="U138" s="2513"/>
    </row>
    <row r="139" spans="2:21" ht="14.1" customHeight="1">
      <c r="B139" s="855" t="str">
        <f>CONCATENATE("Sum of Rows ",O132, " and ",O136, ".")</f>
        <v>Sum of Rows 132 and 136.</v>
      </c>
      <c r="C139" s="2497"/>
      <c r="D139" s="2497"/>
      <c r="E139" s="2497"/>
      <c r="F139" s="2497"/>
      <c r="G139" s="2497"/>
      <c r="H139" s="2497"/>
      <c r="I139" s="2497"/>
      <c r="J139" s="2497"/>
      <c r="K139" s="2497"/>
      <c r="L139" s="2497"/>
      <c r="O139" s="21">
        <f>ROW()</f>
        <v>139</v>
      </c>
      <c r="T139" s="2513"/>
      <c r="U139" s="2513"/>
    </row>
    <row r="140" spans="2:21" ht="14.1" customHeight="1">
      <c r="B140" s="2133" t="s">
        <v>5144</v>
      </c>
      <c r="C140" s="2497"/>
      <c r="D140" s="2497"/>
      <c r="E140" s="2497"/>
      <c r="F140" s="2497"/>
      <c r="G140" s="2497"/>
      <c r="H140" s="2505">
        <f ca="1">I140+J140</f>
        <v>293.3290339797091</v>
      </c>
      <c r="I140" s="2505">
        <f ca="1">I120*$J$21</f>
        <v>239.37056730742768</v>
      </c>
      <c r="J140" s="2505">
        <f>J134+J111</f>
        <v>53.958466672281432</v>
      </c>
      <c r="K140" s="2505">
        <f ca="1">K120*$J$21</f>
        <v>30.203913821260553</v>
      </c>
      <c r="L140" s="2505">
        <f ca="1">L120*$J$21</f>
        <v>28.53903349450043</v>
      </c>
      <c r="O140" s="21">
        <f>ROW()</f>
        <v>140</v>
      </c>
      <c r="T140" s="2513"/>
      <c r="U140" s="2513"/>
    </row>
    <row r="141" spans="2:21" ht="14.1" customHeight="1">
      <c r="B141" s="855" t="str">
        <f>CONCATENATE("Product of pay-per-riders in Row ",O120, " and normalizing factor in Row ",O$21, ".")</f>
        <v>Product of pay-per-riders in Row 120 and normalizing factor in Row 21.</v>
      </c>
      <c r="C141" s="2497"/>
      <c r="D141" s="2497"/>
      <c r="E141" s="2497"/>
      <c r="F141" s="2497"/>
      <c r="G141" s="2497"/>
      <c r="H141" s="2497"/>
      <c r="I141" s="2497"/>
      <c r="J141" s="2497"/>
      <c r="K141" s="2497"/>
      <c r="L141" s="2497"/>
      <c r="O141" s="21">
        <f>ROW()</f>
        <v>141</v>
      </c>
      <c r="T141" s="2513"/>
      <c r="U141" s="2513"/>
    </row>
    <row r="142" spans="2:21" ht="14.1" customHeight="1">
      <c r="B142" s="2133" t="s">
        <v>5150</v>
      </c>
      <c r="C142" s="2497"/>
      <c r="D142" s="2497"/>
      <c r="E142" s="2497"/>
      <c r="F142" s="2497"/>
      <c r="G142" s="2497"/>
      <c r="H142" s="2520">
        <f ca="1">I142+J142</f>
        <v>643.02301245255683</v>
      </c>
      <c r="I142" s="2520">
        <f ca="1">I140*I56</f>
        <v>516.31601967811957</v>
      </c>
      <c r="J142" s="2520">
        <f ca="1">K142+L142</f>
        <v>126.70699277443727</v>
      </c>
      <c r="K142" s="2520">
        <f ca="1">K140*K56</f>
        <v>65.149047931467578</v>
      </c>
      <c r="L142" s="2520">
        <f ca="1">L140*L56</f>
        <v>61.55794484296969</v>
      </c>
      <c r="O142" s="21">
        <f>ROW()</f>
        <v>142</v>
      </c>
      <c r="T142" s="2513"/>
      <c r="U142" s="2513"/>
    </row>
    <row r="143" spans="2:21" ht="14.1" customHeight="1">
      <c r="B143" s="855" t="str">
        <f>CONCATENATE("Product of fare quantities in Row ",O140, " and fare levels to be experienced by those riders, shown in Row ",O56, ".")</f>
        <v>Product of fare quantities in Row 140 and fare levels to be experienced by those riders, shown in Row 56.</v>
      </c>
      <c r="C143" s="2497"/>
      <c r="D143" s="2497"/>
      <c r="E143" s="2497"/>
      <c r="F143" s="2497"/>
      <c r="G143" s="2497"/>
      <c r="H143" s="2497"/>
      <c r="I143" s="2497"/>
      <c r="J143" s="2497"/>
      <c r="K143" s="2497"/>
      <c r="L143" s="2497"/>
      <c r="O143" s="21">
        <f>ROW()</f>
        <v>143</v>
      </c>
      <c r="T143" s="2513"/>
      <c r="U143" s="2513"/>
    </row>
    <row r="144" spans="2:21" ht="14.1" customHeight="1">
      <c r="B144" s="2133" t="s">
        <v>5151</v>
      </c>
      <c r="C144" s="2497"/>
      <c r="D144" s="2497"/>
      <c r="E144" s="2497"/>
      <c r="F144" s="2497"/>
      <c r="G144" s="2497"/>
      <c r="H144" s="2505">
        <f ca="1">I144+J144</f>
        <v>280.86475690542386</v>
      </c>
      <c r="I144" s="2505">
        <f ca="1">I122*$J$21</f>
        <v>225.52065873998637</v>
      </c>
      <c r="J144" s="2505">
        <f ca="1">K144+L144</f>
        <v>55.344098165437472</v>
      </c>
      <c r="K144" s="2505">
        <f ca="1">K122*$J$21</f>
        <v>28.45632451022351</v>
      </c>
      <c r="L144" s="2505">
        <f ca="1">L122*$J$21</f>
        <v>26.887773655213962</v>
      </c>
      <c r="O144" s="21">
        <f>ROW()</f>
        <v>144</v>
      </c>
      <c r="T144" s="2513"/>
      <c r="U144" s="2513"/>
    </row>
    <row r="145" spans="2:21" ht="14.1" customHeight="1">
      <c r="B145" s="855" t="str">
        <f>CONCATENATE("Product of unlimited farecard riders in Row ",O122, " and normalizing factor in Row ",O$21, ".")</f>
        <v>Product of unlimited farecard riders in Row 122 and normalizing factor in Row 21.</v>
      </c>
      <c r="C145" s="2497"/>
      <c r="D145" s="2497"/>
      <c r="E145" s="2497"/>
      <c r="F145" s="2497"/>
      <c r="G145" s="2497"/>
      <c r="H145" s="2497"/>
      <c r="I145" s="2497"/>
      <c r="J145" s="2497"/>
      <c r="K145" s="2497"/>
      <c r="L145" s="2497"/>
      <c r="O145" s="21">
        <f>ROW()</f>
        <v>145</v>
      </c>
      <c r="T145" s="2513"/>
      <c r="U145" s="2513"/>
    </row>
    <row r="146" spans="2:21" ht="14.1" customHeight="1">
      <c r="B146" s="2133" t="s">
        <v>4516</v>
      </c>
      <c r="C146" s="2497"/>
      <c r="D146" s="2497"/>
      <c r="E146" s="2497"/>
      <c r="F146" s="2497"/>
      <c r="G146" s="2497"/>
      <c r="H146" s="2520">
        <f ca="1">I146+J146</f>
        <v>228.41089128458978</v>
      </c>
      <c r="I146" s="2520">
        <f ca="1">I144*I66</f>
        <v>183.40277090455186</v>
      </c>
      <c r="J146" s="2520">
        <f ca="1">K146+L146</f>
        <v>45.008120380037923</v>
      </c>
      <c r="K146" s="2520">
        <f ca="1">K144*K66</f>
        <v>23.141865557209581</v>
      </c>
      <c r="L146" s="2520">
        <f ca="1">L144*L66</f>
        <v>21.866254822828338</v>
      </c>
      <c r="O146" s="21">
        <f>ROW()</f>
        <v>146</v>
      </c>
      <c r="T146" s="2513"/>
      <c r="U146" s="2513"/>
    </row>
    <row r="147" spans="2:21" ht="14.1" customHeight="1">
      <c r="B147" s="855" t="str">
        <f>CONCATENATE("Product of fare quantities in Row ",O144, " and fare levels to be experienced by those riders, shown in Row ",O66, ".")</f>
        <v>Product of fare quantities in Row 144 and fare levels to be experienced by those riders, shown in Row 66.</v>
      </c>
      <c r="C147" s="2497"/>
      <c r="D147" s="2497"/>
      <c r="E147" s="2497"/>
      <c r="F147" s="2497"/>
      <c r="G147" s="2497"/>
      <c r="H147" s="2497"/>
      <c r="I147" s="2497"/>
      <c r="J147" s="2497"/>
      <c r="K147" s="2497"/>
      <c r="L147" s="2497"/>
      <c r="O147" s="21">
        <f>ROW()</f>
        <v>147</v>
      </c>
      <c r="T147" s="2513"/>
      <c r="U147" s="2513"/>
    </row>
    <row r="148" spans="2:21" s="2" customFormat="1" ht="14.1" customHeight="1">
      <c r="B148" s="2132" t="s">
        <v>4517</v>
      </c>
      <c r="C148" s="2523"/>
      <c r="D148" s="2523"/>
      <c r="E148" s="2523"/>
      <c r="F148" s="2523"/>
      <c r="G148" s="2523"/>
      <c r="H148" s="2524">
        <f ca="1">H142+H146</f>
        <v>871.43390373714658</v>
      </c>
      <c r="I148" s="2524">
        <f ca="1">I142+I146</f>
        <v>699.71879058267143</v>
      </c>
      <c r="J148" s="2524">
        <f ca="1">J142+J146</f>
        <v>171.7151131544752</v>
      </c>
      <c r="K148" s="2524">
        <f ca="1">K142+K146</f>
        <v>88.290913488677162</v>
      </c>
      <c r="L148" s="2524">
        <f ca="1">L142+L146</f>
        <v>83.424199665798028</v>
      </c>
      <c r="O148" s="2146">
        <f>ROW()</f>
        <v>148</v>
      </c>
      <c r="T148" s="2518"/>
      <c r="U148" s="2518"/>
    </row>
    <row r="149" spans="2:21" ht="14.1" customHeight="1">
      <c r="B149" s="855" t="str">
        <f>CONCATENATE("Sum of two revenue components, from Rows ",O142, " and ",O146, ".")</f>
        <v>Sum of two revenue components, from Rows 142 and 146.</v>
      </c>
      <c r="C149" s="2497"/>
      <c r="D149" s="2497"/>
      <c r="E149" s="2497"/>
      <c r="F149" s="2497"/>
      <c r="G149" s="2497"/>
      <c r="H149" s="2497"/>
      <c r="I149" s="2497"/>
      <c r="J149" s="2497"/>
      <c r="K149" s="2497"/>
      <c r="L149" s="2497"/>
      <c r="O149" s="21">
        <f>ROW()</f>
        <v>149</v>
      </c>
      <c r="T149" s="2513"/>
      <c r="U149" s="2513"/>
    </row>
    <row r="150" spans="2:21" ht="14.1" customHeight="1">
      <c r="B150" s="2133" t="s">
        <v>5152</v>
      </c>
      <c r="C150" s="2956"/>
      <c r="D150" s="2956"/>
      <c r="E150" s="2956"/>
      <c r="F150" s="2956"/>
      <c r="G150" s="2956"/>
      <c r="H150" s="2520">
        <f>I150+J150</f>
        <v>0</v>
      </c>
      <c r="I150" s="2520">
        <f>I60*I56</f>
        <v>0</v>
      </c>
      <c r="J150" s="2520">
        <f>K150+L150</f>
        <v>0</v>
      </c>
      <c r="K150" s="2520">
        <f>K60*K56</f>
        <v>0</v>
      </c>
      <c r="L150" s="2520">
        <f>L60*L56</f>
        <v>0</v>
      </c>
      <c r="O150" s="21">
        <f>ROW()</f>
        <v>150</v>
      </c>
      <c r="T150" s="2513"/>
      <c r="U150" s="2513"/>
    </row>
    <row r="151" spans="2:21" ht="14.1" customHeight="1">
      <c r="B151" s="855" t="str">
        <f>CONCATENATE("Product of increased pay-per-ridership due to fare change in Row ",O60, " and fare levels for those riders, shown in Row ",O56, ".")</f>
        <v>Product of increased pay-per-ridership due to fare change in Row 60 and fare levels for those riders, shown in Row 56.</v>
      </c>
      <c r="C151" s="2956"/>
      <c r="D151" s="2956"/>
      <c r="E151" s="2956"/>
      <c r="F151" s="2956"/>
      <c r="G151" s="2956"/>
      <c r="H151" s="2956"/>
      <c r="I151" s="2956"/>
      <c r="J151" s="2956"/>
      <c r="K151" s="2956"/>
      <c r="L151" s="2956"/>
      <c r="O151" s="21">
        <f>ROW()</f>
        <v>151</v>
      </c>
      <c r="T151" s="2513"/>
      <c r="U151" s="2513"/>
    </row>
    <row r="152" spans="2:21" ht="14.1" customHeight="1">
      <c r="B152" s="2133" t="s">
        <v>5154</v>
      </c>
      <c r="C152" s="2956"/>
      <c r="D152" s="2956"/>
      <c r="E152" s="2956"/>
      <c r="F152" s="2956"/>
      <c r="G152" s="2956"/>
      <c r="H152" s="2520">
        <f>I152+J152</f>
        <v>0</v>
      </c>
      <c r="I152" s="2520">
        <f>I70*I66</f>
        <v>0</v>
      </c>
      <c r="J152" s="2520">
        <f>K152+L152</f>
        <v>0</v>
      </c>
      <c r="K152" s="2520">
        <f>K70*K66</f>
        <v>0</v>
      </c>
      <c r="L152" s="2520">
        <f>L70*L66</f>
        <v>0</v>
      </c>
      <c r="O152" s="21">
        <f>ROW()</f>
        <v>152</v>
      </c>
      <c r="T152" s="2513"/>
      <c r="U152" s="2513"/>
    </row>
    <row r="153" spans="2:21" ht="14.1" customHeight="1">
      <c r="B153" s="855" t="str">
        <f>CONCATENATE("Product of increased unlimited rides due to fare change in Row ",O70, " and fare levels for those riders, shown in Row ",O66, ".")</f>
        <v>Product of increased unlimited rides due to fare change in Row 70 and fare levels for those riders, shown in Row 66.</v>
      </c>
      <c r="C153" s="2956"/>
      <c r="D153" s="2956"/>
      <c r="E153" s="2956"/>
      <c r="F153" s="2956"/>
      <c r="G153" s="2956"/>
      <c r="H153" s="2956"/>
      <c r="I153" s="2956"/>
      <c r="J153" s="2956"/>
      <c r="K153" s="2956"/>
      <c r="L153" s="2956"/>
      <c r="O153" s="21">
        <f>ROW()</f>
        <v>153</v>
      </c>
      <c r="T153" s="2513"/>
      <c r="U153" s="2513"/>
    </row>
    <row r="154" spans="2:21" ht="14.1" customHeight="1">
      <c r="B154" s="2133" t="s">
        <v>5155</v>
      </c>
      <c r="C154" s="2497"/>
      <c r="D154" s="2497"/>
      <c r="E154" s="2497"/>
      <c r="F154" s="2497"/>
      <c r="G154" s="2497"/>
      <c r="H154" s="2520">
        <f>I154+J154</f>
        <v>0</v>
      </c>
      <c r="I154" s="2520">
        <f>I150+I152</f>
        <v>0</v>
      </c>
      <c r="J154" s="2520">
        <f>K154+L154</f>
        <v>0</v>
      </c>
      <c r="K154" s="2520">
        <f>K150+K152</f>
        <v>0</v>
      </c>
      <c r="L154" s="2520">
        <f>L150+L152</f>
        <v>0</v>
      </c>
      <c r="O154" s="21">
        <f>ROW()</f>
        <v>154</v>
      </c>
      <c r="T154" s="2513"/>
      <c r="U154" s="2513"/>
    </row>
    <row r="155" spans="2:21" ht="14.1" customHeight="1">
      <c r="B155" s="855" t="str">
        <f>CONCATENATE("Sum of Rows ",O150, " and ",O152, ".")</f>
        <v>Sum of Rows 150 and 152.</v>
      </c>
      <c r="C155" s="2497"/>
      <c r="D155" s="2497"/>
      <c r="E155" s="2497"/>
      <c r="F155" s="2497"/>
      <c r="G155" s="2497"/>
      <c r="H155" s="2497"/>
      <c r="I155" s="2497"/>
      <c r="J155" s="2497"/>
      <c r="K155" s="2497"/>
      <c r="L155" s="2497"/>
      <c r="O155" s="21">
        <f>ROW()</f>
        <v>155</v>
      </c>
      <c r="T155" s="2513"/>
      <c r="U155" s="2513"/>
    </row>
    <row r="156" spans="2:21" ht="14.1" customHeight="1">
      <c r="B156" s="2133" t="s">
        <v>5156</v>
      </c>
      <c r="C156" s="2956"/>
      <c r="D156" s="2956"/>
      <c r="E156" s="2956"/>
      <c r="F156" s="2956"/>
      <c r="G156" s="2956"/>
      <c r="H156" s="2520">
        <f ca="1">I156+J156</f>
        <v>19.981316415662427</v>
      </c>
      <c r="I156" s="2520">
        <f ca="1">I81*I56</f>
        <v>16.054575169693312</v>
      </c>
      <c r="J156" s="2520">
        <f ca="1">K156+L156</f>
        <v>3.926741245969116</v>
      </c>
      <c r="K156" s="2520">
        <f ca="1">K81*K56</f>
        <v>2.0190754984195034</v>
      </c>
      <c r="L156" s="2520">
        <f ca="1">L81*L56</f>
        <v>1.9076657475496124</v>
      </c>
      <c r="O156" s="21">
        <f>ROW()</f>
        <v>156</v>
      </c>
      <c r="T156" s="2513"/>
      <c r="U156" s="2513"/>
    </row>
    <row r="157" spans="2:21" ht="14.1" customHeight="1">
      <c r="B157" s="855" t="str">
        <f>CONCATENATE("Product of increased pay-per-ridership due to service changes in Row ",O81, " and fare levels for those riders, shown in Row ",O56, ".")</f>
        <v>Product of increased pay-per-ridership due to service changes in Row 81 and fare levels for those riders, shown in Row 56.</v>
      </c>
      <c r="C157" s="2956"/>
      <c r="D157" s="2956"/>
      <c r="E157" s="2956"/>
      <c r="F157" s="2956"/>
      <c r="G157" s="2956"/>
      <c r="H157" s="2956"/>
      <c r="I157" s="2956"/>
      <c r="J157" s="2956"/>
      <c r="K157" s="2956"/>
      <c r="L157" s="2956"/>
      <c r="O157" s="21">
        <f>ROW()</f>
        <v>157</v>
      </c>
      <c r="T157" s="2513"/>
      <c r="U157" s="2513"/>
    </row>
    <row r="158" spans="2:21" ht="14.1" customHeight="1">
      <c r="B158" s="2133" t="s">
        <v>5157</v>
      </c>
      <c r="C158" s="2956"/>
      <c r="D158" s="2956"/>
      <c r="E158" s="2956"/>
      <c r="F158" s="2956"/>
      <c r="G158" s="2956"/>
      <c r="H158" s="2520">
        <f ca="1">I158+J158</f>
        <v>7.0976469008993597</v>
      </c>
      <c r="I158" s="2520">
        <f ca="1">I82*I66</f>
        <v>5.7028127340553825</v>
      </c>
      <c r="J158" s="2520">
        <f ca="1">K158+L158</f>
        <v>1.3948341668439772</v>
      </c>
      <c r="K158" s="2520">
        <f ca="1">K82*K66</f>
        <v>0.71720424500188873</v>
      </c>
      <c r="L158" s="2520">
        <f ca="1">L82*L66</f>
        <v>0.67762992184208837</v>
      </c>
      <c r="O158" s="21">
        <f>ROW()</f>
        <v>158</v>
      </c>
      <c r="T158" s="2513"/>
      <c r="U158" s="2513"/>
    </row>
    <row r="159" spans="2:21" ht="14.1" customHeight="1">
      <c r="B159" s="855" t="str">
        <f>CONCATENATE("Product of increased unlimited rides due to service changes in Row ",O82, " and fare levels for those riders, shown in Row ",O66, ".")</f>
        <v>Product of increased unlimited rides due to service changes in Row 82 and fare levels for those riders, shown in Row 66.</v>
      </c>
      <c r="C159" s="2956"/>
      <c r="D159" s="2956"/>
      <c r="E159" s="2956"/>
      <c r="F159" s="2956"/>
      <c r="G159" s="2956"/>
      <c r="H159" s="2956"/>
      <c r="I159" s="2956"/>
      <c r="J159" s="2956"/>
      <c r="K159" s="2956"/>
      <c r="L159" s="2956"/>
      <c r="O159" s="21">
        <f>ROW()</f>
        <v>159</v>
      </c>
      <c r="T159" s="2513"/>
      <c r="U159" s="2513"/>
    </row>
    <row r="160" spans="2:21" ht="14.1" customHeight="1">
      <c r="B160" s="2133" t="s">
        <v>5158</v>
      </c>
      <c r="C160" s="2497"/>
      <c r="D160" s="2497"/>
      <c r="E160" s="2497"/>
      <c r="F160" s="2497"/>
      <c r="G160" s="2497"/>
      <c r="H160" s="2520">
        <f ca="1">I160+J160</f>
        <v>27.078963316561786</v>
      </c>
      <c r="I160" s="2520">
        <f ca="1">+I156+I158</f>
        <v>21.757387903748693</v>
      </c>
      <c r="J160" s="2520">
        <f ca="1">K160+L160</f>
        <v>5.3215754128130932</v>
      </c>
      <c r="K160" s="2520">
        <f ca="1">+K156+K158</f>
        <v>2.7362797434213921</v>
      </c>
      <c r="L160" s="2520">
        <f ca="1">+L156+L158</f>
        <v>2.5852956693917006</v>
      </c>
      <c r="O160" s="21">
        <f>ROW()</f>
        <v>160</v>
      </c>
      <c r="T160" s="2513"/>
      <c r="U160" s="2513"/>
    </row>
    <row r="161" spans="2:21" ht="14.1" customHeight="1">
      <c r="B161" s="855" t="str">
        <f>CONCATENATE("Sum of Rows ",O156, " and ",O158, ".")</f>
        <v>Sum of Rows 156 and 158.</v>
      </c>
      <c r="C161" s="2497"/>
      <c r="D161" s="2497"/>
      <c r="E161" s="2497"/>
      <c r="F161" s="2497"/>
      <c r="G161" s="2497"/>
      <c r="H161" s="2497"/>
      <c r="I161" s="2497"/>
      <c r="J161" s="2497"/>
      <c r="K161" s="2497"/>
      <c r="L161" s="2497"/>
      <c r="O161" s="21">
        <f>ROW()</f>
        <v>161</v>
      </c>
      <c r="T161" s="2513"/>
      <c r="U161" s="2513"/>
    </row>
    <row r="162" spans="2:21" s="2" customFormat="1" ht="14.1" customHeight="1">
      <c r="B162" s="2132" t="s">
        <v>4519</v>
      </c>
      <c r="C162" s="2523"/>
      <c r="D162" s="2523"/>
      <c r="E162" s="2523"/>
      <c r="F162" s="2523"/>
      <c r="G162" s="2523"/>
      <c r="H162" s="2524">
        <f ca="1">H154+H160</f>
        <v>27.078963316561786</v>
      </c>
      <c r="I162" s="2524">
        <f ca="1">I154+I160</f>
        <v>21.757387903748693</v>
      </c>
      <c r="J162" s="2524">
        <f ca="1">J154+J160</f>
        <v>5.3215754128130932</v>
      </c>
      <c r="K162" s="2524">
        <f ca="1">K154+K160</f>
        <v>2.7362797434213921</v>
      </c>
      <c r="L162" s="2524">
        <f ca="1">L154+L160</f>
        <v>2.5852956693917006</v>
      </c>
      <c r="O162" s="2146">
        <f>ROW()</f>
        <v>162</v>
      </c>
      <c r="T162" s="2518"/>
      <c r="U162" s="2518"/>
    </row>
    <row r="163" spans="2:21" ht="14.1" customHeight="1">
      <c r="B163" s="855" t="str">
        <f>CONCATENATE("Sum of two revenue components, from Rows ",O154, " and ",O160, ".")</f>
        <v>Sum of two revenue components, from Rows 154 and 160.</v>
      </c>
      <c r="C163" s="2497"/>
      <c r="D163" s="2497"/>
      <c r="E163" s="2497"/>
      <c r="F163" s="2497"/>
      <c r="G163" s="2497"/>
      <c r="H163" s="2497"/>
      <c r="I163" s="2497"/>
      <c r="J163" s="2497"/>
      <c r="K163" s="2497"/>
      <c r="L163" s="2497"/>
      <c r="O163" s="21">
        <f>ROW()</f>
        <v>163</v>
      </c>
      <c r="T163" s="2513"/>
      <c r="U163" s="2513"/>
    </row>
    <row r="164" spans="2:21" ht="14.1" customHeight="1">
      <c r="B164" s="2132" t="s">
        <v>4607</v>
      </c>
      <c r="C164" s="2497"/>
      <c r="D164" s="2497"/>
      <c r="E164" s="2497"/>
      <c r="F164" s="2497"/>
      <c r="G164" s="2497"/>
      <c r="H164" s="2671">
        <f ca="1">H148/H118</f>
        <v>1.2040989399293289</v>
      </c>
      <c r="I164" s="2671">
        <f ca="1">I148/I118</f>
        <v>1.2040989399293289</v>
      </c>
      <c r="J164" s="2671">
        <f ca="1">J148/J118</f>
        <v>1.2040989399293289</v>
      </c>
      <c r="K164" s="2671">
        <f ca="1">K148/K118</f>
        <v>1.2040989399293289</v>
      </c>
      <c r="L164" s="2671">
        <f ca="1">L148/L118</f>
        <v>1.2040989399293289</v>
      </c>
      <c r="O164" s="21">
        <f>ROW()</f>
        <v>164</v>
      </c>
      <c r="T164" s="2513"/>
      <c r="U164" s="2513"/>
    </row>
    <row r="165" spans="2:21" ht="14.1" customHeight="1">
      <c r="B165" s="855" t="str">
        <f>CONCATENATE("Ratio of Rows ",O148, " (projected revenue) and ",O118, " (actual ridership).")</f>
        <v>Ratio of Rows 148 (projected revenue) and 118 (actual ridership).</v>
      </c>
      <c r="C165" s="2667"/>
      <c r="D165" s="2667"/>
      <c r="E165" s="2667"/>
      <c r="F165" s="2667"/>
      <c r="G165" s="2667"/>
      <c r="H165" s="2667"/>
      <c r="I165" s="2667"/>
      <c r="J165" s="2667"/>
      <c r="K165" s="2667"/>
      <c r="L165" s="2667"/>
      <c r="O165" s="21">
        <f>ROW()</f>
        <v>165</v>
      </c>
      <c r="T165" s="2513"/>
      <c r="U165" s="2513"/>
    </row>
    <row r="166" spans="2:21" ht="14.1" customHeight="1">
      <c r="B166" s="2132" t="s">
        <v>4608</v>
      </c>
      <c r="C166" s="2667"/>
      <c r="D166" s="2667"/>
      <c r="E166" s="2667"/>
      <c r="F166" s="2667"/>
      <c r="G166" s="2667"/>
      <c r="H166" s="2671">
        <f ca="1">H164/$J$21</f>
        <v>1.505123674911661</v>
      </c>
      <c r="I166" s="2671">
        <f ca="1">I164/$J$21</f>
        <v>1.505123674911661</v>
      </c>
      <c r="J166" s="2671">
        <f ca="1">J164/$J$21</f>
        <v>1.505123674911661</v>
      </c>
      <c r="K166" s="2671">
        <f ca="1">K164/$J$21</f>
        <v>1.505123674911661</v>
      </c>
      <c r="L166" s="2671">
        <f ca="1">L164/$J$21</f>
        <v>1.505123674911661</v>
      </c>
      <c r="O166" s="21">
        <f>ROW()</f>
        <v>166</v>
      </c>
      <c r="T166" s="2513"/>
      <c r="U166" s="2513"/>
    </row>
    <row r="167" spans="2:21" ht="14.1" customHeight="1">
      <c r="B167" s="855" t="str">
        <f>CONCATENATE("Ratio of Rows ",O166, " (average fare for all riders) and ",O21, " (normalizing factor).")</f>
        <v>Ratio of Rows 166 (average fare for all riders) and 21 (normalizing factor).</v>
      </c>
      <c r="C167" s="2667"/>
      <c r="D167" s="2667"/>
      <c r="E167" s="2667"/>
      <c r="F167" s="2667"/>
      <c r="G167" s="2667"/>
      <c r="H167" s="2667"/>
      <c r="I167" s="2667"/>
      <c r="J167" s="2667"/>
      <c r="K167" s="2667"/>
      <c r="L167" s="2667"/>
      <c r="O167" s="21">
        <f>ROW()</f>
        <v>167</v>
      </c>
      <c r="T167" s="2513"/>
      <c r="U167" s="2513"/>
    </row>
    <row r="168" spans="2:21" ht="14.1" customHeight="1">
      <c r="B168" s="2667"/>
      <c r="C168" s="2667"/>
      <c r="D168" s="2667"/>
      <c r="E168" s="2667"/>
      <c r="F168" s="2667"/>
      <c r="G168" s="2667"/>
      <c r="H168" s="2667"/>
      <c r="I168" s="2667"/>
      <c r="J168" s="2667"/>
      <c r="K168" s="2667"/>
      <c r="L168" s="2667"/>
      <c r="O168" s="21">
        <f>ROW()</f>
        <v>168</v>
      </c>
      <c r="T168" s="2513"/>
      <c r="U168" s="2513"/>
    </row>
    <row r="169" spans="2:21" ht="14.1" customHeight="1">
      <c r="B169" s="2667"/>
      <c r="C169" s="2667"/>
      <c r="D169" s="2667"/>
      <c r="E169" s="2667"/>
      <c r="F169" s="2667"/>
      <c r="G169" s="2667"/>
      <c r="H169" s="2667"/>
      <c r="I169" s="2667"/>
      <c r="J169" s="2667"/>
      <c r="K169" s="2667"/>
      <c r="L169" s="2667"/>
      <c r="O169" s="21">
        <f>ROW()</f>
        <v>169</v>
      </c>
      <c r="T169" s="2513"/>
      <c r="U169" s="2513"/>
    </row>
    <row r="170" spans="2:21" ht="14.1" customHeight="1">
      <c r="B170" s="508" t="s">
        <v>4527</v>
      </c>
      <c r="C170" s="45"/>
      <c r="D170" s="45"/>
      <c r="E170" s="45"/>
      <c r="F170" s="45"/>
      <c r="G170" s="45"/>
      <c r="H170" s="45"/>
      <c r="I170" s="120"/>
      <c r="J170" s="199"/>
      <c r="K170" s="4606" t="s">
        <v>1848</v>
      </c>
      <c r="L170" s="45"/>
      <c r="O170" s="21">
        <f>ROW()</f>
        <v>170</v>
      </c>
    </row>
    <row r="171" spans="2:21" ht="14.1" customHeight="1">
      <c r="B171" s="280" t="s">
        <v>3451</v>
      </c>
      <c r="I171" s="744"/>
      <c r="J171" s="863" t="s">
        <v>1864</v>
      </c>
      <c r="K171" s="3807"/>
      <c r="O171" s="21">
        <f>ROW()</f>
        <v>171</v>
      </c>
    </row>
    <row r="172" spans="2:21" ht="14.1" customHeight="1">
      <c r="B172" s="312" t="s">
        <v>1153</v>
      </c>
      <c r="F172" s="855" t="str">
        <f>CONCATENATE("'Subways' tab, Row ",Subways!O22, ".")</f>
        <v>'Subways' tab, Row 22.</v>
      </c>
      <c r="I172" s="744"/>
      <c r="J172" s="833">
        <f>Subways!T22</f>
        <v>2377320</v>
      </c>
      <c r="K172" s="1189">
        <f>J172*Constants!$J$25/1000000</f>
        <v>594.33000000000004</v>
      </c>
      <c r="O172" s="21">
        <f>ROW()</f>
        <v>172</v>
      </c>
    </row>
    <row r="173" spans="2:21" ht="14.1" customHeight="1">
      <c r="B173" s="281" t="s">
        <v>1847</v>
      </c>
      <c r="F173" s="855" t="s">
        <v>4526</v>
      </c>
      <c r="I173" s="744"/>
      <c r="J173" s="833">
        <v>46000</v>
      </c>
      <c r="K173" s="1189">
        <f>J173*Constants!$J$25/1000000</f>
        <v>11.5</v>
      </c>
      <c r="O173" s="21">
        <f>ROW()</f>
        <v>173</v>
      </c>
    </row>
    <row r="174" spans="2:21" ht="14.1" customHeight="1">
      <c r="B174" s="281" t="s">
        <v>1849</v>
      </c>
      <c r="I174" s="744"/>
      <c r="J174" s="833">
        <f>J172+J173</f>
        <v>2423320</v>
      </c>
      <c r="K174" s="1189">
        <f>K172+K173</f>
        <v>605.83000000000004</v>
      </c>
      <c r="O174" s="21">
        <f>ROW()</f>
        <v>174</v>
      </c>
    </row>
    <row r="175" spans="2:21" ht="14.1" customHeight="1">
      <c r="B175" s="855" t="str">
        <f>CONCATENATE("Source: MTA data, annotated in Row ",O16, " (excludes express buses).")</f>
        <v>Source: MTA data, annotated in Row 16 (excludes express buses).</v>
      </c>
      <c r="I175" s="20" t="s">
        <v>2572</v>
      </c>
      <c r="J175" s="118"/>
      <c r="K175" s="118"/>
      <c r="O175" s="21">
        <f>ROW()</f>
        <v>175</v>
      </c>
    </row>
    <row r="176" spans="2:21" ht="14.1" customHeight="1">
      <c r="B176" s="281" t="s">
        <v>1230</v>
      </c>
      <c r="F176" s="855" t="str">
        <f>CONCATENATE("'Subways' tab, Rows ",Subways!O23, " + ",Subways!O24, ".")</f>
        <v>'Subways' tab, Rows 23 + 24.</v>
      </c>
      <c r="I176" s="833">
        <f>Subways!T23+Subways!T24</f>
        <v>2566990</v>
      </c>
      <c r="J176" s="833">
        <f>0.5*I176</f>
        <v>1283495</v>
      </c>
      <c r="K176" s="1189">
        <f>wkend_per_yr*J176/1000000</f>
        <v>147.60192499999999</v>
      </c>
      <c r="O176" s="21">
        <f>ROW()</f>
        <v>176</v>
      </c>
    </row>
    <row r="177" spans="2:15" ht="14.1" customHeight="1">
      <c r="B177" s="281" t="s">
        <v>1231</v>
      </c>
      <c r="I177" s="833">
        <v>10000</v>
      </c>
      <c r="J177" s="833">
        <f>0.5*I177</f>
        <v>5000</v>
      </c>
      <c r="K177" s="1189">
        <f>(Constants!$J$21-Constants!$J$25)*J177/1000000</f>
        <v>0.57625000000000004</v>
      </c>
      <c r="O177" s="21">
        <f>ROW()</f>
        <v>177</v>
      </c>
    </row>
    <row r="178" spans="2:15" ht="14.1" customHeight="1">
      <c r="B178" s="281" t="s">
        <v>2447</v>
      </c>
      <c r="I178" s="833"/>
      <c r="J178" s="833">
        <f>J176+J177</f>
        <v>1288495</v>
      </c>
      <c r="K178" s="1189">
        <f>K176+K177</f>
        <v>148.17817499999998</v>
      </c>
      <c r="O178" s="21">
        <f>ROW()</f>
        <v>178</v>
      </c>
    </row>
    <row r="179" spans="2:15" ht="14.1" customHeight="1">
      <c r="B179" s="855" t="str">
        <f>CONCATENATE("Source: MTA data, annotated in Row ",O16, " (excludes express buses).")</f>
        <v>Source: MTA data, annotated in Row 16 (excludes express buses).</v>
      </c>
      <c r="I179" s="833"/>
      <c r="J179" s="833"/>
      <c r="K179" s="1189"/>
      <c r="M179" s="4459" t="s">
        <v>3569</v>
      </c>
      <c r="N179" s="3679"/>
      <c r="O179" s="21">
        <f>ROW()</f>
        <v>179</v>
      </c>
    </row>
    <row r="180" spans="2:15" ht="14.1" customHeight="1">
      <c r="B180" s="855"/>
      <c r="I180" s="833"/>
      <c r="J180" s="2304" t="s">
        <v>4529</v>
      </c>
      <c r="K180" s="863" t="s">
        <v>4528</v>
      </c>
      <c r="M180" s="3680"/>
      <c r="N180" s="3682"/>
      <c r="O180" s="21">
        <f>ROW()</f>
        <v>180</v>
      </c>
    </row>
    <row r="181" spans="2:15" ht="14.1" customHeight="1">
      <c r="B181" s="281" t="s">
        <v>1722</v>
      </c>
      <c r="I181" s="833"/>
      <c r="J181" s="1189">
        <f>Subways!T21/1000</f>
        <v>746.97740599999997</v>
      </c>
      <c r="K181" s="1189">
        <f>K174+K178</f>
        <v>754.00817500000005</v>
      </c>
      <c r="M181" s="3680"/>
      <c r="N181" s="3682"/>
      <c r="O181" s="21">
        <f>ROW()</f>
        <v>181</v>
      </c>
    </row>
    <row r="182" spans="2:15" ht="14.1" customHeight="1">
      <c r="B182" s="507" t="s">
        <v>461</v>
      </c>
      <c r="C182" s="45"/>
      <c r="D182" s="45"/>
      <c r="E182" s="45"/>
      <c r="F182" s="45"/>
      <c r="G182" s="45"/>
      <c r="H182" s="45"/>
      <c r="I182" s="45"/>
      <c r="J182" s="199"/>
      <c r="K182" s="1514">
        <f>1-K181/J181</f>
        <v>-9.4122913806045094E-3</v>
      </c>
      <c r="M182" s="3680"/>
      <c r="N182" s="3682"/>
      <c r="O182" s="21">
        <f>ROW()</f>
        <v>182</v>
      </c>
    </row>
    <row r="183" spans="2:15" ht="14.1" customHeight="1">
      <c r="B183" s="281" t="s">
        <v>430</v>
      </c>
      <c r="C183" s="45"/>
      <c r="D183" s="45"/>
      <c r="E183" s="45"/>
      <c r="F183" s="45"/>
      <c r="G183" s="45"/>
      <c r="H183" s="45"/>
      <c r="I183" s="45"/>
      <c r="J183" s="201">
        <f>$K$181*1000000/J174</f>
        <v>311.14676353102357</v>
      </c>
      <c r="K183" s="45"/>
      <c r="M183" s="3683"/>
      <c r="N183" s="3685"/>
      <c r="O183" s="21">
        <f>ROW()</f>
        <v>183</v>
      </c>
    </row>
    <row r="184" spans="2:15" ht="14.1" customHeight="1">
      <c r="B184" s="855" t="s">
        <v>2362</v>
      </c>
      <c r="O184" s="21">
        <f>ROW()</f>
        <v>184</v>
      </c>
    </row>
    <row r="185" spans="2:15" ht="14.1" customHeight="1">
      <c r="B185" s="281" t="s">
        <v>1564</v>
      </c>
      <c r="J185" s="201">
        <f>$K$181*1000000/J178</f>
        <v>585.18517728047061</v>
      </c>
      <c r="O185" s="21">
        <f>ROW()</f>
        <v>185</v>
      </c>
    </row>
    <row r="186" spans="2:15" ht="14.1" customHeight="1">
      <c r="B186" s="855" t="s">
        <v>2450</v>
      </c>
      <c r="L186" s="45"/>
      <c r="O186" s="21">
        <f>ROW()</f>
        <v>186</v>
      </c>
    </row>
    <row r="187" spans="2:15" ht="14.1" customHeight="1">
      <c r="B187" s="280" t="s">
        <v>3557</v>
      </c>
      <c r="J187" s="12">
        <f>K174/$K$181</f>
        <v>0.80347935219667876</v>
      </c>
      <c r="L187" s="45"/>
      <c r="O187" s="21">
        <f>ROW()</f>
        <v>187</v>
      </c>
    </row>
    <row r="188" spans="2:15" ht="14.1" customHeight="1">
      <c r="B188" s="280" t="s">
        <v>3558</v>
      </c>
      <c r="J188" s="12">
        <f>K178/$K$181</f>
        <v>0.19652064780332118</v>
      </c>
      <c r="L188" s="45"/>
      <c r="O188" s="21">
        <f>ROW()</f>
        <v>188</v>
      </c>
    </row>
    <row r="189" spans="2:15" ht="14.1" customHeight="1">
      <c r="B189" s="280"/>
      <c r="J189" s="12"/>
      <c r="L189" s="2510"/>
      <c r="O189" s="21">
        <f>ROW()</f>
        <v>189</v>
      </c>
    </row>
    <row r="190" spans="2:15" ht="14.1" customHeight="1">
      <c r="L190" s="45"/>
      <c r="O190" s="21">
        <f>ROW()</f>
        <v>190</v>
      </c>
    </row>
    <row r="191" spans="2:15" ht="14.1" customHeight="1">
      <c r="B191" s="24" t="s">
        <v>4530</v>
      </c>
      <c r="O191" s="21">
        <f>ROW()</f>
        <v>191</v>
      </c>
    </row>
    <row r="192" spans="2:15" ht="14.1" customHeight="1">
      <c r="D192" s="9"/>
      <c r="E192" s="9"/>
      <c r="F192" s="9"/>
      <c r="G192" s="9"/>
      <c r="H192" s="9"/>
      <c r="I192" s="9"/>
      <c r="O192" s="21">
        <f>ROW()</f>
        <v>192</v>
      </c>
    </row>
    <row r="193" spans="3:15" ht="14.1" customHeight="1">
      <c r="C193" s="852" t="s">
        <v>1445</v>
      </c>
      <c r="D193" s="675" t="s">
        <v>2283</v>
      </c>
      <c r="E193" s="675" t="s">
        <v>1444</v>
      </c>
      <c r="F193" s="675" t="s">
        <v>1484</v>
      </c>
      <c r="G193" s="675" t="s">
        <v>2284</v>
      </c>
      <c r="H193" s="675" t="s">
        <v>228</v>
      </c>
      <c r="I193" s="675" t="s">
        <v>2918</v>
      </c>
      <c r="J193" s="675"/>
      <c r="O193" s="21">
        <f>ROW()</f>
        <v>193</v>
      </c>
    </row>
    <row r="194" spans="3:15" ht="14.1" customHeight="1">
      <c r="C194" s="853"/>
      <c r="D194" s="9"/>
      <c r="E194" s="9"/>
      <c r="F194" s="9"/>
      <c r="G194" s="9"/>
      <c r="H194" s="9"/>
      <c r="I194" s="9"/>
      <c r="O194" s="21">
        <f>ROW()</f>
        <v>194</v>
      </c>
    </row>
    <row r="195" spans="3:15" ht="14.1" customHeight="1">
      <c r="C195" s="854" t="s">
        <v>1311</v>
      </c>
      <c r="D195" s="832">
        <v>347</v>
      </c>
      <c r="E195" s="833">
        <v>0</v>
      </c>
      <c r="F195" s="832">
        <v>151</v>
      </c>
      <c r="G195" s="832">
        <v>1357</v>
      </c>
      <c r="H195" s="832">
        <v>1854</v>
      </c>
      <c r="I195" s="833">
        <f>D195+E195+F195</f>
        <v>498</v>
      </c>
      <c r="J195" s="342"/>
      <c r="K195" s="4435" t="s">
        <v>5750</v>
      </c>
      <c r="L195" s="4396"/>
      <c r="M195" s="4844"/>
      <c r="O195" s="21">
        <f>ROW()</f>
        <v>195</v>
      </c>
    </row>
    <row r="196" spans="3:15" ht="14.1" customHeight="1">
      <c r="C196" s="854" t="s">
        <v>1312</v>
      </c>
      <c r="D196" s="832">
        <v>82</v>
      </c>
      <c r="E196" s="833">
        <v>20</v>
      </c>
      <c r="F196" s="832">
        <v>44</v>
      </c>
      <c r="G196" s="833">
        <v>784</v>
      </c>
      <c r="H196" s="832">
        <v>929</v>
      </c>
      <c r="I196" s="833">
        <f t="shared" ref="I196:I218" si="0">D196+E196+F196</f>
        <v>146</v>
      </c>
      <c r="J196" s="342"/>
      <c r="K196" s="3756"/>
      <c r="L196" s="4480"/>
      <c r="M196" s="3755"/>
      <c r="O196" s="21">
        <f>ROW()</f>
        <v>196</v>
      </c>
    </row>
    <row r="197" spans="3:15" ht="14.1" customHeight="1">
      <c r="C197" s="854" t="s">
        <v>1313</v>
      </c>
      <c r="D197" s="832">
        <v>26</v>
      </c>
      <c r="E197" s="833">
        <v>32</v>
      </c>
      <c r="F197" s="832">
        <v>43</v>
      </c>
      <c r="G197" s="833">
        <v>85</v>
      </c>
      <c r="H197" s="832">
        <v>186</v>
      </c>
      <c r="I197" s="833">
        <f t="shared" si="0"/>
        <v>101</v>
      </c>
      <c r="J197" s="342"/>
      <c r="K197" s="3756"/>
      <c r="L197" s="4480"/>
      <c r="M197" s="3755"/>
      <c r="O197" s="21">
        <f>ROW()</f>
        <v>197</v>
      </c>
    </row>
    <row r="198" spans="3:15" ht="14.1" customHeight="1">
      <c r="C198" s="854" t="s">
        <v>1314</v>
      </c>
      <c r="D198" s="832">
        <v>30</v>
      </c>
      <c r="E198" s="833">
        <v>0</v>
      </c>
      <c r="F198" s="832">
        <v>43</v>
      </c>
      <c r="G198" s="833">
        <v>76</v>
      </c>
      <c r="H198" s="832">
        <v>149</v>
      </c>
      <c r="I198" s="833">
        <f t="shared" si="0"/>
        <v>73</v>
      </c>
      <c r="J198" s="342"/>
      <c r="K198" s="3756"/>
      <c r="L198" s="4480"/>
      <c r="M198" s="3755"/>
      <c r="O198" s="21">
        <f>ROW()</f>
        <v>198</v>
      </c>
    </row>
    <row r="199" spans="3:15" ht="14.1" customHeight="1">
      <c r="C199" s="854" t="s">
        <v>1315</v>
      </c>
      <c r="D199" s="832">
        <v>95</v>
      </c>
      <c r="E199" s="833">
        <v>145</v>
      </c>
      <c r="F199" s="832">
        <v>43</v>
      </c>
      <c r="G199" s="833">
        <v>1170</v>
      </c>
      <c r="H199" s="832">
        <v>1453</v>
      </c>
      <c r="I199" s="833">
        <f t="shared" si="0"/>
        <v>283</v>
      </c>
      <c r="J199" s="342"/>
      <c r="K199" s="3756"/>
      <c r="L199" s="4480"/>
      <c r="M199" s="3755"/>
      <c r="O199" s="21">
        <f>ROW()</f>
        <v>199</v>
      </c>
    </row>
    <row r="200" spans="3:15" ht="14.1" customHeight="1">
      <c r="C200" s="854" t="s">
        <v>1316</v>
      </c>
      <c r="D200" s="832">
        <v>511</v>
      </c>
      <c r="E200" s="833">
        <v>1523</v>
      </c>
      <c r="F200" s="832">
        <v>73</v>
      </c>
      <c r="G200" s="833">
        <v>5712</v>
      </c>
      <c r="H200" s="832">
        <v>7819</v>
      </c>
      <c r="I200" s="833">
        <f t="shared" si="0"/>
        <v>2107</v>
      </c>
      <c r="J200" s="342"/>
      <c r="K200" s="3756"/>
      <c r="L200" s="4480"/>
      <c r="M200" s="3755"/>
      <c r="O200" s="21">
        <f>ROW()</f>
        <v>200</v>
      </c>
    </row>
    <row r="201" spans="3:15" ht="14.1" customHeight="1">
      <c r="C201" s="854" t="s">
        <v>1317</v>
      </c>
      <c r="D201" s="832">
        <v>2241</v>
      </c>
      <c r="E201" s="833">
        <v>4779</v>
      </c>
      <c r="F201" s="832">
        <v>1704</v>
      </c>
      <c r="G201" s="833">
        <v>18701</v>
      </c>
      <c r="H201" s="832">
        <v>27426</v>
      </c>
      <c r="I201" s="833">
        <f t="shared" si="0"/>
        <v>8724</v>
      </c>
      <c r="J201" s="342"/>
      <c r="K201" s="3756"/>
      <c r="L201" s="4480"/>
      <c r="M201" s="3755"/>
      <c r="O201" s="21">
        <f>ROW()</f>
        <v>201</v>
      </c>
    </row>
    <row r="202" spans="3:15" ht="14.1" customHeight="1">
      <c r="C202" s="854" t="s">
        <v>1318</v>
      </c>
      <c r="D202" s="832">
        <v>5967</v>
      </c>
      <c r="E202" s="833">
        <v>10135</v>
      </c>
      <c r="F202" s="832">
        <v>4622</v>
      </c>
      <c r="G202" s="833">
        <v>32757</v>
      </c>
      <c r="H202" s="832">
        <v>53480</v>
      </c>
      <c r="I202" s="833">
        <f t="shared" si="0"/>
        <v>20724</v>
      </c>
      <c r="J202" s="342"/>
      <c r="K202" s="3756"/>
      <c r="L202" s="4480"/>
      <c r="M202" s="3755"/>
      <c r="O202" s="21">
        <f>ROW()</f>
        <v>202</v>
      </c>
    </row>
    <row r="203" spans="3:15" ht="14.1" customHeight="1">
      <c r="C203" s="854" t="s">
        <v>1319</v>
      </c>
      <c r="D203" s="832">
        <v>8981</v>
      </c>
      <c r="E203" s="833">
        <v>8327</v>
      </c>
      <c r="F203" s="832">
        <v>6991</v>
      </c>
      <c r="G203" s="833">
        <v>35152</v>
      </c>
      <c r="H203" s="832">
        <v>59451</v>
      </c>
      <c r="I203" s="833">
        <f t="shared" si="0"/>
        <v>24299</v>
      </c>
      <c r="J203" s="342"/>
      <c r="K203" s="4845"/>
      <c r="L203" s="4841"/>
      <c r="M203" s="4846"/>
      <c r="O203" s="21">
        <f>ROW()</f>
        <v>203</v>
      </c>
    </row>
    <row r="204" spans="3:15" ht="14.1" customHeight="1">
      <c r="C204" s="854" t="s">
        <v>1320</v>
      </c>
      <c r="D204" s="832">
        <v>4617</v>
      </c>
      <c r="E204" s="833">
        <v>2171</v>
      </c>
      <c r="F204" s="832">
        <v>1679</v>
      </c>
      <c r="G204" s="833">
        <v>17514</v>
      </c>
      <c r="H204" s="832">
        <v>25980</v>
      </c>
      <c r="I204" s="833">
        <f t="shared" si="0"/>
        <v>8467</v>
      </c>
      <c r="J204" s="342"/>
      <c r="O204" s="21">
        <f>ROW()</f>
        <v>204</v>
      </c>
    </row>
    <row r="205" spans="3:15" ht="14.1" customHeight="1">
      <c r="C205" s="854" t="s">
        <v>1321</v>
      </c>
      <c r="D205" s="832">
        <v>2635</v>
      </c>
      <c r="E205" s="833">
        <v>608</v>
      </c>
      <c r="F205" s="832">
        <v>1130</v>
      </c>
      <c r="G205" s="833">
        <v>7698</v>
      </c>
      <c r="H205" s="832">
        <v>12071</v>
      </c>
      <c r="I205" s="833">
        <f t="shared" si="0"/>
        <v>4373</v>
      </c>
      <c r="J205" s="342"/>
      <c r="O205" s="21">
        <f>ROW()</f>
        <v>205</v>
      </c>
    </row>
    <row r="206" spans="3:15" ht="14.1" customHeight="1">
      <c r="C206" s="854" t="s">
        <v>2768</v>
      </c>
      <c r="D206" s="832">
        <v>2397</v>
      </c>
      <c r="E206" s="833">
        <v>360</v>
      </c>
      <c r="F206" s="832">
        <v>951</v>
      </c>
      <c r="G206" s="833">
        <v>5190</v>
      </c>
      <c r="H206" s="832">
        <v>8897</v>
      </c>
      <c r="I206" s="833">
        <f t="shared" si="0"/>
        <v>3708</v>
      </c>
      <c r="J206" s="342"/>
      <c r="O206" s="21">
        <f>ROW()</f>
        <v>206</v>
      </c>
    </row>
    <row r="207" spans="3:15" ht="14.1" customHeight="1">
      <c r="C207" s="854" t="s">
        <v>2904</v>
      </c>
      <c r="D207" s="832">
        <v>2535</v>
      </c>
      <c r="E207" s="833">
        <v>365</v>
      </c>
      <c r="F207" s="832">
        <v>886</v>
      </c>
      <c r="G207" s="833">
        <v>4007</v>
      </c>
      <c r="H207" s="832">
        <v>7793</v>
      </c>
      <c r="I207" s="833">
        <f t="shared" si="0"/>
        <v>3786</v>
      </c>
      <c r="J207" s="342"/>
      <c r="O207" s="21">
        <f>ROW()</f>
        <v>207</v>
      </c>
    </row>
    <row r="208" spans="3:15" ht="14.1" customHeight="1">
      <c r="C208" s="854" t="s">
        <v>2769</v>
      </c>
      <c r="D208" s="832">
        <v>2308</v>
      </c>
      <c r="E208" s="833">
        <v>347</v>
      </c>
      <c r="F208" s="832">
        <v>967</v>
      </c>
      <c r="G208" s="833">
        <v>4153</v>
      </c>
      <c r="H208" s="832">
        <v>7775</v>
      </c>
      <c r="I208" s="833">
        <f t="shared" si="0"/>
        <v>3622</v>
      </c>
      <c r="J208" s="342"/>
      <c r="O208" s="21">
        <f>ROW()</f>
        <v>208</v>
      </c>
    </row>
    <row r="209" spans="3:15" ht="14.1" customHeight="1">
      <c r="C209" s="854" t="s">
        <v>2189</v>
      </c>
      <c r="D209" s="832">
        <v>2714</v>
      </c>
      <c r="E209" s="833">
        <v>301</v>
      </c>
      <c r="F209" s="832">
        <v>863</v>
      </c>
      <c r="G209" s="833">
        <v>4873</v>
      </c>
      <c r="H209" s="832">
        <v>8750</v>
      </c>
      <c r="I209" s="833">
        <f t="shared" si="0"/>
        <v>3878</v>
      </c>
      <c r="J209" s="342"/>
      <c r="O209" s="21">
        <f>ROW()</f>
        <v>209</v>
      </c>
    </row>
    <row r="210" spans="3:15" ht="14.1" customHeight="1">
      <c r="C210" s="854" t="s">
        <v>2190</v>
      </c>
      <c r="D210" s="832">
        <v>3068</v>
      </c>
      <c r="E210" s="833">
        <v>443</v>
      </c>
      <c r="F210" s="832">
        <v>968</v>
      </c>
      <c r="G210" s="833">
        <v>6655</v>
      </c>
      <c r="H210" s="832">
        <v>11134</v>
      </c>
      <c r="I210" s="833">
        <f t="shared" si="0"/>
        <v>4479</v>
      </c>
      <c r="J210" s="342"/>
      <c r="O210" s="21">
        <f>ROW()</f>
        <v>210</v>
      </c>
    </row>
    <row r="211" spans="3:15" ht="14.1" customHeight="1">
      <c r="C211" s="854" t="s">
        <v>2191</v>
      </c>
      <c r="D211" s="832">
        <v>2802</v>
      </c>
      <c r="E211" s="833">
        <v>220</v>
      </c>
      <c r="F211" s="832">
        <v>398</v>
      </c>
      <c r="G211" s="833">
        <v>8937</v>
      </c>
      <c r="H211" s="832">
        <v>12356</v>
      </c>
      <c r="I211" s="833">
        <f t="shared" si="0"/>
        <v>3420</v>
      </c>
      <c r="J211" s="342"/>
      <c r="O211" s="21">
        <f>ROW()</f>
        <v>211</v>
      </c>
    </row>
    <row r="212" spans="3:15" ht="14.1" customHeight="1">
      <c r="C212" s="854" t="s">
        <v>2192</v>
      </c>
      <c r="D212" s="832">
        <v>2795</v>
      </c>
      <c r="E212" s="833">
        <v>150</v>
      </c>
      <c r="F212" s="832">
        <v>375</v>
      </c>
      <c r="G212" s="833">
        <v>6775</v>
      </c>
      <c r="H212" s="832">
        <v>10095</v>
      </c>
      <c r="I212" s="833">
        <f t="shared" si="0"/>
        <v>3320</v>
      </c>
      <c r="J212" s="342"/>
      <c r="O212" s="21">
        <f>ROW()</f>
        <v>212</v>
      </c>
    </row>
    <row r="213" spans="3:15" ht="14.1" customHeight="1">
      <c r="C213" s="854" t="s">
        <v>2193</v>
      </c>
      <c r="D213" s="832">
        <v>2194</v>
      </c>
      <c r="E213" s="833">
        <v>112</v>
      </c>
      <c r="F213" s="832">
        <v>293</v>
      </c>
      <c r="G213" s="833">
        <v>6898</v>
      </c>
      <c r="H213" s="832">
        <v>9497</v>
      </c>
      <c r="I213" s="833">
        <f t="shared" si="0"/>
        <v>2599</v>
      </c>
      <c r="J213" s="342"/>
      <c r="K213" s="34"/>
      <c r="O213" s="21">
        <f>ROW()</f>
        <v>213</v>
      </c>
    </row>
    <row r="214" spans="3:15" ht="14.1" customHeight="1">
      <c r="C214" s="854" t="s">
        <v>2194</v>
      </c>
      <c r="D214" s="832">
        <v>1215</v>
      </c>
      <c r="E214" s="833">
        <v>113</v>
      </c>
      <c r="F214" s="832">
        <v>403</v>
      </c>
      <c r="G214" s="833">
        <v>5633</v>
      </c>
      <c r="H214" s="832">
        <v>7364</v>
      </c>
      <c r="I214" s="833">
        <f t="shared" si="0"/>
        <v>1731</v>
      </c>
      <c r="J214" s="342"/>
      <c r="K214" s="34"/>
      <c r="O214" s="21">
        <f>ROW()</f>
        <v>214</v>
      </c>
    </row>
    <row r="215" spans="3:15" ht="14.1" customHeight="1">
      <c r="C215" s="854" t="s">
        <v>2195</v>
      </c>
      <c r="D215" s="832">
        <v>938</v>
      </c>
      <c r="E215" s="833">
        <v>49</v>
      </c>
      <c r="F215" s="832">
        <v>246</v>
      </c>
      <c r="G215" s="833">
        <v>3725</v>
      </c>
      <c r="H215" s="832">
        <v>4958</v>
      </c>
      <c r="I215" s="833">
        <f t="shared" si="0"/>
        <v>1233</v>
      </c>
      <c r="J215" s="342"/>
      <c r="K215" s="34"/>
      <c r="O215" s="21">
        <f>ROW()</f>
        <v>215</v>
      </c>
    </row>
    <row r="216" spans="3:15" ht="14.1" customHeight="1">
      <c r="C216" s="854" t="s">
        <v>2196</v>
      </c>
      <c r="D216" s="832">
        <v>715</v>
      </c>
      <c r="E216" s="833">
        <v>32</v>
      </c>
      <c r="F216" s="832">
        <v>230</v>
      </c>
      <c r="G216" s="833">
        <v>2741</v>
      </c>
      <c r="H216" s="832">
        <v>3718</v>
      </c>
      <c r="I216" s="833">
        <f t="shared" si="0"/>
        <v>977</v>
      </c>
      <c r="J216" s="342"/>
      <c r="K216" s="34"/>
      <c r="O216" s="21">
        <f>ROW()</f>
        <v>216</v>
      </c>
    </row>
    <row r="217" spans="3:15" ht="14.1" customHeight="1">
      <c r="C217" s="854" t="s">
        <v>2197</v>
      </c>
      <c r="D217" s="832">
        <v>562</v>
      </c>
      <c r="E217" s="833">
        <v>20</v>
      </c>
      <c r="F217" s="832">
        <v>211</v>
      </c>
      <c r="G217" s="833">
        <v>3550</v>
      </c>
      <c r="H217" s="832">
        <v>4343</v>
      </c>
      <c r="I217" s="833">
        <f t="shared" si="0"/>
        <v>793</v>
      </c>
      <c r="J217" s="342"/>
      <c r="K217" s="34"/>
      <c r="O217" s="21">
        <f>ROW()</f>
        <v>217</v>
      </c>
    </row>
    <row r="218" spans="3:15" ht="14.1" customHeight="1">
      <c r="C218" s="854" t="s">
        <v>2198</v>
      </c>
      <c r="D218" s="832">
        <v>484</v>
      </c>
      <c r="E218" s="833">
        <v>5</v>
      </c>
      <c r="F218" s="832">
        <v>231</v>
      </c>
      <c r="G218" s="833">
        <v>2695</v>
      </c>
      <c r="H218" s="832">
        <v>3415</v>
      </c>
      <c r="I218" s="833">
        <f t="shared" si="0"/>
        <v>720</v>
      </c>
      <c r="J218" s="342"/>
      <c r="K218" s="34"/>
      <c r="O218" s="21">
        <f>ROW()</f>
        <v>218</v>
      </c>
    </row>
    <row r="219" spans="3:15" ht="14.1" customHeight="1">
      <c r="C219" s="853"/>
      <c r="D219" s="832"/>
      <c r="E219" s="832"/>
      <c r="F219" s="832"/>
      <c r="G219" s="832"/>
      <c r="H219" s="832"/>
      <c r="I219" s="832"/>
      <c r="J219" s="342"/>
      <c r="O219" s="21">
        <f>ROW()</f>
        <v>219</v>
      </c>
    </row>
    <row r="220" spans="3:15" ht="14.1" customHeight="1">
      <c r="C220" s="853" t="s">
        <v>2813</v>
      </c>
      <c r="D220" s="832">
        <f t="shared" ref="D220:I220" si="1">SUM(D195:D218)</f>
        <v>50259</v>
      </c>
      <c r="E220" s="832">
        <f t="shared" si="1"/>
        <v>30257</v>
      </c>
      <c r="F220" s="832">
        <f t="shared" si="1"/>
        <v>23545</v>
      </c>
      <c r="G220" s="832">
        <f t="shared" si="1"/>
        <v>186838</v>
      </c>
      <c r="H220" s="832">
        <f t="shared" si="1"/>
        <v>290893</v>
      </c>
      <c r="I220" s="832">
        <f t="shared" si="1"/>
        <v>104061</v>
      </c>
      <c r="J220" s="342"/>
      <c r="O220" s="21">
        <f>ROW()</f>
        <v>220</v>
      </c>
    </row>
    <row r="221" spans="3:15" ht="14.1" customHeight="1">
      <c r="D221" s="138"/>
      <c r="E221" s="681"/>
      <c r="F221" s="138"/>
      <c r="G221" s="681"/>
      <c r="H221" s="138"/>
      <c r="I221" s="9"/>
      <c r="O221" s="21">
        <f>ROW()</f>
        <v>221</v>
      </c>
    </row>
    <row r="222" spans="3:15" ht="14.1" customHeight="1">
      <c r="C222" s="3785" t="s">
        <v>3863</v>
      </c>
      <c r="D222" s="4149"/>
      <c r="E222" s="4149"/>
      <c r="F222" s="4149"/>
      <c r="G222" s="4149"/>
      <c r="H222" s="4149"/>
      <c r="I222" s="4149"/>
      <c r="J222" s="4149"/>
      <c r="K222" s="4149"/>
      <c r="O222" s="21">
        <f>ROW()</f>
        <v>222</v>
      </c>
    </row>
    <row r="223" spans="3:15" ht="14.1" customHeight="1">
      <c r="C223" s="4149"/>
      <c r="D223" s="4149"/>
      <c r="E223" s="4149"/>
      <c r="F223" s="4149"/>
      <c r="G223" s="4149"/>
      <c r="H223" s="4149"/>
      <c r="I223" s="4149"/>
      <c r="J223" s="4149"/>
      <c r="K223" s="4149"/>
      <c r="O223" s="21">
        <f>ROW()</f>
        <v>223</v>
      </c>
    </row>
    <row r="224" spans="3:15" ht="14.1" customHeight="1">
      <c r="C224" s="568"/>
      <c r="D224" s="568"/>
      <c r="E224" s="568"/>
      <c r="F224" s="568"/>
      <c r="G224" s="568"/>
      <c r="H224" s="568"/>
      <c r="I224" s="568"/>
      <c r="J224" s="568"/>
      <c r="K224" s="568"/>
      <c r="O224" s="21">
        <f>ROW()</f>
        <v>224</v>
      </c>
    </row>
    <row r="225" spans="2:26" ht="14.1" customHeight="1">
      <c r="C225" s="309" t="s">
        <v>236</v>
      </c>
      <c r="D225" s="309"/>
      <c r="E225" s="309"/>
      <c r="F225" s="309"/>
      <c r="G225" s="309"/>
      <c r="H225" s="309"/>
      <c r="I225" s="309"/>
      <c r="J225" s="309"/>
      <c r="K225" s="309"/>
      <c r="O225" s="21">
        <f>ROW()</f>
        <v>225</v>
      </c>
    </row>
    <row r="226" spans="2:26" ht="14.1" customHeight="1">
      <c r="C226" s="282"/>
      <c r="D226" s="282"/>
      <c r="E226" s="282"/>
      <c r="F226" s="282"/>
      <c r="G226" s="282"/>
      <c r="H226" s="282"/>
      <c r="I226" s="282"/>
      <c r="J226" s="282"/>
      <c r="K226" s="282"/>
      <c r="O226" s="21">
        <f>ROW()</f>
        <v>226</v>
      </c>
    </row>
    <row r="227" spans="2:26" ht="14.1" customHeight="1">
      <c r="L227" s="2510"/>
      <c r="O227" s="21">
        <f>ROW()</f>
        <v>227</v>
      </c>
    </row>
    <row r="228" spans="2:26" ht="14.1" customHeight="1">
      <c r="B228" s="508" t="s">
        <v>4531</v>
      </c>
      <c r="O228" s="21">
        <f>ROW()</f>
        <v>228</v>
      </c>
    </row>
    <row r="229" spans="2:26" ht="14.1" customHeight="1">
      <c r="O229" s="21">
        <f>ROW()</f>
        <v>229</v>
      </c>
      <c r="P229" s="2123"/>
      <c r="Q229" s="2123"/>
    </row>
    <row r="230" spans="2:26" ht="14.1" customHeight="1">
      <c r="B230" s="4071" t="s">
        <v>3865</v>
      </c>
      <c r="C230" s="3659"/>
      <c r="D230" s="3659"/>
      <c r="E230" s="3659"/>
      <c r="F230" s="3659"/>
      <c r="G230" s="3659"/>
      <c r="H230" s="3659"/>
      <c r="I230" s="3659"/>
      <c r="J230" s="3659"/>
      <c r="K230" s="3659"/>
      <c r="O230" s="21">
        <f>ROW()</f>
        <v>230</v>
      </c>
      <c r="P230" s="2123"/>
      <c r="Q230" s="2123"/>
    </row>
    <row r="231" spans="2:26" ht="14.1" customHeight="1">
      <c r="B231" s="3659"/>
      <c r="C231" s="3659"/>
      <c r="D231" s="3659"/>
      <c r="E231" s="3659"/>
      <c r="F231" s="3659"/>
      <c r="G231" s="3659"/>
      <c r="H231" s="3659"/>
      <c r="I231" s="3659"/>
      <c r="J231" s="3659"/>
      <c r="K231" s="3659"/>
      <c r="O231" s="21">
        <f>ROW()</f>
        <v>231</v>
      </c>
      <c r="P231" s="2123"/>
      <c r="Q231" s="2123"/>
    </row>
    <row r="232" spans="2:26" ht="14.1" customHeight="1">
      <c r="B232" s="3659"/>
      <c r="C232" s="3659"/>
      <c r="D232" s="3659"/>
      <c r="E232" s="3659"/>
      <c r="F232" s="3659"/>
      <c r="G232" s="3659"/>
      <c r="H232" s="3659"/>
      <c r="I232" s="3659"/>
      <c r="J232" s="3659"/>
      <c r="K232" s="3659"/>
      <c r="M232" s="4838" t="s">
        <v>5756</v>
      </c>
      <c r="O232" s="21">
        <f>ROW()</f>
        <v>232</v>
      </c>
      <c r="P232" s="4838" t="str">
        <f>CONCATENATE("Sum of avg wait time from Col. J and actual travel time, which is calc'd/ w/ est'd distance from 'Transit' worksheet (Row ",Transit!O273, ") and speed from Col. N, here.")</f>
        <v>Sum of avg wait time from Col. J and actual travel time, which is calc'd/ w/ est'd distance from 'Transit' worksheet (Row 273) and speed from Col. N, here.</v>
      </c>
      <c r="Q232" s="3279"/>
      <c r="U232" s="4838" t="str">
        <f>CONCATENATE("Number of vehicle-hours that could be purchased for one million dollars, from 'Transit' worksheet (Cell K",Transit!O305, ") div. by Col. S, here.")</f>
        <v>Number of vehicle-hours that could be purchased for one million dollars, from 'Transit' worksheet (Cell K305) div. by Col. S, here.</v>
      </c>
    </row>
    <row r="233" spans="2:26" ht="14.1" customHeight="1">
      <c r="B233" s="3659"/>
      <c r="C233" s="3659"/>
      <c r="D233" s="3659"/>
      <c r="E233" s="3659"/>
      <c r="F233" s="3659"/>
      <c r="G233" s="3659"/>
      <c r="H233" s="3659"/>
      <c r="I233" s="3659"/>
      <c r="J233" s="3659"/>
      <c r="K233" s="3659"/>
      <c r="M233" s="4254"/>
      <c r="O233" s="21">
        <f>ROW()</f>
        <v>233</v>
      </c>
      <c r="P233" s="4254"/>
      <c r="Q233" s="3277"/>
      <c r="U233" s="4254"/>
      <c r="Y233" s="4838" t="s">
        <v>3527</v>
      </c>
    </row>
    <row r="234" spans="2:26" ht="14.1" customHeight="1">
      <c r="B234" s="879"/>
      <c r="C234" s="879"/>
      <c r="D234" s="879"/>
      <c r="E234" s="879"/>
      <c r="F234" s="879"/>
      <c r="G234" s="879"/>
      <c r="H234" s="879"/>
      <c r="I234" s="879"/>
      <c r="J234" s="879"/>
      <c r="K234" s="3274" t="s">
        <v>5753</v>
      </c>
      <c r="M234" s="4254"/>
      <c r="O234" s="21">
        <f>ROW()</f>
        <v>234</v>
      </c>
      <c r="P234" s="4254"/>
      <c r="Q234" s="3277"/>
      <c r="U234" s="4254"/>
      <c r="Y234" s="4254"/>
    </row>
    <row r="235" spans="2:26" ht="14.1" customHeight="1">
      <c r="B235" s="518" t="s">
        <v>3473</v>
      </c>
      <c r="C235" s="879"/>
      <c r="D235" s="879"/>
      <c r="E235" s="879"/>
      <c r="F235" s="879"/>
      <c r="G235" s="879"/>
      <c r="H235" s="879"/>
      <c r="I235" s="879"/>
      <c r="J235" s="879"/>
      <c r="K235" s="879"/>
      <c r="M235" s="4254"/>
      <c r="O235" s="21">
        <f>ROW()</f>
        <v>235</v>
      </c>
      <c r="P235" s="4254"/>
      <c r="Q235" s="3277"/>
      <c r="U235" s="4254"/>
      <c r="Y235" s="4254"/>
    </row>
    <row r="236" spans="2:26" ht="14.1" customHeight="1">
      <c r="B236" s="518"/>
      <c r="C236" s="879"/>
      <c r="D236" s="879"/>
      <c r="E236" s="879"/>
      <c r="F236" s="879"/>
      <c r="G236" s="879"/>
      <c r="H236" s="879"/>
      <c r="I236" s="879"/>
      <c r="J236" s="879"/>
      <c r="K236" s="879"/>
      <c r="M236" s="4254"/>
      <c r="O236" s="21">
        <f>ROW()</f>
        <v>236</v>
      </c>
      <c r="P236" s="4254"/>
      <c r="Q236" s="3277"/>
      <c r="U236" s="4254"/>
      <c r="Y236" s="4254"/>
    </row>
    <row r="237" spans="2:26" ht="14.1" customHeight="1">
      <c r="B237" s="312" t="s">
        <v>5751</v>
      </c>
      <c r="C237" s="879"/>
      <c r="D237" s="879"/>
      <c r="E237" s="879"/>
      <c r="F237" s="879"/>
      <c r="G237" s="879"/>
      <c r="H237" s="879"/>
      <c r="I237" s="879"/>
      <c r="J237" s="879"/>
      <c r="K237" s="879"/>
      <c r="M237" s="4254"/>
      <c r="O237" s="21">
        <f>ROW()</f>
        <v>237</v>
      </c>
      <c r="P237" s="4254"/>
      <c r="Q237" s="3277"/>
      <c r="U237" s="4254"/>
      <c r="Y237" s="4254"/>
    </row>
    <row r="238" spans="2:26" ht="14.1" customHeight="1">
      <c r="C238" s="879"/>
      <c r="D238" s="879"/>
      <c r="E238" s="879"/>
      <c r="F238" s="879"/>
      <c r="G238" s="879"/>
      <c r="H238" s="879"/>
      <c r="I238" s="879"/>
      <c r="J238" s="879"/>
      <c r="K238" s="879"/>
      <c r="L238" s="4838" t="s">
        <v>3529</v>
      </c>
      <c r="M238" s="4254"/>
      <c r="O238" s="21">
        <f>ROW()</f>
        <v>238</v>
      </c>
      <c r="P238" s="4254"/>
      <c r="Q238" s="3277"/>
      <c r="U238" s="4254"/>
      <c r="Y238" s="4254"/>
    </row>
    <row r="239" spans="2:26" ht="14.1" customHeight="1">
      <c r="B239" s="312" t="s">
        <v>5752</v>
      </c>
      <c r="C239" s="879"/>
      <c r="D239" s="879"/>
      <c r="E239" s="879"/>
      <c r="F239" s="879"/>
      <c r="G239" s="879"/>
      <c r="H239" s="879"/>
      <c r="I239" s="879"/>
      <c r="J239" s="879"/>
      <c r="K239" s="879"/>
      <c r="L239" s="4254"/>
      <c r="M239" s="4254"/>
      <c r="O239" s="21">
        <f>ROW()</f>
        <v>239</v>
      </c>
      <c r="P239" s="4254"/>
      <c r="Q239" s="3277"/>
      <c r="U239" s="4254"/>
      <c r="Y239" s="4254"/>
    </row>
    <row r="240" spans="2:26" ht="14.1" customHeight="1">
      <c r="C240" s="879"/>
      <c r="D240" s="879"/>
      <c r="E240" s="879"/>
      <c r="F240" s="879"/>
      <c r="G240" s="879"/>
      <c r="H240" s="879"/>
      <c r="I240" s="879"/>
      <c r="J240" s="879"/>
      <c r="K240" s="879"/>
      <c r="L240" s="4254"/>
      <c r="M240" s="4254"/>
      <c r="O240" s="21">
        <f>ROW()</f>
        <v>240</v>
      </c>
      <c r="P240" s="4254"/>
      <c r="Q240" s="3277"/>
      <c r="U240" s="4254"/>
      <c r="Y240" s="4254"/>
      <c r="Z240" s="4838" t="s">
        <v>5762</v>
      </c>
    </row>
    <row r="241" spans="2:33" ht="14.1" customHeight="1">
      <c r="B241" s="4581" t="s">
        <v>6217</v>
      </c>
      <c r="C241" s="4187"/>
      <c r="D241" s="4187"/>
      <c r="E241" s="4187"/>
      <c r="F241" s="4187"/>
      <c r="G241" s="4187"/>
      <c r="H241" s="4187"/>
      <c r="L241" s="4254"/>
      <c r="M241" s="4254"/>
      <c r="N241" s="4838" t="s">
        <v>5767</v>
      </c>
      <c r="O241" s="21">
        <f>ROW()</f>
        <v>241</v>
      </c>
      <c r="P241" s="4254"/>
      <c r="Q241" s="3277"/>
      <c r="T241" s="4838" t="s">
        <v>5769</v>
      </c>
      <c r="U241" s="4254"/>
      <c r="Y241" s="4254"/>
      <c r="Z241" s="4254"/>
      <c r="AF241" s="4838" t="s">
        <v>5773</v>
      </c>
    </row>
    <row r="242" spans="2:33" ht="14.1" customHeight="1">
      <c r="B242" s="4187"/>
      <c r="C242" s="4187"/>
      <c r="D242" s="4187"/>
      <c r="E242" s="4187"/>
      <c r="F242" s="4187"/>
      <c r="G242" s="4187"/>
      <c r="H242" s="4187"/>
      <c r="I242" s="4838" t="s">
        <v>5765</v>
      </c>
      <c r="J242" s="4838" t="s">
        <v>3524</v>
      </c>
      <c r="K242" s="4838" t="s">
        <v>5766</v>
      </c>
      <c r="L242" s="4254"/>
      <c r="M242" s="4254"/>
      <c r="N242" s="4254"/>
      <c r="O242" s="21">
        <f>ROW()</f>
        <v>242</v>
      </c>
      <c r="P242" s="4254"/>
      <c r="Q242" s="4838" t="s">
        <v>5781</v>
      </c>
      <c r="R242" s="4838" t="s">
        <v>5768</v>
      </c>
      <c r="S242" s="4838" t="s">
        <v>3525</v>
      </c>
      <c r="T242" s="4254"/>
      <c r="U242" s="4254"/>
      <c r="V242" s="4838" t="s">
        <v>5770</v>
      </c>
      <c r="W242" s="4838" t="s">
        <v>3526</v>
      </c>
      <c r="X242" s="4838" t="s">
        <v>5771</v>
      </c>
      <c r="Y242" s="4254"/>
      <c r="Z242" s="4254"/>
      <c r="AA242" s="4838" t="s">
        <v>5763</v>
      </c>
      <c r="AB242" s="4838" t="s">
        <v>5764</v>
      </c>
      <c r="AC242" s="4838" t="s">
        <v>5772</v>
      </c>
      <c r="AD242" s="4838" t="s">
        <v>5774</v>
      </c>
      <c r="AE242" s="4838" t="s">
        <v>5775</v>
      </c>
      <c r="AF242" s="4254"/>
    </row>
    <row r="243" spans="2:33" ht="14.1" customHeight="1">
      <c r="B243" s="4187"/>
      <c r="C243" s="4187"/>
      <c r="D243" s="4187"/>
      <c r="E243" s="4187"/>
      <c r="F243" s="4187"/>
      <c r="G243" s="4187"/>
      <c r="H243" s="4187"/>
      <c r="I243" s="4254"/>
      <c r="J243" s="4254"/>
      <c r="K243" s="4254"/>
      <c r="L243" s="4254"/>
      <c r="M243" s="4254"/>
      <c r="N243" s="4254"/>
      <c r="O243" s="21">
        <f>ROW()</f>
        <v>243</v>
      </c>
      <c r="P243" s="4254"/>
      <c r="Q243" s="4254"/>
      <c r="R243" s="4254"/>
      <c r="S243" s="4254"/>
      <c r="T243" s="4254"/>
      <c r="U243" s="4254"/>
      <c r="V243" s="4254"/>
      <c r="W243" s="4254"/>
      <c r="X243" s="4254"/>
      <c r="Y243" s="4254"/>
      <c r="Z243" s="4254"/>
      <c r="AA243" s="4254"/>
      <c r="AB243" s="4254"/>
      <c r="AC243" s="4254"/>
      <c r="AD243" s="4254"/>
      <c r="AE243" s="4254"/>
      <c r="AF243" s="4254"/>
    </row>
    <row r="244" spans="2:33" ht="14.1" customHeight="1">
      <c r="O244" s="21">
        <f>ROW()</f>
        <v>244</v>
      </c>
    </row>
    <row r="245" spans="2:33" ht="14.1" customHeight="1">
      <c r="C245" s="4598" t="s">
        <v>3512</v>
      </c>
      <c r="D245" s="4598" t="s">
        <v>3446</v>
      </c>
      <c r="E245" s="4598" t="s">
        <v>3447</v>
      </c>
      <c r="F245" s="4598" t="s">
        <v>3448</v>
      </c>
      <c r="G245" s="4598" t="s">
        <v>3453</v>
      </c>
      <c r="H245" s="4598" t="s">
        <v>3513</v>
      </c>
      <c r="I245" s="4598" t="s">
        <v>3454</v>
      </c>
      <c r="J245" s="4598" t="s">
        <v>3449</v>
      </c>
      <c r="K245" s="4598" t="s">
        <v>5778</v>
      </c>
      <c r="L245" s="4842" t="s">
        <v>3515</v>
      </c>
      <c r="M245" s="4842" t="s">
        <v>5755</v>
      </c>
      <c r="N245" s="4842" t="s">
        <v>3517</v>
      </c>
      <c r="O245" s="21">
        <f>ROW()</f>
        <v>245</v>
      </c>
      <c r="P245" s="4598" t="s">
        <v>5779</v>
      </c>
      <c r="Q245" s="4598" t="s">
        <v>5780</v>
      </c>
      <c r="R245" s="4598" t="s">
        <v>3521</v>
      </c>
      <c r="S245" s="4598" t="s">
        <v>5757</v>
      </c>
      <c r="T245" s="4598" t="s">
        <v>5758</v>
      </c>
      <c r="U245" s="4598" t="s">
        <v>3531</v>
      </c>
      <c r="V245" s="4598" t="s">
        <v>3532</v>
      </c>
      <c r="W245" s="4598" t="s">
        <v>3520</v>
      </c>
      <c r="X245" s="4598" t="s">
        <v>3518</v>
      </c>
      <c r="Y245" s="4598" t="s">
        <v>3519</v>
      </c>
      <c r="Z245" s="4598" t="s">
        <v>5759</v>
      </c>
      <c r="AA245" s="4598" t="s">
        <v>5760</v>
      </c>
      <c r="AB245" s="4598" t="s">
        <v>5761</v>
      </c>
      <c r="AC245" s="4598" t="s">
        <v>5776</v>
      </c>
      <c r="AD245" s="4598" t="s">
        <v>5782</v>
      </c>
      <c r="AE245" s="4598" t="s">
        <v>3522</v>
      </c>
      <c r="AF245" s="4598" t="s">
        <v>3523</v>
      </c>
      <c r="AG245" s="4598" t="s">
        <v>3530</v>
      </c>
    </row>
    <row r="246" spans="2:33" ht="14.1" customHeight="1">
      <c r="C246" s="3807"/>
      <c r="D246" s="3807"/>
      <c r="E246" s="3807"/>
      <c r="F246" s="3807"/>
      <c r="G246" s="3807"/>
      <c r="H246" s="3807"/>
      <c r="I246" s="3807"/>
      <c r="J246" s="3807"/>
      <c r="K246" s="3807"/>
      <c r="L246" s="4843"/>
      <c r="M246" s="4843"/>
      <c r="N246" s="4843"/>
      <c r="O246" s="21">
        <f>ROW()</f>
        <v>246</v>
      </c>
      <c r="P246" s="3807"/>
      <c r="Q246" s="3807"/>
      <c r="R246" s="3807"/>
      <c r="S246" s="3807"/>
      <c r="T246" s="3807"/>
      <c r="U246" s="3807"/>
      <c r="V246" s="3807"/>
      <c r="W246" s="3807"/>
      <c r="X246" s="3807"/>
      <c r="Y246" s="3807"/>
      <c r="Z246" s="3807"/>
      <c r="AA246" s="3807"/>
      <c r="AB246" s="3807"/>
      <c r="AC246" s="3807"/>
      <c r="AD246" s="3807"/>
      <c r="AE246" s="3807"/>
      <c r="AF246" s="3807"/>
      <c r="AG246" s="3807"/>
    </row>
    <row r="247" spans="2:33" ht="14.1" customHeight="1">
      <c r="B247" s="1872" t="s">
        <v>3450</v>
      </c>
      <c r="C247" s="3807"/>
      <c r="D247" s="3807"/>
      <c r="E247" s="3807"/>
      <c r="F247" s="3807"/>
      <c r="G247" s="3807"/>
      <c r="H247" s="3807"/>
      <c r="I247" s="3807"/>
      <c r="J247" s="3807"/>
      <c r="K247" s="3807"/>
      <c r="L247" s="4843"/>
      <c r="M247" s="4843"/>
      <c r="N247" s="4843"/>
      <c r="O247" s="21">
        <f>ROW()</f>
        <v>247</v>
      </c>
      <c r="P247" s="3807"/>
      <c r="Q247" s="3807"/>
      <c r="R247" s="3807"/>
      <c r="S247" s="3807"/>
      <c r="T247" s="3807"/>
      <c r="U247" s="3807"/>
      <c r="V247" s="3807"/>
      <c r="W247" s="3807"/>
      <c r="X247" s="3807"/>
      <c r="Y247" s="3807"/>
      <c r="Z247" s="3807"/>
      <c r="AA247" s="3807"/>
      <c r="AB247" s="3807"/>
      <c r="AC247" s="3807"/>
      <c r="AD247" s="3807"/>
      <c r="AE247" s="3807"/>
      <c r="AF247" s="3807"/>
      <c r="AG247" s="3807"/>
    </row>
    <row r="248" spans="2:33" ht="14.1" customHeight="1">
      <c r="B248" s="34"/>
      <c r="C248" s="2100"/>
      <c r="D248" s="2100"/>
      <c r="E248" s="2100"/>
      <c r="F248" s="2100"/>
      <c r="G248" s="2100"/>
      <c r="H248" s="2100"/>
      <c r="I248" s="2100"/>
      <c r="J248" s="2100"/>
      <c r="L248" s="86"/>
      <c r="N248" s="86"/>
      <c r="O248" s="21">
        <f>ROW()</f>
        <v>248</v>
      </c>
    </row>
    <row r="249" spans="2:33" ht="14.1" customHeight="1">
      <c r="B249" s="2101" t="s">
        <v>3461</v>
      </c>
      <c r="C249" s="1122">
        <v>10592126</v>
      </c>
      <c r="D249" s="1122">
        <v>32911</v>
      </c>
      <c r="E249" s="1122">
        <v>23150</v>
      </c>
      <c r="F249" s="1122">
        <v>17543</v>
      </c>
      <c r="G249">
        <v>308</v>
      </c>
      <c r="H249" s="1122">
        <v>20</v>
      </c>
      <c r="I249" s="91">
        <f t="shared" ref="I249:I268" si="2">0.5*G249/H249</f>
        <v>7.7</v>
      </c>
      <c r="J249" s="91">
        <f t="shared" ref="J249:J268" si="3">0.5*60/I249</f>
        <v>3.8961038961038961</v>
      </c>
      <c r="K249" s="1122">
        <f t="shared" ref="K249:K268" si="4">D249*J249/60</f>
        <v>2137.0779220779218</v>
      </c>
      <c r="L249" s="1019">
        <v>5.4850000000000003</v>
      </c>
      <c r="M249" s="21">
        <f>AVERAGE(69,67)</f>
        <v>68</v>
      </c>
      <c r="N249" s="824">
        <f>$L249/($M249/60)</f>
        <v>4.8397058823529413</v>
      </c>
      <c r="O249" s="21">
        <f>ROW()</f>
        <v>249</v>
      </c>
      <c r="P249" s="91">
        <f>60*Transit!$I$273/N249+J249</f>
        <v>48.898838627188667</v>
      </c>
      <c r="Q249" s="1122">
        <f>D249*P249/60</f>
        <v>26821.827967656769</v>
      </c>
      <c r="R249" s="21">
        <f t="shared" ref="R249:R268" si="5">N249/L249</f>
        <v>0.88235294117647056</v>
      </c>
      <c r="S249" s="21">
        <f t="shared" ref="S249:S268" si="6">1/R249</f>
        <v>1.1333333333333333</v>
      </c>
      <c r="T249" s="1122">
        <f t="shared" ref="T249:T268" si="7">weekday_per_yr*H249*S249</f>
        <v>5666.666666666667</v>
      </c>
      <c r="U249" s="21">
        <f>Transit!$K$305/T249</f>
        <v>1.0271987644808871</v>
      </c>
      <c r="V249" s="21">
        <f t="shared" ref="V249:V268" si="8">I249+U249</f>
        <v>8.727198764480887</v>
      </c>
      <c r="W249" s="91">
        <f t="shared" ref="W249:W268" si="9">0.5*60/V249</f>
        <v>3.4375291327267559</v>
      </c>
      <c r="X249" s="509">
        <f t="shared" ref="X249:X268" si="10">J249-W249</f>
        <v>0.4585747633771402</v>
      </c>
      <c r="Y249" s="2128">
        <v>6</v>
      </c>
      <c r="Z249" s="91">
        <f t="shared" ref="Z249:Z268" si="11">U249*Y249</f>
        <v>6.163192586885323</v>
      </c>
      <c r="AA249" s="91">
        <f t="shared" ref="AA249:AA268" si="12">I249+Z249</f>
        <v>13.863192586885322</v>
      </c>
      <c r="AB249" s="91">
        <f t="shared" ref="AB249:AB268" si="13">0.5*60/AA249</f>
        <v>2.1640036962611493</v>
      </c>
      <c r="AC249" s="509">
        <f t="shared" ref="AC249:AC268" si="14">J249-AB249</f>
        <v>1.7321001998427468</v>
      </c>
      <c r="AD249" s="1179">
        <f t="shared" ref="AD249:AD268" si="15">D249*AC249/60</f>
        <v>950.08582795041059</v>
      </c>
      <c r="AE249" s="1122">
        <f t="shared" ref="AE249:AE268" si="16">AC249*C249/60</f>
        <v>305777.05935599259</v>
      </c>
      <c r="AF249" s="1122">
        <f t="shared" ref="AF249:AF268" si="17">AC249*D249*weekday_per_yr/60</f>
        <v>237521.45698760267</v>
      </c>
      <c r="AG249" s="1122">
        <f t="shared" ref="AG249:AG268" si="18">AF249/Y249</f>
        <v>39586.909497933775</v>
      </c>
    </row>
    <row r="250" spans="2:33" ht="14.1" customHeight="1">
      <c r="B250" s="2101" t="s">
        <v>3469</v>
      </c>
      <c r="C250" s="1122">
        <v>7940575</v>
      </c>
      <c r="D250" s="1122">
        <v>23903</v>
      </c>
      <c r="E250" s="1122">
        <v>19153</v>
      </c>
      <c r="F250" s="1122">
        <v>14835</v>
      </c>
      <c r="G250">
        <v>239</v>
      </c>
      <c r="H250" s="1122">
        <v>20</v>
      </c>
      <c r="I250" s="91">
        <f t="shared" si="2"/>
        <v>5.9749999999999996</v>
      </c>
      <c r="J250" s="91">
        <f t="shared" si="3"/>
        <v>5.0209205020920509</v>
      </c>
      <c r="K250" s="1122">
        <f t="shared" si="4"/>
        <v>2000.2510460251049</v>
      </c>
      <c r="L250" s="1019">
        <v>7.0949999999999998</v>
      </c>
      <c r="M250" s="21">
        <f>AVERAGE(80,68)</f>
        <v>74</v>
      </c>
      <c r="N250" s="824">
        <f>$L250/($M250/60)</f>
        <v>5.7527027027027025</v>
      </c>
      <c r="O250" s="21">
        <f>ROW()</f>
        <v>250</v>
      </c>
      <c r="P250" s="91">
        <f>60*Transit!$I$273/N250+J250</f>
        <v>42.88138561837112</v>
      </c>
      <c r="Q250" s="1122">
        <f t="shared" ref="Q250:Q268" si="19">D250*P250/60</f>
        <v>17083.229340598748</v>
      </c>
      <c r="R250" s="21">
        <f t="shared" si="5"/>
        <v>0.81081081081081086</v>
      </c>
      <c r="S250" s="21">
        <f t="shared" si="6"/>
        <v>1.2333333333333332</v>
      </c>
      <c r="T250" s="1122">
        <f t="shared" si="7"/>
        <v>6166.6666666666661</v>
      </c>
      <c r="U250" s="21">
        <f>Transit!$K$305/T250</f>
        <v>0.9439123781716261</v>
      </c>
      <c r="V250" s="21">
        <f t="shared" si="8"/>
        <v>6.9189123781716262</v>
      </c>
      <c r="W250" s="91">
        <f t="shared" si="9"/>
        <v>4.3359415989493604</v>
      </c>
      <c r="X250" s="509">
        <f t="shared" si="10"/>
        <v>0.6849789031426905</v>
      </c>
      <c r="Y250" s="2128">
        <v>5</v>
      </c>
      <c r="Z250" s="91">
        <f t="shared" si="11"/>
        <v>4.7195618908581309</v>
      </c>
      <c r="AA250" s="91">
        <f t="shared" si="12"/>
        <v>10.694561890858131</v>
      </c>
      <c r="AB250" s="91">
        <f t="shared" si="13"/>
        <v>2.8051639988772652</v>
      </c>
      <c r="AC250" s="509">
        <f t="shared" si="14"/>
        <v>2.2157565032147857</v>
      </c>
      <c r="AD250" s="1179">
        <f t="shared" si="15"/>
        <v>882.72046160571699</v>
      </c>
      <c r="AE250" s="1122">
        <f t="shared" si="16"/>
        <v>293239.67825857911</v>
      </c>
      <c r="AF250" s="1122">
        <f t="shared" si="17"/>
        <v>220680.11540142924</v>
      </c>
      <c r="AG250" s="1122">
        <f t="shared" si="18"/>
        <v>44136.02308028585</v>
      </c>
    </row>
    <row r="251" spans="2:33" ht="14.1" customHeight="1">
      <c r="B251" s="2101" t="s">
        <v>3466</v>
      </c>
      <c r="C251" s="1122">
        <v>8711111</v>
      </c>
      <c r="D251" s="1122">
        <v>28208</v>
      </c>
      <c r="E251" s="1122">
        <v>16152</v>
      </c>
      <c r="F251" s="1122">
        <v>11988</v>
      </c>
      <c r="G251">
        <v>276</v>
      </c>
      <c r="H251" s="1122">
        <v>20</v>
      </c>
      <c r="I251" s="91">
        <f t="shared" si="2"/>
        <v>6.9</v>
      </c>
      <c r="J251" s="91">
        <f t="shared" si="3"/>
        <v>4.3478260869565215</v>
      </c>
      <c r="K251" s="1122">
        <f t="shared" si="4"/>
        <v>2044.0579710144925</v>
      </c>
      <c r="L251" s="1019">
        <v>8.1050000000000004</v>
      </c>
      <c r="M251" s="21">
        <f>AVERAGE(74,72)</f>
        <v>73</v>
      </c>
      <c r="N251" s="824">
        <f t="shared" ref="N251:N268" si="20">$L251/($M251/60)</f>
        <v>6.6616438356164389</v>
      </c>
      <c r="O251" s="21">
        <f>ROW()</f>
        <v>251</v>
      </c>
      <c r="P251" s="91">
        <f>60*Transit!$I$273/N251+J251</f>
        <v>37.042459029584528</v>
      </c>
      <c r="Q251" s="1122">
        <f t="shared" si="19"/>
        <v>17414.894738442006</v>
      </c>
      <c r="R251" s="21">
        <f t="shared" si="5"/>
        <v>0.82191780821917815</v>
      </c>
      <c r="S251" s="21">
        <f t="shared" si="6"/>
        <v>1.2166666666666666</v>
      </c>
      <c r="T251" s="1122">
        <f t="shared" si="7"/>
        <v>6083.333333333333</v>
      </c>
      <c r="U251" s="21">
        <f>Transit!$K$305/T251</f>
        <v>0.95684268472192235</v>
      </c>
      <c r="V251" s="21">
        <f t="shared" si="8"/>
        <v>7.856842684721923</v>
      </c>
      <c r="W251" s="91">
        <f t="shared" si="9"/>
        <v>3.8183276926667635</v>
      </c>
      <c r="X251" s="509">
        <f t="shared" si="10"/>
        <v>0.52949839428975798</v>
      </c>
      <c r="Y251" s="2128">
        <v>4</v>
      </c>
      <c r="Z251" s="91">
        <f t="shared" si="11"/>
        <v>3.8273707388876894</v>
      </c>
      <c r="AA251" s="91">
        <f t="shared" si="12"/>
        <v>10.727370738887689</v>
      </c>
      <c r="AB251" s="91">
        <f t="shared" si="13"/>
        <v>2.796584618004045</v>
      </c>
      <c r="AC251" s="509">
        <f t="shared" si="14"/>
        <v>1.5512414689524765</v>
      </c>
      <c r="AD251" s="1179">
        <f t="shared" si="15"/>
        <v>729.29032260352437</v>
      </c>
      <c r="AE251" s="1122">
        <f t="shared" si="16"/>
        <v>225217.27706413463</v>
      </c>
      <c r="AF251" s="1122">
        <f t="shared" si="17"/>
        <v>182322.58065088108</v>
      </c>
      <c r="AG251" s="1122">
        <f t="shared" si="18"/>
        <v>45580.64516272027</v>
      </c>
    </row>
    <row r="252" spans="2:33" ht="14.1" customHeight="1">
      <c r="B252" s="2101" t="s">
        <v>3471</v>
      </c>
      <c r="C252" s="1122">
        <v>7246154</v>
      </c>
      <c r="D252" s="1122">
        <v>22420</v>
      </c>
      <c r="E252" s="1122">
        <v>15385</v>
      </c>
      <c r="F252" s="1122">
        <v>12879</v>
      </c>
      <c r="G252">
        <v>241</v>
      </c>
      <c r="H252" s="1122">
        <v>20</v>
      </c>
      <c r="I252" s="91">
        <f t="shared" si="2"/>
        <v>6.0250000000000004</v>
      </c>
      <c r="J252" s="91">
        <f t="shared" si="3"/>
        <v>4.9792531120331951</v>
      </c>
      <c r="K252" s="1122">
        <f t="shared" si="4"/>
        <v>1860.5809128630706</v>
      </c>
      <c r="L252" s="1019">
        <v>9.4</v>
      </c>
      <c r="M252" s="21">
        <f>AVERAGE(78,81)</f>
        <v>79.5</v>
      </c>
      <c r="N252" s="824">
        <f t="shared" si="20"/>
        <v>7.0943396226415096</v>
      </c>
      <c r="O252" s="21">
        <f>ROW()</f>
        <v>252</v>
      </c>
      <c r="P252" s="91">
        <f>60*Transit!$I$273/N252+J252</f>
        <v>35.679785026926808</v>
      </c>
      <c r="Q252" s="1122">
        <f t="shared" si="19"/>
        <v>13332.346338394984</v>
      </c>
      <c r="R252" s="21">
        <f t="shared" si="5"/>
        <v>0.75471698113207542</v>
      </c>
      <c r="S252" s="21">
        <f t="shared" si="6"/>
        <v>1.3250000000000002</v>
      </c>
      <c r="T252" s="1122">
        <f t="shared" si="7"/>
        <v>6625.0000000000009</v>
      </c>
      <c r="U252" s="21">
        <f>Transit!$K$305/T252</f>
        <v>0.87861026395849451</v>
      </c>
      <c r="V252" s="21">
        <f t="shared" si="8"/>
        <v>6.9036102639584946</v>
      </c>
      <c r="W252" s="91">
        <f t="shared" si="9"/>
        <v>4.345552378097044</v>
      </c>
      <c r="X252" s="509">
        <f t="shared" si="10"/>
        <v>0.63370073393615112</v>
      </c>
      <c r="Y252" s="2128">
        <v>3</v>
      </c>
      <c r="Z252" s="91">
        <f t="shared" si="11"/>
        <v>2.6358307918754837</v>
      </c>
      <c r="AA252" s="91">
        <f t="shared" si="12"/>
        <v>8.6608307918754832</v>
      </c>
      <c r="AB252" s="91">
        <f t="shared" si="13"/>
        <v>3.4638709288885168</v>
      </c>
      <c r="AC252" s="509">
        <f t="shared" si="14"/>
        <v>1.5153821831446783</v>
      </c>
      <c r="AD252" s="1179">
        <f t="shared" si="15"/>
        <v>566.24780910172808</v>
      </c>
      <c r="AE252" s="1122">
        <f t="shared" si="16"/>
        <v>183011.54446537571</v>
      </c>
      <c r="AF252" s="1122">
        <f t="shared" si="17"/>
        <v>141561.95227543204</v>
      </c>
      <c r="AG252" s="1122">
        <f t="shared" si="18"/>
        <v>47187.317425144014</v>
      </c>
    </row>
    <row r="253" spans="2:33" ht="14.1" customHeight="1">
      <c r="B253" s="2101" t="s">
        <v>3465</v>
      </c>
      <c r="C253" s="1122">
        <v>8868415</v>
      </c>
      <c r="D253" s="1122">
        <v>27383</v>
      </c>
      <c r="E253" s="1122">
        <v>20413</v>
      </c>
      <c r="F253" s="1122">
        <v>14295</v>
      </c>
      <c r="G253">
        <v>341</v>
      </c>
      <c r="H253" s="1122">
        <v>20</v>
      </c>
      <c r="I253" s="91">
        <f t="shared" si="2"/>
        <v>8.5250000000000004</v>
      </c>
      <c r="J253" s="91">
        <f t="shared" si="3"/>
        <v>3.5190615835777126</v>
      </c>
      <c r="K253" s="1122">
        <f t="shared" si="4"/>
        <v>1606.0410557184753</v>
      </c>
      <c r="L253" s="1019">
        <v>5.49</v>
      </c>
      <c r="M253" s="21">
        <f>AVERAGE(47,46)</f>
        <v>46.5</v>
      </c>
      <c r="N253" s="824">
        <f t="shared" si="20"/>
        <v>7.0838709677419356</v>
      </c>
      <c r="O253" s="21">
        <f>ROW()</f>
        <v>253</v>
      </c>
      <c r="P253" s="91">
        <f>60*Transit!$I$273/N253+J253</f>
        <v>34.26496322292197</v>
      </c>
      <c r="Q253" s="1122">
        <f t="shared" si="19"/>
        <v>15637.958132221205</v>
      </c>
      <c r="R253" s="21">
        <f t="shared" si="5"/>
        <v>1.2903225806451613</v>
      </c>
      <c r="S253" s="21">
        <f t="shared" si="6"/>
        <v>0.77500000000000002</v>
      </c>
      <c r="T253" s="1122">
        <f t="shared" si="7"/>
        <v>3875</v>
      </c>
      <c r="U253" s="21">
        <f>Transit!$K$305/T253</f>
        <v>1.5021401287032328</v>
      </c>
      <c r="V253" s="21">
        <f t="shared" si="8"/>
        <v>10.027140128703234</v>
      </c>
      <c r="W253" s="91">
        <f t="shared" si="9"/>
        <v>2.9918799991757736</v>
      </c>
      <c r="X253" s="509">
        <f t="shared" si="10"/>
        <v>0.52718158440193896</v>
      </c>
      <c r="Y253" s="2128">
        <v>3</v>
      </c>
      <c r="Z253" s="91">
        <f t="shared" si="11"/>
        <v>4.5064203861096983</v>
      </c>
      <c r="AA253" s="91">
        <f t="shared" si="12"/>
        <v>13.031420386109698</v>
      </c>
      <c r="AB253" s="91">
        <f t="shared" si="13"/>
        <v>2.3021281726109653</v>
      </c>
      <c r="AC253" s="509">
        <f t="shared" si="14"/>
        <v>1.2169334109667473</v>
      </c>
      <c r="AD253" s="1179">
        <f t="shared" si="15"/>
        <v>555.38812654170738</v>
      </c>
      <c r="AE253" s="1122">
        <f t="shared" si="16"/>
        <v>179871.17526364446</v>
      </c>
      <c r="AF253" s="1122">
        <f t="shared" si="17"/>
        <v>138847.03163542683</v>
      </c>
      <c r="AG253" s="1122">
        <f t="shared" si="18"/>
        <v>46282.343878475607</v>
      </c>
    </row>
    <row r="254" spans="2:33" ht="14.1" customHeight="1">
      <c r="B254" s="2101" t="s">
        <v>3468</v>
      </c>
      <c r="C254" s="1122">
        <v>8490733</v>
      </c>
      <c r="D254" s="1122">
        <v>27380</v>
      </c>
      <c r="E254" s="1122">
        <v>15485</v>
      </c>
      <c r="F254" s="1122">
        <v>12566</v>
      </c>
      <c r="G254">
        <v>387</v>
      </c>
      <c r="H254" s="1122">
        <v>20</v>
      </c>
      <c r="I254" s="91">
        <f t="shared" si="2"/>
        <v>9.6750000000000007</v>
      </c>
      <c r="J254" s="91">
        <f t="shared" si="3"/>
        <v>3.1007751937984493</v>
      </c>
      <c r="K254" s="1122">
        <f t="shared" si="4"/>
        <v>1414.9870801033589</v>
      </c>
      <c r="L254" s="1019">
        <v>2.4300000000000002</v>
      </c>
      <c r="M254" s="21">
        <f>AVERAGE(32,28)</f>
        <v>30</v>
      </c>
      <c r="N254" s="824">
        <f t="shared" si="20"/>
        <v>4.8600000000000003</v>
      </c>
      <c r="O254" s="21">
        <f>ROW()</f>
        <v>254</v>
      </c>
      <c r="P254" s="91">
        <f>60*Transit!$I$273/N254+J254</f>
        <v>47.915590008613258</v>
      </c>
      <c r="Q254" s="1122">
        <f t="shared" si="19"/>
        <v>21865.480907263853</v>
      </c>
      <c r="R254" s="21">
        <f t="shared" si="5"/>
        <v>2</v>
      </c>
      <c r="S254" s="21">
        <f t="shared" si="6"/>
        <v>0.5</v>
      </c>
      <c r="T254" s="1122">
        <f t="shared" si="7"/>
        <v>2500</v>
      </c>
      <c r="U254" s="21">
        <f>Transit!$K$305/T254</f>
        <v>2.3283171994900109</v>
      </c>
      <c r="V254" s="21">
        <f t="shared" si="8"/>
        <v>12.003317199490011</v>
      </c>
      <c r="W254" s="91">
        <f t="shared" si="9"/>
        <v>2.4993091077585303</v>
      </c>
      <c r="X254" s="509">
        <f t="shared" si="10"/>
        <v>0.60146608603991902</v>
      </c>
      <c r="Y254" s="2128">
        <v>3</v>
      </c>
      <c r="Z254" s="91">
        <f t="shared" si="11"/>
        <v>6.9849515984700332</v>
      </c>
      <c r="AA254" s="91">
        <f t="shared" si="12"/>
        <v>16.659951598470034</v>
      </c>
      <c r="AB254" s="91">
        <f t="shared" si="13"/>
        <v>1.8007255196800842</v>
      </c>
      <c r="AC254" s="509">
        <f t="shared" si="14"/>
        <v>1.3000496741183651</v>
      </c>
      <c r="AD254" s="1179">
        <f t="shared" si="15"/>
        <v>593.25600128934718</v>
      </c>
      <c r="AE254" s="1122">
        <f t="shared" si="16"/>
        <v>183972.91116126749</v>
      </c>
      <c r="AF254" s="1122">
        <f t="shared" si="17"/>
        <v>148314.0003223368</v>
      </c>
      <c r="AG254" s="1122">
        <f t="shared" si="18"/>
        <v>49438.000107445601</v>
      </c>
    </row>
    <row r="255" spans="2:33" ht="14.1" customHeight="1">
      <c r="B255" s="2101" t="s">
        <v>3464</v>
      </c>
      <c r="C255" s="1122">
        <v>8914278</v>
      </c>
      <c r="D255" s="1122">
        <v>27945</v>
      </c>
      <c r="E255" s="1122">
        <v>17552</v>
      </c>
      <c r="F255" s="1122">
        <v>15344</v>
      </c>
      <c r="G255">
        <v>309</v>
      </c>
      <c r="H255" s="1122">
        <v>20</v>
      </c>
      <c r="I255" s="91">
        <f t="shared" si="2"/>
        <v>7.7249999999999996</v>
      </c>
      <c r="J255" s="91">
        <f t="shared" si="3"/>
        <v>3.883495145631068</v>
      </c>
      <c r="K255" s="1122">
        <f t="shared" si="4"/>
        <v>1808.7378640776699</v>
      </c>
      <c r="L255" s="1019">
        <v>10.295</v>
      </c>
      <c r="M255" s="21">
        <f>AVERAGE(80,68)</f>
        <v>74</v>
      </c>
      <c r="N255" s="824">
        <f t="shared" si="20"/>
        <v>8.3472972972972972</v>
      </c>
      <c r="O255" s="21">
        <f>ROW()</f>
        <v>255</v>
      </c>
      <c r="P255" s="91">
        <f>60*Transit!$I$273/N255+J255</f>
        <v>29.975772950390656</v>
      </c>
      <c r="Q255" s="1122">
        <f t="shared" si="19"/>
        <v>13961.216251644448</v>
      </c>
      <c r="R255" s="21">
        <f t="shared" si="5"/>
        <v>0.81081081081081086</v>
      </c>
      <c r="S255" s="21">
        <f t="shared" si="6"/>
        <v>1.2333333333333332</v>
      </c>
      <c r="T255" s="1122">
        <f t="shared" si="7"/>
        <v>6166.6666666666661</v>
      </c>
      <c r="U255" s="21">
        <f>Transit!$K$305/T255</f>
        <v>0.9439123781716261</v>
      </c>
      <c r="V255" s="21">
        <f t="shared" si="8"/>
        <v>8.6689123781716262</v>
      </c>
      <c r="W255" s="91">
        <f t="shared" si="9"/>
        <v>3.4606417381193264</v>
      </c>
      <c r="X255" s="509">
        <f t="shared" si="10"/>
        <v>0.42285340751174161</v>
      </c>
      <c r="Y255" s="2128">
        <v>3</v>
      </c>
      <c r="Z255" s="91">
        <f t="shared" si="11"/>
        <v>2.8317371345148783</v>
      </c>
      <c r="AA255" s="91">
        <f t="shared" si="12"/>
        <v>10.556737134514877</v>
      </c>
      <c r="AB255" s="91">
        <f t="shared" si="13"/>
        <v>2.8417871561768897</v>
      </c>
      <c r="AC255" s="509">
        <f t="shared" si="14"/>
        <v>1.0417079894541783</v>
      </c>
      <c r="AD255" s="1179">
        <f t="shared" si="15"/>
        <v>485.17549608828352</v>
      </c>
      <c r="AE255" s="1122">
        <f t="shared" si="16"/>
        <v>154767.91021359354</v>
      </c>
      <c r="AF255" s="1122">
        <f t="shared" si="17"/>
        <v>121293.87402207087</v>
      </c>
      <c r="AG255" s="1122">
        <f t="shared" si="18"/>
        <v>40431.291340690288</v>
      </c>
    </row>
    <row r="256" spans="2:33" ht="14.1" customHeight="1">
      <c r="B256" s="2101" t="s">
        <v>3463</v>
      </c>
      <c r="C256" s="1122">
        <v>9172908</v>
      </c>
      <c r="D256" s="1122">
        <v>27635</v>
      </c>
      <c r="E256" s="1122">
        <v>21787</v>
      </c>
      <c r="F256" s="1122">
        <v>17408</v>
      </c>
      <c r="G256">
        <v>379</v>
      </c>
      <c r="H256" s="1122">
        <v>20</v>
      </c>
      <c r="I256" s="91">
        <f t="shared" si="2"/>
        <v>9.4749999999999996</v>
      </c>
      <c r="J256" s="91">
        <f t="shared" si="3"/>
        <v>3.1662269129287601</v>
      </c>
      <c r="K256" s="1122">
        <f t="shared" si="4"/>
        <v>1458.311345646438</v>
      </c>
      <c r="L256" s="1019">
        <v>8.1199999999999992</v>
      </c>
      <c r="M256" s="21">
        <f>AVERAGE(68,64)</f>
        <v>66</v>
      </c>
      <c r="N256" s="824">
        <f t="shared" si="20"/>
        <v>7.3818181818181809</v>
      </c>
      <c r="O256" s="21">
        <f>ROW()</f>
        <v>256</v>
      </c>
      <c r="P256" s="91">
        <f>60*Transit!$I$273/N256+J256</f>
        <v>32.671153021303141</v>
      </c>
      <c r="Q256" s="1122">
        <f t="shared" si="19"/>
        <v>15047.788562395204</v>
      </c>
      <c r="R256" s="21">
        <f t="shared" si="5"/>
        <v>0.90909090909090906</v>
      </c>
      <c r="S256" s="21">
        <f t="shared" si="6"/>
        <v>1.1000000000000001</v>
      </c>
      <c r="T256" s="1122">
        <f t="shared" si="7"/>
        <v>5500</v>
      </c>
      <c r="U256" s="21">
        <f>Transit!$K$305/T256</f>
        <v>1.0583259997681869</v>
      </c>
      <c r="V256" s="21">
        <f t="shared" si="8"/>
        <v>10.533325999768186</v>
      </c>
      <c r="W256" s="91">
        <f t="shared" si="9"/>
        <v>2.8481032487421571</v>
      </c>
      <c r="X256" s="509">
        <f t="shared" si="10"/>
        <v>0.31812366418660298</v>
      </c>
      <c r="Y256" s="2128">
        <v>3</v>
      </c>
      <c r="Z256" s="91">
        <f t="shared" si="11"/>
        <v>3.1749779993045606</v>
      </c>
      <c r="AA256" s="91">
        <f t="shared" si="12"/>
        <v>12.649977999304561</v>
      </c>
      <c r="AB256" s="91">
        <f t="shared" si="13"/>
        <v>2.3715456265338379</v>
      </c>
      <c r="AC256" s="509">
        <f t="shared" si="14"/>
        <v>0.79468128639492219</v>
      </c>
      <c r="AD256" s="1179">
        <f t="shared" si="15"/>
        <v>366.01695582539458</v>
      </c>
      <c r="AE256" s="1122">
        <f t="shared" si="16"/>
        <v>121492.30549037122</v>
      </c>
      <c r="AF256" s="1122">
        <f t="shared" si="17"/>
        <v>91504.23895634865</v>
      </c>
      <c r="AG256" s="1122">
        <f t="shared" si="18"/>
        <v>30501.412985449551</v>
      </c>
    </row>
    <row r="257" spans="2:33" ht="14.1" customHeight="1">
      <c r="B257" s="2101" t="s">
        <v>3458</v>
      </c>
      <c r="C257" s="1122">
        <v>12693709</v>
      </c>
      <c r="D257" s="1122">
        <v>38658</v>
      </c>
      <c r="E257" s="1122">
        <v>31884</v>
      </c>
      <c r="F257" s="1122">
        <v>20858</v>
      </c>
      <c r="G257">
        <v>528</v>
      </c>
      <c r="H257" s="1122">
        <v>20</v>
      </c>
      <c r="I257" s="91">
        <f t="shared" si="2"/>
        <v>13.2</v>
      </c>
      <c r="J257" s="91">
        <f t="shared" si="3"/>
        <v>2.2727272727272729</v>
      </c>
      <c r="K257" s="1122">
        <f t="shared" si="4"/>
        <v>1464.3181818181818</v>
      </c>
      <c r="L257" s="1019">
        <v>7.85</v>
      </c>
      <c r="M257" s="21">
        <f>AVERAGE(72,64)</f>
        <v>68</v>
      </c>
      <c r="N257" s="824">
        <f t="shared" si="20"/>
        <v>6.9264705882352944</v>
      </c>
      <c r="O257" s="21">
        <f>ROW()</f>
        <v>257</v>
      </c>
      <c r="P257" s="91">
        <f>60*Transit!$I$273/N257+J257</f>
        <v>33.717313259988416</v>
      </c>
      <c r="Q257" s="1122">
        <f t="shared" si="19"/>
        <v>21724.064933410536</v>
      </c>
      <c r="R257" s="21">
        <f t="shared" si="5"/>
        <v>0.88235294117647067</v>
      </c>
      <c r="S257" s="21">
        <f t="shared" si="6"/>
        <v>1.1333333333333333</v>
      </c>
      <c r="T257" s="1122">
        <f t="shared" si="7"/>
        <v>5666.666666666667</v>
      </c>
      <c r="U257" s="21">
        <f>Transit!$K$305/T257</f>
        <v>1.0271987644808871</v>
      </c>
      <c r="V257" s="21">
        <f t="shared" si="8"/>
        <v>14.227198764480887</v>
      </c>
      <c r="W257" s="91">
        <f t="shared" si="9"/>
        <v>2.1086371601763885</v>
      </c>
      <c r="X257" s="509">
        <f t="shared" si="10"/>
        <v>0.16409011255088446</v>
      </c>
      <c r="Y257" s="2128">
        <v>3</v>
      </c>
      <c r="Z257" s="91">
        <f t="shared" si="11"/>
        <v>3.0815962934426615</v>
      </c>
      <c r="AA257" s="91">
        <f t="shared" si="12"/>
        <v>16.281596293442661</v>
      </c>
      <c r="AB257" s="91">
        <f t="shared" si="13"/>
        <v>1.8425711741840918</v>
      </c>
      <c r="AC257" s="509">
        <f t="shared" si="14"/>
        <v>0.43015609854318115</v>
      </c>
      <c r="AD257" s="1179">
        <f t="shared" si="15"/>
        <v>277.14957429137161</v>
      </c>
      <c r="AE257" s="1122">
        <f t="shared" si="16"/>
        <v>91004.605658041095</v>
      </c>
      <c r="AF257" s="1122">
        <f t="shared" si="17"/>
        <v>69287.393572842906</v>
      </c>
      <c r="AG257" s="1122">
        <f t="shared" si="18"/>
        <v>23095.797857614303</v>
      </c>
    </row>
    <row r="258" spans="2:33" ht="14.1" customHeight="1">
      <c r="B258" s="2101" t="s">
        <v>3467</v>
      </c>
      <c r="C258" s="1122">
        <v>8629476</v>
      </c>
      <c r="D258" s="1122">
        <v>26914</v>
      </c>
      <c r="E258" s="1122">
        <v>18017</v>
      </c>
      <c r="F258" s="1122">
        <v>14590</v>
      </c>
      <c r="G258">
        <v>395</v>
      </c>
      <c r="H258" s="1122">
        <v>20</v>
      </c>
      <c r="I258" s="91">
        <f t="shared" si="2"/>
        <v>9.875</v>
      </c>
      <c r="J258" s="91">
        <f t="shared" si="3"/>
        <v>3.037974683544304</v>
      </c>
      <c r="K258" s="1122">
        <f t="shared" si="4"/>
        <v>1362.7341772151899</v>
      </c>
      <c r="L258" s="1019">
        <v>6.2149999999999999</v>
      </c>
      <c r="M258" s="21">
        <f>AVERAGE(57,59)</f>
        <v>58</v>
      </c>
      <c r="N258" s="824">
        <f t="shared" si="20"/>
        <v>6.4293103448275861</v>
      </c>
      <c r="O258" s="21">
        <f>ROW()</f>
        <v>258</v>
      </c>
      <c r="P258" s="91">
        <f>60*Transit!$I$273/N258+J258</f>
        <v>36.914080878234572</v>
      </c>
      <c r="Q258" s="1122">
        <f t="shared" si="19"/>
        <v>16558.42621261342</v>
      </c>
      <c r="R258" s="21">
        <f t="shared" si="5"/>
        <v>1.0344827586206897</v>
      </c>
      <c r="S258" s="21">
        <f t="shared" si="6"/>
        <v>0.96666666666666656</v>
      </c>
      <c r="T258" s="1122">
        <f t="shared" si="7"/>
        <v>4833.333333333333</v>
      </c>
      <c r="U258" s="21">
        <f>Transit!$K$305/T258</f>
        <v>1.2043019997362125</v>
      </c>
      <c r="V258" s="21">
        <f t="shared" si="8"/>
        <v>11.079301999736213</v>
      </c>
      <c r="W258" s="91">
        <f t="shared" si="9"/>
        <v>2.707751806089794</v>
      </c>
      <c r="X258" s="509">
        <f t="shared" si="10"/>
        <v>0.33022287745450996</v>
      </c>
      <c r="Y258" s="2128">
        <v>2</v>
      </c>
      <c r="Z258" s="91">
        <f t="shared" si="11"/>
        <v>2.4086039994724251</v>
      </c>
      <c r="AA258" s="91">
        <f t="shared" si="12"/>
        <v>12.283603999472426</v>
      </c>
      <c r="AB258" s="91">
        <f t="shared" si="13"/>
        <v>2.4422799694038071</v>
      </c>
      <c r="AC258" s="509">
        <f t="shared" si="14"/>
        <v>0.59569471414049691</v>
      </c>
      <c r="AD258" s="1179">
        <f t="shared" si="15"/>
        <v>267.20879227295558</v>
      </c>
      <c r="AE258" s="1122">
        <f t="shared" si="16"/>
        <v>85675.553983371312</v>
      </c>
      <c r="AF258" s="1122">
        <f t="shared" si="17"/>
        <v>66802.198068238897</v>
      </c>
      <c r="AG258" s="1122">
        <f t="shared" si="18"/>
        <v>33401.099034119448</v>
      </c>
    </row>
    <row r="259" spans="2:33" ht="14.1" customHeight="1">
      <c r="B259" s="2101" t="s">
        <v>3462</v>
      </c>
      <c r="C259" s="1122">
        <v>9803254</v>
      </c>
      <c r="D259" s="1122">
        <v>30521</v>
      </c>
      <c r="E259" s="1122">
        <v>20671</v>
      </c>
      <c r="F259" s="1122">
        <v>16571</v>
      </c>
      <c r="G259">
        <v>407</v>
      </c>
      <c r="H259" s="1122">
        <v>20</v>
      </c>
      <c r="I259" s="91">
        <f t="shared" si="2"/>
        <v>10.175000000000001</v>
      </c>
      <c r="J259" s="91">
        <f t="shared" si="3"/>
        <v>2.9484029484029484</v>
      </c>
      <c r="K259" s="1122">
        <f t="shared" si="4"/>
        <v>1499.8034398034397</v>
      </c>
      <c r="L259" s="1019">
        <v>7.51</v>
      </c>
      <c r="M259" s="21">
        <f>AVERAGE(73,66)</f>
        <v>69.5</v>
      </c>
      <c r="N259" s="824">
        <f t="shared" si="20"/>
        <v>6.4834532374100711</v>
      </c>
      <c r="O259" s="21">
        <f>ROW()</f>
        <v>259</v>
      </c>
      <c r="P259" s="91">
        <f>60*Transit!$I$273/N259+J259</f>
        <v>36.541612002996828</v>
      </c>
      <c r="Q259" s="1122">
        <f t="shared" si="19"/>
        <v>18588.108999057771</v>
      </c>
      <c r="R259" s="21">
        <f t="shared" si="5"/>
        <v>0.86330935251798557</v>
      </c>
      <c r="S259" s="21">
        <f t="shared" si="6"/>
        <v>1.1583333333333334</v>
      </c>
      <c r="T259" s="1122">
        <f t="shared" si="7"/>
        <v>5791.666666666667</v>
      </c>
      <c r="U259" s="21">
        <f>Transit!$K$305/T259</f>
        <v>1.0050290069741055</v>
      </c>
      <c r="V259" s="21">
        <f t="shared" si="8"/>
        <v>11.180029006974106</v>
      </c>
      <c r="W259" s="91">
        <f t="shared" si="9"/>
        <v>2.6833561864004101</v>
      </c>
      <c r="X259" s="509">
        <f t="shared" si="10"/>
        <v>0.26504676200253829</v>
      </c>
      <c r="Y259" s="2128">
        <v>2</v>
      </c>
      <c r="Z259" s="91">
        <f t="shared" si="11"/>
        <v>2.0100580139482109</v>
      </c>
      <c r="AA259" s="91">
        <f t="shared" si="12"/>
        <v>12.185058013948211</v>
      </c>
      <c r="AB259" s="91">
        <f t="shared" si="13"/>
        <v>2.4620317741334561</v>
      </c>
      <c r="AC259" s="509">
        <f t="shared" si="14"/>
        <v>0.48637117426949228</v>
      </c>
      <c r="AD259" s="1179">
        <f t="shared" si="15"/>
        <v>247.40891016465289</v>
      </c>
      <c r="AE259" s="1122">
        <f t="shared" si="16"/>
        <v>79467.002660701619</v>
      </c>
      <c r="AF259" s="1122">
        <f t="shared" si="17"/>
        <v>61852.227541163222</v>
      </c>
      <c r="AG259" s="1122">
        <f t="shared" si="18"/>
        <v>30926.113770581611</v>
      </c>
    </row>
    <row r="260" spans="2:33" ht="14.1" customHeight="1">
      <c r="B260" s="2101" t="s">
        <v>3472</v>
      </c>
      <c r="C260" s="1122">
        <v>10620992</v>
      </c>
      <c r="D260" s="1122">
        <v>34329</v>
      </c>
      <c r="E260" s="1122">
        <v>20498</v>
      </c>
      <c r="F260" s="1122">
        <v>14240</v>
      </c>
      <c r="G260">
        <v>324</v>
      </c>
      <c r="H260" s="1122">
        <f>20</f>
        <v>20</v>
      </c>
      <c r="I260" s="91">
        <f t="shared" si="2"/>
        <v>8.1</v>
      </c>
      <c r="J260" s="91">
        <f t="shared" si="3"/>
        <v>3.7037037037037037</v>
      </c>
      <c r="K260" s="1122">
        <f t="shared" si="4"/>
        <v>2119.0740740740739</v>
      </c>
      <c r="L260" s="1019">
        <v>10.51</v>
      </c>
      <c r="M260" s="21">
        <f>AVERAGE(108,102)</f>
        <v>105</v>
      </c>
      <c r="N260" s="824">
        <f t="shared" si="20"/>
        <v>6.0057142857142853</v>
      </c>
      <c r="O260" s="21">
        <f>ROW()</f>
        <v>260</v>
      </c>
      <c r="P260" s="91">
        <f>60*Transit!$I$273/N260+J260</f>
        <v>39.969165168974875</v>
      </c>
      <c r="Q260" s="1122">
        <f t="shared" si="19"/>
        <v>22868.357851428973</v>
      </c>
      <c r="R260" s="21">
        <f t="shared" si="5"/>
        <v>0.5714285714285714</v>
      </c>
      <c r="S260" s="21">
        <f t="shared" si="6"/>
        <v>1.75</v>
      </c>
      <c r="T260" s="1122">
        <f t="shared" si="7"/>
        <v>8750</v>
      </c>
      <c r="U260" s="21">
        <f>Transit!$K$305/T260</f>
        <v>0.66523348556857453</v>
      </c>
      <c r="V260" s="21">
        <f t="shared" si="8"/>
        <v>8.7652334855685741</v>
      </c>
      <c r="W260" s="91">
        <f t="shared" si="9"/>
        <v>3.4226127631845955</v>
      </c>
      <c r="X260" s="509">
        <f t="shared" si="10"/>
        <v>0.28109094051910821</v>
      </c>
      <c r="Y260" s="2128">
        <v>2</v>
      </c>
      <c r="Z260" s="91">
        <f t="shared" si="11"/>
        <v>1.3304669711371491</v>
      </c>
      <c r="AA260" s="91">
        <f t="shared" si="12"/>
        <v>9.4304669711371485</v>
      </c>
      <c r="AB260" s="91">
        <f t="shared" si="13"/>
        <v>3.1811786300527731</v>
      </c>
      <c r="AC260" s="509">
        <f t="shared" si="14"/>
        <v>0.52252507365093059</v>
      </c>
      <c r="AD260" s="1179">
        <f t="shared" si="15"/>
        <v>298.96272088937991</v>
      </c>
      <c r="AE260" s="1122">
        <f t="shared" si="16"/>
        <v>92495.577117432404</v>
      </c>
      <c r="AF260" s="1122">
        <f t="shared" si="17"/>
        <v>74740.680222344978</v>
      </c>
      <c r="AG260" s="1122">
        <f t="shared" si="18"/>
        <v>37370.340111172489</v>
      </c>
    </row>
    <row r="261" spans="2:33" ht="14.1" customHeight="1">
      <c r="B261" s="2101" t="s">
        <v>3457</v>
      </c>
      <c r="C261" s="1122">
        <v>12853601</v>
      </c>
      <c r="D261" s="1122">
        <v>38864</v>
      </c>
      <c r="E261" s="1122">
        <v>31216</v>
      </c>
      <c r="F261" s="1122">
        <v>23241</v>
      </c>
      <c r="G261">
        <v>541</v>
      </c>
      <c r="H261" s="1122">
        <v>20</v>
      </c>
      <c r="I261" s="91">
        <f t="shared" si="2"/>
        <v>13.525</v>
      </c>
      <c r="J261" s="91">
        <f t="shared" si="3"/>
        <v>2.2181146025878005</v>
      </c>
      <c r="K261" s="1122">
        <f t="shared" si="4"/>
        <v>1436.7467652495382</v>
      </c>
      <c r="L261" s="1019">
        <v>6.65</v>
      </c>
      <c r="M261" s="21">
        <f>AVERAGE(46, 47)</f>
        <v>46.5</v>
      </c>
      <c r="N261" s="824">
        <f t="shared" si="20"/>
        <v>8.5806451612903221</v>
      </c>
      <c r="O261" s="21">
        <f>ROW()</f>
        <v>261</v>
      </c>
      <c r="P261" s="91">
        <f>60*Transit!$I$273/N261+J261</f>
        <v>27.600821369505091</v>
      </c>
      <c r="Q261" s="1122">
        <f t="shared" si="19"/>
        <v>17877.972028407432</v>
      </c>
      <c r="R261" s="21">
        <f t="shared" si="5"/>
        <v>1.2903225806451613</v>
      </c>
      <c r="S261" s="21">
        <f t="shared" si="6"/>
        <v>0.77500000000000002</v>
      </c>
      <c r="T261" s="1122">
        <f t="shared" si="7"/>
        <v>3875</v>
      </c>
      <c r="U261" s="21">
        <f>Transit!$K$305/T261</f>
        <v>1.5021401287032328</v>
      </c>
      <c r="V261" s="21">
        <f t="shared" si="8"/>
        <v>15.027140128703234</v>
      </c>
      <c r="W261" s="91">
        <f t="shared" si="9"/>
        <v>1.9963878517840672</v>
      </c>
      <c r="X261" s="509">
        <f t="shared" si="10"/>
        <v>0.22172675080373327</v>
      </c>
      <c r="Y261" s="2128">
        <v>2</v>
      </c>
      <c r="Z261" s="91">
        <f t="shared" si="11"/>
        <v>3.0042802574064655</v>
      </c>
      <c r="AA261" s="91">
        <f t="shared" si="12"/>
        <v>16.529280257406466</v>
      </c>
      <c r="AB261" s="91">
        <f t="shared" si="13"/>
        <v>1.8149610589703415</v>
      </c>
      <c r="AC261" s="509">
        <f t="shared" si="14"/>
        <v>0.40315354361745892</v>
      </c>
      <c r="AD261" s="1179">
        <f t="shared" si="15"/>
        <v>261.13598865248207</v>
      </c>
      <c r="AE261" s="1122">
        <f t="shared" si="16"/>
        <v>86366.246523248556</v>
      </c>
      <c r="AF261" s="1122">
        <f t="shared" si="17"/>
        <v>65283.997163120512</v>
      </c>
      <c r="AG261" s="1122">
        <f t="shared" si="18"/>
        <v>32641.998581560256</v>
      </c>
    </row>
    <row r="262" spans="2:33" ht="14.1" customHeight="1">
      <c r="B262" s="2101" t="s">
        <v>3470</v>
      </c>
      <c r="C262" s="1122">
        <v>7571819</v>
      </c>
      <c r="D262" s="1122">
        <v>23010</v>
      </c>
      <c r="E262" s="1122">
        <v>16969</v>
      </c>
      <c r="F262" s="1122">
        <v>14353</v>
      </c>
      <c r="G262">
        <v>306</v>
      </c>
      <c r="H262" s="1122">
        <v>20</v>
      </c>
      <c r="I262" s="91">
        <f t="shared" si="2"/>
        <v>7.65</v>
      </c>
      <c r="J262" s="91">
        <f t="shared" si="3"/>
        <v>3.9215686274509802</v>
      </c>
      <c r="K262" s="1122">
        <f t="shared" si="4"/>
        <v>1503.9215686274508</v>
      </c>
      <c r="L262" s="1019">
        <v>13.96</v>
      </c>
      <c r="M262" s="21">
        <f>AVERAGE(67,81)</f>
        <v>74</v>
      </c>
      <c r="N262" s="824">
        <f t="shared" si="20"/>
        <v>11.31891891891892</v>
      </c>
      <c r="O262" s="21">
        <f>ROW()</f>
        <v>262</v>
      </c>
      <c r="P262" s="91">
        <f>60*Transit!$I$273/N262+J262</f>
        <v>23.163688971290519</v>
      </c>
      <c r="Q262" s="1122">
        <f t="shared" si="19"/>
        <v>8883.2747204899151</v>
      </c>
      <c r="R262" s="21">
        <f t="shared" si="5"/>
        <v>0.81081081081081086</v>
      </c>
      <c r="S262" s="21">
        <f t="shared" si="6"/>
        <v>1.2333333333333332</v>
      </c>
      <c r="T262" s="1122">
        <f t="shared" si="7"/>
        <v>6166.6666666666661</v>
      </c>
      <c r="U262" s="21">
        <f>Transit!$K$305/T262</f>
        <v>0.9439123781716261</v>
      </c>
      <c r="V262" s="21">
        <f t="shared" si="8"/>
        <v>8.5939123781716269</v>
      </c>
      <c r="W262" s="91">
        <f t="shared" si="9"/>
        <v>3.490843131726526</v>
      </c>
      <c r="X262" s="509">
        <f t="shared" si="10"/>
        <v>0.43072549572445418</v>
      </c>
      <c r="Y262" s="2128">
        <v>2</v>
      </c>
      <c r="Z262" s="91">
        <f t="shared" si="11"/>
        <v>1.8878247563432522</v>
      </c>
      <c r="AA262" s="91">
        <f t="shared" si="12"/>
        <v>9.5378247563432517</v>
      </c>
      <c r="AB262" s="91">
        <f t="shared" si="13"/>
        <v>3.1453712734707269</v>
      </c>
      <c r="AC262" s="509">
        <f t="shared" si="14"/>
        <v>0.77619735398025336</v>
      </c>
      <c r="AD262" s="1179">
        <f t="shared" si="15"/>
        <v>297.67168525142716</v>
      </c>
      <c r="AE262" s="1122">
        <f t="shared" si="16"/>
        <v>97953.76454362346</v>
      </c>
      <c r="AF262" s="1122">
        <f t="shared" si="17"/>
        <v>74417.921312856779</v>
      </c>
      <c r="AG262" s="1122">
        <f t="shared" si="18"/>
        <v>37208.960656428389</v>
      </c>
    </row>
    <row r="263" spans="2:33" ht="14.1" customHeight="1">
      <c r="B263" s="2101" t="s">
        <v>5754</v>
      </c>
      <c r="C263" s="1122">
        <v>8332419</v>
      </c>
      <c r="D263" s="1122">
        <v>25359</v>
      </c>
      <c r="E263" s="1122">
        <v>18228</v>
      </c>
      <c r="F263" s="1122">
        <v>16055</v>
      </c>
      <c r="G263">
        <v>325</v>
      </c>
      <c r="H263" s="1122">
        <v>20</v>
      </c>
      <c r="I263" s="91">
        <f t="shared" si="2"/>
        <v>8.125</v>
      </c>
      <c r="J263" s="91">
        <f t="shared" si="3"/>
        <v>3.6923076923076925</v>
      </c>
      <c r="K263" s="1122">
        <f t="shared" si="4"/>
        <v>1560.5538461538463</v>
      </c>
      <c r="L263" s="1019">
        <v>14.005000000000001</v>
      </c>
      <c r="M263" s="21">
        <f>AVERAGE(83,87,76,76)</f>
        <v>80.5</v>
      </c>
      <c r="N263" s="824">
        <f t="shared" si="20"/>
        <v>10.438509316770189</v>
      </c>
      <c r="O263" s="21">
        <f>ROW()</f>
        <v>263</v>
      </c>
      <c r="P263" s="91">
        <f>60*Transit!$I$273/N263+J263</f>
        <v>24.557355889380162</v>
      </c>
      <c r="Q263" s="1122">
        <f t="shared" si="19"/>
        <v>10379.166466646526</v>
      </c>
      <c r="R263" s="21">
        <f t="shared" si="5"/>
        <v>0.74534161490683237</v>
      </c>
      <c r="S263" s="21">
        <f t="shared" si="6"/>
        <v>1.3416666666666666</v>
      </c>
      <c r="T263" s="1122">
        <f t="shared" si="7"/>
        <v>6708.333333333333</v>
      </c>
      <c r="U263" s="21">
        <f>Transit!$K$305/T263</f>
        <v>0.86769585074161903</v>
      </c>
      <c r="V263" s="21">
        <f t="shared" si="8"/>
        <v>8.9926958507416188</v>
      </c>
      <c r="W263" s="91">
        <f t="shared" si="9"/>
        <v>3.3360407710804463</v>
      </c>
      <c r="X263" s="509">
        <f t="shared" si="10"/>
        <v>0.35626692122724624</v>
      </c>
      <c r="Y263" s="2128">
        <v>2</v>
      </c>
      <c r="Z263" s="91">
        <f t="shared" si="11"/>
        <v>1.7353917014832381</v>
      </c>
      <c r="AA263" s="91">
        <f t="shared" si="12"/>
        <v>9.8603917014832376</v>
      </c>
      <c r="AB263" s="91">
        <f t="shared" si="13"/>
        <v>3.0424754825396323</v>
      </c>
      <c r="AC263" s="509">
        <f t="shared" si="14"/>
        <v>0.64983220976806022</v>
      </c>
      <c r="AD263" s="1179">
        <f t="shared" si="15"/>
        <v>274.65158345847067</v>
      </c>
      <c r="AE263" s="1122">
        <f t="shared" si="16"/>
        <v>90244.570858056177</v>
      </c>
      <c r="AF263" s="1122">
        <f t="shared" si="17"/>
        <v>68662.895864617676</v>
      </c>
      <c r="AG263" s="1122">
        <f t="shared" si="18"/>
        <v>34331.447932308838</v>
      </c>
    </row>
    <row r="264" spans="2:33" ht="14.1" customHeight="1">
      <c r="B264" s="2101" t="s">
        <v>3455</v>
      </c>
      <c r="C264" s="1122">
        <v>14046274</v>
      </c>
      <c r="D264" s="1122">
        <v>44035</v>
      </c>
      <c r="E264" s="1122">
        <v>29345</v>
      </c>
      <c r="F264" s="1122">
        <v>22624</v>
      </c>
      <c r="G264">
        <v>556</v>
      </c>
      <c r="H264" s="1122">
        <v>20</v>
      </c>
      <c r="I264" s="91">
        <f t="shared" si="2"/>
        <v>13.9</v>
      </c>
      <c r="J264" s="91">
        <f t="shared" si="3"/>
        <v>2.1582733812949639</v>
      </c>
      <c r="K264" s="1122">
        <f t="shared" si="4"/>
        <v>1583.9928057553957</v>
      </c>
      <c r="L264" s="1019">
        <v>10.58</v>
      </c>
      <c r="M264" s="21">
        <f>AVERAGE(65,65)</f>
        <v>65</v>
      </c>
      <c r="N264" s="824">
        <f t="shared" si="20"/>
        <v>9.7661538461538466</v>
      </c>
      <c r="O264" s="21">
        <f>ROW()</f>
        <v>264</v>
      </c>
      <c r="P264" s="91">
        <f>60*Transit!$I$273/N264+J264</f>
        <v>24.459785668629557</v>
      </c>
      <c r="Q264" s="1122">
        <f t="shared" si="19"/>
        <v>17951.444365301708</v>
      </c>
      <c r="R264" s="21">
        <f t="shared" si="5"/>
        <v>0.92307692307692313</v>
      </c>
      <c r="S264" s="21">
        <f t="shared" si="6"/>
        <v>1.0833333333333333</v>
      </c>
      <c r="T264" s="1122">
        <f t="shared" si="7"/>
        <v>5416.6666666666661</v>
      </c>
      <c r="U264" s="21">
        <f>Transit!$K$305/T264</f>
        <v>1.0746079382261591</v>
      </c>
      <c r="V264" s="21">
        <f t="shared" si="8"/>
        <v>14.974607938226159</v>
      </c>
      <c r="W264" s="91">
        <f t="shared" si="9"/>
        <v>2.0033913491262796</v>
      </c>
      <c r="X264" s="509">
        <f t="shared" si="10"/>
        <v>0.15488203216868435</v>
      </c>
      <c r="Y264" s="2128">
        <v>1</v>
      </c>
      <c r="Z264" s="91">
        <f t="shared" si="11"/>
        <v>1.0746079382261591</v>
      </c>
      <c r="AA264" s="91">
        <f t="shared" si="12"/>
        <v>14.974607938226159</v>
      </c>
      <c r="AB264" s="91">
        <f t="shared" si="13"/>
        <v>2.0033913491262796</v>
      </c>
      <c r="AC264" s="509">
        <f t="shared" si="14"/>
        <v>0.15488203216868435</v>
      </c>
      <c r="AD264" s="1179">
        <f t="shared" si="15"/>
        <v>113.67050477580025</v>
      </c>
      <c r="AE264" s="1122">
        <f t="shared" si="16"/>
        <v>36258.591025302572</v>
      </c>
      <c r="AF264" s="1122">
        <f t="shared" si="17"/>
        <v>28417.626193950062</v>
      </c>
      <c r="AG264" s="1122">
        <f t="shared" si="18"/>
        <v>28417.626193950062</v>
      </c>
    </row>
    <row r="265" spans="2:33" ht="14.1" customHeight="1">
      <c r="B265" s="2101" t="s">
        <v>3456</v>
      </c>
      <c r="C265" s="1122">
        <v>13391324</v>
      </c>
      <c r="D265" s="1122">
        <v>41723</v>
      </c>
      <c r="E265" s="1122">
        <v>28642</v>
      </c>
      <c r="F265" s="1122">
        <v>22269</v>
      </c>
      <c r="G265">
        <v>568</v>
      </c>
      <c r="H265" s="1122">
        <v>20</v>
      </c>
      <c r="I265" s="91">
        <f t="shared" si="2"/>
        <v>14.2</v>
      </c>
      <c r="J265" s="91">
        <f t="shared" si="3"/>
        <v>2.1126760563380285</v>
      </c>
      <c r="K265" s="1122">
        <f t="shared" si="4"/>
        <v>1469.1197183098593</v>
      </c>
      <c r="L265" s="1019">
        <v>9.93</v>
      </c>
      <c r="M265" s="21">
        <f>AVERAGE(66,63)</f>
        <v>64.5</v>
      </c>
      <c r="N265" s="824">
        <f t="shared" si="20"/>
        <v>9.2372093023255815</v>
      </c>
      <c r="O265" s="21">
        <f>ROW()</f>
        <v>265</v>
      </c>
      <c r="P265" s="91">
        <f>60*Transit!$I$273/N265+J265</f>
        <v>25.691225905280625</v>
      </c>
      <c r="Q265" s="1122">
        <f t="shared" si="19"/>
        <v>17865.250307433726</v>
      </c>
      <c r="R265" s="21">
        <f t="shared" si="5"/>
        <v>0.93023255813953487</v>
      </c>
      <c r="S265" s="21">
        <f t="shared" si="6"/>
        <v>1.075</v>
      </c>
      <c r="T265" s="1122">
        <f t="shared" si="7"/>
        <v>5375</v>
      </c>
      <c r="U265" s="21">
        <f>Transit!$K$305/T265</f>
        <v>1.0829382323209353</v>
      </c>
      <c r="V265" s="21">
        <f t="shared" si="8"/>
        <v>15.282938232320934</v>
      </c>
      <c r="W265" s="91">
        <f t="shared" si="9"/>
        <v>1.9629733199179507</v>
      </c>
      <c r="X265" s="509">
        <f t="shared" si="10"/>
        <v>0.14970273642007781</v>
      </c>
      <c r="Y265" s="2128">
        <v>1</v>
      </c>
      <c r="Z265" s="91">
        <f t="shared" si="11"/>
        <v>1.0829382323209353</v>
      </c>
      <c r="AA265" s="91">
        <f t="shared" si="12"/>
        <v>15.282938232320934</v>
      </c>
      <c r="AB265" s="91">
        <f t="shared" si="13"/>
        <v>1.9629733199179507</v>
      </c>
      <c r="AC265" s="509">
        <f t="shared" si="14"/>
        <v>0.14970273642007781</v>
      </c>
      <c r="AD265" s="1179">
        <f t="shared" si="15"/>
        <v>104.1007878609151</v>
      </c>
      <c r="AE265" s="1122">
        <f t="shared" si="16"/>
        <v>33411.964118131036</v>
      </c>
      <c r="AF265" s="1122">
        <f t="shared" si="17"/>
        <v>26025.196965228777</v>
      </c>
      <c r="AG265" s="1122">
        <f t="shared" si="18"/>
        <v>26025.196965228777</v>
      </c>
    </row>
    <row r="266" spans="2:33" ht="14.1" customHeight="1">
      <c r="B266" s="2101" t="s">
        <v>3460</v>
      </c>
      <c r="C266" s="1122">
        <v>12036852</v>
      </c>
      <c r="D266" s="1122">
        <v>37913</v>
      </c>
      <c r="E266" s="1122">
        <v>24531</v>
      </c>
      <c r="F266" s="1122">
        <v>19363</v>
      </c>
      <c r="G266">
        <v>651</v>
      </c>
      <c r="H266" s="1122">
        <f>20</f>
        <v>20</v>
      </c>
      <c r="I266" s="91">
        <f t="shared" si="2"/>
        <v>16.274999999999999</v>
      </c>
      <c r="J266" s="91">
        <f t="shared" si="3"/>
        <v>1.8433179723502306</v>
      </c>
      <c r="K266" s="1122">
        <f t="shared" si="4"/>
        <v>1164.7619047619048</v>
      </c>
      <c r="L266" s="1019">
        <v>3.7450000000000001</v>
      </c>
      <c r="M266" s="21">
        <f>AVERAGE(38,46)</f>
        <v>42</v>
      </c>
      <c r="N266" s="824">
        <f t="shared" si="20"/>
        <v>5.3500000000000005</v>
      </c>
      <c r="O266" s="21">
        <f>ROW()</f>
        <v>266</v>
      </c>
      <c r="P266" s="91">
        <f>60*Transit!$I$273/N266+J266</f>
        <v>42.553598346182</v>
      </c>
      <c r="Q266" s="1122">
        <f t="shared" si="19"/>
        <v>26888.909568313302</v>
      </c>
      <c r="R266" s="21">
        <f t="shared" si="5"/>
        <v>1.4285714285714286</v>
      </c>
      <c r="S266" s="21">
        <f t="shared" si="6"/>
        <v>0.7</v>
      </c>
      <c r="T266" s="1122">
        <f t="shared" si="7"/>
        <v>3500</v>
      </c>
      <c r="U266" s="21">
        <f>Transit!$K$305/T266</f>
        <v>1.6630837139214363</v>
      </c>
      <c r="V266" s="21">
        <f t="shared" si="8"/>
        <v>17.938083713921436</v>
      </c>
      <c r="W266" s="91">
        <f t="shared" si="9"/>
        <v>1.6724194444871232</v>
      </c>
      <c r="X266" s="509">
        <f t="shared" si="10"/>
        <v>0.17089852786310744</v>
      </c>
      <c r="Y266" s="2128">
        <v>1</v>
      </c>
      <c r="Z266" s="91">
        <f t="shared" si="11"/>
        <v>1.6630837139214363</v>
      </c>
      <c r="AA266" s="91">
        <f t="shared" si="12"/>
        <v>17.938083713921436</v>
      </c>
      <c r="AB266" s="91">
        <f t="shared" si="13"/>
        <v>1.6724194444871232</v>
      </c>
      <c r="AC266" s="509">
        <f t="shared" si="14"/>
        <v>0.17089852786310744</v>
      </c>
      <c r="AD266" s="1179">
        <f t="shared" si="15"/>
        <v>107.98793144789987</v>
      </c>
      <c r="AE266" s="1122">
        <f t="shared" si="16"/>
        <v>34284.671448435009</v>
      </c>
      <c r="AF266" s="1122">
        <f t="shared" si="17"/>
        <v>26996.982861974968</v>
      </c>
      <c r="AG266" s="1122">
        <f t="shared" si="18"/>
        <v>26996.982861974968</v>
      </c>
    </row>
    <row r="267" spans="2:33" ht="14.1" customHeight="1">
      <c r="B267" s="2101" t="s">
        <v>3459</v>
      </c>
      <c r="C267" s="1122">
        <v>12586548</v>
      </c>
      <c r="D267" s="1122">
        <v>40188</v>
      </c>
      <c r="E267" s="1122">
        <v>25347</v>
      </c>
      <c r="F267" s="1122">
        <v>17941</v>
      </c>
      <c r="G267">
        <v>494</v>
      </c>
      <c r="H267" s="1122">
        <v>20</v>
      </c>
      <c r="I267" s="91">
        <f t="shared" si="2"/>
        <v>12.35</v>
      </c>
      <c r="J267" s="91">
        <f t="shared" si="3"/>
        <v>2.4291497975708505</v>
      </c>
      <c r="K267" s="1122">
        <f t="shared" si="4"/>
        <v>1627.0445344129555</v>
      </c>
      <c r="L267" s="1019">
        <v>7.7949999999999999</v>
      </c>
      <c r="M267" s="21">
        <f>AVERAGE(69,59)</f>
        <v>64</v>
      </c>
      <c r="N267" s="824">
        <f t="shared" si="20"/>
        <v>7.3078124999999998</v>
      </c>
      <c r="O267" s="21">
        <f>ROW()</f>
        <v>267</v>
      </c>
      <c r="P267" s="91">
        <f>60*Transit!$I$273/N267+J267</f>
        <v>32.232870131117991</v>
      </c>
      <c r="Q267" s="1122">
        <f t="shared" si="19"/>
        <v>21589.57641382283</v>
      </c>
      <c r="R267" s="21">
        <f t="shared" si="5"/>
        <v>0.9375</v>
      </c>
      <c r="S267" s="21">
        <f t="shared" si="6"/>
        <v>1.0666666666666667</v>
      </c>
      <c r="T267" s="1122">
        <f t="shared" si="7"/>
        <v>5333.333333333333</v>
      </c>
      <c r="U267" s="21">
        <f>Transit!$K$305/T267</f>
        <v>1.0913986872609427</v>
      </c>
      <c r="V267" s="21">
        <f t="shared" si="8"/>
        <v>13.441398687260943</v>
      </c>
      <c r="W267" s="91">
        <f t="shared" si="9"/>
        <v>2.2319105844566933</v>
      </c>
      <c r="X267" s="509">
        <f t="shared" si="10"/>
        <v>0.19723921311415715</v>
      </c>
      <c r="Y267" s="2128">
        <v>1</v>
      </c>
      <c r="Z267" s="91">
        <f t="shared" si="11"/>
        <v>1.0913986872609427</v>
      </c>
      <c r="AA267" s="91">
        <f t="shared" si="12"/>
        <v>13.441398687260943</v>
      </c>
      <c r="AB267" s="91">
        <f t="shared" si="13"/>
        <v>2.2319105844566933</v>
      </c>
      <c r="AC267" s="509">
        <f t="shared" si="14"/>
        <v>0.19723921311415715</v>
      </c>
      <c r="AD267" s="1179">
        <f t="shared" si="15"/>
        <v>132.11082494386247</v>
      </c>
      <c r="AE267" s="1122">
        <f t="shared" si="16"/>
        <v>41376.01372239281</v>
      </c>
      <c r="AF267" s="1122">
        <f t="shared" si="17"/>
        <v>33027.706235965619</v>
      </c>
      <c r="AG267" s="1122">
        <f t="shared" si="18"/>
        <v>33027.706235965619</v>
      </c>
    </row>
    <row r="268" spans="2:33" ht="14.1" customHeight="1">
      <c r="B268" s="2101" t="s">
        <v>3452</v>
      </c>
      <c r="C268" s="1122">
        <v>16816652</v>
      </c>
      <c r="D268" s="1122">
        <v>51745</v>
      </c>
      <c r="E268" s="1122">
        <v>39201</v>
      </c>
      <c r="F268" s="1122">
        <v>27823</v>
      </c>
      <c r="G268">
        <v>792</v>
      </c>
      <c r="H268" s="1122">
        <v>20</v>
      </c>
      <c r="I268" s="91">
        <f t="shared" si="2"/>
        <v>19.8</v>
      </c>
      <c r="J268" s="91">
        <f t="shared" si="3"/>
        <v>1.5151515151515151</v>
      </c>
      <c r="K268" s="1122">
        <f t="shared" si="4"/>
        <v>1306.6919191919192</v>
      </c>
      <c r="L268" s="1019">
        <v>7.8650000000000002</v>
      </c>
      <c r="M268" s="21">
        <f>AVERAGE(52,47)</f>
        <v>49.5</v>
      </c>
      <c r="N268" s="824">
        <f t="shared" si="20"/>
        <v>9.533333333333335</v>
      </c>
      <c r="O268" s="21">
        <f>ROW()</f>
        <v>268</v>
      </c>
      <c r="P268" s="91">
        <f>60*Transit!$I$273/N268+J268</f>
        <v>24.361305361305355</v>
      </c>
      <c r="Q268" s="1122">
        <f t="shared" si="19"/>
        <v>21009.595765345763</v>
      </c>
      <c r="R268" s="21">
        <f t="shared" si="5"/>
        <v>1.2121212121212124</v>
      </c>
      <c r="S268" s="21">
        <f t="shared" si="6"/>
        <v>0.82499999999999984</v>
      </c>
      <c r="T268" s="1122">
        <f t="shared" si="7"/>
        <v>4124.9999999999991</v>
      </c>
      <c r="U268" s="21">
        <f>Transit!$K$305/T268</f>
        <v>1.4111013330242494</v>
      </c>
      <c r="V268" s="21">
        <f t="shared" si="8"/>
        <v>21.211101333024249</v>
      </c>
      <c r="W268" s="91">
        <f t="shared" si="9"/>
        <v>1.4143537164330091</v>
      </c>
      <c r="X268" s="509">
        <f t="shared" si="10"/>
        <v>0.10079779871850603</v>
      </c>
      <c r="Y268" s="2128">
        <v>1</v>
      </c>
      <c r="Z268" s="91">
        <f t="shared" si="11"/>
        <v>1.4111013330242494</v>
      </c>
      <c r="AA268" s="91">
        <f t="shared" si="12"/>
        <v>21.211101333024249</v>
      </c>
      <c r="AB268" s="91">
        <f t="shared" si="13"/>
        <v>1.4143537164330091</v>
      </c>
      <c r="AC268" s="509">
        <f t="shared" si="14"/>
        <v>0.10079779871850603</v>
      </c>
      <c r="AD268" s="1179">
        <f t="shared" si="15"/>
        <v>86.929701578151565</v>
      </c>
      <c r="AE268" s="1122">
        <f t="shared" si="16"/>
        <v>28251.358390252695</v>
      </c>
      <c r="AF268" s="1122">
        <f t="shared" si="17"/>
        <v>21732.425394537895</v>
      </c>
      <c r="AG268" s="1122">
        <f t="shared" si="18"/>
        <v>21732.425394537895</v>
      </c>
    </row>
    <row r="269" spans="2:33" ht="14.1" customHeight="1">
      <c r="O269" s="21">
        <f>ROW()</f>
        <v>269</v>
      </c>
    </row>
    <row r="270" spans="2:33" ht="14.1" customHeight="1">
      <c r="B270" s="2" t="s">
        <v>5777</v>
      </c>
      <c r="C270" s="3281">
        <f>SUM(C249:C268)</f>
        <v>209319220</v>
      </c>
      <c r="D270" s="2641">
        <f>SUM(D249:D268)</f>
        <v>651044</v>
      </c>
      <c r="E270" s="2641">
        <f>SUM(E249:E268)</f>
        <v>453626</v>
      </c>
      <c r="F270" s="2641">
        <f>SUM(F249:F268)</f>
        <v>346786</v>
      </c>
      <c r="G270" s="2641">
        <f>SUM(G249:G268)</f>
        <v>8367</v>
      </c>
      <c r="I270" s="2641"/>
      <c r="K270" s="2641">
        <f>SUM(K249:K268)</f>
        <v>32428.808132900285</v>
      </c>
      <c r="O270" s="21">
        <f>ROW()</f>
        <v>270</v>
      </c>
      <c r="Q270" s="2641">
        <f>SUM(Q249:Q268)</f>
        <v>363348.88987088908</v>
      </c>
      <c r="Y270" s="2122">
        <f>SUM(Y249:Y268)</f>
        <v>50</v>
      </c>
      <c r="AA270" s="3283"/>
      <c r="AB270" s="3284" t="s">
        <v>5783</v>
      </c>
      <c r="AC270" s="3282">
        <f>AD270*'Value of Time'!J69*'Value of Time'!G69*Constants!J7/1000000</f>
        <v>12.087359390300454</v>
      </c>
      <c r="AD270" s="2641">
        <f>SUM(AD249:AD268)</f>
        <v>7597.170006593482</v>
      </c>
    </row>
    <row r="271" spans="2:33" ht="14.1" customHeight="1">
      <c r="O271" s="21">
        <f>ROW()</f>
        <v>271</v>
      </c>
      <c r="AF271" s="1122"/>
    </row>
    <row r="272" spans="2:33" ht="14.1" customHeight="1">
      <c r="O272" s="21">
        <f>ROW()</f>
        <v>272</v>
      </c>
      <c r="Q272" s="2116"/>
      <c r="R272" s="2116"/>
      <c r="S272" s="2117"/>
      <c r="T272" s="2118"/>
      <c r="U272" s="2119"/>
      <c r="V272" s="2119"/>
      <c r="W272" s="2119"/>
      <c r="X272" s="2119"/>
      <c r="Y272" s="2119"/>
      <c r="Z272" s="2119"/>
      <c r="AA272" s="2119"/>
      <c r="AB272" s="2119"/>
      <c r="AC272" s="2120" t="s">
        <v>5784</v>
      </c>
      <c r="AD272" s="2121">
        <f>AD270/Q270</f>
        <v>2.090874698775887E-2</v>
      </c>
      <c r="AE272" s="1179"/>
    </row>
    <row r="273" spans="15:31" ht="14.1" customHeight="1">
      <c r="O273" s="21">
        <f>ROW()</f>
        <v>273</v>
      </c>
      <c r="AD273" s="3276" t="str">
        <f>CONCATENATE("Calculated as passengers' saved hours in Cell AD",$O$270, ", divided by all passenger hours for those bus lines in Cell Q",O270, ".")</f>
        <v>Calculated as passengers' saved hours in Cell AD270, divided by all passenger hours for those bus lines in Cell Q270.</v>
      </c>
    </row>
    <row r="274" spans="15:31" ht="14.1" customHeight="1">
      <c r="O274" s="21">
        <f>ROW()</f>
        <v>274</v>
      </c>
      <c r="P274" s="2110"/>
      <c r="Q274" s="2111"/>
      <c r="R274" s="2111"/>
      <c r="S274" s="2111"/>
      <c r="T274" s="2112"/>
      <c r="U274" s="2113"/>
      <c r="V274" s="2113"/>
      <c r="W274" s="2113"/>
      <c r="X274" s="2113"/>
      <c r="Y274" s="2113"/>
      <c r="Z274" s="2113"/>
      <c r="AA274" s="2113"/>
      <c r="AB274" s="2113"/>
      <c r="AC274" s="2114" t="s">
        <v>5785</v>
      </c>
      <c r="AD274" s="2115">
        <f>AD272*C270/(J15*1000000)</f>
        <v>6.1860107571095916E-3</v>
      </c>
      <c r="AE274" s="1122"/>
    </row>
    <row r="275" spans="15:31" ht="14.1" customHeight="1">
      <c r="O275" s="21">
        <f>ROW()</f>
        <v>275</v>
      </c>
      <c r="AD275" s="3276" t="str">
        <f>CONCATENATE("Percent shown in Row ",$O$272, ", prorated by ratio of annual passengers for those bus lines in Row ",O270, " to annual passengers for all bus lines in Row ",O15, ".")</f>
        <v>Percent shown in Row 272, prorated by ratio of annual passengers for those bus lines in Row 270 to annual passengers for all bus lines in Row 15.</v>
      </c>
    </row>
    <row r="276" spans="15:31" ht="14.1" customHeight="1">
      <c r="AD276" s="509"/>
    </row>
  </sheetData>
  <customSheetViews>
    <customSheetView guid="{BD5E6263-A0AD-4076-921A-D4EBD62848EF}" showGridLines="0" showRuler="0" topLeftCell="A96">
      <selection activeCell="B122" sqref="B122"/>
      <pageMargins left="0.75" right="0.75" top="1" bottom="1" header="0.5" footer="0.5"/>
      <pageSetup orientation="portrait" r:id="rId1"/>
      <headerFooter alignWithMargins="0"/>
    </customSheetView>
    <customSheetView guid="{1D5AE30A-CA7C-4B32-AEA4-9F37A560AAA8}" showGridLines="0" showRuler="0" topLeftCell="A96">
      <selection activeCell="B122" sqref="B122"/>
      <pageMargins left="0.75" right="0.75" top="1" bottom="1" header="0.5" footer="0.5"/>
      <pageSetup orientation="portrait" r:id="rId2"/>
      <headerFooter alignWithMargins="0"/>
    </customSheetView>
  </customSheetViews>
  <mergeCells count="69">
    <mergeCell ref="K195:M203"/>
    <mergeCell ref="R242:R243"/>
    <mergeCell ref="I245:I247"/>
    <mergeCell ref="B230:K233"/>
    <mergeCell ref="F245:F247"/>
    <mergeCell ref="G245:G247"/>
    <mergeCell ref="H245:H247"/>
    <mergeCell ref="C222:K223"/>
    <mergeCell ref="D245:D247"/>
    <mergeCell ref="R245:R247"/>
    <mergeCell ref="E245:E247"/>
    <mergeCell ref="P245:P247"/>
    <mergeCell ref="J245:J247"/>
    <mergeCell ref="B241:H243"/>
    <mergeCell ref="I242:I243"/>
    <mergeCell ref="J242:J243"/>
    <mergeCell ref="P232:P243"/>
    <mergeCell ref="K245:K247"/>
    <mergeCell ref="L245:L247"/>
    <mergeCell ref="N245:N247"/>
    <mergeCell ref="L238:L243"/>
    <mergeCell ref="M245:M247"/>
    <mergeCell ref="M232:M243"/>
    <mergeCell ref="N241:N243"/>
    <mergeCell ref="S242:S243"/>
    <mergeCell ref="Y245:Y247"/>
    <mergeCell ref="U232:U243"/>
    <mergeCell ref="V242:V243"/>
    <mergeCell ref="W242:W243"/>
    <mergeCell ref="X242:X243"/>
    <mergeCell ref="T245:T247"/>
    <mergeCell ref="U245:U247"/>
    <mergeCell ref="V245:V247"/>
    <mergeCell ref="W245:W247"/>
    <mergeCell ref="S245:S247"/>
    <mergeCell ref="T241:T243"/>
    <mergeCell ref="X245:X247"/>
    <mergeCell ref="AG245:AG247"/>
    <mergeCell ref="Y233:Y243"/>
    <mergeCell ref="Z240:Z243"/>
    <mergeCell ref="AA242:AA243"/>
    <mergeCell ref="AB242:AB243"/>
    <mergeCell ref="AC242:AC243"/>
    <mergeCell ref="AD242:AD243"/>
    <mergeCell ref="AF245:AF247"/>
    <mergeCell ref="AE242:AE243"/>
    <mergeCell ref="AE245:AE247"/>
    <mergeCell ref="AC245:AC247"/>
    <mergeCell ref="AD245:AD247"/>
    <mergeCell ref="AB245:AB247"/>
    <mergeCell ref="AA245:AA247"/>
    <mergeCell ref="Z245:Z247"/>
    <mergeCell ref="AF241:AF243"/>
    <mergeCell ref="Q245:Q247"/>
    <mergeCell ref="Q242:Q243"/>
    <mergeCell ref="B6:J8"/>
    <mergeCell ref="J34:J35"/>
    <mergeCell ref="B45:L46"/>
    <mergeCell ref="B52:L53"/>
    <mergeCell ref="D36:G37"/>
    <mergeCell ref="B75:L76"/>
    <mergeCell ref="B96:L97"/>
    <mergeCell ref="B128:L129"/>
    <mergeCell ref="B16:I20"/>
    <mergeCell ref="B26:I27"/>
    <mergeCell ref="K170:K171"/>
    <mergeCell ref="M179:N183"/>
    <mergeCell ref="C245:C247"/>
    <mergeCell ref="K242:K243"/>
  </mergeCells>
  <phoneticPr fontId="6" type="noConversion"/>
  <pageMargins left="0.75" right="0.75" top="1" bottom="1" header="0.5" footer="0.5"/>
  <pageSetup orientation="portrait" r:id="rId3"/>
  <headerFooter alignWithMargins="0"/>
  <drawing r:id="rId4"/>
</worksheet>
</file>

<file path=xl/worksheets/sheet26.xml><?xml version="1.0" encoding="utf-8"?>
<worksheet xmlns="http://schemas.openxmlformats.org/spreadsheetml/2006/main" xmlns:r="http://schemas.openxmlformats.org/officeDocument/2006/relationships">
  <sheetPr codeName="Sheet54"/>
  <dimension ref="B1:O326"/>
  <sheetViews>
    <sheetView workbookViewId="0"/>
  </sheetViews>
  <sheetFormatPr defaultColWidth="12.75" defaultRowHeight="15" customHeight="1"/>
  <cols>
    <col min="1" max="1" width="2.75" style="2370" customWidth="1"/>
    <col min="2" max="7" width="12.75" style="2370" customWidth="1"/>
    <col min="8" max="8" width="12.75" style="2371" customWidth="1"/>
    <col min="9" max="14" width="12.75" style="2370" customWidth="1"/>
    <col min="15" max="15" width="1.75" style="2370" customWidth="1"/>
    <col min="16" max="16" width="10.625" style="2370" bestFit="1" customWidth="1"/>
    <col min="17" max="256" width="12.75" style="2370"/>
    <col min="257" max="257" width="2.75" style="2370" customWidth="1"/>
    <col min="258" max="270" width="12.75" style="2370" customWidth="1"/>
    <col min="271" max="271" width="1.75" style="2370" customWidth="1"/>
    <col min="272" max="272" width="10.625" style="2370" bestFit="1" customWidth="1"/>
    <col min="273" max="512" width="12.75" style="2370"/>
    <col min="513" max="513" width="2.75" style="2370" customWidth="1"/>
    <col min="514" max="526" width="12.75" style="2370" customWidth="1"/>
    <col min="527" max="527" width="1.75" style="2370" customWidth="1"/>
    <col min="528" max="528" width="10.625" style="2370" bestFit="1" customWidth="1"/>
    <col min="529" max="768" width="12.75" style="2370"/>
    <col min="769" max="769" width="2.75" style="2370" customWidth="1"/>
    <col min="770" max="782" width="12.75" style="2370" customWidth="1"/>
    <col min="783" max="783" width="1.75" style="2370" customWidth="1"/>
    <col min="784" max="784" width="10.625" style="2370" bestFit="1" customWidth="1"/>
    <col min="785" max="1024" width="12.75" style="2370"/>
    <col min="1025" max="1025" width="2.75" style="2370" customWidth="1"/>
    <col min="1026" max="1038" width="12.75" style="2370" customWidth="1"/>
    <col min="1039" max="1039" width="1.75" style="2370" customWidth="1"/>
    <col min="1040" max="1040" width="10.625" style="2370" bestFit="1" customWidth="1"/>
    <col min="1041" max="1280" width="12.75" style="2370"/>
    <col min="1281" max="1281" width="2.75" style="2370" customWidth="1"/>
    <col min="1282" max="1294" width="12.75" style="2370" customWidth="1"/>
    <col min="1295" max="1295" width="1.75" style="2370" customWidth="1"/>
    <col min="1296" max="1296" width="10.625" style="2370" bestFit="1" customWidth="1"/>
    <col min="1297" max="1536" width="12.75" style="2370"/>
    <col min="1537" max="1537" width="2.75" style="2370" customWidth="1"/>
    <col min="1538" max="1550" width="12.75" style="2370" customWidth="1"/>
    <col min="1551" max="1551" width="1.75" style="2370" customWidth="1"/>
    <col min="1552" max="1552" width="10.625" style="2370" bestFit="1" customWidth="1"/>
    <col min="1553" max="1792" width="12.75" style="2370"/>
    <col min="1793" max="1793" width="2.75" style="2370" customWidth="1"/>
    <col min="1794" max="1806" width="12.75" style="2370" customWidth="1"/>
    <col min="1807" max="1807" width="1.75" style="2370" customWidth="1"/>
    <col min="1808" max="1808" width="10.625" style="2370" bestFit="1" customWidth="1"/>
    <col min="1809" max="2048" width="12.75" style="2370"/>
    <col min="2049" max="2049" width="2.75" style="2370" customWidth="1"/>
    <col min="2050" max="2062" width="12.75" style="2370" customWidth="1"/>
    <col min="2063" max="2063" width="1.75" style="2370" customWidth="1"/>
    <col min="2064" max="2064" width="10.625" style="2370" bestFit="1" customWidth="1"/>
    <col min="2065" max="2304" width="12.75" style="2370"/>
    <col min="2305" max="2305" width="2.75" style="2370" customWidth="1"/>
    <col min="2306" max="2318" width="12.75" style="2370" customWidth="1"/>
    <col min="2319" max="2319" width="1.75" style="2370" customWidth="1"/>
    <col min="2320" max="2320" width="10.625" style="2370" bestFit="1" customWidth="1"/>
    <col min="2321" max="2560" width="12.75" style="2370"/>
    <col min="2561" max="2561" width="2.75" style="2370" customWidth="1"/>
    <col min="2562" max="2574" width="12.75" style="2370" customWidth="1"/>
    <col min="2575" max="2575" width="1.75" style="2370" customWidth="1"/>
    <col min="2576" max="2576" width="10.625" style="2370" bestFit="1" customWidth="1"/>
    <col min="2577" max="2816" width="12.75" style="2370"/>
    <col min="2817" max="2817" width="2.75" style="2370" customWidth="1"/>
    <col min="2818" max="2830" width="12.75" style="2370" customWidth="1"/>
    <col min="2831" max="2831" width="1.75" style="2370" customWidth="1"/>
    <col min="2832" max="2832" width="10.625" style="2370" bestFit="1" customWidth="1"/>
    <col min="2833" max="3072" width="12.75" style="2370"/>
    <col min="3073" max="3073" width="2.75" style="2370" customWidth="1"/>
    <col min="3074" max="3086" width="12.75" style="2370" customWidth="1"/>
    <col min="3087" max="3087" width="1.75" style="2370" customWidth="1"/>
    <col min="3088" max="3088" width="10.625" style="2370" bestFit="1" customWidth="1"/>
    <col min="3089" max="3328" width="12.75" style="2370"/>
    <col min="3329" max="3329" width="2.75" style="2370" customWidth="1"/>
    <col min="3330" max="3342" width="12.75" style="2370" customWidth="1"/>
    <col min="3343" max="3343" width="1.75" style="2370" customWidth="1"/>
    <col min="3344" max="3344" width="10.625" style="2370" bestFit="1" customWidth="1"/>
    <col min="3345" max="3584" width="12.75" style="2370"/>
    <col min="3585" max="3585" width="2.75" style="2370" customWidth="1"/>
    <col min="3586" max="3598" width="12.75" style="2370" customWidth="1"/>
    <col min="3599" max="3599" width="1.75" style="2370" customWidth="1"/>
    <col min="3600" max="3600" width="10.625" style="2370" bestFit="1" customWidth="1"/>
    <col min="3601" max="3840" width="12.75" style="2370"/>
    <col min="3841" max="3841" width="2.75" style="2370" customWidth="1"/>
    <col min="3842" max="3854" width="12.75" style="2370" customWidth="1"/>
    <col min="3855" max="3855" width="1.75" style="2370" customWidth="1"/>
    <col min="3856" max="3856" width="10.625" style="2370" bestFit="1" customWidth="1"/>
    <col min="3857" max="4096" width="12.75" style="2370"/>
    <col min="4097" max="4097" width="2.75" style="2370" customWidth="1"/>
    <col min="4098" max="4110" width="12.75" style="2370" customWidth="1"/>
    <col min="4111" max="4111" width="1.75" style="2370" customWidth="1"/>
    <col min="4112" max="4112" width="10.625" style="2370" bestFit="1" customWidth="1"/>
    <col min="4113" max="4352" width="12.75" style="2370"/>
    <col min="4353" max="4353" width="2.75" style="2370" customWidth="1"/>
    <col min="4354" max="4366" width="12.75" style="2370" customWidth="1"/>
    <col min="4367" max="4367" width="1.75" style="2370" customWidth="1"/>
    <col min="4368" max="4368" width="10.625" style="2370" bestFit="1" customWidth="1"/>
    <col min="4369" max="4608" width="12.75" style="2370"/>
    <col min="4609" max="4609" width="2.75" style="2370" customWidth="1"/>
    <col min="4610" max="4622" width="12.75" style="2370" customWidth="1"/>
    <col min="4623" max="4623" width="1.75" style="2370" customWidth="1"/>
    <col min="4624" max="4624" width="10.625" style="2370" bestFit="1" customWidth="1"/>
    <col min="4625" max="4864" width="12.75" style="2370"/>
    <col min="4865" max="4865" width="2.75" style="2370" customWidth="1"/>
    <col min="4866" max="4878" width="12.75" style="2370" customWidth="1"/>
    <col min="4879" max="4879" width="1.75" style="2370" customWidth="1"/>
    <col min="4880" max="4880" width="10.625" style="2370" bestFit="1" customWidth="1"/>
    <col min="4881" max="5120" width="12.75" style="2370"/>
    <col min="5121" max="5121" width="2.75" style="2370" customWidth="1"/>
    <col min="5122" max="5134" width="12.75" style="2370" customWidth="1"/>
    <col min="5135" max="5135" width="1.75" style="2370" customWidth="1"/>
    <col min="5136" max="5136" width="10.625" style="2370" bestFit="1" customWidth="1"/>
    <col min="5137" max="5376" width="12.75" style="2370"/>
    <col min="5377" max="5377" width="2.75" style="2370" customWidth="1"/>
    <col min="5378" max="5390" width="12.75" style="2370" customWidth="1"/>
    <col min="5391" max="5391" width="1.75" style="2370" customWidth="1"/>
    <col min="5392" max="5392" width="10.625" style="2370" bestFit="1" customWidth="1"/>
    <col min="5393" max="5632" width="12.75" style="2370"/>
    <col min="5633" max="5633" width="2.75" style="2370" customWidth="1"/>
    <col min="5634" max="5646" width="12.75" style="2370" customWidth="1"/>
    <col min="5647" max="5647" width="1.75" style="2370" customWidth="1"/>
    <col min="5648" max="5648" width="10.625" style="2370" bestFit="1" customWidth="1"/>
    <col min="5649" max="5888" width="12.75" style="2370"/>
    <col min="5889" max="5889" width="2.75" style="2370" customWidth="1"/>
    <col min="5890" max="5902" width="12.75" style="2370" customWidth="1"/>
    <col min="5903" max="5903" width="1.75" style="2370" customWidth="1"/>
    <col min="5904" max="5904" width="10.625" style="2370" bestFit="1" customWidth="1"/>
    <col min="5905" max="6144" width="12.75" style="2370"/>
    <col min="6145" max="6145" width="2.75" style="2370" customWidth="1"/>
    <col min="6146" max="6158" width="12.75" style="2370" customWidth="1"/>
    <col min="6159" max="6159" width="1.75" style="2370" customWidth="1"/>
    <col min="6160" max="6160" width="10.625" style="2370" bestFit="1" customWidth="1"/>
    <col min="6161" max="6400" width="12.75" style="2370"/>
    <col min="6401" max="6401" width="2.75" style="2370" customWidth="1"/>
    <col min="6402" max="6414" width="12.75" style="2370" customWidth="1"/>
    <col min="6415" max="6415" width="1.75" style="2370" customWidth="1"/>
    <col min="6416" max="6416" width="10.625" style="2370" bestFit="1" customWidth="1"/>
    <col min="6417" max="6656" width="12.75" style="2370"/>
    <col min="6657" max="6657" width="2.75" style="2370" customWidth="1"/>
    <col min="6658" max="6670" width="12.75" style="2370" customWidth="1"/>
    <col min="6671" max="6671" width="1.75" style="2370" customWidth="1"/>
    <col min="6672" max="6672" width="10.625" style="2370" bestFit="1" customWidth="1"/>
    <col min="6673" max="6912" width="12.75" style="2370"/>
    <col min="6913" max="6913" width="2.75" style="2370" customWidth="1"/>
    <col min="6914" max="6926" width="12.75" style="2370" customWidth="1"/>
    <col min="6927" max="6927" width="1.75" style="2370" customWidth="1"/>
    <col min="6928" max="6928" width="10.625" style="2370" bestFit="1" customWidth="1"/>
    <col min="6929" max="7168" width="12.75" style="2370"/>
    <col min="7169" max="7169" width="2.75" style="2370" customWidth="1"/>
    <col min="7170" max="7182" width="12.75" style="2370" customWidth="1"/>
    <col min="7183" max="7183" width="1.75" style="2370" customWidth="1"/>
    <col min="7184" max="7184" width="10.625" style="2370" bestFit="1" customWidth="1"/>
    <col min="7185" max="7424" width="12.75" style="2370"/>
    <col min="7425" max="7425" width="2.75" style="2370" customWidth="1"/>
    <col min="7426" max="7438" width="12.75" style="2370" customWidth="1"/>
    <col min="7439" max="7439" width="1.75" style="2370" customWidth="1"/>
    <col min="7440" max="7440" width="10.625" style="2370" bestFit="1" customWidth="1"/>
    <col min="7441" max="7680" width="12.75" style="2370"/>
    <col min="7681" max="7681" width="2.75" style="2370" customWidth="1"/>
    <col min="7682" max="7694" width="12.75" style="2370" customWidth="1"/>
    <col min="7695" max="7695" width="1.75" style="2370" customWidth="1"/>
    <col min="7696" max="7696" width="10.625" style="2370" bestFit="1" customWidth="1"/>
    <col min="7697" max="7936" width="12.75" style="2370"/>
    <col min="7937" max="7937" width="2.75" style="2370" customWidth="1"/>
    <col min="7938" max="7950" width="12.75" style="2370" customWidth="1"/>
    <col min="7951" max="7951" width="1.75" style="2370" customWidth="1"/>
    <col min="7952" max="7952" width="10.625" style="2370" bestFit="1" customWidth="1"/>
    <col min="7953" max="8192" width="12.75" style="2370"/>
    <col min="8193" max="8193" width="2.75" style="2370" customWidth="1"/>
    <col min="8194" max="8206" width="12.75" style="2370" customWidth="1"/>
    <col min="8207" max="8207" width="1.75" style="2370" customWidth="1"/>
    <col min="8208" max="8208" width="10.625" style="2370" bestFit="1" customWidth="1"/>
    <col min="8209" max="8448" width="12.75" style="2370"/>
    <col min="8449" max="8449" width="2.75" style="2370" customWidth="1"/>
    <col min="8450" max="8462" width="12.75" style="2370" customWidth="1"/>
    <col min="8463" max="8463" width="1.75" style="2370" customWidth="1"/>
    <col min="8464" max="8464" width="10.625" style="2370" bestFit="1" customWidth="1"/>
    <col min="8465" max="8704" width="12.75" style="2370"/>
    <col min="8705" max="8705" width="2.75" style="2370" customWidth="1"/>
    <col min="8706" max="8718" width="12.75" style="2370" customWidth="1"/>
    <col min="8719" max="8719" width="1.75" style="2370" customWidth="1"/>
    <col min="8720" max="8720" width="10.625" style="2370" bestFit="1" customWidth="1"/>
    <col min="8721" max="8960" width="12.75" style="2370"/>
    <col min="8961" max="8961" width="2.75" style="2370" customWidth="1"/>
    <col min="8962" max="8974" width="12.75" style="2370" customWidth="1"/>
    <col min="8975" max="8975" width="1.75" style="2370" customWidth="1"/>
    <col min="8976" max="8976" width="10.625" style="2370" bestFit="1" customWidth="1"/>
    <col min="8977" max="9216" width="12.75" style="2370"/>
    <col min="9217" max="9217" width="2.75" style="2370" customWidth="1"/>
    <col min="9218" max="9230" width="12.75" style="2370" customWidth="1"/>
    <col min="9231" max="9231" width="1.75" style="2370" customWidth="1"/>
    <col min="9232" max="9232" width="10.625" style="2370" bestFit="1" customWidth="1"/>
    <col min="9233" max="9472" width="12.75" style="2370"/>
    <col min="9473" max="9473" width="2.75" style="2370" customWidth="1"/>
    <col min="9474" max="9486" width="12.75" style="2370" customWidth="1"/>
    <col min="9487" max="9487" width="1.75" style="2370" customWidth="1"/>
    <col min="9488" max="9488" width="10.625" style="2370" bestFit="1" customWidth="1"/>
    <col min="9489" max="9728" width="12.75" style="2370"/>
    <col min="9729" max="9729" width="2.75" style="2370" customWidth="1"/>
    <col min="9730" max="9742" width="12.75" style="2370" customWidth="1"/>
    <col min="9743" max="9743" width="1.75" style="2370" customWidth="1"/>
    <col min="9744" max="9744" width="10.625" style="2370" bestFit="1" customWidth="1"/>
    <col min="9745" max="9984" width="12.75" style="2370"/>
    <col min="9985" max="9985" width="2.75" style="2370" customWidth="1"/>
    <col min="9986" max="9998" width="12.75" style="2370" customWidth="1"/>
    <col min="9999" max="9999" width="1.75" style="2370" customWidth="1"/>
    <col min="10000" max="10000" width="10.625" style="2370" bestFit="1" customWidth="1"/>
    <col min="10001" max="10240" width="12.75" style="2370"/>
    <col min="10241" max="10241" width="2.75" style="2370" customWidth="1"/>
    <col min="10242" max="10254" width="12.75" style="2370" customWidth="1"/>
    <col min="10255" max="10255" width="1.75" style="2370" customWidth="1"/>
    <col min="10256" max="10256" width="10.625" style="2370" bestFit="1" customWidth="1"/>
    <col min="10257" max="10496" width="12.75" style="2370"/>
    <col min="10497" max="10497" width="2.75" style="2370" customWidth="1"/>
    <col min="10498" max="10510" width="12.75" style="2370" customWidth="1"/>
    <col min="10511" max="10511" width="1.75" style="2370" customWidth="1"/>
    <col min="10512" max="10512" width="10.625" style="2370" bestFit="1" customWidth="1"/>
    <col min="10513" max="10752" width="12.75" style="2370"/>
    <col min="10753" max="10753" width="2.75" style="2370" customWidth="1"/>
    <col min="10754" max="10766" width="12.75" style="2370" customWidth="1"/>
    <col min="10767" max="10767" width="1.75" style="2370" customWidth="1"/>
    <col min="10768" max="10768" width="10.625" style="2370" bestFit="1" customWidth="1"/>
    <col min="10769" max="11008" width="12.75" style="2370"/>
    <col min="11009" max="11009" width="2.75" style="2370" customWidth="1"/>
    <col min="11010" max="11022" width="12.75" style="2370" customWidth="1"/>
    <col min="11023" max="11023" width="1.75" style="2370" customWidth="1"/>
    <col min="11024" max="11024" width="10.625" style="2370" bestFit="1" customWidth="1"/>
    <col min="11025" max="11264" width="12.75" style="2370"/>
    <col min="11265" max="11265" width="2.75" style="2370" customWidth="1"/>
    <col min="11266" max="11278" width="12.75" style="2370" customWidth="1"/>
    <col min="11279" max="11279" width="1.75" style="2370" customWidth="1"/>
    <col min="11280" max="11280" width="10.625" style="2370" bestFit="1" customWidth="1"/>
    <col min="11281" max="11520" width="12.75" style="2370"/>
    <col min="11521" max="11521" width="2.75" style="2370" customWidth="1"/>
    <col min="11522" max="11534" width="12.75" style="2370" customWidth="1"/>
    <col min="11535" max="11535" width="1.75" style="2370" customWidth="1"/>
    <col min="11536" max="11536" width="10.625" style="2370" bestFit="1" customWidth="1"/>
    <col min="11537" max="11776" width="12.75" style="2370"/>
    <col min="11777" max="11777" width="2.75" style="2370" customWidth="1"/>
    <col min="11778" max="11790" width="12.75" style="2370" customWidth="1"/>
    <col min="11791" max="11791" width="1.75" style="2370" customWidth="1"/>
    <col min="11792" max="11792" width="10.625" style="2370" bestFit="1" customWidth="1"/>
    <col min="11793" max="12032" width="12.75" style="2370"/>
    <col min="12033" max="12033" width="2.75" style="2370" customWidth="1"/>
    <col min="12034" max="12046" width="12.75" style="2370" customWidth="1"/>
    <col min="12047" max="12047" width="1.75" style="2370" customWidth="1"/>
    <col min="12048" max="12048" width="10.625" style="2370" bestFit="1" customWidth="1"/>
    <col min="12049" max="12288" width="12.75" style="2370"/>
    <col min="12289" max="12289" width="2.75" style="2370" customWidth="1"/>
    <col min="12290" max="12302" width="12.75" style="2370" customWidth="1"/>
    <col min="12303" max="12303" width="1.75" style="2370" customWidth="1"/>
    <col min="12304" max="12304" width="10.625" style="2370" bestFit="1" customWidth="1"/>
    <col min="12305" max="12544" width="12.75" style="2370"/>
    <col min="12545" max="12545" width="2.75" style="2370" customWidth="1"/>
    <col min="12546" max="12558" width="12.75" style="2370" customWidth="1"/>
    <col min="12559" max="12559" width="1.75" style="2370" customWidth="1"/>
    <col min="12560" max="12560" width="10.625" style="2370" bestFit="1" customWidth="1"/>
    <col min="12561" max="12800" width="12.75" style="2370"/>
    <col min="12801" max="12801" width="2.75" style="2370" customWidth="1"/>
    <col min="12802" max="12814" width="12.75" style="2370" customWidth="1"/>
    <col min="12815" max="12815" width="1.75" style="2370" customWidth="1"/>
    <col min="12816" max="12816" width="10.625" style="2370" bestFit="1" customWidth="1"/>
    <col min="12817" max="13056" width="12.75" style="2370"/>
    <col min="13057" max="13057" width="2.75" style="2370" customWidth="1"/>
    <col min="13058" max="13070" width="12.75" style="2370" customWidth="1"/>
    <col min="13071" max="13071" width="1.75" style="2370" customWidth="1"/>
    <col min="13072" max="13072" width="10.625" style="2370" bestFit="1" customWidth="1"/>
    <col min="13073" max="13312" width="12.75" style="2370"/>
    <col min="13313" max="13313" width="2.75" style="2370" customWidth="1"/>
    <col min="13314" max="13326" width="12.75" style="2370" customWidth="1"/>
    <col min="13327" max="13327" width="1.75" style="2370" customWidth="1"/>
    <col min="13328" max="13328" width="10.625" style="2370" bestFit="1" customWidth="1"/>
    <col min="13329" max="13568" width="12.75" style="2370"/>
    <col min="13569" max="13569" width="2.75" style="2370" customWidth="1"/>
    <col min="13570" max="13582" width="12.75" style="2370" customWidth="1"/>
    <col min="13583" max="13583" width="1.75" style="2370" customWidth="1"/>
    <col min="13584" max="13584" width="10.625" style="2370" bestFit="1" customWidth="1"/>
    <col min="13585" max="13824" width="12.75" style="2370"/>
    <col min="13825" max="13825" width="2.75" style="2370" customWidth="1"/>
    <col min="13826" max="13838" width="12.75" style="2370" customWidth="1"/>
    <col min="13839" max="13839" width="1.75" style="2370" customWidth="1"/>
    <col min="13840" max="13840" width="10.625" style="2370" bestFit="1" customWidth="1"/>
    <col min="13841" max="14080" width="12.75" style="2370"/>
    <col min="14081" max="14081" width="2.75" style="2370" customWidth="1"/>
    <col min="14082" max="14094" width="12.75" style="2370" customWidth="1"/>
    <col min="14095" max="14095" width="1.75" style="2370" customWidth="1"/>
    <col min="14096" max="14096" width="10.625" style="2370" bestFit="1" customWidth="1"/>
    <col min="14097" max="14336" width="12.75" style="2370"/>
    <col min="14337" max="14337" width="2.75" style="2370" customWidth="1"/>
    <col min="14338" max="14350" width="12.75" style="2370" customWidth="1"/>
    <col min="14351" max="14351" width="1.75" style="2370" customWidth="1"/>
    <col min="14352" max="14352" width="10.625" style="2370" bestFit="1" customWidth="1"/>
    <col min="14353" max="14592" width="12.75" style="2370"/>
    <col min="14593" max="14593" width="2.75" style="2370" customWidth="1"/>
    <col min="14594" max="14606" width="12.75" style="2370" customWidth="1"/>
    <col min="14607" max="14607" width="1.75" style="2370" customWidth="1"/>
    <col min="14608" max="14608" width="10.625" style="2370" bestFit="1" customWidth="1"/>
    <col min="14609" max="14848" width="12.75" style="2370"/>
    <col min="14849" max="14849" width="2.75" style="2370" customWidth="1"/>
    <col min="14850" max="14862" width="12.75" style="2370" customWidth="1"/>
    <col min="14863" max="14863" width="1.75" style="2370" customWidth="1"/>
    <col min="14864" max="14864" width="10.625" style="2370" bestFit="1" customWidth="1"/>
    <col min="14865" max="15104" width="12.75" style="2370"/>
    <col min="15105" max="15105" width="2.75" style="2370" customWidth="1"/>
    <col min="15106" max="15118" width="12.75" style="2370" customWidth="1"/>
    <col min="15119" max="15119" width="1.75" style="2370" customWidth="1"/>
    <col min="15120" max="15120" width="10.625" style="2370" bestFit="1" customWidth="1"/>
    <col min="15121" max="15360" width="12.75" style="2370"/>
    <col min="15361" max="15361" width="2.75" style="2370" customWidth="1"/>
    <col min="15362" max="15374" width="12.75" style="2370" customWidth="1"/>
    <col min="15375" max="15375" width="1.75" style="2370" customWidth="1"/>
    <col min="15376" max="15376" width="10.625" style="2370" bestFit="1" customWidth="1"/>
    <col min="15377" max="15616" width="12.75" style="2370"/>
    <col min="15617" max="15617" width="2.75" style="2370" customWidth="1"/>
    <col min="15618" max="15630" width="12.75" style="2370" customWidth="1"/>
    <col min="15631" max="15631" width="1.75" style="2370" customWidth="1"/>
    <col min="15632" max="15632" width="10.625" style="2370" bestFit="1" customWidth="1"/>
    <col min="15633" max="15872" width="12.75" style="2370"/>
    <col min="15873" max="15873" width="2.75" style="2370" customWidth="1"/>
    <col min="15874" max="15886" width="12.75" style="2370" customWidth="1"/>
    <col min="15887" max="15887" width="1.75" style="2370" customWidth="1"/>
    <col min="15888" max="15888" width="10.625" style="2370" bestFit="1" customWidth="1"/>
    <col min="15889" max="16128" width="12.75" style="2370"/>
    <col min="16129" max="16129" width="2.75" style="2370" customWidth="1"/>
    <col min="16130" max="16142" width="12.75" style="2370" customWidth="1"/>
    <col min="16143" max="16143" width="1.75" style="2370" customWidth="1"/>
    <col min="16144" max="16144" width="10.625" style="2370" bestFit="1" customWidth="1"/>
    <col min="16145" max="16384" width="12.75" style="2370"/>
  </cols>
  <sheetData>
    <row r="1" spans="2:15" ht="15" customHeight="1">
      <c r="O1" s="2372">
        <f>ROW()</f>
        <v>1</v>
      </c>
    </row>
    <row r="2" spans="2:15" ht="15" customHeight="1">
      <c r="B2" s="2406" t="s">
        <v>4249</v>
      </c>
      <c r="L2" s="2407">
        <f>'Title Page'!K1</f>
        <v>40914</v>
      </c>
      <c r="O2" s="2372">
        <f>ROW()</f>
        <v>2</v>
      </c>
    </row>
    <row r="3" spans="2:15" ht="15" customHeight="1">
      <c r="O3" s="2372">
        <f>ROW()</f>
        <v>3</v>
      </c>
    </row>
    <row r="4" spans="2:15" ht="15" customHeight="1">
      <c r="B4" s="2370" t="s">
        <v>4250</v>
      </c>
      <c r="O4" s="2372">
        <f>ROW()</f>
        <v>4</v>
      </c>
    </row>
    <row r="5" spans="2:15" ht="15" customHeight="1">
      <c r="O5" s="2372">
        <f>ROW()</f>
        <v>5</v>
      </c>
    </row>
    <row r="6" spans="2:15" ht="15" customHeight="1">
      <c r="B6" s="4847" t="s">
        <v>6218</v>
      </c>
      <c r="C6" s="3810"/>
      <c r="D6" s="3810"/>
      <c r="E6" s="3810"/>
      <c r="F6" s="3810"/>
      <c r="G6" s="3810"/>
      <c r="H6" s="3810"/>
      <c r="I6" s="3810"/>
      <c r="O6" s="2372">
        <f>ROW()</f>
        <v>6</v>
      </c>
    </row>
    <row r="7" spans="2:15" ht="15" customHeight="1">
      <c r="B7" s="3810"/>
      <c r="C7" s="3810"/>
      <c r="D7" s="3810"/>
      <c r="E7" s="3810"/>
      <c r="F7" s="3810"/>
      <c r="G7" s="3810"/>
      <c r="H7" s="3810"/>
      <c r="I7" s="3810"/>
      <c r="O7" s="2372">
        <f>ROW()</f>
        <v>7</v>
      </c>
    </row>
    <row r="8" spans="2:15" ht="15" customHeight="1">
      <c r="O8" s="2372">
        <f>ROW()</f>
        <v>8</v>
      </c>
    </row>
    <row r="9" spans="2:15" ht="15" customHeight="1">
      <c r="B9" s="4847" t="s">
        <v>3988</v>
      </c>
      <c r="C9" s="3810"/>
      <c r="D9" s="3810"/>
      <c r="E9" s="3810"/>
      <c r="F9" s="3810"/>
      <c r="G9" s="3810"/>
      <c r="H9" s="3810"/>
      <c r="I9" s="3810"/>
      <c r="O9" s="2372">
        <f>ROW()</f>
        <v>9</v>
      </c>
    </row>
    <row r="10" spans="2:15" ht="15" customHeight="1">
      <c r="B10" s="3810"/>
      <c r="C10" s="3810"/>
      <c r="D10" s="3810"/>
      <c r="E10" s="3810"/>
      <c r="F10" s="3810"/>
      <c r="G10" s="3810"/>
      <c r="H10" s="3810"/>
      <c r="I10" s="3810"/>
      <c r="O10" s="2372">
        <f>ROW()</f>
        <v>10</v>
      </c>
    </row>
    <row r="11" spans="2:15" ht="15" customHeight="1">
      <c r="B11" s="3810"/>
      <c r="C11" s="3810"/>
      <c r="D11" s="3810"/>
      <c r="E11" s="3810"/>
      <c r="F11" s="3810"/>
      <c r="G11" s="3810"/>
      <c r="H11" s="3810"/>
      <c r="I11" s="3810"/>
      <c r="O11" s="2372">
        <f>ROW()</f>
        <v>11</v>
      </c>
    </row>
    <row r="12" spans="2:15" ht="15" customHeight="1">
      <c r="B12" s="2364"/>
      <c r="C12" s="2364"/>
      <c r="D12" s="2364"/>
      <c r="E12" s="2364"/>
      <c r="F12" s="2364"/>
      <c r="G12" s="2364"/>
      <c r="H12" s="2364"/>
      <c r="I12" s="2364"/>
      <c r="O12" s="2372">
        <f>ROW()</f>
        <v>12</v>
      </c>
    </row>
    <row r="13" spans="2:15" ht="15" customHeight="1">
      <c r="O13" s="2372">
        <f>ROW()</f>
        <v>13</v>
      </c>
    </row>
    <row r="14" spans="2:15" ht="15" customHeight="1">
      <c r="B14" s="2373" t="s">
        <v>3989</v>
      </c>
      <c r="C14" s="2373"/>
      <c r="D14" s="4601" t="s">
        <v>4252</v>
      </c>
      <c r="E14" s="4601"/>
      <c r="F14" s="4601"/>
      <c r="G14" s="4601"/>
      <c r="H14" s="4601"/>
      <c r="I14" s="4601"/>
      <c r="J14" s="4601"/>
      <c r="K14" s="4601"/>
      <c r="L14" s="4601"/>
      <c r="M14" s="4601"/>
      <c r="O14" s="2372">
        <f>ROW()</f>
        <v>14</v>
      </c>
    </row>
    <row r="15" spans="2:15" ht="15" customHeight="1">
      <c r="B15" s="2373"/>
      <c r="C15" s="2373"/>
      <c r="D15" s="2374"/>
      <c r="E15" s="2374"/>
      <c r="F15" s="2374"/>
      <c r="G15" s="2374"/>
      <c r="H15" s="2374"/>
      <c r="I15" s="2374"/>
      <c r="J15" s="2374"/>
      <c r="K15" s="2374"/>
      <c r="L15" s="2374"/>
      <c r="M15" s="2374"/>
      <c r="O15" s="2372">
        <f>ROW()</f>
        <v>15</v>
      </c>
    </row>
    <row r="16" spans="2:15" ht="15" customHeight="1">
      <c r="B16" s="2373"/>
      <c r="C16" s="2373"/>
      <c r="D16" s="3539"/>
      <c r="E16" s="3539"/>
      <c r="F16" s="3539"/>
      <c r="G16" s="3539"/>
      <c r="H16" s="4055" t="s">
        <v>6219</v>
      </c>
      <c r="I16" s="3539"/>
      <c r="J16" s="3539"/>
      <c r="K16" s="3539"/>
      <c r="L16" s="3539"/>
      <c r="M16" s="3539"/>
      <c r="O16" s="2372">
        <f>ROW()</f>
        <v>16</v>
      </c>
    </row>
    <row r="17" spans="2:15" ht="15" customHeight="1">
      <c r="B17" s="2370" t="s">
        <v>3990</v>
      </c>
      <c r="H17" s="3807"/>
      <c r="O17" s="2372">
        <f>ROW()</f>
        <v>17</v>
      </c>
    </row>
    <row r="18" spans="2:15" ht="15" customHeight="1">
      <c r="G18" s="4055" t="s">
        <v>3991</v>
      </c>
      <c r="H18" s="3807"/>
      <c r="J18" s="4055" t="s">
        <v>3992</v>
      </c>
      <c r="O18" s="2372">
        <f>ROW()</f>
        <v>18</v>
      </c>
    </row>
    <row r="19" spans="2:15" ht="15" customHeight="1">
      <c r="E19" s="4055" t="s">
        <v>3993</v>
      </c>
      <c r="G19" s="3781"/>
      <c r="H19" s="3807"/>
      <c r="J19" s="3781"/>
      <c r="K19" s="4055" t="s">
        <v>3994</v>
      </c>
      <c r="N19" s="4055" t="s">
        <v>3995</v>
      </c>
      <c r="O19" s="2372">
        <f>ROW()</f>
        <v>19</v>
      </c>
    </row>
    <row r="20" spans="2:15" ht="15" customHeight="1">
      <c r="D20" s="4055" t="s">
        <v>3996</v>
      </c>
      <c r="E20" s="3781"/>
      <c r="G20" s="3781"/>
      <c r="H20" s="3807"/>
      <c r="J20" s="3781"/>
      <c r="K20" s="3781"/>
      <c r="M20" s="4055" t="s">
        <v>3997</v>
      </c>
      <c r="N20" s="3781"/>
      <c r="O20" s="2372">
        <f>ROW()</f>
        <v>20</v>
      </c>
    </row>
    <row r="21" spans="2:15" ht="15" customHeight="1">
      <c r="B21" s="2375" t="s">
        <v>3998</v>
      </c>
      <c r="C21" s="2375"/>
      <c r="D21" s="3781"/>
      <c r="E21" s="3781"/>
      <c r="G21" s="3781"/>
      <c r="H21" s="3807"/>
      <c r="J21" s="3781"/>
      <c r="K21" s="3781"/>
      <c r="M21" s="3781"/>
      <c r="N21" s="3781"/>
      <c r="O21" s="2372">
        <f>ROW()</f>
        <v>21</v>
      </c>
    </row>
    <row r="22" spans="2:15" ht="15" customHeight="1">
      <c r="B22" s="2370" t="s">
        <v>1485</v>
      </c>
      <c r="D22" s="2102">
        <f>E62</f>
        <v>100271192</v>
      </c>
      <c r="E22" s="2376">
        <f>D22/$D$27</f>
        <v>0.17006702888291342</v>
      </c>
      <c r="G22" s="2377">
        <f>F76</f>
        <v>61928303.199999996</v>
      </c>
      <c r="H22" s="2377">
        <f>E78</f>
        <v>2499725.6999999997</v>
      </c>
      <c r="J22" s="2378">
        <f>SUM(D22,G22,H22)</f>
        <v>164699220.89999998</v>
      </c>
      <c r="K22" s="2379">
        <f>J22/$J$27</f>
        <v>0.23066980469654061</v>
      </c>
      <c r="M22" s="2377">
        <v>1391903</v>
      </c>
      <c r="N22" s="2380">
        <f t="shared" ref="N22:N27" si="0">J22/M22</f>
        <v>118.32665128245286</v>
      </c>
      <c r="O22" s="2372">
        <f>ROW()</f>
        <v>22</v>
      </c>
    </row>
    <row r="23" spans="2:15" ht="15" customHeight="1">
      <c r="B23" s="2370" t="s">
        <v>1486</v>
      </c>
      <c r="D23" s="2102">
        <f>E134</f>
        <v>208344217</v>
      </c>
      <c r="E23" s="2376">
        <f>D23/$D$27</f>
        <v>0.35336651797384616</v>
      </c>
      <c r="G23" s="2377">
        <f>F143</f>
        <v>15770694.599999998</v>
      </c>
      <c r="H23" s="2377">
        <f>E145</f>
        <v>4478927.9000000004</v>
      </c>
      <c r="J23" s="2378">
        <f>SUM(D23,G23,H23)</f>
        <v>228593839.5</v>
      </c>
      <c r="K23" s="2379">
        <f>J23/$J$27</f>
        <v>0.32015753337602676</v>
      </c>
      <c r="M23" s="2377">
        <v>2567098</v>
      </c>
      <c r="N23" s="2380">
        <f t="shared" si="0"/>
        <v>89.047570252479645</v>
      </c>
      <c r="O23" s="2372">
        <f>ROW()</f>
        <v>23</v>
      </c>
    </row>
    <row r="24" spans="2:15" ht="15" customHeight="1">
      <c r="B24" s="2370" t="s">
        <v>220</v>
      </c>
      <c r="D24" s="2102">
        <f>E192</f>
        <v>161600574</v>
      </c>
      <c r="E24" s="2376">
        <f>D24/$D$27</f>
        <v>0.27408599556643731</v>
      </c>
      <c r="G24" s="2377">
        <f>F197</f>
        <v>2710238.5</v>
      </c>
      <c r="H24" s="2377">
        <f>E199</f>
        <v>10724904.799999999</v>
      </c>
      <c r="J24" s="2378">
        <f>SUM(D24,G24,H24)</f>
        <v>175035717.30000001</v>
      </c>
      <c r="K24" s="2379">
        <f>J24/$J$27</f>
        <v>0.24514660423940052</v>
      </c>
      <c r="M24" s="2377">
        <v>1629054</v>
      </c>
      <c r="N24" s="2380">
        <f t="shared" si="0"/>
        <v>107.44623401065896</v>
      </c>
      <c r="O24" s="2372">
        <f>ROW()</f>
        <v>24</v>
      </c>
    </row>
    <row r="25" spans="2:15" ht="15" customHeight="1">
      <c r="B25" s="2370" t="s">
        <v>1484</v>
      </c>
      <c r="D25" s="2102">
        <f>E240</f>
        <v>95361299</v>
      </c>
      <c r="E25" s="2376">
        <f>D25/$D$27</f>
        <v>0.1617395033196089</v>
      </c>
      <c r="G25" s="2377">
        <f>F248</f>
        <v>14233855.699999999</v>
      </c>
      <c r="H25" s="2377">
        <f>E250</f>
        <v>5960846.9000000004</v>
      </c>
      <c r="J25" s="2378">
        <f>SUM(D25,G25,H25)</f>
        <v>115556001.60000001</v>
      </c>
      <c r="K25" s="2379">
        <f>J25/$J$27</f>
        <v>0.16184217614951171</v>
      </c>
      <c r="M25" s="2377">
        <v>2306712</v>
      </c>
      <c r="N25" s="2380">
        <f t="shared" si="0"/>
        <v>50.09554794876864</v>
      </c>
      <c r="O25" s="2372">
        <f>ROW()</f>
        <v>25</v>
      </c>
    </row>
    <row r="26" spans="2:15" ht="15" customHeight="1">
      <c r="B26" s="2370" t="s">
        <v>1487</v>
      </c>
      <c r="D26" s="2102">
        <f>E278</f>
        <v>24020788</v>
      </c>
      <c r="E26" s="2376">
        <f>D26/$D$27</f>
        <v>4.0740954257194227E-2</v>
      </c>
      <c r="G26" s="2377">
        <f>F284</f>
        <v>6098682.7000000002</v>
      </c>
      <c r="H26" s="2381" t="s">
        <v>3999</v>
      </c>
      <c r="J26" s="2378">
        <f>SUM(D26,G26)</f>
        <v>30119470.699999999</v>
      </c>
      <c r="K26" s="2379">
        <f>J26/$J$27</f>
        <v>4.2183881538520249E-2</v>
      </c>
      <c r="M26" s="2377">
        <v>491730</v>
      </c>
      <c r="N26" s="2380">
        <f t="shared" si="0"/>
        <v>61.252050312163178</v>
      </c>
      <c r="O26" s="2372">
        <f>ROW()</f>
        <v>26</v>
      </c>
    </row>
    <row r="27" spans="2:15" s="2375" customFormat="1" ht="15" customHeight="1">
      <c r="B27" s="2375" t="s">
        <v>837</v>
      </c>
      <c r="D27" s="2382">
        <f>SUM(D22:D26)</f>
        <v>589598070</v>
      </c>
      <c r="G27" s="2382">
        <f>SUM(G22:G26)</f>
        <v>100741774.7</v>
      </c>
      <c r="H27" s="2382">
        <f>SUM(H22:H26)</f>
        <v>23664405.299999997</v>
      </c>
      <c r="J27" s="2383">
        <f>SUM(J22:J26)</f>
        <v>714004250.00000012</v>
      </c>
      <c r="K27" s="2384">
        <f>SUM(K22:K26)</f>
        <v>0.99999999999999978</v>
      </c>
      <c r="M27" s="2385">
        <f>SUM(M22:M26)</f>
        <v>8386497</v>
      </c>
      <c r="N27" s="2386">
        <f t="shared" si="0"/>
        <v>85.137364265437654</v>
      </c>
      <c r="O27" s="2372">
        <f>ROW()</f>
        <v>27</v>
      </c>
    </row>
    <row r="28" spans="2:15" ht="15" customHeight="1">
      <c r="D28" s="2102"/>
      <c r="H28" s="2387"/>
      <c r="O28" s="2372">
        <f>ROW()</f>
        <v>28</v>
      </c>
    </row>
    <row r="29" spans="2:15" ht="15" customHeight="1">
      <c r="D29" s="2102"/>
      <c r="G29" s="4848" t="str">
        <f>CONCATENATE("agrees with total in Row ",O290, " calculated from summing borough data.")</f>
        <v>agrees with total in Row 290 calculated from summing borough data.</v>
      </c>
      <c r="H29" s="4849"/>
      <c r="I29" s="4204"/>
      <c r="O29" s="2372">
        <f>ROW()</f>
        <v>29</v>
      </c>
    </row>
    <row r="30" spans="2:15" ht="15" customHeight="1">
      <c r="B30" s="2373" t="s">
        <v>4000</v>
      </c>
      <c r="C30" s="2373"/>
      <c r="D30" s="2102"/>
      <c r="G30" s="4089"/>
      <c r="H30" s="4090"/>
      <c r="I30" s="4091"/>
      <c r="K30" s="4850" t="s">
        <v>4001</v>
      </c>
      <c r="L30" s="4851"/>
      <c r="M30" s="4852"/>
      <c r="O30" s="2372">
        <f>ROW()</f>
        <v>30</v>
      </c>
    </row>
    <row r="31" spans="2:15" ht="15" customHeight="1">
      <c r="D31" s="2102"/>
      <c r="H31" s="2387"/>
      <c r="K31" s="4853"/>
      <c r="L31" s="4854"/>
      <c r="M31" s="4855"/>
      <c r="O31" s="2372">
        <f>ROW()</f>
        <v>31</v>
      </c>
    </row>
    <row r="32" spans="2:15" ht="15" customHeight="1">
      <c r="B32" s="2375" t="s">
        <v>3450</v>
      </c>
      <c r="C32" s="2375"/>
      <c r="D32" s="2388" t="s">
        <v>4002</v>
      </c>
      <c r="E32" s="2388" t="s">
        <v>2016</v>
      </c>
      <c r="G32" s="4848" t="str">
        <f>CONCATENATE("Differs from 2007 NYCT bus ridership figure shown in 'Buses' worksheet at Row ",Buses!O15, " by just ",O1, " percent.")</f>
        <v>Differs from 2007 NYCT bus ridership figure shown in 'Buses' worksheet at Row 15 by just 1 percent.</v>
      </c>
      <c r="H32" s="4849"/>
      <c r="I32" s="4204"/>
      <c r="K32" s="4856"/>
      <c r="L32" s="4857"/>
      <c r="M32" s="4858"/>
      <c r="N32" s="2389"/>
      <c r="O32" s="2372">
        <f>ROW()</f>
        <v>32</v>
      </c>
    </row>
    <row r="33" spans="2:15" ht="15" customHeight="1">
      <c r="B33" s="2375"/>
      <c r="C33" s="2375"/>
      <c r="D33" s="2390"/>
      <c r="E33" s="2390"/>
      <c r="G33" s="4089"/>
      <c r="H33" s="4090"/>
      <c r="I33" s="4091"/>
      <c r="N33" s="2389"/>
      <c r="O33" s="2372">
        <f>ROW()</f>
        <v>33</v>
      </c>
    </row>
    <row r="34" spans="2:15" ht="15" customHeight="1">
      <c r="B34" s="2373" t="s">
        <v>4003</v>
      </c>
      <c r="C34" s="2375"/>
      <c r="H34" s="2370"/>
      <c r="K34" s="4055" t="s">
        <v>4004</v>
      </c>
      <c r="L34" s="4055" t="s">
        <v>743</v>
      </c>
      <c r="M34" s="4055" t="s">
        <v>744</v>
      </c>
      <c r="N34" s="2389"/>
      <c r="O34" s="2372">
        <f>ROW()</f>
        <v>34</v>
      </c>
    </row>
    <row r="35" spans="2:15" ht="15" customHeight="1">
      <c r="B35" s="2375"/>
      <c r="C35" s="2375"/>
      <c r="K35" s="3781"/>
      <c r="L35" s="3781"/>
      <c r="M35" s="3781"/>
      <c r="N35" s="2389"/>
      <c r="O35" s="2372">
        <f>ROW()</f>
        <v>35</v>
      </c>
    </row>
    <row r="36" spans="2:15" ht="15" customHeight="1">
      <c r="B36" s="2391" t="s">
        <v>4005</v>
      </c>
      <c r="C36" s="2375"/>
      <c r="N36" s="2389"/>
      <c r="O36" s="2372">
        <f>ROW()</f>
        <v>36</v>
      </c>
    </row>
    <row r="37" spans="2:15" ht="15" customHeight="1">
      <c r="B37" s="2370" t="s">
        <v>4006</v>
      </c>
      <c r="D37" s="2370">
        <v>8</v>
      </c>
      <c r="E37" s="2102">
        <v>12586548</v>
      </c>
      <c r="F37" s="2102"/>
      <c r="G37" s="2102"/>
      <c r="H37" s="2392"/>
      <c r="I37" s="2102"/>
      <c r="J37" s="2102"/>
      <c r="K37" s="2102">
        <v>40188</v>
      </c>
      <c r="L37" s="2102">
        <v>25347</v>
      </c>
      <c r="M37" s="2102">
        <v>17941</v>
      </c>
      <c r="O37" s="2372">
        <f>ROW()</f>
        <v>37</v>
      </c>
    </row>
    <row r="38" spans="2:15" ht="15" customHeight="1">
      <c r="B38" s="2370" t="s">
        <v>4007</v>
      </c>
      <c r="D38" s="2370">
        <v>65</v>
      </c>
      <c r="E38" s="2102">
        <v>4275737</v>
      </c>
      <c r="F38" s="2102"/>
      <c r="G38" s="2102"/>
      <c r="H38" s="2392"/>
      <c r="I38" s="2102"/>
      <c r="J38" s="2102"/>
      <c r="K38" s="2102">
        <v>13153</v>
      </c>
      <c r="L38" s="2102">
        <v>10041</v>
      </c>
      <c r="M38" s="2102">
        <v>7080</v>
      </c>
      <c r="O38" s="2372">
        <f>ROW()</f>
        <v>38</v>
      </c>
    </row>
    <row r="39" spans="2:15" ht="15" customHeight="1">
      <c r="B39" s="2370" t="s">
        <v>4008</v>
      </c>
      <c r="D39" s="2370">
        <v>69</v>
      </c>
      <c r="E39" s="2102">
        <v>4114184</v>
      </c>
      <c r="F39" s="2102"/>
      <c r="G39" s="2102"/>
      <c r="H39" s="2392"/>
      <c r="I39" s="2102"/>
      <c r="J39" s="2102"/>
      <c r="K39" s="2102">
        <v>13266</v>
      </c>
      <c r="L39" s="2102">
        <v>7767</v>
      </c>
      <c r="M39" s="2102">
        <v>5706</v>
      </c>
      <c r="O39" s="2372">
        <f>ROW()</f>
        <v>39</v>
      </c>
    </row>
    <row r="40" spans="2:15" ht="15" customHeight="1">
      <c r="B40" s="2370" t="s">
        <v>4009</v>
      </c>
      <c r="D40" s="2370">
        <v>118</v>
      </c>
      <c r="E40" s="2102">
        <v>2050518</v>
      </c>
      <c r="F40" s="2102"/>
      <c r="G40" s="2102"/>
      <c r="H40" s="2392"/>
      <c r="I40" s="2102"/>
      <c r="J40" s="2102"/>
      <c r="K40" s="2102">
        <v>7303</v>
      </c>
      <c r="L40" s="2102">
        <v>2204</v>
      </c>
      <c r="M40" s="2102">
        <v>1362</v>
      </c>
      <c r="O40" s="2372">
        <f>ROW()</f>
        <v>40</v>
      </c>
    </row>
    <row r="41" spans="2:15" ht="15" customHeight="1">
      <c r="B41" s="2370" t="s">
        <v>4010</v>
      </c>
      <c r="D41" s="2370">
        <v>17</v>
      </c>
      <c r="E41" s="2102">
        <v>8629476</v>
      </c>
      <c r="F41" s="2102"/>
      <c r="G41" s="2102"/>
      <c r="H41" s="2392"/>
      <c r="I41" s="2102"/>
      <c r="J41" s="2102"/>
      <c r="K41" s="2102">
        <v>26914</v>
      </c>
      <c r="L41" s="2102">
        <v>18017</v>
      </c>
      <c r="M41" s="2102">
        <v>14590</v>
      </c>
      <c r="O41" s="2372">
        <f>ROW()</f>
        <v>41</v>
      </c>
    </row>
    <row r="42" spans="2:15" ht="15" customHeight="1">
      <c r="B42" s="2370" t="s">
        <v>4011</v>
      </c>
      <c r="D42" s="2370">
        <v>92</v>
      </c>
      <c r="E42" s="2102">
        <v>3081750</v>
      </c>
      <c r="F42" s="2102"/>
      <c r="G42" s="2102"/>
      <c r="H42" s="2392"/>
      <c r="I42" s="2102"/>
      <c r="J42" s="2102"/>
      <c r="K42" s="2102">
        <v>10162</v>
      </c>
      <c r="L42" s="2102">
        <v>4959</v>
      </c>
      <c r="M42" s="2102">
        <v>4102</v>
      </c>
      <c r="O42" s="2372">
        <f>ROW()</f>
        <v>42</v>
      </c>
    </row>
    <row r="43" spans="2:15" ht="15" customHeight="1">
      <c r="B43" s="2370" t="s">
        <v>4012</v>
      </c>
      <c r="D43" s="2370">
        <v>166</v>
      </c>
      <c r="E43" s="2102">
        <v>796818</v>
      </c>
      <c r="F43" s="2102"/>
      <c r="G43" s="2102"/>
      <c r="H43" s="2392"/>
      <c r="I43" s="2102"/>
      <c r="J43" s="2102"/>
      <c r="K43" s="2102">
        <v>2700</v>
      </c>
      <c r="L43" s="2102">
        <v>1214</v>
      </c>
      <c r="M43" s="2370">
        <v>806</v>
      </c>
      <c r="O43" s="2372">
        <f>ROW()</f>
        <v>43</v>
      </c>
    </row>
    <row r="44" spans="2:15" ht="15" customHeight="1">
      <c r="B44" s="2370" t="s">
        <v>4013</v>
      </c>
      <c r="D44" s="2370">
        <v>117</v>
      </c>
      <c r="E44" s="2102">
        <v>2054349</v>
      </c>
      <c r="F44" s="2102"/>
      <c r="G44" s="2102"/>
      <c r="H44" s="2392"/>
      <c r="I44" s="2102"/>
      <c r="J44" s="2102"/>
      <c r="K44" s="2102">
        <v>7159</v>
      </c>
      <c r="L44" s="2102">
        <v>2704</v>
      </c>
      <c r="M44" s="2102">
        <v>1603</v>
      </c>
      <c r="O44" s="2372">
        <f>ROW()</f>
        <v>44</v>
      </c>
    </row>
    <row r="45" spans="2:15" ht="15" customHeight="1">
      <c r="B45" s="2370" t="s">
        <v>4014</v>
      </c>
      <c r="D45" s="2370">
        <v>80</v>
      </c>
      <c r="E45" s="2102">
        <v>3577948</v>
      </c>
      <c r="F45" s="2102"/>
      <c r="G45" s="2102"/>
      <c r="H45" s="2392"/>
      <c r="I45" s="2102"/>
      <c r="J45" s="2102"/>
      <c r="K45" s="2102">
        <v>11434</v>
      </c>
      <c r="L45" s="2102">
        <v>6813</v>
      </c>
      <c r="M45" s="2102">
        <v>5400</v>
      </c>
      <c r="O45" s="2372">
        <f>ROW()</f>
        <v>45</v>
      </c>
    </row>
    <row r="46" spans="2:15" ht="15" customHeight="1">
      <c r="B46" s="2370" t="s">
        <v>4015</v>
      </c>
      <c r="D46" s="2370">
        <v>178</v>
      </c>
      <c r="E46" s="2102">
        <v>491616</v>
      </c>
      <c r="F46" s="2102"/>
      <c r="G46" s="2102"/>
      <c r="H46" s="2392"/>
      <c r="I46" s="2102"/>
      <c r="J46" s="2102"/>
      <c r="K46" s="2102">
        <v>1681</v>
      </c>
      <c r="L46" s="2370">
        <v>674</v>
      </c>
      <c r="M46" s="2370">
        <v>492</v>
      </c>
      <c r="O46" s="2372">
        <f>ROW()</f>
        <v>46</v>
      </c>
    </row>
    <row r="47" spans="2:15" ht="15" customHeight="1">
      <c r="B47" s="2370" t="s">
        <v>4016</v>
      </c>
      <c r="D47" s="2370">
        <v>49</v>
      </c>
      <c r="E47" s="2102">
        <v>4843440</v>
      </c>
      <c r="F47" s="2102"/>
      <c r="G47" s="2102"/>
      <c r="H47" s="2392"/>
      <c r="I47" s="2102"/>
      <c r="J47" s="2102"/>
      <c r="K47" s="2102">
        <v>15936</v>
      </c>
      <c r="L47" s="2102">
        <v>8456</v>
      </c>
      <c r="M47" s="2102">
        <v>5993</v>
      </c>
      <c r="O47" s="2372">
        <f>ROW()</f>
        <v>47</v>
      </c>
    </row>
    <row r="48" spans="2:15" ht="15" customHeight="1">
      <c r="B48" s="2370" t="s">
        <v>4017</v>
      </c>
      <c r="D48" s="2370">
        <v>42</v>
      </c>
      <c r="E48" s="2102">
        <v>5319315</v>
      </c>
      <c r="F48" s="2102"/>
      <c r="G48" s="2102"/>
      <c r="H48" s="2392"/>
      <c r="I48" s="2102"/>
      <c r="J48" s="2102"/>
      <c r="K48" s="2102">
        <v>17166</v>
      </c>
      <c r="L48" s="2102">
        <v>10050</v>
      </c>
      <c r="M48" s="2102">
        <v>7371</v>
      </c>
      <c r="O48" s="2372">
        <f>ROW()</f>
        <v>48</v>
      </c>
    </row>
    <row r="49" spans="2:15" ht="15" customHeight="1">
      <c r="B49" s="2370" t="s">
        <v>4018</v>
      </c>
      <c r="D49" s="2370">
        <v>99</v>
      </c>
      <c r="E49" s="2102">
        <v>2779176</v>
      </c>
      <c r="F49" s="2102"/>
      <c r="G49" s="2102"/>
      <c r="H49" s="2392"/>
      <c r="I49" s="2102"/>
      <c r="J49" s="2102"/>
      <c r="K49" s="2102">
        <v>8777</v>
      </c>
      <c r="L49" s="2102">
        <v>5926</v>
      </c>
      <c r="M49" s="2102">
        <v>4102</v>
      </c>
      <c r="O49" s="2372">
        <f>ROW()</f>
        <v>49</v>
      </c>
    </row>
    <row r="50" spans="2:15" ht="15" customHeight="1">
      <c r="B50" s="2370" t="s">
        <v>4019</v>
      </c>
      <c r="D50" s="2370">
        <v>112</v>
      </c>
      <c r="E50" s="2102">
        <v>2337885</v>
      </c>
      <c r="F50" s="2102"/>
      <c r="G50" s="2102"/>
      <c r="H50" s="2392"/>
      <c r="I50" s="2102"/>
      <c r="J50" s="2102"/>
      <c r="K50" s="2102">
        <v>7433</v>
      </c>
      <c r="L50" s="2102">
        <v>4738</v>
      </c>
      <c r="M50" s="2102">
        <v>3396</v>
      </c>
      <c r="O50" s="2372">
        <f>ROW()</f>
        <v>50</v>
      </c>
    </row>
    <row r="51" spans="2:15" ht="15" customHeight="1">
      <c r="B51" s="2370" t="s">
        <v>4020</v>
      </c>
      <c r="D51" s="2370">
        <v>41</v>
      </c>
      <c r="E51" s="2102">
        <v>5367467</v>
      </c>
      <c r="F51" s="2102"/>
      <c r="G51" s="2102"/>
      <c r="H51" s="2392"/>
      <c r="I51" s="2102"/>
      <c r="J51" s="2102"/>
      <c r="K51" s="2102">
        <v>16759</v>
      </c>
      <c r="L51" s="2102">
        <v>11766</v>
      </c>
      <c r="M51" s="2102">
        <v>8475</v>
      </c>
      <c r="O51" s="2372">
        <f>ROW()</f>
        <v>51</v>
      </c>
    </row>
    <row r="52" spans="2:15" ht="15" customHeight="1">
      <c r="B52" s="2370" t="s">
        <v>4021</v>
      </c>
      <c r="D52" s="2370">
        <v>164</v>
      </c>
      <c r="E52" s="2102">
        <v>838648</v>
      </c>
      <c r="F52" s="2102"/>
      <c r="G52" s="2102"/>
      <c r="H52" s="2392"/>
      <c r="I52" s="2102"/>
      <c r="J52" s="2102"/>
      <c r="K52" s="2102">
        <v>2447</v>
      </c>
      <c r="L52" s="2102">
        <v>2181</v>
      </c>
      <c r="M52" s="2102">
        <v>1750</v>
      </c>
      <c r="O52" s="2372">
        <f>ROW()</f>
        <v>52</v>
      </c>
    </row>
    <row r="53" spans="2:15" ht="15" customHeight="1">
      <c r="B53" s="2370" t="s">
        <v>4022</v>
      </c>
      <c r="D53" s="2370">
        <v>103</v>
      </c>
      <c r="E53" s="2102">
        <v>2615215</v>
      </c>
      <c r="F53" s="2102"/>
      <c r="G53" s="2102"/>
      <c r="H53" s="2392"/>
      <c r="I53" s="2102"/>
      <c r="J53" s="2102"/>
      <c r="K53" s="2102">
        <v>8681</v>
      </c>
      <c r="L53" s="2102">
        <v>4488</v>
      </c>
      <c r="M53" s="2102">
        <v>2939</v>
      </c>
      <c r="O53" s="2372">
        <f>ROW()</f>
        <v>53</v>
      </c>
    </row>
    <row r="54" spans="2:15" ht="15" customHeight="1">
      <c r="B54" s="2370" t="s">
        <v>4023</v>
      </c>
      <c r="D54" s="2370">
        <v>83</v>
      </c>
      <c r="E54" s="2102">
        <v>3540824</v>
      </c>
      <c r="F54" s="2102"/>
      <c r="G54" s="2102"/>
      <c r="H54" s="2392"/>
      <c r="I54" s="2102"/>
      <c r="J54" s="2102"/>
      <c r="K54" s="2102">
        <v>11729</v>
      </c>
      <c r="L54" s="2102">
        <v>6004</v>
      </c>
      <c r="M54" s="2102">
        <v>4199</v>
      </c>
      <c r="O54" s="2372">
        <f>ROW()</f>
        <v>54</v>
      </c>
    </row>
    <row r="55" spans="2:15" ht="15" customHeight="1">
      <c r="B55" s="2370" t="s">
        <v>4024</v>
      </c>
      <c r="D55" s="2370">
        <v>124</v>
      </c>
      <c r="E55" s="2102">
        <v>1938438</v>
      </c>
      <c r="F55" s="2102"/>
      <c r="G55" s="2102"/>
      <c r="H55" s="2392"/>
      <c r="I55" s="2102"/>
      <c r="J55" s="2102"/>
      <c r="K55" s="2102">
        <v>6709</v>
      </c>
      <c r="L55" s="2102">
        <v>2615</v>
      </c>
      <c r="M55" s="2102">
        <v>1645</v>
      </c>
      <c r="O55" s="2372">
        <f>ROW()</f>
        <v>55</v>
      </c>
    </row>
    <row r="56" spans="2:15" ht="15" customHeight="1">
      <c r="B56" s="2370" t="s">
        <v>4025</v>
      </c>
      <c r="D56" s="2370">
        <v>153</v>
      </c>
      <c r="E56" s="2102">
        <v>1091211</v>
      </c>
      <c r="F56" s="2102"/>
      <c r="G56" s="2102"/>
      <c r="H56" s="2392"/>
      <c r="I56" s="2102"/>
      <c r="J56" s="2102"/>
      <c r="K56" s="2102">
        <v>3604</v>
      </c>
      <c r="L56" s="2102">
        <v>1884</v>
      </c>
      <c r="M56" s="2102">
        <v>1325</v>
      </c>
      <c r="O56" s="2372">
        <f>ROW()</f>
        <v>56</v>
      </c>
    </row>
    <row r="57" spans="2:15" ht="15" customHeight="1">
      <c r="B57" s="2370" t="s">
        <v>4026</v>
      </c>
      <c r="D57" s="2370">
        <v>139</v>
      </c>
      <c r="E57" s="2102">
        <v>1502469</v>
      </c>
      <c r="F57" s="2102"/>
      <c r="G57" s="2102"/>
      <c r="H57" s="2392"/>
      <c r="I57" s="2102"/>
      <c r="J57" s="2102"/>
      <c r="K57" s="2102">
        <v>4937</v>
      </c>
      <c r="L57" s="2102">
        <v>2616</v>
      </c>
      <c r="M57" s="2102">
        <v>1892</v>
      </c>
      <c r="O57" s="2372">
        <f>ROW()</f>
        <v>57</v>
      </c>
    </row>
    <row r="58" spans="2:15" ht="15" customHeight="1">
      <c r="B58" s="2370" t="s">
        <v>4027</v>
      </c>
      <c r="D58" s="2370">
        <v>67</v>
      </c>
      <c r="E58" s="2102">
        <v>4145693</v>
      </c>
      <c r="F58" s="2102"/>
      <c r="G58" s="2102"/>
      <c r="H58" s="2392"/>
      <c r="I58" s="2102"/>
      <c r="J58" s="2102"/>
      <c r="K58" s="2102">
        <v>12996</v>
      </c>
      <c r="L58" s="2102">
        <v>8962</v>
      </c>
      <c r="M58" s="2102">
        <v>6410</v>
      </c>
      <c r="O58" s="2372">
        <f>ROW()</f>
        <v>58</v>
      </c>
    </row>
    <row r="59" spans="2:15" ht="15" customHeight="1">
      <c r="B59" s="2370" t="s">
        <v>4028</v>
      </c>
      <c r="D59" s="2370">
        <v>16</v>
      </c>
      <c r="E59" s="2102">
        <v>8711111</v>
      </c>
      <c r="F59" s="2102"/>
      <c r="G59" s="2102"/>
      <c r="H59" s="2392"/>
      <c r="I59" s="2102"/>
      <c r="J59" s="2102"/>
      <c r="K59" s="2102">
        <v>28208</v>
      </c>
      <c r="L59" s="2102">
        <v>16152</v>
      </c>
      <c r="M59" s="2102">
        <v>11988</v>
      </c>
      <c r="O59" s="2372">
        <f>ROW()</f>
        <v>59</v>
      </c>
    </row>
    <row r="60" spans="2:15" ht="15" customHeight="1">
      <c r="B60" s="2370" t="s">
        <v>4029</v>
      </c>
      <c r="D60" s="2370">
        <v>15</v>
      </c>
      <c r="E60" s="2102">
        <v>8868415</v>
      </c>
      <c r="F60" s="2102"/>
      <c r="G60" s="2102"/>
      <c r="H60" s="2392"/>
      <c r="I60" s="2102"/>
      <c r="J60" s="2102"/>
      <c r="K60" s="2102">
        <v>27383</v>
      </c>
      <c r="L60" s="2102">
        <v>20413</v>
      </c>
      <c r="M60" s="2102">
        <v>14295</v>
      </c>
      <c r="O60" s="2372">
        <f>ROW()</f>
        <v>60</v>
      </c>
    </row>
    <row r="61" spans="2:15" ht="15" customHeight="1">
      <c r="B61" s="2370" t="s">
        <v>4030</v>
      </c>
      <c r="D61" s="2370">
        <v>53</v>
      </c>
      <c r="E61" s="2102">
        <v>4712941</v>
      </c>
      <c r="F61" s="2102"/>
      <c r="G61" s="2102"/>
      <c r="H61" s="4859" t="s">
        <v>4031</v>
      </c>
      <c r="I61" s="2102"/>
      <c r="J61" s="2102"/>
      <c r="K61" s="2102">
        <v>16170</v>
      </c>
      <c r="L61" s="2102">
        <v>6312</v>
      </c>
      <c r="M61" s="2102">
        <v>4647</v>
      </c>
      <c r="O61" s="2372">
        <f>ROW()</f>
        <v>61</v>
      </c>
    </row>
    <row r="62" spans="2:15" ht="15" customHeight="1">
      <c r="B62" s="2375" t="s">
        <v>228</v>
      </c>
      <c r="C62" s="2375"/>
      <c r="D62" s="2375"/>
      <c r="E62" s="2382">
        <f>SUM(E37:E61)</f>
        <v>100271192</v>
      </c>
      <c r="F62" s="2102"/>
      <c r="G62" s="2102"/>
      <c r="H62" s="3807"/>
      <c r="I62" s="2102"/>
      <c r="J62" s="2102"/>
      <c r="K62" s="2102"/>
      <c r="L62" s="2102"/>
      <c r="M62" s="2102"/>
      <c r="O62" s="2372">
        <f>ROW()</f>
        <v>62</v>
      </c>
    </row>
    <row r="63" spans="2:15" ht="15" customHeight="1">
      <c r="E63" s="2102"/>
      <c r="F63" s="4055" t="s">
        <v>4032</v>
      </c>
      <c r="G63" s="4055" t="s">
        <v>4033</v>
      </c>
      <c r="H63" s="3807"/>
      <c r="I63" s="2102"/>
      <c r="J63" s="2102"/>
      <c r="K63" s="2102"/>
      <c r="L63" s="2102"/>
      <c r="M63" s="2102"/>
      <c r="O63" s="2372">
        <f>ROW()</f>
        <v>63</v>
      </c>
    </row>
    <row r="64" spans="2:15" ht="15" customHeight="1">
      <c r="B64" s="2391" t="s">
        <v>4034</v>
      </c>
      <c r="C64" s="2375"/>
      <c r="E64" s="2102"/>
      <c r="F64" s="3781"/>
      <c r="G64" s="3781"/>
      <c r="H64" s="3807"/>
      <c r="I64" s="2102"/>
      <c r="J64" s="2102"/>
      <c r="K64" s="2102"/>
      <c r="L64" s="2102"/>
      <c r="M64" s="2102"/>
      <c r="O64" s="2372">
        <f>ROW()</f>
        <v>64</v>
      </c>
    </row>
    <row r="65" spans="2:15" ht="15" customHeight="1">
      <c r="B65" s="2370" t="s">
        <v>4035</v>
      </c>
      <c r="D65" s="2370">
        <v>44</v>
      </c>
      <c r="E65" s="2102">
        <v>5259590</v>
      </c>
      <c r="F65" s="2393">
        <f t="shared" ref="F65:F75" si="1">1-G65</f>
        <v>0.9</v>
      </c>
      <c r="G65" s="2393">
        <v>0.1</v>
      </c>
      <c r="H65" s="2371" t="s">
        <v>220</v>
      </c>
      <c r="I65" s="2102"/>
      <c r="K65" s="2102">
        <v>16524</v>
      </c>
      <c r="L65" s="2102">
        <v>10830</v>
      </c>
      <c r="M65" s="2102">
        <v>8473</v>
      </c>
      <c r="O65" s="2372">
        <f>ROW()</f>
        <v>65</v>
      </c>
    </row>
    <row r="66" spans="2:15" ht="15" customHeight="1">
      <c r="B66" s="2370" t="s">
        <v>4036</v>
      </c>
      <c r="D66" s="2370">
        <v>27</v>
      </c>
      <c r="E66" s="2102">
        <v>6885145</v>
      </c>
      <c r="F66" s="2393">
        <f t="shared" si="1"/>
        <v>0.85</v>
      </c>
      <c r="G66" s="2393">
        <v>0.15</v>
      </c>
      <c r="H66" s="2371" t="s">
        <v>220</v>
      </c>
      <c r="I66" s="2102"/>
      <c r="K66" s="2102">
        <v>22492</v>
      </c>
      <c r="L66" s="2102">
        <v>11942</v>
      </c>
      <c r="M66" s="2102">
        <v>9256</v>
      </c>
      <c r="O66" s="2372">
        <f>ROW()</f>
        <v>66</v>
      </c>
    </row>
    <row r="67" spans="2:15" ht="15" customHeight="1">
      <c r="B67" s="2370" t="s">
        <v>4037</v>
      </c>
      <c r="D67" s="2370">
        <v>58</v>
      </c>
      <c r="E67" s="2102">
        <v>4493954</v>
      </c>
      <c r="F67" s="2393">
        <f t="shared" si="1"/>
        <v>0.5</v>
      </c>
      <c r="G67" s="2393">
        <v>0.5</v>
      </c>
      <c r="H67" s="2371" t="s">
        <v>220</v>
      </c>
      <c r="I67" s="2102"/>
      <c r="K67" s="2102">
        <v>14154</v>
      </c>
      <c r="L67" s="2102">
        <v>8911</v>
      </c>
      <c r="M67" s="2102">
        <v>7451</v>
      </c>
      <c r="O67" s="2372">
        <f>ROW()</f>
        <v>67</v>
      </c>
    </row>
    <row r="68" spans="2:15" ht="15" customHeight="1">
      <c r="B68" s="2370" t="s">
        <v>4038</v>
      </c>
      <c r="D68" s="2370">
        <v>57</v>
      </c>
      <c r="E68" s="2102">
        <v>4496405</v>
      </c>
      <c r="F68" s="2393">
        <f t="shared" si="1"/>
        <v>0.9</v>
      </c>
      <c r="G68" s="2393">
        <v>0.1</v>
      </c>
      <c r="H68" s="2371" t="s">
        <v>220</v>
      </c>
      <c r="I68" s="2102"/>
      <c r="K68" s="2102">
        <v>14061</v>
      </c>
      <c r="L68" s="2102">
        <v>9378</v>
      </c>
      <c r="M68" s="2102">
        <v>7353</v>
      </c>
      <c r="O68" s="2372">
        <f>ROW()</f>
        <v>68</v>
      </c>
    </row>
    <row r="69" spans="2:15" ht="15" customHeight="1">
      <c r="B69" s="2370" t="s">
        <v>4039</v>
      </c>
      <c r="D69" s="2370">
        <v>3</v>
      </c>
      <c r="E69" s="2102">
        <v>14736515</v>
      </c>
      <c r="F69" s="2393">
        <f t="shared" si="1"/>
        <v>0.95</v>
      </c>
      <c r="G69" s="2393">
        <v>0.05</v>
      </c>
      <c r="H69" s="2371" t="s">
        <v>220</v>
      </c>
      <c r="I69" s="2102"/>
      <c r="K69" s="2102">
        <v>45773</v>
      </c>
      <c r="L69" s="2102">
        <v>32030</v>
      </c>
      <c r="M69" s="2102">
        <v>24143</v>
      </c>
      <c r="O69" s="2372">
        <f>ROW()</f>
        <v>69</v>
      </c>
    </row>
    <row r="70" spans="2:15" ht="15" customHeight="1">
      <c r="B70" s="2370" t="s">
        <v>4040</v>
      </c>
      <c r="D70" s="2370">
        <v>89</v>
      </c>
      <c r="E70" s="2102">
        <v>3189605</v>
      </c>
      <c r="F70" s="2393">
        <f t="shared" si="1"/>
        <v>0.8</v>
      </c>
      <c r="G70" s="2393">
        <v>0.2</v>
      </c>
      <c r="H70" s="2371" t="s">
        <v>220</v>
      </c>
      <c r="I70" s="2102"/>
      <c r="K70" s="2102">
        <v>10174</v>
      </c>
      <c r="L70" s="2102">
        <v>6222</v>
      </c>
      <c r="M70" s="2102">
        <v>4741</v>
      </c>
      <c r="O70" s="2372">
        <f>ROW()</f>
        <v>70</v>
      </c>
    </row>
    <row r="71" spans="2:15" ht="15" customHeight="1">
      <c r="B71" s="2370" t="s">
        <v>4041</v>
      </c>
      <c r="D71" s="2370">
        <v>20</v>
      </c>
      <c r="E71" s="2102">
        <v>7940575</v>
      </c>
      <c r="F71" s="2393">
        <f t="shared" si="1"/>
        <v>0.7</v>
      </c>
      <c r="G71" s="2393">
        <v>0.3</v>
      </c>
      <c r="H71" s="2371" t="s">
        <v>220</v>
      </c>
      <c r="I71" s="2102"/>
      <c r="K71" s="2102">
        <v>23903</v>
      </c>
      <c r="L71" s="2102">
        <v>19153</v>
      </c>
      <c r="M71" s="2102">
        <v>14835</v>
      </c>
      <c r="O71" s="2372">
        <f>ROW()</f>
        <v>71</v>
      </c>
    </row>
    <row r="72" spans="2:15" ht="15" customHeight="1">
      <c r="B72" s="2370" t="s">
        <v>4042</v>
      </c>
      <c r="D72" s="2370">
        <v>11</v>
      </c>
      <c r="E72" s="2102">
        <v>10592126</v>
      </c>
      <c r="F72" s="2393">
        <f t="shared" si="1"/>
        <v>0.85</v>
      </c>
      <c r="G72" s="2393">
        <v>0.15</v>
      </c>
      <c r="H72" s="2371" t="s">
        <v>220</v>
      </c>
      <c r="I72" s="2102"/>
      <c r="K72" s="2102">
        <v>32911</v>
      </c>
      <c r="L72" s="2102">
        <v>23150</v>
      </c>
      <c r="M72" s="2102">
        <v>17543</v>
      </c>
      <c r="O72" s="2372">
        <f>ROW()</f>
        <v>72</v>
      </c>
    </row>
    <row r="73" spans="2:15" ht="15" customHeight="1">
      <c r="B73" s="2370" t="s">
        <v>4043</v>
      </c>
      <c r="D73" s="2370">
        <v>172</v>
      </c>
      <c r="E73" s="2102">
        <v>540259</v>
      </c>
      <c r="F73" s="2393">
        <f t="shared" si="1"/>
        <v>0.7</v>
      </c>
      <c r="G73" s="2393">
        <v>0.3</v>
      </c>
      <c r="H73" s="2371" t="s">
        <v>220</v>
      </c>
      <c r="I73" s="2102"/>
      <c r="K73" s="2102">
        <v>1910</v>
      </c>
      <c r="L73" s="2102">
        <v>1058</v>
      </c>
      <c r="M73" s="2370">
        <v>0</v>
      </c>
      <c r="O73" s="2372">
        <f>ROW()</f>
        <v>73</v>
      </c>
    </row>
    <row r="74" spans="2:15" ht="15" customHeight="1">
      <c r="B74" s="2370" t="s">
        <v>4044</v>
      </c>
      <c r="D74" s="2370">
        <v>52</v>
      </c>
      <c r="E74" s="2102">
        <v>4715780</v>
      </c>
      <c r="F74" s="2393">
        <f t="shared" si="1"/>
        <v>0.9</v>
      </c>
      <c r="G74" s="2393">
        <v>0.1</v>
      </c>
      <c r="H74" s="2371" t="s">
        <v>220</v>
      </c>
      <c r="I74" s="2102"/>
      <c r="K74" s="2102">
        <v>14724</v>
      </c>
      <c r="L74" s="2102">
        <v>9852</v>
      </c>
      <c r="M74" s="2102">
        <v>7804</v>
      </c>
      <c r="O74" s="2372">
        <f>ROW()</f>
        <v>74</v>
      </c>
    </row>
    <row r="75" spans="2:15" ht="15" customHeight="1">
      <c r="B75" s="2370" t="s">
        <v>4045</v>
      </c>
      <c r="D75" s="2370">
        <v>12</v>
      </c>
      <c r="E75" s="2102">
        <v>9803254</v>
      </c>
      <c r="F75" s="2393">
        <f t="shared" si="1"/>
        <v>0.95</v>
      </c>
      <c r="G75" s="2393">
        <v>0.05</v>
      </c>
      <c r="H75" s="2371" t="s">
        <v>220</v>
      </c>
      <c r="I75" s="2102"/>
      <c r="K75" s="2102">
        <v>30521</v>
      </c>
      <c r="L75" s="2102">
        <v>20671</v>
      </c>
      <c r="M75" s="2102">
        <v>16571</v>
      </c>
      <c r="O75" s="2372">
        <f>ROW()</f>
        <v>75</v>
      </c>
    </row>
    <row r="76" spans="2:15" ht="15" customHeight="1">
      <c r="B76" s="2375" t="s">
        <v>228</v>
      </c>
      <c r="C76" s="2375"/>
      <c r="D76" s="2394" t="s">
        <v>4046</v>
      </c>
      <c r="E76" s="2395">
        <f>SUM(E65:E75)</f>
        <v>72653208</v>
      </c>
      <c r="F76" s="2396">
        <f>SUMPRODUCT(E65:E75,F65:F75)</f>
        <v>61928303.199999996</v>
      </c>
      <c r="G76" s="2397" t="s">
        <v>4047</v>
      </c>
      <c r="H76" s="2398"/>
      <c r="I76" s="2102"/>
      <c r="J76" s="2102"/>
      <c r="K76" s="2102"/>
      <c r="L76" s="2102"/>
      <c r="M76" s="2102"/>
      <c r="O76" s="2372">
        <f>ROW()</f>
        <v>76</v>
      </c>
    </row>
    <row r="77" spans="2:15" ht="15" customHeight="1">
      <c r="E77" s="2102"/>
      <c r="F77" s="2102"/>
      <c r="G77" s="2102"/>
      <c r="H77" s="2392"/>
      <c r="I77" s="2102"/>
      <c r="J77" s="2102"/>
      <c r="K77" s="2102"/>
      <c r="L77" s="2102"/>
      <c r="M77" s="2102"/>
      <c r="O77" s="2372">
        <f>ROW()</f>
        <v>77</v>
      </c>
    </row>
    <row r="78" spans="2:15" ht="15" customHeight="1">
      <c r="B78" s="2391" t="s">
        <v>4048</v>
      </c>
      <c r="C78" s="2375"/>
      <c r="E78" s="2382">
        <f>SUMPRODUCT(E244,G244)</f>
        <v>2499725.6999999997</v>
      </c>
      <c r="F78" s="2102"/>
      <c r="G78" s="2102"/>
      <c r="H78" s="2392"/>
      <c r="I78" s="2102"/>
      <c r="J78" s="2102"/>
      <c r="K78" s="2102"/>
      <c r="L78" s="2102"/>
      <c r="M78" s="2102"/>
      <c r="O78" s="2372">
        <f>ROW()</f>
        <v>78</v>
      </c>
    </row>
    <row r="79" spans="2:15" ht="15" customHeight="1">
      <c r="E79" s="2102"/>
      <c r="F79" s="2102"/>
      <c r="G79" s="2102"/>
      <c r="H79" s="2392"/>
      <c r="I79" s="2102"/>
      <c r="J79" s="2102"/>
      <c r="K79" s="2102"/>
      <c r="L79" s="2102"/>
      <c r="M79" s="2102"/>
      <c r="O79" s="2372">
        <f>ROW()</f>
        <v>79</v>
      </c>
    </row>
    <row r="80" spans="2:15" ht="15" customHeight="1">
      <c r="B80" s="2373" t="s">
        <v>4049</v>
      </c>
      <c r="C80" s="2375"/>
      <c r="E80" s="2399">
        <f>SUM(E78,F76,E62)</f>
        <v>164699220.90000001</v>
      </c>
      <c r="F80" s="2102"/>
      <c r="G80" s="2102"/>
      <c r="H80" s="2392"/>
      <c r="I80" s="2102"/>
      <c r="J80" s="2102"/>
      <c r="K80" s="2102"/>
      <c r="L80" s="2102"/>
      <c r="M80" s="2102"/>
      <c r="O80" s="2372">
        <f>ROW()</f>
        <v>80</v>
      </c>
    </row>
    <row r="81" spans="2:15" ht="15" customHeight="1">
      <c r="E81" s="2102"/>
      <c r="F81" s="2102"/>
      <c r="G81" s="2102"/>
      <c r="H81" s="2392"/>
      <c r="I81" s="2102"/>
      <c r="J81" s="2102"/>
      <c r="K81" s="2102"/>
      <c r="L81" s="2102"/>
      <c r="M81" s="2102"/>
      <c r="O81" s="2372">
        <f>ROW()</f>
        <v>81</v>
      </c>
    </row>
    <row r="82" spans="2:15" ht="15" customHeight="1">
      <c r="B82" s="2373" t="s">
        <v>1486</v>
      </c>
      <c r="C82" s="2375"/>
      <c r="I82" s="2102"/>
      <c r="J82" s="2102"/>
      <c r="O82" s="2372">
        <f>ROW()</f>
        <v>82</v>
      </c>
    </row>
    <row r="83" spans="2:15" ht="15" customHeight="1">
      <c r="B83" s="2375"/>
      <c r="C83" s="2375"/>
      <c r="I83" s="2102"/>
      <c r="J83" s="2102"/>
      <c r="O83" s="2372">
        <f>ROW()</f>
        <v>83</v>
      </c>
    </row>
    <row r="84" spans="2:15" ht="15" customHeight="1">
      <c r="B84" s="2391" t="s">
        <v>4005</v>
      </c>
      <c r="C84" s="2375"/>
      <c r="I84" s="2102"/>
      <c r="J84" s="2102"/>
      <c r="O84" s="2372">
        <f>ROW()</f>
        <v>84</v>
      </c>
    </row>
    <row r="85" spans="2:15" ht="15" customHeight="1">
      <c r="B85" s="2370" t="s">
        <v>4050</v>
      </c>
      <c r="D85" s="2370">
        <v>30</v>
      </c>
      <c r="E85" s="2102">
        <v>6291932</v>
      </c>
      <c r="F85" s="2102"/>
      <c r="G85" s="2102"/>
      <c r="H85" s="2392"/>
      <c r="I85" s="2102"/>
      <c r="J85" s="2102"/>
      <c r="K85" s="2102">
        <v>20017</v>
      </c>
      <c r="L85" s="2102">
        <v>12404</v>
      </c>
      <c r="M85" s="2102">
        <v>9627</v>
      </c>
      <c r="O85" s="2372">
        <f>ROW()</f>
        <v>85</v>
      </c>
    </row>
    <row r="86" spans="2:15" ht="15" customHeight="1">
      <c r="B86" s="2370" t="s">
        <v>4051</v>
      </c>
      <c r="D86" s="2370">
        <v>161</v>
      </c>
      <c r="E86" s="2102">
        <v>865460</v>
      </c>
      <c r="F86" s="2102"/>
      <c r="G86" s="2102"/>
      <c r="H86" s="2392"/>
      <c r="I86" s="2102"/>
      <c r="J86" s="2102"/>
      <c r="K86" s="2102">
        <v>2847</v>
      </c>
      <c r="L86" s="2102">
        <v>1441</v>
      </c>
      <c r="M86" s="2102">
        <v>1135</v>
      </c>
      <c r="O86" s="2372">
        <f>ROW()</f>
        <v>86</v>
      </c>
    </row>
    <row r="87" spans="2:15" ht="15" customHeight="1">
      <c r="B87" s="2370" t="s">
        <v>4052</v>
      </c>
      <c r="D87" s="2370">
        <v>50</v>
      </c>
      <c r="E87" s="2102">
        <v>4814152</v>
      </c>
      <c r="F87" s="2102"/>
      <c r="G87" s="2102"/>
      <c r="H87" s="2392"/>
      <c r="I87" s="2102"/>
      <c r="J87" s="2102"/>
      <c r="K87" s="2102">
        <v>14498</v>
      </c>
      <c r="L87" s="2102">
        <v>11299</v>
      </c>
      <c r="M87" s="2102">
        <v>9302</v>
      </c>
      <c r="O87" s="2372">
        <f>ROW()</f>
        <v>87</v>
      </c>
    </row>
    <row r="88" spans="2:15" ht="15" customHeight="1">
      <c r="B88" s="2370" t="s">
        <v>4053</v>
      </c>
      <c r="D88" s="2370">
        <v>127</v>
      </c>
      <c r="E88" s="2102">
        <v>1845977</v>
      </c>
      <c r="F88" s="2102"/>
      <c r="G88" s="2102"/>
      <c r="H88" s="2392"/>
      <c r="I88" s="2102"/>
      <c r="J88" s="2102"/>
      <c r="K88" s="2102">
        <v>5825</v>
      </c>
      <c r="L88" s="2102">
        <v>3756</v>
      </c>
      <c r="M88" s="2102">
        <v>2915</v>
      </c>
      <c r="O88" s="2372">
        <f>ROW()</f>
        <v>88</v>
      </c>
    </row>
    <row r="89" spans="2:15" ht="15" customHeight="1">
      <c r="B89" s="2370" t="s">
        <v>4054</v>
      </c>
      <c r="D89" s="2370">
        <v>4</v>
      </c>
      <c r="E89" s="2102">
        <v>14046274</v>
      </c>
      <c r="F89" s="2102"/>
      <c r="G89" s="2102"/>
      <c r="H89" s="2392"/>
      <c r="I89" s="2102"/>
      <c r="J89" s="2102"/>
      <c r="K89" s="2102">
        <v>44035</v>
      </c>
      <c r="L89" s="2102">
        <v>29345</v>
      </c>
      <c r="M89" s="2102">
        <v>22624</v>
      </c>
      <c r="O89" s="2372">
        <f>ROW()</f>
        <v>89</v>
      </c>
    </row>
    <row r="90" spans="2:15" ht="15" customHeight="1">
      <c r="B90" s="2370" t="s">
        <v>4055</v>
      </c>
      <c r="D90" s="2370">
        <v>119</v>
      </c>
      <c r="E90" s="2102">
        <v>2035784</v>
      </c>
      <c r="F90" s="2102"/>
      <c r="G90" s="2102"/>
      <c r="H90" s="2392"/>
      <c r="I90" s="2102"/>
      <c r="J90" s="2102"/>
      <c r="K90" s="2102">
        <v>6736</v>
      </c>
      <c r="L90" s="2102">
        <v>3382</v>
      </c>
      <c r="M90" s="2102">
        <v>2487</v>
      </c>
      <c r="O90" s="2372">
        <f>ROW()</f>
        <v>90</v>
      </c>
    </row>
    <row r="91" spans="2:15" ht="15" customHeight="1">
      <c r="B91" s="2370" t="s">
        <v>4056</v>
      </c>
      <c r="D91" s="2370">
        <v>22</v>
      </c>
      <c r="E91" s="2102">
        <v>7246154</v>
      </c>
      <c r="F91" s="2102"/>
      <c r="G91" s="2102"/>
      <c r="H91" s="2392"/>
      <c r="I91" s="2102"/>
      <c r="J91" s="2102"/>
      <c r="K91" s="2102">
        <v>22420</v>
      </c>
      <c r="L91" s="2102">
        <v>15385</v>
      </c>
      <c r="M91" s="2102">
        <v>12879</v>
      </c>
      <c r="O91" s="2372">
        <f>ROW()</f>
        <v>91</v>
      </c>
    </row>
    <row r="92" spans="2:15" ht="15" customHeight="1">
      <c r="B92" s="2370" t="s">
        <v>4057</v>
      </c>
      <c r="D92" s="2370">
        <v>48</v>
      </c>
      <c r="E92" s="2102">
        <v>4845043</v>
      </c>
      <c r="F92" s="2102"/>
      <c r="G92" s="2102"/>
      <c r="H92" s="2392"/>
      <c r="I92" s="2102"/>
      <c r="J92" s="2102"/>
      <c r="K92" s="2102">
        <v>15150</v>
      </c>
      <c r="L92" s="2102">
        <v>9019</v>
      </c>
      <c r="M92" s="2102">
        <v>9015</v>
      </c>
      <c r="O92" s="2372">
        <f>ROW()</f>
        <v>92</v>
      </c>
    </row>
    <row r="93" spans="2:15" ht="15" customHeight="1">
      <c r="B93" s="2370" t="s">
        <v>4058</v>
      </c>
      <c r="D93" s="2370">
        <v>74</v>
      </c>
      <c r="E93" s="2102">
        <v>3953165</v>
      </c>
      <c r="F93" s="2102"/>
      <c r="G93" s="2102"/>
      <c r="H93" s="2392"/>
      <c r="I93" s="2102"/>
      <c r="J93" s="2102"/>
      <c r="K93" s="2102">
        <v>12829</v>
      </c>
      <c r="L93" s="2102">
        <v>5287</v>
      </c>
      <c r="M93" s="2102">
        <v>7114</v>
      </c>
      <c r="O93" s="2372">
        <f>ROW()</f>
        <v>93</v>
      </c>
    </row>
    <row r="94" spans="2:15" ht="15" customHeight="1">
      <c r="B94" s="2370" t="s">
        <v>4059</v>
      </c>
      <c r="D94" s="2370">
        <v>25</v>
      </c>
      <c r="E94" s="2102">
        <v>6920765</v>
      </c>
      <c r="F94" s="2102"/>
      <c r="G94" s="2102"/>
      <c r="H94" s="2392"/>
      <c r="I94" s="2102"/>
      <c r="J94" s="2102"/>
      <c r="K94" s="2102">
        <v>21609</v>
      </c>
      <c r="L94" s="2102">
        <v>14523</v>
      </c>
      <c r="M94" s="2102">
        <v>11508</v>
      </c>
      <c r="O94" s="2372">
        <f>ROW()</f>
        <v>94</v>
      </c>
    </row>
    <row r="95" spans="2:15" ht="15" customHeight="1">
      <c r="B95" s="2370" t="s">
        <v>4060</v>
      </c>
      <c r="D95" s="2370">
        <v>107</v>
      </c>
      <c r="E95" s="2102">
        <v>2544156</v>
      </c>
      <c r="F95" s="2102"/>
      <c r="G95" s="2102"/>
      <c r="H95" s="2392"/>
      <c r="I95" s="2102"/>
      <c r="J95" s="2102"/>
      <c r="K95" s="2102">
        <v>7907</v>
      </c>
      <c r="L95" s="2102">
        <v>5880</v>
      </c>
      <c r="M95" s="2102">
        <v>3906</v>
      </c>
      <c r="O95" s="2372">
        <f>ROW()</f>
        <v>95</v>
      </c>
    </row>
    <row r="96" spans="2:15" ht="15" customHeight="1">
      <c r="B96" s="2370" t="s">
        <v>4061</v>
      </c>
      <c r="D96" s="2370">
        <v>111</v>
      </c>
      <c r="E96" s="2102">
        <v>2371059</v>
      </c>
      <c r="F96" s="2102"/>
      <c r="G96" s="2102"/>
      <c r="H96" s="2392"/>
      <c r="I96" s="2102"/>
      <c r="J96" s="2102"/>
      <c r="K96" s="2102">
        <v>7642</v>
      </c>
      <c r="L96" s="2102">
        <v>4079</v>
      </c>
      <c r="M96" s="2102">
        <v>3713</v>
      </c>
      <c r="O96" s="2372">
        <f>ROW()</f>
        <v>96</v>
      </c>
    </row>
    <row r="97" spans="2:15" ht="15" customHeight="1">
      <c r="B97" s="2370" t="s">
        <v>4062</v>
      </c>
      <c r="D97" s="2370">
        <v>61</v>
      </c>
      <c r="E97" s="2102">
        <v>4431860</v>
      </c>
      <c r="F97" s="2102"/>
      <c r="G97" s="2102"/>
      <c r="H97" s="2392"/>
      <c r="I97" s="2102"/>
      <c r="J97" s="2102"/>
      <c r="K97" s="2102">
        <v>14212</v>
      </c>
      <c r="L97" s="2102">
        <v>8480</v>
      </c>
      <c r="M97" s="2102">
        <v>6470</v>
      </c>
      <c r="O97" s="2372">
        <f>ROW()</f>
        <v>97</v>
      </c>
    </row>
    <row r="98" spans="2:15" ht="15" customHeight="1">
      <c r="B98" s="2370" t="s">
        <v>4063</v>
      </c>
      <c r="D98" s="2370">
        <v>101</v>
      </c>
      <c r="E98" s="2102">
        <v>2666832</v>
      </c>
      <c r="F98" s="2102"/>
      <c r="G98" s="2102"/>
      <c r="H98" s="2392"/>
      <c r="I98" s="2102"/>
      <c r="J98" s="2102"/>
      <c r="K98" s="2102">
        <v>8653</v>
      </c>
      <c r="L98" s="2102">
        <v>4841</v>
      </c>
      <c r="M98" s="2102">
        <v>3668</v>
      </c>
      <c r="O98" s="2372">
        <f>ROW()</f>
        <v>98</v>
      </c>
    </row>
    <row r="99" spans="2:15" ht="15" customHeight="1">
      <c r="B99" s="2370" t="s">
        <v>4064</v>
      </c>
      <c r="D99" s="2370">
        <v>180</v>
      </c>
      <c r="E99" s="2102">
        <v>446210</v>
      </c>
      <c r="F99" s="2102"/>
      <c r="G99" s="2102"/>
      <c r="H99" s="2392"/>
      <c r="I99" s="2102"/>
      <c r="J99" s="2102"/>
      <c r="K99" s="2102">
        <v>1474</v>
      </c>
      <c r="L99" s="2370">
        <v>576</v>
      </c>
      <c r="M99" s="2370">
        <v>706</v>
      </c>
      <c r="O99" s="2372">
        <f>ROW()</f>
        <v>99</v>
      </c>
    </row>
    <row r="100" spans="2:15" ht="15" customHeight="1">
      <c r="B100" s="2370" t="s">
        <v>4065</v>
      </c>
      <c r="D100" s="2370">
        <v>66</v>
      </c>
      <c r="E100" s="2102">
        <v>4173748</v>
      </c>
      <c r="F100" s="2102"/>
      <c r="G100" s="2102"/>
      <c r="H100" s="2392"/>
      <c r="I100" s="2102"/>
      <c r="J100" s="2102"/>
      <c r="K100" s="2102">
        <v>12983</v>
      </c>
      <c r="L100" s="2102">
        <v>9666</v>
      </c>
      <c r="M100" s="2102">
        <v>6413</v>
      </c>
      <c r="O100" s="2372">
        <f>ROW()</f>
        <v>100</v>
      </c>
    </row>
    <row r="101" spans="2:15" ht="15" customHeight="1">
      <c r="B101" s="2370" t="s">
        <v>4066</v>
      </c>
      <c r="D101" s="2370">
        <v>82</v>
      </c>
      <c r="E101" s="2102">
        <v>3558444</v>
      </c>
      <c r="F101" s="2102"/>
      <c r="G101" s="2102"/>
      <c r="H101" s="2392"/>
      <c r="I101" s="2102"/>
      <c r="J101" s="2102"/>
      <c r="K101" s="2102">
        <v>10811</v>
      </c>
      <c r="L101" s="2102">
        <v>8690</v>
      </c>
      <c r="M101" s="2102">
        <v>6154</v>
      </c>
      <c r="O101" s="2372">
        <f>ROW()</f>
        <v>101</v>
      </c>
    </row>
    <row r="102" spans="2:15" ht="15" customHeight="1">
      <c r="B102" s="2370" t="s">
        <v>4067</v>
      </c>
      <c r="D102" s="2370">
        <v>165</v>
      </c>
      <c r="E102" s="2102">
        <v>818589</v>
      </c>
      <c r="F102" s="2102"/>
      <c r="G102" s="2102"/>
      <c r="H102" s="2392"/>
      <c r="I102" s="2102"/>
      <c r="J102" s="2102"/>
      <c r="K102" s="2102">
        <v>2785</v>
      </c>
      <c r="L102" s="2102">
        <v>1119</v>
      </c>
      <c r="M102" s="2370">
        <v>884</v>
      </c>
      <c r="O102" s="2372">
        <f>ROW()</f>
        <v>102</v>
      </c>
    </row>
    <row r="103" spans="2:15" ht="15" customHeight="1">
      <c r="B103" s="2370" t="s">
        <v>4068</v>
      </c>
      <c r="D103" s="2370">
        <v>6</v>
      </c>
      <c r="E103" s="2102">
        <v>12853601</v>
      </c>
      <c r="F103" s="2102"/>
      <c r="G103" s="2102"/>
      <c r="H103" s="2392"/>
      <c r="I103" s="2102"/>
      <c r="J103" s="2102"/>
      <c r="K103" s="2102">
        <v>38864</v>
      </c>
      <c r="L103" s="2102">
        <v>31216</v>
      </c>
      <c r="M103" s="2102">
        <v>23241</v>
      </c>
      <c r="O103" s="2372">
        <f>ROW()</f>
        <v>103</v>
      </c>
    </row>
    <row r="104" spans="2:15" ht="15" customHeight="1">
      <c r="B104" s="2370" t="s">
        <v>4069</v>
      </c>
      <c r="D104" s="2370">
        <v>45</v>
      </c>
      <c r="E104" s="2102">
        <v>5124070</v>
      </c>
      <c r="F104" s="2102"/>
      <c r="G104" s="2102"/>
      <c r="H104" s="2392"/>
      <c r="I104" s="2102"/>
      <c r="J104" s="2102"/>
      <c r="K104" s="2102">
        <v>16909</v>
      </c>
      <c r="L104" s="2102">
        <v>8229</v>
      </c>
      <c r="M104" s="2102">
        <v>6740</v>
      </c>
      <c r="O104" s="2372">
        <f>ROW()</f>
        <v>104</v>
      </c>
    </row>
    <row r="105" spans="2:15" ht="15" customHeight="1">
      <c r="B105" s="2370" t="s">
        <v>4070</v>
      </c>
      <c r="D105" s="2370">
        <v>158</v>
      </c>
      <c r="E105" s="2102">
        <v>978012</v>
      </c>
      <c r="F105" s="2102"/>
      <c r="G105" s="2102"/>
      <c r="H105" s="2392"/>
      <c r="I105" s="2102"/>
      <c r="J105" s="2102"/>
      <c r="K105" s="2102">
        <v>3197</v>
      </c>
      <c r="L105" s="2102">
        <v>1844</v>
      </c>
      <c r="M105" s="2102">
        <v>1194</v>
      </c>
      <c r="O105" s="2372">
        <f>ROW()</f>
        <v>105</v>
      </c>
    </row>
    <row r="106" spans="2:15" ht="15" customHeight="1">
      <c r="B106" s="2370" t="s">
        <v>4071</v>
      </c>
      <c r="D106" s="2370">
        <v>181</v>
      </c>
      <c r="E106" s="2102">
        <v>400660</v>
      </c>
      <c r="F106" s="2102"/>
      <c r="G106" s="2102"/>
      <c r="H106" s="2392"/>
      <c r="I106" s="2102"/>
      <c r="J106" s="2102"/>
      <c r="K106" s="2102">
        <v>1202</v>
      </c>
      <c r="L106" s="2370">
        <v>980</v>
      </c>
      <c r="M106" s="2370">
        <v>765</v>
      </c>
      <c r="O106" s="2372">
        <f>ROW()</f>
        <v>106</v>
      </c>
    </row>
    <row r="107" spans="2:15" ht="15" customHeight="1">
      <c r="B107" s="2370" t="s">
        <v>4072</v>
      </c>
      <c r="D107" s="2370">
        <v>7</v>
      </c>
      <c r="E107" s="2102">
        <v>12693709</v>
      </c>
      <c r="F107" s="2102"/>
      <c r="G107" s="2102"/>
      <c r="H107" s="2392"/>
      <c r="I107" s="2102"/>
      <c r="J107" s="2102"/>
      <c r="K107" s="2102">
        <v>38658</v>
      </c>
      <c r="L107" s="2102">
        <v>31884</v>
      </c>
      <c r="M107" s="2102">
        <v>20858</v>
      </c>
      <c r="O107" s="2372">
        <f>ROW()</f>
        <v>107</v>
      </c>
    </row>
    <row r="108" spans="2:15" ht="15" customHeight="1">
      <c r="B108" s="2370" t="s">
        <v>4073</v>
      </c>
      <c r="D108" s="2370">
        <v>141</v>
      </c>
      <c r="E108" s="2102">
        <v>1482165</v>
      </c>
      <c r="F108" s="2102"/>
      <c r="G108" s="2102"/>
      <c r="H108" s="2392"/>
      <c r="I108" s="2102"/>
      <c r="J108" s="2102"/>
      <c r="K108" s="2102">
        <v>4763</v>
      </c>
      <c r="L108" s="2102">
        <v>2930</v>
      </c>
      <c r="M108" s="2102">
        <v>1991</v>
      </c>
      <c r="O108" s="2372">
        <f>ROW()</f>
        <v>108</v>
      </c>
    </row>
    <row r="109" spans="2:15" ht="15" customHeight="1">
      <c r="B109" s="2370" t="s">
        <v>4074</v>
      </c>
      <c r="D109" s="2370">
        <v>75</v>
      </c>
      <c r="E109" s="2102">
        <v>3899276</v>
      </c>
      <c r="F109" s="2102"/>
      <c r="G109" s="2102"/>
      <c r="H109" s="2392"/>
      <c r="I109" s="2102"/>
      <c r="J109" s="2102"/>
      <c r="K109" s="2102">
        <v>12025</v>
      </c>
      <c r="L109" s="2102">
        <v>9015</v>
      </c>
      <c r="M109" s="2102">
        <v>6432</v>
      </c>
      <c r="O109" s="2372">
        <f>ROW()</f>
        <v>109</v>
      </c>
    </row>
    <row r="110" spans="2:15" ht="15" customHeight="1">
      <c r="B110" s="2370" t="s">
        <v>4075</v>
      </c>
      <c r="D110" s="2370">
        <v>5</v>
      </c>
      <c r="E110" s="2102">
        <v>13391324</v>
      </c>
      <c r="F110" s="2102"/>
      <c r="G110" s="2102"/>
      <c r="H110" s="2392"/>
      <c r="I110" s="2102"/>
      <c r="J110" s="2102"/>
      <c r="K110" s="2102">
        <v>41723</v>
      </c>
      <c r="L110" s="2102">
        <v>28642</v>
      </c>
      <c r="M110" s="2102">
        <v>22269</v>
      </c>
      <c r="O110" s="2372">
        <f>ROW()</f>
        <v>110</v>
      </c>
    </row>
    <row r="111" spans="2:15" ht="15" customHeight="1">
      <c r="B111" s="2370" t="s">
        <v>4076</v>
      </c>
      <c r="D111" s="2370">
        <v>97</v>
      </c>
      <c r="E111" s="2102">
        <v>2796785</v>
      </c>
      <c r="F111" s="2102"/>
      <c r="G111" s="2102"/>
      <c r="H111" s="2392"/>
      <c r="I111" s="2102"/>
      <c r="J111" s="2102"/>
      <c r="K111" s="2102">
        <v>8627</v>
      </c>
      <c r="L111" s="2102">
        <v>6629</v>
      </c>
      <c r="M111" s="2102">
        <v>4448</v>
      </c>
      <c r="O111" s="2372">
        <f>ROW()</f>
        <v>111</v>
      </c>
    </row>
    <row r="112" spans="2:15" ht="15" customHeight="1">
      <c r="B112" s="2370" t="s">
        <v>4077</v>
      </c>
      <c r="D112" s="2370">
        <v>1</v>
      </c>
      <c r="E112" s="2102">
        <v>16816652</v>
      </c>
      <c r="F112" s="2102"/>
      <c r="G112" s="2102"/>
      <c r="H112" s="2392"/>
      <c r="I112" s="2102"/>
      <c r="J112" s="2102"/>
      <c r="K112" s="2102">
        <v>51745</v>
      </c>
      <c r="L112" s="2102">
        <v>39201</v>
      </c>
      <c r="M112" s="2102">
        <v>27823</v>
      </c>
      <c r="O112" s="2372">
        <f>ROW()</f>
        <v>112</v>
      </c>
    </row>
    <row r="113" spans="2:15" ht="15" customHeight="1">
      <c r="B113" s="2370" t="s">
        <v>4078</v>
      </c>
      <c r="D113" s="2370">
        <v>68</v>
      </c>
      <c r="E113" s="2102">
        <v>4141297</v>
      </c>
      <c r="F113" s="2102"/>
      <c r="G113" s="2102"/>
      <c r="H113" s="2392"/>
      <c r="I113" s="2102"/>
      <c r="J113" s="2102"/>
      <c r="K113" s="2102">
        <v>12643</v>
      </c>
      <c r="L113" s="2102">
        <v>10191</v>
      </c>
      <c r="M113" s="2102">
        <v>6770</v>
      </c>
      <c r="O113" s="2372">
        <f>ROW()</f>
        <v>113</v>
      </c>
    </row>
    <row r="114" spans="2:15" ht="15" customHeight="1">
      <c r="B114" s="2370" t="s">
        <v>4079</v>
      </c>
      <c r="D114" s="2370">
        <v>131</v>
      </c>
      <c r="E114" s="2102">
        <v>1671189</v>
      </c>
      <c r="F114" s="2102"/>
      <c r="G114" s="2102"/>
      <c r="H114" s="2392"/>
      <c r="I114" s="2102"/>
      <c r="J114" s="2102"/>
      <c r="K114" s="2102">
        <v>5548</v>
      </c>
      <c r="L114" s="2102">
        <v>2681</v>
      </c>
      <c r="M114" s="2102">
        <v>2087</v>
      </c>
      <c r="O114" s="2372">
        <f>ROW()</f>
        <v>114</v>
      </c>
    </row>
    <row r="115" spans="2:15" ht="15" customHeight="1">
      <c r="B115" s="2370" t="s">
        <v>4080</v>
      </c>
      <c r="D115" s="2370">
        <v>38</v>
      </c>
      <c r="E115" s="2102">
        <v>5464059</v>
      </c>
      <c r="F115" s="2102"/>
      <c r="G115" s="2102"/>
      <c r="H115" s="2392"/>
      <c r="I115" s="2102"/>
      <c r="J115" s="2102"/>
      <c r="K115" s="2102">
        <v>17586</v>
      </c>
      <c r="L115" s="2102">
        <v>10051</v>
      </c>
      <c r="M115" s="2102">
        <v>8164</v>
      </c>
      <c r="O115" s="2372">
        <f>ROW()</f>
        <v>115</v>
      </c>
    </row>
    <row r="116" spans="2:15" ht="15" customHeight="1">
      <c r="B116" s="2370" t="s">
        <v>4081</v>
      </c>
      <c r="D116" s="2370">
        <v>189</v>
      </c>
      <c r="E116" s="2102">
        <v>225769</v>
      </c>
      <c r="F116" s="2102"/>
      <c r="G116" s="2102"/>
      <c r="H116" s="2392"/>
      <c r="I116" s="2102"/>
      <c r="J116" s="2102"/>
      <c r="K116" s="2370">
        <v>889</v>
      </c>
      <c r="L116" s="2370">
        <v>0</v>
      </c>
      <c r="M116" s="2370">
        <v>0</v>
      </c>
      <c r="O116" s="2372">
        <f>ROW()</f>
        <v>116</v>
      </c>
    </row>
    <row r="117" spans="2:15" ht="15" customHeight="1">
      <c r="B117" s="2370" t="s">
        <v>4082</v>
      </c>
      <c r="D117" s="2370">
        <v>60</v>
      </c>
      <c r="E117" s="2102">
        <v>4455699</v>
      </c>
      <c r="F117" s="2102"/>
      <c r="G117" s="2102"/>
      <c r="H117" s="2392"/>
      <c r="I117" s="2102"/>
      <c r="J117" s="2102"/>
      <c r="K117" s="2102">
        <v>14050</v>
      </c>
      <c r="L117" s="2102">
        <v>9467</v>
      </c>
      <c r="M117" s="2102">
        <v>6719</v>
      </c>
      <c r="O117" s="2372">
        <f>ROW()</f>
        <v>117</v>
      </c>
    </row>
    <row r="118" spans="2:15" ht="15" customHeight="1">
      <c r="B118" s="2370" t="s">
        <v>4083</v>
      </c>
      <c r="D118" s="2370">
        <v>76</v>
      </c>
      <c r="E118" s="2102">
        <v>3835588</v>
      </c>
      <c r="F118" s="2102"/>
      <c r="G118" s="2102"/>
      <c r="H118" s="2392"/>
      <c r="I118" s="2102"/>
      <c r="J118" s="2102"/>
      <c r="K118" s="2102">
        <v>12249</v>
      </c>
      <c r="L118" s="2102">
        <v>7664</v>
      </c>
      <c r="M118" s="2102">
        <v>5489</v>
      </c>
      <c r="O118" s="2372">
        <f>ROW()</f>
        <v>118</v>
      </c>
    </row>
    <row r="119" spans="2:15" ht="15" customHeight="1">
      <c r="B119" s="2370" t="s">
        <v>4084</v>
      </c>
      <c r="D119" s="2370">
        <v>55</v>
      </c>
      <c r="E119" s="2102">
        <v>4584501</v>
      </c>
      <c r="F119" s="2102"/>
      <c r="G119" s="2102"/>
      <c r="H119" s="2392"/>
      <c r="I119" s="2102"/>
      <c r="J119" s="2102"/>
      <c r="K119" s="2102">
        <v>14418</v>
      </c>
      <c r="L119" s="2102">
        <v>9632</v>
      </c>
      <c r="M119" s="2102">
        <v>7189</v>
      </c>
      <c r="O119" s="2372">
        <f>ROW()</f>
        <v>119</v>
      </c>
    </row>
    <row r="120" spans="2:15" ht="15" customHeight="1">
      <c r="B120" s="2370" t="s">
        <v>4085</v>
      </c>
      <c r="D120" s="2370">
        <v>39</v>
      </c>
      <c r="E120" s="2102">
        <v>5423524</v>
      </c>
      <c r="F120" s="2102"/>
      <c r="G120" s="2102"/>
      <c r="H120" s="2392"/>
      <c r="I120" s="2102"/>
      <c r="J120" s="2102"/>
      <c r="K120" s="2102">
        <v>17583</v>
      </c>
      <c r="L120" s="2102">
        <v>10197</v>
      </c>
      <c r="M120" s="2102">
        <v>7218</v>
      </c>
      <c r="O120" s="2372">
        <f>ROW()</f>
        <v>120</v>
      </c>
    </row>
    <row r="121" spans="2:15" ht="15" customHeight="1">
      <c r="B121" s="2370" t="s">
        <v>4086</v>
      </c>
      <c r="D121" s="2370">
        <v>56</v>
      </c>
      <c r="E121" s="2102">
        <v>4500359</v>
      </c>
      <c r="F121" s="2102"/>
      <c r="G121" s="2102"/>
      <c r="H121" s="2392"/>
      <c r="I121" s="2102"/>
      <c r="J121" s="2102"/>
      <c r="K121" s="2102">
        <v>13161</v>
      </c>
      <c r="L121" s="2102">
        <v>12050</v>
      </c>
      <c r="M121" s="2102">
        <v>9193</v>
      </c>
      <c r="O121" s="2372">
        <f>ROW()</f>
        <v>121</v>
      </c>
    </row>
    <row r="122" spans="2:15" ht="15" customHeight="1">
      <c r="B122" s="2370" t="s">
        <v>4087</v>
      </c>
      <c r="D122" s="2370">
        <v>114</v>
      </c>
      <c r="E122" s="2102">
        <v>2208096</v>
      </c>
      <c r="F122" s="2102"/>
      <c r="G122" s="2102"/>
      <c r="H122" s="2392"/>
      <c r="I122" s="2102"/>
      <c r="J122" s="2102"/>
      <c r="K122" s="2102">
        <v>6666</v>
      </c>
      <c r="L122" s="2102">
        <v>5293</v>
      </c>
      <c r="M122" s="2102">
        <v>4091</v>
      </c>
      <c r="O122" s="2372">
        <f>ROW()</f>
        <v>122</v>
      </c>
    </row>
    <row r="123" spans="2:15" ht="15" customHeight="1">
      <c r="B123" s="2370" t="s">
        <v>4088</v>
      </c>
      <c r="D123" s="2370">
        <v>142</v>
      </c>
      <c r="E123" s="2102">
        <v>1479566</v>
      </c>
      <c r="F123" s="2102"/>
      <c r="G123" s="2102"/>
      <c r="H123" s="2392"/>
      <c r="I123" s="2102"/>
      <c r="J123" s="2102"/>
      <c r="K123" s="2102">
        <v>4754</v>
      </c>
      <c r="L123" s="2102">
        <v>2923</v>
      </c>
      <c r="M123" s="2102">
        <v>2054</v>
      </c>
      <c r="O123" s="2372">
        <f>ROW()</f>
        <v>123</v>
      </c>
    </row>
    <row r="124" spans="2:15" ht="15" customHeight="1">
      <c r="B124" s="2370" t="s">
        <v>4089</v>
      </c>
      <c r="D124" s="2370">
        <v>123</v>
      </c>
      <c r="E124" s="2102">
        <v>1962007</v>
      </c>
      <c r="F124" s="2102"/>
      <c r="G124" s="2102"/>
      <c r="H124" s="2392"/>
      <c r="I124" s="2102"/>
      <c r="J124" s="2102"/>
      <c r="K124" s="2102">
        <v>6560</v>
      </c>
      <c r="L124" s="2102">
        <v>3149</v>
      </c>
      <c r="M124" s="2102">
        <v>2274</v>
      </c>
      <c r="O124" s="2372">
        <f>ROW()</f>
        <v>124</v>
      </c>
    </row>
    <row r="125" spans="2:15" ht="15" customHeight="1">
      <c r="B125" s="2370" t="s">
        <v>4090</v>
      </c>
      <c r="D125" s="2370">
        <v>32</v>
      </c>
      <c r="E125" s="2102">
        <v>6011680</v>
      </c>
      <c r="F125" s="2102"/>
      <c r="G125" s="2102"/>
      <c r="H125" s="2392"/>
      <c r="I125" s="2102"/>
      <c r="J125" s="2102"/>
      <c r="K125" s="2102">
        <v>17988</v>
      </c>
      <c r="L125" s="2102">
        <v>13368</v>
      </c>
      <c r="M125" s="2102">
        <v>12783</v>
      </c>
      <c r="O125" s="2372">
        <f>ROW()</f>
        <v>125</v>
      </c>
    </row>
    <row r="126" spans="2:15" ht="15" customHeight="1">
      <c r="B126" s="2370" t="s">
        <v>4091</v>
      </c>
      <c r="D126" s="2370">
        <v>168</v>
      </c>
      <c r="E126" s="2102">
        <v>685494</v>
      </c>
      <c r="F126" s="2102"/>
      <c r="G126" s="2102"/>
      <c r="H126" s="2392"/>
      <c r="K126" s="2102">
        <v>2286</v>
      </c>
      <c r="L126" s="2102">
        <v>1089</v>
      </c>
      <c r="M126" s="2370">
        <v>830</v>
      </c>
      <c r="O126" s="2372">
        <f>ROW()</f>
        <v>126</v>
      </c>
    </row>
    <row r="127" spans="2:15" ht="15" customHeight="1">
      <c r="B127" s="2370" t="s">
        <v>4092</v>
      </c>
      <c r="D127" s="2370">
        <v>136</v>
      </c>
      <c r="E127" s="2102">
        <v>1509235</v>
      </c>
      <c r="F127" s="2102"/>
      <c r="G127" s="2102"/>
      <c r="H127" s="2392"/>
      <c r="I127" s="2102"/>
      <c r="J127" s="2102"/>
      <c r="K127" s="2102">
        <v>4770</v>
      </c>
      <c r="L127" s="2102">
        <v>2967</v>
      </c>
      <c r="M127" s="2102">
        <v>2472</v>
      </c>
      <c r="O127" s="2372">
        <f>ROW()</f>
        <v>127</v>
      </c>
    </row>
    <row r="128" spans="2:15" ht="15" customHeight="1">
      <c r="B128" s="2370" t="s">
        <v>4093</v>
      </c>
      <c r="D128" s="2370">
        <v>183</v>
      </c>
      <c r="E128" s="2102">
        <v>335157</v>
      </c>
      <c r="F128" s="2102"/>
      <c r="G128" s="2102"/>
      <c r="H128" s="2392"/>
      <c r="I128" s="2102"/>
      <c r="J128" s="2102"/>
      <c r="K128" s="2102">
        <v>1044</v>
      </c>
      <c r="L128" s="2370">
        <v>716</v>
      </c>
      <c r="M128" s="2370">
        <v>579</v>
      </c>
      <c r="O128" s="2372">
        <f>ROW()</f>
        <v>128</v>
      </c>
    </row>
    <row r="129" spans="2:15" ht="15" customHeight="1">
      <c r="B129" s="2370" t="s">
        <v>4094</v>
      </c>
      <c r="D129" s="2370">
        <v>147</v>
      </c>
      <c r="E129" s="2102">
        <v>1338203</v>
      </c>
      <c r="F129" s="2102"/>
      <c r="G129" s="2102"/>
      <c r="H129" s="2392"/>
      <c r="I129" s="2102"/>
      <c r="J129" s="2102"/>
      <c r="K129" s="2102">
        <v>4278</v>
      </c>
      <c r="L129" s="2102">
        <v>2525</v>
      </c>
      <c r="M129" s="2102">
        <v>2022</v>
      </c>
      <c r="O129" s="2372">
        <f>ROW()</f>
        <v>129</v>
      </c>
    </row>
    <row r="130" spans="2:15" ht="15" customHeight="1">
      <c r="B130" s="2370" t="s">
        <v>4095</v>
      </c>
      <c r="D130" s="2370">
        <v>155</v>
      </c>
      <c r="E130" s="2102">
        <v>1036235</v>
      </c>
      <c r="F130" s="2102"/>
      <c r="G130" s="2102"/>
      <c r="H130" s="2392"/>
      <c r="I130" s="2102"/>
      <c r="J130" s="2102"/>
      <c r="K130" s="2102">
        <v>3331</v>
      </c>
      <c r="L130" s="2102">
        <v>2154</v>
      </c>
      <c r="M130" s="2102">
        <v>1336</v>
      </c>
      <c r="O130" s="2372">
        <f>ROW()</f>
        <v>130</v>
      </c>
    </row>
    <row r="131" spans="2:15" ht="15" customHeight="1">
      <c r="B131" s="2370" t="s">
        <v>4096</v>
      </c>
      <c r="D131" s="2370">
        <v>150</v>
      </c>
      <c r="E131" s="2102">
        <v>1268247</v>
      </c>
      <c r="F131" s="2102"/>
      <c r="G131" s="2102"/>
      <c r="H131" s="2392"/>
      <c r="I131" s="2102"/>
      <c r="J131" s="2102"/>
      <c r="K131" s="2102">
        <v>3983</v>
      </c>
      <c r="L131" s="2102">
        <v>2721</v>
      </c>
      <c r="M131" s="2102">
        <v>1928</v>
      </c>
      <c r="O131" s="2372">
        <f>ROW()</f>
        <v>131</v>
      </c>
    </row>
    <row r="132" spans="2:15" ht="15" customHeight="1">
      <c r="B132" s="2370" t="s">
        <v>4097</v>
      </c>
      <c r="D132" s="2370">
        <v>14</v>
      </c>
      <c r="E132" s="2102">
        <v>8914278</v>
      </c>
      <c r="F132" s="2102"/>
      <c r="G132" s="2102"/>
      <c r="H132" s="2392"/>
      <c r="I132" s="2102"/>
      <c r="J132" s="2102"/>
      <c r="K132" s="2102">
        <v>27945</v>
      </c>
      <c r="L132" s="2102">
        <v>17552</v>
      </c>
      <c r="M132" s="2102">
        <v>15344</v>
      </c>
      <c r="O132" s="2372">
        <f>ROW()</f>
        <v>132</v>
      </c>
    </row>
    <row r="133" spans="2:15" ht="15" customHeight="1">
      <c r="B133" s="2370" t="s">
        <v>4098</v>
      </c>
      <c r="D133" s="2370">
        <v>94</v>
      </c>
      <c r="E133" s="2102">
        <v>2982176</v>
      </c>
      <c r="F133" s="2102"/>
      <c r="G133" s="2102"/>
      <c r="H133" s="2392"/>
      <c r="I133" s="2102"/>
      <c r="J133" s="2102"/>
      <c r="K133" s="2102">
        <v>9419</v>
      </c>
      <c r="L133" s="2102">
        <v>6027</v>
      </c>
      <c r="M133" s="2102">
        <v>4707</v>
      </c>
      <c r="O133" s="2372">
        <f>ROW()</f>
        <v>133</v>
      </c>
    </row>
    <row r="134" spans="2:15" ht="15" customHeight="1">
      <c r="B134" s="2375" t="s">
        <v>228</v>
      </c>
      <c r="C134" s="2375"/>
      <c r="D134" s="2375"/>
      <c r="E134" s="2382">
        <f>SUM(E85:E133)</f>
        <v>208344217</v>
      </c>
      <c r="F134" s="2102"/>
      <c r="G134" s="2102"/>
      <c r="H134" s="4859" t="s">
        <v>4031</v>
      </c>
      <c r="I134" s="2102"/>
      <c r="J134" s="2102"/>
      <c r="K134" s="2102"/>
      <c r="L134" s="2102"/>
      <c r="M134" s="2102"/>
      <c r="O134" s="2372">
        <f>ROW()</f>
        <v>134</v>
      </c>
    </row>
    <row r="135" spans="2:15" ht="15" customHeight="1">
      <c r="E135" s="2102"/>
      <c r="F135" s="2102"/>
      <c r="G135" s="2102"/>
      <c r="H135" s="3807"/>
      <c r="I135" s="2102"/>
      <c r="J135" s="2102"/>
      <c r="K135" s="2102"/>
      <c r="L135" s="2102"/>
      <c r="M135" s="2102"/>
      <c r="O135" s="2372">
        <f>ROW()</f>
        <v>135</v>
      </c>
    </row>
    <row r="136" spans="2:15" ht="15" customHeight="1">
      <c r="B136" s="2391" t="s">
        <v>4034</v>
      </c>
      <c r="C136" s="2400"/>
      <c r="E136" s="2102"/>
      <c r="F136" s="4055" t="s">
        <v>4032</v>
      </c>
      <c r="G136" s="4055" t="s">
        <v>4033</v>
      </c>
      <c r="H136" s="3807"/>
      <c r="I136" s="2102"/>
      <c r="J136" s="2102"/>
      <c r="K136" s="2102"/>
      <c r="L136" s="2102"/>
      <c r="M136" s="2102"/>
      <c r="O136" s="2372">
        <f>ROW()</f>
        <v>136</v>
      </c>
    </row>
    <row r="137" spans="2:15" ht="15" customHeight="1">
      <c r="B137" s="2400"/>
      <c r="C137" s="2400"/>
      <c r="E137" s="2102"/>
      <c r="F137" s="3781"/>
      <c r="G137" s="3781"/>
      <c r="H137" s="3807"/>
      <c r="I137" s="2102"/>
      <c r="J137" s="2102"/>
      <c r="K137" s="2102"/>
      <c r="L137" s="2102"/>
      <c r="M137" s="2102"/>
      <c r="O137" s="2372">
        <f>ROW()</f>
        <v>137</v>
      </c>
    </row>
    <row r="138" spans="2:15" ht="15" customHeight="1">
      <c r="B138" s="2370" t="s">
        <v>4099</v>
      </c>
      <c r="D138" s="2370">
        <v>122</v>
      </c>
      <c r="E138" s="2102">
        <v>1968513</v>
      </c>
      <c r="F138" s="2393">
        <f>1-G138</f>
        <v>0.7</v>
      </c>
      <c r="G138" s="2393">
        <v>0.3</v>
      </c>
      <c r="H138" s="2371" t="s">
        <v>1484</v>
      </c>
      <c r="K138" s="2102">
        <v>6373</v>
      </c>
      <c r="L138" s="2102">
        <v>3660</v>
      </c>
      <c r="M138" s="2102">
        <v>2711</v>
      </c>
      <c r="O138" s="2372">
        <f>ROW()</f>
        <v>138</v>
      </c>
    </row>
    <row r="139" spans="2:15" ht="15" customHeight="1">
      <c r="B139" s="2370" t="s">
        <v>4100</v>
      </c>
      <c r="D139" s="2370">
        <v>21</v>
      </c>
      <c r="E139" s="2102">
        <v>7571819</v>
      </c>
      <c r="F139" s="2393">
        <f>1-G139</f>
        <v>0.8</v>
      </c>
      <c r="G139" s="2393">
        <v>0.2</v>
      </c>
      <c r="H139" s="2371" t="s">
        <v>1484</v>
      </c>
      <c r="K139" s="2102">
        <v>23010</v>
      </c>
      <c r="L139" s="2102">
        <v>16969</v>
      </c>
      <c r="M139" s="2102">
        <v>14353</v>
      </c>
      <c r="O139" s="2372">
        <f>ROW()</f>
        <v>139</v>
      </c>
    </row>
    <row r="140" spans="2:15" ht="15" customHeight="1">
      <c r="B140" s="2370" t="s">
        <v>4101</v>
      </c>
      <c r="D140" s="2370">
        <v>157</v>
      </c>
      <c r="E140" s="2102">
        <v>987968</v>
      </c>
      <c r="F140" s="2393">
        <f>1-G140</f>
        <v>0.7</v>
      </c>
      <c r="G140" s="2393">
        <v>0.3</v>
      </c>
      <c r="H140" s="2371" t="s">
        <v>1484</v>
      </c>
      <c r="K140" s="2102">
        <v>3210</v>
      </c>
      <c r="L140" s="2102">
        <v>1805</v>
      </c>
      <c r="M140" s="2102">
        <v>1333</v>
      </c>
      <c r="O140" s="2372">
        <f>ROW()</f>
        <v>140</v>
      </c>
    </row>
    <row r="141" spans="2:15" ht="15" customHeight="1">
      <c r="B141" s="2370" t="s">
        <v>4102</v>
      </c>
      <c r="D141" s="2370">
        <v>28</v>
      </c>
      <c r="E141" s="2102">
        <v>6853080</v>
      </c>
      <c r="F141" s="2393">
        <f>1-G141</f>
        <v>0.9</v>
      </c>
      <c r="G141" s="2393">
        <v>0.1</v>
      </c>
      <c r="H141" s="2371" t="s">
        <v>1484</v>
      </c>
      <c r="K141" s="2102">
        <v>22043</v>
      </c>
      <c r="L141" s="2102">
        <v>13362</v>
      </c>
      <c r="M141" s="2102">
        <v>9515</v>
      </c>
      <c r="O141" s="2372">
        <f>ROW()</f>
        <v>141</v>
      </c>
    </row>
    <row r="142" spans="2:15" ht="15" customHeight="1">
      <c r="B142" s="2370" t="s">
        <v>4103</v>
      </c>
      <c r="D142" s="2370">
        <v>132</v>
      </c>
      <c r="E142" s="2102">
        <v>1639923</v>
      </c>
      <c r="F142" s="2393">
        <f>1-G142</f>
        <v>0.9</v>
      </c>
      <c r="G142" s="2393">
        <v>0.1</v>
      </c>
      <c r="H142" s="2371" t="s">
        <v>1484</v>
      </c>
      <c r="K142" s="2102">
        <v>5471</v>
      </c>
      <c r="L142" s="2102">
        <v>2688</v>
      </c>
      <c r="M142" s="2102">
        <v>1830</v>
      </c>
      <c r="O142" s="2372">
        <f>ROW()</f>
        <v>142</v>
      </c>
    </row>
    <row r="143" spans="2:15" ht="15" customHeight="1">
      <c r="B143" s="2375" t="s">
        <v>228</v>
      </c>
      <c r="C143" s="2375"/>
      <c r="D143" s="2394" t="s">
        <v>4046</v>
      </c>
      <c r="E143" s="2395">
        <f>SUM(E138:E142)</f>
        <v>19021303</v>
      </c>
      <c r="F143" s="2396">
        <f>SUMPRODUCT(E138:E142,F138:F142)</f>
        <v>15770694.599999998</v>
      </c>
      <c r="G143" s="2397" t="s">
        <v>4047</v>
      </c>
      <c r="H143" s="2398"/>
      <c r="I143" s="2102"/>
      <c r="J143" s="2102"/>
      <c r="K143" s="2102"/>
      <c r="L143" s="2102"/>
      <c r="M143" s="2102"/>
      <c r="O143" s="2372">
        <f>ROW()</f>
        <v>143</v>
      </c>
    </row>
    <row r="144" spans="2:15" ht="15" customHeight="1">
      <c r="E144" s="2102"/>
      <c r="F144" s="2102"/>
      <c r="G144" s="2102"/>
      <c r="H144" s="2392"/>
      <c r="I144" s="2102"/>
      <c r="J144" s="2102"/>
      <c r="K144" s="2102"/>
      <c r="L144" s="2102"/>
      <c r="M144" s="2102"/>
      <c r="O144" s="2372">
        <f>ROW()</f>
        <v>144</v>
      </c>
    </row>
    <row r="145" spans="2:15" ht="15" customHeight="1">
      <c r="B145" s="2391" t="s">
        <v>4104</v>
      </c>
      <c r="C145" s="2400"/>
      <c r="E145" s="2382">
        <f>SUMPRODUCT(E243,G243)+SUMPRODUCT(E245:E247,G245:G247)+SUMPRODUCT(E281:E283,G281:G283)</f>
        <v>4478927.9000000004</v>
      </c>
      <c r="F145" s="2102"/>
      <c r="G145" s="2102"/>
      <c r="H145" s="2392"/>
      <c r="I145" s="2102"/>
      <c r="J145" s="2102"/>
      <c r="K145" s="2102"/>
      <c r="L145" s="2102"/>
      <c r="M145" s="2102"/>
      <c r="O145" s="2372">
        <f>ROW()</f>
        <v>145</v>
      </c>
    </row>
    <row r="146" spans="2:15" ht="15" customHeight="1">
      <c r="E146" s="2102"/>
      <c r="F146" s="2102"/>
      <c r="G146" s="2102"/>
      <c r="H146" s="2392"/>
      <c r="I146" s="2102"/>
      <c r="J146" s="2102"/>
      <c r="K146" s="2102"/>
      <c r="L146" s="2102"/>
      <c r="M146" s="2102"/>
      <c r="O146" s="2372">
        <f>ROW()</f>
        <v>146</v>
      </c>
    </row>
    <row r="147" spans="2:15" ht="15" customHeight="1">
      <c r="B147" s="2373" t="s">
        <v>4105</v>
      </c>
      <c r="C147" s="2373"/>
      <c r="D147" s="2401"/>
      <c r="E147" s="2399">
        <f>SUM(E145,F143,E134)</f>
        <v>228593839.5</v>
      </c>
      <c r="F147" s="2102"/>
      <c r="G147" s="2102"/>
      <c r="H147" s="2392"/>
      <c r="I147" s="2102"/>
      <c r="J147" s="2102"/>
      <c r="K147" s="2102"/>
      <c r="L147" s="2102"/>
      <c r="M147" s="2102"/>
      <c r="O147" s="2372">
        <f>ROW()</f>
        <v>147</v>
      </c>
    </row>
    <row r="148" spans="2:15" ht="15" customHeight="1">
      <c r="E148" s="2102"/>
      <c r="F148" s="2102"/>
      <c r="G148" s="2102"/>
      <c r="H148" s="2392"/>
      <c r="I148" s="2102"/>
      <c r="J148" s="2102"/>
      <c r="K148" s="2102"/>
      <c r="L148" s="2102"/>
      <c r="M148" s="2102"/>
      <c r="O148" s="2372">
        <f>ROW()</f>
        <v>148</v>
      </c>
    </row>
    <row r="149" spans="2:15" ht="15" customHeight="1">
      <c r="B149" s="2373" t="s">
        <v>220</v>
      </c>
      <c r="C149" s="2375"/>
      <c r="I149" s="2102"/>
      <c r="J149" s="2102"/>
      <c r="O149" s="2372">
        <f>ROW()</f>
        <v>149</v>
      </c>
    </row>
    <row r="150" spans="2:15" ht="15" customHeight="1">
      <c r="B150" s="2375"/>
      <c r="C150" s="2375"/>
      <c r="I150" s="2102"/>
      <c r="J150" s="2102"/>
      <c r="O150" s="2372">
        <f>ROW()</f>
        <v>150</v>
      </c>
    </row>
    <row r="151" spans="2:15" ht="15" customHeight="1">
      <c r="B151" s="2391" t="s">
        <v>4005</v>
      </c>
      <c r="C151" s="2400"/>
      <c r="I151" s="2102"/>
      <c r="J151" s="2102"/>
      <c r="O151" s="2372">
        <f>ROW()</f>
        <v>151</v>
      </c>
    </row>
    <row r="152" spans="2:15" ht="15" customHeight="1">
      <c r="B152" s="2370" t="s">
        <v>4106</v>
      </c>
      <c r="D152" s="2370">
        <v>51</v>
      </c>
      <c r="E152" s="2102">
        <v>4747390</v>
      </c>
      <c r="F152" s="2102"/>
      <c r="G152" s="2102"/>
      <c r="H152" s="2392"/>
      <c r="I152" s="2102"/>
      <c r="J152" s="2102"/>
      <c r="K152" s="2102">
        <v>15898</v>
      </c>
      <c r="L152" s="2102">
        <v>7549</v>
      </c>
      <c r="M152" s="2102">
        <v>5428</v>
      </c>
      <c r="O152" s="2372">
        <f>ROW()</f>
        <v>152</v>
      </c>
    </row>
    <row r="153" spans="2:15" ht="15" customHeight="1">
      <c r="B153" s="2370" t="s">
        <v>4107</v>
      </c>
      <c r="D153" s="2370">
        <v>64</v>
      </c>
      <c r="E153" s="2102">
        <v>4281757</v>
      </c>
      <c r="F153" s="2102"/>
      <c r="G153" s="2102"/>
      <c r="H153" s="2392"/>
      <c r="I153" s="2102"/>
      <c r="J153" s="2102"/>
      <c r="K153" s="2102">
        <v>13923</v>
      </c>
      <c r="L153" s="2102">
        <v>7755</v>
      </c>
      <c r="M153" s="2102">
        <v>5900</v>
      </c>
      <c r="O153" s="2372">
        <f>ROW()</f>
        <v>153</v>
      </c>
    </row>
    <row r="154" spans="2:15" ht="15" customHeight="1">
      <c r="B154" s="2370" t="s">
        <v>4108</v>
      </c>
      <c r="D154" s="2370">
        <v>37</v>
      </c>
      <c r="E154" s="2102">
        <v>5547407</v>
      </c>
      <c r="F154" s="2102"/>
      <c r="G154" s="2102"/>
      <c r="H154" s="2392"/>
      <c r="I154" s="2102"/>
      <c r="J154" s="2102"/>
      <c r="K154" s="2102">
        <v>17410</v>
      </c>
      <c r="L154" s="2102">
        <v>11946</v>
      </c>
      <c r="M154" s="2102">
        <v>8608</v>
      </c>
      <c r="O154" s="2372">
        <f>ROW()</f>
        <v>154</v>
      </c>
    </row>
    <row r="155" spans="2:15" ht="15" customHeight="1">
      <c r="B155" s="2370" t="s">
        <v>4109</v>
      </c>
      <c r="D155" s="2370">
        <v>26</v>
      </c>
      <c r="E155" s="2102">
        <v>6887897</v>
      </c>
      <c r="F155" s="2102"/>
      <c r="G155" s="2102"/>
      <c r="H155" s="2392"/>
      <c r="I155" s="2102"/>
      <c r="J155" s="2102"/>
      <c r="K155" s="2102">
        <v>22499</v>
      </c>
      <c r="L155" s="2102">
        <v>11872</v>
      </c>
      <c r="M155" s="2102">
        <v>9580</v>
      </c>
      <c r="O155" s="2372">
        <f>ROW()</f>
        <v>155</v>
      </c>
    </row>
    <row r="156" spans="2:15" ht="15" customHeight="1">
      <c r="B156" s="2370" t="s">
        <v>4110</v>
      </c>
      <c r="D156" s="2370">
        <v>72</v>
      </c>
      <c r="E156" s="2102">
        <v>4005787</v>
      </c>
      <c r="F156" s="2102"/>
      <c r="G156" s="2102"/>
      <c r="H156" s="2392"/>
      <c r="I156" s="2102"/>
      <c r="J156" s="2102"/>
      <c r="K156" s="2102">
        <v>11947</v>
      </c>
      <c r="L156" s="2102">
        <v>10122</v>
      </c>
      <c r="M156" s="2102">
        <v>7675</v>
      </c>
      <c r="O156" s="2372">
        <f>ROW()</f>
        <v>156</v>
      </c>
    </row>
    <row r="157" spans="2:15" ht="15" customHeight="1">
      <c r="B157" s="2370" t="s">
        <v>4111</v>
      </c>
      <c r="D157" s="2370">
        <v>143</v>
      </c>
      <c r="E157" s="2102">
        <v>1479383</v>
      </c>
      <c r="F157" s="2102"/>
      <c r="G157" s="2102"/>
      <c r="H157" s="2392"/>
      <c r="I157" s="2102"/>
      <c r="J157" s="2102"/>
      <c r="K157" s="2102">
        <v>4479</v>
      </c>
      <c r="L157" s="2102">
        <v>3559</v>
      </c>
      <c r="M157" s="2102">
        <v>2658</v>
      </c>
      <c r="O157" s="2372">
        <f>ROW()</f>
        <v>157</v>
      </c>
    </row>
    <row r="158" spans="2:15" ht="15" customHeight="1">
      <c r="B158" s="2370" t="s">
        <v>4112</v>
      </c>
      <c r="D158" s="2370">
        <v>34</v>
      </c>
      <c r="E158" s="2102">
        <v>5730503</v>
      </c>
      <c r="F158" s="2102"/>
      <c r="G158" s="2102"/>
      <c r="H158" s="2392"/>
      <c r="I158" s="2102"/>
      <c r="J158" s="2102"/>
      <c r="K158" s="2102">
        <v>17398</v>
      </c>
      <c r="L158" s="2102">
        <v>13218</v>
      </c>
      <c r="M158" s="2102">
        <v>10785</v>
      </c>
      <c r="O158" s="2372">
        <f>ROW()</f>
        <v>158</v>
      </c>
    </row>
    <row r="159" spans="2:15" ht="15" customHeight="1">
      <c r="B159" s="2370" t="s">
        <v>4113</v>
      </c>
      <c r="D159" s="2370">
        <v>163</v>
      </c>
      <c r="E159" s="2102">
        <v>847265</v>
      </c>
      <c r="F159" s="2102"/>
      <c r="G159" s="2102"/>
      <c r="H159" s="2392"/>
      <c r="I159" s="2102"/>
      <c r="J159" s="2102"/>
      <c r="K159" s="2102">
        <v>2811</v>
      </c>
      <c r="L159" s="2102">
        <v>1353</v>
      </c>
      <c r="M159" s="2102">
        <v>1076</v>
      </c>
      <c r="O159" s="2372">
        <f>ROW()</f>
        <v>159</v>
      </c>
    </row>
    <row r="160" spans="2:15" ht="15" customHeight="1">
      <c r="B160" s="2370" t="s">
        <v>4114</v>
      </c>
      <c r="D160" s="2370">
        <v>128</v>
      </c>
      <c r="E160" s="2102">
        <v>1814151</v>
      </c>
      <c r="F160" s="2102"/>
      <c r="G160" s="2102"/>
      <c r="H160" s="2392"/>
      <c r="I160" s="2102"/>
      <c r="J160" s="2102"/>
      <c r="K160" s="2102">
        <v>5844</v>
      </c>
      <c r="L160" s="2102">
        <v>3197</v>
      </c>
      <c r="M160" s="2102">
        <v>2795</v>
      </c>
      <c r="O160" s="2372">
        <f>ROW()</f>
        <v>160</v>
      </c>
    </row>
    <row r="161" spans="2:15" ht="15" customHeight="1">
      <c r="B161" s="2370" t="s">
        <v>4115</v>
      </c>
      <c r="D161" s="2370">
        <v>81</v>
      </c>
      <c r="E161" s="2102">
        <v>3576627</v>
      </c>
      <c r="F161" s="2102"/>
      <c r="G161" s="2102"/>
      <c r="H161" s="2392"/>
      <c r="I161" s="2102"/>
      <c r="J161" s="2102"/>
      <c r="K161" s="2102">
        <v>10903</v>
      </c>
      <c r="L161" s="2102">
        <v>8316</v>
      </c>
      <c r="M161" s="2102">
        <v>6439</v>
      </c>
      <c r="O161" s="2372">
        <f>ROW()</f>
        <v>161</v>
      </c>
    </row>
    <row r="162" spans="2:15" ht="15" customHeight="1">
      <c r="B162" s="2370" t="s">
        <v>4116</v>
      </c>
      <c r="D162" s="2370">
        <v>63</v>
      </c>
      <c r="E162" s="2102">
        <v>4328650</v>
      </c>
      <c r="F162" s="2102"/>
      <c r="G162" s="2102"/>
      <c r="H162" s="2392"/>
      <c r="I162" s="2102"/>
      <c r="J162" s="2102"/>
      <c r="K162" s="2102">
        <v>13823</v>
      </c>
      <c r="L162" s="2102">
        <v>7862</v>
      </c>
      <c r="M162" s="2102">
        <v>7066</v>
      </c>
      <c r="O162" s="2372">
        <f>ROW()</f>
        <v>162</v>
      </c>
    </row>
    <row r="163" spans="2:15" ht="15" customHeight="1">
      <c r="B163" s="2370" t="s">
        <v>4117</v>
      </c>
      <c r="D163" s="2370">
        <v>9</v>
      </c>
      <c r="E163" s="2102">
        <v>12036852</v>
      </c>
      <c r="F163" s="2102"/>
      <c r="G163" s="2102"/>
      <c r="H163" s="2392"/>
      <c r="I163" s="2102"/>
      <c r="J163" s="2102"/>
      <c r="K163" s="2102">
        <v>37913</v>
      </c>
      <c r="L163" s="2102">
        <v>24531</v>
      </c>
      <c r="M163" s="2102">
        <v>19363</v>
      </c>
      <c r="O163" s="2372">
        <f>ROW()</f>
        <v>163</v>
      </c>
    </row>
    <row r="164" spans="2:15" ht="15" customHeight="1">
      <c r="B164" s="2370" t="s">
        <v>4118</v>
      </c>
      <c r="D164" s="2370">
        <v>2</v>
      </c>
      <c r="E164" s="2102">
        <v>16541900</v>
      </c>
      <c r="F164" s="2102"/>
      <c r="G164" s="2102"/>
      <c r="H164" s="2392"/>
      <c r="I164" s="2102"/>
      <c r="J164" s="2102"/>
      <c r="K164" s="2102">
        <v>53358</v>
      </c>
      <c r="L164" s="2102">
        <v>29533</v>
      </c>
      <c r="M164" s="2102">
        <v>24972</v>
      </c>
      <c r="O164" s="2372">
        <f>ROW()</f>
        <v>164</v>
      </c>
    </row>
    <row r="165" spans="2:15" ht="15" customHeight="1">
      <c r="B165" s="2370" t="s">
        <v>4119</v>
      </c>
      <c r="D165" s="2370">
        <v>108</v>
      </c>
      <c r="E165" s="2102">
        <v>2492402</v>
      </c>
      <c r="F165" s="2102"/>
      <c r="G165" s="2102"/>
      <c r="H165" s="2392"/>
      <c r="I165" s="2102"/>
      <c r="J165" s="2102"/>
      <c r="K165" s="2102">
        <v>8376</v>
      </c>
      <c r="L165" s="2102">
        <v>3719</v>
      </c>
      <c r="M165" s="2102">
        <v>2932</v>
      </c>
      <c r="O165" s="2372">
        <f>ROW()</f>
        <v>165</v>
      </c>
    </row>
    <row r="166" spans="2:15" ht="15" customHeight="1">
      <c r="B166" s="2370" t="s">
        <v>4120</v>
      </c>
      <c r="D166" s="2370">
        <v>186</v>
      </c>
      <c r="E166" s="2102">
        <v>286422</v>
      </c>
      <c r="F166" s="2102"/>
      <c r="G166" s="2102"/>
      <c r="H166" s="2392"/>
      <c r="I166" s="2102"/>
      <c r="J166" s="2102"/>
      <c r="K166" s="2370">
        <v>950</v>
      </c>
      <c r="L166" s="2370">
        <v>416</v>
      </c>
      <c r="M166" s="2370">
        <v>412</v>
      </c>
      <c r="O166" s="2372">
        <f>ROW()</f>
        <v>166</v>
      </c>
    </row>
    <row r="167" spans="2:15" ht="15" customHeight="1">
      <c r="B167" s="2370" t="s">
        <v>4121</v>
      </c>
      <c r="D167" s="2370">
        <v>149</v>
      </c>
      <c r="E167" s="2102">
        <v>1294431</v>
      </c>
      <c r="F167" s="2102"/>
      <c r="G167" s="2102"/>
      <c r="H167" s="2392"/>
      <c r="I167" s="2102"/>
      <c r="J167" s="2102"/>
      <c r="K167" s="2102">
        <v>4014</v>
      </c>
      <c r="L167" s="2102">
        <v>2953</v>
      </c>
      <c r="M167" s="2102">
        <v>2082</v>
      </c>
      <c r="O167" s="2372">
        <f>ROW()</f>
        <v>167</v>
      </c>
    </row>
    <row r="168" spans="2:15" ht="15" customHeight="1">
      <c r="B168" s="2370" t="s">
        <v>4122</v>
      </c>
      <c r="D168" s="2370">
        <v>171</v>
      </c>
      <c r="E168" s="2102">
        <v>561567</v>
      </c>
      <c r="F168" s="2102"/>
      <c r="G168" s="2102"/>
      <c r="H168" s="2392"/>
      <c r="I168" s="2102"/>
      <c r="J168" s="2102"/>
      <c r="K168" s="2102">
        <v>1923</v>
      </c>
      <c r="L168" s="2370">
        <v>792</v>
      </c>
      <c r="M168" s="2370">
        <v>551</v>
      </c>
      <c r="O168" s="2372">
        <f>ROW()</f>
        <v>168</v>
      </c>
    </row>
    <row r="169" spans="2:15" ht="15" customHeight="1">
      <c r="B169" s="2370" t="s">
        <v>4123</v>
      </c>
      <c r="D169" s="2370">
        <v>151</v>
      </c>
      <c r="E169" s="2102">
        <v>1259993</v>
      </c>
      <c r="F169" s="2102"/>
      <c r="G169" s="2102"/>
      <c r="H169" s="2392"/>
      <c r="I169" s="2102"/>
      <c r="J169" s="2102"/>
      <c r="K169" s="2102">
        <v>4250</v>
      </c>
      <c r="L169" s="2102">
        <v>1943</v>
      </c>
      <c r="M169" s="2102">
        <v>1334</v>
      </c>
      <c r="O169" s="2372">
        <f>ROW()</f>
        <v>169</v>
      </c>
    </row>
    <row r="170" spans="2:15" ht="15" customHeight="1">
      <c r="B170" s="2370" t="s">
        <v>4124</v>
      </c>
      <c r="D170" s="2370">
        <v>43</v>
      </c>
      <c r="E170" s="2102">
        <v>5312535</v>
      </c>
      <c r="F170" s="2102"/>
      <c r="G170" s="2102"/>
      <c r="H170" s="2392"/>
      <c r="I170" s="2102"/>
      <c r="J170" s="2102"/>
      <c r="K170" s="2102">
        <v>17671</v>
      </c>
      <c r="L170" s="2102">
        <v>8993</v>
      </c>
      <c r="M170" s="2102">
        <v>6131</v>
      </c>
      <c r="O170" s="2372">
        <f>ROW()</f>
        <v>170</v>
      </c>
    </row>
    <row r="171" spans="2:15" ht="15" customHeight="1">
      <c r="B171" s="2370" t="s">
        <v>4125</v>
      </c>
      <c r="D171" s="2370">
        <v>167</v>
      </c>
      <c r="E171" s="2102">
        <v>771916</v>
      </c>
      <c r="F171" s="2102"/>
      <c r="G171" s="2102"/>
      <c r="H171" s="2392"/>
      <c r="I171" s="2102"/>
      <c r="J171" s="2102"/>
      <c r="K171" s="2102">
        <v>2813</v>
      </c>
      <c r="L171" s="2370">
        <v>637</v>
      </c>
      <c r="M171" s="2370">
        <v>404</v>
      </c>
      <c r="O171" s="2372">
        <f>ROW()</f>
        <v>171</v>
      </c>
    </row>
    <row r="172" spans="2:15" ht="15" customHeight="1">
      <c r="B172" s="2370" t="s">
        <v>4126</v>
      </c>
      <c r="D172" s="2370">
        <v>182</v>
      </c>
      <c r="E172" s="2102">
        <v>336313</v>
      </c>
      <c r="F172" s="2102"/>
      <c r="G172" s="2102"/>
      <c r="H172" s="2392"/>
      <c r="I172" s="2102"/>
      <c r="J172" s="2102"/>
      <c r="K172" s="2102">
        <v>1324</v>
      </c>
      <c r="L172" s="2370">
        <v>0</v>
      </c>
      <c r="M172" s="2370">
        <v>0</v>
      </c>
      <c r="O172" s="2372">
        <f>ROW()</f>
        <v>172</v>
      </c>
    </row>
    <row r="173" spans="2:15" ht="15" customHeight="1">
      <c r="B173" s="2370" t="s">
        <v>4127</v>
      </c>
      <c r="D173" s="2370">
        <v>78</v>
      </c>
      <c r="E173" s="2102">
        <v>3740370</v>
      </c>
      <c r="F173" s="2102"/>
      <c r="G173" s="2102"/>
      <c r="H173" s="2392"/>
      <c r="I173" s="2102"/>
      <c r="J173" s="2102"/>
      <c r="K173" s="2102">
        <v>12444</v>
      </c>
      <c r="L173" s="2102">
        <v>6124</v>
      </c>
      <c r="M173" s="2102">
        <v>4464</v>
      </c>
      <c r="O173" s="2372">
        <f>ROW()</f>
        <v>173</v>
      </c>
    </row>
    <row r="174" spans="2:15" ht="15" customHeight="1">
      <c r="B174" s="2370" t="s">
        <v>4128</v>
      </c>
      <c r="D174" s="2370">
        <v>102</v>
      </c>
      <c r="E174" s="2102">
        <v>2658414</v>
      </c>
      <c r="F174" s="2102"/>
      <c r="G174" s="2102"/>
      <c r="H174" s="2392"/>
      <c r="I174" s="2102"/>
      <c r="J174" s="2102"/>
      <c r="K174" s="2102">
        <v>8963</v>
      </c>
      <c r="L174" s="2102">
        <v>3904</v>
      </c>
      <c r="M174" s="2102">
        <v>3077</v>
      </c>
      <c r="O174" s="2372">
        <f>ROW()</f>
        <v>174</v>
      </c>
    </row>
    <row r="175" spans="2:15" ht="15" customHeight="1">
      <c r="B175" s="2370" t="s">
        <v>4129</v>
      </c>
      <c r="D175" s="2370">
        <v>162</v>
      </c>
      <c r="E175" s="2102">
        <v>851898</v>
      </c>
      <c r="F175" s="2102"/>
      <c r="G175" s="2102"/>
      <c r="H175" s="2392"/>
      <c r="I175" s="2102"/>
      <c r="J175" s="2102"/>
      <c r="K175" s="2102">
        <v>2553</v>
      </c>
      <c r="L175" s="2102">
        <v>2012</v>
      </c>
      <c r="M175" s="2102">
        <v>1690</v>
      </c>
      <c r="O175" s="2372">
        <f>ROW()</f>
        <v>175</v>
      </c>
    </row>
    <row r="176" spans="2:15" ht="15" customHeight="1">
      <c r="B176" s="2370" t="s">
        <v>4130</v>
      </c>
      <c r="D176" s="2370">
        <v>79</v>
      </c>
      <c r="E176" s="2102">
        <v>3702675</v>
      </c>
      <c r="F176" s="2102"/>
      <c r="G176" s="2102"/>
      <c r="H176" s="2392"/>
      <c r="I176" s="2102"/>
      <c r="J176" s="2102"/>
      <c r="K176" s="2102">
        <v>12847</v>
      </c>
      <c r="L176" s="2102">
        <v>4501</v>
      </c>
      <c r="M176" s="2102">
        <v>3418</v>
      </c>
      <c r="O176" s="2372">
        <f>ROW()</f>
        <v>176</v>
      </c>
    </row>
    <row r="177" spans="2:15" ht="15" customHeight="1">
      <c r="B177" s="2370" t="s">
        <v>4131</v>
      </c>
      <c r="D177" s="2370">
        <v>152</v>
      </c>
      <c r="E177" s="2102">
        <v>1112610</v>
      </c>
      <c r="F177" s="2102"/>
      <c r="G177" s="2102"/>
      <c r="H177" s="2392"/>
      <c r="I177" s="2102"/>
      <c r="J177" s="2102"/>
      <c r="K177" s="2102">
        <v>3914</v>
      </c>
      <c r="L177" s="2102">
        <v>1179</v>
      </c>
      <c r="M177" s="2370">
        <v>959</v>
      </c>
      <c r="O177" s="2372">
        <f>ROW()</f>
        <v>177</v>
      </c>
    </row>
    <row r="178" spans="2:15" ht="15" customHeight="1">
      <c r="B178" s="2370" t="s">
        <v>4132</v>
      </c>
      <c r="D178" s="2370">
        <v>106</v>
      </c>
      <c r="E178" s="2102">
        <v>2582016</v>
      </c>
      <c r="F178" s="2102"/>
      <c r="G178" s="2102"/>
      <c r="H178" s="2392"/>
      <c r="I178" s="2102"/>
      <c r="J178" s="2102"/>
      <c r="K178" s="2102">
        <v>8488</v>
      </c>
      <c r="L178" s="2102">
        <v>4594</v>
      </c>
      <c r="M178" s="2102">
        <v>3202</v>
      </c>
      <c r="O178" s="2372">
        <f>ROW()</f>
        <v>178</v>
      </c>
    </row>
    <row r="179" spans="2:15" ht="15" customHeight="1">
      <c r="B179" s="2370" t="s">
        <v>4133</v>
      </c>
      <c r="D179" s="2370">
        <v>70</v>
      </c>
      <c r="E179" s="2102">
        <v>4102459</v>
      </c>
      <c r="F179" s="2102"/>
      <c r="G179" s="2102"/>
      <c r="H179" s="2392"/>
      <c r="I179" s="2102"/>
      <c r="J179" s="2102"/>
      <c r="K179" s="2102">
        <v>14056</v>
      </c>
      <c r="L179" s="2102">
        <v>5631</v>
      </c>
      <c r="M179" s="2102">
        <v>4091</v>
      </c>
      <c r="O179" s="2372">
        <f>ROW()</f>
        <v>179</v>
      </c>
    </row>
    <row r="180" spans="2:15" ht="15" customHeight="1">
      <c r="B180" s="2370" t="s">
        <v>4134</v>
      </c>
      <c r="D180" s="2370">
        <v>121</v>
      </c>
      <c r="E180" s="2102">
        <v>1975951</v>
      </c>
      <c r="F180" s="2102"/>
      <c r="G180" s="2102"/>
      <c r="H180" s="2392"/>
      <c r="I180" s="2102"/>
      <c r="J180" s="2102"/>
      <c r="K180" s="2102">
        <v>6573</v>
      </c>
      <c r="L180" s="2102">
        <v>3106</v>
      </c>
      <c r="M180" s="2102">
        <v>2491</v>
      </c>
      <c r="O180" s="2372">
        <f>ROW()</f>
        <v>180</v>
      </c>
    </row>
    <row r="181" spans="2:15" ht="15" customHeight="1">
      <c r="B181" s="2370" t="s">
        <v>4135</v>
      </c>
      <c r="D181" s="2370">
        <v>33</v>
      </c>
      <c r="E181" s="2102">
        <v>5817539</v>
      </c>
      <c r="F181" s="2102"/>
      <c r="G181" s="2102"/>
      <c r="H181" s="2392"/>
      <c r="I181" s="2102"/>
      <c r="J181" s="2102"/>
      <c r="K181" s="2102">
        <v>18920</v>
      </c>
      <c r="L181" s="2102">
        <v>10232</v>
      </c>
      <c r="M181" s="2102">
        <v>8290</v>
      </c>
      <c r="O181" s="2372">
        <f>ROW()</f>
        <v>181</v>
      </c>
    </row>
    <row r="182" spans="2:15" ht="15" customHeight="1">
      <c r="B182" s="2370" t="s">
        <v>4136</v>
      </c>
      <c r="D182" s="2370">
        <v>18</v>
      </c>
      <c r="E182" s="2102">
        <v>8490733</v>
      </c>
      <c r="F182" s="2102"/>
      <c r="G182" s="2102"/>
      <c r="H182" s="2392"/>
      <c r="I182" s="2102"/>
      <c r="J182" s="2102"/>
      <c r="K182" s="2102">
        <v>27380</v>
      </c>
      <c r="L182" s="2102">
        <v>15485</v>
      </c>
      <c r="M182" s="2102">
        <v>12566</v>
      </c>
      <c r="O182" s="2372">
        <f>ROW()</f>
        <v>182</v>
      </c>
    </row>
    <row r="183" spans="2:15" ht="15" customHeight="1">
      <c r="B183" s="2370" t="s">
        <v>4137</v>
      </c>
      <c r="D183" s="2370">
        <v>54</v>
      </c>
      <c r="E183" s="2102">
        <v>4608235</v>
      </c>
      <c r="F183" s="2102"/>
      <c r="G183" s="2102"/>
      <c r="H183" s="2392"/>
      <c r="K183" s="2102">
        <v>15340</v>
      </c>
      <c r="L183" s="2102">
        <v>7000</v>
      </c>
      <c r="M183" s="2102">
        <v>5989</v>
      </c>
      <c r="O183" s="2372">
        <f>ROW()</f>
        <v>183</v>
      </c>
    </row>
    <row r="184" spans="2:15" ht="15" customHeight="1">
      <c r="B184" s="2370" t="s">
        <v>4138</v>
      </c>
      <c r="D184" s="2370">
        <v>160</v>
      </c>
      <c r="E184" s="2102">
        <v>882720</v>
      </c>
      <c r="F184" s="2102"/>
      <c r="G184" s="2102"/>
      <c r="H184" s="2392"/>
      <c r="I184" s="2102"/>
      <c r="J184" s="2102"/>
      <c r="K184" s="2102">
        <v>3475</v>
      </c>
      <c r="L184" s="2370">
        <v>0</v>
      </c>
      <c r="M184" s="2370">
        <v>0</v>
      </c>
      <c r="O184" s="2372">
        <f>ROW()</f>
        <v>184</v>
      </c>
    </row>
    <row r="185" spans="2:15" ht="15" customHeight="1">
      <c r="B185" s="2370" t="s">
        <v>4139</v>
      </c>
      <c r="D185" s="2370">
        <v>35</v>
      </c>
      <c r="E185" s="2102">
        <v>5588031</v>
      </c>
      <c r="F185" s="2102"/>
      <c r="G185" s="2102"/>
      <c r="H185" s="2392"/>
      <c r="I185" s="2102"/>
      <c r="J185" s="2102"/>
      <c r="K185" s="2102">
        <v>17548</v>
      </c>
      <c r="L185" s="2102">
        <v>11473</v>
      </c>
      <c r="M185" s="2102">
        <v>9160</v>
      </c>
      <c r="O185" s="2372">
        <f>ROW()</f>
        <v>185</v>
      </c>
    </row>
    <row r="186" spans="2:15" ht="15" customHeight="1">
      <c r="B186" s="2370" t="s">
        <v>4140</v>
      </c>
      <c r="D186" s="2370">
        <v>10</v>
      </c>
      <c r="E186" s="2102">
        <v>10620992</v>
      </c>
      <c r="F186" s="2102"/>
      <c r="G186" s="2102"/>
      <c r="H186" s="2392"/>
      <c r="I186" s="2102"/>
      <c r="J186" s="2102"/>
      <c r="K186" s="2102">
        <v>34329</v>
      </c>
      <c r="L186" s="2102">
        <v>20498</v>
      </c>
      <c r="M186" s="2102">
        <v>14240</v>
      </c>
      <c r="O186" s="2372">
        <f>ROW()</f>
        <v>186</v>
      </c>
    </row>
    <row r="187" spans="2:15" ht="15" customHeight="1">
      <c r="B187" s="2370" t="s">
        <v>4141</v>
      </c>
      <c r="D187" s="2370">
        <v>36</v>
      </c>
      <c r="E187" s="2102">
        <v>5566183</v>
      </c>
      <c r="F187" s="2102"/>
      <c r="G187" s="2102"/>
      <c r="H187" s="2392"/>
      <c r="I187" s="2102"/>
      <c r="J187" s="2102"/>
      <c r="K187" s="2102">
        <v>17104</v>
      </c>
      <c r="L187" s="2102">
        <v>12691</v>
      </c>
      <c r="M187" s="2102">
        <v>9665</v>
      </c>
      <c r="O187" s="2372">
        <f>ROW()</f>
        <v>187</v>
      </c>
    </row>
    <row r="188" spans="2:15" ht="15" customHeight="1">
      <c r="B188" s="2370" t="s">
        <v>4142</v>
      </c>
      <c r="D188" s="2370">
        <v>46</v>
      </c>
      <c r="E188" s="2102">
        <v>4910896</v>
      </c>
      <c r="F188" s="2102"/>
      <c r="G188" s="2102"/>
      <c r="H188" s="2392"/>
      <c r="I188" s="2102"/>
      <c r="J188" s="2102"/>
      <c r="K188" s="2102">
        <v>15032</v>
      </c>
      <c r="L188" s="2102">
        <v>11068</v>
      </c>
      <c r="M188" s="2102">
        <v>8909</v>
      </c>
      <c r="O188" s="2372">
        <f>ROW()</f>
        <v>188</v>
      </c>
    </row>
    <row r="189" spans="2:15" ht="15" customHeight="1">
      <c r="B189" s="2370" t="s">
        <v>4143</v>
      </c>
      <c r="D189" s="2370">
        <v>24</v>
      </c>
      <c r="E189" s="2102">
        <v>7095457</v>
      </c>
      <c r="F189" s="2102"/>
      <c r="G189" s="2102"/>
      <c r="H189" s="2392"/>
      <c r="I189" s="2102"/>
      <c r="J189" s="2102"/>
      <c r="K189" s="2102">
        <v>21233</v>
      </c>
      <c r="L189" s="2102">
        <v>17460</v>
      </c>
      <c r="M189" s="2102">
        <v>13810</v>
      </c>
      <c r="O189" s="2372">
        <f>ROW()</f>
        <v>189</v>
      </c>
    </row>
    <row r="190" spans="2:15" ht="15" customHeight="1">
      <c r="B190" s="2370" t="s">
        <v>4144</v>
      </c>
      <c r="D190" s="2370">
        <v>173</v>
      </c>
      <c r="E190" s="2102">
        <v>537478</v>
      </c>
      <c r="F190" s="2102"/>
      <c r="G190" s="2102"/>
      <c r="H190" s="2392"/>
      <c r="I190" s="2102"/>
      <c r="J190" s="2102"/>
      <c r="K190" s="2102">
        <v>1890</v>
      </c>
      <c r="L190" s="2370">
        <v>546</v>
      </c>
      <c r="M190" s="2370">
        <v>500</v>
      </c>
      <c r="O190" s="2372">
        <f>ROW()</f>
        <v>190</v>
      </c>
    </row>
    <row r="191" spans="2:15" ht="15" customHeight="1">
      <c r="B191" s="2370" t="s">
        <v>4145</v>
      </c>
      <c r="D191" s="2370">
        <v>104</v>
      </c>
      <c r="E191" s="2102">
        <v>2614769</v>
      </c>
      <c r="F191" s="2102"/>
      <c r="G191" s="2102"/>
      <c r="H191" s="2392"/>
      <c r="I191" s="2102"/>
      <c r="J191" s="2102"/>
      <c r="K191" s="2102">
        <v>8647</v>
      </c>
      <c r="L191" s="2102">
        <v>4333</v>
      </c>
      <c r="M191" s="2102">
        <v>3277</v>
      </c>
      <c r="O191" s="2372">
        <f>ROW()</f>
        <v>191</v>
      </c>
    </row>
    <row r="192" spans="2:15" ht="15" customHeight="1">
      <c r="B192" s="2375" t="s">
        <v>228</v>
      </c>
      <c r="C192" s="2375"/>
      <c r="D192" s="2375"/>
      <c r="E192" s="2382">
        <f>SUM(E152:E191)</f>
        <v>161600574</v>
      </c>
      <c r="F192" s="2102"/>
      <c r="G192" s="2102"/>
      <c r="H192" s="4859" t="s">
        <v>4031</v>
      </c>
      <c r="I192" s="2102"/>
      <c r="J192" s="2102"/>
      <c r="O192" s="2372">
        <f>ROW()</f>
        <v>192</v>
      </c>
    </row>
    <row r="193" spans="2:15" ht="15" customHeight="1">
      <c r="E193" s="2102"/>
      <c r="F193" s="2102"/>
      <c r="G193" s="2102"/>
      <c r="H193" s="3807"/>
      <c r="I193" s="2102"/>
      <c r="J193" s="2102"/>
      <c r="O193" s="2372">
        <f>ROW()</f>
        <v>193</v>
      </c>
    </row>
    <row r="194" spans="2:15" ht="15" customHeight="1">
      <c r="B194" s="2391" t="s">
        <v>4034</v>
      </c>
      <c r="C194" s="2400"/>
      <c r="E194" s="2102"/>
      <c r="F194" s="4055" t="s">
        <v>4032</v>
      </c>
      <c r="G194" s="4055" t="s">
        <v>4033</v>
      </c>
      <c r="H194" s="3807"/>
      <c r="I194" s="2102"/>
      <c r="J194" s="2102"/>
      <c r="O194" s="2372">
        <f>ROW()</f>
        <v>194</v>
      </c>
    </row>
    <row r="195" spans="2:15" ht="15" customHeight="1">
      <c r="B195" s="2400"/>
      <c r="C195" s="2400"/>
      <c r="E195" s="2102"/>
      <c r="F195" s="3781"/>
      <c r="G195" s="3781"/>
      <c r="H195" s="3807"/>
      <c r="I195" s="2102"/>
      <c r="J195" s="2102"/>
      <c r="O195" s="2372">
        <f>ROW()</f>
        <v>195</v>
      </c>
    </row>
    <row r="196" spans="2:15" ht="15" customHeight="1">
      <c r="B196" s="2370" t="s">
        <v>4146</v>
      </c>
      <c r="D196" s="2370">
        <v>40</v>
      </c>
      <c r="E196" s="2102">
        <v>5420477</v>
      </c>
      <c r="F196" s="2393">
        <v>0.5</v>
      </c>
      <c r="G196" s="2393">
        <f>1-F196</f>
        <v>0.5</v>
      </c>
      <c r="H196" s="2371" t="s">
        <v>1484</v>
      </c>
      <c r="K196" s="2102">
        <v>16356</v>
      </c>
      <c r="L196" s="2102">
        <v>12251</v>
      </c>
      <c r="M196" s="2102">
        <v>10648</v>
      </c>
      <c r="O196" s="2372">
        <f>ROW()</f>
        <v>196</v>
      </c>
    </row>
    <row r="197" spans="2:15" ht="15" customHeight="1">
      <c r="B197" s="2375" t="s">
        <v>228</v>
      </c>
      <c r="C197" s="2375"/>
      <c r="D197" s="2394" t="s">
        <v>4046</v>
      </c>
      <c r="E197" s="2395">
        <f>SUM(E196:E196)</f>
        <v>5420477</v>
      </c>
      <c r="F197" s="2396">
        <f>SUMPRODUCT(E196,F196)</f>
        <v>2710238.5</v>
      </c>
      <c r="G197" s="2397" t="s">
        <v>4047</v>
      </c>
      <c r="H197" s="2398"/>
      <c r="O197" s="2372">
        <f>ROW()</f>
        <v>197</v>
      </c>
    </row>
    <row r="198" spans="2:15" ht="15" customHeight="1">
      <c r="E198" s="2102"/>
      <c r="F198" s="2102"/>
      <c r="G198" s="2102"/>
      <c r="H198" s="2392"/>
      <c r="I198" s="2102"/>
      <c r="J198" s="2102"/>
      <c r="O198" s="2372">
        <f>ROW()</f>
        <v>198</v>
      </c>
    </row>
    <row r="199" spans="2:15" ht="15" customHeight="1">
      <c r="B199" s="2402" t="s">
        <v>4104</v>
      </c>
      <c r="C199" s="2400"/>
      <c r="E199" s="2382">
        <f>SUMPRODUCT(E65:E75,G65:G75)</f>
        <v>10724904.799999999</v>
      </c>
      <c r="F199" s="2102"/>
      <c r="G199" s="2102"/>
      <c r="H199" s="2392"/>
      <c r="I199" s="2102"/>
      <c r="J199" s="2102"/>
      <c r="O199" s="2372">
        <f>ROW()</f>
        <v>199</v>
      </c>
    </row>
    <row r="200" spans="2:15" ht="15" customHeight="1">
      <c r="E200" s="2102"/>
      <c r="F200" s="2102"/>
      <c r="G200" s="2102"/>
      <c r="H200" s="2392"/>
      <c r="I200" s="2102"/>
      <c r="J200" s="2102"/>
      <c r="O200" s="2372">
        <f>ROW()</f>
        <v>200</v>
      </c>
    </row>
    <row r="201" spans="2:15" ht="15" customHeight="1">
      <c r="B201" s="2403" t="s">
        <v>4147</v>
      </c>
      <c r="C201" s="2403"/>
      <c r="D201" s="2401"/>
      <c r="E201" s="2399">
        <f>SUM(E199,F197,E192)</f>
        <v>175035717.30000001</v>
      </c>
      <c r="F201" s="2102"/>
      <c r="G201" s="2102"/>
      <c r="H201" s="2392"/>
      <c r="I201" s="2102"/>
      <c r="J201" s="2102"/>
      <c r="O201" s="2372">
        <f>ROW()</f>
        <v>201</v>
      </c>
    </row>
    <row r="202" spans="2:15" ht="15" customHeight="1">
      <c r="E202" s="2102"/>
      <c r="F202" s="2102"/>
      <c r="G202" s="2102"/>
      <c r="H202" s="2392"/>
      <c r="I202" s="2102"/>
      <c r="J202" s="2102"/>
      <c r="O202" s="2372">
        <f>ROW()</f>
        <v>202</v>
      </c>
    </row>
    <row r="203" spans="2:15" ht="15" customHeight="1">
      <c r="B203" s="2373" t="s">
        <v>1484</v>
      </c>
      <c r="C203" s="2375"/>
      <c r="I203" s="2102"/>
      <c r="J203" s="2102"/>
      <c r="O203" s="2372">
        <f>ROW()</f>
        <v>203</v>
      </c>
    </row>
    <row r="204" spans="2:15" ht="15" customHeight="1">
      <c r="B204" s="2375"/>
      <c r="C204" s="2375"/>
      <c r="I204" s="2102"/>
      <c r="J204" s="2102"/>
      <c r="O204" s="2372">
        <f>ROW()</f>
        <v>204</v>
      </c>
    </row>
    <row r="205" spans="2:15" ht="15" customHeight="1">
      <c r="B205" s="2391" t="s">
        <v>4005</v>
      </c>
      <c r="C205" s="2400"/>
      <c r="I205" s="2102"/>
      <c r="J205" s="2102"/>
      <c r="O205" s="2372">
        <f>ROW()</f>
        <v>205</v>
      </c>
    </row>
    <row r="206" spans="2:15" ht="15" customHeight="1">
      <c r="B206" s="2370" t="s">
        <v>4148</v>
      </c>
      <c r="D206" s="2370">
        <v>138</v>
      </c>
      <c r="E206" s="2102">
        <v>1502578</v>
      </c>
      <c r="F206" s="2102"/>
      <c r="G206" s="2102"/>
      <c r="H206" s="2392"/>
      <c r="I206" s="2102"/>
      <c r="J206" s="2102"/>
      <c r="K206" s="2102">
        <v>4847</v>
      </c>
      <c r="L206" s="2102">
        <v>2882</v>
      </c>
      <c r="M206" s="2102">
        <v>2043</v>
      </c>
      <c r="O206" s="2372">
        <f>ROW()</f>
        <v>206</v>
      </c>
    </row>
    <row r="207" spans="2:15" ht="15" customHeight="1">
      <c r="B207" s="2370" t="s">
        <v>4149</v>
      </c>
      <c r="D207" s="2370">
        <v>120</v>
      </c>
      <c r="E207" s="2102">
        <v>1988743</v>
      </c>
      <c r="F207" s="2102"/>
      <c r="G207" s="2102"/>
      <c r="H207" s="2392"/>
      <c r="I207" s="2102"/>
      <c r="J207" s="2102"/>
      <c r="K207" s="2102">
        <v>6340</v>
      </c>
      <c r="L207" s="2102">
        <v>3969</v>
      </c>
      <c r="M207" s="2102">
        <v>2891</v>
      </c>
      <c r="O207" s="2372">
        <f>ROW()</f>
        <v>207</v>
      </c>
    </row>
    <row r="208" spans="2:15" ht="15" customHeight="1">
      <c r="B208" s="2370" t="s">
        <v>4150</v>
      </c>
      <c r="D208" s="2370">
        <v>93</v>
      </c>
      <c r="E208" s="2102">
        <v>3075638</v>
      </c>
      <c r="F208" s="2102"/>
      <c r="G208" s="2102"/>
      <c r="H208" s="2392"/>
      <c r="I208" s="2102"/>
      <c r="J208" s="2102"/>
      <c r="K208" s="2102">
        <v>9538</v>
      </c>
      <c r="L208" s="2102">
        <v>6649</v>
      </c>
      <c r="M208" s="2102">
        <v>5202</v>
      </c>
      <c r="O208" s="2372">
        <f>ROW()</f>
        <v>208</v>
      </c>
    </row>
    <row r="209" spans="2:15" ht="15" customHeight="1">
      <c r="B209" s="2370" t="s">
        <v>4151</v>
      </c>
      <c r="D209" s="2370">
        <v>84</v>
      </c>
      <c r="E209" s="2102">
        <v>3451666</v>
      </c>
      <c r="F209" s="2102"/>
      <c r="G209" s="2102"/>
      <c r="H209" s="2392"/>
      <c r="I209" s="2102"/>
      <c r="J209" s="2102"/>
      <c r="K209" s="2102">
        <v>11186</v>
      </c>
      <c r="L209" s="2102">
        <v>6389</v>
      </c>
      <c r="M209" s="2102">
        <v>4699</v>
      </c>
      <c r="O209" s="2372">
        <f>ROW()</f>
        <v>209</v>
      </c>
    </row>
    <row r="210" spans="2:15" ht="15" customHeight="1">
      <c r="B210" s="2370" t="s">
        <v>4152</v>
      </c>
      <c r="D210" s="2370">
        <v>71</v>
      </c>
      <c r="E210" s="2102">
        <v>4077646</v>
      </c>
      <c r="F210" s="2102"/>
      <c r="G210" s="2102"/>
      <c r="H210" s="2392"/>
      <c r="I210" s="2102"/>
      <c r="J210" s="2102"/>
      <c r="K210" s="2102">
        <v>12750</v>
      </c>
      <c r="L210" s="2102">
        <v>9081</v>
      </c>
      <c r="M210" s="2102">
        <v>6197</v>
      </c>
      <c r="O210" s="2372">
        <f>ROW()</f>
        <v>210</v>
      </c>
    </row>
    <row r="211" spans="2:15" ht="15" customHeight="1">
      <c r="B211" s="2370" t="s">
        <v>4153</v>
      </c>
      <c r="D211" s="2370">
        <v>86</v>
      </c>
      <c r="E211" s="2102">
        <v>3331765</v>
      </c>
      <c r="F211" s="2102"/>
      <c r="G211" s="2102"/>
      <c r="H211" s="2392"/>
      <c r="I211" s="2102"/>
      <c r="J211" s="2102"/>
      <c r="K211" s="2102">
        <v>10251</v>
      </c>
      <c r="L211" s="2102">
        <v>7293</v>
      </c>
      <c r="M211" s="2102">
        <v>5941</v>
      </c>
      <c r="O211" s="2372">
        <f>ROW()</f>
        <v>211</v>
      </c>
    </row>
    <row r="212" spans="2:15" ht="15" customHeight="1">
      <c r="B212" s="2370" t="s">
        <v>4154</v>
      </c>
      <c r="D212" s="2370">
        <v>100</v>
      </c>
      <c r="E212" s="2102">
        <v>2740448</v>
      </c>
      <c r="F212" s="2102"/>
      <c r="G212" s="2102"/>
      <c r="H212" s="2392"/>
      <c r="I212" s="2102"/>
      <c r="J212" s="2102"/>
      <c r="K212" s="2102">
        <v>8516</v>
      </c>
      <c r="L212" s="2102">
        <v>6306</v>
      </c>
      <c r="M212" s="2102">
        <v>4202</v>
      </c>
      <c r="O212" s="2372">
        <f>ROW()</f>
        <v>212</v>
      </c>
    </row>
    <row r="213" spans="2:15" ht="15" customHeight="1">
      <c r="B213" s="2370" t="s">
        <v>4155</v>
      </c>
      <c r="D213" s="2370">
        <v>170</v>
      </c>
      <c r="E213" s="2102">
        <v>587634</v>
      </c>
      <c r="F213" s="2102"/>
      <c r="G213" s="2102"/>
      <c r="H213" s="2392"/>
      <c r="I213" s="2102"/>
      <c r="J213" s="2102"/>
      <c r="K213" s="2102">
        <v>1957</v>
      </c>
      <c r="L213" s="2370">
        <v>951</v>
      </c>
      <c r="M213" s="2370">
        <v>697</v>
      </c>
      <c r="O213" s="2372">
        <f>ROW()</f>
        <v>213</v>
      </c>
    </row>
    <row r="214" spans="2:15" ht="15" customHeight="1">
      <c r="B214" s="2370" t="s">
        <v>4156</v>
      </c>
      <c r="D214" s="2370">
        <v>145</v>
      </c>
      <c r="E214" s="2102">
        <v>1419377</v>
      </c>
      <c r="F214" s="2102"/>
      <c r="G214" s="2102"/>
      <c r="H214" s="2392"/>
      <c r="I214" s="2102"/>
      <c r="J214" s="2102"/>
      <c r="K214" s="2102">
        <v>4685</v>
      </c>
      <c r="L214" s="2102">
        <v>2567</v>
      </c>
      <c r="M214" s="2102">
        <v>1602</v>
      </c>
      <c r="O214" s="2372">
        <f>ROW()</f>
        <v>214</v>
      </c>
    </row>
    <row r="215" spans="2:15" ht="15" customHeight="1">
      <c r="B215" s="2370" t="s">
        <v>4157</v>
      </c>
      <c r="D215" s="2370">
        <v>154</v>
      </c>
      <c r="E215" s="2102">
        <v>1086780</v>
      </c>
      <c r="F215" s="2102"/>
      <c r="G215" s="2102"/>
      <c r="H215" s="2392"/>
      <c r="I215" s="2102"/>
      <c r="J215" s="2102"/>
      <c r="K215" s="2102">
        <v>3666</v>
      </c>
      <c r="L215" s="2102">
        <v>1665</v>
      </c>
      <c r="M215" s="2102">
        <v>1164</v>
      </c>
      <c r="O215" s="2372">
        <f>ROW()</f>
        <v>215</v>
      </c>
    </row>
    <row r="216" spans="2:15" ht="15" customHeight="1">
      <c r="B216" s="2370" t="s">
        <v>4158</v>
      </c>
      <c r="D216" s="2370">
        <v>31</v>
      </c>
      <c r="E216" s="2102">
        <v>6032270</v>
      </c>
      <c r="F216" s="2102"/>
      <c r="G216" s="2102"/>
      <c r="H216" s="2392"/>
      <c r="I216" s="2102"/>
      <c r="J216" s="2102"/>
      <c r="K216" s="2102">
        <v>18819</v>
      </c>
      <c r="L216" s="2102">
        <v>12597</v>
      </c>
      <c r="M216" s="2102">
        <v>10163</v>
      </c>
      <c r="O216" s="2372">
        <f>ROW()</f>
        <v>216</v>
      </c>
    </row>
    <row r="217" spans="2:15" ht="15" customHeight="1">
      <c r="B217" s="2370" t="s">
        <v>4159</v>
      </c>
      <c r="D217" s="2370">
        <v>62</v>
      </c>
      <c r="E217" s="2102">
        <v>4344178</v>
      </c>
      <c r="F217" s="2102"/>
      <c r="G217" s="2102"/>
      <c r="H217" s="2392"/>
      <c r="I217" s="2102"/>
      <c r="J217" s="2102"/>
      <c r="K217" s="2102">
        <v>13756</v>
      </c>
      <c r="L217" s="2102">
        <v>8770</v>
      </c>
      <c r="M217" s="2102">
        <v>6717</v>
      </c>
      <c r="O217" s="2372">
        <f>ROW()</f>
        <v>217</v>
      </c>
    </row>
    <row r="218" spans="2:15" ht="15" customHeight="1">
      <c r="B218" s="2370" t="s">
        <v>4160</v>
      </c>
      <c r="D218" s="2370">
        <v>175</v>
      </c>
      <c r="E218" s="2102">
        <v>518840</v>
      </c>
      <c r="F218" s="2102"/>
      <c r="G218" s="2102"/>
      <c r="H218" s="2392"/>
      <c r="I218" s="2102"/>
      <c r="J218" s="2102"/>
      <c r="K218" s="2102">
        <v>2043</v>
      </c>
      <c r="L218" s="2370">
        <v>0</v>
      </c>
      <c r="M218" s="2370">
        <v>0</v>
      </c>
      <c r="O218" s="2372">
        <f>ROW()</f>
        <v>218</v>
      </c>
    </row>
    <row r="219" spans="2:15" ht="15" customHeight="1">
      <c r="B219" s="2370" t="s">
        <v>4161</v>
      </c>
      <c r="D219" s="2370">
        <v>23</v>
      </c>
      <c r="E219" s="2102">
        <v>7144821</v>
      </c>
      <c r="F219" s="2102"/>
      <c r="G219" s="2102"/>
      <c r="H219" s="2392"/>
      <c r="I219" s="2102"/>
      <c r="J219" s="2102"/>
      <c r="K219" s="2102">
        <v>23345</v>
      </c>
      <c r="L219" s="2102">
        <v>12605</v>
      </c>
      <c r="M219" s="2102">
        <v>9526</v>
      </c>
      <c r="O219" s="2372">
        <f>ROW()</f>
        <v>219</v>
      </c>
    </row>
    <row r="220" spans="2:15" ht="15" customHeight="1">
      <c r="B220" s="2370" t="s">
        <v>4162</v>
      </c>
      <c r="D220" s="2370">
        <v>91</v>
      </c>
      <c r="E220" s="2102">
        <v>3106805</v>
      </c>
      <c r="F220" s="2102"/>
      <c r="G220" s="2102"/>
      <c r="H220" s="2392"/>
      <c r="I220" s="2102"/>
      <c r="J220" s="2102"/>
      <c r="K220" s="2102">
        <v>10103</v>
      </c>
      <c r="L220" s="2102">
        <v>5541</v>
      </c>
      <c r="M220" s="2102">
        <v>4271</v>
      </c>
      <c r="O220" s="2372">
        <f>ROW()</f>
        <v>220</v>
      </c>
    </row>
    <row r="221" spans="2:15" ht="15" customHeight="1">
      <c r="B221" s="2370" t="s">
        <v>4163</v>
      </c>
      <c r="D221" s="2370">
        <v>98</v>
      </c>
      <c r="E221" s="2102">
        <v>2786536</v>
      </c>
      <c r="F221" s="2102"/>
      <c r="G221" s="2102"/>
      <c r="H221" s="2392"/>
      <c r="I221" s="2102"/>
      <c r="J221" s="2102"/>
      <c r="K221" s="2102">
        <v>9674</v>
      </c>
      <c r="L221" s="2102">
        <v>3651</v>
      </c>
      <c r="M221" s="2102">
        <v>2360</v>
      </c>
      <c r="O221" s="2372">
        <f>ROW()</f>
        <v>221</v>
      </c>
    </row>
    <row r="222" spans="2:15" ht="15" customHeight="1">
      <c r="B222" s="2370" t="s">
        <v>4164</v>
      </c>
      <c r="D222" s="2370">
        <v>130</v>
      </c>
      <c r="E222" s="2102">
        <v>1716906</v>
      </c>
      <c r="F222" s="2102"/>
      <c r="G222" s="2102"/>
      <c r="H222" s="2392"/>
      <c r="I222" s="2102"/>
      <c r="J222" s="2102"/>
      <c r="K222" s="2102">
        <v>6254</v>
      </c>
      <c r="L222" s="2102">
        <v>1450</v>
      </c>
      <c r="M222" s="2370">
        <v>902</v>
      </c>
      <c r="O222" s="2372">
        <f>ROW()</f>
        <v>222</v>
      </c>
    </row>
    <row r="223" spans="2:15" ht="15" customHeight="1">
      <c r="B223" s="2370" t="s">
        <v>4165</v>
      </c>
      <c r="D223" s="2370">
        <v>59</v>
      </c>
      <c r="E223" s="2102">
        <v>4457583</v>
      </c>
      <c r="F223" s="2102"/>
      <c r="G223" s="2102"/>
      <c r="H223" s="2392"/>
      <c r="I223" s="2102"/>
      <c r="J223" s="2102"/>
      <c r="K223" s="2102">
        <v>13545</v>
      </c>
      <c r="L223" s="2102">
        <v>10545</v>
      </c>
      <c r="M223" s="2102">
        <v>8121</v>
      </c>
      <c r="O223" s="2372">
        <f>ROW()</f>
        <v>223</v>
      </c>
    </row>
    <row r="224" spans="2:15" ht="15" customHeight="1">
      <c r="B224" s="2370" t="s">
        <v>4166</v>
      </c>
      <c r="D224" s="2370">
        <v>129</v>
      </c>
      <c r="E224" s="2102">
        <v>1777463</v>
      </c>
      <c r="F224" s="2102"/>
      <c r="G224" s="2102"/>
      <c r="H224" s="2392"/>
      <c r="I224" s="2102"/>
      <c r="J224" s="2102"/>
      <c r="K224" s="2102">
        <v>5659</v>
      </c>
      <c r="L224" s="2102">
        <v>3589</v>
      </c>
      <c r="M224" s="2102">
        <v>2596</v>
      </c>
      <c r="O224" s="2372">
        <f>ROW()</f>
        <v>224</v>
      </c>
    </row>
    <row r="225" spans="2:15" ht="15" customHeight="1">
      <c r="B225" s="2370" t="s">
        <v>4167</v>
      </c>
      <c r="D225" s="2370">
        <v>185</v>
      </c>
      <c r="E225" s="2102">
        <v>330542</v>
      </c>
      <c r="F225" s="2102"/>
      <c r="G225" s="2102"/>
      <c r="H225" s="2392"/>
      <c r="I225" s="2102"/>
      <c r="J225" s="2102"/>
      <c r="K225" s="2102">
        <v>1301</v>
      </c>
      <c r="L225" s="2370">
        <v>0</v>
      </c>
      <c r="M225" s="2370">
        <v>0</v>
      </c>
      <c r="O225" s="2372">
        <f>ROW()</f>
        <v>225</v>
      </c>
    </row>
    <row r="226" spans="2:15" ht="15" customHeight="1">
      <c r="B226" s="2370" t="s">
        <v>4168</v>
      </c>
      <c r="D226" s="2370">
        <v>47</v>
      </c>
      <c r="E226" s="2102">
        <v>4890266</v>
      </c>
      <c r="F226" s="2102"/>
      <c r="G226" s="2102"/>
      <c r="H226" s="2392"/>
      <c r="I226" s="2102"/>
      <c r="J226" s="2102"/>
      <c r="K226" s="2102">
        <v>16290</v>
      </c>
      <c r="L226" s="2102">
        <v>7789</v>
      </c>
      <c r="M226" s="2102">
        <v>5868</v>
      </c>
      <c r="O226" s="2372">
        <f>ROW()</f>
        <v>226</v>
      </c>
    </row>
    <row r="227" spans="2:15" ht="15" customHeight="1">
      <c r="B227" s="2370" t="s">
        <v>4169</v>
      </c>
      <c r="D227" s="2370">
        <v>29</v>
      </c>
      <c r="E227" s="2102">
        <v>6466673</v>
      </c>
      <c r="F227" s="2102"/>
      <c r="G227" s="2102"/>
      <c r="H227" s="2392"/>
      <c r="I227" s="2102"/>
      <c r="J227" s="2102"/>
      <c r="K227" s="2102">
        <v>21711</v>
      </c>
      <c r="L227" s="2102">
        <v>9910</v>
      </c>
      <c r="M227" s="2102">
        <v>7404</v>
      </c>
      <c r="O227" s="2372">
        <f>ROW()</f>
        <v>227</v>
      </c>
    </row>
    <row r="228" spans="2:15" ht="15" customHeight="1">
      <c r="B228" s="2370" t="s">
        <v>4170</v>
      </c>
      <c r="D228" s="2370">
        <v>159</v>
      </c>
      <c r="E228" s="2102">
        <v>917382</v>
      </c>
      <c r="F228" s="2102"/>
      <c r="G228" s="2102"/>
      <c r="H228" s="2392"/>
      <c r="I228" s="2102"/>
      <c r="J228" s="2102"/>
      <c r="K228" s="2102">
        <v>2766</v>
      </c>
      <c r="L228" s="2102">
        <v>2183</v>
      </c>
      <c r="M228" s="2102">
        <v>1714</v>
      </c>
      <c r="O228" s="2372">
        <f>ROW()</f>
        <v>228</v>
      </c>
    </row>
    <row r="229" spans="2:15" ht="15" customHeight="1">
      <c r="B229" s="2370" t="s">
        <v>4171</v>
      </c>
      <c r="D229" s="2370">
        <v>110</v>
      </c>
      <c r="E229" s="2102">
        <v>2478876</v>
      </c>
      <c r="F229" s="2102"/>
      <c r="G229" s="2102"/>
      <c r="H229" s="2392"/>
      <c r="I229" s="2102"/>
      <c r="J229" s="2102"/>
      <c r="K229" s="2102">
        <v>7983</v>
      </c>
      <c r="L229" s="2102">
        <v>4762</v>
      </c>
      <c r="M229" s="2102">
        <v>3450</v>
      </c>
      <c r="O229" s="2372">
        <f>ROW()</f>
        <v>229</v>
      </c>
    </row>
    <row r="230" spans="2:15" ht="15" customHeight="1">
      <c r="B230" s="2370" t="s">
        <v>4172</v>
      </c>
      <c r="D230" s="2370">
        <v>13</v>
      </c>
      <c r="E230" s="2102">
        <v>9172908</v>
      </c>
      <c r="F230" s="2102"/>
      <c r="G230" s="2102"/>
      <c r="H230" s="2392"/>
      <c r="I230" s="2102"/>
      <c r="J230" s="2102"/>
      <c r="K230" s="2102">
        <v>27635</v>
      </c>
      <c r="L230" s="2102">
        <v>21787</v>
      </c>
      <c r="M230" s="2102">
        <v>17408</v>
      </c>
      <c r="O230" s="2372">
        <f>ROW()</f>
        <v>230</v>
      </c>
    </row>
    <row r="231" spans="2:15" ht="15" customHeight="1">
      <c r="B231" s="2370" t="s">
        <v>4173</v>
      </c>
      <c r="D231" s="2370">
        <v>179</v>
      </c>
      <c r="E231" s="2102">
        <v>475738</v>
      </c>
      <c r="F231" s="2102"/>
      <c r="G231" s="2102"/>
      <c r="H231" s="2392"/>
      <c r="I231" s="2102"/>
      <c r="J231" s="2102"/>
      <c r="K231" s="2102">
        <v>1873</v>
      </c>
      <c r="L231" s="2370">
        <v>0</v>
      </c>
      <c r="M231" s="2370">
        <v>0</v>
      </c>
      <c r="O231" s="2372">
        <f>ROW()</f>
        <v>231</v>
      </c>
    </row>
    <row r="232" spans="2:15" ht="15" customHeight="1">
      <c r="B232" s="2370" t="s">
        <v>4174</v>
      </c>
      <c r="D232" s="2370">
        <v>187</v>
      </c>
      <c r="E232" s="2102">
        <v>239161</v>
      </c>
      <c r="F232" s="2102"/>
      <c r="G232" s="2102"/>
      <c r="H232" s="2392"/>
      <c r="I232" s="2102"/>
      <c r="J232" s="2102"/>
      <c r="K232" s="2370">
        <v>942</v>
      </c>
      <c r="L232" s="2370">
        <v>0</v>
      </c>
      <c r="M232" s="2370">
        <v>0</v>
      </c>
      <c r="O232" s="2372">
        <f>ROW()</f>
        <v>232</v>
      </c>
    </row>
    <row r="233" spans="2:15" ht="15" customHeight="1">
      <c r="B233" s="2370" t="s">
        <v>4175</v>
      </c>
      <c r="D233" s="2370">
        <v>133</v>
      </c>
      <c r="E233" s="2102">
        <v>1547586</v>
      </c>
      <c r="F233" s="2102"/>
      <c r="G233" s="2102"/>
      <c r="H233" s="2392"/>
      <c r="I233" s="2102"/>
      <c r="J233" s="2102"/>
      <c r="K233" s="2102">
        <v>5707</v>
      </c>
      <c r="L233" s="2102">
        <v>1884</v>
      </c>
      <c r="M233" s="2370">
        <v>0</v>
      </c>
      <c r="O233" s="2372">
        <f>ROW()</f>
        <v>233</v>
      </c>
    </row>
    <row r="234" spans="2:15" ht="15" customHeight="1">
      <c r="B234" s="2370" t="s">
        <v>4176</v>
      </c>
      <c r="D234" s="2370">
        <v>125</v>
      </c>
      <c r="E234" s="2102">
        <v>1883597</v>
      </c>
      <c r="F234" s="2102"/>
      <c r="G234" s="2102"/>
      <c r="H234" s="2392"/>
      <c r="K234" s="2102">
        <v>6939</v>
      </c>
      <c r="L234" s="2102">
        <v>2333</v>
      </c>
      <c r="M234" s="2370">
        <v>0</v>
      </c>
      <c r="O234" s="2372">
        <f>ROW()</f>
        <v>234</v>
      </c>
    </row>
    <row r="235" spans="2:15" ht="15" customHeight="1">
      <c r="B235" s="2370" t="s">
        <v>4177</v>
      </c>
      <c r="D235" s="2370">
        <v>192</v>
      </c>
      <c r="E235" s="2102">
        <v>159361</v>
      </c>
      <c r="F235" s="2102"/>
      <c r="G235" s="2102"/>
      <c r="H235" s="2392"/>
      <c r="I235" s="2102"/>
      <c r="J235" s="2102"/>
      <c r="K235" s="2370">
        <v>598</v>
      </c>
      <c r="L235" s="2370">
        <v>145</v>
      </c>
      <c r="M235" s="2370">
        <v>0</v>
      </c>
      <c r="O235" s="2372">
        <f>ROW()</f>
        <v>235</v>
      </c>
    </row>
    <row r="236" spans="2:15" ht="15" customHeight="1">
      <c r="B236" s="2370" t="s">
        <v>4178</v>
      </c>
      <c r="D236" s="2370">
        <v>95</v>
      </c>
      <c r="E236" s="2102">
        <v>2932063</v>
      </c>
      <c r="F236" s="2102"/>
      <c r="G236" s="2102"/>
      <c r="H236" s="2392"/>
      <c r="I236" s="2102"/>
      <c r="J236" s="2102"/>
      <c r="K236" s="2102">
        <v>9523</v>
      </c>
      <c r="L236" s="2102">
        <v>5376</v>
      </c>
      <c r="M236" s="2102">
        <v>3923</v>
      </c>
      <c r="O236" s="2372">
        <f>ROW()</f>
        <v>236</v>
      </c>
    </row>
    <row r="237" spans="2:15" ht="15" customHeight="1">
      <c r="B237" s="2370" t="s">
        <v>4179</v>
      </c>
      <c r="D237" s="2370">
        <v>135</v>
      </c>
      <c r="E237" s="2102">
        <v>1512803</v>
      </c>
      <c r="F237" s="2102"/>
      <c r="G237" s="2102"/>
      <c r="H237" s="2392"/>
      <c r="I237" s="2102"/>
      <c r="J237" s="2102"/>
      <c r="K237" s="2102">
        <v>5109</v>
      </c>
      <c r="L237" s="2102">
        <v>2283</v>
      </c>
      <c r="M237" s="2102">
        <v>1603</v>
      </c>
      <c r="O237" s="2372">
        <f>ROW()</f>
        <v>237</v>
      </c>
    </row>
    <row r="238" spans="2:15" ht="15" customHeight="1">
      <c r="B238" s="2370" t="s">
        <v>4180</v>
      </c>
      <c r="D238" s="2370">
        <v>73</v>
      </c>
      <c r="E238" s="2102">
        <v>3960425</v>
      </c>
      <c r="F238" s="2102"/>
      <c r="G238" s="2102"/>
      <c r="H238" s="2392"/>
      <c r="I238" s="2102"/>
      <c r="J238" s="2102"/>
      <c r="K238" s="2102">
        <v>12858</v>
      </c>
      <c r="L238" s="2102">
        <v>7342</v>
      </c>
      <c r="M238" s="2102">
        <v>5281</v>
      </c>
      <c r="O238" s="2372">
        <f>ROW()</f>
        <v>238</v>
      </c>
    </row>
    <row r="239" spans="2:15" ht="15" customHeight="1">
      <c r="B239" s="2370" t="s">
        <v>4181</v>
      </c>
      <c r="D239" s="2370">
        <v>87</v>
      </c>
      <c r="E239" s="2102">
        <v>3246241</v>
      </c>
      <c r="F239" s="2102"/>
      <c r="G239" s="2102"/>
      <c r="H239" s="4859" t="s">
        <v>4031</v>
      </c>
      <c r="I239" s="2102"/>
      <c r="J239" s="2102"/>
      <c r="K239" s="2102">
        <v>10913</v>
      </c>
      <c r="L239" s="2102">
        <v>5490</v>
      </c>
      <c r="M239" s="2102">
        <v>3201</v>
      </c>
      <c r="O239" s="2372">
        <f>ROW()</f>
        <v>239</v>
      </c>
    </row>
    <row r="240" spans="2:15" ht="15" customHeight="1">
      <c r="B240" s="2375" t="s">
        <v>228</v>
      </c>
      <c r="E240" s="2382">
        <f>SUM(E206:E239)</f>
        <v>95361299</v>
      </c>
      <c r="F240" s="2102"/>
      <c r="G240" s="2102"/>
      <c r="H240" s="3807"/>
      <c r="I240" s="2102"/>
      <c r="J240" s="2102"/>
      <c r="O240" s="2372">
        <f>ROW()</f>
        <v>240</v>
      </c>
    </row>
    <row r="241" spans="2:15" ht="15" customHeight="1">
      <c r="E241" s="2102"/>
      <c r="F241" s="4055" t="s">
        <v>4032</v>
      </c>
      <c r="G241" s="4055" t="s">
        <v>4033</v>
      </c>
      <c r="H241" s="3807"/>
      <c r="I241" s="2102"/>
      <c r="J241" s="2102"/>
      <c r="O241" s="2372">
        <f>ROW()</f>
        <v>241</v>
      </c>
    </row>
    <row r="242" spans="2:15" ht="15" customHeight="1">
      <c r="B242" s="2391" t="s">
        <v>4034</v>
      </c>
      <c r="C242" s="2400"/>
      <c r="E242" s="2102"/>
      <c r="F242" s="3781"/>
      <c r="G242" s="3781"/>
      <c r="H242" s="3807"/>
      <c r="I242" s="2102"/>
      <c r="J242" s="2102"/>
      <c r="O242" s="2372">
        <f>ROW()</f>
        <v>242</v>
      </c>
    </row>
    <row r="243" spans="2:15" ht="15" customHeight="1">
      <c r="B243" s="2370" t="s">
        <v>4182</v>
      </c>
      <c r="D243" s="2370">
        <v>85</v>
      </c>
      <c r="E243" s="2102">
        <v>3400958</v>
      </c>
      <c r="F243" s="2393">
        <f>1-G243</f>
        <v>0.6</v>
      </c>
      <c r="G243" s="2393">
        <v>0.4</v>
      </c>
      <c r="H243" s="2371" t="s">
        <v>1486</v>
      </c>
      <c r="K243" s="2102">
        <v>10585</v>
      </c>
      <c r="L243" s="2102">
        <v>7474</v>
      </c>
      <c r="M243" s="2102">
        <v>5535</v>
      </c>
      <c r="O243" s="2372">
        <f>ROW()</f>
        <v>243</v>
      </c>
    </row>
    <row r="244" spans="2:15" ht="15" customHeight="1">
      <c r="B244" s="2370" t="s">
        <v>4183</v>
      </c>
      <c r="D244" s="2370">
        <v>19</v>
      </c>
      <c r="E244" s="2102">
        <v>8332419</v>
      </c>
      <c r="F244" s="2393">
        <f>1-G244</f>
        <v>0.7</v>
      </c>
      <c r="G244" s="2393">
        <v>0.3</v>
      </c>
      <c r="H244" s="2371" t="s">
        <v>1485</v>
      </c>
      <c r="K244" s="2102">
        <v>25359</v>
      </c>
      <c r="L244" s="2102">
        <v>18228</v>
      </c>
      <c r="M244" s="2102">
        <v>16055</v>
      </c>
      <c r="O244" s="2372">
        <f>ROW()</f>
        <v>244</v>
      </c>
    </row>
    <row r="245" spans="2:15" ht="15" customHeight="1">
      <c r="B245" s="2370" t="s">
        <v>4184</v>
      </c>
      <c r="D245" s="2370">
        <v>77</v>
      </c>
      <c r="E245" s="2102">
        <v>3806720</v>
      </c>
      <c r="F245" s="2393">
        <f>1-G245</f>
        <v>0.7</v>
      </c>
      <c r="G245" s="2393">
        <v>0.3</v>
      </c>
      <c r="H245" s="2371" t="s">
        <v>1486</v>
      </c>
      <c r="K245" s="2102">
        <v>12125</v>
      </c>
      <c r="L245" s="2102">
        <v>7849</v>
      </c>
      <c r="M245" s="2102">
        <v>5403</v>
      </c>
      <c r="O245" s="2372">
        <f>ROW()</f>
        <v>245</v>
      </c>
    </row>
    <row r="246" spans="2:15" ht="15" customHeight="1">
      <c r="B246" s="2370" t="s">
        <v>4185</v>
      </c>
      <c r="D246" s="2370">
        <v>88</v>
      </c>
      <c r="E246" s="2102">
        <v>3233508</v>
      </c>
      <c r="F246" s="2393">
        <f>1-G246</f>
        <v>0.75</v>
      </c>
      <c r="G246" s="2393">
        <v>0.25</v>
      </c>
      <c r="H246" s="2371" t="s">
        <v>1486</v>
      </c>
      <c r="K246" s="2102">
        <v>9933</v>
      </c>
      <c r="L246" s="2102">
        <v>7762</v>
      </c>
      <c r="M246" s="2102">
        <v>5242</v>
      </c>
      <c r="O246" s="2372">
        <f>ROW()</f>
        <v>246</v>
      </c>
    </row>
    <row r="247" spans="2:15" ht="15" customHeight="1">
      <c r="B247" s="2370" t="s">
        <v>4186</v>
      </c>
      <c r="D247" s="2370">
        <v>116</v>
      </c>
      <c r="E247" s="2102">
        <v>2117921</v>
      </c>
      <c r="F247" s="2393">
        <f>1-G247</f>
        <v>0.6</v>
      </c>
      <c r="G247" s="2393">
        <v>0.4</v>
      </c>
      <c r="H247" s="2371" t="s">
        <v>1486</v>
      </c>
      <c r="K247" s="2102">
        <v>6725</v>
      </c>
      <c r="L247" s="2102">
        <v>4481</v>
      </c>
      <c r="M247" s="2102">
        <v>2994</v>
      </c>
      <c r="O247" s="2372">
        <f>ROW()</f>
        <v>247</v>
      </c>
    </row>
    <row r="248" spans="2:15" s="2375" customFormat="1" ht="15" customHeight="1">
      <c r="B248" s="2375" t="s">
        <v>228</v>
      </c>
      <c r="D248" s="2394" t="s">
        <v>4046</v>
      </c>
      <c r="E248" s="2395">
        <f>SUM(E243:E247)</f>
        <v>20891526</v>
      </c>
      <c r="F248" s="2396">
        <f>SUMPRODUCT(E243:E247,F243:F247)</f>
        <v>14233855.699999999</v>
      </c>
      <c r="G248" s="2397" t="s">
        <v>4047</v>
      </c>
      <c r="H248" s="2398"/>
      <c r="I248" s="2382"/>
      <c r="J248" s="2382"/>
      <c r="O248" s="2372">
        <f>ROW()</f>
        <v>248</v>
      </c>
    </row>
    <row r="249" spans="2:15" ht="15" customHeight="1">
      <c r="E249" s="2102"/>
      <c r="F249" s="2102"/>
      <c r="G249" s="2102"/>
      <c r="H249" s="2392"/>
      <c r="I249" s="2102"/>
      <c r="J249" s="2102"/>
      <c r="O249" s="2372">
        <f>ROW()</f>
        <v>249</v>
      </c>
    </row>
    <row r="250" spans="2:15" ht="15" customHeight="1">
      <c r="B250" s="2402" t="s">
        <v>4104</v>
      </c>
      <c r="C250" s="2400"/>
      <c r="E250" s="2382">
        <f>SUMPRODUCT(E196,G196)+SUMPRODUCT(E138:E142,G138:G142)</f>
        <v>5960846.9000000004</v>
      </c>
      <c r="F250" s="2102"/>
      <c r="G250" s="2102"/>
      <c r="H250" s="2392"/>
      <c r="I250" s="2102"/>
      <c r="J250" s="2102"/>
      <c r="O250" s="2372">
        <f>ROW()</f>
        <v>250</v>
      </c>
    </row>
    <row r="251" spans="2:15" ht="15" customHeight="1">
      <c r="E251" s="2102"/>
      <c r="F251" s="2102"/>
      <c r="G251" s="2102"/>
      <c r="H251" s="2392"/>
      <c r="I251" s="2102"/>
      <c r="J251" s="2102"/>
      <c r="O251" s="2372">
        <f>ROW()</f>
        <v>251</v>
      </c>
    </row>
    <row r="252" spans="2:15" s="2401" customFormat="1" ht="15" customHeight="1">
      <c r="B252" s="2403" t="s">
        <v>4187</v>
      </c>
      <c r="C252" s="2403"/>
      <c r="E252" s="2399">
        <f>SUM(E250,F248,E240)</f>
        <v>115556001.59999999</v>
      </c>
      <c r="F252" s="2404"/>
      <c r="G252" s="2404"/>
      <c r="H252" s="2405"/>
      <c r="I252" s="2404"/>
      <c r="J252" s="2404"/>
      <c r="O252" s="2372">
        <f>ROW()</f>
        <v>252</v>
      </c>
    </row>
    <row r="253" spans="2:15" ht="15" customHeight="1">
      <c r="E253" s="2102"/>
      <c r="F253" s="2102"/>
      <c r="G253" s="2102"/>
      <c r="H253" s="2392"/>
      <c r="I253" s="2102"/>
      <c r="J253" s="2102"/>
      <c r="O253" s="2372">
        <f>ROW()</f>
        <v>253</v>
      </c>
    </row>
    <row r="254" spans="2:15" ht="15" customHeight="1">
      <c r="B254" s="2373" t="s">
        <v>1487</v>
      </c>
      <c r="C254" s="2375"/>
      <c r="I254" s="2102"/>
      <c r="J254" s="2102"/>
      <c r="O254" s="2372">
        <f>ROW()</f>
        <v>254</v>
      </c>
    </row>
    <row r="255" spans="2:15" ht="15" customHeight="1">
      <c r="B255" s="2375"/>
      <c r="C255" s="2375"/>
      <c r="I255" s="2102"/>
      <c r="J255" s="2102"/>
      <c r="O255" s="2372">
        <f>ROW()</f>
        <v>255</v>
      </c>
    </row>
    <row r="256" spans="2:15" ht="15" customHeight="1">
      <c r="B256" s="2391" t="s">
        <v>4005</v>
      </c>
      <c r="C256" s="2400"/>
      <c r="I256" s="2102"/>
      <c r="J256" s="2102"/>
      <c r="O256" s="2372">
        <f>ROW()</f>
        <v>256</v>
      </c>
    </row>
    <row r="257" spans="2:15" ht="15" customHeight="1">
      <c r="B257" s="2370" t="s">
        <v>4188</v>
      </c>
      <c r="D257" s="2370">
        <v>140</v>
      </c>
      <c r="E257" s="2102">
        <v>1484564</v>
      </c>
      <c r="F257" s="2102"/>
      <c r="G257" s="2102"/>
      <c r="H257" s="2392"/>
      <c r="I257" s="2102"/>
      <c r="J257" s="2102"/>
      <c r="K257" s="2102">
        <v>4825</v>
      </c>
      <c r="L257" s="2102">
        <v>2623</v>
      </c>
      <c r="M257" s="2102">
        <v>2054</v>
      </c>
      <c r="O257" s="2372">
        <f>ROW()</f>
        <v>257</v>
      </c>
    </row>
    <row r="258" spans="2:15" ht="15" customHeight="1">
      <c r="B258" s="2370" t="s">
        <v>4189</v>
      </c>
      <c r="D258" s="2370">
        <v>169</v>
      </c>
      <c r="E258" s="2102">
        <v>591636</v>
      </c>
      <c r="F258" s="2102"/>
      <c r="G258" s="2102"/>
      <c r="H258" s="2392"/>
      <c r="I258" s="2102"/>
      <c r="J258" s="2102"/>
      <c r="K258" s="2102">
        <v>2017</v>
      </c>
      <c r="L258" s="2370">
        <v>778</v>
      </c>
      <c r="M258" s="2370">
        <v>665</v>
      </c>
      <c r="O258" s="2372">
        <f>ROW()</f>
        <v>258</v>
      </c>
    </row>
    <row r="259" spans="2:15" ht="15" customHeight="1">
      <c r="B259" s="2370" t="s">
        <v>4190</v>
      </c>
      <c r="D259" s="2370">
        <v>113</v>
      </c>
      <c r="E259" s="2102">
        <v>2280884</v>
      </c>
      <c r="F259" s="2102"/>
      <c r="G259" s="2102"/>
      <c r="H259" s="2392"/>
      <c r="I259" s="2102"/>
      <c r="J259" s="2102"/>
      <c r="K259" s="2102">
        <v>7216</v>
      </c>
      <c r="L259" s="2102">
        <v>4633</v>
      </c>
      <c r="M259" s="2102">
        <v>3500</v>
      </c>
      <c r="O259" s="2372">
        <f>ROW()</f>
        <v>259</v>
      </c>
    </row>
    <row r="260" spans="2:15" ht="15" customHeight="1">
      <c r="B260" s="2370" t="s">
        <v>4191</v>
      </c>
      <c r="D260" s="2370">
        <v>109</v>
      </c>
      <c r="E260" s="2102">
        <v>2481664</v>
      </c>
      <c r="F260" s="2102"/>
      <c r="G260" s="2102"/>
      <c r="H260" s="2392"/>
      <c r="I260" s="2102"/>
      <c r="J260" s="2102"/>
      <c r="K260" s="2102">
        <v>8058</v>
      </c>
      <c r="L260" s="2102">
        <v>4499</v>
      </c>
      <c r="M260" s="2102">
        <v>3385</v>
      </c>
      <c r="O260" s="2372">
        <f>ROW()</f>
        <v>260</v>
      </c>
    </row>
    <row r="261" spans="2:15" ht="15" customHeight="1">
      <c r="B261" s="2370" t="s">
        <v>4192</v>
      </c>
      <c r="D261" s="2370">
        <v>105</v>
      </c>
      <c r="E261" s="2102">
        <v>2611087</v>
      </c>
      <c r="F261" s="2102"/>
      <c r="G261" s="2102"/>
      <c r="H261" s="2392"/>
      <c r="I261" s="2102"/>
      <c r="J261" s="2102"/>
      <c r="K261" s="2102">
        <v>8204</v>
      </c>
      <c r="L261" s="2102">
        <v>5619</v>
      </c>
      <c r="M261" s="2102">
        <v>3985</v>
      </c>
      <c r="O261" s="2372">
        <f>ROW()</f>
        <v>261</v>
      </c>
    </row>
    <row r="262" spans="2:15" ht="15" customHeight="1">
      <c r="B262" s="2370" t="s">
        <v>4193</v>
      </c>
      <c r="D262" s="2370">
        <v>144</v>
      </c>
      <c r="E262" s="2102">
        <v>1449870</v>
      </c>
      <c r="F262" s="2102"/>
      <c r="G262" s="2102"/>
      <c r="H262" s="2392"/>
      <c r="I262" s="2102"/>
      <c r="J262" s="2102"/>
      <c r="K262" s="2102">
        <v>4723</v>
      </c>
      <c r="L262" s="2102">
        <v>2513</v>
      </c>
      <c r="M262" s="2102">
        <v>1985</v>
      </c>
      <c r="O262" s="2372">
        <f>ROW()</f>
        <v>262</v>
      </c>
    </row>
    <row r="263" spans="2:15" ht="15" customHeight="1">
      <c r="B263" s="2370" t="s">
        <v>4194</v>
      </c>
      <c r="D263" s="2370">
        <v>156</v>
      </c>
      <c r="E263" s="2102">
        <v>1017248</v>
      </c>
      <c r="F263" s="2102"/>
      <c r="G263" s="2102"/>
      <c r="H263" s="2392"/>
      <c r="I263" s="2102"/>
      <c r="J263" s="2102"/>
      <c r="K263" s="2102">
        <v>3314</v>
      </c>
      <c r="L263" s="2102">
        <v>1742</v>
      </c>
      <c r="M263" s="2102">
        <v>1431</v>
      </c>
      <c r="O263" s="2372">
        <f>ROW()</f>
        <v>263</v>
      </c>
    </row>
    <row r="264" spans="2:15" ht="15" customHeight="1">
      <c r="B264" s="2370" t="s">
        <v>4195</v>
      </c>
      <c r="D264" s="2370">
        <v>174</v>
      </c>
      <c r="E264" s="2102">
        <v>530531</v>
      </c>
      <c r="F264" s="2102"/>
      <c r="G264" s="2102"/>
      <c r="H264" s="2392"/>
      <c r="I264" s="2102"/>
      <c r="J264" s="2102"/>
      <c r="K264" s="2102">
        <v>1856</v>
      </c>
      <c r="L264" s="2370">
        <v>679</v>
      </c>
      <c r="M264" s="2370">
        <v>392</v>
      </c>
      <c r="O264" s="2372">
        <f>ROW()</f>
        <v>264</v>
      </c>
    </row>
    <row r="265" spans="2:15" ht="15" customHeight="1">
      <c r="B265" s="2370" t="s">
        <v>4196</v>
      </c>
      <c r="D265" s="2370">
        <v>193</v>
      </c>
      <c r="E265" s="2102">
        <v>139897</v>
      </c>
      <c r="F265" s="2102"/>
      <c r="G265" s="2102"/>
      <c r="H265" s="2392"/>
      <c r="I265" s="2102"/>
      <c r="J265" s="2102"/>
      <c r="K265" s="2370">
        <v>551</v>
      </c>
      <c r="L265" s="2370">
        <v>0</v>
      </c>
      <c r="M265" s="2370">
        <v>0</v>
      </c>
      <c r="O265" s="2372">
        <f>ROW()</f>
        <v>265</v>
      </c>
    </row>
    <row r="266" spans="2:15" ht="15" customHeight="1">
      <c r="B266" s="2370" t="s">
        <v>4197</v>
      </c>
      <c r="D266" s="2370">
        <v>190</v>
      </c>
      <c r="E266" s="2102">
        <v>209943</v>
      </c>
      <c r="F266" s="2102"/>
      <c r="G266" s="2102"/>
      <c r="H266" s="2392"/>
      <c r="I266" s="2102"/>
      <c r="J266" s="2102"/>
      <c r="K266" s="2370">
        <v>827</v>
      </c>
      <c r="L266" s="2370">
        <v>0</v>
      </c>
      <c r="M266" s="2370">
        <v>0</v>
      </c>
      <c r="O266" s="2372">
        <f>ROW()</f>
        <v>266</v>
      </c>
    </row>
    <row r="267" spans="2:15" ht="15" customHeight="1">
      <c r="B267" s="2370" t="s">
        <v>4198</v>
      </c>
      <c r="D267" s="2370">
        <v>176</v>
      </c>
      <c r="E267" s="2102">
        <v>516996</v>
      </c>
      <c r="F267" s="2102"/>
      <c r="G267" s="2102"/>
      <c r="H267" s="2392"/>
      <c r="I267" s="2102"/>
      <c r="J267" s="2102"/>
      <c r="K267" s="2102">
        <v>1690</v>
      </c>
      <c r="L267" s="2370">
        <v>915</v>
      </c>
      <c r="M267" s="2370">
        <v>684</v>
      </c>
      <c r="O267" s="2372">
        <f>ROW()</f>
        <v>267</v>
      </c>
    </row>
    <row r="268" spans="2:15" ht="15" customHeight="1">
      <c r="B268" s="2370" t="s">
        <v>4199</v>
      </c>
      <c r="D268" s="2370">
        <v>148</v>
      </c>
      <c r="E268" s="2102">
        <v>1323294</v>
      </c>
      <c r="F268" s="2102"/>
      <c r="G268" s="2102"/>
      <c r="H268" s="2392"/>
      <c r="K268" s="2102">
        <v>4186</v>
      </c>
      <c r="L268" s="2102">
        <v>2928</v>
      </c>
      <c r="M268" s="2102">
        <v>1842</v>
      </c>
      <c r="O268" s="2372">
        <f>ROW()</f>
        <v>268</v>
      </c>
    </row>
    <row r="269" spans="2:15" ht="15" customHeight="1">
      <c r="B269" s="2370" t="s">
        <v>4200</v>
      </c>
      <c r="D269" s="2370">
        <v>194</v>
      </c>
      <c r="E269" s="2102">
        <v>44901</v>
      </c>
      <c r="F269" s="2102"/>
      <c r="G269" s="2102"/>
      <c r="H269" s="2392"/>
      <c r="I269" s="2102"/>
      <c r="J269" s="2102"/>
      <c r="K269" s="2370">
        <v>165</v>
      </c>
      <c r="L269" s="2370">
        <v>33</v>
      </c>
      <c r="M269" s="2370">
        <v>25</v>
      </c>
      <c r="O269" s="2372">
        <f>ROW()</f>
        <v>269</v>
      </c>
    </row>
    <row r="270" spans="2:15" ht="15" customHeight="1">
      <c r="B270" s="2370" t="s">
        <v>4201</v>
      </c>
      <c r="D270" s="2370">
        <v>146</v>
      </c>
      <c r="E270" s="2102">
        <v>1370877</v>
      </c>
      <c r="F270" s="2102"/>
      <c r="G270" s="2102"/>
      <c r="H270" s="2392"/>
      <c r="I270" s="2102"/>
      <c r="J270" s="2102"/>
      <c r="K270" s="2102">
        <v>4318</v>
      </c>
      <c r="L270" s="2102">
        <v>2865</v>
      </c>
      <c r="M270" s="2102">
        <v>2114</v>
      </c>
      <c r="O270" s="2372">
        <f>ROW()</f>
        <v>270</v>
      </c>
    </row>
    <row r="271" spans="2:15" ht="15" customHeight="1">
      <c r="B271" s="2370" t="s">
        <v>4202</v>
      </c>
      <c r="D271" s="2370">
        <v>134</v>
      </c>
      <c r="E271" s="2102">
        <v>1535287</v>
      </c>
      <c r="F271" s="2102"/>
      <c r="G271" s="2102"/>
      <c r="H271" s="2392"/>
      <c r="I271" s="2102"/>
      <c r="J271" s="2102"/>
      <c r="K271" s="2102">
        <v>4942</v>
      </c>
      <c r="L271" s="2102">
        <v>3004</v>
      </c>
      <c r="M271" s="2102">
        <v>2115</v>
      </c>
      <c r="O271" s="2372">
        <f>ROW()</f>
        <v>271</v>
      </c>
    </row>
    <row r="272" spans="2:15" ht="15" customHeight="1">
      <c r="B272" s="2370" t="s">
        <v>4203</v>
      </c>
      <c r="D272" s="2370">
        <v>177</v>
      </c>
      <c r="E272" s="2102">
        <v>506283</v>
      </c>
      <c r="F272" s="2102"/>
      <c r="G272" s="2102"/>
      <c r="H272" s="2392"/>
      <c r="I272" s="2102"/>
      <c r="J272" s="2102"/>
      <c r="K272" s="2102">
        <v>1993</v>
      </c>
      <c r="L272" s="2370">
        <v>0</v>
      </c>
      <c r="M272" s="2370">
        <v>0</v>
      </c>
      <c r="O272" s="2372">
        <f>ROW()</f>
        <v>272</v>
      </c>
    </row>
    <row r="273" spans="2:15" ht="15" customHeight="1">
      <c r="B273" s="2370" t="s">
        <v>4204</v>
      </c>
      <c r="D273" s="2370">
        <v>191</v>
      </c>
      <c r="E273" s="2102">
        <v>176531</v>
      </c>
      <c r="F273" s="2102"/>
      <c r="G273" s="2102"/>
      <c r="H273" s="2392"/>
      <c r="I273" s="2102"/>
      <c r="J273" s="2102"/>
      <c r="K273" s="2370">
        <v>695</v>
      </c>
      <c r="L273" s="2370">
        <v>0</v>
      </c>
      <c r="M273" s="2370">
        <v>0</v>
      </c>
      <c r="O273" s="2372">
        <f>ROW()</f>
        <v>273</v>
      </c>
    </row>
    <row r="274" spans="2:15" ht="15" customHeight="1">
      <c r="B274" s="2370" t="s">
        <v>4205</v>
      </c>
      <c r="D274" s="2370">
        <v>126</v>
      </c>
      <c r="E274" s="2102">
        <v>1872853</v>
      </c>
      <c r="F274" s="2102"/>
      <c r="G274" s="2102"/>
      <c r="H274" s="2392"/>
      <c r="I274" s="2102"/>
      <c r="J274" s="2102"/>
      <c r="K274" s="2102">
        <v>5889</v>
      </c>
      <c r="L274" s="2102">
        <v>4014</v>
      </c>
      <c r="M274" s="2102">
        <v>2826</v>
      </c>
      <c r="O274" s="2372">
        <f>ROW()</f>
        <v>274</v>
      </c>
    </row>
    <row r="275" spans="2:15" ht="15" customHeight="1">
      <c r="B275" s="2370" t="s">
        <v>4206</v>
      </c>
      <c r="D275" s="2370">
        <v>137</v>
      </c>
      <c r="E275" s="2102">
        <v>1507278</v>
      </c>
      <c r="F275" s="2102"/>
      <c r="G275" s="2102"/>
      <c r="H275" s="2392"/>
      <c r="I275" s="2102"/>
      <c r="J275" s="2102"/>
      <c r="K275" s="2102">
        <v>5094</v>
      </c>
      <c r="L275" s="2102">
        <v>2245</v>
      </c>
      <c r="M275" s="2102">
        <v>1626</v>
      </c>
      <c r="O275" s="2372">
        <f>ROW()</f>
        <v>275</v>
      </c>
    </row>
    <row r="276" spans="2:15" ht="15" customHeight="1">
      <c r="B276" s="2370" t="s">
        <v>4207</v>
      </c>
      <c r="D276" s="2370">
        <v>115</v>
      </c>
      <c r="E276" s="2102">
        <v>2136097</v>
      </c>
      <c r="F276" s="2102"/>
      <c r="G276" s="2102"/>
      <c r="H276" s="2392"/>
      <c r="I276" s="2102"/>
      <c r="J276" s="2102"/>
      <c r="K276" s="2102">
        <v>6856</v>
      </c>
      <c r="L276" s="2102">
        <v>4112</v>
      </c>
      <c r="M276" s="2102">
        <v>3070</v>
      </c>
      <c r="O276" s="2372">
        <f>ROW()</f>
        <v>276</v>
      </c>
    </row>
    <row r="277" spans="2:15" ht="15" customHeight="1">
      <c r="B277" s="2370" t="s">
        <v>4208</v>
      </c>
      <c r="D277" s="2370">
        <v>188</v>
      </c>
      <c r="E277" s="2102">
        <v>233067</v>
      </c>
      <c r="F277" s="2102"/>
      <c r="G277" s="2102"/>
      <c r="H277" s="4859" t="s">
        <v>4031</v>
      </c>
      <c r="I277" s="2102"/>
      <c r="J277" s="2102"/>
      <c r="K277" s="2370">
        <v>918</v>
      </c>
      <c r="L277" s="2370">
        <v>0</v>
      </c>
      <c r="M277" s="2370">
        <v>0</v>
      </c>
      <c r="O277" s="2372">
        <f>ROW()</f>
        <v>277</v>
      </c>
    </row>
    <row r="278" spans="2:15" ht="15" customHeight="1">
      <c r="B278" s="2375" t="s">
        <v>228</v>
      </c>
      <c r="C278" s="2375"/>
      <c r="D278" s="2375"/>
      <c r="E278" s="2382">
        <f>SUM(E257:E277)</f>
        <v>24020788</v>
      </c>
      <c r="F278" s="2102"/>
      <c r="G278" s="2102"/>
      <c r="H278" s="3807"/>
      <c r="I278" s="2102"/>
      <c r="J278" s="2102"/>
      <c r="O278" s="2372">
        <f>ROW()</f>
        <v>278</v>
      </c>
    </row>
    <row r="279" spans="2:15" ht="15" customHeight="1">
      <c r="E279" s="2102"/>
      <c r="F279" s="4055" t="s">
        <v>4032</v>
      </c>
      <c r="G279" s="4055" t="s">
        <v>4033</v>
      </c>
      <c r="H279" s="3807"/>
      <c r="I279" s="2102"/>
      <c r="J279" s="2102"/>
      <c r="O279" s="2372">
        <f>ROW()</f>
        <v>279</v>
      </c>
    </row>
    <row r="280" spans="2:15" ht="15" customHeight="1">
      <c r="B280" s="2391" t="s">
        <v>4005</v>
      </c>
      <c r="C280" s="2400"/>
      <c r="E280" s="2102"/>
      <c r="F280" s="3781"/>
      <c r="G280" s="3781"/>
      <c r="H280" s="3807"/>
      <c r="I280" s="2102"/>
      <c r="J280" s="2102"/>
      <c r="O280" s="2372">
        <f>ROW()</f>
        <v>280</v>
      </c>
    </row>
    <row r="281" spans="2:15" ht="15" customHeight="1">
      <c r="B281" s="2370" t="s">
        <v>4209</v>
      </c>
      <c r="D281" s="2370">
        <v>90</v>
      </c>
      <c r="E281" s="2102">
        <v>3156634</v>
      </c>
      <c r="F281" s="2393">
        <f>1-G281</f>
        <v>0.95</v>
      </c>
      <c r="G281" s="2393">
        <v>0.05</v>
      </c>
      <c r="H281" s="2371" t="s">
        <v>1486</v>
      </c>
      <c r="K281" s="2102">
        <v>9650</v>
      </c>
      <c r="L281" s="2102">
        <v>7198</v>
      </c>
      <c r="M281" s="2102">
        <v>5616</v>
      </c>
      <c r="O281" s="2372">
        <f>ROW()</f>
        <v>281</v>
      </c>
    </row>
    <row r="282" spans="2:15" ht="15" customHeight="1">
      <c r="B282" s="2370" t="s">
        <v>4210</v>
      </c>
      <c r="D282" s="2370">
        <v>96</v>
      </c>
      <c r="E282" s="2102">
        <v>2931560</v>
      </c>
      <c r="F282" s="2393">
        <f>1-G282</f>
        <v>0.95</v>
      </c>
      <c r="G282" s="2393">
        <v>0.05</v>
      </c>
      <c r="H282" s="2371" t="s">
        <v>1486</v>
      </c>
      <c r="K282" s="2102">
        <v>8841</v>
      </c>
      <c r="L282" s="2102">
        <v>7263</v>
      </c>
      <c r="M282" s="2102">
        <v>5241</v>
      </c>
      <c r="O282" s="2372">
        <f>ROW()</f>
        <v>282</v>
      </c>
    </row>
    <row r="283" spans="2:15" ht="15" customHeight="1">
      <c r="B283" s="2370" t="s">
        <v>4211</v>
      </c>
      <c r="D283" s="2370">
        <v>184</v>
      </c>
      <c r="E283" s="2102">
        <v>331472</v>
      </c>
      <c r="F283" s="2393">
        <f>1-G283</f>
        <v>0.95</v>
      </c>
      <c r="G283" s="2393">
        <v>0.05</v>
      </c>
      <c r="H283" s="2371" t="s">
        <v>1486</v>
      </c>
      <c r="K283" s="2102">
        <v>1305</v>
      </c>
      <c r="L283" s="2370">
        <v>0</v>
      </c>
      <c r="M283" s="2370">
        <v>0</v>
      </c>
      <c r="O283" s="2372">
        <f>ROW()</f>
        <v>283</v>
      </c>
    </row>
    <row r="284" spans="2:15" ht="15" customHeight="1">
      <c r="B284" s="2375" t="s">
        <v>228</v>
      </c>
      <c r="C284" s="2375"/>
      <c r="D284" s="2394" t="s">
        <v>4046</v>
      </c>
      <c r="E284" s="2395">
        <f>SUM(E281:E283)</f>
        <v>6419666</v>
      </c>
      <c r="F284" s="2396">
        <f>SUMPRODUCT(E281:E283,F281:F283)</f>
        <v>6098682.7000000002</v>
      </c>
      <c r="G284" s="2397" t="s">
        <v>4047</v>
      </c>
      <c r="H284" s="2398"/>
      <c r="K284" s="2102"/>
      <c r="O284" s="2372">
        <f>ROW()</f>
        <v>284</v>
      </c>
    </row>
    <row r="285" spans="2:15" ht="15" customHeight="1">
      <c r="E285" s="2102"/>
      <c r="F285" s="2102"/>
      <c r="G285" s="2102"/>
      <c r="H285" s="2392"/>
      <c r="I285" s="2102"/>
      <c r="J285" s="2102"/>
      <c r="O285" s="2372">
        <f>ROW()</f>
        <v>285</v>
      </c>
    </row>
    <row r="286" spans="2:15" ht="15" customHeight="1">
      <c r="B286" s="2375" t="s">
        <v>4048</v>
      </c>
      <c r="C286" s="2400"/>
      <c r="E286" s="2102" t="s">
        <v>3999</v>
      </c>
      <c r="F286" s="2102"/>
      <c r="G286" s="2102"/>
      <c r="H286" s="2392"/>
      <c r="I286" s="2102"/>
      <c r="J286" s="2102"/>
      <c r="O286" s="2372">
        <f>ROW()</f>
        <v>286</v>
      </c>
    </row>
    <row r="287" spans="2:15" ht="15" customHeight="1">
      <c r="E287" s="2102"/>
      <c r="F287" s="2102"/>
      <c r="G287" s="2102"/>
      <c r="H287" s="2392"/>
      <c r="I287" s="2102"/>
      <c r="J287" s="2102"/>
      <c r="O287" s="2372">
        <f>ROW()</f>
        <v>287</v>
      </c>
    </row>
    <row r="288" spans="2:15" ht="15" customHeight="1">
      <c r="B288" s="2373" t="s">
        <v>4212</v>
      </c>
      <c r="C288" s="2401"/>
      <c r="D288" s="2401"/>
      <c r="E288" s="2399">
        <f>SUM(E286,F284,E278)</f>
        <v>30119470.699999999</v>
      </c>
      <c r="F288" s="2102"/>
      <c r="G288" s="2102"/>
      <c r="H288" s="2392"/>
      <c r="I288" s="2102"/>
      <c r="J288" s="2102"/>
      <c r="O288" s="2372">
        <f>ROW()</f>
        <v>288</v>
      </c>
    </row>
    <row r="289" spans="2:15" ht="15" customHeight="1">
      <c r="E289" s="2102"/>
      <c r="F289" s="2102"/>
      <c r="G289" s="2102"/>
      <c r="H289" s="2392"/>
      <c r="I289" s="2102"/>
      <c r="J289" s="2102"/>
      <c r="O289" s="2372">
        <f>ROW()</f>
        <v>289</v>
      </c>
    </row>
    <row r="290" spans="2:15" ht="15" customHeight="1">
      <c r="B290" s="2373" t="s">
        <v>4213</v>
      </c>
      <c r="C290" s="2373"/>
      <c r="D290" s="2373"/>
      <c r="E290" s="2399">
        <f>SUM(E288, E252,E201,E147,E80)</f>
        <v>714004250</v>
      </c>
      <c r="F290" s="2102"/>
      <c r="G290" s="2102"/>
      <c r="H290" s="2392"/>
      <c r="I290" s="2102"/>
      <c r="J290" s="2102"/>
      <c r="O290" s="2372">
        <f>ROW()</f>
        <v>290</v>
      </c>
    </row>
    <row r="291" spans="2:15" ht="15" customHeight="1">
      <c r="F291" s="2102"/>
      <c r="G291" s="2102"/>
      <c r="H291" s="2392"/>
      <c r="I291" s="2102"/>
      <c r="J291" s="2102"/>
      <c r="K291" s="2102"/>
      <c r="O291" s="2372">
        <f>ROW()</f>
        <v>291</v>
      </c>
    </row>
    <row r="292" spans="2:15" ht="15" customHeight="1">
      <c r="F292" s="2102"/>
      <c r="G292" s="2102"/>
      <c r="H292" s="2392"/>
      <c r="I292" s="2102"/>
      <c r="J292" s="2102"/>
      <c r="K292" s="2102"/>
      <c r="O292" s="2372">
        <f>ROW()</f>
        <v>292</v>
      </c>
    </row>
    <row r="293" spans="2:15" s="2375" customFormat="1" ht="15" customHeight="1">
      <c r="B293" s="2375" t="s">
        <v>4214</v>
      </c>
      <c r="E293" s="2388" t="s">
        <v>4215</v>
      </c>
      <c r="F293" s="2388" t="s">
        <v>2016</v>
      </c>
      <c r="H293" s="2388"/>
      <c r="J293" s="2382"/>
      <c r="K293" s="2382"/>
      <c r="O293" s="2372">
        <f>ROW()</f>
        <v>293</v>
      </c>
    </row>
    <row r="294" spans="2:15" ht="15" customHeight="1">
      <c r="B294" s="2370" t="s">
        <v>4216</v>
      </c>
      <c r="D294"/>
      <c r="E294" s="2370">
        <v>1</v>
      </c>
      <c r="F294" s="2102">
        <v>1891632</v>
      </c>
      <c r="G294" s="2102"/>
      <c r="H294" s="2392"/>
      <c r="I294" s="2102"/>
      <c r="J294" s="2102"/>
      <c r="K294" s="2102">
        <v>6406</v>
      </c>
      <c r="L294" s="2102">
        <v>2994</v>
      </c>
      <c r="M294" s="2102">
        <v>1825</v>
      </c>
      <c r="O294" s="2372">
        <f>ROW()</f>
        <v>294</v>
      </c>
    </row>
    <row r="295" spans="2:15" ht="15" customHeight="1">
      <c r="B295" s="2370" t="s">
        <v>4217</v>
      </c>
      <c r="D295"/>
      <c r="E295" s="2370">
        <v>9</v>
      </c>
      <c r="F295" s="2102">
        <v>346392</v>
      </c>
      <c r="G295" s="2102"/>
      <c r="H295" s="2392"/>
      <c r="I295" s="2102"/>
      <c r="J295" s="2102"/>
      <c r="K295" s="2102">
        <v>1364</v>
      </c>
      <c r="L295" s="2370">
        <v>0</v>
      </c>
      <c r="M295" s="2370">
        <v>0</v>
      </c>
      <c r="O295" s="2372">
        <f>ROW()</f>
        <v>295</v>
      </c>
    </row>
    <row r="296" spans="2:15" ht="15" customHeight="1">
      <c r="B296" s="2370" t="s">
        <v>4218</v>
      </c>
      <c r="D296"/>
      <c r="E296" s="2370">
        <v>25</v>
      </c>
      <c r="F296" s="2102">
        <v>127990</v>
      </c>
      <c r="G296" s="2102"/>
      <c r="H296" s="2392"/>
      <c r="I296" s="2102"/>
      <c r="J296" s="2102"/>
      <c r="K296" s="2370">
        <v>504</v>
      </c>
      <c r="L296" s="2370">
        <v>0</v>
      </c>
      <c r="M296" s="2370">
        <v>0</v>
      </c>
      <c r="O296" s="2372">
        <f>ROW()</f>
        <v>296</v>
      </c>
    </row>
    <row r="297" spans="2:15" ht="15" customHeight="1">
      <c r="B297" s="2370" t="s">
        <v>4219</v>
      </c>
      <c r="D297"/>
      <c r="E297" s="2370">
        <v>22</v>
      </c>
      <c r="F297" s="2102">
        <v>166864</v>
      </c>
      <c r="G297" s="2102"/>
      <c r="H297" s="2392"/>
      <c r="I297" s="2102"/>
      <c r="J297" s="2102"/>
      <c r="K297" s="2370">
        <v>657</v>
      </c>
      <c r="L297" s="2370">
        <v>0</v>
      </c>
      <c r="M297" s="2370">
        <v>0</v>
      </c>
      <c r="O297" s="2372">
        <f>ROW()</f>
        <v>297</v>
      </c>
    </row>
    <row r="298" spans="2:15" ht="15" customHeight="1">
      <c r="B298" s="2370" t="s">
        <v>4220</v>
      </c>
      <c r="D298"/>
      <c r="E298" s="2370">
        <v>7</v>
      </c>
      <c r="F298" s="2102">
        <v>471689</v>
      </c>
      <c r="G298" s="2102"/>
      <c r="H298" s="2392"/>
      <c r="I298" s="2102"/>
      <c r="J298" s="2102"/>
      <c r="K298" s="2102">
        <v>1857</v>
      </c>
      <c r="L298" s="2370">
        <v>0</v>
      </c>
      <c r="M298" s="2370">
        <v>0</v>
      </c>
      <c r="O298" s="2372">
        <f>ROW()</f>
        <v>298</v>
      </c>
    </row>
    <row r="299" spans="2:15" ht="15" customHeight="1">
      <c r="B299" s="2370" t="s">
        <v>4221</v>
      </c>
      <c r="D299"/>
      <c r="E299" s="2370">
        <v>14</v>
      </c>
      <c r="F299" s="2102">
        <v>231937</v>
      </c>
      <c r="G299" s="2102"/>
      <c r="H299" s="2392"/>
      <c r="I299" s="2102"/>
      <c r="J299" s="2102"/>
      <c r="K299" s="2370">
        <v>913</v>
      </c>
      <c r="L299" s="2370">
        <v>0</v>
      </c>
      <c r="M299" s="2370">
        <v>0</v>
      </c>
      <c r="O299" s="2372">
        <f>ROW()</f>
        <v>299</v>
      </c>
    </row>
    <row r="300" spans="2:15" ht="15" customHeight="1">
      <c r="B300" s="2370" t="s">
        <v>4222</v>
      </c>
      <c r="D300"/>
      <c r="E300" s="2370">
        <v>15</v>
      </c>
      <c r="F300" s="2102">
        <v>211396</v>
      </c>
      <c r="G300" s="2102"/>
      <c r="H300" s="2392"/>
      <c r="I300" s="2102"/>
      <c r="J300" s="2102"/>
      <c r="K300" s="2370">
        <v>832</v>
      </c>
      <c r="L300" s="2370">
        <v>0</v>
      </c>
      <c r="M300" s="2370">
        <v>0</v>
      </c>
      <c r="O300" s="2372">
        <f>ROW()</f>
        <v>300</v>
      </c>
    </row>
    <row r="301" spans="2:15" ht="15" customHeight="1">
      <c r="B301" s="2370" t="s">
        <v>4223</v>
      </c>
      <c r="D301"/>
      <c r="E301" s="2370">
        <v>12</v>
      </c>
      <c r="F301" s="2102">
        <v>293237</v>
      </c>
      <c r="G301" s="2102"/>
      <c r="H301" s="2392"/>
      <c r="I301" s="2102"/>
      <c r="J301" s="2102"/>
      <c r="K301" s="2102">
        <v>1154</v>
      </c>
      <c r="L301" s="2370">
        <v>0</v>
      </c>
      <c r="M301" s="2370">
        <v>0</v>
      </c>
      <c r="O301" s="2372">
        <f>ROW()</f>
        <v>301</v>
      </c>
    </row>
    <row r="302" spans="2:15" ht="15" customHeight="1">
      <c r="B302" s="2370" t="s">
        <v>4224</v>
      </c>
      <c r="D302"/>
      <c r="E302" s="2370">
        <v>19</v>
      </c>
      <c r="F302" s="2102">
        <v>191585</v>
      </c>
      <c r="G302" s="2102"/>
      <c r="H302" s="2392"/>
      <c r="I302" s="2102"/>
      <c r="J302" s="2102"/>
      <c r="K302" s="2370">
        <v>754</v>
      </c>
      <c r="L302" s="2370">
        <v>0</v>
      </c>
      <c r="M302" s="2370">
        <v>0</v>
      </c>
      <c r="O302" s="2372">
        <f>ROW()</f>
        <v>302</v>
      </c>
    </row>
    <row r="303" spans="2:15" ht="15" customHeight="1">
      <c r="B303" s="2370" t="s">
        <v>4225</v>
      </c>
      <c r="D303"/>
      <c r="E303" s="2370">
        <v>5</v>
      </c>
      <c r="F303" s="2102">
        <v>856895</v>
      </c>
      <c r="G303" s="2102"/>
      <c r="H303" s="2392"/>
      <c r="I303" s="2102"/>
      <c r="J303" s="2102"/>
      <c r="K303" s="2102">
        <v>2849</v>
      </c>
      <c r="L303" s="2102">
        <v>1436</v>
      </c>
      <c r="M303" s="2370">
        <v>982</v>
      </c>
      <c r="O303" s="2372">
        <f>ROW()</f>
        <v>303</v>
      </c>
    </row>
    <row r="304" spans="2:15" ht="15" customHeight="1">
      <c r="B304" s="2370" t="s">
        <v>4226</v>
      </c>
      <c r="D304"/>
      <c r="E304" s="2370">
        <v>13</v>
      </c>
      <c r="F304" s="2102">
        <v>243281</v>
      </c>
      <c r="G304" s="2102"/>
      <c r="H304" s="2392"/>
      <c r="I304" s="2102"/>
      <c r="J304" s="2102"/>
      <c r="K304" s="2370">
        <v>958</v>
      </c>
      <c r="L304" s="2370">
        <v>0</v>
      </c>
      <c r="M304" s="2370">
        <v>0</v>
      </c>
      <c r="O304" s="2372">
        <f>ROW()</f>
        <v>304</v>
      </c>
    </row>
    <row r="305" spans="2:15" ht="15" customHeight="1">
      <c r="B305" s="2370" t="s">
        <v>4227</v>
      </c>
      <c r="D305"/>
      <c r="E305" s="2370">
        <v>6</v>
      </c>
      <c r="F305" s="2102">
        <v>569863</v>
      </c>
      <c r="G305" s="2102"/>
      <c r="H305" s="2392"/>
      <c r="I305" s="2102"/>
      <c r="K305" s="2102">
        <v>2244</v>
      </c>
      <c r="L305" s="2370">
        <v>0</v>
      </c>
      <c r="M305" s="2370">
        <v>0</v>
      </c>
      <c r="O305" s="2372">
        <f>ROW()</f>
        <v>305</v>
      </c>
    </row>
    <row r="306" spans="2:15" ht="15" customHeight="1">
      <c r="B306" s="2370" t="s">
        <v>4228</v>
      </c>
      <c r="D306"/>
      <c r="E306" s="2370">
        <v>28</v>
      </c>
      <c r="F306" s="2102">
        <v>88957</v>
      </c>
      <c r="G306" s="2102"/>
      <c r="H306" s="2392"/>
      <c r="I306" s="2102"/>
      <c r="K306" s="2370">
        <v>350</v>
      </c>
      <c r="L306" s="2370">
        <v>0</v>
      </c>
      <c r="M306" s="2370">
        <v>0</v>
      </c>
      <c r="O306" s="2372">
        <f>ROW()</f>
        <v>306</v>
      </c>
    </row>
    <row r="307" spans="2:15" ht="15" customHeight="1">
      <c r="B307" s="2370" t="s">
        <v>4229</v>
      </c>
      <c r="D307"/>
      <c r="E307" s="2370">
        <v>20</v>
      </c>
      <c r="F307" s="2102">
        <v>182119</v>
      </c>
      <c r="G307" s="2102"/>
      <c r="H307" s="2392"/>
      <c r="I307" s="2102"/>
      <c r="K307" s="2370">
        <v>717</v>
      </c>
      <c r="L307" s="2370">
        <v>0</v>
      </c>
      <c r="M307" s="2370">
        <v>0</v>
      </c>
      <c r="O307" s="2372">
        <f>ROW()</f>
        <v>307</v>
      </c>
    </row>
    <row r="308" spans="2:15" ht="15" customHeight="1">
      <c r="B308" s="2370" t="s">
        <v>4230</v>
      </c>
      <c r="D308"/>
      <c r="E308" s="2370">
        <v>10</v>
      </c>
      <c r="F308" s="2102">
        <v>322173</v>
      </c>
      <c r="G308" s="2102"/>
      <c r="H308" s="2392"/>
      <c r="I308" s="2102"/>
      <c r="K308" s="2102">
        <v>1269</v>
      </c>
      <c r="L308" s="2370">
        <v>0</v>
      </c>
      <c r="M308" s="2370">
        <v>0</v>
      </c>
      <c r="O308" s="2372">
        <f>ROW()</f>
        <v>308</v>
      </c>
    </row>
    <row r="309" spans="2:15" ht="15" customHeight="1">
      <c r="B309" s="2370" t="s">
        <v>4231</v>
      </c>
      <c r="D309"/>
      <c r="E309" s="2370">
        <v>29</v>
      </c>
      <c r="F309" s="2102">
        <v>88297</v>
      </c>
      <c r="G309" s="2102"/>
      <c r="H309" s="2392"/>
      <c r="I309" s="2102"/>
      <c r="K309" s="2370">
        <v>348</v>
      </c>
      <c r="L309" s="2370">
        <v>0</v>
      </c>
      <c r="M309" s="2370">
        <v>0</v>
      </c>
      <c r="O309" s="2372">
        <f>ROW()</f>
        <v>309</v>
      </c>
    </row>
    <row r="310" spans="2:15" ht="15" customHeight="1">
      <c r="B310" s="2370" t="s">
        <v>4232</v>
      </c>
      <c r="D310"/>
      <c r="E310" s="2370">
        <v>2</v>
      </c>
      <c r="F310" s="2102">
        <v>1454602</v>
      </c>
      <c r="G310" s="2102"/>
      <c r="H310" s="2392"/>
      <c r="I310" s="2102"/>
      <c r="K310" s="2102">
        <v>5529</v>
      </c>
      <c r="L310" s="2370">
        <v>958</v>
      </c>
      <c r="M310" s="2370">
        <v>0</v>
      </c>
      <c r="O310" s="2372">
        <f>ROW()</f>
        <v>310</v>
      </c>
    </row>
    <row r="311" spans="2:15" ht="15" customHeight="1">
      <c r="B311" s="2370" t="s">
        <v>4233</v>
      </c>
      <c r="D311"/>
      <c r="E311" s="2370">
        <v>30</v>
      </c>
      <c r="F311" s="2102">
        <v>77089</v>
      </c>
      <c r="G311" s="2102"/>
      <c r="H311" s="2392"/>
      <c r="I311" s="2102"/>
      <c r="K311" s="2370">
        <v>304</v>
      </c>
      <c r="L311" s="2370">
        <v>0</v>
      </c>
      <c r="M311" s="2370">
        <v>0</v>
      </c>
      <c r="O311" s="2372">
        <f>ROW()</f>
        <v>311</v>
      </c>
    </row>
    <row r="312" spans="2:15" ht="15" customHeight="1">
      <c r="B312" s="2370" t="s">
        <v>4234</v>
      </c>
      <c r="D312"/>
      <c r="E312" s="2370">
        <v>11</v>
      </c>
      <c r="F312" s="2102">
        <v>310987</v>
      </c>
      <c r="G312" s="2102"/>
      <c r="H312" s="2392"/>
      <c r="I312" s="2102"/>
      <c r="K312" s="2102">
        <v>1224</v>
      </c>
      <c r="L312" s="2370">
        <v>0</v>
      </c>
      <c r="M312" s="2370">
        <v>0</v>
      </c>
      <c r="O312" s="2372">
        <f>ROW()</f>
        <v>312</v>
      </c>
    </row>
    <row r="313" spans="2:15" ht="15" customHeight="1">
      <c r="B313" s="2370" t="s">
        <v>4235</v>
      </c>
      <c r="D313"/>
      <c r="E313" s="2370">
        <v>31</v>
      </c>
      <c r="F313" s="2102">
        <v>15012</v>
      </c>
      <c r="G313" s="2102"/>
      <c r="H313" s="2392"/>
      <c r="I313" s="2102"/>
      <c r="K313" s="2370">
        <v>59</v>
      </c>
      <c r="L313" s="2370">
        <v>0</v>
      </c>
      <c r="M313" s="2370">
        <v>0</v>
      </c>
      <c r="O313" s="2372">
        <f>ROW()</f>
        <v>313</v>
      </c>
    </row>
    <row r="314" spans="2:15" ht="15" customHeight="1">
      <c r="B314" s="2370" t="s">
        <v>4236</v>
      </c>
      <c r="D314"/>
      <c r="E314" s="2370">
        <v>8</v>
      </c>
      <c r="F314" s="2102">
        <v>459943</v>
      </c>
      <c r="G314" s="2102"/>
      <c r="H314" s="2392"/>
      <c r="I314" s="2102"/>
      <c r="K314" s="2102">
        <v>1811</v>
      </c>
      <c r="L314" s="2370">
        <v>0</v>
      </c>
      <c r="M314" s="2370">
        <v>0</v>
      </c>
      <c r="O314" s="2372">
        <f>ROW()</f>
        <v>314</v>
      </c>
    </row>
    <row r="315" spans="2:15" ht="15" customHeight="1">
      <c r="B315" s="2370" t="s">
        <v>4237</v>
      </c>
      <c r="D315"/>
      <c r="E315" s="2370">
        <v>16</v>
      </c>
      <c r="F315" s="2102">
        <v>209548</v>
      </c>
      <c r="G315" s="2102"/>
      <c r="H315" s="2392"/>
      <c r="I315" s="2102"/>
      <c r="K315" s="2370">
        <v>825</v>
      </c>
      <c r="L315" s="2370">
        <v>0</v>
      </c>
      <c r="M315" s="2370">
        <v>0</v>
      </c>
      <c r="O315" s="2372">
        <f>ROW()</f>
        <v>315</v>
      </c>
    </row>
    <row r="316" spans="2:15" ht="15" customHeight="1">
      <c r="B316" s="2370" t="s">
        <v>4238</v>
      </c>
      <c r="D316"/>
      <c r="E316" s="2370">
        <v>17</v>
      </c>
      <c r="F316" s="2102">
        <v>195459</v>
      </c>
      <c r="G316" s="2102"/>
      <c r="H316" s="2392"/>
      <c r="I316" s="2102"/>
      <c r="K316" s="2370">
        <v>770</v>
      </c>
      <c r="L316" s="2370">
        <v>0</v>
      </c>
      <c r="M316" s="2370">
        <v>0</v>
      </c>
      <c r="O316" s="2372">
        <f>ROW()</f>
        <v>316</v>
      </c>
    </row>
    <row r="317" spans="2:15" ht="15" customHeight="1">
      <c r="B317" s="2370" t="s">
        <v>4239</v>
      </c>
      <c r="D317"/>
      <c r="E317" s="2370">
        <v>3</v>
      </c>
      <c r="F317" s="2102">
        <v>935561</v>
      </c>
      <c r="G317" s="2102"/>
      <c r="H317" s="2392"/>
      <c r="I317" s="2102"/>
      <c r="J317" s="2102"/>
      <c r="K317" s="2102">
        <v>3462</v>
      </c>
      <c r="L317" s="2370">
        <v>617</v>
      </c>
      <c r="M317" s="2370">
        <v>415</v>
      </c>
      <c r="O317" s="2372">
        <f>ROW()</f>
        <v>317</v>
      </c>
    </row>
    <row r="318" spans="2:15" ht="15" customHeight="1">
      <c r="B318" s="2370" t="s">
        <v>4240</v>
      </c>
      <c r="D318"/>
      <c r="E318" s="2370">
        <v>4</v>
      </c>
      <c r="F318" s="2102">
        <v>890093</v>
      </c>
      <c r="G318" s="2102"/>
      <c r="H318" s="2392"/>
      <c r="I318" s="2102"/>
      <c r="J318" s="2102"/>
      <c r="K318" s="2102">
        <v>3352</v>
      </c>
      <c r="L318" s="2370">
        <v>438</v>
      </c>
      <c r="M318" s="2370">
        <v>271</v>
      </c>
      <c r="O318" s="2372">
        <f>ROW()</f>
        <v>318</v>
      </c>
    </row>
    <row r="319" spans="2:15" ht="15" customHeight="1">
      <c r="B319" s="2370" t="s">
        <v>4241</v>
      </c>
      <c r="D319"/>
      <c r="E319" s="2370">
        <v>24</v>
      </c>
      <c r="F319" s="2102">
        <v>135765</v>
      </c>
      <c r="G319" s="2102"/>
      <c r="H319" s="2392"/>
      <c r="I319" s="2102"/>
      <c r="J319" s="2102"/>
      <c r="K319" s="2370">
        <v>535</v>
      </c>
      <c r="L319" s="2370">
        <v>0</v>
      </c>
      <c r="M319" s="2370">
        <v>0</v>
      </c>
      <c r="O319" s="2372">
        <f>ROW()</f>
        <v>319</v>
      </c>
    </row>
    <row r="320" spans="2:15" ht="15" customHeight="1">
      <c r="B320" s="2370" t="s">
        <v>4242</v>
      </c>
      <c r="D320"/>
      <c r="E320" s="2370">
        <v>33</v>
      </c>
      <c r="F320" s="2102">
        <v>5641</v>
      </c>
      <c r="G320" s="2102"/>
      <c r="H320" s="2392"/>
      <c r="I320" s="2102"/>
      <c r="J320" s="2102"/>
      <c r="K320" s="2370">
        <v>22</v>
      </c>
      <c r="L320" s="2370">
        <v>0</v>
      </c>
      <c r="M320" s="2370">
        <v>0</v>
      </c>
      <c r="O320" s="2372">
        <f>ROW()</f>
        <v>320</v>
      </c>
    </row>
    <row r="321" spans="2:15" ht="15" customHeight="1">
      <c r="B321" s="2370" t="s">
        <v>4243</v>
      </c>
      <c r="D321"/>
      <c r="E321" s="2370">
        <v>21</v>
      </c>
      <c r="F321" s="2102">
        <v>169146</v>
      </c>
      <c r="G321" s="2102"/>
      <c r="H321" s="2392"/>
      <c r="I321" s="2102"/>
      <c r="J321" s="2102"/>
      <c r="K321" s="2370">
        <v>666</v>
      </c>
      <c r="L321" s="2370">
        <v>0</v>
      </c>
      <c r="M321" s="2370">
        <v>0</v>
      </c>
      <c r="O321" s="2372">
        <f>ROW()</f>
        <v>321</v>
      </c>
    </row>
    <row r="322" spans="2:15" ht="15" customHeight="1">
      <c r="B322" s="2370" t="s">
        <v>4244</v>
      </c>
      <c r="D322"/>
      <c r="E322" s="2370">
        <v>32</v>
      </c>
      <c r="F322" s="2102">
        <v>12787</v>
      </c>
      <c r="G322" s="2102"/>
      <c r="H322" s="2392"/>
      <c r="I322" s="2102"/>
      <c r="J322" s="2102"/>
      <c r="K322" s="2370">
        <v>50</v>
      </c>
      <c r="L322" s="2370">
        <v>0</v>
      </c>
      <c r="M322" s="2370">
        <v>0</v>
      </c>
      <c r="O322" s="2372">
        <f>ROW()</f>
        <v>322</v>
      </c>
    </row>
    <row r="323" spans="2:15" ht="15" customHeight="1">
      <c r="B323" s="2370" t="s">
        <v>4245</v>
      </c>
      <c r="D323"/>
      <c r="E323" s="2370">
        <v>27</v>
      </c>
      <c r="F323" s="2102">
        <v>93090</v>
      </c>
      <c r="G323" s="2102"/>
      <c r="H323" s="2392"/>
      <c r="I323" s="2102"/>
      <c r="J323" s="2102"/>
      <c r="K323" s="2370">
        <v>367</v>
      </c>
      <c r="L323" s="2370">
        <v>0</v>
      </c>
      <c r="M323" s="2370">
        <v>0</v>
      </c>
      <c r="O323" s="2372">
        <f>ROW()</f>
        <v>323</v>
      </c>
    </row>
    <row r="324" spans="2:15" ht="15" customHeight="1">
      <c r="B324" s="2370" t="s">
        <v>4246</v>
      </c>
      <c r="D324"/>
      <c r="E324" s="2370">
        <v>18</v>
      </c>
      <c r="F324" s="2102">
        <v>193051</v>
      </c>
      <c r="G324" s="2102"/>
      <c r="H324" s="2392"/>
      <c r="I324" s="2102"/>
      <c r="J324" s="2102"/>
      <c r="K324" s="2370">
        <v>760</v>
      </c>
      <c r="L324" s="2370">
        <v>0</v>
      </c>
      <c r="M324" s="2370">
        <v>0</v>
      </c>
      <c r="O324" s="2372">
        <f>ROW()</f>
        <v>324</v>
      </c>
    </row>
    <row r="325" spans="2:15" ht="15" customHeight="1">
      <c r="B325" s="2370" t="s">
        <v>4247</v>
      </c>
      <c r="D325"/>
      <c r="E325" s="2370">
        <v>26</v>
      </c>
      <c r="F325" s="2102">
        <v>112997</v>
      </c>
      <c r="G325" s="2102"/>
      <c r="H325" s="2392"/>
      <c r="I325" s="2102"/>
      <c r="J325" s="2102"/>
      <c r="K325" s="2370">
        <v>445</v>
      </c>
      <c r="L325" s="2370">
        <v>0</v>
      </c>
      <c r="M325" s="2370">
        <v>0</v>
      </c>
      <c r="O325" s="2372">
        <f>ROW()</f>
        <v>325</v>
      </c>
    </row>
    <row r="326" spans="2:15" ht="15" customHeight="1">
      <c r="B326" s="2370" t="s">
        <v>4248</v>
      </c>
      <c r="D326"/>
      <c r="E326" s="2370">
        <v>23</v>
      </c>
      <c r="F326" s="2102">
        <v>165705</v>
      </c>
      <c r="G326" s="2102"/>
      <c r="H326" s="2392"/>
      <c r="I326" s="2102"/>
      <c r="J326" s="2102"/>
      <c r="K326" s="2370">
        <v>652</v>
      </c>
      <c r="L326" s="2370">
        <v>0</v>
      </c>
      <c r="M326" s="2370">
        <v>0</v>
      </c>
      <c r="O326" s="2372">
        <f>ROW()</f>
        <v>326</v>
      </c>
    </row>
  </sheetData>
  <mergeCells count="32">
    <mergeCell ref="H277:H280"/>
    <mergeCell ref="F279:F280"/>
    <mergeCell ref="G279:G280"/>
    <mergeCell ref="G32:I33"/>
    <mergeCell ref="H192:H195"/>
    <mergeCell ref="F194:F195"/>
    <mergeCell ref="G194:G195"/>
    <mergeCell ref="H239:H242"/>
    <mergeCell ref="F241:F242"/>
    <mergeCell ref="G241:G242"/>
    <mergeCell ref="H61:H64"/>
    <mergeCell ref="F63:F64"/>
    <mergeCell ref="G63:G64"/>
    <mergeCell ref="H134:H137"/>
    <mergeCell ref="F136:F137"/>
    <mergeCell ref="G136:G137"/>
    <mergeCell ref="N19:N21"/>
    <mergeCell ref="D20:D21"/>
    <mergeCell ref="M20:M21"/>
    <mergeCell ref="G29:I30"/>
    <mergeCell ref="K30:M32"/>
    <mergeCell ref="K34:K35"/>
    <mergeCell ref="L34:L35"/>
    <mergeCell ref="M34:M35"/>
    <mergeCell ref="B6:I7"/>
    <mergeCell ref="B9:I11"/>
    <mergeCell ref="D14:M14"/>
    <mergeCell ref="G18:G21"/>
    <mergeCell ref="J18:J21"/>
    <mergeCell ref="E19:E21"/>
    <mergeCell ref="K19:K21"/>
    <mergeCell ref="H16:H2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5"/>
  <dimension ref="B1:AG153"/>
  <sheetViews>
    <sheetView showRuler="0" workbookViewId="0"/>
  </sheetViews>
  <sheetFormatPr defaultColWidth="11.75" defaultRowHeight="13.2" customHeight="1"/>
  <cols>
    <col min="1" max="1" width="1.75" customWidth="1"/>
    <col min="2" max="2" width="30.625" customWidth="1"/>
    <col min="3" max="30" width="9.75" customWidth="1"/>
    <col min="31" max="31" width="11.875" customWidth="1"/>
    <col min="32" max="32" width="11.75" customWidth="1"/>
    <col min="33" max="33" width="2.625" customWidth="1"/>
  </cols>
  <sheetData>
    <row r="1" spans="2:33" ht="13.2" customHeight="1">
      <c r="B1" s="1507" t="s">
        <v>2824</v>
      </c>
      <c r="J1" s="181">
        <f>'Title Page'!K1</f>
        <v>40914</v>
      </c>
      <c r="AG1" s="621">
        <f>ROW()</f>
        <v>1</v>
      </c>
    </row>
    <row r="2" spans="2:33" ht="13.2" customHeight="1">
      <c r="AG2" s="621">
        <f>ROW()</f>
        <v>2</v>
      </c>
    </row>
    <row r="3" spans="2:33" ht="13.2" customHeight="1">
      <c r="AG3" s="621">
        <f>ROW()</f>
        <v>3</v>
      </c>
    </row>
    <row r="4" spans="2:33" ht="13.2" customHeight="1">
      <c r="B4" s="4892" t="s">
        <v>2693</v>
      </c>
      <c r="C4" s="4892"/>
      <c r="D4" s="4892"/>
      <c r="E4" s="4892"/>
      <c r="F4" s="4892"/>
      <c r="G4" s="4892"/>
      <c r="H4" s="4892"/>
      <c r="I4" s="4892"/>
      <c r="J4" s="4892"/>
      <c r="K4" s="853"/>
      <c r="L4" s="853"/>
      <c r="M4" s="853"/>
      <c r="N4" s="853"/>
      <c r="O4" s="853"/>
      <c r="P4" s="853"/>
      <c r="AG4" s="621">
        <f>ROW()</f>
        <v>4</v>
      </c>
    </row>
    <row r="5" spans="2:33" ht="13.2" customHeight="1">
      <c r="B5" s="4892"/>
      <c r="C5" s="4892"/>
      <c r="D5" s="4892"/>
      <c r="E5" s="4892"/>
      <c r="F5" s="4892"/>
      <c r="G5" s="4892"/>
      <c r="H5" s="4892"/>
      <c r="I5" s="4892"/>
      <c r="J5" s="4892"/>
      <c r="K5" s="853"/>
      <c r="L5" s="853"/>
      <c r="M5" s="853"/>
      <c r="N5" s="853"/>
      <c r="O5" s="853"/>
      <c r="P5" s="853"/>
      <c r="AG5" s="621">
        <f>ROW()</f>
        <v>5</v>
      </c>
    </row>
    <row r="6" spans="2:33" ht="13.2" customHeight="1">
      <c r="B6" s="4892"/>
      <c r="C6" s="4892"/>
      <c r="D6" s="4892"/>
      <c r="E6" s="4892"/>
      <c r="F6" s="4892"/>
      <c r="G6" s="4892"/>
      <c r="H6" s="4892"/>
      <c r="I6" s="4892"/>
      <c r="J6" s="4892"/>
      <c r="K6" s="853"/>
      <c r="L6" s="853"/>
      <c r="M6" s="853"/>
      <c r="N6" s="853"/>
      <c r="O6" s="853"/>
      <c r="P6" s="853"/>
      <c r="AG6" s="621">
        <f>ROW()</f>
        <v>6</v>
      </c>
    </row>
    <row r="7" spans="2:33" ht="13.2" customHeight="1">
      <c r="B7" s="3810"/>
      <c r="C7" s="3810"/>
      <c r="D7" s="3810"/>
      <c r="E7" s="3810"/>
      <c r="F7" s="3810"/>
      <c r="G7" s="3810"/>
      <c r="H7" s="3810"/>
      <c r="I7" s="3810"/>
      <c r="J7" s="3810"/>
      <c r="K7" s="853"/>
      <c r="L7" s="853"/>
      <c r="M7" s="853"/>
      <c r="N7" s="853"/>
      <c r="O7" s="853"/>
      <c r="P7" s="853"/>
      <c r="AG7" s="621">
        <f>ROW()</f>
        <v>7</v>
      </c>
    </row>
    <row r="8" spans="2:33" ht="13.2" customHeight="1">
      <c r="B8" s="1001"/>
      <c r="C8" s="1001"/>
      <c r="D8" s="1001"/>
      <c r="E8" s="1001"/>
      <c r="F8" s="1001"/>
      <c r="G8" s="1001"/>
      <c r="H8" s="1001"/>
      <c r="I8" s="1001"/>
      <c r="J8" s="1001"/>
      <c r="K8" s="853"/>
      <c r="L8" s="853"/>
      <c r="M8" s="853"/>
      <c r="N8" s="853"/>
      <c r="O8" s="853"/>
      <c r="P8" s="853"/>
      <c r="AG8" s="621">
        <f>ROW()</f>
        <v>8</v>
      </c>
    </row>
    <row r="9" spans="2:33" ht="13.2" customHeight="1">
      <c r="B9" s="3788" t="s">
        <v>6220</v>
      </c>
      <c r="C9" s="3788"/>
      <c r="D9" s="3788"/>
      <c r="E9" s="3788"/>
      <c r="F9" s="3788"/>
      <c r="G9" s="3788"/>
      <c r="H9" s="3788"/>
      <c r="I9" s="3788"/>
      <c r="J9" s="3788"/>
      <c r="K9" s="853"/>
      <c r="L9" s="853"/>
      <c r="M9" s="853"/>
      <c r="N9" s="853"/>
      <c r="O9" s="853"/>
      <c r="P9" s="853"/>
      <c r="AG9" s="621">
        <f>ROW()</f>
        <v>9</v>
      </c>
    </row>
    <row r="10" spans="2:33" ht="13.2" customHeight="1">
      <c r="B10" s="3788"/>
      <c r="C10" s="3788"/>
      <c r="D10" s="3788"/>
      <c r="E10" s="3788"/>
      <c r="F10" s="3788"/>
      <c r="G10" s="3788"/>
      <c r="H10" s="3788"/>
      <c r="I10" s="3788"/>
      <c r="J10" s="3788"/>
      <c r="K10" s="853"/>
      <c r="L10" s="853"/>
      <c r="M10" s="853"/>
      <c r="N10" s="853"/>
      <c r="O10" s="853"/>
      <c r="P10" s="853"/>
      <c r="AG10" s="621">
        <f>ROW()</f>
        <v>10</v>
      </c>
    </row>
    <row r="11" spans="2:33" ht="13.2" customHeight="1">
      <c r="B11" s="3788"/>
      <c r="C11" s="3788"/>
      <c r="D11" s="3788"/>
      <c r="E11" s="3788"/>
      <c r="F11" s="3788"/>
      <c r="G11" s="3788"/>
      <c r="H11" s="3788"/>
      <c r="I11" s="3788"/>
      <c r="J11" s="3788"/>
      <c r="K11" s="853"/>
      <c r="L11" s="853"/>
      <c r="M11" s="853"/>
      <c r="N11" s="853"/>
      <c r="O11" s="853"/>
      <c r="P11" s="853"/>
      <c r="AG11" s="621">
        <f>ROW()</f>
        <v>11</v>
      </c>
    </row>
    <row r="12" spans="2:33" ht="13.2" customHeight="1">
      <c r="B12" s="3788"/>
      <c r="C12" s="3788"/>
      <c r="D12" s="3788"/>
      <c r="E12" s="3788"/>
      <c r="F12" s="3788"/>
      <c r="G12" s="3788"/>
      <c r="H12" s="3788"/>
      <c r="I12" s="3788"/>
      <c r="J12" s="3788"/>
      <c r="K12" s="853"/>
      <c r="L12" s="853"/>
      <c r="M12" s="853"/>
      <c r="N12" s="853"/>
      <c r="O12" s="853"/>
      <c r="P12" s="853"/>
      <c r="AG12" s="621">
        <f>ROW()</f>
        <v>12</v>
      </c>
    </row>
    <row r="13" spans="2:33" ht="13.2" customHeight="1">
      <c r="B13" s="3788"/>
      <c r="C13" s="3788"/>
      <c r="D13" s="3788"/>
      <c r="E13" s="3788"/>
      <c r="F13" s="3788"/>
      <c r="G13" s="3788"/>
      <c r="H13" s="3788"/>
      <c r="I13" s="3788"/>
      <c r="J13" s="3788"/>
      <c r="K13" s="853"/>
      <c r="L13" s="853"/>
      <c r="M13" s="853"/>
      <c r="N13" s="853"/>
      <c r="O13" s="853"/>
      <c r="P13" s="853"/>
      <c r="AG13" s="621">
        <f>ROW()</f>
        <v>13</v>
      </c>
    </row>
    <row r="14" spans="2:33" ht="13.2" customHeight="1">
      <c r="B14" s="3788"/>
      <c r="C14" s="3788"/>
      <c r="D14" s="3788"/>
      <c r="E14" s="3788"/>
      <c r="F14" s="3788"/>
      <c r="G14" s="3788"/>
      <c r="H14" s="3788"/>
      <c r="I14" s="3788"/>
      <c r="J14" s="3788"/>
      <c r="K14" s="853"/>
      <c r="L14" s="853"/>
      <c r="M14" s="853"/>
      <c r="N14" s="853"/>
      <c r="O14" s="853"/>
      <c r="P14" s="853"/>
      <c r="AG14" s="621">
        <f>ROW()</f>
        <v>14</v>
      </c>
    </row>
    <row r="15" spans="2:33" ht="13.2" customHeight="1">
      <c r="B15" s="1001"/>
      <c r="C15" s="1001"/>
      <c r="D15" s="1001"/>
      <c r="E15" s="1001"/>
      <c r="F15" s="1001"/>
      <c r="G15" s="1001"/>
      <c r="H15" s="1001"/>
      <c r="I15" s="1001"/>
      <c r="J15" s="1001"/>
      <c r="K15" s="853"/>
      <c r="L15" s="853"/>
      <c r="M15" s="853"/>
      <c r="N15" s="853"/>
      <c r="O15" s="853"/>
      <c r="P15" s="853"/>
      <c r="AG15" s="621">
        <f>ROW()</f>
        <v>15</v>
      </c>
    </row>
    <row r="16" spans="2:33" ht="13.2" customHeight="1">
      <c r="B16" s="1508" t="s">
        <v>2695</v>
      </c>
      <c r="C16" s="1001"/>
      <c r="D16" s="1001"/>
      <c r="E16" s="1001"/>
      <c r="F16" s="1001"/>
      <c r="G16" s="1001"/>
      <c r="H16" s="1001"/>
      <c r="I16" s="1001"/>
      <c r="J16" s="1001"/>
      <c r="K16" s="853"/>
      <c r="L16" s="853"/>
      <c r="M16" s="853"/>
      <c r="N16" s="853"/>
      <c r="O16" s="853"/>
      <c r="P16" s="853"/>
      <c r="AG16" s="621">
        <f>ROW()</f>
        <v>16</v>
      </c>
    </row>
    <row r="17" spans="2:33" ht="13.2" customHeight="1">
      <c r="B17" s="1508" t="s">
        <v>2696</v>
      </c>
      <c r="C17" s="1001"/>
      <c r="D17" s="1001"/>
      <c r="E17" s="1001"/>
      <c r="F17" s="1001"/>
      <c r="G17" s="1001"/>
      <c r="H17" s="1001"/>
      <c r="I17" s="1001"/>
      <c r="J17" s="1001"/>
      <c r="K17" s="853"/>
      <c r="L17" s="853"/>
      <c r="M17" s="853"/>
      <c r="N17" s="853"/>
      <c r="O17" s="853"/>
      <c r="P17" s="853"/>
      <c r="AG17" s="621">
        <f>ROW()</f>
        <v>17</v>
      </c>
    </row>
    <row r="18" spans="2:33" ht="13.2" customHeight="1">
      <c r="B18" s="1508" t="s">
        <v>2697</v>
      </c>
      <c r="C18" s="853"/>
      <c r="D18" s="853"/>
      <c r="E18" s="853"/>
      <c r="F18" s="853"/>
      <c r="G18" s="853"/>
      <c r="H18" s="853"/>
      <c r="I18" s="853"/>
      <c r="J18" s="853"/>
      <c r="K18" s="853"/>
      <c r="L18" s="853"/>
      <c r="M18" s="853"/>
      <c r="N18" s="853"/>
      <c r="O18" s="853"/>
      <c r="P18" s="853"/>
      <c r="AG18" s="621">
        <f>ROW()</f>
        <v>18</v>
      </c>
    </row>
    <row r="19" spans="2:33" ht="13.2" customHeight="1">
      <c r="B19" s="1508"/>
      <c r="C19" s="853"/>
      <c r="D19" s="853"/>
      <c r="E19" s="853"/>
      <c r="F19" s="853"/>
      <c r="G19" s="853"/>
      <c r="H19" s="853"/>
      <c r="I19" s="853"/>
      <c r="J19" s="853"/>
      <c r="K19" s="853"/>
      <c r="L19" s="853"/>
      <c r="M19" s="853"/>
      <c r="N19" s="853"/>
      <c r="O19" s="853"/>
      <c r="P19" s="853"/>
      <c r="AG19" s="621">
        <f>ROW()</f>
        <v>19</v>
      </c>
    </row>
    <row r="20" spans="2:33" ht="13.2" customHeight="1">
      <c r="B20" s="508" t="s">
        <v>79</v>
      </c>
      <c r="C20" s="853"/>
      <c r="D20" s="853"/>
      <c r="E20" s="853"/>
      <c r="F20" s="853"/>
      <c r="G20" s="853"/>
      <c r="H20" s="853"/>
      <c r="I20" s="853"/>
      <c r="J20" s="853"/>
      <c r="K20" s="853"/>
      <c r="L20" s="853"/>
      <c r="M20" s="853"/>
      <c r="N20" s="853"/>
      <c r="O20" s="853"/>
      <c r="P20" s="853"/>
      <c r="AG20" s="621">
        <f>ROW()</f>
        <v>20</v>
      </c>
    </row>
    <row r="21" spans="2:33" ht="13.2" customHeight="1">
      <c r="B21" s="467"/>
      <c r="C21" s="853"/>
      <c r="D21" s="853"/>
      <c r="E21" s="853"/>
      <c r="F21" s="853"/>
      <c r="G21" s="853"/>
      <c r="H21" s="853"/>
      <c r="I21" s="853"/>
      <c r="J21" s="853"/>
      <c r="K21" s="853"/>
      <c r="L21" s="853"/>
      <c r="M21" s="853"/>
      <c r="N21" s="853"/>
      <c r="O21" s="853"/>
      <c r="P21" s="853"/>
      <c r="AG21" s="621">
        <f>ROW()</f>
        <v>21</v>
      </c>
    </row>
    <row r="22" spans="2:33" ht="13.2" customHeight="1">
      <c r="B22" s="4892" t="s">
        <v>2009</v>
      </c>
      <c r="C22" s="4892"/>
      <c r="D22" s="4892"/>
      <c r="E22" s="4892"/>
      <c r="F22" s="4892"/>
      <c r="G22" s="4892"/>
      <c r="H22" s="4892"/>
      <c r="I22" s="4892"/>
      <c r="J22" s="4892"/>
      <c r="K22" s="853"/>
      <c r="L22" s="853"/>
      <c r="M22" s="853"/>
      <c r="N22" s="853"/>
      <c r="O22" s="853"/>
      <c r="P22" s="853"/>
      <c r="AG22" s="621">
        <f>ROW()</f>
        <v>22</v>
      </c>
    </row>
    <row r="23" spans="2:33" ht="13.2" customHeight="1">
      <c r="B23" s="4892"/>
      <c r="C23" s="4892"/>
      <c r="D23" s="4892"/>
      <c r="E23" s="4892"/>
      <c r="F23" s="4892"/>
      <c r="G23" s="4892"/>
      <c r="H23" s="4892"/>
      <c r="I23" s="4892"/>
      <c r="J23" s="4892"/>
      <c r="K23" s="853"/>
      <c r="L23" s="853"/>
      <c r="M23" s="853"/>
      <c r="N23" s="853"/>
      <c r="O23" s="853"/>
      <c r="P23" s="853"/>
      <c r="AG23" s="621">
        <f>ROW()</f>
        <v>23</v>
      </c>
    </row>
    <row r="24" spans="2:33" ht="13.2" customHeight="1">
      <c r="B24" s="4892"/>
      <c r="C24" s="4892"/>
      <c r="D24" s="4892"/>
      <c r="E24" s="4892"/>
      <c r="F24" s="4892"/>
      <c r="G24" s="4892"/>
      <c r="H24" s="4892"/>
      <c r="I24" s="4892"/>
      <c r="J24" s="4892"/>
      <c r="K24" s="853"/>
      <c r="L24" s="853"/>
      <c r="M24" s="853"/>
      <c r="N24" s="853"/>
      <c r="O24" s="853"/>
      <c r="P24" s="853"/>
      <c r="AG24" s="621">
        <f>ROW()</f>
        <v>24</v>
      </c>
    </row>
    <row r="25" spans="2:33" ht="13.2" customHeight="1">
      <c r="B25" s="3810"/>
      <c r="C25" s="3810"/>
      <c r="D25" s="3810"/>
      <c r="E25" s="3810"/>
      <c r="F25" s="3810"/>
      <c r="G25" s="3810"/>
      <c r="H25" s="3810"/>
      <c r="I25" s="3810"/>
      <c r="J25" s="3810"/>
      <c r="K25" s="853"/>
      <c r="L25" s="853"/>
      <c r="M25" s="853"/>
      <c r="N25" s="853"/>
      <c r="AG25" s="621">
        <f>ROW()</f>
        <v>25</v>
      </c>
    </row>
    <row r="26" spans="2:33" ht="13.2" customHeight="1">
      <c r="B26" s="3810"/>
      <c r="C26" s="3810"/>
      <c r="D26" s="3810"/>
      <c r="E26" s="3810"/>
      <c r="F26" s="3810"/>
      <c r="G26" s="3810"/>
      <c r="H26" s="3810"/>
      <c r="I26" s="3810"/>
      <c r="J26" s="3810"/>
      <c r="K26" s="879"/>
      <c r="L26" s="879"/>
      <c r="M26" s="879"/>
      <c r="N26" s="879"/>
      <c r="O26" s="879"/>
      <c r="P26" s="879"/>
      <c r="T26" s="171"/>
      <c r="AG26" s="621">
        <f>ROW()</f>
        <v>26</v>
      </c>
    </row>
    <row r="27" spans="2:33" ht="13.2" customHeight="1">
      <c r="B27" s="3810"/>
      <c r="C27" s="3810"/>
      <c r="D27" s="3810"/>
      <c r="E27" s="3810"/>
      <c r="F27" s="3810"/>
      <c r="G27" s="3810"/>
      <c r="H27" s="3810"/>
      <c r="I27" s="3810"/>
      <c r="J27" s="3810"/>
      <c r="K27" s="879"/>
      <c r="L27" s="879"/>
      <c r="M27" s="879"/>
      <c r="N27" s="879"/>
      <c r="O27" s="879"/>
      <c r="P27" s="879"/>
      <c r="AG27" s="621">
        <f>ROW()</f>
        <v>27</v>
      </c>
    </row>
    <row r="28" spans="2:33" ht="13.2" customHeight="1">
      <c r="B28" s="879"/>
      <c r="C28" s="879"/>
      <c r="D28" s="879"/>
      <c r="E28" s="879"/>
      <c r="F28" s="879"/>
      <c r="G28" s="879"/>
      <c r="H28" s="879"/>
      <c r="I28" s="879"/>
      <c r="J28" s="879"/>
      <c r="K28" s="879"/>
      <c r="L28" s="879"/>
      <c r="M28" s="879"/>
      <c r="N28" s="879"/>
      <c r="O28" s="879"/>
      <c r="P28" s="879"/>
      <c r="AG28" s="621">
        <f>ROW()</f>
        <v>28</v>
      </c>
    </row>
    <row r="29" spans="2:33" ht="13.2" customHeight="1">
      <c r="B29" s="879"/>
      <c r="C29" s="879"/>
      <c r="D29" s="879"/>
      <c r="E29" s="879"/>
      <c r="F29" s="879"/>
      <c r="G29" s="879"/>
      <c r="H29" s="879"/>
      <c r="I29" s="879"/>
      <c r="J29" s="879"/>
      <c r="K29" s="879"/>
      <c r="L29" s="879"/>
      <c r="M29" s="879"/>
      <c r="N29" s="879"/>
      <c r="O29" s="879"/>
      <c r="P29" s="879"/>
      <c r="AG29" s="621">
        <f>ROW()</f>
        <v>29</v>
      </c>
    </row>
    <row r="30" spans="2:33" ht="13.2" customHeight="1" thickBot="1">
      <c r="B30" s="7"/>
      <c r="C30" s="4889" t="s">
        <v>2553</v>
      </c>
      <c r="D30" s="4890"/>
      <c r="E30" s="4890"/>
      <c r="F30" s="4890"/>
      <c r="G30" s="4890"/>
      <c r="H30" s="4891"/>
      <c r="I30" s="4895" t="s">
        <v>2642</v>
      </c>
      <c r="J30" s="4896"/>
      <c r="K30" s="4896"/>
      <c r="L30" s="4896"/>
      <c r="M30" s="4896"/>
      <c r="N30" s="4896"/>
      <c r="O30" s="4896"/>
      <c r="P30" s="4896"/>
      <c r="Q30" s="4896"/>
      <c r="R30" s="4896"/>
      <c r="S30" s="4896"/>
      <c r="T30" s="4896"/>
      <c r="U30" s="4896"/>
      <c r="V30" s="4897"/>
      <c r="AG30" s="621">
        <f>ROW()</f>
        <v>30</v>
      </c>
    </row>
    <row r="31" spans="2:33" ht="13.2" customHeight="1" thickBot="1">
      <c r="B31" s="7"/>
      <c r="C31" s="4861" t="s">
        <v>2010</v>
      </c>
      <c r="D31" s="4862"/>
      <c r="E31" s="4862"/>
      <c r="F31" s="4862"/>
      <c r="G31" s="4862"/>
      <c r="H31" s="4863"/>
      <c r="I31" s="7" t="s">
        <v>2555</v>
      </c>
      <c r="AG31" s="621">
        <f>ROW()</f>
        <v>31</v>
      </c>
    </row>
    <row r="32" spans="2:33" ht="13.2" customHeight="1" thickBot="1">
      <c r="B32" s="7"/>
      <c r="C32" s="4864" t="s">
        <v>2603</v>
      </c>
      <c r="D32" s="4865"/>
      <c r="E32" s="4865"/>
      <c r="F32" s="4865"/>
      <c r="G32" s="4865"/>
      <c r="H32" s="4866"/>
      <c r="I32" s="4893" t="s">
        <v>2641</v>
      </c>
      <c r="J32" s="4894"/>
      <c r="K32" s="4894"/>
      <c r="L32" s="4894"/>
      <c r="M32" s="4894"/>
      <c r="N32" s="4894"/>
      <c r="O32" s="4898" t="s">
        <v>823</v>
      </c>
      <c r="P32" s="4898"/>
      <c r="Q32" s="4898"/>
      <c r="R32" s="4898"/>
      <c r="S32" s="4898"/>
      <c r="T32" s="4898"/>
      <c r="U32" s="4898"/>
      <c r="V32" s="4899"/>
      <c r="W32" s="1408" t="str">
        <f>$J$116</f>
        <v>max</v>
      </c>
      <c r="AG32" s="621">
        <f>ROW()</f>
        <v>32</v>
      </c>
    </row>
    <row r="33" spans="2:33" ht="92.25" customHeight="1">
      <c r="B33" s="1431" t="s">
        <v>2644</v>
      </c>
      <c r="C33" s="1444" t="s">
        <v>2544</v>
      </c>
      <c r="D33" s="1445" t="s">
        <v>2552</v>
      </c>
      <c r="E33" s="1445" t="s">
        <v>2545</v>
      </c>
      <c r="F33" s="1445" t="s">
        <v>2546</v>
      </c>
      <c r="G33" s="1445" t="s">
        <v>2550</v>
      </c>
      <c r="H33" s="1446" t="s">
        <v>2551</v>
      </c>
      <c r="I33" s="1409" t="s">
        <v>654</v>
      </c>
      <c r="J33" s="1410" t="s">
        <v>2205</v>
      </c>
      <c r="K33" s="1410" t="s">
        <v>2206</v>
      </c>
      <c r="L33" s="1411" t="s">
        <v>2207</v>
      </c>
      <c r="M33" s="1411" t="s">
        <v>2208</v>
      </c>
      <c r="N33" s="1412" t="s">
        <v>2541</v>
      </c>
      <c r="O33" s="1449" t="s">
        <v>726</v>
      </c>
      <c r="P33" s="1450" t="s">
        <v>2645</v>
      </c>
      <c r="Q33" s="1450" t="s">
        <v>727</v>
      </c>
      <c r="R33" s="1451" t="s">
        <v>1733</v>
      </c>
      <c r="S33" s="1459" t="s">
        <v>2201</v>
      </c>
      <c r="T33" s="1460" t="s">
        <v>1734</v>
      </c>
      <c r="U33" s="1460" t="s">
        <v>2202</v>
      </c>
      <c r="V33" s="1461" t="s">
        <v>1773</v>
      </c>
      <c r="W33" s="1466" t="s">
        <v>2203</v>
      </c>
      <c r="X33" s="1467" t="s">
        <v>1774</v>
      </c>
      <c r="Y33" s="1467" t="s">
        <v>2204</v>
      </c>
      <c r="Z33" s="1468" t="s">
        <v>1775</v>
      </c>
      <c r="AA33" s="1413" t="s">
        <v>1776</v>
      </c>
      <c r="AB33" s="1456" t="s">
        <v>2542</v>
      </c>
      <c r="AC33" s="1461" t="s">
        <v>1777</v>
      </c>
      <c r="AD33" s="1468" t="s">
        <v>2543</v>
      </c>
      <c r="AE33" s="1474" t="s">
        <v>61</v>
      </c>
      <c r="AG33" s="621">
        <f>ROW()</f>
        <v>33</v>
      </c>
    </row>
    <row r="34" spans="2:33" ht="13.2" customHeight="1">
      <c r="B34" s="1432" t="s">
        <v>1778</v>
      </c>
      <c r="C34" s="1434">
        <v>38449.390289351853</v>
      </c>
      <c r="D34" s="1435">
        <v>38449.390497685185</v>
      </c>
      <c r="E34" s="1435">
        <v>38449.390509259261</v>
      </c>
      <c r="F34" s="1448">
        <f t="shared" ref="F34:F52" si="0">E34-C34</f>
        <v>2.1990740788169205E-4</v>
      </c>
      <c r="G34" s="1447">
        <v>17</v>
      </c>
      <c r="H34" s="1437">
        <v>0</v>
      </c>
      <c r="I34" s="1414">
        <v>7</v>
      </c>
      <c r="J34" s="1415">
        <v>5</v>
      </c>
      <c r="K34" s="1415">
        <v>5</v>
      </c>
      <c r="L34" s="1416">
        <v>0</v>
      </c>
      <c r="M34" s="1416">
        <v>0</v>
      </c>
      <c r="N34" s="1417">
        <v>0</v>
      </c>
      <c r="O34" s="1452">
        <f t="shared" ref="O34:O53" si="1">IF($W$32="min",$D$60,IF($W$32="max",$E$60,"error"))</f>
        <v>1.06</v>
      </c>
      <c r="P34" s="1452">
        <f t="shared" ref="P34:P53" si="2">O34*I34</f>
        <v>7.42</v>
      </c>
      <c r="Q34" s="1452">
        <f t="shared" ref="Q34:Q53" si="3">IF($W$32="min",$D$61,IF($W$32="max",$E$61,"error"))</f>
        <v>1.54</v>
      </c>
      <c r="R34" s="1452">
        <f t="shared" ref="R34:R53" si="4">Q34*L34</f>
        <v>0</v>
      </c>
      <c r="S34" s="1462">
        <f t="shared" ref="S34:S53" si="5">IF($W$32="min",$D$60,IF($W$32="max",$E$60,"error"))</f>
        <v>1.06</v>
      </c>
      <c r="T34" s="1462">
        <f t="shared" ref="T34:T53" si="6">S34*J34</f>
        <v>5.3000000000000007</v>
      </c>
      <c r="U34" s="1462">
        <f t="shared" ref="U34:U53" si="7">IF($W$32="min",$D$62,IF($W$32="max",$E$62,"error"))</f>
        <v>0.82</v>
      </c>
      <c r="V34" s="1462">
        <f t="shared" ref="V34:V53" si="8">U34*M34</f>
        <v>0</v>
      </c>
      <c r="W34" s="1469">
        <f t="shared" ref="W34:W53" si="9">IF($W$32="min",$D$60,IF($W$32="max",$E$60,"error"))</f>
        <v>1.06</v>
      </c>
      <c r="X34" s="1469">
        <f t="shared" ref="X34:X53" si="10">W34*K34</f>
        <v>5.3000000000000007</v>
      </c>
      <c r="Y34" s="1469">
        <f t="shared" ref="Y34:Y53" si="11">IF($W$32="min",$D$62,IF($W$32="max",$E$62,"error"))</f>
        <v>0.82</v>
      </c>
      <c r="Z34" s="1469">
        <f t="shared" ref="Z34:Z53" si="12">Y34*N34</f>
        <v>0</v>
      </c>
      <c r="AA34" s="1418">
        <f t="shared" ref="AA34:AA53" si="13">IF($W$32="min",$D$63,IF($W$32="max",$E$63,"error"))</f>
        <v>2</v>
      </c>
      <c r="AB34" s="1457">
        <f t="shared" ref="AB34:AB53" si="14">P34+R34+AA34</f>
        <v>9.42</v>
      </c>
      <c r="AC34" s="1462">
        <f t="shared" ref="AC34:AC53" si="15">T34+V34+AA34</f>
        <v>7.3000000000000007</v>
      </c>
      <c r="AD34" s="1469">
        <f t="shared" ref="AD34:AD53" si="16">X34+Z34+AA34</f>
        <v>7.3000000000000007</v>
      </c>
      <c r="AE34" s="1475">
        <f t="shared" ref="AE34:AE53" si="17">MAX(AB34:AD34)</f>
        <v>9.42</v>
      </c>
      <c r="AG34" s="621">
        <f>ROW()</f>
        <v>34</v>
      </c>
    </row>
    <row r="35" spans="2:33" ht="13.2" customHeight="1">
      <c r="B35" s="1432" t="s">
        <v>1779</v>
      </c>
      <c r="C35" s="1434">
        <v>38449.392442129632</v>
      </c>
      <c r="D35" s="1435">
        <v>38449.393009259256</v>
      </c>
      <c r="E35" s="1435">
        <v>38449.393078703702</v>
      </c>
      <c r="F35" s="1436">
        <f t="shared" si="0"/>
        <v>6.3657407008577138E-4</v>
      </c>
      <c r="G35" s="1415">
        <v>8</v>
      </c>
      <c r="H35" s="1437">
        <v>0</v>
      </c>
      <c r="I35" s="1414">
        <v>3</v>
      </c>
      <c r="J35" s="1415">
        <v>3</v>
      </c>
      <c r="K35" s="1415">
        <v>2</v>
      </c>
      <c r="L35" s="1416">
        <v>0</v>
      </c>
      <c r="M35" s="1416">
        <v>0</v>
      </c>
      <c r="N35" s="1417">
        <v>0</v>
      </c>
      <c r="O35" s="1452">
        <f t="shared" si="1"/>
        <v>1.06</v>
      </c>
      <c r="P35" s="1452">
        <f t="shared" si="2"/>
        <v>3.18</v>
      </c>
      <c r="Q35" s="1452">
        <f t="shared" si="3"/>
        <v>1.54</v>
      </c>
      <c r="R35" s="1452">
        <f t="shared" si="4"/>
        <v>0</v>
      </c>
      <c r="S35" s="1462">
        <f t="shared" si="5"/>
        <v>1.06</v>
      </c>
      <c r="T35" s="1462">
        <f t="shared" si="6"/>
        <v>3.18</v>
      </c>
      <c r="U35" s="1462">
        <f t="shared" si="7"/>
        <v>0.82</v>
      </c>
      <c r="V35" s="1462">
        <f t="shared" si="8"/>
        <v>0</v>
      </c>
      <c r="W35" s="1469">
        <f t="shared" si="9"/>
        <v>1.06</v>
      </c>
      <c r="X35" s="1469">
        <f t="shared" si="10"/>
        <v>2.12</v>
      </c>
      <c r="Y35" s="1469">
        <f t="shared" si="11"/>
        <v>0.82</v>
      </c>
      <c r="Z35" s="1469">
        <f t="shared" si="12"/>
        <v>0</v>
      </c>
      <c r="AA35" s="1418">
        <f t="shared" si="13"/>
        <v>2</v>
      </c>
      <c r="AB35" s="1457">
        <f t="shared" si="14"/>
        <v>5.18</v>
      </c>
      <c r="AC35" s="1462">
        <f t="shared" si="15"/>
        <v>5.18</v>
      </c>
      <c r="AD35" s="1469">
        <f t="shared" si="16"/>
        <v>4.12</v>
      </c>
      <c r="AE35" s="1475">
        <f t="shared" si="17"/>
        <v>5.18</v>
      </c>
      <c r="AG35" s="621">
        <f>ROW()</f>
        <v>35</v>
      </c>
    </row>
    <row r="36" spans="2:33" ht="13.2" customHeight="1">
      <c r="B36" s="1432" t="s">
        <v>1780</v>
      </c>
      <c r="C36" s="1434">
        <v>38449.394131944442</v>
      </c>
      <c r="D36" s="1435">
        <v>38449.394745370373</v>
      </c>
      <c r="E36" s="1435">
        <v>38449.394803240742</v>
      </c>
      <c r="F36" s="1436">
        <f t="shared" si="0"/>
        <v>6.7129630042472854E-4</v>
      </c>
      <c r="G36" s="1415">
        <v>11</v>
      </c>
      <c r="H36" s="1437">
        <v>1</v>
      </c>
      <c r="I36" s="1414">
        <v>4</v>
      </c>
      <c r="J36" s="1415">
        <v>4</v>
      </c>
      <c r="K36" s="1415">
        <v>3</v>
      </c>
      <c r="L36" s="1416">
        <v>0</v>
      </c>
      <c r="M36" s="1416">
        <v>1</v>
      </c>
      <c r="N36" s="1417">
        <v>0</v>
      </c>
      <c r="O36" s="1452">
        <f t="shared" si="1"/>
        <v>1.06</v>
      </c>
      <c r="P36" s="1452">
        <f t="shared" si="2"/>
        <v>4.24</v>
      </c>
      <c r="Q36" s="1452">
        <f t="shared" si="3"/>
        <v>1.54</v>
      </c>
      <c r="R36" s="1452">
        <f t="shared" si="4"/>
        <v>0</v>
      </c>
      <c r="S36" s="1462">
        <f t="shared" si="5"/>
        <v>1.06</v>
      </c>
      <c r="T36" s="1462">
        <f t="shared" si="6"/>
        <v>4.24</v>
      </c>
      <c r="U36" s="1462">
        <f t="shared" si="7"/>
        <v>0.82</v>
      </c>
      <c r="V36" s="1462">
        <f t="shared" si="8"/>
        <v>0.82</v>
      </c>
      <c r="W36" s="1469">
        <f t="shared" si="9"/>
        <v>1.06</v>
      </c>
      <c r="X36" s="1469">
        <f t="shared" si="10"/>
        <v>3.18</v>
      </c>
      <c r="Y36" s="1469">
        <f t="shared" si="11"/>
        <v>0.82</v>
      </c>
      <c r="Z36" s="1469">
        <f t="shared" si="12"/>
        <v>0</v>
      </c>
      <c r="AA36" s="1418">
        <f t="shared" si="13"/>
        <v>2</v>
      </c>
      <c r="AB36" s="1457">
        <f t="shared" si="14"/>
        <v>6.24</v>
      </c>
      <c r="AC36" s="1462">
        <f t="shared" si="15"/>
        <v>7.0600000000000005</v>
      </c>
      <c r="AD36" s="1469">
        <f t="shared" si="16"/>
        <v>5.18</v>
      </c>
      <c r="AE36" s="1475">
        <f t="shared" si="17"/>
        <v>7.0600000000000005</v>
      </c>
      <c r="AG36" s="621">
        <f>ROW()</f>
        <v>36</v>
      </c>
    </row>
    <row r="37" spans="2:33" ht="13.2" customHeight="1">
      <c r="B37" s="1432" t="s">
        <v>1781</v>
      </c>
      <c r="C37" s="1434">
        <v>38449.395844907405</v>
      </c>
      <c r="D37" s="1435" t="s">
        <v>2547</v>
      </c>
      <c r="E37" s="1435">
        <v>38449.395856481482</v>
      </c>
      <c r="F37" s="1436">
        <f t="shared" si="0"/>
        <v>1.1574076779652387E-5</v>
      </c>
      <c r="G37" s="1415">
        <v>0</v>
      </c>
      <c r="H37" s="1437">
        <v>0</v>
      </c>
      <c r="I37" s="1414">
        <v>0</v>
      </c>
      <c r="J37" s="1415">
        <v>0</v>
      </c>
      <c r="K37" s="1415">
        <v>0</v>
      </c>
      <c r="L37" s="1416">
        <v>0</v>
      </c>
      <c r="M37" s="1416">
        <v>0</v>
      </c>
      <c r="N37" s="1417">
        <v>0</v>
      </c>
      <c r="O37" s="1452">
        <f t="shared" si="1"/>
        <v>1.06</v>
      </c>
      <c r="P37" s="1452">
        <f t="shared" si="2"/>
        <v>0</v>
      </c>
      <c r="Q37" s="1452">
        <f t="shared" si="3"/>
        <v>1.54</v>
      </c>
      <c r="R37" s="1452">
        <f t="shared" si="4"/>
        <v>0</v>
      </c>
      <c r="S37" s="1462">
        <f t="shared" si="5"/>
        <v>1.06</v>
      </c>
      <c r="T37" s="1462">
        <f t="shared" si="6"/>
        <v>0</v>
      </c>
      <c r="U37" s="1462">
        <f t="shared" si="7"/>
        <v>0.82</v>
      </c>
      <c r="V37" s="1462">
        <f t="shared" si="8"/>
        <v>0</v>
      </c>
      <c r="W37" s="1469">
        <f t="shared" si="9"/>
        <v>1.06</v>
      </c>
      <c r="X37" s="1469">
        <f t="shared" si="10"/>
        <v>0</v>
      </c>
      <c r="Y37" s="1469">
        <f t="shared" si="11"/>
        <v>0.82</v>
      </c>
      <c r="Z37" s="1469">
        <f t="shared" si="12"/>
        <v>0</v>
      </c>
      <c r="AA37" s="1418">
        <f t="shared" si="13"/>
        <v>2</v>
      </c>
      <c r="AB37" s="1457">
        <f t="shared" si="14"/>
        <v>2</v>
      </c>
      <c r="AC37" s="1462">
        <f t="shared" si="15"/>
        <v>2</v>
      </c>
      <c r="AD37" s="1469">
        <f t="shared" si="16"/>
        <v>2</v>
      </c>
      <c r="AE37" s="1475">
        <f t="shared" si="17"/>
        <v>2</v>
      </c>
      <c r="AG37" s="621">
        <f>ROW()</f>
        <v>37</v>
      </c>
    </row>
    <row r="38" spans="2:33" ht="13.2" customHeight="1">
      <c r="B38" s="1432" t="s">
        <v>1782</v>
      </c>
      <c r="C38" s="1434">
        <v>38449.396736111114</v>
      </c>
      <c r="D38" s="1435">
        <v>38449.397372685184</v>
      </c>
      <c r="E38" s="1435">
        <v>38449.397418981483</v>
      </c>
      <c r="F38" s="1436">
        <f t="shared" si="0"/>
        <v>6.8287036992842332E-4</v>
      </c>
      <c r="G38" s="1415">
        <v>9</v>
      </c>
      <c r="H38" s="1437">
        <v>1</v>
      </c>
      <c r="I38" s="1414">
        <v>4</v>
      </c>
      <c r="J38" s="1415">
        <v>3</v>
      </c>
      <c r="K38" s="1415">
        <v>2</v>
      </c>
      <c r="L38" s="1416">
        <v>0</v>
      </c>
      <c r="M38" s="1416">
        <v>1</v>
      </c>
      <c r="N38" s="1417">
        <v>0</v>
      </c>
      <c r="O38" s="1452">
        <f t="shared" si="1"/>
        <v>1.06</v>
      </c>
      <c r="P38" s="1452">
        <f t="shared" si="2"/>
        <v>4.24</v>
      </c>
      <c r="Q38" s="1452">
        <f t="shared" si="3"/>
        <v>1.54</v>
      </c>
      <c r="R38" s="1452">
        <f t="shared" si="4"/>
        <v>0</v>
      </c>
      <c r="S38" s="1462">
        <f t="shared" si="5"/>
        <v>1.06</v>
      </c>
      <c r="T38" s="1462">
        <f t="shared" si="6"/>
        <v>3.18</v>
      </c>
      <c r="U38" s="1462">
        <f t="shared" si="7"/>
        <v>0.82</v>
      </c>
      <c r="V38" s="1462">
        <f t="shared" si="8"/>
        <v>0.82</v>
      </c>
      <c r="W38" s="1469">
        <f t="shared" si="9"/>
        <v>1.06</v>
      </c>
      <c r="X38" s="1469">
        <f t="shared" si="10"/>
        <v>2.12</v>
      </c>
      <c r="Y38" s="1469">
        <f t="shared" si="11"/>
        <v>0.82</v>
      </c>
      <c r="Z38" s="1469">
        <f t="shared" si="12"/>
        <v>0</v>
      </c>
      <c r="AA38" s="1418">
        <f t="shared" si="13"/>
        <v>2</v>
      </c>
      <c r="AB38" s="1457">
        <f t="shared" si="14"/>
        <v>6.24</v>
      </c>
      <c r="AC38" s="1462">
        <f t="shared" si="15"/>
        <v>6</v>
      </c>
      <c r="AD38" s="1469">
        <f t="shared" si="16"/>
        <v>4.12</v>
      </c>
      <c r="AE38" s="1475">
        <f t="shared" si="17"/>
        <v>6.24</v>
      </c>
      <c r="AG38" s="621">
        <f>ROW()</f>
        <v>38</v>
      </c>
    </row>
    <row r="39" spans="2:33" ht="13.2" customHeight="1">
      <c r="B39" s="1432" t="s">
        <v>1783</v>
      </c>
      <c r="C39" s="1434">
        <v>38449.398842592593</v>
      </c>
      <c r="D39" s="1435">
        <v>38449.399606481478</v>
      </c>
      <c r="E39" s="1435">
        <v>38449.399675925924</v>
      </c>
      <c r="F39" s="1436">
        <f t="shared" si="0"/>
        <v>8.3333333168411627E-4</v>
      </c>
      <c r="G39" s="1415">
        <v>14</v>
      </c>
      <c r="H39" s="1437">
        <v>3</v>
      </c>
      <c r="I39" s="1414">
        <v>6</v>
      </c>
      <c r="J39" s="1415">
        <v>4</v>
      </c>
      <c r="K39" s="1415">
        <v>4</v>
      </c>
      <c r="L39" s="1416">
        <v>0</v>
      </c>
      <c r="M39" s="1416">
        <v>2</v>
      </c>
      <c r="N39" s="1417">
        <v>1</v>
      </c>
      <c r="O39" s="1452">
        <f t="shared" si="1"/>
        <v>1.06</v>
      </c>
      <c r="P39" s="1452">
        <f t="shared" si="2"/>
        <v>6.36</v>
      </c>
      <c r="Q39" s="1452">
        <f t="shared" si="3"/>
        <v>1.54</v>
      </c>
      <c r="R39" s="1452">
        <f t="shared" si="4"/>
        <v>0</v>
      </c>
      <c r="S39" s="1462">
        <f t="shared" si="5"/>
        <v>1.06</v>
      </c>
      <c r="T39" s="1462">
        <f t="shared" si="6"/>
        <v>4.24</v>
      </c>
      <c r="U39" s="1462">
        <f t="shared" si="7"/>
        <v>0.82</v>
      </c>
      <c r="V39" s="1462">
        <f t="shared" si="8"/>
        <v>1.64</v>
      </c>
      <c r="W39" s="1469">
        <f t="shared" si="9"/>
        <v>1.06</v>
      </c>
      <c r="X39" s="1469">
        <f t="shared" si="10"/>
        <v>4.24</v>
      </c>
      <c r="Y39" s="1469">
        <f t="shared" si="11"/>
        <v>0.82</v>
      </c>
      <c r="Z39" s="1469">
        <f t="shared" si="12"/>
        <v>0.82</v>
      </c>
      <c r="AA39" s="1418">
        <f t="shared" si="13"/>
        <v>2</v>
      </c>
      <c r="AB39" s="1457">
        <f t="shared" si="14"/>
        <v>8.36</v>
      </c>
      <c r="AC39" s="1462">
        <f t="shared" si="15"/>
        <v>7.88</v>
      </c>
      <c r="AD39" s="1469">
        <f t="shared" si="16"/>
        <v>7.0600000000000005</v>
      </c>
      <c r="AE39" s="1475">
        <f t="shared" si="17"/>
        <v>8.36</v>
      </c>
      <c r="AG39" s="621">
        <f>ROW()</f>
        <v>39</v>
      </c>
    </row>
    <row r="40" spans="2:33" ht="13.2" customHeight="1">
      <c r="B40" s="1432" t="s">
        <v>1784</v>
      </c>
      <c r="C40" s="1434">
        <v>38449.400613425925</v>
      </c>
      <c r="D40" s="1435">
        <v>38449.401666666665</v>
      </c>
      <c r="E40" s="1435">
        <v>38449.401759259257</v>
      </c>
      <c r="F40" s="1436">
        <f t="shared" si="0"/>
        <v>1.1458333319751546E-3</v>
      </c>
      <c r="G40" s="1415">
        <v>24</v>
      </c>
      <c r="H40" s="1437">
        <v>10</v>
      </c>
      <c r="I40" s="1414">
        <v>10</v>
      </c>
      <c r="J40" s="1415">
        <v>7</v>
      </c>
      <c r="K40" s="1415">
        <v>7</v>
      </c>
      <c r="L40" s="1416">
        <v>1</v>
      </c>
      <c r="M40" s="1416">
        <v>5</v>
      </c>
      <c r="N40" s="1417">
        <v>4</v>
      </c>
      <c r="O40" s="1452">
        <f t="shared" si="1"/>
        <v>1.06</v>
      </c>
      <c r="P40" s="1452">
        <f t="shared" si="2"/>
        <v>10.600000000000001</v>
      </c>
      <c r="Q40" s="1452">
        <f t="shared" si="3"/>
        <v>1.54</v>
      </c>
      <c r="R40" s="1452">
        <f t="shared" si="4"/>
        <v>1.54</v>
      </c>
      <c r="S40" s="1462">
        <f t="shared" si="5"/>
        <v>1.06</v>
      </c>
      <c r="T40" s="1462">
        <f t="shared" si="6"/>
        <v>7.42</v>
      </c>
      <c r="U40" s="1462">
        <f t="shared" si="7"/>
        <v>0.82</v>
      </c>
      <c r="V40" s="1462">
        <f t="shared" si="8"/>
        <v>4.0999999999999996</v>
      </c>
      <c r="W40" s="1469">
        <f t="shared" si="9"/>
        <v>1.06</v>
      </c>
      <c r="X40" s="1469">
        <f t="shared" si="10"/>
        <v>7.42</v>
      </c>
      <c r="Y40" s="1469">
        <f t="shared" si="11"/>
        <v>0.82</v>
      </c>
      <c r="Z40" s="1469">
        <f t="shared" si="12"/>
        <v>3.28</v>
      </c>
      <c r="AA40" s="1418">
        <f t="shared" si="13"/>
        <v>2</v>
      </c>
      <c r="AB40" s="1457">
        <f t="shared" si="14"/>
        <v>14.14</v>
      </c>
      <c r="AC40" s="1462">
        <f t="shared" si="15"/>
        <v>13.52</v>
      </c>
      <c r="AD40" s="1469">
        <f t="shared" si="16"/>
        <v>12.7</v>
      </c>
      <c r="AE40" s="1475">
        <f t="shared" si="17"/>
        <v>14.14</v>
      </c>
      <c r="AG40" s="621">
        <f>ROW()</f>
        <v>40</v>
      </c>
    </row>
    <row r="41" spans="2:33" ht="13.2" customHeight="1">
      <c r="B41" s="1432" t="s">
        <v>1785</v>
      </c>
      <c r="C41" s="1434">
        <v>38449.402870370373</v>
      </c>
      <c r="D41" s="1435">
        <v>38449.403969907406</v>
      </c>
      <c r="E41" s="1435">
        <v>38449.403993055559</v>
      </c>
      <c r="F41" s="1436">
        <f t="shared" si="0"/>
        <v>1.1226851856918074E-3</v>
      </c>
      <c r="G41" s="1415">
        <v>19</v>
      </c>
      <c r="H41" s="1437">
        <v>17</v>
      </c>
      <c r="I41" s="1414">
        <v>8</v>
      </c>
      <c r="J41" s="1415">
        <v>6</v>
      </c>
      <c r="K41" s="1415">
        <v>5</v>
      </c>
      <c r="L41" s="1416">
        <v>2</v>
      </c>
      <c r="M41" s="1416">
        <v>8</v>
      </c>
      <c r="N41" s="1417">
        <v>7</v>
      </c>
      <c r="O41" s="1452">
        <f t="shared" si="1"/>
        <v>1.06</v>
      </c>
      <c r="P41" s="1452">
        <f t="shared" si="2"/>
        <v>8.48</v>
      </c>
      <c r="Q41" s="1452">
        <f t="shared" si="3"/>
        <v>1.54</v>
      </c>
      <c r="R41" s="1452">
        <f t="shared" si="4"/>
        <v>3.08</v>
      </c>
      <c r="S41" s="1462">
        <f t="shared" si="5"/>
        <v>1.06</v>
      </c>
      <c r="T41" s="1462">
        <f t="shared" si="6"/>
        <v>6.36</v>
      </c>
      <c r="U41" s="1462">
        <f t="shared" si="7"/>
        <v>0.82</v>
      </c>
      <c r="V41" s="1462">
        <f t="shared" si="8"/>
        <v>6.56</v>
      </c>
      <c r="W41" s="1469">
        <f t="shared" si="9"/>
        <v>1.06</v>
      </c>
      <c r="X41" s="1469">
        <f t="shared" si="10"/>
        <v>5.3000000000000007</v>
      </c>
      <c r="Y41" s="1469">
        <f t="shared" si="11"/>
        <v>0.82</v>
      </c>
      <c r="Z41" s="1469">
        <f t="shared" si="12"/>
        <v>5.7399999999999993</v>
      </c>
      <c r="AA41" s="1418">
        <f t="shared" si="13"/>
        <v>2</v>
      </c>
      <c r="AB41" s="1457">
        <f t="shared" si="14"/>
        <v>13.56</v>
      </c>
      <c r="AC41" s="1462">
        <f t="shared" si="15"/>
        <v>14.92</v>
      </c>
      <c r="AD41" s="1469">
        <f t="shared" si="16"/>
        <v>13.04</v>
      </c>
      <c r="AE41" s="1475">
        <f t="shared" si="17"/>
        <v>14.92</v>
      </c>
      <c r="AG41" s="621">
        <f>ROW()</f>
        <v>41</v>
      </c>
    </row>
    <row r="42" spans="2:33" ht="13.2" customHeight="1">
      <c r="B42" s="1432" t="s">
        <v>1786</v>
      </c>
      <c r="C42" s="1434">
        <v>38449.405497685184</v>
      </c>
      <c r="D42" s="1435">
        <v>38449.407048611109</v>
      </c>
      <c r="E42" s="1435">
        <v>38449.407106481478</v>
      </c>
      <c r="F42" s="1436">
        <f t="shared" si="0"/>
        <v>1.6087962940218858E-3</v>
      </c>
      <c r="G42" s="1415">
        <v>23</v>
      </c>
      <c r="H42" s="1437">
        <v>30</v>
      </c>
      <c r="I42" s="1414">
        <v>9</v>
      </c>
      <c r="J42" s="1415">
        <v>7</v>
      </c>
      <c r="K42" s="1415">
        <v>7</v>
      </c>
      <c r="L42" s="1416">
        <v>3</v>
      </c>
      <c r="M42" s="1416">
        <v>15</v>
      </c>
      <c r="N42" s="1417">
        <v>12</v>
      </c>
      <c r="O42" s="1452">
        <f t="shared" si="1"/>
        <v>1.06</v>
      </c>
      <c r="P42" s="1452">
        <f t="shared" si="2"/>
        <v>9.5400000000000009</v>
      </c>
      <c r="Q42" s="1452">
        <f t="shared" si="3"/>
        <v>1.54</v>
      </c>
      <c r="R42" s="1452">
        <f t="shared" si="4"/>
        <v>4.62</v>
      </c>
      <c r="S42" s="1462">
        <f t="shared" si="5"/>
        <v>1.06</v>
      </c>
      <c r="T42" s="1462">
        <f t="shared" si="6"/>
        <v>7.42</v>
      </c>
      <c r="U42" s="1462">
        <f t="shared" si="7"/>
        <v>0.82</v>
      </c>
      <c r="V42" s="1462">
        <f t="shared" si="8"/>
        <v>12.299999999999999</v>
      </c>
      <c r="W42" s="1469">
        <f t="shared" si="9"/>
        <v>1.06</v>
      </c>
      <c r="X42" s="1469">
        <f t="shared" si="10"/>
        <v>7.42</v>
      </c>
      <c r="Y42" s="1469">
        <f t="shared" si="11"/>
        <v>0.82</v>
      </c>
      <c r="Z42" s="1469">
        <f t="shared" si="12"/>
        <v>9.84</v>
      </c>
      <c r="AA42" s="1418">
        <f t="shared" si="13"/>
        <v>2</v>
      </c>
      <c r="AB42" s="1457">
        <f t="shared" si="14"/>
        <v>16.16</v>
      </c>
      <c r="AC42" s="1462">
        <f t="shared" si="15"/>
        <v>21.72</v>
      </c>
      <c r="AD42" s="1469">
        <f t="shared" si="16"/>
        <v>19.259999999999998</v>
      </c>
      <c r="AE42" s="1475">
        <f t="shared" si="17"/>
        <v>21.72</v>
      </c>
      <c r="AG42" s="621">
        <f>ROW()</f>
        <v>42</v>
      </c>
    </row>
    <row r="43" spans="2:33" ht="13.2" customHeight="1">
      <c r="B43" s="1432" t="s">
        <v>1787</v>
      </c>
      <c r="C43" s="1434">
        <v>38449.410324074073</v>
      </c>
      <c r="D43" s="1435">
        <v>38449.410590277781</v>
      </c>
      <c r="E43" s="1435">
        <v>38449.410613425927</v>
      </c>
      <c r="F43" s="1436">
        <f t="shared" si="0"/>
        <v>2.8935185400769114E-4</v>
      </c>
      <c r="G43" s="1415">
        <v>3</v>
      </c>
      <c r="H43" s="1437">
        <v>5</v>
      </c>
      <c r="I43" s="1414">
        <v>1</v>
      </c>
      <c r="J43" s="1415">
        <v>1</v>
      </c>
      <c r="K43" s="1415">
        <v>1</v>
      </c>
      <c r="L43" s="1416">
        <v>0</v>
      </c>
      <c r="M43" s="1416">
        <v>3</v>
      </c>
      <c r="N43" s="1417">
        <v>2</v>
      </c>
      <c r="O43" s="1452">
        <f t="shared" si="1"/>
        <v>1.06</v>
      </c>
      <c r="P43" s="1452">
        <f t="shared" si="2"/>
        <v>1.06</v>
      </c>
      <c r="Q43" s="1452">
        <f t="shared" si="3"/>
        <v>1.54</v>
      </c>
      <c r="R43" s="1452">
        <f t="shared" si="4"/>
        <v>0</v>
      </c>
      <c r="S43" s="1462">
        <f t="shared" si="5"/>
        <v>1.06</v>
      </c>
      <c r="T43" s="1462">
        <f t="shared" si="6"/>
        <v>1.06</v>
      </c>
      <c r="U43" s="1462">
        <f t="shared" si="7"/>
        <v>0.82</v>
      </c>
      <c r="V43" s="1462">
        <f t="shared" si="8"/>
        <v>2.46</v>
      </c>
      <c r="W43" s="1469">
        <f t="shared" si="9"/>
        <v>1.06</v>
      </c>
      <c r="X43" s="1469">
        <f t="shared" si="10"/>
        <v>1.06</v>
      </c>
      <c r="Y43" s="1469">
        <f t="shared" si="11"/>
        <v>0.82</v>
      </c>
      <c r="Z43" s="1469">
        <f t="shared" si="12"/>
        <v>1.64</v>
      </c>
      <c r="AA43" s="1418">
        <f t="shared" si="13"/>
        <v>2</v>
      </c>
      <c r="AB43" s="1457">
        <f t="shared" si="14"/>
        <v>3.06</v>
      </c>
      <c r="AC43" s="1462">
        <f t="shared" si="15"/>
        <v>5.52</v>
      </c>
      <c r="AD43" s="1469">
        <f t="shared" si="16"/>
        <v>4.7</v>
      </c>
      <c r="AE43" s="1475">
        <f t="shared" si="17"/>
        <v>5.52</v>
      </c>
      <c r="AG43" s="621">
        <f>ROW()</f>
        <v>43</v>
      </c>
    </row>
    <row r="44" spans="2:33" ht="13.2" customHeight="1">
      <c r="B44" s="1432" t="s">
        <v>1788</v>
      </c>
      <c r="C44" s="1434">
        <v>38449.41443287037</v>
      </c>
      <c r="D44" s="1435">
        <v>38449.415092592593</v>
      </c>
      <c r="E44" s="1435">
        <v>38449.415162037039</v>
      </c>
      <c r="F44" s="1436">
        <f t="shared" si="0"/>
        <v>7.2916666977107525E-4</v>
      </c>
      <c r="G44" s="1415">
        <v>16</v>
      </c>
      <c r="H44" s="1437">
        <v>15</v>
      </c>
      <c r="I44" s="1414">
        <v>6</v>
      </c>
      <c r="J44" s="1415">
        <v>5</v>
      </c>
      <c r="K44" s="1415">
        <v>5</v>
      </c>
      <c r="L44" s="1416">
        <v>1</v>
      </c>
      <c r="M44" s="1416">
        <v>8</v>
      </c>
      <c r="N44" s="1417">
        <v>6</v>
      </c>
      <c r="O44" s="1452">
        <f t="shared" si="1"/>
        <v>1.06</v>
      </c>
      <c r="P44" s="1452">
        <f t="shared" si="2"/>
        <v>6.36</v>
      </c>
      <c r="Q44" s="1452">
        <f t="shared" si="3"/>
        <v>1.54</v>
      </c>
      <c r="R44" s="1452">
        <f t="shared" si="4"/>
        <v>1.54</v>
      </c>
      <c r="S44" s="1462">
        <f t="shared" si="5"/>
        <v>1.06</v>
      </c>
      <c r="T44" s="1462">
        <f t="shared" si="6"/>
        <v>5.3000000000000007</v>
      </c>
      <c r="U44" s="1462">
        <f t="shared" si="7"/>
        <v>0.82</v>
      </c>
      <c r="V44" s="1462">
        <f t="shared" si="8"/>
        <v>6.56</v>
      </c>
      <c r="W44" s="1469">
        <f t="shared" si="9"/>
        <v>1.06</v>
      </c>
      <c r="X44" s="1469">
        <f t="shared" si="10"/>
        <v>5.3000000000000007</v>
      </c>
      <c r="Y44" s="1469">
        <f t="shared" si="11"/>
        <v>0.82</v>
      </c>
      <c r="Z44" s="1469">
        <f t="shared" si="12"/>
        <v>4.92</v>
      </c>
      <c r="AA44" s="1418">
        <f t="shared" si="13"/>
        <v>2</v>
      </c>
      <c r="AB44" s="1457">
        <f t="shared" si="14"/>
        <v>9.9</v>
      </c>
      <c r="AC44" s="1462">
        <f t="shared" si="15"/>
        <v>13.86</v>
      </c>
      <c r="AD44" s="1469">
        <f t="shared" si="16"/>
        <v>12.22</v>
      </c>
      <c r="AE44" s="1475">
        <f t="shared" si="17"/>
        <v>13.86</v>
      </c>
      <c r="AG44" s="621">
        <f>ROW()</f>
        <v>44</v>
      </c>
    </row>
    <row r="45" spans="2:33" ht="13.2" customHeight="1">
      <c r="B45" s="1432" t="s">
        <v>1789</v>
      </c>
      <c r="C45" s="1434">
        <v>38449.417187500003</v>
      </c>
      <c r="D45" s="1435">
        <v>38449.417824074073</v>
      </c>
      <c r="E45" s="1435">
        <v>38449.41783564815</v>
      </c>
      <c r="F45" s="1436">
        <f t="shared" si="0"/>
        <v>6.4814814686542377E-4</v>
      </c>
      <c r="G45" s="1415">
        <v>7</v>
      </c>
      <c r="H45" s="1437">
        <v>13</v>
      </c>
      <c r="I45" s="1414">
        <v>3</v>
      </c>
      <c r="J45" s="1415">
        <v>2</v>
      </c>
      <c r="K45" s="1415">
        <v>2</v>
      </c>
      <c r="L45" s="1416">
        <v>1</v>
      </c>
      <c r="M45" s="1416">
        <v>7</v>
      </c>
      <c r="N45" s="1417">
        <v>5</v>
      </c>
      <c r="O45" s="1452">
        <f t="shared" si="1"/>
        <v>1.06</v>
      </c>
      <c r="P45" s="1452">
        <f t="shared" si="2"/>
        <v>3.18</v>
      </c>
      <c r="Q45" s="1452">
        <f t="shared" si="3"/>
        <v>1.54</v>
      </c>
      <c r="R45" s="1452">
        <f t="shared" si="4"/>
        <v>1.54</v>
      </c>
      <c r="S45" s="1462">
        <f t="shared" si="5"/>
        <v>1.06</v>
      </c>
      <c r="T45" s="1462">
        <f t="shared" si="6"/>
        <v>2.12</v>
      </c>
      <c r="U45" s="1462">
        <f t="shared" si="7"/>
        <v>0.82</v>
      </c>
      <c r="V45" s="1462">
        <f t="shared" si="8"/>
        <v>5.7399999999999993</v>
      </c>
      <c r="W45" s="1469">
        <f t="shared" si="9"/>
        <v>1.06</v>
      </c>
      <c r="X45" s="1469">
        <f t="shared" si="10"/>
        <v>2.12</v>
      </c>
      <c r="Y45" s="1469">
        <f t="shared" si="11"/>
        <v>0.82</v>
      </c>
      <c r="Z45" s="1469">
        <f t="shared" si="12"/>
        <v>4.0999999999999996</v>
      </c>
      <c r="AA45" s="1418">
        <f t="shared" si="13"/>
        <v>2</v>
      </c>
      <c r="AB45" s="1457">
        <f t="shared" si="14"/>
        <v>6.7200000000000006</v>
      </c>
      <c r="AC45" s="1462">
        <f t="shared" si="15"/>
        <v>9.86</v>
      </c>
      <c r="AD45" s="1469">
        <f t="shared" si="16"/>
        <v>8.2199999999999989</v>
      </c>
      <c r="AE45" s="1475">
        <f t="shared" si="17"/>
        <v>9.86</v>
      </c>
      <c r="AG45" s="621">
        <f>ROW()</f>
        <v>45</v>
      </c>
    </row>
    <row r="46" spans="2:33" ht="13.2" customHeight="1">
      <c r="B46" s="1432" t="s">
        <v>1790</v>
      </c>
      <c r="C46" s="1434">
        <v>38449.419479166667</v>
      </c>
      <c r="D46" s="1435">
        <v>38449.41988425926</v>
      </c>
      <c r="E46" s="1435">
        <v>38449.419988425929</v>
      </c>
      <c r="F46" s="1436">
        <f t="shared" si="0"/>
        <v>5.092592618893832E-4</v>
      </c>
      <c r="G46" s="1415">
        <v>0</v>
      </c>
      <c r="H46" s="1437">
        <v>20</v>
      </c>
      <c r="I46" s="1414">
        <v>0</v>
      </c>
      <c r="J46" s="1415">
        <v>0</v>
      </c>
      <c r="K46" s="1415">
        <v>0</v>
      </c>
      <c r="L46" s="1416">
        <v>2</v>
      </c>
      <c r="M46" s="1416">
        <v>10</v>
      </c>
      <c r="N46" s="1417">
        <v>8</v>
      </c>
      <c r="O46" s="1452">
        <f t="shared" si="1"/>
        <v>1.06</v>
      </c>
      <c r="P46" s="1452">
        <f t="shared" si="2"/>
        <v>0</v>
      </c>
      <c r="Q46" s="1452">
        <f t="shared" si="3"/>
        <v>1.54</v>
      </c>
      <c r="R46" s="1452">
        <f t="shared" si="4"/>
        <v>3.08</v>
      </c>
      <c r="S46" s="1462">
        <f t="shared" si="5"/>
        <v>1.06</v>
      </c>
      <c r="T46" s="1462">
        <f t="shared" si="6"/>
        <v>0</v>
      </c>
      <c r="U46" s="1462">
        <f t="shared" si="7"/>
        <v>0.82</v>
      </c>
      <c r="V46" s="1462">
        <f t="shared" si="8"/>
        <v>8.1999999999999993</v>
      </c>
      <c r="W46" s="1469">
        <f t="shared" si="9"/>
        <v>1.06</v>
      </c>
      <c r="X46" s="1469">
        <f t="shared" si="10"/>
        <v>0</v>
      </c>
      <c r="Y46" s="1469">
        <f t="shared" si="11"/>
        <v>0.82</v>
      </c>
      <c r="Z46" s="1469">
        <f t="shared" si="12"/>
        <v>6.56</v>
      </c>
      <c r="AA46" s="1418">
        <f t="shared" si="13"/>
        <v>2</v>
      </c>
      <c r="AB46" s="1457">
        <f t="shared" si="14"/>
        <v>5.08</v>
      </c>
      <c r="AC46" s="1462">
        <f t="shared" si="15"/>
        <v>10.199999999999999</v>
      </c>
      <c r="AD46" s="1469">
        <f t="shared" si="16"/>
        <v>8.5599999999999987</v>
      </c>
      <c r="AE46" s="1475">
        <f t="shared" si="17"/>
        <v>10.199999999999999</v>
      </c>
      <c r="AG46" s="621">
        <f>ROW()</f>
        <v>46</v>
      </c>
    </row>
    <row r="47" spans="2:33" ht="13.2" customHeight="1">
      <c r="B47" s="1432" t="s">
        <v>1791</v>
      </c>
      <c r="C47" s="1434">
        <v>38449.420682870368</v>
      </c>
      <c r="D47" s="1435">
        <v>38449.421041666668</v>
      </c>
      <c r="E47" s="1435">
        <v>38449.421041666668</v>
      </c>
      <c r="F47" s="1436">
        <f t="shared" si="0"/>
        <v>3.5879630013369024E-4</v>
      </c>
      <c r="G47" s="1415">
        <v>3</v>
      </c>
      <c r="H47" s="1437">
        <v>7</v>
      </c>
      <c r="I47" s="1414">
        <v>1</v>
      </c>
      <c r="J47" s="1415">
        <v>1</v>
      </c>
      <c r="K47" s="1415">
        <v>1</v>
      </c>
      <c r="L47" s="1416">
        <v>0</v>
      </c>
      <c r="M47" s="1416">
        <v>4</v>
      </c>
      <c r="N47" s="1417">
        <v>3</v>
      </c>
      <c r="O47" s="1452">
        <f t="shared" si="1"/>
        <v>1.06</v>
      </c>
      <c r="P47" s="1452">
        <f t="shared" si="2"/>
        <v>1.06</v>
      </c>
      <c r="Q47" s="1452">
        <f t="shared" si="3"/>
        <v>1.54</v>
      </c>
      <c r="R47" s="1452">
        <f t="shared" si="4"/>
        <v>0</v>
      </c>
      <c r="S47" s="1462">
        <f t="shared" si="5"/>
        <v>1.06</v>
      </c>
      <c r="T47" s="1462">
        <f t="shared" si="6"/>
        <v>1.06</v>
      </c>
      <c r="U47" s="1462">
        <f t="shared" si="7"/>
        <v>0.82</v>
      </c>
      <c r="V47" s="1462">
        <f t="shared" si="8"/>
        <v>3.28</v>
      </c>
      <c r="W47" s="1469">
        <f t="shared" si="9"/>
        <v>1.06</v>
      </c>
      <c r="X47" s="1469">
        <f t="shared" si="10"/>
        <v>1.06</v>
      </c>
      <c r="Y47" s="1469">
        <f t="shared" si="11"/>
        <v>0.82</v>
      </c>
      <c r="Z47" s="1469">
        <f t="shared" si="12"/>
        <v>2.46</v>
      </c>
      <c r="AA47" s="1418">
        <f t="shared" si="13"/>
        <v>2</v>
      </c>
      <c r="AB47" s="1457">
        <f t="shared" si="14"/>
        <v>3.06</v>
      </c>
      <c r="AC47" s="1462">
        <f t="shared" si="15"/>
        <v>6.34</v>
      </c>
      <c r="AD47" s="1469">
        <f t="shared" si="16"/>
        <v>5.52</v>
      </c>
      <c r="AE47" s="1475">
        <f t="shared" si="17"/>
        <v>6.34</v>
      </c>
      <c r="AG47" s="621">
        <f>ROW()</f>
        <v>47</v>
      </c>
    </row>
    <row r="48" spans="2:33" ht="13.2" customHeight="1">
      <c r="B48" s="1432" t="s">
        <v>1792</v>
      </c>
      <c r="C48" s="1434">
        <v>38449.421701388892</v>
      </c>
      <c r="D48" s="1435">
        <v>38449.421863425923</v>
      </c>
      <c r="E48" s="1435">
        <v>38449.421886574077</v>
      </c>
      <c r="F48" s="1436">
        <f t="shared" si="0"/>
        <v>1.8518518481869251E-4</v>
      </c>
      <c r="G48" s="1415">
        <v>1</v>
      </c>
      <c r="H48" s="1437">
        <v>1</v>
      </c>
      <c r="I48" s="1414">
        <v>1</v>
      </c>
      <c r="J48" s="1415">
        <v>0</v>
      </c>
      <c r="K48" s="1415">
        <v>0</v>
      </c>
      <c r="L48" s="1416">
        <v>0</v>
      </c>
      <c r="M48" s="1416">
        <v>1</v>
      </c>
      <c r="N48" s="1417">
        <v>0</v>
      </c>
      <c r="O48" s="1452">
        <f t="shared" si="1"/>
        <v>1.06</v>
      </c>
      <c r="P48" s="1452">
        <f t="shared" si="2"/>
        <v>1.06</v>
      </c>
      <c r="Q48" s="1452">
        <f t="shared" si="3"/>
        <v>1.54</v>
      </c>
      <c r="R48" s="1452">
        <f t="shared" si="4"/>
        <v>0</v>
      </c>
      <c r="S48" s="1462">
        <f t="shared" si="5"/>
        <v>1.06</v>
      </c>
      <c r="T48" s="1462">
        <f t="shared" si="6"/>
        <v>0</v>
      </c>
      <c r="U48" s="1462">
        <f t="shared" si="7"/>
        <v>0.82</v>
      </c>
      <c r="V48" s="1462">
        <f t="shared" si="8"/>
        <v>0.82</v>
      </c>
      <c r="W48" s="1469">
        <f t="shared" si="9"/>
        <v>1.06</v>
      </c>
      <c r="X48" s="1469">
        <f t="shared" si="10"/>
        <v>0</v>
      </c>
      <c r="Y48" s="1469">
        <f t="shared" si="11"/>
        <v>0.82</v>
      </c>
      <c r="Z48" s="1469">
        <f t="shared" si="12"/>
        <v>0</v>
      </c>
      <c r="AA48" s="1418">
        <f t="shared" si="13"/>
        <v>2</v>
      </c>
      <c r="AB48" s="1457">
        <f t="shared" si="14"/>
        <v>3.06</v>
      </c>
      <c r="AC48" s="1462">
        <f t="shared" si="15"/>
        <v>2.82</v>
      </c>
      <c r="AD48" s="1469">
        <f t="shared" si="16"/>
        <v>2</v>
      </c>
      <c r="AE48" s="1475">
        <f t="shared" si="17"/>
        <v>3.06</v>
      </c>
      <c r="AG48" s="621">
        <f>ROW()</f>
        <v>48</v>
      </c>
    </row>
    <row r="49" spans="2:33" ht="13.2" customHeight="1">
      <c r="B49" s="1432" t="s">
        <v>1793</v>
      </c>
      <c r="C49" s="1434">
        <v>38449.422986111109</v>
      </c>
      <c r="D49" s="1435">
        <v>38449.423067129632</v>
      </c>
      <c r="E49" s="1435">
        <v>38449.423113425924</v>
      </c>
      <c r="F49" s="1436">
        <f t="shared" si="0"/>
        <v>1.273148154723458E-4</v>
      </c>
      <c r="G49" s="1415">
        <v>7</v>
      </c>
      <c r="H49" s="1437">
        <v>1</v>
      </c>
      <c r="I49" s="1414">
        <v>3</v>
      </c>
      <c r="J49" s="1415">
        <v>2</v>
      </c>
      <c r="K49" s="1415">
        <v>2</v>
      </c>
      <c r="L49" s="1416">
        <v>0</v>
      </c>
      <c r="M49" s="1416">
        <v>1</v>
      </c>
      <c r="N49" s="1417">
        <v>0</v>
      </c>
      <c r="O49" s="1452">
        <f t="shared" si="1"/>
        <v>1.06</v>
      </c>
      <c r="P49" s="1452">
        <f t="shared" si="2"/>
        <v>3.18</v>
      </c>
      <c r="Q49" s="1452">
        <f t="shared" si="3"/>
        <v>1.54</v>
      </c>
      <c r="R49" s="1452">
        <f t="shared" si="4"/>
        <v>0</v>
      </c>
      <c r="S49" s="1462">
        <f t="shared" si="5"/>
        <v>1.06</v>
      </c>
      <c r="T49" s="1462">
        <f t="shared" si="6"/>
        <v>2.12</v>
      </c>
      <c r="U49" s="1462">
        <f t="shared" si="7"/>
        <v>0.82</v>
      </c>
      <c r="V49" s="1462">
        <f t="shared" si="8"/>
        <v>0.82</v>
      </c>
      <c r="W49" s="1469">
        <f t="shared" si="9"/>
        <v>1.06</v>
      </c>
      <c r="X49" s="1469">
        <f t="shared" si="10"/>
        <v>2.12</v>
      </c>
      <c r="Y49" s="1469">
        <f t="shared" si="11"/>
        <v>0.82</v>
      </c>
      <c r="Z49" s="1469">
        <f t="shared" si="12"/>
        <v>0</v>
      </c>
      <c r="AA49" s="1418">
        <f t="shared" si="13"/>
        <v>2</v>
      </c>
      <c r="AB49" s="1457">
        <f t="shared" si="14"/>
        <v>5.18</v>
      </c>
      <c r="AC49" s="1462">
        <f t="shared" si="15"/>
        <v>4.9399999999999995</v>
      </c>
      <c r="AD49" s="1469">
        <f t="shared" si="16"/>
        <v>4.12</v>
      </c>
      <c r="AE49" s="1475">
        <f t="shared" si="17"/>
        <v>5.18</v>
      </c>
      <c r="AG49" s="621">
        <f>ROW()</f>
        <v>49</v>
      </c>
    </row>
    <row r="50" spans="2:33" ht="13.2" customHeight="1">
      <c r="B50" s="1432" t="s">
        <v>1794</v>
      </c>
      <c r="C50" s="1434">
        <v>38449.424074074072</v>
      </c>
      <c r="D50" s="1435">
        <v>38449.424675925926</v>
      </c>
      <c r="E50" s="1435">
        <v>38449.424687500003</v>
      </c>
      <c r="F50" s="1436">
        <f t="shared" si="0"/>
        <v>6.1342593107838184E-4</v>
      </c>
      <c r="G50" s="1415">
        <v>0</v>
      </c>
      <c r="H50" s="1437">
        <v>15</v>
      </c>
      <c r="I50" s="1414">
        <v>0</v>
      </c>
      <c r="J50" s="1415">
        <v>0</v>
      </c>
      <c r="K50" s="1415">
        <v>0</v>
      </c>
      <c r="L50" s="1416">
        <v>1</v>
      </c>
      <c r="M50" s="1416">
        <v>8</v>
      </c>
      <c r="N50" s="1417">
        <v>6</v>
      </c>
      <c r="O50" s="1452">
        <f t="shared" si="1"/>
        <v>1.06</v>
      </c>
      <c r="P50" s="1452">
        <f t="shared" si="2"/>
        <v>0</v>
      </c>
      <c r="Q50" s="1452">
        <f t="shared" si="3"/>
        <v>1.54</v>
      </c>
      <c r="R50" s="1452">
        <f t="shared" si="4"/>
        <v>1.54</v>
      </c>
      <c r="S50" s="1462">
        <f t="shared" si="5"/>
        <v>1.06</v>
      </c>
      <c r="T50" s="1462">
        <f t="shared" si="6"/>
        <v>0</v>
      </c>
      <c r="U50" s="1462">
        <f t="shared" si="7"/>
        <v>0.82</v>
      </c>
      <c r="V50" s="1462">
        <f t="shared" si="8"/>
        <v>6.56</v>
      </c>
      <c r="W50" s="1469">
        <f t="shared" si="9"/>
        <v>1.06</v>
      </c>
      <c r="X50" s="1469">
        <f t="shared" si="10"/>
        <v>0</v>
      </c>
      <c r="Y50" s="1469">
        <f t="shared" si="11"/>
        <v>0.82</v>
      </c>
      <c r="Z50" s="1469">
        <f t="shared" si="12"/>
        <v>4.92</v>
      </c>
      <c r="AA50" s="1418">
        <f t="shared" si="13"/>
        <v>2</v>
      </c>
      <c r="AB50" s="1457">
        <f t="shared" si="14"/>
        <v>3.54</v>
      </c>
      <c r="AC50" s="1462">
        <f t="shared" si="15"/>
        <v>8.5599999999999987</v>
      </c>
      <c r="AD50" s="1469">
        <f t="shared" si="16"/>
        <v>6.92</v>
      </c>
      <c r="AE50" s="1475">
        <f t="shared" si="17"/>
        <v>8.5599999999999987</v>
      </c>
      <c r="AG50" s="621">
        <f>ROW()</f>
        <v>50</v>
      </c>
    </row>
    <row r="51" spans="2:33" ht="13.2" customHeight="1">
      <c r="B51" s="1432" t="s">
        <v>1795</v>
      </c>
      <c r="C51" s="1434">
        <v>38449.428020833337</v>
      </c>
      <c r="D51" s="1435">
        <v>38449.42827546296</v>
      </c>
      <c r="E51" s="1435">
        <v>38449.428287037037</v>
      </c>
      <c r="F51" s="1436">
        <f t="shared" si="0"/>
        <v>2.6620370044838637E-4</v>
      </c>
      <c r="G51" s="1415">
        <v>0</v>
      </c>
      <c r="H51" s="1437">
        <v>0</v>
      </c>
      <c r="I51" s="1414">
        <v>0</v>
      </c>
      <c r="J51" s="1415">
        <v>0</v>
      </c>
      <c r="K51" s="1415">
        <v>0</v>
      </c>
      <c r="L51" s="1416">
        <v>0</v>
      </c>
      <c r="M51" s="1416">
        <v>0</v>
      </c>
      <c r="N51" s="1417">
        <v>0</v>
      </c>
      <c r="O51" s="1452">
        <f t="shared" si="1"/>
        <v>1.06</v>
      </c>
      <c r="P51" s="1452">
        <f t="shared" si="2"/>
        <v>0</v>
      </c>
      <c r="Q51" s="1452">
        <f t="shared" si="3"/>
        <v>1.54</v>
      </c>
      <c r="R51" s="1452">
        <f t="shared" si="4"/>
        <v>0</v>
      </c>
      <c r="S51" s="1462">
        <f t="shared" si="5"/>
        <v>1.06</v>
      </c>
      <c r="T51" s="1462">
        <f t="shared" si="6"/>
        <v>0</v>
      </c>
      <c r="U51" s="1462">
        <f t="shared" si="7"/>
        <v>0.82</v>
      </c>
      <c r="V51" s="1462">
        <f t="shared" si="8"/>
        <v>0</v>
      </c>
      <c r="W51" s="1469">
        <f t="shared" si="9"/>
        <v>1.06</v>
      </c>
      <c r="X51" s="1469">
        <f t="shared" si="10"/>
        <v>0</v>
      </c>
      <c r="Y51" s="1469">
        <f t="shared" si="11"/>
        <v>0.82</v>
      </c>
      <c r="Z51" s="1469">
        <f t="shared" si="12"/>
        <v>0</v>
      </c>
      <c r="AA51" s="1418">
        <f t="shared" si="13"/>
        <v>2</v>
      </c>
      <c r="AB51" s="1457">
        <f t="shared" si="14"/>
        <v>2</v>
      </c>
      <c r="AC51" s="1462">
        <f t="shared" si="15"/>
        <v>2</v>
      </c>
      <c r="AD51" s="1469">
        <f t="shared" si="16"/>
        <v>2</v>
      </c>
      <c r="AE51" s="1475">
        <f t="shared" si="17"/>
        <v>2</v>
      </c>
      <c r="AG51" s="621">
        <f>ROW()</f>
        <v>51</v>
      </c>
    </row>
    <row r="52" spans="2:33" ht="13.2" customHeight="1">
      <c r="B52" s="1433" t="s">
        <v>1796</v>
      </c>
      <c r="C52" s="1438">
        <v>38449.428472222222</v>
      </c>
      <c r="D52" s="1439" t="s">
        <v>2547</v>
      </c>
      <c r="E52" s="1439">
        <v>38449.428877314815</v>
      </c>
      <c r="F52" s="1436">
        <f t="shared" si="0"/>
        <v>4.0509259270038456E-4</v>
      </c>
      <c r="G52" s="1440">
        <v>0</v>
      </c>
      <c r="H52" s="1437">
        <v>8</v>
      </c>
      <c r="I52" s="1419">
        <v>0</v>
      </c>
      <c r="J52" s="1420">
        <v>0</v>
      </c>
      <c r="K52" s="1420">
        <v>0</v>
      </c>
      <c r="L52" s="1416">
        <v>1</v>
      </c>
      <c r="M52" s="1416">
        <v>4</v>
      </c>
      <c r="N52" s="1417">
        <v>3</v>
      </c>
      <c r="O52" s="1452">
        <f t="shared" si="1"/>
        <v>1.06</v>
      </c>
      <c r="P52" s="1452">
        <f t="shared" si="2"/>
        <v>0</v>
      </c>
      <c r="Q52" s="1452">
        <f t="shared" si="3"/>
        <v>1.54</v>
      </c>
      <c r="R52" s="1452">
        <f t="shared" si="4"/>
        <v>1.54</v>
      </c>
      <c r="S52" s="1462">
        <f t="shared" si="5"/>
        <v>1.06</v>
      </c>
      <c r="T52" s="1462">
        <f t="shared" si="6"/>
        <v>0</v>
      </c>
      <c r="U52" s="1462">
        <f t="shared" si="7"/>
        <v>0.82</v>
      </c>
      <c r="V52" s="1462">
        <f t="shared" si="8"/>
        <v>3.28</v>
      </c>
      <c r="W52" s="1469">
        <f t="shared" si="9"/>
        <v>1.06</v>
      </c>
      <c r="X52" s="1469">
        <f t="shared" si="10"/>
        <v>0</v>
      </c>
      <c r="Y52" s="1469">
        <f t="shared" si="11"/>
        <v>0.82</v>
      </c>
      <c r="Z52" s="1469">
        <f t="shared" si="12"/>
        <v>2.46</v>
      </c>
      <c r="AA52" s="1418">
        <f t="shared" si="13"/>
        <v>2</v>
      </c>
      <c r="AB52" s="1457">
        <f t="shared" si="14"/>
        <v>3.54</v>
      </c>
      <c r="AC52" s="1462">
        <f t="shared" si="15"/>
        <v>5.2799999999999994</v>
      </c>
      <c r="AD52" s="1469">
        <f t="shared" si="16"/>
        <v>4.46</v>
      </c>
      <c r="AE52" s="1475">
        <f t="shared" si="17"/>
        <v>5.2799999999999994</v>
      </c>
      <c r="AG52" s="621">
        <f>ROW()</f>
        <v>52</v>
      </c>
    </row>
    <row r="53" spans="2:33" ht="13.2" customHeight="1">
      <c r="B53" s="1432" t="s">
        <v>1797</v>
      </c>
      <c r="C53" s="1434">
        <v>38449.429143518515</v>
      </c>
      <c r="D53" s="1435">
        <v>38449.429375</v>
      </c>
      <c r="E53" s="1435" t="s">
        <v>2548</v>
      </c>
      <c r="F53" s="1441">
        <f>D53-C53</f>
        <v>2.3148148466134444E-4</v>
      </c>
      <c r="G53" s="1415">
        <v>0</v>
      </c>
      <c r="H53" s="1437">
        <v>18</v>
      </c>
      <c r="I53" s="1414">
        <v>0</v>
      </c>
      <c r="J53" s="1415">
        <v>0</v>
      </c>
      <c r="K53" s="1415">
        <v>0</v>
      </c>
      <c r="L53" s="1416">
        <v>2</v>
      </c>
      <c r="M53" s="1416">
        <v>9</v>
      </c>
      <c r="N53" s="1417">
        <v>7</v>
      </c>
      <c r="O53" s="1452">
        <f t="shared" si="1"/>
        <v>1.06</v>
      </c>
      <c r="P53" s="1452">
        <f t="shared" si="2"/>
        <v>0</v>
      </c>
      <c r="Q53" s="1452">
        <f t="shared" si="3"/>
        <v>1.54</v>
      </c>
      <c r="R53" s="1452">
        <f t="shared" si="4"/>
        <v>3.08</v>
      </c>
      <c r="S53" s="1462">
        <f t="shared" si="5"/>
        <v>1.06</v>
      </c>
      <c r="T53" s="1462">
        <f t="shared" si="6"/>
        <v>0</v>
      </c>
      <c r="U53" s="1462">
        <f t="shared" si="7"/>
        <v>0.82</v>
      </c>
      <c r="V53" s="1462">
        <f t="shared" si="8"/>
        <v>7.38</v>
      </c>
      <c r="W53" s="1469">
        <f t="shared" si="9"/>
        <v>1.06</v>
      </c>
      <c r="X53" s="1469">
        <f t="shared" si="10"/>
        <v>0</v>
      </c>
      <c r="Y53" s="1469">
        <f t="shared" si="11"/>
        <v>0.82</v>
      </c>
      <c r="Z53" s="1469">
        <f t="shared" si="12"/>
        <v>5.7399999999999993</v>
      </c>
      <c r="AA53" s="1418">
        <f t="shared" si="13"/>
        <v>2</v>
      </c>
      <c r="AB53" s="1457">
        <f t="shared" si="14"/>
        <v>5.08</v>
      </c>
      <c r="AC53" s="1462">
        <f t="shared" si="15"/>
        <v>9.379999999999999</v>
      </c>
      <c r="AD53" s="1469">
        <f t="shared" si="16"/>
        <v>7.7399999999999993</v>
      </c>
      <c r="AE53" s="1475">
        <f t="shared" si="17"/>
        <v>9.379999999999999</v>
      </c>
      <c r="AG53" s="621">
        <f>ROW()</f>
        <v>53</v>
      </c>
    </row>
    <row r="54" spans="2:33" ht="13.2" customHeight="1">
      <c r="B54" s="1421" t="s">
        <v>1798</v>
      </c>
      <c r="C54" s="4887" t="s">
        <v>2549</v>
      </c>
      <c r="D54" s="4888"/>
      <c r="E54" s="1499">
        <f>D53-C34</f>
        <v>3.9085648146283347E-2</v>
      </c>
      <c r="F54" s="1476">
        <f>SUM(F34:F53)</f>
        <v>1.1296296310320031E-2</v>
      </c>
      <c r="G54" s="1442">
        <f>SUM(G34:G53)</f>
        <v>162</v>
      </c>
      <c r="H54" s="1443">
        <f>SUM(H34:H53)</f>
        <v>165</v>
      </c>
      <c r="I54" s="1442">
        <f t="shared" ref="I54:N54" si="18">SUM(I34:I53)</f>
        <v>66</v>
      </c>
      <c r="J54" s="1442">
        <f t="shared" si="18"/>
        <v>50</v>
      </c>
      <c r="K54" s="1442">
        <f t="shared" si="18"/>
        <v>46</v>
      </c>
      <c r="L54" s="1442">
        <f t="shared" si="18"/>
        <v>14</v>
      </c>
      <c r="M54" s="1442">
        <f t="shared" si="18"/>
        <v>87</v>
      </c>
      <c r="N54" s="1442">
        <f t="shared" si="18"/>
        <v>64</v>
      </c>
      <c r="O54" s="1453"/>
      <c r="P54" s="1454">
        <f>SUM(P34:P53)</f>
        <v>69.960000000000008</v>
      </c>
      <c r="Q54" s="1455"/>
      <c r="R54" s="1454">
        <f>SUM(R34:R53)</f>
        <v>21.560000000000002</v>
      </c>
      <c r="S54" s="1463"/>
      <c r="T54" s="1464">
        <f>SUM(T34:T53)</f>
        <v>53</v>
      </c>
      <c r="U54" s="1465"/>
      <c r="V54" s="1464">
        <f>SUM(V34:V53)</f>
        <v>71.34</v>
      </c>
      <c r="W54" s="1470"/>
      <c r="X54" s="1471">
        <f>SUM(X34:X53)</f>
        <v>48.760000000000005</v>
      </c>
      <c r="Y54" s="1472"/>
      <c r="Z54" s="1471">
        <f>SUM(Z34:Z53)</f>
        <v>52.480000000000011</v>
      </c>
      <c r="AA54" s="1426"/>
      <c r="AB54" s="1458">
        <f>SUM(AB34:AB53)</f>
        <v>131.52000000000004</v>
      </c>
      <c r="AC54" s="1464">
        <f>SUM(AC34:AC53)</f>
        <v>164.33999999999997</v>
      </c>
      <c r="AD54" s="1471">
        <f>SUM(AD34:AD53)</f>
        <v>141.24000000000004</v>
      </c>
      <c r="AE54" s="1429">
        <f>SUM(AE34:AE53)</f>
        <v>168.28</v>
      </c>
      <c r="AG54" s="621">
        <f>ROW()</f>
        <v>54</v>
      </c>
    </row>
    <row r="55" spans="2:33" ht="13.2" customHeight="1" thickBot="1">
      <c r="B55" s="1421" t="s">
        <v>62</v>
      </c>
      <c r="C55" s="1478"/>
      <c r="D55" s="1479"/>
      <c r="E55" s="1480"/>
      <c r="F55" s="1496">
        <f>(TEXT(F54,"[s]")+0)</f>
        <v>976</v>
      </c>
      <c r="G55" s="1481"/>
      <c r="H55" s="1481"/>
      <c r="I55" s="1481"/>
      <c r="J55" s="1481"/>
      <c r="K55" s="1481"/>
      <c r="L55" s="1497"/>
      <c r="M55" s="1497"/>
      <c r="N55" s="1497"/>
      <c r="O55" s="1484"/>
      <c r="P55" s="1485"/>
      <c r="Q55" s="1486"/>
      <c r="R55" s="1485"/>
      <c r="S55" s="1487"/>
      <c r="T55" s="1488"/>
      <c r="U55" s="1487"/>
      <c r="V55" s="1488"/>
      <c r="W55" s="1489"/>
      <c r="X55" s="1490"/>
      <c r="Y55" s="1491"/>
      <c r="Z55" s="1490"/>
      <c r="AA55" s="1492"/>
      <c r="AB55" s="1493"/>
      <c r="AC55" s="1488"/>
      <c r="AD55" s="1494"/>
      <c r="AE55" s="1429">
        <f>AE54</f>
        <v>168.28</v>
      </c>
      <c r="AG55" s="621">
        <f>ROW()</f>
        <v>55</v>
      </c>
    </row>
    <row r="56" spans="2:33" ht="25.5" customHeight="1" thickBot="1">
      <c r="B56" s="1495" t="s">
        <v>158</v>
      </c>
      <c r="C56" s="4903" t="s">
        <v>824</v>
      </c>
      <c r="D56" s="3833"/>
      <c r="E56" s="3922"/>
      <c r="F56" s="1789">
        <f>1-AE55/F55</f>
        <v>0.82758196721311472</v>
      </c>
      <c r="H56" s="1473"/>
      <c r="I56" s="4900"/>
      <c r="J56" s="4900"/>
      <c r="K56" s="4900"/>
      <c r="L56" s="4900"/>
      <c r="M56" s="4900"/>
      <c r="N56" s="4900"/>
      <c r="O56" s="4901"/>
      <c r="P56" s="4901"/>
      <c r="Q56" s="4901"/>
      <c r="R56" s="4901"/>
      <c r="S56" s="4901"/>
      <c r="T56" s="4901"/>
      <c r="U56" s="4901"/>
      <c r="V56" s="4901"/>
      <c r="W56" s="4901"/>
      <c r="X56" s="4901"/>
      <c r="Y56" s="4901"/>
      <c r="Z56" s="4901"/>
      <c r="AA56" s="4901"/>
      <c r="AB56" s="4901"/>
      <c r="AC56" s="4901"/>
      <c r="AD56" s="4902"/>
      <c r="AE56" s="1430" t="str">
        <f>INT(AE54/60)&amp;" Minutes, "&amp;MOD(AE54,60)&amp;" Seconds"</f>
        <v>2 Minutes, 48.28 Seconds</v>
      </c>
      <c r="AG56" s="621">
        <f>ROW()</f>
        <v>56</v>
      </c>
    </row>
    <row r="57" spans="2:33" ht="13.2" customHeight="1">
      <c r="B57" s="1477"/>
      <c r="C57" s="1427"/>
      <c r="D57" s="1427"/>
      <c r="E57" s="1427"/>
      <c r="F57" s="1428"/>
      <c r="G57" s="1427"/>
      <c r="H57" s="1427"/>
      <c r="I57" s="4883" t="s">
        <v>1439</v>
      </c>
      <c r="J57" s="4884"/>
      <c r="K57" s="4884"/>
      <c r="L57" s="4884"/>
      <c r="M57" s="4884"/>
      <c r="N57" s="4884"/>
      <c r="O57" s="4885"/>
      <c r="P57" s="4886"/>
      <c r="Q57" s="4867" t="s">
        <v>1440</v>
      </c>
      <c r="R57" s="4868"/>
      <c r="S57" s="4868"/>
      <c r="T57" s="4868"/>
      <c r="U57" s="4868"/>
      <c r="V57" s="4868"/>
      <c r="W57" s="4868"/>
      <c r="X57" s="4868"/>
      <c r="Y57" s="4868"/>
      <c r="Z57" s="4868"/>
      <c r="AA57" s="4868"/>
      <c r="AB57" s="4868"/>
      <c r="AC57" s="4868"/>
      <c r="AD57" s="4869"/>
      <c r="AG57" s="621">
        <f>ROW()</f>
        <v>57</v>
      </c>
    </row>
    <row r="58" spans="2:33" ht="13.2" customHeight="1">
      <c r="B58" s="33" t="s">
        <v>2694</v>
      </c>
      <c r="F58" s="1427"/>
      <c r="G58" s="1427"/>
      <c r="H58" s="1427"/>
      <c r="I58" s="4870" t="s">
        <v>165</v>
      </c>
      <c r="J58" s="4870"/>
      <c r="K58" s="4870"/>
      <c r="L58" s="4870"/>
      <c r="M58" s="4870"/>
      <c r="N58" s="4870"/>
      <c r="O58" s="4870"/>
      <c r="P58" s="4870"/>
      <c r="Q58" s="4871" t="s">
        <v>2414</v>
      </c>
      <c r="R58" s="3828"/>
      <c r="S58" s="3828"/>
      <c r="T58" s="3828"/>
      <c r="U58" s="3828"/>
      <c r="V58" s="3828"/>
      <c r="W58" s="3828"/>
      <c r="X58" s="3828"/>
      <c r="Y58" s="3828"/>
      <c r="Z58" s="3828"/>
      <c r="AA58" s="3828"/>
      <c r="AB58" s="3828"/>
      <c r="AC58" s="3828"/>
      <c r="AD58" s="3828"/>
      <c r="AG58" s="621">
        <f>ROW()</f>
        <v>58</v>
      </c>
    </row>
    <row r="59" spans="2:33" ht="13.2" customHeight="1">
      <c r="D59" s="3" t="s">
        <v>2643</v>
      </c>
      <c r="E59" s="3" t="s">
        <v>1800</v>
      </c>
      <c r="F59" s="879"/>
      <c r="G59" s="879"/>
      <c r="H59" s="879"/>
      <c r="I59" s="3810"/>
      <c r="J59" s="3810"/>
      <c r="K59" s="3810"/>
      <c r="L59" s="3810"/>
      <c r="M59" s="3810"/>
      <c r="N59" s="3810"/>
      <c r="O59" s="3810"/>
      <c r="P59" s="3810"/>
      <c r="Q59" s="3779"/>
      <c r="R59" s="3779"/>
      <c r="S59" s="3779"/>
      <c r="T59" s="3779"/>
      <c r="U59" s="3779"/>
      <c r="V59" s="3779"/>
      <c r="W59" s="3779"/>
      <c r="X59" s="3779"/>
      <c r="Y59" s="3779"/>
      <c r="Z59" s="3779"/>
      <c r="AA59" s="3779"/>
      <c r="AB59" s="3779"/>
      <c r="AC59" s="3779"/>
      <c r="AD59" s="3779"/>
      <c r="AG59" s="621">
        <f>ROW()</f>
        <v>59</v>
      </c>
    </row>
    <row r="60" spans="2:33" ht="13.2" customHeight="1">
      <c r="B60" s="1779" t="s">
        <v>1801</v>
      </c>
      <c r="C60" s="4872" t="s">
        <v>2223</v>
      </c>
      <c r="D60" s="1780">
        <v>0.88</v>
      </c>
      <c r="E60" s="1781">
        <v>1.06</v>
      </c>
      <c r="G60" s="879"/>
      <c r="H60" s="879"/>
      <c r="I60" s="3810"/>
      <c r="J60" s="3810"/>
      <c r="K60" s="3810"/>
      <c r="L60" s="3810"/>
      <c r="M60" s="3810"/>
      <c r="N60" s="3810"/>
      <c r="O60" s="3810"/>
      <c r="P60" s="3810"/>
      <c r="Q60" s="3779"/>
      <c r="R60" s="3779"/>
      <c r="S60" s="3779"/>
      <c r="T60" s="3779"/>
      <c r="U60" s="3779"/>
      <c r="V60" s="3779"/>
      <c r="W60" s="3779"/>
      <c r="X60" s="3779"/>
      <c r="Y60" s="3779"/>
      <c r="Z60" s="3779"/>
      <c r="AA60" s="3779"/>
      <c r="AB60" s="3779"/>
      <c r="AC60" s="3779"/>
      <c r="AD60" s="3779"/>
      <c r="AG60" s="621">
        <f>ROW()</f>
        <v>60</v>
      </c>
    </row>
    <row r="61" spans="2:33" ht="13.2" customHeight="1">
      <c r="B61" s="1782" t="s">
        <v>1802</v>
      </c>
      <c r="C61" s="4873"/>
      <c r="D61" s="1783">
        <v>1.28</v>
      </c>
      <c r="E61" s="1784">
        <v>1.54</v>
      </c>
      <c r="G61" s="879"/>
      <c r="H61" s="879"/>
      <c r="I61" s="879"/>
      <c r="J61" s="879"/>
      <c r="K61" s="879"/>
      <c r="L61" s="879"/>
      <c r="M61" s="879"/>
      <c r="N61" s="879"/>
      <c r="O61" s="879"/>
      <c r="P61" s="879"/>
      <c r="Q61" s="3779"/>
      <c r="R61" s="3779"/>
      <c r="S61" s="3779"/>
      <c r="T61" s="3779"/>
      <c r="U61" s="3779"/>
      <c r="V61" s="3779"/>
      <c r="W61" s="3779"/>
      <c r="X61" s="3779"/>
      <c r="Y61" s="3779"/>
      <c r="Z61" s="3779"/>
      <c r="AA61" s="3779"/>
      <c r="AB61" s="3779"/>
      <c r="AC61" s="3779"/>
      <c r="AD61" s="3779"/>
      <c r="AG61" s="621">
        <f>ROW()</f>
        <v>61</v>
      </c>
    </row>
    <row r="62" spans="2:33" ht="13.2" customHeight="1">
      <c r="B62" s="1782" t="s">
        <v>1803</v>
      </c>
      <c r="C62" s="4873"/>
      <c r="D62" s="1783">
        <v>0.68</v>
      </c>
      <c r="E62" s="1784">
        <v>0.82</v>
      </c>
      <c r="G62" s="879"/>
      <c r="H62" s="879"/>
      <c r="I62" s="879"/>
      <c r="J62" s="879"/>
      <c r="K62" s="879"/>
      <c r="L62" s="879"/>
      <c r="M62" s="879"/>
      <c r="N62" s="879"/>
      <c r="O62" s="879"/>
      <c r="P62" s="879"/>
      <c r="Q62" s="3779"/>
      <c r="R62" s="3779"/>
      <c r="S62" s="3779"/>
      <c r="T62" s="3779"/>
      <c r="U62" s="3779"/>
      <c r="V62" s="3779"/>
      <c r="W62" s="3779"/>
      <c r="X62" s="3779"/>
      <c r="Y62" s="3779"/>
      <c r="Z62" s="3779"/>
      <c r="AA62" s="3779"/>
      <c r="AB62" s="3779"/>
      <c r="AC62" s="3779"/>
      <c r="AD62" s="3779"/>
      <c r="AG62" s="621">
        <f>ROW()</f>
        <v>62</v>
      </c>
    </row>
    <row r="63" spans="2:33" ht="13.2" customHeight="1">
      <c r="B63" s="1785" t="s">
        <v>1804</v>
      </c>
      <c r="C63" s="4874"/>
      <c r="D63" s="1786">
        <v>2</v>
      </c>
      <c r="E63" s="1787">
        <v>2</v>
      </c>
      <c r="G63" s="879"/>
      <c r="H63" s="1407"/>
      <c r="I63" s="879"/>
      <c r="J63" s="879"/>
      <c r="K63" s="879"/>
      <c r="L63" s="879"/>
      <c r="M63" s="879"/>
      <c r="N63" s="879"/>
      <c r="O63" s="879"/>
      <c r="P63" s="879"/>
      <c r="Q63" s="90"/>
      <c r="R63" s="90"/>
      <c r="S63" s="90"/>
      <c r="T63" s="90"/>
      <c r="U63" s="90"/>
      <c r="V63" s="90"/>
      <c r="W63" s="90"/>
      <c r="X63" s="90"/>
      <c r="Y63" s="90"/>
      <c r="Z63" s="90"/>
      <c r="AA63" s="90"/>
      <c r="AB63" s="90"/>
      <c r="AC63" s="90"/>
      <c r="AD63" s="90"/>
      <c r="AG63" s="621">
        <f>ROW()</f>
        <v>63</v>
      </c>
    </row>
    <row r="64" spans="2:33" ht="13.2" customHeight="1">
      <c r="B64" s="879"/>
      <c r="C64" s="879"/>
      <c r="D64" s="879"/>
      <c r="E64" s="879"/>
      <c r="F64" s="879"/>
      <c r="G64" s="879"/>
      <c r="H64" s="879"/>
      <c r="I64" s="879"/>
      <c r="J64" s="879"/>
      <c r="K64" s="879"/>
      <c r="L64" s="879"/>
      <c r="M64" s="879"/>
      <c r="N64" s="879"/>
      <c r="O64" s="879"/>
      <c r="P64" s="879"/>
      <c r="Q64" s="90"/>
      <c r="R64" s="90"/>
      <c r="S64" s="90"/>
      <c r="T64" s="90"/>
      <c r="U64" s="90"/>
      <c r="V64" s="90"/>
      <c r="W64" s="90"/>
      <c r="X64" s="90"/>
      <c r="Y64" s="90"/>
      <c r="Z64" s="90"/>
      <c r="AA64" s="90"/>
      <c r="AB64" s="90"/>
      <c r="AC64" s="90"/>
      <c r="AD64" s="90"/>
      <c r="AG64" s="621">
        <f>ROW()</f>
        <v>64</v>
      </c>
    </row>
    <row r="65" spans="2:33" ht="13.2" customHeight="1">
      <c r="B65" s="879"/>
      <c r="C65" s="879"/>
      <c r="D65" s="879"/>
      <c r="E65" s="879"/>
      <c r="F65" s="879"/>
      <c r="G65" s="879"/>
      <c r="H65" s="879"/>
      <c r="I65" s="879"/>
      <c r="J65" s="879"/>
      <c r="K65" s="879"/>
      <c r="L65" s="879"/>
      <c r="M65" s="879"/>
      <c r="N65" s="879"/>
      <c r="O65" s="879"/>
      <c r="P65" s="879"/>
      <c r="Q65" s="90"/>
      <c r="R65" s="90"/>
      <c r="S65" s="90"/>
      <c r="T65" s="90"/>
      <c r="U65" s="90"/>
      <c r="V65" s="90"/>
      <c r="W65" s="90"/>
      <c r="X65" s="90"/>
      <c r="Y65" s="90"/>
      <c r="Z65" s="90"/>
      <c r="AA65" s="90"/>
      <c r="AB65" s="90"/>
      <c r="AC65" s="90"/>
      <c r="AD65" s="90"/>
      <c r="AG65" s="621">
        <f>ROW()</f>
        <v>65</v>
      </c>
    </row>
    <row r="66" spans="2:33" ht="13.2" customHeight="1">
      <c r="B66" s="508" t="s">
        <v>1441</v>
      </c>
      <c r="C66" s="853"/>
      <c r="D66" s="853"/>
      <c r="E66" s="853"/>
      <c r="F66" s="853"/>
      <c r="G66" s="853"/>
      <c r="H66" s="853"/>
      <c r="I66" s="853"/>
      <c r="J66" s="853"/>
      <c r="K66" s="853"/>
      <c r="L66" s="853"/>
      <c r="M66" s="853"/>
      <c r="N66" s="853"/>
      <c r="O66" s="853"/>
      <c r="P66" s="853"/>
      <c r="AG66" s="621">
        <f>ROW()</f>
        <v>66</v>
      </c>
    </row>
    <row r="67" spans="2:33" ht="13.2" customHeight="1">
      <c r="B67" s="467"/>
      <c r="C67" s="853"/>
      <c r="D67" s="853"/>
      <c r="E67" s="853"/>
      <c r="F67" s="853"/>
      <c r="G67" s="853"/>
      <c r="H67" s="853"/>
      <c r="I67" s="853"/>
      <c r="J67" s="853"/>
      <c r="K67" s="853"/>
      <c r="L67" s="853"/>
      <c r="M67" s="853"/>
      <c r="N67" s="853"/>
      <c r="O67" s="853"/>
      <c r="P67" s="853"/>
      <c r="AG67" s="621">
        <f>ROW()</f>
        <v>67</v>
      </c>
    </row>
    <row r="68" spans="2:33" ht="13.2" customHeight="1">
      <c r="B68" s="4892" t="s">
        <v>2850</v>
      </c>
      <c r="C68" s="3810"/>
      <c r="D68" s="3810"/>
      <c r="E68" s="3810"/>
      <c r="F68" s="3810"/>
      <c r="G68" s="3810"/>
      <c r="H68" s="3810"/>
      <c r="I68" s="3810"/>
      <c r="J68" s="3810"/>
      <c r="K68" s="3810"/>
      <c r="L68" s="853"/>
      <c r="M68" s="853"/>
      <c r="N68" s="853"/>
      <c r="O68" s="853"/>
      <c r="P68" s="853"/>
      <c r="AG68" s="621">
        <f>ROW()</f>
        <v>68</v>
      </c>
    </row>
    <row r="69" spans="2:33" ht="13.2" customHeight="1">
      <c r="B69" s="3810"/>
      <c r="C69" s="3810"/>
      <c r="D69" s="3810"/>
      <c r="E69" s="3810"/>
      <c r="F69" s="3810"/>
      <c r="G69" s="3810"/>
      <c r="H69" s="3810"/>
      <c r="I69" s="3810"/>
      <c r="J69" s="3810"/>
      <c r="K69" s="3810"/>
      <c r="L69" s="853"/>
      <c r="M69" s="853"/>
      <c r="N69" s="853"/>
      <c r="O69" s="853"/>
      <c r="P69" s="853"/>
      <c r="AG69" s="621">
        <f>ROW()</f>
        <v>69</v>
      </c>
    </row>
    <row r="70" spans="2:33" ht="13.2" customHeight="1">
      <c r="B70" s="3810"/>
      <c r="C70" s="3810"/>
      <c r="D70" s="3810"/>
      <c r="E70" s="3810"/>
      <c r="F70" s="3810"/>
      <c r="G70" s="3810"/>
      <c r="H70" s="3810"/>
      <c r="I70" s="3810"/>
      <c r="J70" s="3810"/>
      <c r="K70" s="3810"/>
      <c r="L70" s="853"/>
      <c r="M70" s="853"/>
      <c r="N70" s="853"/>
      <c r="O70" s="853"/>
      <c r="P70" s="853"/>
      <c r="AG70" s="621">
        <f>ROW()</f>
        <v>70</v>
      </c>
    </row>
    <row r="71" spans="2:33" ht="13.2" customHeight="1">
      <c r="B71" s="3810"/>
      <c r="C71" s="3810"/>
      <c r="D71" s="3810"/>
      <c r="E71" s="3810"/>
      <c r="F71" s="3810"/>
      <c r="G71" s="3810"/>
      <c r="H71" s="3810"/>
      <c r="I71" s="3810"/>
      <c r="J71" s="3810"/>
      <c r="K71" s="3810"/>
      <c r="L71" s="853"/>
      <c r="M71" s="853"/>
      <c r="N71" s="853"/>
      <c r="AG71" s="621">
        <f>ROW()</f>
        <v>71</v>
      </c>
    </row>
    <row r="72" spans="2:33" ht="13.2" customHeight="1">
      <c r="B72" s="1508"/>
      <c r="C72" s="1508"/>
      <c r="D72" s="1508"/>
      <c r="E72" s="1508"/>
      <c r="F72" s="1508"/>
      <c r="G72" s="1508"/>
      <c r="H72" s="1508"/>
      <c r="I72" s="1508"/>
      <c r="J72" s="1508"/>
      <c r="K72" s="879"/>
      <c r="L72" s="879"/>
      <c r="M72" s="879"/>
      <c r="N72" s="879"/>
      <c r="O72" s="879"/>
      <c r="P72" s="879"/>
      <c r="T72" s="171"/>
      <c r="AG72" s="621">
        <f>ROW()</f>
        <v>72</v>
      </c>
    </row>
    <row r="73" spans="2:33" ht="13.2" customHeight="1" thickBot="1">
      <c r="B73" s="7"/>
      <c r="C73" s="4889" t="s">
        <v>2553</v>
      </c>
      <c r="D73" s="4890"/>
      <c r="E73" s="4890"/>
      <c r="F73" s="4890"/>
      <c r="G73" s="4890"/>
      <c r="H73" s="4891"/>
      <c r="I73" s="4895" t="s">
        <v>163</v>
      </c>
      <c r="J73" s="4896"/>
      <c r="K73" s="4896"/>
      <c r="L73" s="4896"/>
      <c r="M73" s="4896"/>
      <c r="N73" s="4896"/>
      <c r="O73" s="4896"/>
      <c r="P73" s="4896"/>
      <c r="Q73" s="4896"/>
      <c r="R73" s="4896"/>
      <c r="S73" s="4896"/>
      <c r="T73" s="4896"/>
      <c r="U73" s="4896"/>
      <c r="V73" s="4897"/>
      <c r="AG73" s="621">
        <f>ROW()</f>
        <v>73</v>
      </c>
    </row>
    <row r="74" spans="2:33" ht="13.2" customHeight="1" thickBot="1">
      <c r="B74" s="7"/>
      <c r="C74" s="4861" t="s">
        <v>2554</v>
      </c>
      <c r="D74" s="4862"/>
      <c r="E74" s="4862"/>
      <c r="F74" s="4862"/>
      <c r="G74" s="4862"/>
      <c r="H74" s="4863"/>
      <c r="I74" s="7"/>
      <c r="V74" s="4882" t="str">
        <f>CONCATENATE("See Rows ",AG103, "-",AG106, " for MTA factors.")</f>
        <v>See Rows 103-106 for MTA factors.</v>
      </c>
      <c r="W74" s="4882"/>
      <c r="X74" s="4882"/>
      <c r="AG74" s="621">
        <f>ROW()</f>
        <v>74</v>
      </c>
    </row>
    <row r="75" spans="2:33" ht="13.2" customHeight="1" thickBot="1">
      <c r="B75" s="7"/>
      <c r="C75" s="4864" t="str">
        <f>CONCATENATE("Note: Row ",AG77, ", below, w/ 17 boarders in 19 seconds, strains credulity.")</f>
        <v>Note: Row 77, below, w/ 17 boarders in 19 seconds, strains credulity.</v>
      </c>
      <c r="D75" s="4865"/>
      <c r="E75" s="4865"/>
      <c r="F75" s="4865"/>
      <c r="G75" s="4865"/>
      <c r="H75" s="4866"/>
      <c r="I75" s="4893" t="s">
        <v>2641</v>
      </c>
      <c r="J75" s="4894"/>
      <c r="K75" s="4894"/>
      <c r="L75" s="4894"/>
      <c r="M75" s="4894"/>
      <c r="N75" s="4894"/>
      <c r="O75" s="4898" t="s">
        <v>823</v>
      </c>
      <c r="P75" s="4898"/>
      <c r="Q75" s="4898"/>
      <c r="R75" s="4898"/>
      <c r="S75" s="4898"/>
      <c r="T75" s="4898"/>
      <c r="U75" s="4898"/>
      <c r="V75" s="4899"/>
      <c r="W75" s="1788" t="str">
        <f>$J$116</f>
        <v>max</v>
      </c>
      <c r="AG75" s="621">
        <f>ROW()</f>
        <v>75</v>
      </c>
    </row>
    <row r="76" spans="2:33" ht="92.25" customHeight="1">
      <c r="B76" s="1431" t="s">
        <v>2644</v>
      </c>
      <c r="C76" s="1444" t="s">
        <v>2544</v>
      </c>
      <c r="D76" s="1445" t="s">
        <v>2552</v>
      </c>
      <c r="E76" s="1445" t="s">
        <v>2545</v>
      </c>
      <c r="F76" s="1445" t="s">
        <v>2546</v>
      </c>
      <c r="G76" s="1445" t="s">
        <v>2550</v>
      </c>
      <c r="H76" s="1446" t="s">
        <v>2551</v>
      </c>
      <c r="I76" s="1409" t="s">
        <v>159</v>
      </c>
      <c r="J76" s="1410" t="s">
        <v>161</v>
      </c>
      <c r="K76" s="1410" t="s">
        <v>821</v>
      </c>
      <c r="L76" s="1411" t="s">
        <v>160</v>
      </c>
      <c r="M76" s="1410" t="s">
        <v>162</v>
      </c>
      <c r="N76" s="1412" t="s">
        <v>822</v>
      </c>
      <c r="O76" s="1449" t="s">
        <v>726</v>
      </c>
      <c r="P76" s="1450" t="s">
        <v>2645</v>
      </c>
      <c r="Q76" s="1450" t="s">
        <v>727</v>
      </c>
      <c r="R76" s="1451" t="s">
        <v>1733</v>
      </c>
      <c r="S76" s="1459" t="s">
        <v>2201</v>
      </c>
      <c r="T76" s="1460" t="s">
        <v>1734</v>
      </c>
      <c r="U76" s="1460" t="s">
        <v>2202</v>
      </c>
      <c r="V76" s="1461" t="s">
        <v>1773</v>
      </c>
      <c r="W76" s="1466" t="s">
        <v>2203</v>
      </c>
      <c r="X76" s="1467" t="s">
        <v>1774</v>
      </c>
      <c r="Y76" s="1467" t="s">
        <v>2204</v>
      </c>
      <c r="Z76" s="1468" t="s">
        <v>1775</v>
      </c>
      <c r="AA76" s="1413" t="s">
        <v>1776</v>
      </c>
      <c r="AB76" s="1456" t="s">
        <v>2542</v>
      </c>
      <c r="AC76" s="1461" t="s">
        <v>1777</v>
      </c>
      <c r="AD76" s="1468" t="s">
        <v>2543</v>
      </c>
      <c r="AE76" s="1474" t="s">
        <v>61</v>
      </c>
      <c r="AG76" s="621">
        <f>ROW()</f>
        <v>76</v>
      </c>
    </row>
    <row r="77" spans="2:33" ht="13.2" customHeight="1">
      <c r="B77" s="1432" t="s">
        <v>1778</v>
      </c>
      <c r="C77" s="1434">
        <v>38449.390289351853</v>
      </c>
      <c r="D77" s="1435">
        <v>38449.390497685185</v>
      </c>
      <c r="E77" s="1435">
        <v>38449.390509259261</v>
      </c>
      <c r="F77" s="1448">
        <f t="shared" ref="F77:F95" si="19">E77-C77</f>
        <v>2.1990740788169205E-4</v>
      </c>
      <c r="G77" s="1447">
        <v>17</v>
      </c>
      <c r="H77" s="1437">
        <v>0</v>
      </c>
      <c r="I77" s="1414">
        <f>ROUND(G77*0.6,0)</f>
        <v>10</v>
      </c>
      <c r="J77" s="1415">
        <v>0</v>
      </c>
      <c r="K77" s="1415">
        <f>G77-I77</f>
        <v>7</v>
      </c>
      <c r="L77" s="1414">
        <f>ROUND(H77*0.2,0)</f>
        <v>0</v>
      </c>
      <c r="M77" s="1416">
        <v>0</v>
      </c>
      <c r="N77" s="1415">
        <f>H77-L77</f>
        <v>0</v>
      </c>
      <c r="O77" s="1452">
        <f t="shared" ref="O77:O96" si="20">IF($W$75="min",$D$103,IF($W$75="max",$E$103,"error"))</f>
        <v>1.06</v>
      </c>
      <c r="P77" s="1452">
        <f t="shared" ref="P77:P96" si="21">O77*I77</f>
        <v>10.600000000000001</v>
      </c>
      <c r="Q77" s="1452">
        <f t="shared" ref="Q77:Q96" si="22">IF($W$75="min",$D$104,IF($W$75="max",$E$104,"error"))</f>
        <v>1.54</v>
      </c>
      <c r="R77" s="1452">
        <f t="shared" ref="R77:R96" si="23">Q77*L77</f>
        <v>0</v>
      </c>
      <c r="S77" s="1462">
        <f t="shared" ref="S77:S96" si="24">IF($W$75="min",$D$103,IF($W$75="max",$E$103,"error"))</f>
        <v>1.06</v>
      </c>
      <c r="T77" s="1462">
        <f t="shared" ref="T77:T96" si="25">S77*J77</f>
        <v>0</v>
      </c>
      <c r="U77" s="1462">
        <f t="shared" ref="U77:U96" si="26">IF($W$75="min",$D$105,IF($W$75="max",$E$105,"error"))</f>
        <v>0.82</v>
      </c>
      <c r="V77" s="1462">
        <f t="shared" ref="V77:V96" si="27">U77*M77</f>
        <v>0</v>
      </c>
      <c r="W77" s="1469">
        <f t="shared" ref="W77:W96" si="28">IF($W$75="min",$D$103,IF($W$75="max",$E$103,"error"))</f>
        <v>1.06</v>
      </c>
      <c r="X77" s="1469">
        <f t="shared" ref="X77:X96" si="29">W77*K77</f>
        <v>7.42</v>
      </c>
      <c r="Y77" s="1469">
        <f>IF($W$75="min",$D$105,IF($W$75="max",$E$105,"error"))</f>
        <v>0.82</v>
      </c>
      <c r="Z77" s="1469">
        <f t="shared" ref="Z77:Z96" si="30">Y77*N77</f>
        <v>0</v>
      </c>
      <c r="AA77" s="1418">
        <f>IF($W$75="min",$D$106,IF($W$75="max",$E$106,"error"))</f>
        <v>2</v>
      </c>
      <c r="AB77" s="1457">
        <f t="shared" ref="AB77:AB96" si="31">P77+R77+AA77</f>
        <v>12.600000000000001</v>
      </c>
      <c r="AC77" s="1462">
        <f t="shared" ref="AC77:AC96" si="32">T77+V77+AA77</f>
        <v>2</v>
      </c>
      <c r="AD77" s="1469">
        <f t="shared" ref="AD77:AD96" si="33">X77+Z77+AA77</f>
        <v>9.42</v>
      </c>
      <c r="AE77" s="1475">
        <f t="shared" ref="AE77:AE96" si="34">MAX(AB77:AD77)</f>
        <v>12.600000000000001</v>
      </c>
      <c r="AG77" s="621">
        <f>ROW()</f>
        <v>77</v>
      </c>
    </row>
    <row r="78" spans="2:33" ht="13.2" customHeight="1">
      <c r="B78" s="1432" t="s">
        <v>1779</v>
      </c>
      <c r="C78" s="1434">
        <v>38449.392442129632</v>
      </c>
      <c r="D78" s="1435">
        <v>38449.393009259256</v>
      </c>
      <c r="E78" s="1435">
        <v>38449.393078703702</v>
      </c>
      <c r="F78" s="1436">
        <f t="shared" si="19"/>
        <v>6.3657407008577138E-4</v>
      </c>
      <c r="G78" s="1415">
        <v>8</v>
      </c>
      <c r="H78" s="1437">
        <v>0</v>
      </c>
      <c r="I78" s="1414">
        <f t="shared" ref="I78:I96" si="35">ROUND(G78*0.6,0)</f>
        <v>5</v>
      </c>
      <c r="J78" s="1415">
        <v>0</v>
      </c>
      <c r="K78" s="1415">
        <f t="shared" ref="K78:K96" si="36">G78-I78</f>
        <v>3</v>
      </c>
      <c r="L78" s="1414">
        <f t="shared" ref="L78:L96" si="37">ROUND(H78*0.2,0)</f>
        <v>0</v>
      </c>
      <c r="M78" s="1416">
        <v>0</v>
      </c>
      <c r="N78" s="1415">
        <f t="shared" ref="N78:N96" si="38">H78-L78</f>
        <v>0</v>
      </c>
      <c r="O78" s="1452">
        <f t="shared" si="20"/>
        <v>1.06</v>
      </c>
      <c r="P78" s="1452">
        <f t="shared" si="21"/>
        <v>5.3000000000000007</v>
      </c>
      <c r="Q78" s="1452">
        <f t="shared" si="22"/>
        <v>1.54</v>
      </c>
      <c r="R78" s="1452">
        <f t="shared" si="23"/>
        <v>0</v>
      </c>
      <c r="S78" s="1462">
        <f t="shared" si="24"/>
        <v>1.06</v>
      </c>
      <c r="T78" s="1462">
        <f t="shared" si="25"/>
        <v>0</v>
      </c>
      <c r="U78" s="1462">
        <f t="shared" si="26"/>
        <v>0.82</v>
      </c>
      <c r="V78" s="1462">
        <f t="shared" si="27"/>
        <v>0</v>
      </c>
      <c r="W78" s="1469">
        <f t="shared" si="28"/>
        <v>1.06</v>
      </c>
      <c r="X78" s="1469">
        <f t="shared" si="29"/>
        <v>3.18</v>
      </c>
      <c r="Y78" s="1469">
        <f>IF($W$75="min",$D$105,IF($W$75="max",$E$105,"error"))</f>
        <v>0.82</v>
      </c>
      <c r="Z78" s="1469">
        <f t="shared" si="30"/>
        <v>0</v>
      </c>
      <c r="AA78" s="1418">
        <f>IF($W$75="min",$D$106,IF($W$75="max",$E$106,"error"))</f>
        <v>2</v>
      </c>
      <c r="AB78" s="1457">
        <f t="shared" si="31"/>
        <v>7.3000000000000007</v>
      </c>
      <c r="AC78" s="1462">
        <f t="shared" si="32"/>
        <v>2</v>
      </c>
      <c r="AD78" s="1469">
        <f t="shared" si="33"/>
        <v>5.18</v>
      </c>
      <c r="AE78" s="1475">
        <f t="shared" si="34"/>
        <v>7.3000000000000007</v>
      </c>
      <c r="AG78" s="621">
        <f>ROW()</f>
        <v>78</v>
      </c>
    </row>
    <row r="79" spans="2:33" ht="13.2" customHeight="1">
      <c r="B79" s="1432" t="s">
        <v>1780</v>
      </c>
      <c r="C79" s="1434">
        <v>38449.394131944442</v>
      </c>
      <c r="D79" s="1435">
        <v>38449.394745370373</v>
      </c>
      <c r="E79" s="1435">
        <v>38449.394803240742</v>
      </c>
      <c r="F79" s="1436">
        <f t="shared" si="19"/>
        <v>6.7129630042472854E-4</v>
      </c>
      <c r="G79" s="1415">
        <v>11</v>
      </c>
      <c r="H79" s="1437">
        <v>1</v>
      </c>
      <c r="I79" s="1414">
        <f t="shared" si="35"/>
        <v>7</v>
      </c>
      <c r="J79" s="1415">
        <v>0</v>
      </c>
      <c r="K79" s="1415">
        <f t="shared" si="36"/>
        <v>4</v>
      </c>
      <c r="L79" s="1414">
        <f t="shared" si="37"/>
        <v>0</v>
      </c>
      <c r="M79" s="1416">
        <v>0</v>
      </c>
      <c r="N79" s="1415">
        <f t="shared" si="38"/>
        <v>1</v>
      </c>
      <c r="O79" s="1452">
        <f t="shared" si="20"/>
        <v>1.06</v>
      </c>
      <c r="P79" s="1452">
        <f t="shared" si="21"/>
        <v>7.42</v>
      </c>
      <c r="Q79" s="1452">
        <f t="shared" si="22"/>
        <v>1.54</v>
      </c>
      <c r="R79" s="1452">
        <f t="shared" si="23"/>
        <v>0</v>
      </c>
      <c r="S79" s="1462">
        <f t="shared" si="24"/>
        <v>1.06</v>
      </c>
      <c r="T79" s="1462">
        <f t="shared" si="25"/>
        <v>0</v>
      </c>
      <c r="U79" s="1462">
        <f t="shared" si="26"/>
        <v>0.82</v>
      </c>
      <c r="V79" s="1462">
        <f t="shared" si="27"/>
        <v>0</v>
      </c>
      <c r="W79" s="1469">
        <f t="shared" si="28"/>
        <v>1.06</v>
      </c>
      <c r="X79" s="1469">
        <f t="shared" si="29"/>
        <v>4.24</v>
      </c>
      <c r="Y79" s="1469">
        <f>IF($W$75="min",$D$105,IF($W$75="max",$E$105,"error"))</f>
        <v>0.82</v>
      </c>
      <c r="Z79" s="1469">
        <f t="shared" si="30"/>
        <v>0.82</v>
      </c>
      <c r="AA79" s="1418">
        <f t="shared" ref="AA79:AA96" si="39">IF($W$75="min",$D$106,IF($W$75="max",$E$106,"error"))</f>
        <v>2</v>
      </c>
      <c r="AB79" s="1457">
        <f t="shared" si="31"/>
        <v>9.42</v>
      </c>
      <c r="AC79" s="1462">
        <f t="shared" si="32"/>
        <v>2</v>
      </c>
      <c r="AD79" s="1469">
        <f t="shared" si="33"/>
        <v>7.0600000000000005</v>
      </c>
      <c r="AE79" s="1475">
        <f t="shared" si="34"/>
        <v>9.42</v>
      </c>
      <c r="AG79" s="621">
        <f>ROW()</f>
        <v>79</v>
      </c>
    </row>
    <row r="80" spans="2:33" ht="13.2" customHeight="1">
      <c r="B80" s="1432" t="s">
        <v>1781</v>
      </c>
      <c r="C80" s="1434">
        <v>38449.395844907405</v>
      </c>
      <c r="D80" s="1435" t="s">
        <v>2547</v>
      </c>
      <c r="E80" s="1435">
        <v>38449.395856481482</v>
      </c>
      <c r="F80" s="1436">
        <f t="shared" si="19"/>
        <v>1.1574076779652387E-5</v>
      </c>
      <c r="G80" s="1415">
        <v>0</v>
      </c>
      <c r="H80" s="1437">
        <v>0</v>
      </c>
      <c r="I80" s="1414">
        <f t="shared" si="35"/>
        <v>0</v>
      </c>
      <c r="J80" s="1415">
        <v>0</v>
      </c>
      <c r="K80" s="1415">
        <f t="shared" si="36"/>
        <v>0</v>
      </c>
      <c r="L80" s="1414">
        <f t="shared" si="37"/>
        <v>0</v>
      </c>
      <c r="M80" s="1416">
        <v>0</v>
      </c>
      <c r="N80" s="1415">
        <f t="shared" si="38"/>
        <v>0</v>
      </c>
      <c r="O80" s="1452">
        <f t="shared" si="20"/>
        <v>1.06</v>
      </c>
      <c r="P80" s="1452">
        <f t="shared" si="21"/>
        <v>0</v>
      </c>
      <c r="Q80" s="1452">
        <f t="shared" si="22"/>
        <v>1.54</v>
      </c>
      <c r="R80" s="1452">
        <f t="shared" si="23"/>
        <v>0</v>
      </c>
      <c r="S80" s="1462">
        <f t="shared" si="24"/>
        <v>1.06</v>
      </c>
      <c r="T80" s="1462">
        <f t="shared" si="25"/>
        <v>0</v>
      </c>
      <c r="U80" s="1462">
        <f t="shared" si="26"/>
        <v>0.82</v>
      </c>
      <c r="V80" s="1462">
        <f t="shared" si="27"/>
        <v>0</v>
      </c>
      <c r="W80" s="1469">
        <f t="shared" si="28"/>
        <v>1.06</v>
      </c>
      <c r="X80" s="1469">
        <f t="shared" si="29"/>
        <v>0</v>
      </c>
      <c r="Y80" s="1469">
        <f>IF($W$75="min",$D$105,IF($W$75="max",$E$105,"error"))</f>
        <v>0.82</v>
      </c>
      <c r="Z80" s="1469">
        <f t="shared" si="30"/>
        <v>0</v>
      </c>
      <c r="AA80" s="1418">
        <f t="shared" si="39"/>
        <v>2</v>
      </c>
      <c r="AB80" s="1457">
        <f t="shared" si="31"/>
        <v>2</v>
      </c>
      <c r="AC80" s="1462">
        <f t="shared" si="32"/>
        <v>2</v>
      </c>
      <c r="AD80" s="1469">
        <f t="shared" si="33"/>
        <v>2</v>
      </c>
      <c r="AE80" s="1475">
        <f t="shared" si="34"/>
        <v>2</v>
      </c>
      <c r="AG80" s="621">
        <f>ROW()</f>
        <v>80</v>
      </c>
    </row>
    <row r="81" spans="2:33" ht="13.2" customHeight="1">
      <c r="B81" s="1432" t="s">
        <v>1782</v>
      </c>
      <c r="C81" s="1434">
        <v>38449.396736111114</v>
      </c>
      <c r="D81" s="1435">
        <v>38449.397372685184</v>
      </c>
      <c r="E81" s="1435">
        <v>38449.397418981483</v>
      </c>
      <c r="F81" s="1436">
        <f t="shared" si="19"/>
        <v>6.8287036992842332E-4</v>
      </c>
      <c r="G81" s="1415">
        <v>9</v>
      </c>
      <c r="H81" s="1437">
        <v>1</v>
      </c>
      <c r="I81" s="1414">
        <f t="shared" si="35"/>
        <v>5</v>
      </c>
      <c r="J81" s="1415">
        <v>0</v>
      </c>
      <c r="K81" s="1415">
        <f t="shared" si="36"/>
        <v>4</v>
      </c>
      <c r="L81" s="1414">
        <f t="shared" si="37"/>
        <v>0</v>
      </c>
      <c r="M81" s="1416">
        <v>0</v>
      </c>
      <c r="N81" s="1415">
        <f t="shared" si="38"/>
        <v>1</v>
      </c>
      <c r="O81" s="1452">
        <f t="shared" si="20"/>
        <v>1.06</v>
      </c>
      <c r="P81" s="1452">
        <f t="shared" si="21"/>
        <v>5.3000000000000007</v>
      </c>
      <c r="Q81" s="1452">
        <f t="shared" si="22"/>
        <v>1.54</v>
      </c>
      <c r="R81" s="1452">
        <f t="shared" si="23"/>
        <v>0</v>
      </c>
      <c r="S81" s="1462">
        <f t="shared" si="24"/>
        <v>1.06</v>
      </c>
      <c r="T81" s="1462">
        <f t="shared" si="25"/>
        <v>0</v>
      </c>
      <c r="U81" s="1462">
        <f t="shared" si="26"/>
        <v>0.82</v>
      </c>
      <c r="V81" s="1462">
        <f t="shared" si="27"/>
        <v>0</v>
      </c>
      <c r="W81" s="1469">
        <f t="shared" si="28"/>
        <v>1.06</v>
      </c>
      <c r="X81" s="1469">
        <f t="shared" si="29"/>
        <v>4.24</v>
      </c>
      <c r="Y81" s="1469">
        <f>IF($W$75="min",$D$105,IF($W$75="max",$E$105,"error"))</f>
        <v>0.82</v>
      </c>
      <c r="Z81" s="1469">
        <f t="shared" si="30"/>
        <v>0.82</v>
      </c>
      <c r="AA81" s="1418">
        <f t="shared" si="39"/>
        <v>2</v>
      </c>
      <c r="AB81" s="1457">
        <f t="shared" si="31"/>
        <v>7.3000000000000007</v>
      </c>
      <c r="AC81" s="1462">
        <f t="shared" si="32"/>
        <v>2</v>
      </c>
      <c r="AD81" s="1469">
        <f t="shared" si="33"/>
        <v>7.0600000000000005</v>
      </c>
      <c r="AE81" s="1475">
        <f t="shared" si="34"/>
        <v>7.3000000000000007</v>
      </c>
      <c r="AG81" s="621">
        <f>ROW()</f>
        <v>81</v>
      </c>
    </row>
    <row r="82" spans="2:33" ht="13.2" customHeight="1">
      <c r="B82" s="1432" t="s">
        <v>1783</v>
      </c>
      <c r="C82" s="1434">
        <v>38449.398842592593</v>
      </c>
      <c r="D82" s="1435">
        <v>38449.399606481478</v>
      </c>
      <c r="E82" s="1435">
        <v>38449.399675925924</v>
      </c>
      <c r="F82" s="1436">
        <f t="shared" si="19"/>
        <v>8.3333333168411627E-4</v>
      </c>
      <c r="G82" s="1415">
        <v>14</v>
      </c>
      <c r="H82" s="1437">
        <v>3</v>
      </c>
      <c r="I82" s="1414">
        <f t="shared" si="35"/>
        <v>8</v>
      </c>
      <c r="J82" s="1415">
        <v>0</v>
      </c>
      <c r="K82" s="1415">
        <f t="shared" si="36"/>
        <v>6</v>
      </c>
      <c r="L82" s="1414">
        <f t="shared" si="37"/>
        <v>1</v>
      </c>
      <c r="M82" s="1416">
        <v>0</v>
      </c>
      <c r="N82" s="1415">
        <f t="shared" si="38"/>
        <v>2</v>
      </c>
      <c r="O82" s="1452">
        <f t="shared" si="20"/>
        <v>1.06</v>
      </c>
      <c r="P82" s="1452">
        <f t="shared" si="21"/>
        <v>8.48</v>
      </c>
      <c r="Q82" s="1452">
        <f t="shared" si="22"/>
        <v>1.54</v>
      </c>
      <c r="R82" s="1452">
        <f t="shared" si="23"/>
        <v>1.54</v>
      </c>
      <c r="S82" s="1462">
        <f t="shared" si="24"/>
        <v>1.06</v>
      </c>
      <c r="T82" s="1462">
        <f t="shared" si="25"/>
        <v>0</v>
      </c>
      <c r="U82" s="1462">
        <f t="shared" si="26"/>
        <v>0.82</v>
      </c>
      <c r="V82" s="1462">
        <f t="shared" si="27"/>
        <v>0</v>
      </c>
      <c r="W82" s="1469">
        <f t="shared" si="28"/>
        <v>1.06</v>
      </c>
      <c r="X82" s="1469">
        <f t="shared" si="29"/>
        <v>6.36</v>
      </c>
      <c r="Y82" s="1469">
        <f>IF($W$32="min",$D$105,IF($W$32="max",$E$105,"error"))</f>
        <v>0.82</v>
      </c>
      <c r="Z82" s="1469">
        <f t="shared" si="30"/>
        <v>1.64</v>
      </c>
      <c r="AA82" s="1418">
        <f t="shared" si="39"/>
        <v>2</v>
      </c>
      <c r="AB82" s="1457">
        <f t="shared" si="31"/>
        <v>12.02</v>
      </c>
      <c r="AC82" s="1462">
        <f t="shared" si="32"/>
        <v>2</v>
      </c>
      <c r="AD82" s="1469">
        <f t="shared" si="33"/>
        <v>10</v>
      </c>
      <c r="AE82" s="1475">
        <f t="shared" si="34"/>
        <v>12.02</v>
      </c>
      <c r="AG82" s="621">
        <f>ROW()</f>
        <v>82</v>
      </c>
    </row>
    <row r="83" spans="2:33" ht="13.2" customHeight="1">
      <c r="B83" s="1432" t="s">
        <v>1784</v>
      </c>
      <c r="C83" s="1434">
        <v>38449.400613425925</v>
      </c>
      <c r="D83" s="1435">
        <v>38449.401666666665</v>
      </c>
      <c r="E83" s="1435">
        <v>38449.401759259257</v>
      </c>
      <c r="F83" s="1436">
        <f t="shared" si="19"/>
        <v>1.1458333319751546E-3</v>
      </c>
      <c r="G83" s="1415">
        <v>24</v>
      </c>
      <c r="H83" s="1437">
        <v>10</v>
      </c>
      <c r="I83" s="1414">
        <f t="shared" si="35"/>
        <v>14</v>
      </c>
      <c r="J83" s="1415">
        <v>0</v>
      </c>
      <c r="K83" s="1415">
        <f t="shared" si="36"/>
        <v>10</v>
      </c>
      <c r="L83" s="1414">
        <f t="shared" si="37"/>
        <v>2</v>
      </c>
      <c r="M83" s="1416">
        <v>0</v>
      </c>
      <c r="N83" s="1415">
        <f t="shared" si="38"/>
        <v>8</v>
      </c>
      <c r="O83" s="1452">
        <f t="shared" si="20"/>
        <v>1.06</v>
      </c>
      <c r="P83" s="1452">
        <f t="shared" si="21"/>
        <v>14.84</v>
      </c>
      <c r="Q83" s="1452">
        <f t="shared" si="22"/>
        <v>1.54</v>
      </c>
      <c r="R83" s="1452">
        <f t="shared" si="23"/>
        <v>3.08</v>
      </c>
      <c r="S83" s="1462">
        <f t="shared" si="24"/>
        <v>1.06</v>
      </c>
      <c r="T83" s="1462">
        <f t="shared" si="25"/>
        <v>0</v>
      </c>
      <c r="U83" s="1462">
        <f t="shared" si="26"/>
        <v>0.82</v>
      </c>
      <c r="V83" s="1462">
        <f t="shared" si="27"/>
        <v>0</v>
      </c>
      <c r="W83" s="1469">
        <f t="shared" si="28"/>
        <v>1.06</v>
      </c>
      <c r="X83" s="1469">
        <f t="shared" si="29"/>
        <v>10.600000000000001</v>
      </c>
      <c r="Y83" s="1469">
        <f t="shared" ref="Y83:Y96" si="40">IF($W$75="min",$D$105,IF($W$75="max",$E$105,"error"))</f>
        <v>0.82</v>
      </c>
      <c r="Z83" s="1469">
        <f t="shared" si="30"/>
        <v>6.56</v>
      </c>
      <c r="AA83" s="1418">
        <f t="shared" si="39"/>
        <v>2</v>
      </c>
      <c r="AB83" s="1457">
        <f t="shared" si="31"/>
        <v>19.920000000000002</v>
      </c>
      <c r="AC83" s="1462">
        <f t="shared" si="32"/>
        <v>2</v>
      </c>
      <c r="AD83" s="1469">
        <f t="shared" si="33"/>
        <v>19.16</v>
      </c>
      <c r="AE83" s="1475">
        <f t="shared" si="34"/>
        <v>19.920000000000002</v>
      </c>
      <c r="AG83" s="621">
        <f>ROW()</f>
        <v>83</v>
      </c>
    </row>
    <row r="84" spans="2:33" ht="13.2" customHeight="1">
      <c r="B84" s="1432" t="s">
        <v>1785</v>
      </c>
      <c r="C84" s="1434">
        <v>38449.402870370373</v>
      </c>
      <c r="D84" s="1435">
        <v>38449.403969907406</v>
      </c>
      <c r="E84" s="1435">
        <v>38449.403993055559</v>
      </c>
      <c r="F84" s="1436">
        <f t="shared" si="19"/>
        <v>1.1226851856918074E-3</v>
      </c>
      <c r="G84" s="1415">
        <v>19</v>
      </c>
      <c r="H84" s="1437">
        <v>17</v>
      </c>
      <c r="I84" s="1414">
        <f t="shared" si="35"/>
        <v>11</v>
      </c>
      <c r="J84" s="1415">
        <v>0</v>
      </c>
      <c r="K84" s="1415">
        <f t="shared" si="36"/>
        <v>8</v>
      </c>
      <c r="L84" s="1414">
        <f t="shared" si="37"/>
        <v>3</v>
      </c>
      <c r="M84" s="1416">
        <v>0</v>
      </c>
      <c r="N84" s="1415">
        <f t="shared" si="38"/>
        <v>14</v>
      </c>
      <c r="O84" s="1452">
        <f t="shared" si="20"/>
        <v>1.06</v>
      </c>
      <c r="P84" s="1452">
        <f t="shared" si="21"/>
        <v>11.66</v>
      </c>
      <c r="Q84" s="1452">
        <f t="shared" si="22"/>
        <v>1.54</v>
      </c>
      <c r="R84" s="1452">
        <f t="shared" si="23"/>
        <v>4.62</v>
      </c>
      <c r="S84" s="1462">
        <f t="shared" si="24"/>
        <v>1.06</v>
      </c>
      <c r="T84" s="1462">
        <f t="shared" si="25"/>
        <v>0</v>
      </c>
      <c r="U84" s="1462">
        <f t="shared" si="26"/>
        <v>0.82</v>
      </c>
      <c r="V84" s="1462">
        <f t="shared" si="27"/>
        <v>0</v>
      </c>
      <c r="W84" s="1469">
        <f t="shared" si="28"/>
        <v>1.06</v>
      </c>
      <c r="X84" s="1469">
        <f t="shared" si="29"/>
        <v>8.48</v>
      </c>
      <c r="Y84" s="1469">
        <f t="shared" si="40"/>
        <v>0.82</v>
      </c>
      <c r="Z84" s="1469">
        <f t="shared" si="30"/>
        <v>11.479999999999999</v>
      </c>
      <c r="AA84" s="1418">
        <f t="shared" si="39"/>
        <v>2</v>
      </c>
      <c r="AB84" s="1457">
        <f t="shared" si="31"/>
        <v>18.28</v>
      </c>
      <c r="AC84" s="1462">
        <f t="shared" si="32"/>
        <v>2</v>
      </c>
      <c r="AD84" s="1469">
        <f t="shared" si="33"/>
        <v>21.96</v>
      </c>
      <c r="AE84" s="1475">
        <f t="shared" si="34"/>
        <v>21.96</v>
      </c>
      <c r="AG84" s="621">
        <f>ROW()</f>
        <v>84</v>
      </c>
    </row>
    <row r="85" spans="2:33" ht="13.2" customHeight="1">
      <c r="B85" s="1432" t="s">
        <v>1786</v>
      </c>
      <c r="C85" s="1434">
        <v>38449.405497685184</v>
      </c>
      <c r="D85" s="1435">
        <v>38449.407048611109</v>
      </c>
      <c r="E85" s="1435">
        <v>38449.407106481478</v>
      </c>
      <c r="F85" s="1436">
        <f t="shared" si="19"/>
        <v>1.6087962940218858E-3</v>
      </c>
      <c r="G85" s="1415">
        <v>23</v>
      </c>
      <c r="H85" s="1437">
        <v>30</v>
      </c>
      <c r="I85" s="1414">
        <f t="shared" si="35"/>
        <v>14</v>
      </c>
      <c r="J85" s="1415">
        <v>0</v>
      </c>
      <c r="K85" s="1415">
        <f t="shared" si="36"/>
        <v>9</v>
      </c>
      <c r="L85" s="1414">
        <f t="shared" si="37"/>
        <v>6</v>
      </c>
      <c r="M85" s="1416">
        <v>0</v>
      </c>
      <c r="N85" s="1415">
        <f t="shared" si="38"/>
        <v>24</v>
      </c>
      <c r="O85" s="1452">
        <f t="shared" si="20"/>
        <v>1.06</v>
      </c>
      <c r="P85" s="1452">
        <f t="shared" si="21"/>
        <v>14.84</v>
      </c>
      <c r="Q85" s="1452">
        <f t="shared" si="22"/>
        <v>1.54</v>
      </c>
      <c r="R85" s="1452">
        <f t="shared" si="23"/>
        <v>9.24</v>
      </c>
      <c r="S85" s="1462">
        <f t="shared" si="24"/>
        <v>1.06</v>
      </c>
      <c r="T85" s="1462">
        <f t="shared" si="25"/>
        <v>0</v>
      </c>
      <c r="U85" s="1462">
        <f t="shared" si="26"/>
        <v>0.82</v>
      </c>
      <c r="V85" s="1462">
        <f t="shared" si="27"/>
        <v>0</v>
      </c>
      <c r="W85" s="1469">
        <f t="shared" si="28"/>
        <v>1.06</v>
      </c>
      <c r="X85" s="1469">
        <f t="shared" si="29"/>
        <v>9.5400000000000009</v>
      </c>
      <c r="Y85" s="1469">
        <f t="shared" si="40"/>
        <v>0.82</v>
      </c>
      <c r="Z85" s="1469">
        <f t="shared" si="30"/>
        <v>19.68</v>
      </c>
      <c r="AA85" s="1418">
        <f t="shared" si="39"/>
        <v>2</v>
      </c>
      <c r="AB85" s="1457">
        <f t="shared" si="31"/>
        <v>26.08</v>
      </c>
      <c r="AC85" s="1462">
        <f t="shared" si="32"/>
        <v>2</v>
      </c>
      <c r="AD85" s="1469">
        <f t="shared" si="33"/>
        <v>31.22</v>
      </c>
      <c r="AE85" s="1475">
        <f t="shared" si="34"/>
        <v>31.22</v>
      </c>
      <c r="AG85" s="621">
        <f>ROW()</f>
        <v>85</v>
      </c>
    </row>
    <row r="86" spans="2:33" ht="13.2" customHeight="1">
      <c r="B86" s="1432" t="s">
        <v>1787</v>
      </c>
      <c r="C86" s="1434">
        <v>38449.410324074073</v>
      </c>
      <c r="D86" s="1435">
        <v>38449.410590277781</v>
      </c>
      <c r="E86" s="1435">
        <v>38449.410613425927</v>
      </c>
      <c r="F86" s="1436">
        <f t="shared" si="19"/>
        <v>2.8935185400769114E-4</v>
      </c>
      <c r="G86" s="1415">
        <v>3</v>
      </c>
      <c r="H86" s="1437">
        <v>5</v>
      </c>
      <c r="I86" s="1414">
        <f t="shared" si="35"/>
        <v>2</v>
      </c>
      <c r="J86" s="1415">
        <v>0</v>
      </c>
      <c r="K86" s="1415">
        <f t="shared" si="36"/>
        <v>1</v>
      </c>
      <c r="L86" s="1414">
        <f t="shared" si="37"/>
        <v>1</v>
      </c>
      <c r="M86" s="1416">
        <v>0</v>
      </c>
      <c r="N86" s="1415">
        <f t="shared" si="38"/>
        <v>4</v>
      </c>
      <c r="O86" s="1452">
        <f t="shared" si="20"/>
        <v>1.06</v>
      </c>
      <c r="P86" s="1452">
        <f t="shared" si="21"/>
        <v>2.12</v>
      </c>
      <c r="Q86" s="1452">
        <f t="shared" si="22"/>
        <v>1.54</v>
      </c>
      <c r="R86" s="1452">
        <f t="shared" si="23"/>
        <v>1.54</v>
      </c>
      <c r="S86" s="1462">
        <f t="shared" si="24"/>
        <v>1.06</v>
      </c>
      <c r="T86" s="1462">
        <f t="shared" si="25"/>
        <v>0</v>
      </c>
      <c r="U86" s="1462">
        <f t="shared" si="26"/>
        <v>0.82</v>
      </c>
      <c r="V86" s="1462">
        <f t="shared" si="27"/>
        <v>0</v>
      </c>
      <c r="W86" s="1469">
        <f t="shared" si="28"/>
        <v>1.06</v>
      </c>
      <c r="X86" s="1469">
        <f t="shared" si="29"/>
        <v>1.06</v>
      </c>
      <c r="Y86" s="1469">
        <f t="shared" si="40"/>
        <v>0.82</v>
      </c>
      <c r="Z86" s="1469">
        <f t="shared" si="30"/>
        <v>3.28</v>
      </c>
      <c r="AA86" s="1418">
        <f t="shared" si="39"/>
        <v>2</v>
      </c>
      <c r="AB86" s="1457">
        <f t="shared" si="31"/>
        <v>5.66</v>
      </c>
      <c r="AC86" s="1462">
        <f t="shared" si="32"/>
        <v>2</v>
      </c>
      <c r="AD86" s="1469">
        <f t="shared" si="33"/>
        <v>6.34</v>
      </c>
      <c r="AE86" s="1475">
        <f t="shared" si="34"/>
        <v>6.34</v>
      </c>
      <c r="AG86" s="621">
        <f>ROW()</f>
        <v>86</v>
      </c>
    </row>
    <row r="87" spans="2:33" ht="13.2" customHeight="1">
      <c r="B87" s="1432" t="s">
        <v>1788</v>
      </c>
      <c r="C87" s="1434">
        <v>38449.41443287037</v>
      </c>
      <c r="D87" s="1435">
        <v>38449.415092592593</v>
      </c>
      <c r="E87" s="1435">
        <v>38449.415162037039</v>
      </c>
      <c r="F87" s="1436">
        <f t="shared" si="19"/>
        <v>7.2916666977107525E-4</v>
      </c>
      <c r="G87" s="1415">
        <v>16</v>
      </c>
      <c r="H87" s="1437">
        <v>15</v>
      </c>
      <c r="I87" s="1414">
        <f t="shared" si="35"/>
        <v>10</v>
      </c>
      <c r="J87" s="1415">
        <v>0</v>
      </c>
      <c r="K87" s="1415">
        <f t="shared" si="36"/>
        <v>6</v>
      </c>
      <c r="L87" s="1414">
        <f t="shared" si="37"/>
        <v>3</v>
      </c>
      <c r="M87" s="1416">
        <v>0</v>
      </c>
      <c r="N87" s="1415">
        <f t="shared" si="38"/>
        <v>12</v>
      </c>
      <c r="O87" s="1452">
        <f t="shared" si="20"/>
        <v>1.06</v>
      </c>
      <c r="P87" s="1452">
        <f t="shared" si="21"/>
        <v>10.600000000000001</v>
      </c>
      <c r="Q87" s="1452">
        <f t="shared" si="22"/>
        <v>1.54</v>
      </c>
      <c r="R87" s="1452">
        <f t="shared" si="23"/>
        <v>4.62</v>
      </c>
      <c r="S87" s="1462">
        <f t="shared" si="24"/>
        <v>1.06</v>
      </c>
      <c r="T87" s="1462">
        <f t="shared" si="25"/>
        <v>0</v>
      </c>
      <c r="U87" s="1462">
        <f t="shared" si="26"/>
        <v>0.82</v>
      </c>
      <c r="V87" s="1462">
        <f t="shared" si="27"/>
        <v>0</v>
      </c>
      <c r="W87" s="1469">
        <f t="shared" si="28"/>
        <v>1.06</v>
      </c>
      <c r="X87" s="1469">
        <f t="shared" si="29"/>
        <v>6.36</v>
      </c>
      <c r="Y87" s="1469">
        <f t="shared" si="40"/>
        <v>0.82</v>
      </c>
      <c r="Z87" s="1469">
        <f t="shared" si="30"/>
        <v>9.84</v>
      </c>
      <c r="AA87" s="1418">
        <f t="shared" si="39"/>
        <v>2</v>
      </c>
      <c r="AB87" s="1457">
        <f t="shared" si="31"/>
        <v>17.220000000000002</v>
      </c>
      <c r="AC87" s="1462">
        <f t="shared" si="32"/>
        <v>2</v>
      </c>
      <c r="AD87" s="1469">
        <f t="shared" si="33"/>
        <v>18.2</v>
      </c>
      <c r="AE87" s="1475">
        <f t="shared" si="34"/>
        <v>18.2</v>
      </c>
      <c r="AG87" s="621">
        <f>ROW()</f>
        <v>87</v>
      </c>
    </row>
    <row r="88" spans="2:33" ht="13.2" customHeight="1">
      <c r="B88" s="1432" t="s">
        <v>1789</v>
      </c>
      <c r="C88" s="1434">
        <v>38449.417187500003</v>
      </c>
      <c r="D88" s="1435">
        <v>38449.417824074073</v>
      </c>
      <c r="E88" s="1435">
        <v>38449.41783564815</v>
      </c>
      <c r="F88" s="1436">
        <f t="shared" si="19"/>
        <v>6.4814814686542377E-4</v>
      </c>
      <c r="G88" s="1415">
        <v>7</v>
      </c>
      <c r="H88" s="1437">
        <v>13</v>
      </c>
      <c r="I88" s="1414">
        <f t="shared" si="35"/>
        <v>4</v>
      </c>
      <c r="J88" s="1415">
        <v>0</v>
      </c>
      <c r="K88" s="1415">
        <f t="shared" si="36"/>
        <v>3</v>
      </c>
      <c r="L88" s="1414">
        <f t="shared" si="37"/>
        <v>3</v>
      </c>
      <c r="M88" s="1416">
        <v>0</v>
      </c>
      <c r="N88" s="1415">
        <f t="shared" si="38"/>
        <v>10</v>
      </c>
      <c r="O88" s="1452">
        <f t="shared" si="20"/>
        <v>1.06</v>
      </c>
      <c r="P88" s="1452">
        <f t="shared" si="21"/>
        <v>4.24</v>
      </c>
      <c r="Q88" s="1452">
        <f t="shared" si="22"/>
        <v>1.54</v>
      </c>
      <c r="R88" s="1452">
        <f t="shared" si="23"/>
        <v>4.62</v>
      </c>
      <c r="S88" s="1462">
        <f t="shared" si="24"/>
        <v>1.06</v>
      </c>
      <c r="T88" s="1462">
        <f t="shared" si="25"/>
        <v>0</v>
      </c>
      <c r="U88" s="1462">
        <f t="shared" si="26"/>
        <v>0.82</v>
      </c>
      <c r="V88" s="1462">
        <f t="shared" si="27"/>
        <v>0</v>
      </c>
      <c r="W88" s="1469">
        <f t="shared" si="28"/>
        <v>1.06</v>
      </c>
      <c r="X88" s="1469">
        <f t="shared" si="29"/>
        <v>3.18</v>
      </c>
      <c r="Y88" s="1469">
        <f t="shared" si="40"/>
        <v>0.82</v>
      </c>
      <c r="Z88" s="1469">
        <f t="shared" si="30"/>
        <v>8.1999999999999993</v>
      </c>
      <c r="AA88" s="1418">
        <f t="shared" si="39"/>
        <v>2</v>
      </c>
      <c r="AB88" s="1457">
        <f t="shared" si="31"/>
        <v>10.86</v>
      </c>
      <c r="AC88" s="1462">
        <f t="shared" si="32"/>
        <v>2</v>
      </c>
      <c r="AD88" s="1469">
        <f t="shared" si="33"/>
        <v>13.379999999999999</v>
      </c>
      <c r="AE88" s="1475">
        <f t="shared" si="34"/>
        <v>13.379999999999999</v>
      </c>
      <c r="AG88" s="621">
        <f>ROW()</f>
        <v>88</v>
      </c>
    </row>
    <row r="89" spans="2:33" ht="13.2" customHeight="1">
      <c r="B89" s="1432" t="s">
        <v>1790</v>
      </c>
      <c r="C89" s="1434">
        <v>38449.419479166667</v>
      </c>
      <c r="D89" s="1435">
        <v>38449.41988425926</v>
      </c>
      <c r="E89" s="1435">
        <v>38449.419988425929</v>
      </c>
      <c r="F89" s="1436">
        <f t="shared" si="19"/>
        <v>5.092592618893832E-4</v>
      </c>
      <c r="G89" s="1415">
        <v>0</v>
      </c>
      <c r="H89" s="1437">
        <v>20</v>
      </c>
      <c r="I89" s="1414">
        <f t="shared" si="35"/>
        <v>0</v>
      </c>
      <c r="J89" s="1415">
        <v>0</v>
      </c>
      <c r="K89" s="1415">
        <f t="shared" si="36"/>
        <v>0</v>
      </c>
      <c r="L89" s="1414">
        <f t="shared" si="37"/>
        <v>4</v>
      </c>
      <c r="M89" s="1416">
        <v>0</v>
      </c>
      <c r="N89" s="1415">
        <f t="shared" si="38"/>
        <v>16</v>
      </c>
      <c r="O89" s="1452">
        <f t="shared" si="20"/>
        <v>1.06</v>
      </c>
      <c r="P89" s="1452">
        <f t="shared" si="21"/>
        <v>0</v>
      </c>
      <c r="Q89" s="1452">
        <f t="shared" si="22"/>
        <v>1.54</v>
      </c>
      <c r="R89" s="1452">
        <f t="shared" si="23"/>
        <v>6.16</v>
      </c>
      <c r="S89" s="1462">
        <f t="shared" si="24"/>
        <v>1.06</v>
      </c>
      <c r="T89" s="1462">
        <f t="shared" si="25"/>
        <v>0</v>
      </c>
      <c r="U89" s="1462">
        <f t="shared" si="26"/>
        <v>0.82</v>
      </c>
      <c r="V89" s="1462">
        <f t="shared" si="27"/>
        <v>0</v>
      </c>
      <c r="W89" s="1469">
        <f t="shared" si="28"/>
        <v>1.06</v>
      </c>
      <c r="X89" s="1469">
        <f t="shared" si="29"/>
        <v>0</v>
      </c>
      <c r="Y89" s="1469">
        <f t="shared" si="40"/>
        <v>0.82</v>
      </c>
      <c r="Z89" s="1469">
        <f t="shared" si="30"/>
        <v>13.12</v>
      </c>
      <c r="AA89" s="1418">
        <f t="shared" si="39"/>
        <v>2</v>
      </c>
      <c r="AB89" s="1457">
        <f t="shared" si="31"/>
        <v>8.16</v>
      </c>
      <c r="AC89" s="1462">
        <f t="shared" si="32"/>
        <v>2</v>
      </c>
      <c r="AD89" s="1469">
        <f t="shared" si="33"/>
        <v>15.12</v>
      </c>
      <c r="AE89" s="1475">
        <f t="shared" si="34"/>
        <v>15.12</v>
      </c>
      <c r="AG89" s="621">
        <f>ROW()</f>
        <v>89</v>
      </c>
    </row>
    <row r="90" spans="2:33" ht="13.2" customHeight="1">
      <c r="B90" s="1432" t="s">
        <v>1791</v>
      </c>
      <c r="C90" s="1434">
        <v>38449.420682870368</v>
      </c>
      <c r="D90" s="1435">
        <v>38449.421041666668</v>
      </c>
      <c r="E90" s="1435">
        <v>38449.421041666668</v>
      </c>
      <c r="F90" s="1436">
        <f t="shared" si="19"/>
        <v>3.5879630013369024E-4</v>
      </c>
      <c r="G90" s="1415">
        <v>3</v>
      </c>
      <c r="H90" s="1437">
        <v>7</v>
      </c>
      <c r="I90" s="1414">
        <f t="shared" si="35"/>
        <v>2</v>
      </c>
      <c r="J90" s="1415">
        <v>0</v>
      </c>
      <c r="K90" s="1415">
        <f t="shared" si="36"/>
        <v>1</v>
      </c>
      <c r="L90" s="1414">
        <f t="shared" si="37"/>
        <v>1</v>
      </c>
      <c r="M90" s="1416">
        <v>0</v>
      </c>
      <c r="N90" s="1415">
        <f t="shared" si="38"/>
        <v>6</v>
      </c>
      <c r="O90" s="1452">
        <f t="shared" si="20"/>
        <v>1.06</v>
      </c>
      <c r="P90" s="1452">
        <f t="shared" si="21"/>
        <v>2.12</v>
      </c>
      <c r="Q90" s="1452">
        <f t="shared" si="22"/>
        <v>1.54</v>
      </c>
      <c r="R90" s="1452">
        <f t="shared" si="23"/>
        <v>1.54</v>
      </c>
      <c r="S90" s="1462">
        <f t="shared" si="24"/>
        <v>1.06</v>
      </c>
      <c r="T90" s="1462">
        <f t="shared" si="25"/>
        <v>0</v>
      </c>
      <c r="U90" s="1462">
        <f t="shared" si="26"/>
        <v>0.82</v>
      </c>
      <c r="V90" s="1462">
        <f t="shared" si="27"/>
        <v>0</v>
      </c>
      <c r="W90" s="1469">
        <f t="shared" si="28"/>
        <v>1.06</v>
      </c>
      <c r="X90" s="1469">
        <f t="shared" si="29"/>
        <v>1.06</v>
      </c>
      <c r="Y90" s="1469">
        <f t="shared" si="40"/>
        <v>0.82</v>
      </c>
      <c r="Z90" s="1469">
        <f t="shared" si="30"/>
        <v>4.92</v>
      </c>
      <c r="AA90" s="1418">
        <f t="shared" si="39"/>
        <v>2</v>
      </c>
      <c r="AB90" s="1457">
        <f t="shared" si="31"/>
        <v>5.66</v>
      </c>
      <c r="AC90" s="1462">
        <f t="shared" si="32"/>
        <v>2</v>
      </c>
      <c r="AD90" s="1469">
        <f t="shared" si="33"/>
        <v>7.98</v>
      </c>
      <c r="AE90" s="1475">
        <f t="shared" si="34"/>
        <v>7.98</v>
      </c>
      <c r="AG90" s="621">
        <f>ROW()</f>
        <v>90</v>
      </c>
    </row>
    <row r="91" spans="2:33" ht="13.2" customHeight="1">
      <c r="B91" s="1432" t="s">
        <v>1792</v>
      </c>
      <c r="C91" s="1434">
        <v>38449.421701388892</v>
      </c>
      <c r="D91" s="1435">
        <v>38449.421863425923</v>
      </c>
      <c r="E91" s="1435">
        <v>38449.421886574077</v>
      </c>
      <c r="F91" s="1436">
        <f t="shared" si="19"/>
        <v>1.8518518481869251E-4</v>
      </c>
      <c r="G91" s="1415">
        <v>1</v>
      </c>
      <c r="H91" s="1437">
        <v>1</v>
      </c>
      <c r="I91" s="1414">
        <f t="shared" si="35"/>
        <v>1</v>
      </c>
      <c r="J91" s="1415">
        <v>0</v>
      </c>
      <c r="K91" s="1415">
        <f t="shared" si="36"/>
        <v>0</v>
      </c>
      <c r="L91" s="1414">
        <f t="shared" si="37"/>
        <v>0</v>
      </c>
      <c r="M91" s="1416">
        <v>0</v>
      </c>
      <c r="N91" s="1415">
        <f t="shared" si="38"/>
        <v>1</v>
      </c>
      <c r="O91" s="1452">
        <f t="shared" si="20"/>
        <v>1.06</v>
      </c>
      <c r="P91" s="1452">
        <f t="shared" si="21"/>
        <v>1.06</v>
      </c>
      <c r="Q91" s="1452">
        <f t="shared" si="22"/>
        <v>1.54</v>
      </c>
      <c r="R91" s="1452">
        <f t="shared" si="23"/>
        <v>0</v>
      </c>
      <c r="S91" s="1462">
        <f t="shared" si="24"/>
        <v>1.06</v>
      </c>
      <c r="T91" s="1462">
        <f t="shared" si="25"/>
        <v>0</v>
      </c>
      <c r="U91" s="1462">
        <f t="shared" si="26"/>
        <v>0.82</v>
      </c>
      <c r="V91" s="1462">
        <f t="shared" si="27"/>
        <v>0</v>
      </c>
      <c r="W91" s="1469">
        <f t="shared" si="28"/>
        <v>1.06</v>
      </c>
      <c r="X91" s="1469">
        <f t="shared" si="29"/>
        <v>0</v>
      </c>
      <c r="Y91" s="1469">
        <f t="shared" si="40"/>
        <v>0.82</v>
      </c>
      <c r="Z91" s="1469">
        <f t="shared" si="30"/>
        <v>0.82</v>
      </c>
      <c r="AA91" s="1418">
        <f t="shared" si="39"/>
        <v>2</v>
      </c>
      <c r="AB91" s="1457">
        <f t="shared" si="31"/>
        <v>3.06</v>
      </c>
      <c r="AC91" s="1462">
        <f t="shared" si="32"/>
        <v>2</v>
      </c>
      <c r="AD91" s="1469">
        <f t="shared" si="33"/>
        <v>2.82</v>
      </c>
      <c r="AE91" s="1475">
        <f t="shared" si="34"/>
        <v>3.06</v>
      </c>
      <c r="AG91" s="621">
        <f>ROW()</f>
        <v>91</v>
      </c>
    </row>
    <row r="92" spans="2:33" ht="13.2" customHeight="1">
      <c r="B92" s="1432" t="s">
        <v>1793</v>
      </c>
      <c r="C92" s="1434">
        <v>38449.422986111109</v>
      </c>
      <c r="D92" s="1435">
        <v>38449.423067129632</v>
      </c>
      <c r="E92" s="1435">
        <v>38449.423113425924</v>
      </c>
      <c r="F92" s="1436">
        <f t="shared" si="19"/>
        <v>1.273148154723458E-4</v>
      </c>
      <c r="G92" s="1415">
        <v>7</v>
      </c>
      <c r="H92" s="1437">
        <v>1</v>
      </c>
      <c r="I92" s="1414">
        <f t="shared" si="35"/>
        <v>4</v>
      </c>
      <c r="J92" s="1415">
        <v>0</v>
      </c>
      <c r="K92" s="1415">
        <f t="shared" si="36"/>
        <v>3</v>
      </c>
      <c r="L92" s="1414">
        <f t="shared" si="37"/>
        <v>0</v>
      </c>
      <c r="M92" s="1416">
        <v>0</v>
      </c>
      <c r="N92" s="1415">
        <f t="shared" si="38"/>
        <v>1</v>
      </c>
      <c r="O92" s="1452">
        <f t="shared" si="20"/>
        <v>1.06</v>
      </c>
      <c r="P92" s="1452">
        <f t="shared" si="21"/>
        <v>4.24</v>
      </c>
      <c r="Q92" s="1452">
        <f t="shared" si="22"/>
        <v>1.54</v>
      </c>
      <c r="R92" s="1452">
        <f t="shared" si="23"/>
        <v>0</v>
      </c>
      <c r="S92" s="1462">
        <f t="shared" si="24"/>
        <v>1.06</v>
      </c>
      <c r="T92" s="1462">
        <f t="shared" si="25"/>
        <v>0</v>
      </c>
      <c r="U92" s="1462">
        <f t="shared" si="26"/>
        <v>0.82</v>
      </c>
      <c r="V92" s="1462">
        <f t="shared" si="27"/>
        <v>0</v>
      </c>
      <c r="W92" s="1469">
        <f t="shared" si="28"/>
        <v>1.06</v>
      </c>
      <c r="X92" s="1469">
        <f t="shared" si="29"/>
        <v>3.18</v>
      </c>
      <c r="Y92" s="1469">
        <f t="shared" si="40"/>
        <v>0.82</v>
      </c>
      <c r="Z92" s="1469">
        <f t="shared" si="30"/>
        <v>0.82</v>
      </c>
      <c r="AA92" s="1418">
        <f t="shared" si="39"/>
        <v>2</v>
      </c>
      <c r="AB92" s="1457">
        <f t="shared" si="31"/>
        <v>6.24</v>
      </c>
      <c r="AC92" s="1462">
        <f t="shared" si="32"/>
        <v>2</v>
      </c>
      <c r="AD92" s="1469">
        <f t="shared" si="33"/>
        <v>6</v>
      </c>
      <c r="AE92" s="1475">
        <f t="shared" si="34"/>
        <v>6.24</v>
      </c>
      <c r="AG92" s="621">
        <f>ROW()</f>
        <v>92</v>
      </c>
    </row>
    <row r="93" spans="2:33" ht="13.2" customHeight="1">
      <c r="B93" s="1432" t="s">
        <v>1794</v>
      </c>
      <c r="C93" s="1434">
        <v>38449.424074074072</v>
      </c>
      <c r="D93" s="1435">
        <v>38449.424675925926</v>
      </c>
      <c r="E93" s="1435">
        <v>38449.424687500003</v>
      </c>
      <c r="F93" s="1436">
        <f t="shared" si="19"/>
        <v>6.1342593107838184E-4</v>
      </c>
      <c r="G93" s="1415">
        <v>0</v>
      </c>
      <c r="H93" s="1437">
        <v>15</v>
      </c>
      <c r="I93" s="1414">
        <f t="shared" si="35"/>
        <v>0</v>
      </c>
      <c r="J93" s="1415">
        <v>0</v>
      </c>
      <c r="K93" s="1415">
        <f t="shared" si="36"/>
        <v>0</v>
      </c>
      <c r="L93" s="1414">
        <f t="shared" si="37"/>
        <v>3</v>
      </c>
      <c r="M93" s="1416">
        <v>0</v>
      </c>
      <c r="N93" s="1415">
        <f t="shared" si="38"/>
        <v>12</v>
      </c>
      <c r="O93" s="1452">
        <f t="shared" si="20"/>
        <v>1.06</v>
      </c>
      <c r="P93" s="1452">
        <f t="shared" si="21"/>
        <v>0</v>
      </c>
      <c r="Q93" s="1452">
        <f t="shared" si="22"/>
        <v>1.54</v>
      </c>
      <c r="R93" s="1452">
        <f t="shared" si="23"/>
        <v>4.62</v>
      </c>
      <c r="S93" s="1462">
        <f t="shared" si="24"/>
        <v>1.06</v>
      </c>
      <c r="T93" s="1462">
        <f t="shared" si="25"/>
        <v>0</v>
      </c>
      <c r="U93" s="1462">
        <f t="shared" si="26"/>
        <v>0.82</v>
      </c>
      <c r="V93" s="1462">
        <f t="shared" si="27"/>
        <v>0</v>
      </c>
      <c r="W93" s="1469">
        <f t="shared" si="28"/>
        <v>1.06</v>
      </c>
      <c r="X93" s="1469">
        <f t="shared" si="29"/>
        <v>0</v>
      </c>
      <c r="Y93" s="1469">
        <f t="shared" si="40"/>
        <v>0.82</v>
      </c>
      <c r="Z93" s="1469">
        <f t="shared" si="30"/>
        <v>9.84</v>
      </c>
      <c r="AA93" s="1418">
        <f t="shared" si="39"/>
        <v>2</v>
      </c>
      <c r="AB93" s="1457">
        <f t="shared" si="31"/>
        <v>6.62</v>
      </c>
      <c r="AC93" s="1462">
        <f t="shared" si="32"/>
        <v>2</v>
      </c>
      <c r="AD93" s="1469">
        <f t="shared" si="33"/>
        <v>11.84</v>
      </c>
      <c r="AE93" s="1475">
        <f t="shared" si="34"/>
        <v>11.84</v>
      </c>
      <c r="AG93" s="621">
        <f>ROW()</f>
        <v>93</v>
      </c>
    </row>
    <row r="94" spans="2:33" ht="13.2" customHeight="1">
      <c r="B94" s="1432" t="s">
        <v>1795</v>
      </c>
      <c r="C94" s="1434">
        <v>38449.428020833337</v>
      </c>
      <c r="D94" s="1435">
        <v>38449.42827546296</v>
      </c>
      <c r="E94" s="1435">
        <v>38449.428287037037</v>
      </c>
      <c r="F94" s="1436">
        <f t="shared" si="19"/>
        <v>2.6620370044838637E-4</v>
      </c>
      <c r="G94" s="1415">
        <v>0</v>
      </c>
      <c r="H94" s="1437">
        <v>0</v>
      </c>
      <c r="I94" s="1414">
        <f t="shared" si="35"/>
        <v>0</v>
      </c>
      <c r="J94" s="1415">
        <v>0</v>
      </c>
      <c r="K94" s="1415">
        <f t="shared" si="36"/>
        <v>0</v>
      </c>
      <c r="L94" s="1414">
        <f t="shared" si="37"/>
        <v>0</v>
      </c>
      <c r="M94" s="1416">
        <v>0</v>
      </c>
      <c r="N94" s="1415">
        <f t="shared" si="38"/>
        <v>0</v>
      </c>
      <c r="O94" s="1452">
        <f t="shared" si="20"/>
        <v>1.06</v>
      </c>
      <c r="P94" s="1452">
        <f t="shared" si="21"/>
        <v>0</v>
      </c>
      <c r="Q94" s="1452">
        <f t="shared" si="22"/>
        <v>1.54</v>
      </c>
      <c r="R94" s="1452">
        <f t="shared" si="23"/>
        <v>0</v>
      </c>
      <c r="S94" s="1462">
        <f t="shared" si="24"/>
        <v>1.06</v>
      </c>
      <c r="T94" s="1462">
        <f t="shared" si="25"/>
        <v>0</v>
      </c>
      <c r="U94" s="1462">
        <f t="shared" si="26"/>
        <v>0.82</v>
      </c>
      <c r="V94" s="1462">
        <f t="shared" si="27"/>
        <v>0</v>
      </c>
      <c r="W94" s="1469">
        <f t="shared" si="28"/>
        <v>1.06</v>
      </c>
      <c r="X94" s="1469">
        <f t="shared" si="29"/>
        <v>0</v>
      </c>
      <c r="Y94" s="1469">
        <f t="shared" si="40"/>
        <v>0.82</v>
      </c>
      <c r="Z94" s="1469">
        <f t="shared" si="30"/>
        <v>0</v>
      </c>
      <c r="AA94" s="1418">
        <f t="shared" si="39"/>
        <v>2</v>
      </c>
      <c r="AB94" s="1457">
        <f t="shared" si="31"/>
        <v>2</v>
      </c>
      <c r="AC94" s="1462">
        <f t="shared" si="32"/>
        <v>2</v>
      </c>
      <c r="AD94" s="1469">
        <f t="shared" si="33"/>
        <v>2</v>
      </c>
      <c r="AE94" s="1475">
        <f t="shared" si="34"/>
        <v>2</v>
      </c>
      <c r="AG94" s="621">
        <f>ROW()</f>
        <v>94</v>
      </c>
    </row>
    <row r="95" spans="2:33" ht="13.2" customHeight="1">
      <c r="B95" s="1433" t="s">
        <v>1796</v>
      </c>
      <c r="C95" s="1438">
        <v>38449.428472222222</v>
      </c>
      <c r="D95" s="1439" t="s">
        <v>2547</v>
      </c>
      <c r="E95" s="1439">
        <v>38449.428877314815</v>
      </c>
      <c r="F95" s="1436">
        <f t="shared" si="19"/>
        <v>4.0509259270038456E-4</v>
      </c>
      <c r="G95" s="1440">
        <v>0</v>
      </c>
      <c r="H95" s="1437">
        <v>8</v>
      </c>
      <c r="I95" s="1414">
        <f t="shared" si="35"/>
        <v>0</v>
      </c>
      <c r="J95" s="1415">
        <v>0</v>
      </c>
      <c r="K95" s="1415">
        <f t="shared" si="36"/>
        <v>0</v>
      </c>
      <c r="L95" s="1414">
        <f t="shared" si="37"/>
        <v>2</v>
      </c>
      <c r="M95" s="1416">
        <v>0</v>
      </c>
      <c r="N95" s="1415">
        <f t="shared" si="38"/>
        <v>6</v>
      </c>
      <c r="O95" s="1452">
        <f t="shared" si="20"/>
        <v>1.06</v>
      </c>
      <c r="P95" s="1452">
        <f t="shared" si="21"/>
        <v>0</v>
      </c>
      <c r="Q95" s="1452">
        <f t="shared" si="22"/>
        <v>1.54</v>
      </c>
      <c r="R95" s="1452">
        <f t="shared" si="23"/>
        <v>3.08</v>
      </c>
      <c r="S95" s="1462">
        <f t="shared" si="24"/>
        <v>1.06</v>
      </c>
      <c r="T95" s="1462">
        <f t="shared" si="25"/>
        <v>0</v>
      </c>
      <c r="U95" s="1462">
        <f t="shared" si="26"/>
        <v>0.82</v>
      </c>
      <c r="V95" s="1462">
        <f t="shared" si="27"/>
        <v>0</v>
      </c>
      <c r="W95" s="1469">
        <f t="shared" si="28"/>
        <v>1.06</v>
      </c>
      <c r="X95" s="1469">
        <f t="shared" si="29"/>
        <v>0</v>
      </c>
      <c r="Y95" s="1469">
        <f t="shared" si="40"/>
        <v>0.82</v>
      </c>
      <c r="Z95" s="1469">
        <f t="shared" si="30"/>
        <v>4.92</v>
      </c>
      <c r="AA95" s="1418">
        <f t="shared" si="39"/>
        <v>2</v>
      </c>
      <c r="AB95" s="1457">
        <f t="shared" si="31"/>
        <v>5.08</v>
      </c>
      <c r="AC95" s="1462">
        <f t="shared" si="32"/>
        <v>2</v>
      </c>
      <c r="AD95" s="1469">
        <f t="shared" si="33"/>
        <v>6.92</v>
      </c>
      <c r="AE95" s="1475">
        <f t="shared" si="34"/>
        <v>6.92</v>
      </c>
      <c r="AG95" s="621">
        <f>ROW()</f>
        <v>95</v>
      </c>
    </row>
    <row r="96" spans="2:33" ht="13.2" customHeight="1">
      <c r="B96" s="1432" t="s">
        <v>1797</v>
      </c>
      <c r="C96" s="1434">
        <v>38449.429143518515</v>
      </c>
      <c r="D96" s="1435">
        <v>38449.429375</v>
      </c>
      <c r="E96" s="1435" t="s">
        <v>2548</v>
      </c>
      <c r="F96" s="1441">
        <f>D96-C96</f>
        <v>2.3148148466134444E-4</v>
      </c>
      <c r="G96" s="1415">
        <v>0</v>
      </c>
      <c r="H96" s="1437">
        <v>18</v>
      </c>
      <c r="I96" s="1414">
        <f t="shared" si="35"/>
        <v>0</v>
      </c>
      <c r="J96" s="1415">
        <v>0</v>
      </c>
      <c r="K96" s="1415">
        <f t="shared" si="36"/>
        <v>0</v>
      </c>
      <c r="L96" s="1414">
        <f t="shared" si="37"/>
        <v>4</v>
      </c>
      <c r="M96" s="1416">
        <v>0</v>
      </c>
      <c r="N96" s="1415">
        <f t="shared" si="38"/>
        <v>14</v>
      </c>
      <c r="O96" s="1452">
        <f t="shared" si="20"/>
        <v>1.06</v>
      </c>
      <c r="P96" s="1452">
        <f t="shared" si="21"/>
        <v>0</v>
      </c>
      <c r="Q96" s="1452">
        <f t="shared" si="22"/>
        <v>1.54</v>
      </c>
      <c r="R96" s="1452">
        <f t="shared" si="23"/>
        <v>6.16</v>
      </c>
      <c r="S96" s="1462">
        <f t="shared" si="24"/>
        <v>1.06</v>
      </c>
      <c r="T96" s="1462">
        <f t="shared" si="25"/>
        <v>0</v>
      </c>
      <c r="U96" s="1462">
        <f t="shared" si="26"/>
        <v>0.82</v>
      </c>
      <c r="V96" s="1462">
        <f t="shared" si="27"/>
        <v>0</v>
      </c>
      <c r="W96" s="1469">
        <f t="shared" si="28"/>
        <v>1.06</v>
      </c>
      <c r="X96" s="1469">
        <f t="shared" si="29"/>
        <v>0</v>
      </c>
      <c r="Y96" s="1469">
        <f t="shared" si="40"/>
        <v>0.82</v>
      </c>
      <c r="Z96" s="1469">
        <f t="shared" si="30"/>
        <v>11.479999999999999</v>
      </c>
      <c r="AA96" s="1418">
        <f t="shared" si="39"/>
        <v>2</v>
      </c>
      <c r="AB96" s="1457">
        <f t="shared" si="31"/>
        <v>8.16</v>
      </c>
      <c r="AC96" s="1462">
        <f t="shared" si="32"/>
        <v>2</v>
      </c>
      <c r="AD96" s="1469">
        <f t="shared" si="33"/>
        <v>13.479999999999999</v>
      </c>
      <c r="AE96" s="1475">
        <f t="shared" si="34"/>
        <v>13.479999999999999</v>
      </c>
      <c r="AG96" s="621">
        <f>ROW()</f>
        <v>96</v>
      </c>
    </row>
    <row r="97" spans="2:33" ht="13.2" customHeight="1">
      <c r="B97" s="1421" t="s">
        <v>1798</v>
      </c>
      <c r="C97" s="4887" t="s">
        <v>2549</v>
      </c>
      <c r="D97" s="4888"/>
      <c r="E97" s="1499">
        <f>D96-C77</f>
        <v>3.9085648146283347E-2</v>
      </c>
      <c r="F97" s="1476">
        <f t="shared" ref="F97:N97" si="41">SUM(F77:F96)</f>
        <v>1.1296296310320031E-2</v>
      </c>
      <c r="G97" s="1442">
        <f t="shared" si="41"/>
        <v>162</v>
      </c>
      <c r="H97" s="1443">
        <f t="shared" si="41"/>
        <v>165</v>
      </c>
      <c r="I97" s="1422">
        <f t="shared" si="41"/>
        <v>97</v>
      </c>
      <c r="J97" s="1423">
        <f t="shared" si="41"/>
        <v>0</v>
      </c>
      <c r="K97" s="1423">
        <f t="shared" si="41"/>
        <v>65</v>
      </c>
      <c r="L97" s="1424">
        <f t="shared" si="41"/>
        <v>33</v>
      </c>
      <c r="M97" s="1424">
        <f t="shared" si="41"/>
        <v>0</v>
      </c>
      <c r="N97" s="1425">
        <f t="shared" si="41"/>
        <v>132</v>
      </c>
      <c r="O97" s="1453"/>
      <c r="P97" s="1454">
        <f>SUM(P77:P96)</f>
        <v>102.82</v>
      </c>
      <c r="Q97" s="1455"/>
      <c r="R97" s="1454">
        <f>SUM(R77:R96)</f>
        <v>50.819999999999993</v>
      </c>
      <c r="S97" s="1463"/>
      <c r="T97" s="1464">
        <f>SUM(T77:T96)</f>
        <v>0</v>
      </c>
      <c r="U97" s="1465"/>
      <c r="V97" s="1464">
        <f>SUM(V77:V96)</f>
        <v>0</v>
      </c>
      <c r="W97" s="1470"/>
      <c r="X97" s="1471">
        <f>SUM(X77:X96)</f>
        <v>68.900000000000006</v>
      </c>
      <c r="Y97" s="1472"/>
      <c r="Z97" s="1471">
        <f>SUM(Z77:Z96)</f>
        <v>108.24000000000001</v>
      </c>
      <c r="AA97" s="1426"/>
      <c r="AB97" s="1458">
        <f>SUM(AB77:AB96)</f>
        <v>193.64000000000004</v>
      </c>
      <c r="AC97" s="1464">
        <f>SUM(AC77:AC96)</f>
        <v>40</v>
      </c>
      <c r="AD97" s="1471">
        <f>SUM(AD77:AD96)</f>
        <v>217.13999999999996</v>
      </c>
      <c r="AE97" s="1429">
        <f>SUM(AE77:AE96)</f>
        <v>228.29999999999998</v>
      </c>
      <c r="AG97" s="621">
        <f>ROW()</f>
        <v>97</v>
      </c>
    </row>
    <row r="98" spans="2:33" ht="13.2" customHeight="1" thickBot="1">
      <c r="B98" s="1421" t="s">
        <v>62</v>
      </c>
      <c r="C98" s="1478"/>
      <c r="D98" s="1479"/>
      <c r="E98" s="1480"/>
      <c r="F98" s="1496">
        <f>(TEXT(F97,"[s]")+0)</f>
        <v>976</v>
      </c>
      <c r="G98" s="1481"/>
      <c r="H98" s="1481"/>
      <c r="I98" s="1482"/>
      <c r="J98" s="1482"/>
      <c r="K98" s="1482"/>
      <c r="L98" s="1483"/>
      <c r="M98" s="1483"/>
      <c r="N98" s="1483"/>
      <c r="O98" s="1484"/>
      <c r="P98" s="1485"/>
      <c r="Q98" s="1486"/>
      <c r="R98" s="1485"/>
      <c r="S98" s="1487"/>
      <c r="T98" s="1488"/>
      <c r="U98" s="1487"/>
      <c r="V98" s="1488"/>
      <c r="W98" s="1489"/>
      <c r="X98" s="1490"/>
      <c r="Y98" s="1491"/>
      <c r="Z98" s="1490"/>
      <c r="AA98" s="1492"/>
      <c r="AB98" s="1493"/>
      <c r="AC98" s="1488"/>
      <c r="AD98" s="1494"/>
      <c r="AE98" s="1429">
        <f>AE97</f>
        <v>228.29999999999998</v>
      </c>
      <c r="AG98" s="621">
        <f>ROW()</f>
        <v>98</v>
      </c>
    </row>
    <row r="99" spans="2:33" ht="25.5" customHeight="1" thickBot="1">
      <c r="B99" s="1525" t="s">
        <v>2851</v>
      </c>
      <c r="C99" s="4903" t="s">
        <v>824</v>
      </c>
      <c r="D99" s="3833"/>
      <c r="E99" s="3922"/>
      <c r="F99" s="1789">
        <f>1-AE98/F98</f>
        <v>0.76608606557377046</v>
      </c>
      <c r="H99" s="1473"/>
      <c r="I99" s="4901" t="s">
        <v>1799</v>
      </c>
      <c r="J99" s="4901"/>
      <c r="K99" s="4901"/>
      <c r="L99" s="4901"/>
      <c r="M99" s="4901"/>
      <c r="N99" s="4901"/>
      <c r="O99" s="4901"/>
      <c r="P99" s="4901"/>
      <c r="Q99" s="4901"/>
      <c r="R99" s="4901"/>
      <c r="S99" s="4901"/>
      <c r="T99" s="4901"/>
      <c r="U99" s="4901"/>
      <c r="V99" s="4901"/>
      <c r="W99" s="4901"/>
      <c r="X99" s="4901"/>
      <c r="Y99" s="4901"/>
      <c r="Z99" s="4901"/>
      <c r="AA99" s="4901"/>
      <c r="AB99" s="4901"/>
      <c r="AC99" s="4901"/>
      <c r="AD99" s="4902"/>
      <c r="AE99" s="1430" t="str">
        <f>INT(AE97/60)&amp;" Minutes, "&amp;MOD(AE97,60)&amp;" Seconds"</f>
        <v>3 Minutes, 48.3 Seconds</v>
      </c>
      <c r="AG99" s="621">
        <f>ROW()</f>
        <v>99</v>
      </c>
    </row>
    <row r="100" spans="2:33" ht="13.2" customHeight="1">
      <c r="B100" s="1477"/>
      <c r="C100" s="1427"/>
      <c r="D100" s="1427"/>
      <c r="E100" s="1427"/>
      <c r="F100" s="1428"/>
      <c r="G100" s="1427"/>
      <c r="H100" s="1427"/>
      <c r="I100" s="4883" t="s">
        <v>2852</v>
      </c>
      <c r="J100" s="4884"/>
      <c r="K100" s="4884"/>
      <c r="L100" s="4884"/>
      <c r="M100" s="4884"/>
      <c r="N100" s="4884"/>
      <c r="O100" s="4885"/>
      <c r="P100" s="4886"/>
      <c r="Q100" s="4867" t="s">
        <v>1440</v>
      </c>
      <c r="R100" s="4868"/>
      <c r="S100" s="4868"/>
      <c r="T100" s="4868"/>
      <c r="U100" s="4868"/>
      <c r="V100" s="4868"/>
      <c r="W100" s="4868"/>
      <c r="X100" s="4868"/>
      <c r="Y100" s="4868"/>
      <c r="Z100" s="4868"/>
      <c r="AA100" s="4868"/>
      <c r="AB100" s="4868"/>
      <c r="AC100" s="4868"/>
      <c r="AD100" s="4869"/>
      <c r="AG100" s="621">
        <f>ROW()</f>
        <v>100</v>
      </c>
    </row>
    <row r="101" spans="2:33" ht="13.2" customHeight="1">
      <c r="B101" s="33" t="s">
        <v>2694</v>
      </c>
      <c r="F101" s="1427"/>
      <c r="G101" s="1427"/>
      <c r="H101" s="1427"/>
      <c r="I101" s="4870" t="s">
        <v>164</v>
      </c>
      <c r="J101" s="4870"/>
      <c r="K101" s="4870"/>
      <c r="L101" s="4870"/>
      <c r="M101" s="4870"/>
      <c r="N101" s="4870"/>
      <c r="O101" s="4870"/>
      <c r="P101" s="4870"/>
      <c r="Q101" s="4871" t="s">
        <v>2414</v>
      </c>
      <c r="R101" s="3828"/>
      <c r="S101" s="3828"/>
      <c r="T101" s="3828"/>
      <c r="U101" s="3828"/>
      <c r="V101" s="3828"/>
      <c r="W101" s="3828"/>
      <c r="X101" s="3828"/>
      <c r="Y101" s="3828"/>
      <c r="Z101" s="3828"/>
      <c r="AA101" s="3828"/>
      <c r="AB101" s="3828"/>
      <c r="AC101" s="3828"/>
      <c r="AD101" s="3828"/>
      <c r="AG101" s="621">
        <f>ROW()</f>
        <v>101</v>
      </c>
    </row>
    <row r="102" spans="2:33" ht="13.2" customHeight="1">
      <c r="D102" s="3" t="s">
        <v>2643</v>
      </c>
      <c r="E102" s="3" t="s">
        <v>1800</v>
      </c>
      <c r="F102" s="879"/>
      <c r="G102" s="879"/>
      <c r="H102" s="879"/>
      <c r="I102" s="3810"/>
      <c r="J102" s="3810"/>
      <c r="K102" s="3810"/>
      <c r="L102" s="3810"/>
      <c r="M102" s="3810"/>
      <c r="N102" s="3810"/>
      <c r="O102" s="3810"/>
      <c r="P102" s="3810"/>
      <c r="Q102" s="3779"/>
      <c r="R102" s="3779"/>
      <c r="S102" s="3779"/>
      <c r="T102" s="3779"/>
      <c r="U102" s="3779"/>
      <c r="V102" s="3779"/>
      <c r="W102" s="3779"/>
      <c r="X102" s="3779"/>
      <c r="Y102" s="3779"/>
      <c r="Z102" s="3779"/>
      <c r="AA102" s="3779"/>
      <c r="AB102" s="3779"/>
      <c r="AC102" s="3779"/>
      <c r="AD102" s="3779"/>
      <c r="AG102" s="621">
        <f>ROW()</f>
        <v>102</v>
      </c>
    </row>
    <row r="103" spans="2:33" ht="13.2" customHeight="1">
      <c r="B103" s="1779" t="s">
        <v>1801</v>
      </c>
      <c r="C103" s="4872" t="s">
        <v>2223</v>
      </c>
      <c r="D103" s="1780">
        <v>0.88</v>
      </c>
      <c r="E103" s="1781">
        <v>1.06</v>
      </c>
      <c r="G103" s="879"/>
      <c r="H103" s="879"/>
      <c r="I103" s="3810"/>
      <c r="J103" s="3810"/>
      <c r="K103" s="3810"/>
      <c r="L103" s="3810"/>
      <c r="M103" s="3810"/>
      <c r="N103" s="3810"/>
      <c r="O103" s="3810"/>
      <c r="P103" s="3810"/>
      <c r="Q103" s="3779"/>
      <c r="R103" s="3779"/>
      <c r="S103" s="3779"/>
      <c r="T103" s="3779"/>
      <c r="U103" s="3779"/>
      <c r="V103" s="3779"/>
      <c r="W103" s="3779"/>
      <c r="X103" s="3779"/>
      <c r="Y103" s="3779"/>
      <c r="Z103" s="3779"/>
      <c r="AA103" s="3779"/>
      <c r="AB103" s="3779"/>
      <c r="AC103" s="3779"/>
      <c r="AD103" s="3779"/>
      <c r="AG103" s="621">
        <f>ROW()</f>
        <v>103</v>
      </c>
    </row>
    <row r="104" spans="2:33" ht="13.2" customHeight="1">
      <c r="B104" s="1782" t="s">
        <v>1802</v>
      </c>
      <c r="C104" s="4873"/>
      <c r="D104" s="1783">
        <v>1.28</v>
      </c>
      <c r="E104" s="1784">
        <v>1.54</v>
      </c>
      <c r="G104" s="879"/>
      <c r="H104" s="879"/>
      <c r="K104" s="1775"/>
      <c r="L104" s="1227"/>
      <c r="M104" s="1227"/>
      <c r="N104" s="1227"/>
      <c r="O104" s="1227"/>
      <c r="P104" s="1227"/>
      <c r="Q104" s="3779"/>
      <c r="R104" s="3779"/>
      <c r="S104" s="3779"/>
      <c r="T104" s="3779"/>
      <c r="U104" s="3779"/>
      <c r="V104" s="3779"/>
      <c r="W104" s="3779"/>
      <c r="X104" s="3779"/>
      <c r="Y104" s="3779"/>
      <c r="Z104" s="3779"/>
      <c r="AA104" s="3779"/>
      <c r="AB104" s="3779"/>
      <c r="AC104" s="3779"/>
      <c r="AD104" s="3779"/>
      <c r="AG104" s="621">
        <f>ROW()</f>
        <v>104</v>
      </c>
    </row>
    <row r="105" spans="2:33" ht="13.2" customHeight="1">
      <c r="B105" s="1782" t="s">
        <v>1803</v>
      </c>
      <c r="C105" s="4873"/>
      <c r="D105" s="1783">
        <v>0.68</v>
      </c>
      <c r="E105" s="1784">
        <v>0.82</v>
      </c>
      <c r="G105" s="879"/>
      <c r="H105" s="879"/>
      <c r="I105" s="1508"/>
      <c r="J105" s="1775"/>
      <c r="K105" s="1775"/>
      <c r="L105" s="1227"/>
      <c r="M105" s="1227"/>
      <c r="N105" s="1227"/>
      <c r="O105" s="1227"/>
      <c r="P105" s="1227"/>
      <c r="Q105" s="3779"/>
      <c r="R105" s="3779"/>
      <c r="S105" s="3779"/>
      <c r="T105" s="3779"/>
      <c r="U105" s="3779"/>
      <c r="V105" s="3779"/>
      <c r="W105" s="3779"/>
      <c r="X105" s="3779"/>
      <c r="Y105" s="3779"/>
      <c r="Z105" s="3779"/>
      <c r="AA105" s="3779"/>
      <c r="AB105" s="3779"/>
      <c r="AC105" s="3779"/>
      <c r="AD105" s="3779"/>
      <c r="AG105" s="621">
        <f>ROW()</f>
        <v>105</v>
      </c>
    </row>
    <row r="106" spans="2:33" ht="13.2" customHeight="1">
      <c r="B106" s="1785" t="s">
        <v>1804</v>
      </c>
      <c r="C106" s="4874"/>
      <c r="D106" s="1786">
        <v>2</v>
      </c>
      <c r="E106" s="1787">
        <v>2</v>
      </c>
      <c r="G106" s="879"/>
      <c r="H106" s="1407"/>
      <c r="I106" s="4875" t="s">
        <v>2013</v>
      </c>
      <c r="J106" s="4878" t="s">
        <v>2012</v>
      </c>
      <c r="K106" s="4879"/>
      <c r="L106" s="1227"/>
      <c r="M106" s="1227"/>
      <c r="N106" s="1227"/>
      <c r="O106" s="1227"/>
      <c r="P106" s="1227"/>
      <c r="Q106" s="90"/>
      <c r="R106" s="90"/>
      <c r="S106" s="90"/>
      <c r="T106" s="90"/>
      <c r="U106" s="90"/>
      <c r="V106" s="90"/>
      <c r="W106" s="90"/>
      <c r="X106" s="90"/>
      <c r="Y106" s="90"/>
      <c r="Z106" s="90"/>
      <c r="AA106" s="90"/>
      <c r="AB106" s="90"/>
      <c r="AC106" s="90"/>
      <c r="AD106" s="90"/>
      <c r="AG106" s="621">
        <f>ROW()</f>
        <v>106</v>
      </c>
    </row>
    <row r="107" spans="2:33" ht="13.2" customHeight="1">
      <c r="B107" s="879"/>
      <c r="C107" s="879"/>
      <c r="D107" s="879"/>
      <c r="E107" s="879"/>
      <c r="F107" s="879"/>
      <c r="G107" s="879"/>
      <c r="H107" s="879"/>
      <c r="I107" s="4876"/>
      <c r="J107" s="3937"/>
      <c r="K107" s="4880"/>
      <c r="L107" s="879"/>
      <c r="M107" s="879"/>
      <c r="N107" s="879"/>
      <c r="O107" s="879"/>
      <c r="P107" s="879"/>
      <c r="Q107" s="90"/>
      <c r="R107" s="90"/>
      <c r="S107" s="90"/>
      <c r="T107" s="90"/>
      <c r="U107" s="90"/>
      <c r="V107" s="90"/>
      <c r="W107" s="90"/>
      <c r="X107" s="90"/>
      <c r="Y107" s="90"/>
      <c r="Z107" s="90"/>
      <c r="AA107" s="90"/>
      <c r="AB107" s="90"/>
      <c r="AC107" s="90"/>
      <c r="AD107" s="90"/>
      <c r="AG107" s="621">
        <f>ROW()</f>
        <v>107</v>
      </c>
    </row>
    <row r="108" spans="2:33" ht="13.2" customHeight="1">
      <c r="B108" s="853"/>
      <c r="C108" s="853"/>
      <c r="D108" s="853"/>
      <c r="E108" s="853"/>
      <c r="F108" s="853"/>
      <c r="G108" s="853"/>
      <c r="H108" s="853"/>
      <c r="I108" s="4876"/>
      <c r="J108" s="3937"/>
      <c r="K108" s="4880"/>
      <c r="L108" s="853"/>
      <c r="M108" s="853"/>
      <c r="N108" s="853"/>
      <c r="O108" s="853"/>
      <c r="P108" s="853"/>
      <c r="AG108" s="621">
        <f>ROW()</f>
        <v>108</v>
      </c>
    </row>
    <row r="109" spans="2:33" ht="13.2" customHeight="1">
      <c r="C109" s="172"/>
      <c r="D109" s="172"/>
      <c r="E109" s="172"/>
      <c r="F109" s="172"/>
      <c r="G109" s="172"/>
      <c r="H109" s="172"/>
      <c r="I109" s="4876"/>
      <c r="J109" s="3937"/>
      <c r="K109" s="4880"/>
      <c r="L109" s="853"/>
      <c r="M109" s="853"/>
      <c r="N109" s="853"/>
      <c r="O109" s="853"/>
      <c r="P109" s="853"/>
      <c r="AG109" s="621">
        <f>ROW()</f>
        <v>109</v>
      </c>
    </row>
    <row r="110" spans="2:33" ht="13.2" customHeight="1">
      <c r="C110" s="172"/>
      <c r="D110" s="172"/>
      <c r="E110" s="172"/>
      <c r="F110" s="172"/>
      <c r="G110" s="172"/>
      <c r="H110" s="172"/>
      <c r="I110" s="4876"/>
      <c r="J110" s="3937"/>
      <c r="K110" s="4880"/>
      <c r="L110" s="853"/>
      <c r="M110" s="853"/>
      <c r="N110" s="853"/>
      <c r="O110" s="853"/>
      <c r="P110" s="853"/>
      <c r="AG110" s="621">
        <f>ROW()</f>
        <v>110</v>
      </c>
    </row>
    <row r="111" spans="2:33" ht="13.2" customHeight="1">
      <c r="B111" s="172"/>
      <c r="C111" s="172"/>
      <c r="D111" s="172"/>
      <c r="E111" s="172"/>
      <c r="F111" s="172"/>
      <c r="G111" s="172"/>
      <c r="H111" s="172"/>
      <c r="I111" s="4876"/>
      <c r="J111" s="3937"/>
      <c r="K111" s="4880"/>
      <c r="L111" s="853"/>
      <c r="M111" s="853"/>
      <c r="N111" s="853"/>
      <c r="O111" s="853"/>
      <c r="P111" s="853"/>
      <c r="AG111" s="621">
        <f>ROW()</f>
        <v>111</v>
      </c>
    </row>
    <row r="112" spans="2:33" ht="13.2" customHeight="1">
      <c r="C112" s="321"/>
      <c r="D112" s="321"/>
      <c r="E112" s="321"/>
      <c r="F112" s="321"/>
      <c r="G112" s="321"/>
      <c r="H112" s="321"/>
      <c r="I112" s="4876"/>
      <c r="J112" s="3937"/>
      <c r="K112" s="4880"/>
      <c r="AG112" s="621">
        <f>ROW()</f>
        <v>112</v>
      </c>
    </row>
    <row r="113" spans="2:33" ht="13.2" customHeight="1">
      <c r="B113" s="508" t="s">
        <v>2011</v>
      </c>
      <c r="C113" s="314"/>
      <c r="D113" s="314"/>
      <c r="E113" s="314"/>
      <c r="F113" s="314"/>
      <c r="G113" s="314"/>
      <c r="H113" s="314"/>
      <c r="I113" s="4876"/>
      <c r="J113" s="3937"/>
      <c r="K113" s="4880"/>
      <c r="AG113" s="621">
        <f>ROW()</f>
        <v>113</v>
      </c>
    </row>
    <row r="114" spans="2:33" ht="13.2" customHeight="1">
      <c r="B114" s="316" t="s">
        <v>2565</v>
      </c>
      <c r="I114" s="4877"/>
      <c r="J114" s="3939"/>
      <c r="K114" s="4881"/>
      <c r="AG114" s="621">
        <f>ROW()</f>
        <v>114</v>
      </c>
    </row>
    <row r="115" spans="2:33" ht="13.2" customHeight="1">
      <c r="I115" s="1776" t="s">
        <v>2880</v>
      </c>
      <c r="J115" s="1777" t="s">
        <v>2881</v>
      </c>
      <c r="AG115" s="621">
        <f>ROW()</f>
        <v>115</v>
      </c>
    </row>
    <row r="116" spans="2:33" ht="13.2" customHeight="1">
      <c r="B116" s="308" t="s">
        <v>2467</v>
      </c>
      <c r="I116" s="886"/>
      <c r="J116" s="1505" t="s">
        <v>1800</v>
      </c>
      <c r="AG116" s="621">
        <f>ROW()</f>
        <v>116</v>
      </c>
    </row>
    <row r="117" spans="2:33" ht="13.2" customHeight="1">
      <c r="B117" s="214" t="str">
        <f>CONCATENATE("Total Observed Time for 'A' (in minutes and seconds, from Row ",AG97, ").")</f>
        <v>Total Observed Time for 'A' (in minutes and seconds, from Row 97).</v>
      </c>
      <c r="C117" s="214"/>
      <c r="D117" s="214"/>
      <c r="E117" s="214"/>
      <c r="F117" s="214"/>
      <c r="G117" s="214"/>
      <c r="H117" s="214"/>
      <c r="I117" s="1500">
        <f>E97</f>
        <v>3.9085648146283347E-2</v>
      </c>
      <c r="J117" s="280"/>
      <c r="M117" s="6"/>
      <c r="R117" s="113"/>
      <c r="S117" s="113"/>
      <c r="T117" s="113"/>
      <c r="U117" s="113"/>
      <c r="V117" s="113"/>
      <c r="AG117" s="621">
        <f>ROW()</f>
        <v>117</v>
      </c>
    </row>
    <row r="118" spans="2:33" ht="13.2" customHeight="1">
      <c r="B118" s="214" t="s">
        <v>2602</v>
      </c>
      <c r="C118" s="214"/>
      <c r="D118" s="214"/>
      <c r="E118" s="214"/>
      <c r="F118" s="214"/>
      <c r="G118" s="214"/>
      <c r="H118" s="214"/>
      <c r="I118" s="1501">
        <f>(TEXT(I117,"[s]")+0)</f>
        <v>3377</v>
      </c>
      <c r="J118" s="280"/>
      <c r="R118" s="113"/>
      <c r="S118" s="113"/>
      <c r="T118" s="113"/>
      <c r="U118" s="113"/>
      <c r="V118" s="113"/>
      <c r="AG118" s="621">
        <f>ROW()</f>
        <v>118</v>
      </c>
    </row>
    <row r="119" spans="2:33" ht="13.2" customHeight="1">
      <c r="B119" s="214" t="str">
        <f>CONCATENATE("Dwell Times (in minutes and seconds, also from Row ",AG97, ").")</f>
        <v>Dwell Times (in minutes and seconds, also from Row 97).</v>
      </c>
      <c r="C119" s="214"/>
      <c r="D119" s="214"/>
      <c r="E119" s="214"/>
      <c r="F119" s="214"/>
      <c r="G119" s="214"/>
      <c r="H119" s="214"/>
      <c r="I119" s="1500">
        <f>F97</f>
        <v>1.1296296310320031E-2</v>
      </c>
      <c r="J119" s="1502">
        <f>AE97/1440</f>
        <v>0.15854166666666666</v>
      </c>
      <c r="R119" s="113"/>
      <c r="S119" s="113"/>
      <c r="T119" s="113"/>
      <c r="U119" s="113"/>
      <c r="V119" s="113"/>
      <c r="AG119" s="621">
        <f>ROW()</f>
        <v>119</v>
      </c>
    </row>
    <row r="120" spans="2:33" ht="13.2" customHeight="1">
      <c r="B120" s="214" t="s">
        <v>2162</v>
      </c>
      <c r="C120" s="214"/>
      <c r="D120" s="214"/>
      <c r="E120" s="214"/>
      <c r="F120" s="214"/>
      <c r="G120" s="214"/>
      <c r="H120" s="214"/>
      <c r="I120" s="283">
        <f>F98</f>
        <v>976</v>
      </c>
      <c r="J120" s="221">
        <f>AE98</f>
        <v>228.29999999999998</v>
      </c>
      <c r="L120" s="281"/>
      <c r="M120" s="281"/>
      <c r="R120" s="113"/>
      <c r="S120" s="113"/>
      <c r="T120" s="113"/>
      <c r="U120" s="113"/>
      <c r="V120" s="113"/>
      <c r="AG120" s="621">
        <f>ROW()</f>
        <v>120</v>
      </c>
    </row>
    <row r="121" spans="2:33" ht="13.2" customHeight="1">
      <c r="B121" s="214" t="s">
        <v>2466</v>
      </c>
      <c r="C121" s="214"/>
      <c r="D121" s="214"/>
      <c r="E121" s="214"/>
      <c r="F121" s="214"/>
      <c r="G121" s="214"/>
      <c r="H121" s="214"/>
      <c r="I121" s="1503">
        <f>I120/I118</f>
        <v>0.28901391767841278</v>
      </c>
      <c r="J121" s="221"/>
      <c r="L121" s="281"/>
      <c r="M121" s="281"/>
      <c r="R121" s="113"/>
      <c r="S121" s="113"/>
      <c r="T121" s="113"/>
      <c r="U121" s="113"/>
      <c r="V121" s="113"/>
      <c r="AG121" s="621">
        <f>ROW()</f>
        <v>121</v>
      </c>
    </row>
    <row r="122" spans="2:33" ht="13.2" customHeight="1">
      <c r="B122" s="214" t="s">
        <v>820</v>
      </c>
      <c r="C122" s="214"/>
      <c r="D122" s="214"/>
      <c r="E122" s="214"/>
      <c r="F122" s="214"/>
      <c r="G122" s="214"/>
      <c r="H122" s="214"/>
      <c r="I122" s="219"/>
      <c r="J122" s="220">
        <f>$I120-J120</f>
        <v>747.7</v>
      </c>
      <c r="L122" s="281"/>
      <c r="M122" s="281"/>
      <c r="R122" s="113"/>
      <c r="S122" s="113"/>
      <c r="T122" s="113"/>
      <c r="U122" s="113"/>
      <c r="V122" s="113"/>
      <c r="AG122" s="621">
        <f>ROW()</f>
        <v>122</v>
      </c>
    </row>
    <row r="123" spans="2:33" ht="13.2" customHeight="1">
      <c r="B123" s="214" t="s">
        <v>819</v>
      </c>
      <c r="C123" s="214"/>
      <c r="D123" s="214"/>
      <c r="E123" s="214"/>
      <c r="F123" s="214"/>
      <c r="G123" s="214"/>
      <c r="H123" s="214"/>
      <c r="I123" s="34"/>
      <c r="J123" s="236">
        <f>J122/$I$120</f>
        <v>0.76608606557377057</v>
      </c>
      <c r="L123" s="281"/>
      <c r="M123" s="281"/>
      <c r="AG123" s="621">
        <f>ROW()</f>
        <v>123</v>
      </c>
    </row>
    <row r="124" spans="2:33" ht="13.2" customHeight="1">
      <c r="B124" s="214" t="str">
        <f>CONCATENATE("Implied Traveling Time in any scenario (in seconds; difference between Rows ",AG118, " and ",AG120, ").")</f>
        <v>Implied Traveling Time in any scenario (in seconds; difference between Rows 118 and 120).</v>
      </c>
      <c r="C124" s="214"/>
      <c r="D124" s="214"/>
      <c r="E124" s="214"/>
      <c r="F124" s="214"/>
      <c r="G124" s="214"/>
      <c r="H124" s="214"/>
      <c r="I124" s="220">
        <f>I118-I120</f>
        <v>2401</v>
      </c>
      <c r="J124" s="34"/>
      <c r="AG124" s="621">
        <f>ROW()</f>
        <v>124</v>
      </c>
    </row>
    <row r="125" spans="2:33" ht="13.2" customHeight="1">
      <c r="B125" s="1778" t="str">
        <f>CONCATENATE("% of Total Trip Time Eliminated by Saved Dwell Time (Row ",AG122, " 'B' Col. divided by Row ",AG118, " 'A' Col.)")</f>
        <v>% of Total Trip Time Eliminated by Saved Dwell Time (Row 122 'B' Col. divided by Row 118 'A' Col.)</v>
      </c>
      <c r="C125" s="1778"/>
      <c r="D125" s="1778"/>
      <c r="E125" s="1778"/>
      <c r="F125" s="1778"/>
      <c r="G125" s="1778"/>
      <c r="H125" s="1778"/>
      <c r="I125" s="34"/>
      <c r="J125" s="850">
        <f>J122/$I$118</f>
        <v>0.22140953509031686</v>
      </c>
      <c r="AG125" s="621">
        <f>ROW()</f>
        <v>125</v>
      </c>
    </row>
    <row r="126" spans="2:33" ht="13.2" customHeight="1">
      <c r="B126" s="213" t="str">
        <f>CONCATENATE("Implied Improvement in Bus Speeds (one less than reciprocal of complement of Row ",AG125, " figure)")</f>
        <v>Implied Improvement in Bus Speeds (one less than reciprocal of complement of Row 125 figure)</v>
      </c>
      <c r="C126" s="214"/>
      <c r="D126" s="214"/>
      <c r="E126" s="214"/>
      <c r="F126" s="214"/>
      <c r="G126" s="214"/>
      <c r="H126" s="214"/>
      <c r="I126" s="34"/>
      <c r="J126" s="258">
        <f>1/(1-J125)-1</f>
        <v>0.28437226638268753</v>
      </c>
      <c r="AG126" s="621">
        <f>ROW()</f>
        <v>126</v>
      </c>
    </row>
    <row r="127" spans="2:33" ht="13.2" customHeight="1">
      <c r="AG127" s="621">
        <f>ROW()</f>
        <v>127</v>
      </c>
    </row>
    <row r="128" spans="2:33" ht="13.2" customHeight="1">
      <c r="B128" s="308" t="s">
        <v>2340</v>
      </c>
      <c r="C128" s="321"/>
      <c r="D128" s="321"/>
      <c r="E128" s="321"/>
      <c r="F128" s="321"/>
      <c r="G128" s="321"/>
      <c r="H128" s="321"/>
      <c r="AG128" s="621">
        <f>ROW()</f>
        <v>128</v>
      </c>
    </row>
    <row r="129" spans="2:33" ht="13.2" customHeight="1">
      <c r="B129" s="316" t="s">
        <v>3565</v>
      </c>
      <c r="C129" s="321"/>
      <c r="D129" s="321"/>
      <c r="E129" s="321"/>
      <c r="F129" s="321"/>
      <c r="G129" s="321"/>
      <c r="H129" s="321"/>
      <c r="J129" s="249">
        <f ca="1">VMT!M22</f>
        <v>-4.3874818872748293E-2</v>
      </c>
      <c r="AG129" s="621">
        <f>ROW()</f>
        <v>129</v>
      </c>
    </row>
    <row r="130" spans="2:33" ht="13.2" customHeight="1">
      <c r="B130" s="214" t="s">
        <v>582</v>
      </c>
      <c r="C130" s="321"/>
      <c r="D130" s="321"/>
      <c r="E130" s="321"/>
      <c r="F130" s="321"/>
      <c r="G130" s="321"/>
      <c r="H130" s="321"/>
      <c r="J130" s="209">
        <v>0.75</v>
      </c>
      <c r="AG130" s="621">
        <f>ROW()</f>
        <v>130</v>
      </c>
    </row>
    <row r="131" spans="2:33" ht="13.2" customHeight="1">
      <c r="B131" s="214" t="s">
        <v>825</v>
      </c>
      <c r="C131" s="321"/>
      <c r="D131" s="321"/>
      <c r="E131" s="321"/>
      <c r="F131" s="321"/>
      <c r="G131" s="321"/>
      <c r="H131" s="321"/>
      <c r="J131" s="209">
        <v>0.5</v>
      </c>
      <c r="AG131" s="621">
        <f>ROW()</f>
        <v>131</v>
      </c>
    </row>
    <row r="132" spans="2:33" ht="13.2" customHeight="1">
      <c r="B132" s="214" t="str">
        <f>CONCATENATE("% Change in non-auto travel due to traffic plan selected (product of Rows ",AG129, " and ",AG131, ").")</f>
        <v>% Change in non-auto travel due to traffic plan selected (product of Rows 129 and 131).</v>
      </c>
      <c r="C132" s="321"/>
      <c r="D132" s="321"/>
      <c r="E132" s="321"/>
      <c r="F132" s="321"/>
      <c r="G132" s="321"/>
      <c r="H132" s="321"/>
      <c r="J132" s="603">
        <f ca="1">J129*J131</f>
        <v>-2.1937409436374147E-2</v>
      </c>
      <c r="AG132" s="621">
        <f>ROW()</f>
        <v>132</v>
      </c>
    </row>
    <row r="133" spans="2:33" ht="13.2" customHeight="1">
      <c r="B133" s="316" t="s">
        <v>3566</v>
      </c>
      <c r="C133" s="321"/>
      <c r="D133" s="321"/>
      <c r="E133" s="321"/>
      <c r="F133" s="321"/>
      <c r="G133" s="321"/>
      <c r="H133" s="321"/>
      <c r="J133" s="240">
        <f ca="1">J129*J130+J132*(1-J130)</f>
        <v>-3.8390466513654756E-2</v>
      </c>
      <c r="AG133" s="621">
        <f>ROW()</f>
        <v>133</v>
      </c>
    </row>
    <row r="134" spans="2:33" ht="13.2" customHeight="1">
      <c r="B134" s="316" t="s">
        <v>3567</v>
      </c>
      <c r="C134" s="214"/>
      <c r="D134" s="214"/>
      <c r="E134" s="214"/>
      <c r="F134" s="4860" t="s">
        <v>826</v>
      </c>
      <c r="G134" s="3833"/>
      <c r="H134" s="3833"/>
      <c r="J134" s="850">
        <f ca="1">-J133</f>
        <v>3.8390466513654756E-2</v>
      </c>
      <c r="K134" s="34"/>
      <c r="AG134" s="621">
        <f>ROW()</f>
        <v>134</v>
      </c>
    </row>
    <row r="135" spans="2:33" ht="13.2" customHeight="1">
      <c r="B135" s="214" t="str">
        <f>CONCATENATE("Saved Time (in seconds) from Reduced traffic (prior % x Row ",AG124,")")</f>
        <v>Saved Time (in seconds) from Reduced traffic (prior % x Row 124)</v>
      </c>
      <c r="C135" s="214"/>
      <c r="F135" s="3833"/>
      <c r="G135" s="3833"/>
      <c r="H135" s="3833"/>
      <c r="J135" s="283">
        <f ca="1">$J$134*$I$124</f>
        <v>92.175510099285063</v>
      </c>
      <c r="AG135" s="621">
        <f>ROW()</f>
        <v>135</v>
      </c>
    </row>
    <row r="136" spans="2:33" ht="13.2" customHeight="1">
      <c r="B136" s="214" t="str">
        <f>CONCATENATE("Travel Time w/ selected traffic plan VMT (in seconds) (Row ",AG124, " less Row ",AG135, ")")</f>
        <v>Travel Time w/ selected traffic plan VMT (in seconds) (Row 124 less Row 135)</v>
      </c>
      <c r="C136" s="214"/>
      <c r="J136" s="279">
        <f ca="1">$I$124-J135</f>
        <v>2308.824489900715</v>
      </c>
      <c r="AG136" s="621">
        <f>ROW()</f>
        <v>136</v>
      </c>
    </row>
    <row r="137" spans="2:33" ht="13.2" customHeight="1">
      <c r="B137" s="214" t="str">
        <f>CONCATENATE("Total Trip Time, in seconds, with traffic plan (sum of Rows ",AG136, " and ",AG120, ")")</f>
        <v>Total Trip Time, in seconds, with traffic plan (sum of Rows 136 and 120)</v>
      </c>
      <c r="C137" s="214"/>
      <c r="J137" s="220">
        <f ca="1">J120+J136</f>
        <v>2537.1244899007152</v>
      </c>
      <c r="AG137" s="621">
        <f>ROW()</f>
        <v>137</v>
      </c>
    </row>
    <row r="138" spans="2:33" ht="13.2" customHeight="1">
      <c r="B138" s="214" t="str">
        <f>CONCATENATE("Total Time Saved, in seconds, w/ traffic plan (difference betw Rows ",AG118, " and ",AG137, "; is also sum of Rows ",AG122, " and ",AG135,")")</f>
        <v>Total Time Saved, in seconds, w/ traffic plan (difference betw Rows 118 and 137; is also sum of Rows 122 and 135)</v>
      </c>
      <c r="C138" s="214"/>
      <c r="F138" s="214"/>
      <c r="I138" s="219"/>
      <c r="J138" s="220">
        <f ca="1">$I$118-J137</f>
        <v>839.87551009928484</v>
      </c>
      <c r="AG138" s="621">
        <f>ROW()</f>
        <v>138</v>
      </c>
    </row>
    <row r="139" spans="2:33" ht="13.2" customHeight="1">
      <c r="B139" s="213" t="s">
        <v>583</v>
      </c>
      <c r="C139" s="213"/>
      <c r="D139" s="213"/>
      <c r="E139" s="213"/>
      <c r="F139" s="213"/>
      <c r="G139" s="213"/>
      <c r="H139" s="213"/>
      <c r="I139" s="34"/>
      <c r="J139" s="1505">
        <f ca="1">J138/$I$118</f>
        <v>0.24870462247535827</v>
      </c>
      <c r="AG139" s="621">
        <f>ROW()</f>
        <v>139</v>
      </c>
    </row>
    <row r="140" spans="2:33" ht="13.2" customHeight="1">
      <c r="B140" s="213"/>
      <c r="C140" s="213"/>
      <c r="D140" s="213"/>
      <c r="E140" s="213"/>
      <c r="F140" s="213"/>
      <c r="G140" s="213"/>
      <c r="H140" s="213"/>
      <c r="I140" s="34"/>
      <c r="J140" s="1506"/>
      <c r="AG140" s="621">
        <f>ROW()</f>
        <v>140</v>
      </c>
    </row>
    <row r="141" spans="2:33" ht="13.2" customHeight="1">
      <c r="B141" s="508" t="s">
        <v>319</v>
      </c>
      <c r="C141" s="322"/>
      <c r="D141" s="322"/>
      <c r="E141" s="322"/>
      <c r="F141" s="322"/>
      <c r="G141" s="322"/>
      <c r="H141" s="322"/>
      <c r="I141" s="214"/>
      <c r="J141" s="214"/>
      <c r="P141" s="214"/>
      <c r="AG141" s="621">
        <f>ROW()</f>
        <v>141</v>
      </c>
    </row>
    <row r="142" spans="2:33" ht="13.2" customHeight="1">
      <c r="B142" s="1815" t="s">
        <v>4269</v>
      </c>
      <c r="C142" s="322"/>
      <c r="D142" s="322"/>
      <c r="E142" s="322"/>
      <c r="F142" s="322"/>
      <c r="G142" s="322"/>
      <c r="H142" s="322"/>
      <c r="I142" s="214"/>
      <c r="J142" s="214"/>
      <c r="P142" s="214"/>
      <c r="AG142" s="621">
        <f>ROW()</f>
        <v>142</v>
      </c>
    </row>
    <row r="143" spans="2:33" ht="13.2" customHeight="1">
      <c r="B143" s="213"/>
      <c r="C143" s="322"/>
      <c r="D143" s="322"/>
      <c r="E143" s="322"/>
      <c r="F143" s="322"/>
      <c r="G143" s="322"/>
      <c r="H143" s="322"/>
      <c r="I143" s="214"/>
      <c r="J143" s="214"/>
      <c r="P143" s="214"/>
      <c r="AG143" s="621">
        <f>ROW()</f>
        <v>143</v>
      </c>
    </row>
    <row r="144" spans="2:33" ht="13.2" customHeight="1">
      <c r="B144" s="214" t="str">
        <f>CONCATENATE("Percentage by which we elect to reduce the savings in dwell time shown in Row ",AG122, ", for conservatism")</f>
        <v>Percentage by which we elect to reduce the savings in dwell time shown in Row 122, for conservatism</v>
      </c>
      <c r="C144" s="214"/>
      <c r="D144" s="214"/>
      <c r="E144" s="214"/>
      <c r="F144" s="214"/>
      <c r="G144" s="214"/>
      <c r="H144" s="214"/>
      <c r="I144" s="281"/>
      <c r="J144" s="211">
        <v>0.2</v>
      </c>
      <c r="AG144" s="621">
        <f>ROW()</f>
        <v>144</v>
      </c>
    </row>
    <row r="145" spans="2:33" ht="13.2" customHeight="1">
      <c r="B145" s="214" t="str">
        <f>CONCATENATE("Adjusted savings in dwell time, seconds (product of Row ",AG122," and complement of Row ",AG144,")")</f>
        <v>Adjusted savings in dwell time, seconds (product of Row 122 and complement of Row 144)</v>
      </c>
      <c r="C145" s="214"/>
      <c r="D145" s="214"/>
      <c r="E145" s="214"/>
      <c r="F145" s="214"/>
      <c r="G145" s="214"/>
      <c r="H145" s="214"/>
      <c r="I145" s="281"/>
      <c r="J145" s="220">
        <f>IF('User Inputs'!J135=0,(1-J144)*J122,0)</f>
        <v>0</v>
      </c>
      <c r="AG145" s="621">
        <f>ROW()</f>
        <v>145</v>
      </c>
    </row>
    <row r="146" spans="2:33" ht="13.2" customHeight="1">
      <c r="B146" s="214" t="str">
        <f>CONCATENATE("Adjusted total savings in travel time (sum of Rows ",AG145, " and ",AG135, ")")</f>
        <v>Adjusted total savings in travel time (sum of Rows 145 and 135)</v>
      </c>
      <c r="C146" s="214"/>
      <c r="D146" s="214"/>
      <c r="E146" s="214"/>
      <c r="F146" s="214"/>
      <c r="G146" s="214"/>
      <c r="H146" s="214"/>
      <c r="I146" s="281"/>
      <c r="J146" s="220">
        <f ca="1">J145+J135</f>
        <v>92.175510099285063</v>
      </c>
      <c r="AG146" s="621">
        <f>ROW()</f>
        <v>146</v>
      </c>
    </row>
    <row r="147" spans="2:33" ht="13.2" customHeight="1">
      <c r="B147" s="213" t="s">
        <v>827</v>
      </c>
      <c r="C147" s="214"/>
      <c r="D147" s="214"/>
      <c r="E147" s="804"/>
      <c r="F147" s="804" t="str">
        <f>CONCATENATE("(Row ",AG146," divided by Row ",AG118,")")</f>
        <v>(Row 146 divided by Row 118)</v>
      </c>
      <c r="G147" s="214"/>
      <c r="H147" s="214"/>
      <c r="I147" s="214"/>
      <c r="J147" s="1505">
        <f ca="1">J146/$I$118</f>
        <v>2.7295087385041477E-2</v>
      </c>
      <c r="AG147" s="621">
        <f>ROW()</f>
        <v>147</v>
      </c>
    </row>
    <row r="148" spans="2:33" ht="13.2" customHeight="1">
      <c r="B148" s="213" t="s">
        <v>828</v>
      </c>
      <c r="C148" s="1504"/>
      <c r="D148" s="1504"/>
      <c r="E148" s="1504"/>
      <c r="F148" s="804" t="str">
        <f>CONCATENATE("(Row ",AG145," divided by Row ",AG118,")")</f>
        <v>(Row 145 divided by Row 118)</v>
      </c>
      <c r="G148" s="1504"/>
      <c r="H148" s="1504"/>
      <c r="I148" s="1504"/>
      <c r="J148" s="1505">
        <f>J145/$I$118</f>
        <v>0</v>
      </c>
      <c r="K148" s="1504"/>
      <c r="P148" s="1504"/>
      <c r="AG148" s="621">
        <f>ROW()</f>
        <v>148</v>
      </c>
    </row>
    <row r="149" spans="2:33" ht="13.2" customHeight="1">
      <c r="B149" s="1504"/>
      <c r="C149" s="1504"/>
      <c r="D149" s="1504"/>
      <c r="E149" s="1504"/>
      <c r="F149" s="1504"/>
      <c r="G149" s="1504"/>
      <c r="H149" s="1504"/>
      <c r="I149" s="1504"/>
      <c r="J149" s="1504"/>
      <c r="K149" s="1504"/>
      <c r="P149" s="1504"/>
      <c r="AG149" s="621">
        <f>ROW()</f>
        <v>149</v>
      </c>
    </row>
    <row r="150" spans="2:33" ht="13.2" customHeight="1">
      <c r="B150" s="309" t="s">
        <v>1575</v>
      </c>
      <c r="C150" s="884"/>
      <c r="D150" s="884"/>
      <c r="E150" s="884"/>
      <c r="F150" s="884"/>
      <c r="G150" s="884"/>
      <c r="H150" s="884"/>
      <c r="AG150" s="621">
        <f>ROW()</f>
        <v>150</v>
      </c>
    </row>
    <row r="151" spans="2:33" ht="13.2" customHeight="1">
      <c r="B151" s="214"/>
      <c r="AG151" s="621">
        <f>ROW()</f>
        <v>151</v>
      </c>
    </row>
    <row r="152" spans="2:33" ht="13.2" customHeight="1">
      <c r="B152" s="309" t="s">
        <v>1665</v>
      </c>
      <c r="C152" s="884"/>
      <c r="D152" s="884"/>
      <c r="E152" s="884"/>
      <c r="F152" s="884"/>
      <c r="G152" s="884"/>
      <c r="H152" s="884"/>
      <c r="AG152" s="621">
        <f>ROW()</f>
        <v>152</v>
      </c>
    </row>
    <row r="153" spans="2:33" ht="13.2" customHeight="1">
      <c r="B153" s="215" t="s">
        <v>1943</v>
      </c>
      <c r="C153" s="7"/>
      <c r="D153" s="7"/>
      <c r="E153" s="7"/>
      <c r="F153" s="7"/>
      <c r="G153" s="7"/>
      <c r="H153" s="7"/>
      <c r="AG153" s="621">
        <f>ROW()</f>
        <v>153</v>
      </c>
    </row>
  </sheetData>
  <customSheetViews>
    <customSheetView guid="{BD5E6263-A0AD-4076-921A-D4EBD62848EF}" showRuler="0">
      <selection activeCell="A26" sqref="A26"/>
      <pageMargins left="0.75" right="0.75" top="1" bottom="1" header="0.5" footer="0.5"/>
      <pageSetup orientation="portrait" r:id="rId1"/>
      <headerFooter alignWithMargins="0"/>
    </customSheetView>
    <customSheetView guid="{1D5AE30A-CA7C-4B32-AEA4-9F37A560AAA8}" showRuler="0">
      <selection activeCell="A26" sqref="A26"/>
      <pageMargins left="0.75" right="0.75" top="1" bottom="1" header="0.5" footer="0.5"/>
      <pageSetup orientation="portrait" r:id="rId2"/>
      <headerFooter alignWithMargins="0"/>
    </customSheetView>
  </customSheetViews>
  <mergeCells count="36">
    <mergeCell ref="I56:AD56"/>
    <mergeCell ref="I75:N75"/>
    <mergeCell ref="C97:D97"/>
    <mergeCell ref="C56:E56"/>
    <mergeCell ref="C99:E99"/>
    <mergeCell ref="B68:K71"/>
    <mergeCell ref="I58:P60"/>
    <mergeCell ref="I99:AD99"/>
    <mergeCell ref="O75:V75"/>
    <mergeCell ref="I57:P57"/>
    <mergeCell ref="Q57:AD57"/>
    <mergeCell ref="C73:H73"/>
    <mergeCell ref="I73:V73"/>
    <mergeCell ref="Q58:AD62"/>
    <mergeCell ref="C60:C63"/>
    <mergeCell ref="C54:D54"/>
    <mergeCell ref="C31:H31"/>
    <mergeCell ref="C30:H30"/>
    <mergeCell ref="B4:J7"/>
    <mergeCell ref="B22:J27"/>
    <mergeCell ref="I32:N32"/>
    <mergeCell ref="C32:H32"/>
    <mergeCell ref="I30:V30"/>
    <mergeCell ref="O32:V32"/>
    <mergeCell ref="B9:J14"/>
    <mergeCell ref="F134:H135"/>
    <mergeCell ref="C74:H74"/>
    <mergeCell ref="C75:H75"/>
    <mergeCell ref="Q100:AD100"/>
    <mergeCell ref="I101:P103"/>
    <mergeCell ref="Q101:AD105"/>
    <mergeCell ref="C103:C106"/>
    <mergeCell ref="I106:I114"/>
    <mergeCell ref="J106:K114"/>
    <mergeCell ref="V74:X74"/>
    <mergeCell ref="I100:P100"/>
  </mergeCells>
  <phoneticPr fontId="6" type="noConversion"/>
  <pageMargins left="0.75" right="0.75" top="1" bottom="1" header="0.5" footer="0.5"/>
  <pageSetup orientation="portrait" r:id="rId3"/>
  <headerFooter alignWithMargins="0"/>
  <drawing r:id="rId4"/>
</worksheet>
</file>

<file path=xl/worksheets/sheet28.xml><?xml version="1.0" encoding="utf-8"?>
<worksheet xmlns="http://schemas.openxmlformats.org/spreadsheetml/2006/main" xmlns:r="http://schemas.openxmlformats.org/officeDocument/2006/relationships">
  <sheetPr codeName="Sheet16"/>
  <dimension ref="A1:V247"/>
  <sheetViews>
    <sheetView showGridLines="0" showRuler="0" workbookViewId="0"/>
  </sheetViews>
  <sheetFormatPr defaultRowHeight="13.95" customHeight="1"/>
  <cols>
    <col min="1" max="1" width="2.75" customWidth="1"/>
    <col min="2" max="2" width="10" customWidth="1"/>
    <col min="3" max="3" width="11.625" customWidth="1"/>
    <col min="4" max="4" width="10.75" customWidth="1"/>
    <col min="5" max="5" width="8.75" customWidth="1"/>
    <col min="6" max="6" width="12.625" customWidth="1"/>
    <col min="7" max="7" width="10.875" customWidth="1"/>
    <col min="8" max="8" width="9.375" customWidth="1"/>
    <col min="9" max="9" width="10.125" customWidth="1"/>
    <col min="10" max="10" width="7.625" customWidth="1"/>
    <col min="13" max="13" width="6" customWidth="1"/>
    <col min="14" max="14" width="2" customWidth="1"/>
    <col min="15" max="15" width="7.125" customWidth="1"/>
    <col min="16" max="16" width="12.375" customWidth="1"/>
    <col min="17" max="17" width="12.125" customWidth="1"/>
    <col min="18" max="18" width="13" customWidth="1"/>
    <col min="19" max="19" width="2.625" customWidth="1"/>
    <col min="20" max="22" width="14.625" customWidth="1"/>
    <col min="23" max="24" width="12.75" customWidth="1"/>
  </cols>
  <sheetData>
    <row r="1" spans="2:22" ht="13.95" customHeight="1">
      <c r="N1" s="621">
        <f>ROW()</f>
        <v>1</v>
      </c>
    </row>
    <row r="2" spans="2:22" ht="13.95" customHeight="1">
      <c r="B2" s="115" t="s">
        <v>638</v>
      </c>
      <c r="E2" s="192">
        <f>'Title Page'!K1</f>
        <v>40914</v>
      </c>
      <c r="G2" s="4189" t="s">
        <v>1465</v>
      </c>
      <c r="H2" s="4911"/>
      <c r="I2" s="4907" t="s">
        <v>1206</v>
      </c>
      <c r="J2" s="4908"/>
      <c r="K2" s="4101"/>
      <c r="L2" s="4101"/>
      <c r="N2" s="621">
        <f>ROW()</f>
        <v>2</v>
      </c>
    </row>
    <row r="3" spans="2:22" ht="13.95" customHeight="1">
      <c r="B3" s="24"/>
      <c r="G3" s="739">
        <v>1</v>
      </c>
      <c r="H3" s="763">
        <f>'User Inputs'!J25</f>
        <v>3</v>
      </c>
      <c r="I3" s="4907"/>
      <c r="J3" s="4908"/>
      <c r="K3" s="4101"/>
      <c r="L3" s="4101"/>
      <c r="N3" s="621">
        <f>ROW()</f>
        <v>3</v>
      </c>
    </row>
    <row r="4" spans="2:22" ht="13.95" customHeight="1">
      <c r="B4" s="24"/>
      <c r="G4" s="739">
        <v>2</v>
      </c>
      <c r="H4" s="763">
        <f>'User Inputs'!J26</f>
        <v>7</v>
      </c>
      <c r="I4" s="4907"/>
      <c r="J4" s="4908"/>
      <c r="K4" s="4101"/>
      <c r="L4" s="4101"/>
      <c r="N4" s="621">
        <f>ROW()</f>
        <v>4</v>
      </c>
    </row>
    <row r="5" spans="2:22" ht="13.95" customHeight="1">
      <c r="G5" s="739">
        <v>3</v>
      </c>
      <c r="H5" s="763">
        <f>'User Inputs'!J27</f>
        <v>7</v>
      </c>
      <c r="I5" s="4907"/>
      <c r="J5" s="4908"/>
      <c r="K5" s="4101"/>
      <c r="L5" s="4101"/>
      <c r="N5" s="621">
        <f>ROW()</f>
        <v>5</v>
      </c>
    </row>
    <row r="6" spans="2:22" ht="13.95" customHeight="1">
      <c r="G6" s="739">
        <v>4</v>
      </c>
      <c r="H6" s="763">
        <f>'User Inputs'!J28</f>
        <v>9.5</v>
      </c>
      <c r="I6" s="4907"/>
      <c r="J6" s="4908"/>
      <c r="K6" s="4101"/>
      <c r="L6" s="4101"/>
      <c r="N6" s="621">
        <f>ROW()</f>
        <v>6</v>
      </c>
    </row>
    <row r="7" spans="2:22" ht="13.95" customHeight="1">
      <c r="G7" s="764">
        <v>5</v>
      </c>
      <c r="H7" s="765">
        <f>'User Inputs'!J29</f>
        <v>9.5</v>
      </c>
      <c r="I7" s="4907"/>
      <c r="J7" s="4908"/>
      <c r="K7" s="4101"/>
      <c r="L7" s="4101"/>
      <c r="N7" s="621">
        <f>ROW()</f>
        <v>7</v>
      </c>
    </row>
    <row r="8" spans="2:22" ht="13.95" customHeight="1">
      <c r="I8" s="665"/>
      <c r="J8" s="666"/>
      <c r="K8" s="663"/>
      <c r="L8" s="664"/>
      <c r="M8" s="664"/>
      <c r="N8" s="621">
        <f>ROW()</f>
        <v>8</v>
      </c>
    </row>
    <row r="9" spans="2:22" ht="13.95" customHeight="1">
      <c r="B9" s="308" t="s">
        <v>639</v>
      </c>
      <c r="I9" s="665"/>
      <c r="J9" s="666"/>
      <c r="K9" s="663"/>
      <c r="L9" s="664"/>
      <c r="M9" s="664"/>
      <c r="N9" s="621">
        <f>ROW()</f>
        <v>9</v>
      </c>
    </row>
    <row r="10" spans="2:22" ht="13.95" customHeight="1">
      <c r="N10" s="621">
        <f>ROW()</f>
        <v>10</v>
      </c>
    </row>
    <row r="11" spans="2:22" ht="13.95" customHeight="1">
      <c r="B11" s="280" t="s">
        <v>544</v>
      </c>
      <c r="C11" s="280"/>
      <c r="D11" s="280"/>
      <c r="E11" s="280"/>
      <c r="F11" s="280"/>
      <c r="G11" s="280"/>
      <c r="H11" s="280"/>
      <c r="I11" s="280"/>
      <c r="J11" s="280"/>
      <c r="K11" s="280"/>
      <c r="N11" s="621">
        <f>ROW()</f>
        <v>11</v>
      </c>
    </row>
    <row r="12" spans="2:22" ht="13.95" customHeight="1">
      <c r="N12" s="621">
        <f>ROW()</f>
        <v>12</v>
      </c>
    </row>
    <row r="13" spans="2:22" ht="13.95" customHeight="1">
      <c r="B13" s="24" t="s">
        <v>2558</v>
      </c>
      <c r="N13" s="621">
        <f>ROW()</f>
        <v>13</v>
      </c>
      <c r="P13" s="4910" t="s">
        <v>2381</v>
      </c>
      <c r="Q13" s="4910"/>
      <c r="R13" s="4910"/>
      <c r="S13" s="4910"/>
      <c r="T13" s="4910"/>
      <c r="U13" s="4910"/>
      <c r="V13" s="4910"/>
    </row>
    <row r="14" spans="2:22" ht="13.95" customHeight="1">
      <c r="B14" s="323" t="s">
        <v>2525</v>
      </c>
      <c r="N14" s="621">
        <f>ROW()</f>
        <v>14</v>
      </c>
      <c r="P14" s="914"/>
      <c r="Q14" s="914"/>
      <c r="R14" s="914"/>
      <c r="S14" s="86"/>
      <c r="T14" s="86"/>
      <c r="U14" s="86"/>
      <c r="V14" s="86"/>
    </row>
    <row r="15" spans="2:22" ht="13.95" customHeight="1">
      <c r="N15" s="621">
        <f>ROW()</f>
        <v>15</v>
      </c>
      <c r="S15" s="86"/>
      <c r="T15" s="86"/>
      <c r="U15" s="86"/>
      <c r="V15" s="86"/>
    </row>
    <row r="16" spans="2:22" ht="13.95" customHeight="1">
      <c r="B16" s="308" t="s">
        <v>784</v>
      </c>
      <c r="N16" s="621">
        <f>ROW()</f>
        <v>16</v>
      </c>
      <c r="S16" s="86"/>
      <c r="T16" s="86"/>
      <c r="U16" s="86"/>
      <c r="V16" s="86"/>
    </row>
    <row r="17" spans="2:22" ht="13.95" customHeight="1">
      <c r="N17" s="621">
        <f>ROW()</f>
        <v>17</v>
      </c>
      <c r="T17" s="3819" t="s">
        <v>2333</v>
      </c>
      <c r="U17" s="3678"/>
      <c r="V17" s="3679"/>
    </row>
    <row r="18" spans="2:22" ht="13.95" customHeight="1">
      <c r="B18" s="309" t="s">
        <v>73</v>
      </c>
      <c r="C18" s="309"/>
      <c r="D18" s="309"/>
      <c r="E18" s="309"/>
      <c r="F18" s="309"/>
      <c r="G18" s="309"/>
      <c r="H18" s="309"/>
      <c r="I18" s="309"/>
      <c r="J18" s="309"/>
      <c r="K18" s="309"/>
      <c r="L18" s="309"/>
      <c r="N18" s="621">
        <f>ROW()</f>
        <v>18</v>
      </c>
      <c r="P18" s="609"/>
      <c r="Q18" s="647" t="s">
        <v>2065</v>
      </c>
      <c r="R18" s="600" t="s">
        <v>1067</v>
      </c>
      <c r="T18" s="3680"/>
      <c r="U18" s="3681"/>
      <c r="V18" s="3682"/>
    </row>
    <row r="19" spans="2:22" ht="13.95" customHeight="1">
      <c r="B19" s="215" t="s">
        <v>3870</v>
      </c>
      <c r="C19" s="309"/>
      <c r="D19" s="309"/>
      <c r="E19" s="309"/>
      <c r="F19" s="309"/>
      <c r="G19" s="309"/>
      <c r="H19" s="309"/>
      <c r="I19" s="309"/>
      <c r="J19" s="309"/>
      <c r="K19" s="309"/>
      <c r="L19" s="309"/>
      <c r="N19" s="621">
        <f>ROW()</f>
        <v>19</v>
      </c>
      <c r="P19" s="571" t="s">
        <v>1472</v>
      </c>
      <c r="Q19" s="643">
        <v>0.4</v>
      </c>
      <c r="R19" s="644">
        <v>2</v>
      </c>
      <c r="T19" s="3680"/>
      <c r="U19" s="3681"/>
      <c r="V19" s="3682"/>
    </row>
    <row r="20" spans="2:22" ht="13.95" customHeight="1">
      <c r="B20" s="627"/>
      <c r="N20" s="621">
        <f>ROW()</f>
        <v>20</v>
      </c>
      <c r="P20" s="571" t="s">
        <v>615</v>
      </c>
      <c r="Q20" s="643">
        <v>1.5</v>
      </c>
      <c r="R20" s="644">
        <v>1</v>
      </c>
      <c r="T20" s="3680"/>
      <c r="U20" s="3681"/>
      <c r="V20" s="3682"/>
    </row>
    <row r="21" spans="2:22" ht="13.95" customHeight="1">
      <c r="J21" s="20" t="s">
        <v>2065</v>
      </c>
      <c r="K21" s="20" t="s">
        <v>2066</v>
      </c>
      <c r="L21" s="20" t="s">
        <v>1067</v>
      </c>
      <c r="N21" s="621">
        <f>ROW()</f>
        <v>21</v>
      </c>
      <c r="P21" s="571" t="s">
        <v>2445</v>
      </c>
      <c r="Q21" s="643">
        <v>1.6</v>
      </c>
      <c r="R21" s="644">
        <v>0.6</v>
      </c>
      <c r="T21" s="3680"/>
      <c r="U21" s="3681"/>
      <c r="V21" s="3682"/>
    </row>
    <row r="22" spans="2:22" ht="13.95" customHeight="1">
      <c r="B22" s="280" t="s">
        <v>1066</v>
      </c>
      <c r="J22" s="642">
        <f>'Motor Vs'!I76/(SUM('Motor Vs'!$I$76:$K$76))</f>
        <v>0.45644858524752574</v>
      </c>
      <c r="K22" s="642">
        <f>'Motor Vs'!J76/(SUM('Motor Vs'!$I$76:$K$76))</f>
        <v>0.32103832574723851</v>
      </c>
      <c r="L22" s="642">
        <f>'Motor Vs'!K76/(SUM('Motor Vs'!$I$76:$K$76))</f>
        <v>0.22251308900523564</v>
      </c>
      <c r="N22" s="621">
        <f>ROW()</f>
        <v>22</v>
      </c>
      <c r="P22" s="571" t="s">
        <v>616</v>
      </c>
      <c r="Q22" s="643">
        <v>1.3</v>
      </c>
      <c r="R22" s="644">
        <v>0.6</v>
      </c>
      <c r="T22" s="3680"/>
      <c r="U22" s="3681"/>
      <c r="V22" s="3682"/>
    </row>
    <row r="23" spans="2:22" ht="13.95" customHeight="1">
      <c r="B23" s="309" t="s">
        <v>2121</v>
      </c>
      <c r="N23" s="621">
        <f>ROW()</f>
        <v>23</v>
      </c>
      <c r="P23" s="571" t="s">
        <v>1152</v>
      </c>
      <c r="Q23" s="643">
        <v>1.1000000000000001</v>
      </c>
      <c r="R23" s="644">
        <v>0.8</v>
      </c>
      <c r="T23" s="3680"/>
      <c r="U23" s="3681"/>
      <c r="V23" s="3682"/>
    </row>
    <row r="24" spans="2:22" ht="13.95" customHeight="1">
      <c r="N24" s="621">
        <f>ROW()</f>
        <v>24</v>
      </c>
      <c r="P24" s="571" t="s">
        <v>1151</v>
      </c>
      <c r="Q24" s="643">
        <v>0.75</v>
      </c>
      <c r="R24" s="644">
        <v>1</v>
      </c>
      <c r="T24" s="3680"/>
      <c r="U24" s="3681"/>
      <c r="V24" s="3682"/>
    </row>
    <row r="25" spans="2:22" ht="13.95" customHeight="1">
      <c r="B25" s="308" t="s">
        <v>36</v>
      </c>
      <c r="K25" s="308" t="s">
        <v>2902</v>
      </c>
      <c r="N25" s="621">
        <f>ROW()</f>
        <v>25</v>
      </c>
      <c r="P25" s="572" t="s">
        <v>617</v>
      </c>
      <c r="Q25" s="645">
        <v>0.6</v>
      </c>
      <c r="R25" s="646">
        <v>1.5</v>
      </c>
      <c r="T25" s="3683"/>
      <c r="U25" s="3684"/>
      <c r="V25" s="3685"/>
    </row>
    <row r="26" spans="2:22" ht="13.95" customHeight="1">
      <c r="B26" s="4365" t="str">
        <f>CONCATENATE("These columns show inbound hourly volumes into Manhattan (from source in Row ",N18, "). We also group the hours by volume and assign toll rates to each grouping.")</f>
        <v>These columns show inbound hourly volumes into Manhattan (from source in Row 18). We also group the hours by volume and assign toll rates to each grouping.</v>
      </c>
      <c r="C26" s="4187"/>
      <c r="D26" s="4187"/>
      <c r="E26" s="4187"/>
      <c r="F26" s="4187"/>
      <c r="G26" s="4187"/>
      <c r="H26" s="4187"/>
      <c r="I26" s="4187"/>
      <c r="K26" s="4838" t="str">
        <f>CONCATENATE("These cols. are also from Row ",N18," source.")</f>
        <v>These cols. are also from Row 18 source.</v>
      </c>
      <c r="L26" s="4254"/>
      <c r="N26" s="621">
        <f>ROW()</f>
        <v>26</v>
      </c>
      <c r="S26" s="159"/>
      <c r="T26" s="4147"/>
      <c r="U26" s="4147"/>
      <c r="V26" s="4147"/>
    </row>
    <row r="27" spans="2:22" ht="13.95" customHeight="1">
      <c r="B27" s="4187"/>
      <c r="C27" s="4187"/>
      <c r="D27" s="4187"/>
      <c r="E27" s="4187"/>
      <c r="F27" s="4187"/>
      <c r="G27" s="4187"/>
      <c r="H27" s="4187"/>
      <c r="I27" s="4187"/>
      <c r="K27" s="4254"/>
      <c r="L27" s="4254"/>
      <c r="N27" s="621">
        <f>ROW()</f>
        <v>27</v>
      </c>
      <c r="P27" s="7" t="s">
        <v>1070</v>
      </c>
      <c r="Q27" s="7" t="s">
        <v>1069</v>
      </c>
      <c r="R27" s="7" t="s">
        <v>1071</v>
      </c>
      <c r="S27" s="7"/>
      <c r="T27" s="4912" t="s">
        <v>476</v>
      </c>
      <c r="U27" s="4912"/>
      <c r="V27" s="4913"/>
    </row>
    <row r="28" spans="2:22" ht="13.95" customHeight="1">
      <c r="B28" s="217"/>
      <c r="C28" s="217"/>
      <c r="D28" s="217"/>
      <c r="E28" s="217"/>
      <c r="F28" s="217"/>
      <c r="G28" s="4909" t="s">
        <v>1018</v>
      </c>
      <c r="H28" s="3781"/>
      <c r="I28" s="3781"/>
      <c r="J28" s="3781"/>
      <c r="K28" s="142"/>
      <c r="L28" s="142"/>
      <c r="N28" s="621">
        <f>ROW()</f>
        <v>28</v>
      </c>
      <c r="P28" s="7"/>
      <c r="Q28" s="7"/>
      <c r="R28" s="7"/>
      <c r="S28" s="7"/>
      <c r="T28" s="4912"/>
      <c r="U28" s="4912"/>
      <c r="V28" s="4913"/>
    </row>
    <row r="29" spans="2:22" ht="15.6" customHeight="1">
      <c r="B29" s="4914" t="s">
        <v>817</v>
      </c>
      <c r="G29" s="3781"/>
      <c r="H29" s="3781"/>
      <c r="I29" s="3781"/>
      <c r="J29" s="3781"/>
      <c r="N29" s="621">
        <f>ROW()</f>
        <v>29</v>
      </c>
      <c r="O29" s="22">
        <f>SUM(P29:R29)</f>
        <v>0.99999999999999978</v>
      </c>
      <c r="P29" s="642">
        <f>J22</f>
        <v>0.45644858524752574</v>
      </c>
      <c r="Q29" s="642">
        <f>K22</f>
        <v>0.32103832574723851</v>
      </c>
      <c r="R29" s="642">
        <f>L22</f>
        <v>0.22251308900523564</v>
      </c>
      <c r="S29" s="564"/>
      <c r="T29" s="4912"/>
      <c r="U29" s="4912"/>
      <c r="V29" s="4913"/>
    </row>
    <row r="30" spans="2:22" ht="23.4" customHeight="1">
      <c r="B30" s="4521"/>
      <c r="C30" s="343" t="s">
        <v>1366</v>
      </c>
      <c r="D30" s="343" t="s">
        <v>785</v>
      </c>
      <c r="E30" s="343" t="s">
        <v>786</v>
      </c>
      <c r="F30" s="343" t="s">
        <v>1471</v>
      </c>
      <c r="G30" s="343" t="s">
        <v>2530</v>
      </c>
      <c r="H30" s="343" t="s">
        <v>433</v>
      </c>
      <c r="I30" s="343" t="s">
        <v>722</v>
      </c>
      <c r="K30" s="343" t="s">
        <v>1366</v>
      </c>
      <c r="L30" s="343" t="s">
        <v>785</v>
      </c>
      <c r="N30" s="621">
        <f>ROW()</f>
        <v>30</v>
      </c>
      <c r="O30" s="141"/>
      <c r="P30" s="806" t="s">
        <v>1111</v>
      </c>
      <c r="Q30" s="806" t="s">
        <v>45</v>
      </c>
      <c r="R30" s="806" t="s">
        <v>1574</v>
      </c>
      <c r="S30" s="806"/>
      <c r="T30" s="806" t="s">
        <v>60</v>
      </c>
      <c r="U30" s="806" t="s">
        <v>1423</v>
      </c>
      <c r="V30" s="806" t="s">
        <v>1068</v>
      </c>
    </row>
    <row r="31" spans="2:22" ht="13.95" customHeight="1">
      <c r="B31" s="685" t="s">
        <v>1311</v>
      </c>
      <c r="C31" s="155">
        <v>16324</v>
      </c>
      <c r="D31" s="559">
        <f t="shared" ref="D31:D54" si="0">C31/$C$55</f>
        <v>1.7081353030674026E-2</v>
      </c>
      <c r="E31" s="569">
        <v>20</v>
      </c>
      <c r="F31" s="278">
        <f t="shared" ref="F31:F54" si="1">C31/$C$57</f>
        <v>0.40995247273617658</v>
      </c>
      <c r="G31" s="298" t="s">
        <v>1472</v>
      </c>
      <c r="H31" s="298">
        <v>1</v>
      </c>
      <c r="I31" s="592">
        <f t="shared" ref="I31:I54" si="2">VLOOKUP(H31,$G$3:$H$7,2)</f>
        <v>3</v>
      </c>
      <c r="K31" s="155">
        <v>27096</v>
      </c>
      <c r="L31" s="559">
        <f t="shared" ref="L31:L54" si="3">K31/$K$55</f>
        <v>2.8478458278680254E-2</v>
      </c>
      <c r="N31" s="621">
        <f>ROW()</f>
        <v>31</v>
      </c>
      <c r="O31" s="22">
        <f t="shared" ref="O31:O54" si="4">SUM(P31:R31)</f>
        <v>1.7081353030674026E-2</v>
      </c>
      <c r="P31" s="574">
        <f>$D31*P$29*IF($G31="Graveyard",Q$19,IF($G31="A.M. Pre-peak",Q$20,IF($G31="A.M. Peak",Q$21,IF($G31="A.M. Post-peak",Q$22,IF($G31="Midday Peak",Q$23,IF($G31="P.M. Peak",Q$24,IF($G31="P.M. Post-peak",Q$25)))))))</f>
        <v>3.1187037699858785E-3</v>
      </c>
      <c r="Q31" s="574">
        <f>D31-P31-R31</f>
        <v>6.361000006199706E-3</v>
      </c>
      <c r="R31" s="574">
        <f>$D31*R$29*IF($G31="Graveyard",R$19,IF($G31="A.M. Pre-peak",R$20,IF($G31="A.M. Peak",R$21,IF($G31="A.M. Post-peak",R$22,IF($G31="Midday Peak",R$23,IF($G31="P.M. Peak",R$24,IF($G31="P.M. Post-peak",R$25)))))))</f>
        <v>7.6016492544884427E-3</v>
      </c>
      <c r="S31" s="574"/>
      <c r="T31" s="574">
        <f t="shared" ref="T31:T54" si="5">P31/P$55</f>
        <v>6.8178829301965265E-3</v>
      </c>
      <c r="U31" s="574">
        <f t="shared" ref="U31:U54" si="6">Q31/Q$55</f>
        <v>1.9847035183677208E-2</v>
      </c>
      <c r="V31" s="574">
        <f t="shared" ref="V31:V54" si="7">R31/R$55</f>
        <v>3.4231056274690599E-2</v>
      </c>
    </row>
    <row r="32" spans="2:22" ht="13.95" customHeight="1">
      <c r="B32" s="685" t="s">
        <v>1312</v>
      </c>
      <c r="C32" s="155">
        <v>10588</v>
      </c>
      <c r="D32" s="559">
        <f t="shared" si="0"/>
        <v>1.1079230941483496E-2</v>
      </c>
      <c r="E32" s="569">
        <v>22</v>
      </c>
      <c r="F32" s="278">
        <f t="shared" si="1"/>
        <v>0.26590154259560389</v>
      </c>
      <c r="G32" s="298" t="s">
        <v>1472</v>
      </c>
      <c r="H32" s="298">
        <v>1</v>
      </c>
      <c r="I32" s="592">
        <f t="shared" si="2"/>
        <v>3</v>
      </c>
      <c r="K32" s="155">
        <v>17911</v>
      </c>
      <c r="L32" s="559">
        <f t="shared" si="3"/>
        <v>1.8824832677496385E-2</v>
      </c>
      <c r="N32" s="621">
        <f>ROW()</f>
        <v>32</v>
      </c>
      <c r="O32" s="22">
        <f t="shared" si="4"/>
        <v>1.1079230941483498E-2</v>
      </c>
      <c r="P32" s="574">
        <f t="shared" ref="P32:P54" si="8">$D32*P$29*IF($G32="Graveyard",Q$19,IF($G32="A.M. Pre-peak",Q$20,IF($G32="A.M. Peak",Q$21,IF($G32="A.M. Post-peak",Q$22,IF($G32="Midday Peak",Q$23,IF($G32="P.M. Peak",Q$24,IF($G32="P.M. Post-peak",Q$25)))))))</f>
        <v>2.0228397155483018E-3</v>
      </c>
      <c r="Q32" s="574">
        <f t="shared" ref="Q32:Q54" si="9">D32-P32-R32</f>
        <v>4.1258434247514386E-3</v>
      </c>
      <c r="R32" s="574">
        <f t="shared" ref="R32:R54" si="10">$D32*R$29*IF($G32="Graveyard",R$19,IF($G32="A.M. Pre-peak",R$20,IF($G32="A.M. Peak",R$21,IF($G32="A.M. Post-peak",R$22,IF($G32="Midday Peak",R$23,IF($G32="P.M. Peak",R$24,IF($G32="P.M. Post-peak",R$25)))))))</f>
        <v>4.930547801183756E-3</v>
      </c>
      <c r="S32" s="574"/>
      <c r="T32" s="574">
        <f t="shared" si="5"/>
        <v>4.4221847871184035E-3</v>
      </c>
      <c r="U32" s="574">
        <f t="shared" si="6"/>
        <v>1.287309535192197E-2</v>
      </c>
      <c r="V32" s="574">
        <f t="shared" si="7"/>
        <v>2.220279489318942E-2</v>
      </c>
    </row>
    <row r="33" spans="2:22" ht="13.95" customHeight="1">
      <c r="B33" s="685" t="s">
        <v>1313</v>
      </c>
      <c r="C33" s="155">
        <v>8443</v>
      </c>
      <c r="D33" s="559">
        <f t="shared" si="0"/>
        <v>8.8347135284232298E-3</v>
      </c>
      <c r="E33" s="570">
        <v>24</v>
      </c>
      <c r="F33" s="278">
        <f t="shared" si="1"/>
        <v>0.21203312468215749</v>
      </c>
      <c r="G33" s="298" t="s">
        <v>1472</v>
      </c>
      <c r="H33" s="298">
        <v>1</v>
      </c>
      <c r="I33" s="592">
        <f t="shared" si="2"/>
        <v>3</v>
      </c>
      <c r="K33" s="155">
        <v>12609</v>
      </c>
      <c r="L33" s="559">
        <f t="shared" si="3"/>
        <v>1.3252320653818988E-2</v>
      </c>
      <c r="N33" s="621">
        <f>ROW()</f>
        <v>33</v>
      </c>
      <c r="O33" s="22">
        <f t="shared" si="4"/>
        <v>8.8347135284232298E-3</v>
      </c>
      <c r="P33" s="574">
        <f t="shared" si="8"/>
        <v>1.6130369964463837E-3</v>
      </c>
      <c r="Q33" s="574">
        <f t="shared" si="9"/>
        <v>3.289997736605251E-3</v>
      </c>
      <c r="R33" s="574">
        <f t="shared" si="10"/>
        <v>3.9316787953715951E-3</v>
      </c>
      <c r="S33" s="574"/>
      <c r="T33" s="574">
        <f t="shared" si="5"/>
        <v>3.5263039438648168E-3</v>
      </c>
      <c r="U33" s="574">
        <f t="shared" si="6"/>
        <v>1.0265162831155762E-2</v>
      </c>
      <c r="V33" s="574">
        <f t="shared" si="7"/>
        <v>1.7704778738496248E-2</v>
      </c>
    </row>
    <row r="34" spans="2:22" ht="13.95" customHeight="1">
      <c r="B34" s="685" t="s">
        <v>1314</v>
      </c>
      <c r="C34" s="155">
        <v>9014</v>
      </c>
      <c r="D34" s="559">
        <f t="shared" si="0"/>
        <v>9.4322051101749359E-3</v>
      </c>
      <c r="E34" s="569">
        <v>23</v>
      </c>
      <c r="F34" s="278">
        <f t="shared" si="1"/>
        <v>0.22637292264419848</v>
      </c>
      <c r="G34" s="298" t="s">
        <v>1472</v>
      </c>
      <c r="H34" s="298">
        <v>1</v>
      </c>
      <c r="I34" s="592">
        <f t="shared" si="2"/>
        <v>3</v>
      </c>
      <c r="K34" s="155">
        <v>10784</v>
      </c>
      <c r="L34" s="559">
        <f t="shared" si="3"/>
        <v>1.1334207782598459E-2</v>
      </c>
      <c r="N34" s="621">
        <f>ROW()</f>
        <v>34</v>
      </c>
      <c r="O34" s="22">
        <f t="shared" si="4"/>
        <v>9.4322051101749359E-3</v>
      </c>
      <c r="P34" s="574">
        <f t="shared" si="8"/>
        <v>1.7221266713215331E-3</v>
      </c>
      <c r="Q34" s="574">
        <f t="shared" si="9"/>
        <v>3.5125002484614146E-3</v>
      </c>
      <c r="R34" s="574">
        <f t="shared" si="10"/>
        <v>4.1975781903919882E-3</v>
      </c>
      <c r="S34" s="574"/>
      <c r="T34" s="574">
        <f t="shared" si="5"/>
        <v>3.7647878419989887E-3</v>
      </c>
      <c r="U34" s="574">
        <f t="shared" si="6"/>
        <v>1.095939568400308E-2</v>
      </c>
      <c r="V34" s="574">
        <f t="shared" si="7"/>
        <v>1.8902152735852797E-2</v>
      </c>
    </row>
    <row r="35" spans="2:22" ht="13.95" customHeight="1">
      <c r="B35" s="685" t="s">
        <v>1315</v>
      </c>
      <c r="C35" s="155">
        <v>14408</v>
      </c>
      <c r="D35" s="559">
        <f t="shared" si="0"/>
        <v>1.507646008735306E-2</v>
      </c>
      <c r="E35" s="569">
        <v>21</v>
      </c>
      <c r="F35" s="278">
        <f t="shared" si="1"/>
        <v>0.36183504209647344</v>
      </c>
      <c r="G35" s="298" t="s">
        <v>1472</v>
      </c>
      <c r="H35" s="298">
        <v>1</v>
      </c>
      <c r="I35" s="592">
        <f t="shared" si="2"/>
        <v>3</v>
      </c>
      <c r="K35" s="155">
        <v>13328</v>
      </c>
      <c r="L35" s="559">
        <f t="shared" si="3"/>
        <v>1.4008004574042309E-2</v>
      </c>
      <c r="N35" s="621">
        <f>ROW()</f>
        <v>35</v>
      </c>
      <c r="O35" s="22">
        <f t="shared" si="4"/>
        <v>1.5076460087353059E-2</v>
      </c>
      <c r="P35" s="574">
        <f t="shared" si="8"/>
        <v>2.752651550965237E-3</v>
      </c>
      <c r="Q35" s="574">
        <f t="shared" si="9"/>
        <v>5.6143891257856753E-3</v>
      </c>
      <c r="R35" s="574">
        <f t="shared" si="10"/>
        <v>6.7094194106021481E-3</v>
      </c>
      <c r="S35" s="574"/>
      <c r="T35" s="574">
        <f t="shared" si="5"/>
        <v>6.0176462422366784E-3</v>
      </c>
      <c r="U35" s="574">
        <f t="shared" si="6"/>
        <v>1.7517525295664124E-2</v>
      </c>
      <c r="V35" s="574">
        <f t="shared" si="7"/>
        <v>3.0213247905277022E-2</v>
      </c>
    </row>
    <row r="36" spans="2:22" ht="13.95" customHeight="1">
      <c r="B36" s="685" t="s">
        <v>1316</v>
      </c>
      <c r="C36" s="155">
        <v>33547</v>
      </c>
      <c r="D36" s="959">
        <f t="shared" si="0"/>
        <v>3.5103415224211072E-2</v>
      </c>
      <c r="E36" s="569">
        <v>17</v>
      </c>
      <c r="F36" s="278">
        <f t="shared" si="1"/>
        <v>0.84248196538106568</v>
      </c>
      <c r="G36" s="298" t="s">
        <v>615</v>
      </c>
      <c r="H36" s="298">
        <v>2</v>
      </c>
      <c r="I36" s="592">
        <f t="shared" si="2"/>
        <v>7</v>
      </c>
      <c r="K36" s="155">
        <v>21317</v>
      </c>
      <c r="L36" s="959">
        <f t="shared" si="3"/>
        <v>2.2404609356607135E-2</v>
      </c>
      <c r="N36" s="621">
        <f>ROW()</f>
        <v>36</v>
      </c>
      <c r="O36" s="22">
        <f t="shared" si="4"/>
        <v>3.5103415224211072E-2</v>
      </c>
      <c r="P36" s="574">
        <f t="shared" si="8"/>
        <v>2.4034356324671401E-2</v>
      </c>
      <c r="Q36" s="574">
        <f t="shared" si="9"/>
        <v>3.2580895433670497E-3</v>
      </c>
      <c r="R36" s="574">
        <f t="shared" si="10"/>
        <v>7.8109693561726218E-3</v>
      </c>
      <c r="S36" s="574"/>
      <c r="T36" s="574">
        <f t="shared" si="5"/>
        <v>5.2542158476622504E-2</v>
      </c>
      <c r="U36" s="574">
        <f t="shared" si="6"/>
        <v>1.0165605680828938E-2</v>
      </c>
      <c r="V36" s="574">
        <f t="shared" si="7"/>
        <v>3.5173647538809284E-2</v>
      </c>
    </row>
    <row r="37" spans="2:22" ht="13.95" customHeight="1">
      <c r="B37" s="685" t="s">
        <v>1317</v>
      </c>
      <c r="C37" s="155">
        <v>61130</v>
      </c>
      <c r="D37" s="555">
        <f t="shared" si="0"/>
        <v>6.396613028455668E-2</v>
      </c>
      <c r="E37" s="569">
        <v>3</v>
      </c>
      <c r="F37" s="278">
        <f t="shared" si="1"/>
        <v>1.5351871268293602</v>
      </c>
      <c r="G37" s="298" t="s">
        <v>2445</v>
      </c>
      <c r="H37" s="298">
        <v>5</v>
      </c>
      <c r="I37" s="592">
        <f t="shared" si="2"/>
        <v>9.5</v>
      </c>
      <c r="K37" s="155">
        <v>35615</v>
      </c>
      <c r="L37" s="555">
        <f t="shared" si="3"/>
        <v>3.7432104059462547E-2</v>
      </c>
      <c r="N37" s="621">
        <f>ROW()</f>
        <v>37</v>
      </c>
      <c r="O37" s="22">
        <f t="shared" si="4"/>
        <v>6.396613028455668E-2</v>
      </c>
      <c r="P37" s="574">
        <f t="shared" si="8"/>
        <v>4.6715599475431691E-2</v>
      </c>
      <c r="Q37" s="574">
        <f t="shared" si="9"/>
        <v>8.7105500643281531E-3</v>
      </c>
      <c r="R37" s="574">
        <f t="shared" si="10"/>
        <v>8.5399807447968362E-3</v>
      </c>
      <c r="S37" s="574"/>
      <c r="T37" s="574">
        <f t="shared" si="5"/>
        <v>0.10212623953024103</v>
      </c>
      <c r="U37" s="574">
        <f t="shared" si="6"/>
        <v>2.7177895523881095E-2</v>
      </c>
      <c r="V37" s="574">
        <f t="shared" si="7"/>
        <v>3.8456465389705402E-2</v>
      </c>
    </row>
    <row r="38" spans="2:22" ht="13.95" customHeight="1">
      <c r="B38" s="685" t="s">
        <v>1318</v>
      </c>
      <c r="C38" s="155">
        <v>68198</v>
      </c>
      <c r="D38" s="555">
        <f t="shared" si="0"/>
        <v>7.1362050599479726E-2</v>
      </c>
      <c r="E38" s="569">
        <v>1</v>
      </c>
      <c r="F38" s="278">
        <f t="shared" si="1"/>
        <v>1.7126892143875136</v>
      </c>
      <c r="G38" s="298" t="s">
        <v>2445</v>
      </c>
      <c r="H38" s="298">
        <v>5</v>
      </c>
      <c r="I38" s="592">
        <f t="shared" si="2"/>
        <v>9.5</v>
      </c>
      <c r="K38" s="155">
        <v>43227</v>
      </c>
      <c r="L38" s="555">
        <f t="shared" si="3"/>
        <v>4.5432474018767023E-2</v>
      </c>
      <c r="N38" s="621">
        <f>ROW()</f>
        <v>38</v>
      </c>
      <c r="O38" s="22">
        <f t="shared" si="4"/>
        <v>7.1362050599479726E-2</v>
      </c>
      <c r="P38" s="574">
        <f t="shared" si="8"/>
        <v>5.2116971258391792E-2</v>
      </c>
      <c r="Q38" s="574">
        <f t="shared" si="9"/>
        <v>9.7176851511050367E-3</v>
      </c>
      <c r="R38" s="574">
        <f t="shared" si="10"/>
        <v>9.5273941899828973E-3</v>
      </c>
      <c r="S38" s="574"/>
      <c r="T38" s="574">
        <f t="shared" si="5"/>
        <v>0.1139343249383834</v>
      </c>
      <c r="U38" s="574">
        <f t="shared" si="6"/>
        <v>3.0320270226364163E-2</v>
      </c>
      <c r="V38" s="574">
        <f t="shared" si="7"/>
        <v>4.2902895904582503E-2</v>
      </c>
    </row>
    <row r="39" spans="2:22" ht="13.95" customHeight="1">
      <c r="B39" s="685" t="s">
        <v>1319</v>
      </c>
      <c r="C39" s="155">
        <v>64188</v>
      </c>
      <c r="D39" s="555">
        <f t="shared" si="0"/>
        <v>6.7166006391381053E-2</v>
      </c>
      <c r="E39" s="569">
        <v>2</v>
      </c>
      <c r="F39" s="278">
        <f t="shared" si="1"/>
        <v>1.6119841533931454</v>
      </c>
      <c r="G39" s="298" t="s">
        <v>2445</v>
      </c>
      <c r="H39" s="298">
        <v>5</v>
      </c>
      <c r="I39" s="592">
        <f t="shared" si="2"/>
        <v>9.5</v>
      </c>
      <c r="K39" s="155">
        <v>44008</v>
      </c>
      <c r="L39" s="555">
        <f t="shared" si="3"/>
        <v>4.6253321225574275E-2</v>
      </c>
      <c r="N39" s="621">
        <f>ROW()</f>
        <v>39</v>
      </c>
      <c r="O39" s="22">
        <f t="shared" si="4"/>
        <v>6.7166006391381053E-2</v>
      </c>
      <c r="P39" s="574">
        <f t="shared" si="8"/>
        <v>4.9052525750515448E-2</v>
      </c>
      <c r="Q39" s="574">
        <f t="shared" si="9"/>
        <v>9.146291305890647E-3</v>
      </c>
      <c r="R39" s="574">
        <f t="shared" si="10"/>
        <v>8.9671893349749579E-3</v>
      </c>
      <c r="S39" s="574"/>
      <c r="T39" s="574">
        <f t="shared" si="5"/>
        <v>0.10723505746715378</v>
      </c>
      <c r="U39" s="574">
        <f t="shared" si="6"/>
        <v>2.8537457187745443E-2</v>
      </c>
      <c r="V39" s="574">
        <f t="shared" si="7"/>
        <v>4.0380232298943393E-2</v>
      </c>
    </row>
    <row r="40" spans="2:22" ht="13.95" customHeight="1">
      <c r="B40" s="685" t="s">
        <v>1320</v>
      </c>
      <c r="C40" s="155">
        <v>57231</v>
      </c>
      <c r="D40" s="556">
        <f t="shared" si="0"/>
        <v>5.9886235928602372E-2</v>
      </c>
      <c r="E40" s="569">
        <v>4</v>
      </c>
      <c r="F40" s="278">
        <f t="shared" si="1"/>
        <v>1.4372696622864569</v>
      </c>
      <c r="G40" s="298" t="s">
        <v>616</v>
      </c>
      <c r="H40" s="298">
        <v>4</v>
      </c>
      <c r="I40" s="592">
        <f t="shared" si="2"/>
        <v>9.5</v>
      </c>
      <c r="K40" s="155">
        <v>39189</v>
      </c>
      <c r="L40" s="556">
        <f t="shared" si="3"/>
        <v>4.1188452224800727E-2</v>
      </c>
      <c r="N40" s="621">
        <f>ROW()</f>
        <v>40</v>
      </c>
      <c r="O40" s="22">
        <f t="shared" si="4"/>
        <v>5.9886235928602372E-2</v>
      </c>
      <c r="P40" s="574">
        <f t="shared" si="8"/>
        <v>3.5535483965033129E-2</v>
      </c>
      <c r="Q40" s="574">
        <f t="shared" si="9"/>
        <v>1.635546915634746E-2</v>
      </c>
      <c r="R40" s="574">
        <f t="shared" si="10"/>
        <v>7.9952828072217836E-3</v>
      </c>
      <c r="S40" s="574"/>
      <c r="T40" s="574">
        <f t="shared" si="5"/>
        <v>7.7685085667039425E-2</v>
      </c>
      <c r="U40" s="574">
        <f t="shared" si="6"/>
        <v>5.1030902605753624E-2</v>
      </c>
      <c r="V40" s="574">
        <f t="shared" si="7"/>
        <v>3.6003631125768515E-2</v>
      </c>
    </row>
    <row r="41" spans="2:22" ht="13.95" customHeight="1">
      <c r="B41" s="685" t="s">
        <v>1321</v>
      </c>
      <c r="C41" s="155">
        <v>49527</v>
      </c>
      <c r="D41" s="558">
        <f t="shared" si="0"/>
        <v>5.1824808352743959E-2</v>
      </c>
      <c r="E41" s="569">
        <v>9</v>
      </c>
      <c r="F41" s="278">
        <f t="shared" si="1"/>
        <v>1.2437954004658551</v>
      </c>
      <c r="G41" s="298" t="s">
        <v>1152</v>
      </c>
      <c r="H41" s="298">
        <v>3</v>
      </c>
      <c r="I41" s="592">
        <f t="shared" si="2"/>
        <v>7</v>
      </c>
      <c r="K41" s="155">
        <v>38318</v>
      </c>
      <c r="L41" s="558">
        <f t="shared" si="3"/>
        <v>4.0273013150371642E-2</v>
      </c>
      <c r="N41" s="621">
        <f>ROW()</f>
        <v>41</v>
      </c>
      <c r="O41" s="22">
        <f t="shared" si="4"/>
        <v>5.1824808352743952E-2</v>
      </c>
      <c r="P41" s="574">
        <f t="shared" si="8"/>
        <v>2.602089649866755E-2</v>
      </c>
      <c r="Q41" s="574">
        <f t="shared" si="9"/>
        <v>1.657855329913769E-2</v>
      </c>
      <c r="R41" s="574">
        <f t="shared" si="10"/>
        <v>9.2253585549387177E-3</v>
      </c>
      <c r="S41" s="574"/>
      <c r="T41" s="574">
        <f t="shared" si="5"/>
        <v>5.6884987851051776E-2</v>
      </c>
      <c r="U41" s="574">
        <f t="shared" si="6"/>
        <v>5.1726950212507727E-2</v>
      </c>
      <c r="V41" s="574">
        <f t="shared" si="7"/>
        <v>4.1542796474310251E-2</v>
      </c>
    </row>
    <row r="42" spans="2:22" ht="13.95" customHeight="1">
      <c r="B42" s="685" t="s">
        <v>2768</v>
      </c>
      <c r="C42" s="155">
        <v>46099</v>
      </c>
      <c r="D42" s="558">
        <f t="shared" si="0"/>
        <v>4.823776607210499E-2</v>
      </c>
      <c r="E42" s="569">
        <v>11</v>
      </c>
      <c r="F42" s="278">
        <f t="shared" si="1"/>
        <v>1.1577063857305199</v>
      </c>
      <c r="G42" s="298" t="s">
        <v>1152</v>
      </c>
      <c r="H42" s="298">
        <v>3</v>
      </c>
      <c r="I42" s="592">
        <f t="shared" si="2"/>
        <v>7</v>
      </c>
      <c r="K42" s="155">
        <v>38714</v>
      </c>
      <c r="L42" s="558">
        <f t="shared" si="3"/>
        <v>4.0689217367907711E-2</v>
      </c>
      <c r="N42" s="621">
        <f>ROW()</f>
        <v>42</v>
      </c>
      <c r="O42" s="22">
        <f t="shared" si="4"/>
        <v>4.823776607210499E-2</v>
      </c>
      <c r="P42" s="574">
        <f t="shared" si="8"/>
        <v>2.4219866087024762E-2</v>
      </c>
      <c r="Q42" s="574">
        <f t="shared" si="9"/>
        <v>1.5431072516747401E-2</v>
      </c>
      <c r="R42" s="574">
        <f t="shared" si="10"/>
        <v>8.5868274683328274E-3</v>
      </c>
      <c r="S42" s="574"/>
      <c r="T42" s="574">
        <f t="shared" si="5"/>
        <v>5.2947706401470625E-2</v>
      </c>
      <c r="U42" s="574">
        <f t="shared" si="6"/>
        <v>4.8146681160708187E-2</v>
      </c>
      <c r="V42" s="574">
        <f t="shared" si="7"/>
        <v>3.8667421298871893E-2</v>
      </c>
    </row>
    <row r="43" spans="2:22" ht="13.95" customHeight="1">
      <c r="B43" s="685" t="s">
        <v>2904</v>
      </c>
      <c r="C43" s="155">
        <v>44220</v>
      </c>
      <c r="D43" s="558">
        <f t="shared" si="0"/>
        <v>4.6271589746165485E-2</v>
      </c>
      <c r="E43" s="569">
        <v>14</v>
      </c>
      <c r="F43" s="278">
        <f t="shared" si="1"/>
        <v>1.1105181539079716</v>
      </c>
      <c r="G43" s="298" t="s">
        <v>1152</v>
      </c>
      <c r="H43" s="298">
        <v>3</v>
      </c>
      <c r="I43" s="592">
        <f t="shared" si="2"/>
        <v>7</v>
      </c>
      <c r="K43" s="155">
        <v>40968</v>
      </c>
      <c r="L43" s="558">
        <f t="shared" si="3"/>
        <v>4.3058218141458986E-2</v>
      </c>
      <c r="N43" s="621">
        <f>ROW()</f>
        <v>43</v>
      </c>
      <c r="O43" s="22">
        <f t="shared" si="4"/>
        <v>4.6271589746165492E-2</v>
      </c>
      <c r="P43" s="574">
        <f t="shared" si="8"/>
        <v>2.323266184447027E-2</v>
      </c>
      <c r="Q43" s="574">
        <f t="shared" si="9"/>
        <v>1.48021004076134E-2</v>
      </c>
      <c r="R43" s="574">
        <f t="shared" si="10"/>
        <v>8.2368274940818158E-3</v>
      </c>
      <c r="S43" s="574"/>
      <c r="T43" s="574">
        <f t="shared" si="5"/>
        <v>5.0789552421376408E-2</v>
      </c>
      <c r="U43" s="574">
        <f t="shared" si="6"/>
        <v>4.6184217465162283E-2</v>
      </c>
      <c r="V43" s="574">
        <f t="shared" si="7"/>
        <v>3.7091333214085226E-2</v>
      </c>
    </row>
    <row r="44" spans="2:22" ht="13.95" customHeight="1">
      <c r="B44" s="685" t="s">
        <v>2769</v>
      </c>
      <c r="C44" s="155">
        <v>44721</v>
      </c>
      <c r="D44" s="558">
        <f t="shared" si="0"/>
        <v>4.6795833673411731E-2</v>
      </c>
      <c r="E44" s="569">
        <v>13</v>
      </c>
      <c r="F44" s="278">
        <f t="shared" si="1"/>
        <v>1.1231000081618816</v>
      </c>
      <c r="G44" s="298" t="s">
        <v>1152</v>
      </c>
      <c r="H44" s="298">
        <v>3</v>
      </c>
      <c r="I44" s="592">
        <f t="shared" si="2"/>
        <v>7</v>
      </c>
      <c r="K44" s="155">
        <v>44445</v>
      </c>
      <c r="L44" s="558">
        <f t="shared" si="3"/>
        <v>4.6712617293915848E-2</v>
      </c>
      <c r="N44" s="621">
        <f>ROW()</f>
        <v>44</v>
      </c>
      <c r="O44" s="22">
        <f t="shared" si="4"/>
        <v>4.6795833673411731E-2</v>
      </c>
      <c r="P44" s="574">
        <f t="shared" si="8"/>
        <v>2.3495881283278043E-2</v>
      </c>
      <c r="Q44" s="574">
        <f t="shared" si="9"/>
        <v>1.4969803987536834E-2</v>
      </c>
      <c r="R44" s="574">
        <f t="shared" si="10"/>
        <v>8.3301484025968542E-3</v>
      </c>
      <c r="S44" s="574"/>
      <c r="T44" s="574">
        <f t="shared" si="5"/>
        <v>5.1364983578389298E-2</v>
      </c>
      <c r="U44" s="574">
        <f t="shared" si="6"/>
        <v>4.6707471489360525E-2</v>
      </c>
      <c r="V44" s="574">
        <f t="shared" si="7"/>
        <v>3.7511567450635587E-2</v>
      </c>
    </row>
    <row r="45" spans="2:22" ht="13.95" customHeight="1">
      <c r="B45" s="685" t="s">
        <v>2189</v>
      </c>
      <c r="C45" s="155">
        <v>48353</v>
      </c>
      <c r="D45" s="557">
        <f t="shared" si="0"/>
        <v>5.0596340547180908E-2</v>
      </c>
      <c r="E45" s="569">
        <v>10</v>
      </c>
      <c r="F45" s="278">
        <f t="shared" si="1"/>
        <v>1.2143121731323419</v>
      </c>
      <c r="G45" s="298" t="s">
        <v>1151</v>
      </c>
      <c r="H45" s="298">
        <v>4</v>
      </c>
      <c r="I45" s="592">
        <f t="shared" si="2"/>
        <v>9.5</v>
      </c>
      <c r="K45" s="155">
        <v>50787</v>
      </c>
      <c r="L45" s="557">
        <f t="shared" si="3"/>
        <v>5.3378190899001109E-2</v>
      </c>
      <c r="N45" s="621">
        <f>ROW()</f>
        <v>45</v>
      </c>
      <c r="O45" s="22">
        <f t="shared" si="4"/>
        <v>5.0596340547180901E-2</v>
      </c>
      <c r="P45" s="574">
        <f t="shared" si="8"/>
        <v>1.7320971046097061E-2</v>
      </c>
      <c r="Q45" s="574">
        <f t="shared" si="9"/>
        <v>2.2017021473569768E-2</v>
      </c>
      <c r="R45" s="574">
        <f t="shared" si="10"/>
        <v>1.1258348027514079E-2</v>
      </c>
      <c r="S45" s="574"/>
      <c r="T45" s="574">
        <f t="shared" si="5"/>
        <v>3.7865844767343247E-2</v>
      </c>
      <c r="U45" s="574">
        <f t="shared" si="6"/>
        <v>6.8695582361236185E-2</v>
      </c>
      <c r="V45" s="574">
        <f t="shared" si="7"/>
        <v>5.0697569959878536E-2</v>
      </c>
    </row>
    <row r="46" spans="2:22" ht="13.95" customHeight="1">
      <c r="B46" s="685" t="s">
        <v>2190</v>
      </c>
      <c r="C46" s="155">
        <v>50444</v>
      </c>
      <c r="D46" s="557">
        <f t="shared" si="0"/>
        <v>5.2784352626765528E-2</v>
      </c>
      <c r="E46" s="569">
        <v>8</v>
      </c>
      <c r="F46" s="278">
        <f t="shared" si="1"/>
        <v>1.2668244630423726</v>
      </c>
      <c r="G46" s="298" t="s">
        <v>1151</v>
      </c>
      <c r="H46" s="298">
        <v>4</v>
      </c>
      <c r="I46" s="592">
        <f t="shared" si="2"/>
        <v>9.5</v>
      </c>
      <c r="K46" s="155">
        <v>58761</v>
      </c>
      <c r="L46" s="557">
        <f t="shared" si="3"/>
        <v>6.1759030370295634E-2</v>
      </c>
      <c r="N46" s="621">
        <f>ROW()</f>
        <v>46</v>
      </c>
      <c r="O46" s="22">
        <f t="shared" si="4"/>
        <v>5.2784352626765535E-2</v>
      </c>
      <c r="P46" s="574">
        <f t="shared" si="8"/>
        <v>1.8070007309770233E-2</v>
      </c>
      <c r="Q46" s="574">
        <f t="shared" si="9"/>
        <v>2.2969135962872075E-2</v>
      </c>
      <c r="R46" s="574">
        <f t="shared" si="10"/>
        <v>1.1745209354123222E-2</v>
      </c>
      <c r="S46" s="574"/>
      <c r="T46" s="574">
        <f t="shared" si="5"/>
        <v>3.9503333266681748E-2</v>
      </c>
      <c r="U46" s="574">
        <f t="shared" si="6"/>
        <v>7.1666286613657856E-2</v>
      </c>
      <c r="V46" s="574">
        <f t="shared" si="7"/>
        <v>5.2889959652061148E-2</v>
      </c>
    </row>
    <row r="47" spans="2:22" ht="13.95" customHeight="1">
      <c r="B47" s="685" t="s">
        <v>2191</v>
      </c>
      <c r="C47" s="155">
        <v>51772</v>
      </c>
      <c r="D47" s="557">
        <f t="shared" si="0"/>
        <v>5.4173965272240603E-2</v>
      </c>
      <c r="E47" s="569">
        <v>6</v>
      </c>
      <c r="F47" s="278">
        <f t="shared" si="1"/>
        <v>1.3001751665337744</v>
      </c>
      <c r="G47" s="298" t="s">
        <v>1151</v>
      </c>
      <c r="H47" s="298">
        <v>4</v>
      </c>
      <c r="I47" s="592">
        <f t="shared" si="2"/>
        <v>9.5</v>
      </c>
      <c r="K47" s="155">
        <v>63294</v>
      </c>
      <c r="L47" s="557">
        <f t="shared" si="3"/>
        <v>6.6523307436182025E-2</v>
      </c>
      <c r="N47" s="621">
        <f>ROW()</f>
        <v>47</v>
      </c>
      <c r="O47" s="22">
        <f t="shared" si="4"/>
        <v>5.4173965272240603E-2</v>
      </c>
      <c r="P47" s="574">
        <f t="shared" si="8"/>
        <v>1.854572235432211E-2</v>
      </c>
      <c r="Q47" s="574">
        <f t="shared" si="9"/>
        <v>2.3573826561529877E-2</v>
      </c>
      <c r="R47" s="574">
        <f t="shared" si="10"/>
        <v>1.2054416356388618E-2</v>
      </c>
      <c r="S47" s="574"/>
      <c r="T47" s="574">
        <f t="shared" si="5"/>
        <v>4.054330683297612E-2</v>
      </c>
      <c r="U47" s="574">
        <f t="shared" si="6"/>
        <v>7.3552989266558844E-2</v>
      </c>
      <c r="V47" s="574">
        <f t="shared" si="7"/>
        <v>5.4282352531649154E-2</v>
      </c>
    </row>
    <row r="48" spans="2:22" ht="13.95" customHeight="1">
      <c r="B48" s="685" t="s">
        <v>2192</v>
      </c>
      <c r="C48" s="155">
        <v>53050</v>
      </c>
      <c r="D48" s="557">
        <f t="shared" si="0"/>
        <v>5.5511258164497493E-2</v>
      </c>
      <c r="E48" s="569">
        <v>5</v>
      </c>
      <c r="F48" s="278">
        <f t="shared" si="1"/>
        <v>1.3322701959479397</v>
      </c>
      <c r="G48" s="298" t="s">
        <v>1151</v>
      </c>
      <c r="H48" s="298">
        <v>4</v>
      </c>
      <c r="I48" s="592">
        <f t="shared" si="2"/>
        <v>9.5</v>
      </c>
      <c r="K48" s="155">
        <v>63113</v>
      </c>
      <c r="L48" s="557">
        <f t="shared" si="3"/>
        <v>6.6333072680186997E-2</v>
      </c>
      <c r="N48" s="621">
        <f>ROW()</f>
        <v>48</v>
      </c>
      <c r="O48" s="22">
        <f t="shared" si="4"/>
        <v>5.5511258164497493E-2</v>
      </c>
      <c r="P48" s="574">
        <f t="shared" si="8"/>
        <v>1.900352644087128E-2</v>
      </c>
      <c r="Q48" s="574">
        <f t="shared" si="9"/>
        <v>2.4155750194876771E-2</v>
      </c>
      <c r="R48" s="574">
        <f t="shared" si="10"/>
        <v>1.2351981528749445E-2</v>
      </c>
      <c r="S48" s="574"/>
      <c r="T48" s="574">
        <f t="shared" si="5"/>
        <v>4.1544124768009408E-2</v>
      </c>
      <c r="U48" s="574">
        <f t="shared" si="6"/>
        <v>7.5368656428010272E-2</v>
      </c>
      <c r="V48" s="574">
        <f t="shared" si="7"/>
        <v>5.5622320980529778E-2</v>
      </c>
    </row>
    <row r="49" spans="2:22" ht="13.95" customHeight="1">
      <c r="B49" s="685" t="s">
        <v>2193</v>
      </c>
      <c r="C49" s="155">
        <v>50597</v>
      </c>
      <c r="D49" s="557">
        <f t="shared" si="0"/>
        <v>5.2944451071613184E-2</v>
      </c>
      <c r="E49" s="569">
        <v>7</v>
      </c>
      <c r="F49" s="278">
        <f t="shared" si="1"/>
        <v>1.2706668257187164</v>
      </c>
      <c r="G49" s="298" t="s">
        <v>1151</v>
      </c>
      <c r="H49" s="298">
        <v>4</v>
      </c>
      <c r="I49" s="592">
        <f t="shared" si="2"/>
        <v>9.5</v>
      </c>
      <c r="K49" s="155">
        <v>59255</v>
      </c>
      <c r="L49" s="557">
        <f t="shared" si="3"/>
        <v>6.2278234621464368E-2</v>
      </c>
      <c r="N49" s="621">
        <f>ROW()</f>
        <v>49</v>
      </c>
      <c r="O49" s="22">
        <f t="shared" si="4"/>
        <v>5.2944451071613177E-2</v>
      </c>
      <c r="P49" s="574">
        <f t="shared" si="8"/>
        <v>1.8124814841258514E-2</v>
      </c>
      <c r="Q49" s="574">
        <f t="shared" si="9"/>
        <v>2.3038802876723458E-2</v>
      </c>
      <c r="R49" s="574">
        <f t="shared" si="10"/>
        <v>1.1780833353631209E-2</v>
      </c>
      <c r="S49" s="574"/>
      <c r="T49" s="574">
        <f t="shared" si="5"/>
        <v>3.9623149498340664E-2</v>
      </c>
      <c r="U49" s="574">
        <f t="shared" si="6"/>
        <v>7.1883655217493569E-2</v>
      </c>
      <c r="V49" s="574">
        <f t="shared" si="7"/>
        <v>5.3050378410025731E-2</v>
      </c>
    </row>
    <row r="50" spans="2:22" ht="13.95" customHeight="1">
      <c r="B50" s="685" t="s">
        <v>2194</v>
      </c>
      <c r="C50" s="155">
        <v>45237</v>
      </c>
      <c r="D50" s="557">
        <f t="shared" si="0"/>
        <v>4.733577352662343E-2</v>
      </c>
      <c r="E50" s="569">
        <v>12</v>
      </c>
      <c r="F50" s="278">
        <f t="shared" si="1"/>
        <v>1.1360585646389623</v>
      </c>
      <c r="G50" s="298" t="s">
        <v>1151</v>
      </c>
      <c r="H50" s="298">
        <v>4</v>
      </c>
      <c r="I50" s="592">
        <f t="shared" si="2"/>
        <v>9.5</v>
      </c>
      <c r="K50" s="155">
        <v>54997</v>
      </c>
      <c r="L50" s="557">
        <f t="shared" si="3"/>
        <v>5.7802988262200247E-2</v>
      </c>
      <c r="N50" s="621">
        <f>ROW()</f>
        <v>50</v>
      </c>
      <c r="O50" s="22">
        <f t="shared" si="4"/>
        <v>4.7335773526623423E-2</v>
      </c>
      <c r="P50" s="574">
        <f t="shared" si="8"/>
        <v>1.620476014336841E-2</v>
      </c>
      <c r="Q50" s="574">
        <f t="shared" si="9"/>
        <v>2.0598184195393783E-2</v>
      </c>
      <c r="R50" s="574">
        <f t="shared" si="10"/>
        <v>1.0532829187861236E-2</v>
      </c>
      <c r="S50" s="574"/>
      <c r="T50" s="574">
        <f t="shared" si="5"/>
        <v>3.5425665827152529E-2</v>
      </c>
      <c r="U50" s="574">
        <f t="shared" si="6"/>
        <v>6.4268650534098012E-2</v>
      </c>
      <c r="V50" s="574">
        <f t="shared" si="7"/>
        <v>4.7430479438194631E-2</v>
      </c>
    </row>
    <row r="51" spans="2:22" ht="13.95" customHeight="1">
      <c r="B51" s="685" t="s">
        <v>2195</v>
      </c>
      <c r="C51" s="155">
        <v>37660</v>
      </c>
      <c r="D51" s="959">
        <f t="shared" si="0"/>
        <v>3.9407238123939217E-2</v>
      </c>
      <c r="E51" s="569">
        <v>15</v>
      </c>
      <c r="F51" s="278">
        <f t="shared" si="1"/>
        <v>0.94577371497454121</v>
      </c>
      <c r="G51" s="298" t="s">
        <v>617</v>
      </c>
      <c r="H51" s="298">
        <v>2</v>
      </c>
      <c r="I51" s="592">
        <f t="shared" si="2"/>
        <v>7</v>
      </c>
      <c r="K51" s="155">
        <v>50276</v>
      </c>
      <c r="L51" s="959">
        <f t="shared" si="3"/>
        <v>5.2841119295059365E-2</v>
      </c>
      <c r="N51" s="621">
        <f>ROW()</f>
        <v>51</v>
      </c>
      <c r="O51" s="22">
        <f t="shared" si="4"/>
        <v>3.9407238123939217E-2</v>
      </c>
      <c r="P51" s="574">
        <f t="shared" si="8"/>
        <v>1.0792426854110649E-2</v>
      </c>
      <c r="Q51" s="574">
        <f t="shared" si="9"/>
        <v>1.5461871843644663E-2</v>
      </c>
      <c r="R51" s="574">
        <f t="shared" si="10"/>
        <v>1.3152939426183903E-2</v>
      </c>
      <c r="S51" s="574"/>
      <c r="T51" s="574">
        <f t="shared" si="5"/>
        <v>2.3593617172678372E-2</v>
      </c>
      <c r="U51" s="574">
        <f t="shared" si="6"/>
        <v>4.8242778523381942E-2</v>
      </c>
      <c r="V51" s="574">
        <f t="shared" si="7"/>
        <v>5.9229121813197491E-2</v>
      </c>
    </row>
    <row r="52" spans="2:22" ht="13.95" customHeight="1">
      <c r="B52" s="685" t="s">
        <v>2196</v>
      </c>
      <c r="C52" s="155">
        <v>34404</v>
      </c>
      <c r="D52" s="959">
        <f t="shared" si="0"/>
        <v>3.6000175794370814E-2</v>
      </c>
      <c r="E52" s="569">
        <v>16</v>
      </c>
      <c r="F52" s="278">
        <f t="shared" si="1"/>
        <v>0.86400421906489955</v>
      </c>
      <c r="G52" s="298" t="s">
        <v>617</v>
      </c>
      <c r="H52" s="298">
        <v>2</v>
      </c>
      <c r="I52" s="592">
        <f t="shared" si="2"/>
        <v>7</v>
      </c>
      <c r="K52" s="155">
        <v>45518</v>
      </c>
      <c r="L52" s="959">
        <f t="shared" si="3"/>
        <v>4.7840362560118387E-2</v>
      </c>
      <c r="N52" s="621">
        <f>ROW()</f>
        <v>52</v>
      </c>
      <c r="O52" s="22">
        <f t="shared" si="4"/>
        <v>3.6000175794370814E-2</v>
      </c>
      <c r="P52" s="574">
        <f t="shared" si="8"/>
        <v>9.8593375860016683E-3</v>
      </c>
      <c r="Q52" s="574">
        <f t="shared" si="9"/>
        <v>1.4125072727263703E-2</v>
      </c>
      <c r="R52" s="574">
        <f t="shared" si="10"/>
        <v>1.2015765481105445E-2</v>
      </c>
      <c r="S52" s="574"/>
      <c r="T52" s="574">
        <f t="shared" si="5"/>
        <v>2.1553765406500978E-2</v>
      </c>
      <c r="U52" s="574">
        <f t="shared" si="6"/>
        <v>4.4071814984557423E-2</v>
      </c>
      <c r="V52" s="574">
        <f t="shared" si="7"/>
        <v>5.4108303421700657E-2</v>
      </c>
    </row>
    <row r="53" spans="2:22" ht="13.95" customHeight="1">
      <c r="B53" s="685" t="s">
        <v>2197</v>
      </c>
      <c r="C53" s="155">
        <v>32024</v>
      </c>
      <c r="D53" s="959">
        <f t="shared" si="0"/>
        <v>3.3509755541185064E-2</v>
      </c>
      <c r="E53" s="569">
        <v>18</v>
      </c>
      <c r="F53" s="565">
        <f t="shared" si="1"/>
        <v>0.80423413298844149</v>
      </c>
      <c r="G53" s="298" t="s">
        <v>617</v>
      </c>
      <c r="H53" s="298">
        <v>2</v>
      </c>
      <c r="I53" s="592">
        <f t="shared" si="2"/>
        <v>7</v>
      </c>
      <c r="K53" s="155">
        <v>41978</v>
      </c>
      <c r="L53" s="959">
        <f t="shared" si="3"/>
        <v>4.411974910032624E-2</v>
      </c>
      <c r="N53" s="621">
        <f>ROW()</f>
        <v>53</v>
      </c>
      <c r="O53" s="22">
        <f t="shared" si="4"/>
        <v>3.3509755541185064E-2</v>
      </c>
      <c r="P53" s="574">
        <f t="shared" si="8"/>
        <v>9.1772883052586157E-3</v>
      </c>
      <c r="Q53" s="574">
        <f t="shared" si="9"/>
        <v>1.3147928410007347E-2</v>
      </c>
      <c r="R53" s="574">
        <f t="shared" si="10"/>
        <v>1.1184538825919101E-2</v>
      </c>
      <c r="S53" s="574"/>
      <c r="T53" s="574">
        <f t="shared" si="5"/>
        <v>2.0062718968078923E-2</v>
      </c>
      <c r="U53" s="574">
        <f t="shared" si="6"/>
        <v>4.1023014854826963E-2</v>
      </c>
      <c r="V53" s="574">
        <f t="shared" si="7"/>
        <v>5.0365199069193754E-2</v>
      </c>
    </row>
    <row r="54" spans="2:22" ht="13.95" customHeight="1">
      <c r="B54" s="792" t="s">
        <v>2198</v>
      </c>
      <c r="C54" s="327">
        <v>24483</v>
      </c>
      <c r="D54" s="560">
        <f t="shared" si="0"/>
        <v>2.5618890360817947E-2</v>
      </c>
      <c r="E54" s="569">
        <v>19</v>
      </c>
      <c r="F54" s="278">
        <f t="shared" si="1"/>
        <v>0.61485336865963069</v>
      </c>
      <c r="G54" s="298" t="s">
        <v>1472</v>
      </c>
      <c r="H54" s="298">
        <v>1</v>
      </c>
      <c r="I54" s="592">
        <f t="shared" si="2"/>
        <v>3</v>
      </c>
      <c r="K54" s="327">
        <v>35948</v>
      </c>
      <c r="L54" s="560">
        <f t="shared" si="3"/>
        <v>3.7782093969663338E-2</v>
      </c>
      <c r="N54" s="621">
        <f>ROW()</f>
        <v>54</v>
      </c>
      <c r="O54" s="807">
        <f t="shared" si="4"/>
        <v>2.561889036081795E-2</v>
      </c>
      <c r="P54" s="574">
        <f t="shared" si="8"/>
        <v>4.6774825043227304E-3</v>
      </c>
      <c r="Q54" s="808">
        <f t="shared" si="9"/>
        <v>9.5403309943511028E-3</v>
      </c>
      <c r="R54" s="574">
        <f t="shared" si="10"/>
        <v>1.1401076862144114E-2</v>
      </c>
      <c r="S54" s="808"/>
      <c r="T54" s="808">
        <f t="shared" si="5"/>
        <v>1.0225571415094434E-2</v>
      </c>
      <c r="U54" s="808">
        <f t="shared" si="6"/>
        <v>2.976690531744481E-2</v>
      </c>
      <c r="V54" s="808">
        <f t="shared" si="7"/>
        <v>5.1340293480351011E-2</v>
      </c>
    </row>
    <row r="55" spans="2:22" ht="13.95" customHeight="1">
      <c r="B55" s="175" t="s">
        <v>818</v>
      </c>
      <c r="C55" s="155">
        <f>SUM(C31:C54)</f>
        <v>955662</v>
      </c>
      <c r="D55" s="240">
        <f>SUM(D31:D54)</f>
        <v>1</v>
      </c>
      <c r="E55" s="240"/>
      <c r="I55" s="667">
        <f>SUMPRODUCT(C31:C54,I31:I54)/C55</f>
        <v>8.090824998796645</v>
      </c>
      <c r="K55" s="155">
        <f>SUM(K31:K54)</f>
        <v>951456</v>
      </c>
      <c r="L55" s="240">
        <f>SUM(L31:L54)</f>
        <v>1</v>
      </c>
      <c r="N55" s="621">
        <f>ROW()</f>
        <v>55</v>
      </c>
      <c r="O55" s="22">
        <f>SUM(P55:R55)</f>
        <v>0.99999999999999989</v>
      </c>
      <c r="P55" s="809">
        <f>SUM(P31:P54)</f>
        <v>0.45742993857713266</v>
      </c>
      <c r="Q55" s="809">
        <f>SUM(Q31:Q54)</f>
        <v>0.32050127121410971</v>
      </c>
      <c r="R55" s="809">
        <f>SUM(R31:R54)</f>
        <v>0.22206879020875761</v>
      </c>
      <c r="S55" s="240"/>
      <c r="T55" s="240">
        <f>SUM(T31:T54)</f>
        <v>1</v>
      </c>
      <c r="U55" s="240">
        <f>SUM(U31:U54)</f>
        <v>1</v>
      </c>
      <c r="V55" s="240">
        <f>SUM(V31:V54)</f>
        <v>1</v>
      </c>
    </row>
    <row r="56" spans="2:22" ht="13.95" customHeight="1">
      <c r="B56" s="169"/>
      <c r="C56" s="155"/>
      <c r="D56" s="155"/>
      <c r="E56" s="155"/>
      <c r="J56" s="155"/>
      <c r="K56" s="155"/>
      <c r="L56" s="155"/>
      <c r="N56" s="621">
        <f>ROW()</f>
        <v>56</v>
      </c>
      <c r="P56" s="4916" t="s">
        <v>6221</v>
      </c>
      <c r="Q56" s="4917"/>
      <c r="R56" s="4917"/>
    </row>
    <row r="57" spans="2:22" ht="13.95" customHeight="1">
      <c r="B57" s="118" t="s">
        <v>1365</v>
      </c>
      <c r="C57" s="342">
        <f>C55/24</f>
        <v>39819.25</v>
      </c>
      <c r="D57" s="342"/>
      <c r="E57" s="240"/>
      <c r="H57" s="4919" t="s">
        <v>780</v>
      </c>
      <c r="I57" s="3833"/>
      <c r="N57" s="621">
        <f>ROW()</f>
        <v>57</v>
      </c>
      <c r="P57" s="4918"/>
      <c r="Q57" s="4918"/>
      <c r="R57" s="4918"/>
    </row>
    <row r="58" spans="2:22" ht="13.95" customHeight="1">
      <c r="B58" s="118"/>
      <c r="C58" s="10"/>
      <c r="D58" s="10"/>
      <c r="E58" s="10"/>
      <c r="H58" s="3833"/>
      <c r="I58" s="3833"/>
      <c r="N58" s="621">
        <f>ROW()</f>
        <v>58</v>
      </c>
      <c r="R58" s="609"/>
      <c r="S58" s="197"/>
      <c r="T58" s="216" t="s">
        <v>2065</v>
      </c>
      <c r="U58" s="216" t="s">
        <v>2692</v>
      </c>
      <c r="V58" s="834" t="s">
        <v>1067</v>
      </c>
    </row>
    <row r="59" spans="2:22" s="6" customFormat="1" ht="13.95" customHeight="1">
      <c r="H59" s="3833"/>
      <c r="I59" s="3833"/>
      <c r="N59" s="621">
        <f>ROW()</f>
        <v>59</v>
      </c>
      <c r="R59" s="835"/>
      <c r="S59" s="737"/>
      <c r="T59" s="4904" t="s">
        <v>1107</v>
      </c>
      <c r="U59" s="4905"/>
      <c r="V59" s="4906"/>
    </row>
    <row r="60" spans="2:22" s="6" customFormat="1" ht="13.95" customHeight="1">
      <c r="J60" s="447"/>
      <c r="K60" s="447"/>
      <c r="L60" s="447"/>
      <c r="N60" s="621">
        <f>ROW()</f>
        <v>60</v>
      </c>
      <c r="R60" s="835"/>
      <c r="S60" s="737"/>
      <c r="T60" s="4156"/>
      <c r="U60" s="4157"/>
      <c r="V60" s="4158"/>
    </row>
    <row r="61" spans="2:22" s="6" customFormat="1" ht="13.95" customHeight="1">
      <c r="J61" s="447"/>
      <c r="K61" s="447"/>
      <c r="L61" s="447"/>
      <c r="N61" s="621">
        <f>ROW()</f>
        <v>61</v>
      </c>
      <c r="R61" s="835"/>
      <c r="S61" s="737"/>
      <c r="T61" s="4156"/>
      <c r="U61" s="4157"/>
      <c r="V61" s="4158"/>
    </row>
    <row r="62" spans="2:22" s="6" customFormat="1" ht="13.95" customHeight="1">
      <c r="J62" s="447"/>
      <c r="K62" s="447"/>
      <c r="L62" s="447"/>
      <c r="N62" s="621">
        <f>ROW()</f>
        <v>62</v>
      </c>
      <c r="R62" s="836"/>
      <c r="S62" s="684" t="s">
        <v>1472</v>
      </c>
      <c r="T62" s="236">
        <f>SUMIF($G$31:$G$54,"=Graveyard",T$31:T$54)</f>
        <v>3.4774377160509851E-2</v>
      </c>
      <c r="U62" s="236">
        <f>SUMIF($G$31:$G$54,"=Graveyard",U$31:U$54)</f>
        <v>0.10122911966386694</v>
      </c>
      <c r="V62" s="946">
        <f>SUMIF($G$31:$G$54,"=Graveyard",V$31:V$54)</f>
        <v>0.1745943240278571</v>
      </c>
    </row>
    <row r="63" spans="2:22" s="6" customFormat="1" ht="13.95" customHeight="1">
      <c r="J63" s="447"/>
      <c r="K63" s="447"/>
      <c r="L63" s="447"/>
      <c r="N63" s="621">
        <f>ROW()</f>
        <v>63</v>
      </c>
      <c r="R63" s="836"/>
      <c r="S63" s="684" t="s">
        <v>615</v>
      </c>
      <c r="T63" s="236">
        <f>SUMIF($G$31:$G$54,"=A.M. Pre-peak",T$31:T$54)</f>
        <v>5.2542158476622504E-2</v>
      </c>
      <c r="U63" s="236">
        <f>SUMIF($G$31:$G$54,"=A.M. Pre-peak",U$31:U$54)</f>
        <v>1.0165605680828938E-2</v>
      </c>
      <c r="V63" s="946">
        <f>SUMIF($G$31:$G$54,"=A.M. Pre-peak",V$31:V$54)</f>
        <v>3.5173647538809284E-2</v>
      </c>
    </row>
    <row r="64" spans="2:22" s="6" customFormat="1" ht="13.95" customHeight="1">
      <c r="J64" s="447"/>
      <c r="K64" s="447"/>
      <c r="L64" s="447"/>
      <c r="N64" s="621">
        <f>ROW()</f>
        <v>64</v>
      </c>
      <c r="R64" s="836"/>
      <c r="S64" s="684" t="s">
        <v>2445</v>
      </c>
      <c r="T64" s="236">
        <f>SUMIF($G$31:$G$54,"=A.M. Peak",T$31:T$54)</f>
        <v>0.32329562193577821</v>
      </c>
      <c r="U64" s="236">
        <f>SUMIF($G$31:$G$54,"=A.M. Peak",U$31:U$54)</f>
        <v>8.6035622937990705E-2</v>
      </c>
      <c r="V64" s="946">
        <f>SUMIF($G$31:$G$54,"=A.M. Peak",V$31:V$54)</f>
        <v>0.1217395935932313</v>
      </c>
    </row>
    <row r="65" spans="10:22" s="6" customFormat="1" ht="13.95" customHeight="1">
      <c r="J65" s="447"/>
      <c r="K65" s="447"/>
      <c r="L65" s="447"/>
      <c r="N65" s="621">
        <f>ROW()</f>
        <v>65</v>
      </c>
      <c r="R65" s="836"/>
      <c r="S65" s="684" t="s">
        <v>616</v>
      </c>
      <c r="T65" s="236">
        <f>SUMIF($G$31:$G$54,"=A.M. Post-peak",T$31:T$54)</f>
        <v>7.7685085667039425E-2</v>
      </c>
      <c r="U65" s="236">
        <f>SUMIF($G$31:$G$54,"=A.M. Post-peak",U$31:U$54)</f>
        <v>5.1030902605753624E-2</v>
      </c>
      <c r="V65" s="946">
        <f>SUMIF($G$31:$G$54,"=A.M. Post-peak",V$31:V$54)</f>
        <v>3.6003631125768515E-2</v>
      </c>
    </row>
    <row r="66" spans="10:22" s="6" customFormat="1" ht="13.95" customHeight="1">
      <c r="J66" s="447"/>
      <c r="K66" s="447"/>
      <c r="L66" s="447"/>
      <c r="N66" s="621">
        <f>ROW()</f>
        <v>66</v>
      </c>
      <c r="R66" s="836"/>
      <c r="S66" s="684" t="s">
        <v>1152</v>
      </c>
      <c r="T66" s="236">
        <f>SUMIF($G$31:$G$54,"=Midday Peak",T$31:T$54)</f>
        <v>0.21198723025228811</v>
      </c>
      <c r="U66" s="236">
        <f>SUMIF($G$31:$G$54,"=Midday Peak",U$31:U$54)</f>
        <v>0.19276532032773872</v>
      </c>
      <c r="V66" s="946">
        <f>SUMIF($G$31:$G$54,"=Midday Peak",V$31:V$54)</f>
        <v>0.15481311843790296</v>
      </c>
    </row>
    <row r="67" spans="10:22" s="6" customFormat="1" ht="13.95" customHeight="1">
      <c r="J67" s="447"/>
      <c r="K67" s="447"/>
      <c r="L67" s="447"/>
      <c r="N67" s="621">
        <f>ROW()</f>
        <v>67</v>
      </c>
      <c r="R67" s="836"/>
      <c r="S67" s="684" t="s">
        <v>1151</v>
      </c>
      <c r="T67" s="236">
        <f>SUMIF($G$31:$G$54,"=P.M. Peak",T$31:T$54)</f>
        <v>0.23450542496050372</v>
      </c>
      <c r="U67" s="236">
        <f>SUMIF($G$31:$G$54,"=P.M. Peak",U$31:U$54)</f>
        <v>0.42543582042105477</v>
      </c>
      <c r="V67" s="946">
        <f>SUMIF($G$31:$G$54,"=P.M. Peak",V$31:V$54)</f>
        <v>0.31397306097233896</v>
      </c>
    </row>
    <row r="68" spans="10:22" s="6" customFormat="1" ht="13.95" customHeight="1">
      <c r="J68" s="447"/>
      <c r="K68" s="447"/>
      <c r="L68" s="447"/>
      <c r="N68" s="621">
        <f>ROW()</f>
        <v>68</v>
      </c>
      <c r="R68" s="836"/>
      <c r="S68" s="684" t="s">
        <v>617</v>
      </c>
      <c r="T68" s="236">
        <f>SUMIF($G$31:$G$54,"=P.M. Post-peak",T$31:T$54)</f>
        <v>6.5210101547258273E-2</v>
      </c>
      <c r="U68" s="236">
        <f>SUMIF($G$31:$G$54,"=P.M. Post-peak",U$31:U$54)</f>
        <v>0.13333760836276631</v>
      </c>
      <c r="V68" s="946">
        <f>SUMIF($G$31:$G$54,"=P.M. Post-peak",V$31:V$54)</f>
        <v>0.16370262430409191</v>
      </c>
    </row>
    <row r="69" spans="10:22" s="6" customFormat="1" ht="13.95" customHeight="1">
      <c r="J69" s="447"/>
      <c r="K69" s="447"/>
      <c r="L69" s="447"/>
      <c r="N69" s="621">
        <f>ROW()</f>
        <v>69</v>
      </c>
      <c r="T69" s="837">
        <f>SUM(T62:T68)</f>
        <v>1.0000000000000002</v>
      </c>
      <c r="U69" s="837">
        <f>SUM(U62:U68)</f>
        <v>1</v>
      </c>
      <c r="V69" s="837">
        <f>SUM(V62:V68)</f>
        <v>1.0000000000000002</v>
      </c>
    </row>
    <row r="70" spans="10:22" s="6" customFormat="1" ht="13.95" customHeight="1">
      <c r="J70" s="447"/>
      <c r="K70" s="447"/>
      <c r="L70" s="447"/>
      <c r="N70" s="621">
        <f>ROW()</f>
        <v>70</v>
      </c>
    </row>
    <row r="71" spans="10:22" s="6" customFormat="1" ht="13.95" customHeight="1">
      <c r="J71" s="447"/>
      <c r="K71" s="447"/>
      <c r="L71" s="447"/>
      <c r="N71" s="621">
        <f>ROW()</f>
        <v>71</v>
      </c>
    </row>
    <row r="72" spans="10:22" s="6" customFormat="1" ht="13.95" customHeight="1">
      <c r="J72" s="447"/>
      <c r="K72" s="447"/>
      <c r="L72" s="447"/>
      <c r="N72" s="621">
        <f>ROW()</f>
        <v>72</v>
      </c>
      <c r="Q72"/>
      <c r="R72"/>
    </row>
    <row r="73" spans="10:22" s="6" customFormat="1" ht="13.95" customHeight="1">
      <c r="J73" s="447"/>
      <c r="K73" s="447"/>
      <c r="L73" s="447"/>
      <c r="N73" s="621">
        <f>ROW()</f>
        <v>73</v>
      </c>
    </row>
    <row r="74" spans="10:22" s="6" customFormat="1" ht="13.95" customHeight="1">
      <c r="J74" s="447"/>
      <c r="K74" s="447"/>
      <c r="L74" s="447"/>
      <c r="N74" s="621">
        <f>ROW()</f>
        <v>74</v>
      </c>
    </row>
    <row r="75" spans="10:22" s="6" customFormat="1" ht="13.95" customHeight="1">
      <c r="J75" s="447"/>
      <c r="K75" s="447"/>
      <c r="L75" s="447"/>
      <c r="N75" s="621">
        <f>ROW()</f>
        <v>75</v>
      </c>
    </row>
    <row r="76" spans="10:22" s="6" customFormat="1" ht="13.95" customHeight="1">
      <c r="J76" s="447"/>
      <c r="K76" s="447"/>
      <c r="L76" s="447"/>
      <c r="N76" s="621">
        <f>ROW()</f>
        <v>76</v>
      </c>
    </row>
    <row r="77" spans="10:22" s="6" customFormat="1" ht="13.95" customHeight="1">
      <c r="J77" s="447"/>
      <c r="K77" s="447"/>
      <c r="L77" s="447"/>
      <c r="N77" s="621">
        <f>ROW()</f>
        <v>77</v>
      </c>
    </row>
    <row r="78" spans="10:22" s="6" customFormat="1" ht="13.95" customHeight="1">
      <c r="J78" s="447"/>
      <c r="K78" s="447"/>
      <c r="L78" s="447"/>
      <c r="N78" s="621">
        <f>ROW()</f>
        <v>78</v>
      </c>
    </row>
    <row r="79" spans="10:22" s="6" customFormat="1" ht="13.95" customHeight="1">
      <c r="J79" s="447"/>
      <c r="K79" s="447"/>
      <c r="L79" s="447"/>
      <c r="N79" s="621">
        <f>ROW()</f>
        <v>79</v>
      </c>
    </row>
    <row r="80" spans="10:22" s="6" customFormat="1" ht="13.95" customHeight="1">
      <c r="J80" s="447"/>
      <c r="K80" s="447"/>
      <c r="L80" s="447"/>
      <c r="N80" s="621">
        <f>ROW()</f>
        <v>80</v>
      </c>
    </row>
    <row r="81" spans="1:14" s="6" customFormat="1" ht="13.95" customHeight="1">
      <c r="J81" s="447"/>
      <c r="K81" s="447"/>
      <c r="L81" s="447"/>
      <c r="N81" s="621">
        <f>ROW()</f>
        <v>81</v>
      </c>
    </row>
    <row r="82" spans="1:14" s="6" customFormat="1" ht="13.95" customHeight="1">
      <c r="J82" s="447"/>
      <c r="K82" s="447"/>
      <c r="L82" s="447"/>
      <c r="N82" s="621">
        <f>ROW()</f>
        <v>82</v>
      </c>
    </row>
    <row r="83" spans="1:14" ht="13.95" customHeight="1">
      <c r="J83" s="39"/>
      <c r="K83" s="39"/>
      <c r="L83" s="39"/>
      <c r="N83" s="621">
        <f>ROW()</f>
        <v>83</v>
      </c>
    </row>
    <row r="84" spans="1:14" ht="13.95" customHeight="1">
      <c r="J84" s="39"/>
      <c r="K84" s="39"/>
      <c r="L84" s="39"/>
      <c r="N84" s="621">
        <f>ROW()</f>
        <v>84</v>
      </c>
    </row>
    <row r="85" spans="1:14" s="9" customFormat="1" ht="13.95" customHeight="1">
      <c r="B85" s="24" t="s">
        <v>1297</v>
      </c>
      <c r="N85" s="621">
        <f>ROW()</f>
        <v>85</v>
      </c>
    </row>
    <row r="86" spans="1:14" s="9" customFormat="1" ht="13.95" customHeight="1">
      <c r="B86" s="24"/>
      <c r="N86" s="621">
        <f>ROW()</f>
        <v>86</v>
      </c>
    </row>
    <row r="87" spans="1:14" s="9" customFormat="1" ht="13.95" customHeight="1">
      <c r="B87" s="4605" t="s">
        <v>6222</v>
      </c>
      <c r="C87" s="4605"/>
      <c r="D87" s="4605"/>
      <c r="E87" s="4605"/>
      <c r="F87" s="4605"/>
      <c r="G87" s="4605"/>
      <c r="H87" s="4605"/>
      <c r="I87" s="4605"/>
      <c r="N87" s="621">
        <f>ROW()</f>
        <v>87</v>
      </c>
    </row>
    <row r="88" spans="1:14" s="9" customFormat="1" ht="13.95" customHeight="1">
      <c r="A88" s="18"/>
      <c r="B88" s="4605"/>
      <c r="C88" s="4605"/>
      <c r="D88" s="4605"/>
      <c r="E88" s="4605"/>
      <c r="F88" s="4605"/>
      <c r="G88" s="4605"/>
      <c r="H88" s="4605"/>
      <c r="I88" s="4605"/>
      <c r="N88" s="621">
        <f>ROW()</f>
        <v>88</v>
      </c>
    </row>
    <row r="89" spans="1:14" s="9" customFormat="1" ht="13.95" customHeight="1">
      <c r="A89" s="18"/>
      <c r="B89" s="4605"/>
      <c r="C89" s="4605"/>
      <c r="D89" s="4605"/>
      <c r="E89" s="4605"/>
      <c r="F89" s="4605"/>
      <c r="G89" s="4605"/>
      <c r="H89" s="4605"/>
      <c r="I89" s="4605"/>
      <c r="N89" s="621">
        <f>ROW()</f>
        <v>89</v>
      </c>
    </row>
    <row r="90" spans="1:14" s="9" customFormat="1" ht="13.95" customHeight="1">
      <c r="A90" s="18"/>
      <c r="B90" s="4605"/>
      <c r="C90" s="4605"/>
      <c r="D90" s="4605"/>
      <c r="E90" s="4605"/>
      <c r="F90" s="4605"/>
      <c r="G90" s="4605"/>
      <c r="H90" s="4605"/>
      <c r="I90" s="4605"/>
      <c r="N90" s="621">
        <f>ROW()</f>
        <v>90</v>
      </c>
    </row>
    <row r="91" spans="1:14" s="9" customFormat="1" ht="13.95" customHeight="1">
      <c r="A91" s="18"/>
      <c r="B91" s="4605"/>
      <c r="C91" s="4605"/>
      <c r="D91" s="4605"/>
      <c r="E91" s="4605"/>
      <c r="F91" s="4605"/>
      <c r="G91" s="4605"/>
      <c r="H91" s="4605"/>
      <c r="I91" s="4605"/>
      <c r="N91" s="621">
        <f>ROW()</f>
        <v>91</v>
      </c>
    </row>
    <row r="92" spans="1:14" s="9" customFormat="1" ht="13.95" customHeight="1">
      <c r="A92" s="18"/>
      <c r="B92" s="3659"/>
      <c r="C92" s="3659"/>
      <c r="D92" s="3659"/>
      <c r="E92" s="3659"/>
      <c r="F92" s="3659"/>
      <c r="G92" s="3659"/>
      <c r="H92" s="3659"/>
      <c r="I92" s="3659"/>
      <c r="N92" s="621">
        <f>ROW()</f>
        <v>92</v>
      </c>
    </row>
    <row r="93" spans="1:14" s="9" customFormat="1" ht="13.95" customHeight="1">
      <c r="A93" s="18"/>
      <c r="B93" s="3659"/>
      <c r="C93" s="3659"/>
      <c r="D93" s="3659"/>
      <c r="E93" s="3659"/>
      <c r="F93" s="3659"/>
      <c r="G93" s="3659"/>
      <c r="H93" s="3659"/>
      <c r="I93" s="3659"/>
      <c r="N93" s="621">
        <f>ROW()</f>
        <v>93</v>
      </c>
    </row>
    <row r="94" spans="1:14" s="9" customFormat="1" ht="13.95" customHeight="1">
      <c r="A94" s="18"/>
      <c r="B94" s="217"/>
      <c r="C94" s="217"/>
      <c r="D94" s="217"/>
      <c r="E94" s="217"/>
      <c r="F94" s="217"/>
      <c r="G94" s="217"/>
      <c r="H94" s="217"/>
      <c r="I94" s="217"/>
      <c r="N94" s="621">
        <f>ROW()</f>
        <v>94</v>
      </c>
    </row>
    <row r="95" spans="1:14" s="9" customFormat="1" ht="13.95" customHeight="1">
      <c r="A95" s="18"/>
      <c r="B95" s="4929" t="s">
        <v>3270</v>
      </c>
      <c r="C95" s="4929"/>
      <c r="D95" s="4929"/>
      <c r="E95" s="4929"/>
      <c r="F95" s="4929"/>
      <c r="G95" s="4929"/>
      <c r="H95" s="4929"/>
      <c r="I95" s="4929"/>
      <c r="N95" s="621">
        <f>ROW()</f>
        <v>95</v>
      </c>
    </row>
    <row r="96" spans="1:14" s="9" customFormat="1" ht="13.95" customHeight="1">
      <c r="A96" s="18"/>
      <c r="B96" s="4929"/>
      <c r="C96" s="4929"/>
      <c r="D96" s="4929"/>
      <c r="E96" s="4929"/>
      <c r="F96" s="4929"/>
      <c r="G96" s="4929"/>
      <c r="H96" s="4929"/>
      <c r="I96" s="4929"/>
      <c r="N96" s="621">
        <f>ROW()</f>
        <v>96</v>
      </c>
    </row>
    <row r="97" spans="1:14" s="9" customFormat="1" ht="13.95" customHeight="1">
      <c r="A97" s="18"/>
      <c r="B97" s="4929"/>
      <c r="C97" s="4929"/>
      <c r="D97" s="4929"/>
      <c r="E97" s="4929"/>
      <c r="F97" s="4929"/>
      <c r="G97" s="4929"/>
      <c r="H97" s="4929"/>
      <c r="I97" s="4929"/>
      <c r="N97" s="621">
        <f>ROW()</f>
        <v>97</v>
      </c>
    </row>
    <row r="98" spans="1:14" s="9" customFormat="1" ht="13.95" customHeight="1">
      <c r="A98" s="18"/>
      <c r="B98" s="4929"/>
      <c r="C98" s="4929"/>
      <c r="D98" s="4929"/>
      <c r="E98" s="4929"/>
      <c r="F98" s="4929"/>
      <c r="G98" s="4929"/>
      <c r="H98" s="4929"/>
      <c r="I98" s="4929"/>
      <c r="N98" s="621">
        <f>ROW()</f>
        <v>98</v>
      </c>
    </row>
    <row r="99" spans="1:14" s="9" customFormat="1" ht="13.95" customHeight="1">
      <c r="A99" s="18"/>
      <c r="B99" s="692"/>
      <c r="C99" s="692"/>
      <c r="D99" s="692"/>
      <c r="E99" s="692"/>
      <c r="F99" s="692"/>
      <c r="G99" s="692"/>
      <c r="H99" s="692"/>
      <c r="I99" s="692"/>
      <c r="N99" s="621">
        <f>ROW()</f>
        <v>99</v>
      </c>
    </row>
    <row r="100" spans="1:14" s="9" customFormat="1" ht="13.95" customHeight="1">
      <c r="B100" s="308" t="s">
        <v>557</v>
      </c>
      <c r="N100" s="621">
        <f>ROW()</f>
        <v>100</v>
      </c>
    </row>
    <row r="101" spans="1:14" s="9" customFormat="1" ht="13.95" customHeight="1">
      <c r="B101" s="156"/>
      <c r="N101" s="621">
        <f>ROW()</f>
        <v>101</v>
      </c>
    </row>
    <row r="102" spans="1:14" s="9" customFormat="1" ht="13.95" customHeight="1">
      <c r="B102" s="1988" t="s">
        <v>3272</v>
      </c>
      <c r="C102" s="687"/>
      <c r="D102" s="45"/>
      <c r="E102" s="45"/>
      <c r="F102" s="45"/>
      <c r="G102" s="45"/>
      <c r="H102" s="45"/>
      <c r="I102" s="45"/>
      <c r="N102" s="621">
        <f>ROW()</f>
        <v>102</v>
      </c>
    </row>
    <row r="103" spans="1:14" s="9" customFormat="1" ht="13.95" customHeight="1">
      <c r="B103" s="692" t="s">
        <v>1887</v>
      </c>
      <c r="C103" s="687"/>
      <c r="D103" s="45"/>
      <c r="E103" s="45"/>
      <c r="F103" s="45"/>
      <c r="G103" s="45"/>
      <c r="H103" s="45"/>
      <c r="I103" s="45"/>
      <c r="N103" s="621">
        <f>ROW()</f>
        <v>103</v>
      </c>
    </row>
    <row r="104" spans="1:14" s="9" customFormat="1" ht="13.95" customHeight="1">
      <c r="B104" s="692" t="s">
        <v>2833</v>
      </c>
      <c r="C104" s="687"/>
      <c r="N104" s="621">
        <f>ROW()</f>
        <v>104</v>
      </c>
    </row>
    <row r="105" spans="1:14" s="9" customFormat="1" ht="13.95" customHeight="1">
      <c r="B105" s="692" t="s">
        <v>2214</v>
      </c>
      <c r="C105" s="687"/>
      <c r="D105" s="20"/>
      <c r="N105" s="621">
        <f>ROW()</f>
        <v>105</v>
      </c>
    </row>
    <row r="106" spans="1:14" s="9" customFormat="1" ht="13.95" customHeight="1">
      <c r="B106" s="695" t="s">
        <v>2610</v>
      </c>
      <c r="C106" s="693">
        <v>-0.373</v>
      </c>
      <c r="D106" s="143"/>
      <c r="N106" s="621">
        <f>ROW()</f>
        <v>106</v>
      </c>
    </row>
    <row r="107" spans="1:14" s="9" customFormat="1" ht="13.95" customHeight="1">
      <c r="B107" s="696" t="s">
        <v>2611</v>
      </c>
      <c r="C107" s="694">
        <v>-0.97199999999999998</v>
      </c>
      <c r="D107" s="143"/>
      <c r="N107" s="621">
        <f>ROW()</f>
        <v>107</v>
      </c>
    </row>
    <row r="108" spans="1:14" s="9" customFormat="1" ht="13.95" customHeight="1">
      <c r="C108" s="143"/>
      <c r="D108" s="143"/>
      <c r="N108" s="621">
        <f>ROW()</f>
        <v>108</v>
      </c>
    </row>
    <row r="109" spans="1:14" s="9" customFormat="1" ht="13.95" customHeight="1">
      <c r="B109" s="700" t="s">
        <v>1141</v>
      </c>
      <c r="C109" s="701" t="s">
        <v>2426</v>
      </c>
      <c r="N109" s="621">
        <f>ROW()</f>
        <v>109</v>
      </c>
    </row>
    <row r="110" spans="1:14" s="9" customFormat="1" ht="31.2" customHeight="1">
      <c r="B110" s="699" t="s">
        <v>2425</v>
      </c>
      <c r="C110" s="699" t="s">
        <v>2427</v>
      </c>
      <c r="D110" s="595"/>
      <c r="N110" s="621">
        <f>ROW()</f>
        <v>110</v>
      </c>
    </row>
    <row r="111" spans="1:14" s="9" customFormat="1" ht="13.95" customHeight="1">
      <c r="B111" s="697">
        <v>0</v>
      </c>
      <c r="C111" s="697">
        <f>1/(1+EXP(-$C$106-$C$107*B111))</f>
        <v>0.40781631518767292</v>
      </c>
      <c r="D111" s="595"/>
      <c r="N111" s="621">
        <f>ROW()</f>
        <v>111</v>
      </c>
    </row>
    <row r="112" spans="1:14" s="9" customFormat="1" ht="13.95" customHeight="1">
      <c r="B112" s="697">
        <v>0.25</v>
      </c>
      <c r="C112" s="697">
        <f t="shared" ref="C112:C127" si="11">1/(1+EXP(-$C$106-$C$107*B112))</f>
        <v>0.35069173472886578</v>
      </c>
      <c r="D112" s="595"/>
      <c r="N112" s="621">
        <f>ROW()</f>
        <v>112</v>
      </c>
    </row>
    <row r="113" spans="2:14" s="9" customFormat="1" ht="13.95" customHeight="1">
      <c r="B113" s="697">
        <v>0.5</v>
      </c>
      <c r="C113" s="697">
        <f t="shared" si="11"/>
        <v>0.2975483166472328</v>
      </c>
      <c r="D113" s="595"/>
      <c r="N113" s="621">
        <f>ROW()</f>
        <v>113</v>
      </c>
    </row>
    <row r="114" spans="2:14" s="9" customFormat="1" ht="13.95" customHeight="1">
      <c r="B114" s="697">
        <v>0.75</v>
      </c>
      <c r="C114" s="697">
        <f t="shared" si="11"/>
        <v>0.24936534224156595</v>
      </c>
      <c r="D114" s="595"/>
      <c r="N114" s="621">
        <f>ROW()</f>
        <v>114</v>
      </c>
    </row>
    <row r="115" spans="2:14" s="9" customFormat="1" ht="13.95" customHeight="1">
      <c r="B115" s="697">
        <v>1</v>
      </c>
      <c r="C115" s="697">
        <f t="shared" si="11"/>
        <v>0.20668901283744179</v>
      </c>
      <c r="D115" s="595"/>
      <c r="N115" s="621">
        <f>ROW()</f>
        <v>115</v>
      </c>
    </row>
    <row r="116" spans="2:14" s="9" customFormat="1" ht="13.95" customHeight="1">
      <c r="B116" s="697">
        <v>1.25</v>
      </c>
      <c r="C116" s="697">
        <f t="shared" si="11"/>
        <v>0.16966546900947296</v>
      </c>
      <c r="D116" s="595"/>
      <c r="N116" s="621">
        <f>ROW()</f>
        <v>116</v>
      </c>
    </row>
    <row r="117" spans="2:14" s="9" customFormat="1" ht="13.95" customHeight="1">
      <c r="B117" s="697">
        <v>1.5</v>
      </c>
      <c r="C117" s="697">
        <f t="shared" si="11"/>
        <v>0.13811918780994145</v>
      </c>
      <c r="D117" s="595"/>
      <c r="N117" s="621">
        <f>ROW()</f>
        <v>117</v>
      </c>
    </row>
    <row r="118" spans="2:14" s="9" customFormat="1" ht="13.95" customHeight="1">
      <c r="B118" s="697">
        <v>1.75</v>
      </c>
      <c r="C118" s="697">
        <f t="shared" si="11"/>
        <v>0.11164968570482654</v>
      </c>
      <c r="D118" s="595"/>
      <c r="N118" s="621">
        <f>ROW()</f>
        <v>118</v>
      </c>
    </row>
    <row r="119" spans="2:14" s="9" customFormat="1" ht="13.95" customHeight="1">
      <c r="B119" s="697">
        <v>2</v>
      </c>
      <c r="C119" s="697">
        <f t="shared" si="11"/>
        <v>8.9724780673936508E-2</v>
      </c>
      <c r="D119" s="595"/>
      <c r="N119" s="621">
        <f>ROW()</f>
        <v>119</v>
      </c>
    </row>
    <row r="120" spans="2:14" s="9" customFormat="1" ht="13.95" customHeight="1">
      <c r="B120" s="697">
        <v>2.25</v>
      </c>
      <c r="C120" s="697">
        <f t="shared" si="11"/>
        <v>7.1757542263751362E-2</v>
      </c>
      <c r="D120" s="595"/>
      <c r="N120" s="621">
        <f>ROW()</f>
        <v>120</v>
      </c>
    </row>
    <row r="121" spans="2:14" s="9" customFormat="1" ht="13.95" customHeight="1">
      <c r="B121" s="697">
        <v>2.5</v>
      </c>
      <c r="C121" s="697">
        <f t="shared" si="11"/>
        <v>5.7162276682630894E-2</v>
      </c>
      <c r="D121" s="595"/>
      <c r="N121" s="621">
        <f>ROW()</f>
        <v>121</v>
      </c>
    </row>
    <row r="122" spans="2:14" s="9" customFormat="1" ht="13.95" customHeight="1">
      <c r="B122" s="697">
        <v>2.75</v>
      </c>
      <c r="C122" s="697">
        <f t="shared" si="11"/>
        <v>4.5390479387161564E-2</v>
      </c>
      <c r="D122" s="595"/>
      <c r="N122" s="621">
        <f>ROW()</f>
        <v>122</v>
      </c>
    </row>
    <row r="123" spans="2:14" s="9" customFormat="1" ht="13.95" customHeight="1">
      <c r="B123" s="697">
        <v>3</v>
      </c>
      <c r="C123" s="697">
        <f t="shared" si="11"/>
        <v>3.5950487854562355E-2</v>
      </c>
      <c r="D123" s="595"/>
      <c r="N123" s="621">
        <f>ROW()</f>
        <v>123</v>
      </c>
    </row>
    <row r="124" spans="2:14" s="9" customFormat="1" ht="13.95" customHeight="1">
      <c r="B124" s="697">
        <v>3.25</v>
      </c>
      <c r="C124" s="697">
        <f t="shared" si="11"/>
        <v>2.8415319802735414E-2</v>
      </c>
      <c r="N124" s="621">
        <f>ROW()</f>
        <v>124</v>
      </c>
    </row>
    <row r="125" spans="2:14" s="9" customFormat="1" ht="13.95" customHeight="1">
      <c r="B125" s="697">
        <v>3.5</v>
      </c>
      <c r="C125" s="697">
        <f t="shared" si="11"/>
        <v>2.2422777365062686E-2</v>
      </c>
      <c r="N125" s="621">
        <f>ROW()</f>
        <v>125</v>
      </c>
    </row>
    <row r="126" spans="2:14" s="9" customFormat="1" ht="13.95" customHeight="1">
      <c r="B126" s="697">
        <v>3.75</v>
      </c>
      <c r="C126" s="697">
        <f t="shared" si="11"/>
        <v>1.7671024388489009E-2</v>
      </c>
      <c r="E126" s="691"/>
      <c r="N126" s="621">
        <f>ROW()</f>
        <v>126</v>
      </c>
    </row>
    <row r="127" spans="2:14" s="9" customFormat="1" ht="13.95" customHeight="1">
      <c r="B127" s="698">
        <v>4</v>
      </c>
      <c r="C127" s="698">
        <f t="shared" si="11"/>
        <v>1.3911915262187715E-2</v>
      </c>
      <c r="N127" s="621">
        <f>ROW()</f>
        <v>127</v>
      </c>
    </row>
    <row r="128" spans="2:14" s="9" customFormat="1" ht="13.95" customHeight="1">
      <c r="B128" s="143"/>
      <c r="C128" s="45"/>
      <c r="D128" s="45"/>
      <c r="E128" s="45"/>
      <c r="F128" s="45"/>
      <c r="G128" s="45"/>
      <c r="H128" s="45"/>
      <c r="I128" s="45"/>
      <c r="N128" s="621">
        <f>ROW()</f>
        <v>128</v>
      </c>
    </row>
    <row r="129" spans="2:21" s="9" customFormat="1" ht="13.95" customHeight="1">
      <c r="B129" s="702" t="str">
        <f>CONCATENATE("X and P value pairs were also provided in Matthew Kitchen e-mail referenced in Row ",N105, ".")</f>
        <v>X and P value pairs were also provided in Matthew Kitchen e-mail referenced in Row 105.</v>
      </c>
      <c r="C129" s="45"/>
      <c r="D129" s="45"/>
      <c r="E129" s="45"/>
      <c r="F129" s="45"/>
      <c r="G129" s="45"/>
      <c r="H129" s="45"/>
      <c r="I129" s="45"/>
      <c r="N129" s="621">
        <f>ROW()</f>
        <v>129</v>
      </c>
    </row>
    <row r="130" spans="2:21" s="9" customFormat="1" ht="13.95" customHeight="1">
      <c r="B130" s="688"/>
      <c r="N130" s="621">
        <f>ROW()</f>
        <v>130</v>
      </c>
    </row>
    <row r="131" spans="2:21" s="9" customFormat="1" ht="13.95" customHeight="1">
      <c r="B131" s="689" t="s">
        <v>2361</v>
      </c>
      <c r="F131" s="175"/>
      <c r="G131" s="18"/>
      <c r="H131" s="18"/>
      <c r="I131" s="175"/>
      <c r="N131" s="621">
        <f>ROW()</f>
        <v>131</v>
      </c>
      <c r="P131" s="323"/>
      <c r="T131" s="175"/>
      <c r="U131" s="175"/>
    </row>
    <row r="132" spans="2:21" s="9" customFormat="1" ht="13.95" customHeight="1">
      <c r="B132" s="692" t="s">
        <v>2834</v>
      </c>
      <c r="C132" s="1"/>
      <c r="D132" s="1"/>
      <c r="E132" s="1"/>
      <c r="F132" s="189"/>
      <c r="G132" s="1"/>
      <c r="H132" s="1"/>
      <c r="I132" s="189"/>
      <c r="J132" s="1"/>
      <c r="K132" s="1"/>
      <c r="L132" s="1"/>
      <c r="M132" s="1"/>
      <c r="N132" s="621">
        <f>ROW()</f>
        <v>132</v>
      </c>
      <c r="T132" s="175"/>
      <c r="U132" s="175"/>
    </row>
    <row r="133" spans="2:21" s="9" customFormat="1" ht="13.95" customHeight="1">
      <c r="B133" s="692" t="s">
        <v>43</v>
      </c>
      <c r="C133" s="1"/>
      <c r="D133" s="1"/>
      <c r="E133" s="1"/>
      <c r="F133" s="189"/>
      <c r="G133" s="4920" t="s">
        <v>2832</v>
      </c>
      <c r="H133" s="4921"/>
      <c r="I133" s="189"/>
      <c r="J133" s="1"/>
      <c r="K133" s="1"/>
      <c r="L133" s="1"/>
      <c r="M133" s="1"/>
      <c r="N133" s="621">
        <f>ROW()</f>
        <v>133</v>
      </c>
      <c r="T133" s="175"/>
      <c r="U133" s="175"/>
    </row>
    <row r="134" spans="2:21" s="9" customFormat="1" ht="13.95" customHeight="1">
      <c r="B134" s="1"/>
      <c r="C134" s="1"/>
      <c r="D134" s="1"/>
      <c r="E134" s="1"/>
      <c r="F134" s="189"/>
      <c r="G134" s="4922"/>
      <c r="H134" s="4923"/>
      <c r="I134" s="189"/>
      <c r="J134" s="1"/>
      <c r="K134" s="1"/>
      <c r="L134" s="1"/>
      <c r="M134" s="1"/>
      <c r="N134" s="621">
        <f>ROW()</f>
        <v>134</v>
      </c>
      <c r="T134" s="175"/>
      <c r="U134" s="175"/>
    </row>
    <row r="135" spans="2:21" s="9" customFormat="1" ht="13.95" customHeight="1">
      <c r="B135" s="1"/>
      <c r="C135" s="1"/>
      <c r="D135" s="1"/>
      <c r="E135" s="689"/>
      <c r="F135" s="689"/>
      <c r="G135" s="4924"/>
      <c r="H135" s="4925"/>
      <c r="I135" s="189"/>
      <c r="J135" s="1"/>
      <c r="K135" s="1"/>
      <c r="L135" s="1"/>
      <c r="M135" s="1"/>
      <c r="N135" s="621">
        <f>ROW()</f>
        <v>135</v>
      </c>
      <c r="T135" s="175"/>
      <c r="U135" s="175"/>
    </row>
    <row r="136" spans="2:21" s="9" customFormat="1" ht="13.95" customHeight="1">
      <c r="B136" s="1"/>
      <c r="E136" s="711" t="s">
        <v>2570</v>
      </c>
      <c r="F136" s="711" t="s">
        <v>44</v>
      </c>
      <c r="G136" s="710" t="s">
        <v>1140</v>
      </c>
      <c r="H136" s="1"/>
      <c r="I136" s="1"/>
      <c r="J136" s="1"/>
      <c r="K136" s="1"/>
      <c r="L136" s="1"/>
      <c r="M136" s="1"/>
      <c r="N136" s="621">
        <f>ROW()</f>
        <v>136</v>
      </c>
    </row>
    <row r="137" spans="2:21" s="9" customFormat="1" ht="13.95" customHeight="1">
      <c r="C137" s="4926" t="s">
        <v>2905</v>
      </c>
      <c r="D137" s="4927"/>
      <c r="E137" s="703">
        <v>0</v>
      </c>
      <c r="F137" s="704">
        <f>LN(1+EXP($C$106+$C$107*E137))/$C$107</f>
        <v>-0.53903128994374272</v>
      </c>
      <c r="G137" s="705"/>
      <c r="H137" s="706"/>
      <c r="L137" s="202"/>
      <c r="M137" s="202"/>
      <c r="N137" s="621">
        <f>ROW()</f>
        <v>137</v>
      </c>
      <c r="S137" s="8"/>
      <c r="T137" s="8"/>
      <c r="U137" s="170"/>
    </row>
    <row r="138" spans="2:21" s="9" customFormat="1" ht="13.95" customHeight="1">
      <c r="C138" s="4928"/>
      <c r="D138" s="4927"/>
      <c r="E138" s="707">
        <v>1</v>
      </c>
      <c r="F138" s="704">
        <f t="shared" ref="F138:F147" si="12">LN(1+EXP($C$106+$C$107*E138))/$C$107</f>
        <v>-0.23820984446871371</v>
      </c>
      <c r="G138" s="712">
        <f>(F138-$F$137)/E138</f>
        <v>0.30082144547502898</v>
      </c>
      <c r="H138" s="202"/>
      <c r="L138" s="202"/>
      <c r="M138" s="202"/>
      <c r="N138" s="621">
        <f>ROW()</f>
        <v>138</v>
      </c>
      <c r="P138" s="323"/>
      <c r="S138" s="169"/>
      <c r="U138" s="184"/>
    </row>
    <row r="139" spans="2:21" s="9" customFormat="1" ht="13.95" customHeight="1">
      <c r="C139" s="4928"/>
      <c r="D139" s="4927"/>
      <c r="E139" s="707">
        <v>2</v>
      </c>
      <c r="F139" s="704">
        <f t="shared" si="12"/>
        <v>-9.6716344009045302E-2</v>
      </c>
      <c r="G139" s="712">
        <f t="shared" ref="G139:G147" si="13">(F139-$F$137)/E139</f>
        <v>0.22115747296734872</v>
      </c>
      <c r="H139" s="202"/>
      <c r="L139" s="202"/>
      <c r="M139" s="202"/>
      <c r="N139" s="621">
        <f>ROW()</f>
        <v>139</v>
      </c>
      <c r="S139" s="169"/>
      <c r="U139" s="184"/>
    </row>
    <row r="140" spans="2:21" s="9" customFormat="1" ht="13.95" customHeight="1">
      <c r="C140" s="4928"/>
      <c r="D140" s="4927"/>
      <c r="E140" s="715">
        <v>3</v>
      </c>
      <c r="F140" s="704">
        <f t="shared" si="12"/>
        <v>-3.7667309201451067E-2</v>
      </c>
      <c r="G140" s="714">
        <f t="shared" si="13"/>
        <v>0.1671213269140972</v>
      </c>
      <c r="H140" s="202"/>
      <c r="L140" s="202"/>
      <c r="M140" s="202"/>
      <c r="N140" s="621">
        <f>ROW()</f>
        <v>140</v>
      </c>
      <c r="S140" s="169"/>
      <c r="U140" s="184"/>
    </row>
    <row r="141" spans="2:21" s="9" customFormat="1" ht="13.95" customHeight="1">
      <c r="C141" s="4928"/>
      <c r="D141" s="4927"/>
      <c r="E141" s="707">
        <v>4</v>
      </c>
      <c r="F141" s="704">
        <f t="shared" si="12"/>
        <v>-1.4413161456571115E-2</v>
      </c>
      <c r="G141" s="712">
        <f t="shared" si="13"/>
        <v>0.1311545321217929</v>
      </c>
      <c r="H141" s="202"/>
      <c r="L141" s="202"/>
      <c r="M141" s="202"/>
      <c r="N141" s="621">
        <f>ROW()</f>
        <v>141</v>
      </c>
      <c r="S141" s="169"/>
      <c r="U141" s="184"/>
    </row>
    <row r="142" spans="2:21" s="9" customFormat="1" ht="13.95" customHeight="1">
      <c r="C142" s="4928"/>
      <c r="D142" s="4927"/>
      <c r="E142" s="707">
        <v>5</v>
      </c>
      <c r="F142" s="704">
        <f t="shared" si="12"/>
        <v>-5.4766408275568196E-3</v>
      </c>
      <c r="G142" s="712">
        <f t="shared" si="13"/>
        <v>0.10671092982323718</v>
      </c>
      <c r="H142" s="202"/>
      <c r="L142" s="202"/>
      <c r="M142" s="202"/>
      <c r="N142" s="621">
        <f>ROW()</f>
        <v>142</v>
      </c>
      <c r="S142" s="169"/>
      <c r="U142" s="184"/>
    </row>
    <row r="143" spans="2:21" s="9" customFormat="1" ht="13.95" customHeight="1">
      <c r="C143" s="4928"/>
      <c r="D143" s="4927"/>
      <c r="E143" s="707">
        <v>6</v>
      </c>
      <c r="F143" s="704">
        <f t="shared" si="12"/>
        <v>-2.0753834827545877E-3</v>
      </c>
      <c r="G143" s="712">
        <f t="shared" si="13"/>
        <v>8.9492651076831353E-2</v>
      </c>
      <c r="H143" s="202"/>
      <c r="L143" s="202"/>
      <c r="M143" s="202"/>
      <c r="N143" s="621">
        <f>ROW()</f>
        <v>143</v>
      </c>
      <c r="R143" s="19"/>
      <c r="S143" s="169"/>
      <c r="U143" s="184"/>
    </row>
    <row r="144" spans="2:21" s="9" customFormat="1" ht="13.95" customHeight="1">
      <c r="C144" s="4928"/>
      <c r="D144" s="4927"/>
      <c r="E144" s="707">
        <v>7</v>
      </c>
      <c r="F144" s="704">
        <f t="shared" si="12"/>
        <v>-7.8566317958192911E-4</v>
      </c>
      <c r="G144" s="712">
        <f t="shared" si="13"/>
        <v>7.6892232394880106E-2</v>
      </c>
      <c r="H144" s="202"/>
      <c r="L144" s="202"/>
      <c r="M144" s="202"/>
      <c r="N144" s="621">
        <f>ROW()</f>
        <v>144</v>
      </c>
      <c r="R144" s="19"/>
      <c r="S144" s="169"/>
      <c r="U144" s="184"/>
    </row>
    <row r="145" spans="2:21" s="9" customFormat="1" ht="13.95" customHeight="1">
      <c r="C145" s="4928"/>
      <c r="D145" s="4927"/>
      <c r="E145" s="707">
        <v>8</v>
      </c>
      <c r="F145" s="704">
        <f t="shared" si="12"/>
        <v>-2.9730707813192863E-4</v>
      </c>
      <c r="G145" s="712">
        <f t="shared" si="13"/>
        <v>6.7341747858201351E-2</v>
      </c>
      <c r="H145" s="202"/>
      <c r="L145" s="202"/>
      <c r="M145" s="202"/>
      <c r="N145" s="621">
        <f>ROW()</f>
        <v>145</v>
      </c>
      <c r="R145" s="19"/>
      <c r="S145" s="169"/>
      <c r="U145" s="184"/>
    </row>
    <row r="146" spans="2:21" s="9" customFormat="1" ht="13.95" customHeight="1">
      <c r="C146" s="4928"/>
      <c r="D146" s="4927"/>
      <c r="E146" s="707">
        <v>9</v>
      </c>
      <c r="F146" s="704">
        <f t="shared" si="12"/>
        <v>-1.1248899136668244E-4</v>
      </c>
      <c r="G146" s="712">
        <f t="shared" si="13"/>
        <v>5.9879866772486218E-2</v>
      </c>
      <c r="H146" s="202"/>
      <c r="L146" s="202"/>
      <c r="M146" s="202"/>
      <c r="N146" s="621">
        <f>ROW()</f>
        <v>146</v>
      </c>
      <c r="R146" s="19"/>
      <c r="S146" s="169"/>
      <c r="U146" s="184"/>
    </row>
    <row r="147" spans="2:21" s="9" customFormat="1" ht="13.95" customHeight="1">
      <c r="C147" s="4928"/>
      <c r="D147" s="4927"/>
      <c r="E147" s="708">
        <v>10</v>
      </c>
      <c r="F147" s="709">
        <f t="shared" si="12"/>
        <v>-4.2558914893385675E-5</v>
      </c>
      <c r="G147" s="713">
        <f t="shared" si="13"/>
        <v>5.3898873102884937E-2</v>
      </c>
      <c r="H147" s="202"/>
      <c r="L147" s="202"/>
      <c r="M147" s="202"/>
      <c r="N147" s="621">
        <f>ROW()</f>
        <v>147</v>
      </c>
      <c r="R147" s="19"/>
      <c r="S147" s="169"/>
      <c r="U147" s="184"/>
    </row>
    <row r="148" spans="2:21" s="9" customFormat="1" ht="13.95" customHeight="1">
      <c r="E148" s="582"/>
      <c r="N148" s="621">
        <f>ROW()</f>
        <v>148</v>
      </c>
    </row>
    <row r="149" spans="2:21" ht="13.95" customHeight="1">
      <c r="B149" s="518" t="s">
        <v>3277</v>
      </c>
      <c r="J149" s="39"/>
      <c r="K149" s="39"/>
      <c r="L149" s="39"/>
      <c r="N149" s="621">
        <f>ROW()</f>
        <v>149</v>
      </c>
    </row>
    <row r="150" spans="2:21" ht="13.95" customHeight="1">
      <c r="J150" s="39"/>
      <c r="K150" s="39"/>
      <c r="L150" s="39"/>
      <c r="N150" s="621">
        <f>ROW()</f>
        <v>150</v>
      </c>
    </row>
    <row r="151" spans="2:21" ht="13.95" customHeight="1">
      <c r="B151" s="3786" t="s">
        <v>1203</v>
      </c>
      <c r="C151" s="3786"/>
      <c r="D151" s="3786"/>
      <c r="E151" s="3786"/>
      <c r="F151" s="3786"/>
      <c r="G151" s="3786"/>
      <c r="H151" s="3786"/>
      <c r="I151" s="3786"/>
      <c r="J151" s="3786"/>
      <c r="K151" s="3786"/>
      <c r="L151" s="3786"/>
      <c r="N151" s="621">
        <f>ROW()</f>
        <v>151</v>
      </c>
    </row>
    <row r="152" spans="2:21" ht="13.95" customHeight="1">
      <c r="B152" s="3786"/>
      <c r="C152" s="3786"/>
      <c r="D152" s="3786"/>
      <c r="E152" s="3786"/>
      <c r="F152" s="3786"/>
      <c r="G152" s="3786"/>
      <c r="H152" s="3786"/>
      <c r="I152" s="3786"/>
      <c r="J152" s="3786"/>
      <c r="K152" s="3786"/>
      <c r="L152" s="3786"/>
      <c r="N152" s="621">
        <f>ROW()</f>
        <v>152</v>
      </c>
    </row>
    <row r="153" spans="2:21" ht="13.95" customHeight="1">
      <c r="B153" s="3786"/>
      <c r="C153" s="3786"/>
      <c r="D153" s="3786"/>
      <c r="E153" s="3786"/>
      <c r="F153" s="3786"/>
      <c r="G153" s="3786"/>
      <c r="H153" s="3786"/>
      <c r="I153" s="3786"/>
      <c r="J153" s="3786"/>
      <c r="K153" s="3786"/>
      <c r="L153" s="3786"/>
      <c r="N153" s="621">
        <f>ROW()</f>
        <v>153</v>
      </c>
    </row>
    <row r="154" spans="2:21" ht="13.95" customHeight="1">
      <c r="J154" s="39"/>
      <c r="K154" s="39"/>
      <c r="L154" s="39"/>
      <c r="N154" s="621">
        <f>ROW()</f>
        <v>154</v>
      </c>
    </row>
    <row r="155" spans="2:21" ht="13.95" customHeight="1">
      <c r="B155" s="3786" t="s">
        <v>1178</v>
      </c>
      <c r="C155" s="3786"/>
      <c r="D155" s="3786"/>
      <c r="E155" s="3786"/>
      <c r="F155" s="3786"/>
      <c r="G155" s="3786"/>
      <c r="H155" s="3786"/>
      <c r="I155" s="3786"/>
      <c r="J155" s="3786"/>
      <c r="K155" s="3786"/>
      <c r="L155" s="3786"/>
      <c r="N155" s="621">
        <f>ROW()</f>
        <v>155</v>
      </c>
    </row>
    <row r="156" spans="2:21" ht="13.95" customHeight="1">
      <c r="B156" s="3786"/>
      <c r="C156" s="3786"/>
      <c r="D156" s="3786"/>
      <c r="E156" s="3786"/>
      <c r="F156" s="3786"/>
      <c r="G156" s="3786"/>
      <c r="H156" s="3786"/>
      <c r="I156" s="3786"/>
      <c r="J156" s="3786"/>
      <c r="K156" s="3786"/>
      <c r="L156" s="3786"/>
      <c r="N156" s="621">
        <f>ROW()</f>
        <v>156</v>
      </c>
    </row>
    <row r="157" spans="2:21" ht="13.95" customHeight="1">
      <c r="B157" s="3786"/>
      <c r="C157" s="3786"/>
      <c r="D157" s="3786"/>
      <c r="E157" s="3786"/>
      <c r="F157" s="3786"/>
      <c r="G157" s="3786"/>
      <c r="H157" s="3786"/>
      <c r="I157" s="3786"/>
      <c r="J157" s="3786"/>
      <c r="K157" s="3786"/>
      <c r="L157" s="3786"/>
      <c r="N157" s="621">
        <f>ROW()</f>
        <v>157</v>
      </c>
    </row>
    <row r="158" spans="2:21" ht="13.95" customHeight="1">
      <c r="J158" s="39"/>
      <c r="K158" s="39"/>
      <c r="L158" s="39"/>
      <c r="N158" s="621">
        <f>ROW()</f>
        <v>158</v>
      </c>
    </row>
    <row r="159" spans="2:21" ht="13.95" customHeight="1">
      <c r="B159" s="3786" t="s">
        <v>1553</v>
      </c>
      <c r="C159" s="3786"/>
      <c r="D159" s="3786"/>
      <c r="E159" s="3786"/>
      <c r="F159" s="3786"/>
      <c r="G159" s="3786"/>
      <c r="H159" s="3786"/>
      <c r="I159" s="3786"/>
      <c r="J159" s="3786"/>
      <c r="K159" s="3786"/>
      <c r="L159" s="3786"/>
      <c r="N159" s="621">
        <f>ROW()</f>
        <v>159</v>
      </c>
    </row>
    <row r="160" spans="2:21" ht="13.95" customHeight="1">
      <c r="B160" s="3786"/>
      <c r="C160" s="3786"/>
      <c r="D160" s="3786"/>
      <c r="E160" s="3786"/>
      <c r="F160" s="3786"/>
      <c r="G160" s="3786"/>
      <c r="H160" s="3786"/>
      <c r="I160" s="3786"/>
      <c r="J160" s="3786"/>
      <c r="K160" s="3786"/>
      <c r="L160" s="3786"/>
      <c r="N160" s="621">
        <f>ROW()</f>
        <v>160</v>
      </c>
    </row>
    <row r="161" spans="2:14" ht="13.95" customHeight="1">
      <c r="B161" s="3786"/>
      <c r="C161" s="3786"/>
      <c r="D161" s="3786"/>
      <c r="E161" s="3786"/>
      <c r="F161" s="3786"/>
      <c r="G161" s="3786"/>
      <c r="H161" s="3786"/>
      <c r="I161" s="3786"/>
      <c r="J161" s="3786"/>
      <c r="K161" s="3786"/>
      <c r="L161" s="3786"/>
      <c r="N161" s="621">
        <f>ROW()</f>
        <v>161</v>
      </c>
    </row>
    <row r="162" spans="2:14" ht="13.95" customHeight="1">
      <c r="B162" s="3786"/>
      <c r="C162" s="3786"/>
      <c r="D162" s="3786"/>
      <c r="E162" s="3786"/>
      <c r="F162" s="3786"/>
      <c r="G162" s="3786"/>
      <c r="H162" s="3786"/>
      <c r="I162" s="3786"/>
      <c r="J162" s="3786"/>
      <c r="K162" s="3786"/>
      <c r="L162" s="3786"/>
      <c r="N162" s="621">
        <f>ROW()</f>
        <v>162</v>
      </c>
    </row>
    <row r="163" spans="2:14" ht="13.95" customHeight="1">
      <c r="J163" s="39"/>
      <c r="K163" s="39"/>
      <c r="L163" s="39"/>
      <c r="N163" s="621">
        <f>ROW()</f>
        <v>163</v>
      </c>
    </row>
    <row r="164" spans="2:14" ht="13.95" customHeight="1">
      <c r="B164" s="4636" t="s">
        <v>2430</v>
      </c>
      <c r="C164" s="4636"/>
      <c r="D164" s="4636"/>
      <c r="E164" s="4636"/>
      <c r="F164" s="4636"/>
      <c r="G164" s="4636"/>
      <c r="H164" s="4636"/>
      <c r="I164" s="4636"/>
      <c r="J164" s="4636"/>
      <c r="K164" s="4636"/>
      <c r="L164" s="4636"/>
      <c r="N164" s="621">
        <f>ROW()</f>
        <v>164</v>
      </c>
    </row>
    <row r="165" spans="2:14" ht="13.95" customHeight="1">
      <c r="B165" s="4636"/>
      <c r="C165" s="4636"/>
      <c r="D165" s="4636"/>
      <c r="E165" s="4636"/>
      <c r="F165" s="4636"/>
      <c r="G165" s="4636"/>
      <c r="H165" s="4636"/>
      <c r="I165" s="4636"/>
      <c r="J165" s="4636"/>
      <c r="K165" s="4636"/>
      <c r="L165" s="4636"/>
      <c r="N165" s="621">
        <f>ROW()</f>
        <v>165</v>
      </c>
    </row>
    <row r="166" spans="2:14" ht="13.95" customHeight="1">
      <c r="B166" s="325"/>
      <c r="C166" s="325"/>
      <c r="D166" s="325"/>
      <c r="E166" s="325"/>
      <c r="F166" s="325"/>
      <c r="G166" s="325"/>
      <c r="H166" s="325"/>
      <c r="I166" s="325"/>
      <c r="J166" s="325"/>
      <c r="K166" s="325"/>
      <c r="L166" s="325"/>
      <c r="N166" s="621">
        <f>ROW()</f>
        <v>166</v>
      </c>
    </row>
    <row r="167" spans="2:14" ht="13.95" customHeight="1">
      <c r="B167" s="214" t="str">
        <f>CONCATENATE("These steps are performed sequentially in Rows ",'Motor Vs'!O315, " through ",'Motor Vs'!O344, " of the Motor V's worksheet.")</f>
        <v>These steps are performed sequentially in Rows 315 through 344 of the Motor V's worksheet.</v>
      </c>
      <c r="J167" s="39"/>
      <c r="K167" s="39"/>
      <c r="L167" s="39"/>
      <c r="N167" s="621">
        <f>ROW()</f>
        <v>167</v>
      </c>
    </row>
    <row r="168" spans="2:14" ht="13.95" customHeight="1">
      <c r="J168" s="39"/>
      <c r="K168" s="39"/>
      <c r="L168" s="39"/>
      <c r="N168" s="621">
        <f>ROW()</f>
        <v>168</v>
      </c>
    </row>
    <row r="169" spans="2:14" ht="13.95" customHeight="1">
      <c r="B169" s="308" t="s">
        <v>1886</v>
      </c>
      <c r="J169" s="39"/>
      <c r="K169" s="39"/>
      <c r="L169" s="39"/>
      <c r="N169" s="621">
        <f>ROW()</f>
        <v>169</v>
      </c>
    </row>
    <row r="170" spans="2:14" ht="13.95" customHeight="1">
      <c r="J170" s="39"/>
      <c r="K170" s="39"/>
      <c r="L170" s="39"/>
      <c r="N170" s="621">
        <f>ROW()</f>
        <v>170</v>
      </c>
    </row>
    <row r="171" spans="2:14" ht="13.95" customHeight="1">
      <c r="B171" s="4636" t="s">
        <v>6223</v>
      </c>
      <c r="C171" s="3786"/>
      <c r="D171" s="3786"/>
      <c r="E171" s="3786"/>
      <c r="F171" s="3786"/>
      <c r="G171" s="3786"/>
      <c r="H171" s="3786"/>
      <c r="I171" s="3786"/>
      <c r="J171" s="3786"/>
      <c r="K171" s="3786"/>
      <c r="L171" s="3786"/>
      <c r="N171" s="621">
        <f>ROW()</f>
        <v>171</v>
      </c>
    </row>
    <row r="172" spans="2:14" ht="13.95" customHeight="1">
      <c r="B172" s="3786"/>
      <c r="C172" s="3786"/>
      <c r="D172" s="3786"/>
      <c r="E172" s="3786"/>
      <c r="F172" s="3786"/>
      <c r="G172" s="3786"/>
      <c r="H172" s="3786"/>
      <c r="I172" s="3786"/>
      <c r="J172" s="3786"/>
      <c r="K172" s="3786"/>
      <c r="L172" s="3786"/>
      <c r="N172" s="621">
        <f>ROW()</f>
        <v>172</v>
      </c>
    </row>
    <row r="173" spans="2:14" ht="13.95" customHeight="1">
      <c r="B173" s="3786"/>
      <c r="C173" s="3786"/>
      <c r="D173" s="3786"/>
      <c r="E173" s="3786"/>
      <c r="F173" s="3786"/>
      <c r="G173" s="3786"/>
      <c r="H173" s="3786"/>
      <c r="I173" s="3786"/>
      <c r="J173" s="3786"/>
      <c r="K173" s="3786"/>
      <c r="L173" s="3786"/>
      <c r="N173" s="621">
        <f>ROW()</f>
        <v>173</v>
      </c>
    </row>
    <row r="174" spans="2:14" ht="13.95" customHeight="1">
      <c r="B174" s="3786"/>
      <c r="C174" s="3786"/>
      <c r="D174" s="3786"/>
      <c r="E174" s="3786"/>
      <c r="F174" s="3786"/>
      <c r="G174" s="3786"/>
      <c r="H174" s="3786"/>
      <c r="I174" s="3786"/>
      <c r="J174" s="3786"/>
      <c r="K174" s="3786"/>
      <c r="L174" s="3786"/>
      <c r="N174" s="621">
        <f>ROW()</f>
        <v>174</v>
      </c>
    </row>
    <row r="175" spans="2:14" ht="13.95" customHeight="1">
      <c r="B175" s="3786"/>
      <c r="C175" s="3786"/>
      <c r="D175" s="3786"/>
      <c r="E175" s="3786"/>
      <c r="F175" s="3786"/>
      <c r="G175" s="3786"/>
      <c r="H175" s="3786"/>
      <c r="I175" s="3786"/>
      <c r="J175" s="3786"/>
      <c r="K175" s="3786"/>
      <c r="L175" s="3786"/>
      <c r="N175" s="621">
        <f>ROW()</f>
        <v>175</v>
      </c>
    </row>
    <row r="176" spans="2:14" ht="13.95" customHeight="1">
      <c r="J176" s="39"/>
      <c r="K176" s="39"/>
      <c r="L176" s="39"/>
      <c r="N176" s="621">
        <f>ROW()</f>
        <v>176</v>
      </c>
    </row>
    <row r="177" spans="3:14" ht="13.95" customHeight="1">
      <c r="C177" s="6" t="s">
        <v>2911</v>
      </c>
      <c r="D177" s="146" t="s">
        <v>774</v>
      </c>
      <c r="F177" s="6" t="s">
        <v>2912</v>
      </c>
      <c r="G177" s="6"/>
      <c r="H177" s="146" t="s">
        <v>2913</v>
      </c>
      <c r="J177" s="172" t="s">
        <v>2755</v>
      </c>
      <c r="K177" s="39"/>
      <c r="L177" s="39"/>
      <c r="N177" s="621">
        <f>ROW()</f>
        <v>177</v>
      </c>
    </row>
    <row r="178" spans="3:14" ht="13.95" customHeight="1">
      <c r="C178" t="s">
        <v>2914</v>
      </c>
      <c r="D178">
        <v>3</v>
      </c>
      <c r="F178" t="s">
        <v>2915</v>
      </c>
      <c r="H178" s="117">
        <v>-0.6</v>
      </c>
      <c r="J178" s="171" t="s">
        <v>2756</v>
      </c>
      <c r="K178" s="39"/>
      <c r="L178" s="39"/>
      <c r="N178" s="621">
        <f>ROW()</f>
        <v>178</v>
      </c>
    </row>
    <row r="179" spans="3:14" ht="13.95" customHeight="1">
      <c r="C179" t="s">
        <v>2914</v>
      </c>
      <c r="D179">
        <v>3</v>
      </c>
      <c r="F179" t="s">
        <v>2300</v>
      </c>
      <c r="H179">
        <v>-0.13</v>
      </c>
      <c r="J179" s="171" t="s">
        <v>2756</v>
      </c>
      <c r="K179" s="39"/>
      <c r="L179" s="39"/>
      <c r="N179" s="621">
        <f>ROW()</f>
        <v>179</v>
      </c>
    </row>
    <row r="180" spans="3:14" ht="13.95" customHeight="1">
      <c r="C180" t="s">
        <v>2301</v>
      </c>
      <c r="D180">
        <v>3</v>
      </c>
      <c r="F180" t="s">
        <v>2302</v>
      </c>
      <c r="H180">
        <v>-0.22</v>
      </c>
      <c r="J180" s="171" t="s">
        <v>2756</v>
      </c>
      <c r="K180" s="39"/>
      <c r="L180" s="39"/>
      <c r="N180" s="621">
        <f>ROW()</f>
        <v>180</v>
      </c>
    </row>
    <row r="181" spans="3:14" ht="13.95" customHeight="1">
      <c r="C181" t="s">
        <v>2301</v>
      </c>
      <c r="D181">
        <v>3</v>
      </c>
      <c r="F181" t="s">
        <v>773</v>
      </c>
      <c r="H181">
        <v>-0.09</v>
      </c>
      <c r="J181" s="171" t="s">
        <v>2756</v>
      </c>
      <c r="K181" s="39"/>
      <c r="L181" s="39"/>
      <c r="N181" s="621">
        <f>ROW()</f>
        <v>181</v>
      </c>
    </row>
    <row r="182" spans="3:14" ht="13.95" customHeight="1">
      <c r="C182" t="s">
        <v>2758</v>
      </c>
      <c r="F182" t="s">
        <v>2757</v>
      </c>
      <c r="H182" s="117">
        <f>AVERAGE(H178,H180)</f>
        <v>-0.41</v>
      </c>
      <c r="J182" s="39" t="str">
        <f>CONCATENATE("Komanoff (avg of Rows ",N178, " and ",N180, ")")</f>
        <v>Komanoff (avg of Rows 178 and 180)</v>
      </c>
      <c r="K182" s="39"/>
      <c r="L182" s="39"/>
      <c r="N182" s="621">
        <f>ROW()</f>
        <v>182</v>
      </c>
    </row>
    <row r="183" spans="3:14" ht="13.95" customHeight="1">
      <c r="C183" t="s">
        <v>2758</v>
      </c>
      <c r="F183" t="s">
        <v>2759</v>
      </c>
      <c r="H183" s="117">
        <f>AVERAGE(H179,H181)</f>
        <v>-0.11</v>
      </c>
      <c r="J183" s="39" t="str">
        <f>CONCATENATE("Komanoff (avg of Rows ",N179, " and ",N181, ")")</f>
        <v>Komanoff (avg of Rows 179 and 181)</v>
      </c>
      <c r="K183" s="39"/>
      <c r="L183" s="39"/>
      <c r="N183" s="621">
        <f>ROW()</f>
        <v>183</v>
      </c>
    </row>
    <row r="184" spans="3:14" ht="13.95" customHeight="1">
      <c r="J184" s="39"/>
      <c r="K184" s="39"/>
      <c r="L184" s="39"/>
      <c r="N184" s="621">
        <f>ROW()</f>
        <v>184</v>
      </c>
    </row>
    <row r="185" spans="3:14" ht="13.95" customHeight="1">
      <c r="C185" t="s">
        <v>775</v>
      </c>
      <c r="J185" s="39"/>
      <c r="K185" s="39"/>
      <c r="L185" s="39"/>
      <c r="N185" s="621">
        <f>ROW()</f>
        <v>185</v>
      </c>
    </row>
    <row r="186" spans="3:14" ht="13.95" customHeight="1">
      <c r="J186" s="39"/>
      <c r="K186" s="39"/>
      <c r="L186" s="39"/>
      <c r="N186" s="621">
        <f>ROW()</f>
        <v>186</v>
      </c>
    </row>
    <row r="187" spans="3:14" ht="13.95" customHeight="1">
      <c r="C187" s="2" t="s">
        <v>3274</v>
      </c>
      <c r="H187" s="8" t="s">
        <v>2093</v>
      </c>
      <c r="I187" s="8" t="s">
        <v>1436</v>
      </c>
      <c r="J187" s="39"/>
      <c r="K187" s="39"/>
      <c r="L187" s="39"/>
      <c r="N187" s="621">
        <f>ROW()</f>
        <v>187</v>
      </c>
    </row>
    <row r="188" spans="3:14" ht="13.95" customHeight="1">
      <c r="C188" s="9" t="s">
        <v>2387</v>
      </c>
      <c r="H188" s="716">
        <v>8</v>
      </c>
      <c r="I188" s="716">
        <v>8</v>
      </c>
      <c r="J188" s="39"/>
      <c r="K188" s="39"/>
      <c r="L188" s="39"/>
      <c r="N188" s="621">
        <f>ROW()</f>
        <v>188</v>
      </c>
    </row>
    <row r="189" spans="3:14" ht="13.95" customHeight="1">
      <c r="C189" s="1" t="s">
        <v>3859</v>
      </c>
      <c r="H189" s="716">
        <v>6</v>
      </c>
      <c r="I189" s="716">
        <v>8</v>
      </c>
      <c r="J189" s="39"/>
      <c r="K189" s="39"/>
      <c r="L189" s="39"/>
      <c r="N189" s="621">
        <f>ROW()</f>
        <v>189</v>
      </c>
    </row>
    <row r="190" spans="3:14" ht="13.95" customHeight="1">
      <c r="C190" s="9" t="s">
        <v>2753</v>
      </c>
      <c r="H190" s="117">
        <f>H188/H189</f>
        <v>1.3333333333333333</v>
      </c>
      <c r="I190" s="117">
        <f>I188/I189</f>
        <v>1</v>
      </c>
      <c r="J190" s="39"/>
      <c r="K190" s="39"/>
      <c r="L190" s="39"/>
      <c r="N190" s="621">
        <f>ROW()</f>
        <v>190</v>
      </c>
    </row>
    <row r="191" spans="3:14" ht="13.95" customHeight="1">
      <c r="C191" s="9" t="s">
        <v>6006</v>
      </c>
      <c r="H191" s="39">
        <v>0.8</v>
      </c>
      <c r="I191" s="39">
        <f>1-H191</f>
        <v>0.19999999999999996</v>
      </c>
      <c r="J191" s="39"/>
      <c r="K191" s="39"/>
      <c r="L191" s="39"/>
      <c r="N191" s="621">
        <f>ROW()</f>
        <v>191</v>
      </c>
    </row>
    <row r="192" spans="3:14" ht="13.95" customHeight="1">
      <c r="C192" s="265" t="s">
        <v>2754</v>
      </c>
      <c r="H192" s="39"/>
      <c r="I192" s="39"/>
      <c r="J192" s="39"/>
      <c r="K192" s="39"/>
      <c r="L192" s="39"/>
      <c r="N192" s="621">
        <f>ROW()</f>
        <v>192</v>
      </c>
    </row>
    <row r="193" spans="3:14" ht="13.95" customHeight="1">
      <c r="C193" s="9" t="s">
        <v>1437</v>
      </c>
      <c r="H193" s="117">
        <f>H191*H190+I191*I190</f>
        <v>1.2666666666666666</v>
      </c>
      <c r="I193" s="39"/>
      <c r="J193" s="39"/>
      <c r="K193" s="39"/>
      <c r="L193" s="39"/>
      <c r="N193" s="621">
        <f>ROW()</f>
        <v>193</v>
      </c>
    </row>
    <row r="194" spans="3:14" ht="13.95" customHeight="1">
      <c r="C194" s="9" t="s">
        <v>1603</v>
      </c>
      <c r="H194" s="23">
        <f>(Approaches!H93+Approaches!H94+Approaches!J105)/Approaches!H96</f>
        <v>0.14758809160343772</v>
      </c>
      <c r="J194" s="39"/>
      <c r="K194" s="39"/>
      <c r="L194" s="39"/>
      <c r="N194" s="621">
        <f>ROW()</f>
        <v>194</v>
      </c>
    </row>
    <row r="195" spans="3:14" ht="13.95" customHeight="1">
      <c r="C195" s="265" t="str">
        <f>CONCATENATE("Calculated from Holland, Lincoln, and allocated GWB crossing volumes in 'Approaches' worksheet, Rows ",Approaches!O93, "-",Approaches!O105, ".")</f>
        <v>Calculated from Holland, Lincoln, and allocated GWB crossing volumes in 'Approaches' worksheet, Rows 93-105.</v>
      </c>
      <c r="J195" s="39"/>
      <c r="K195" s="39"/>
      <c r="L195" s="39"/>
      <c r="N195" s="621">
        <f>ROW()</f>
        <v>195</v>
      </c>
    </row>
    <row r="196" spans="3:14" ht="13.95" customHeight="1">
      <c r="C196" s="9" t="s">
        <v>2388</v>
      </c>
      <c r="H196" s="117">
        <f>H193*H194+1*(1-H194)</f>
        <v>1.0393568244275833</v>
      </c>
      <c r="J196" s="39"/>
      <c r="K196" s="39"/>
      <c r="L196" s="39"/>
      <c r="N196" s="621">
        <f>ROW()</f>
        <v>196</v>
      </c>
    </row>
    <row r="197" spans="3:14" ht="13.95" customHeight="1">
      <c r="J197" s="39"/>
      <c r="K197" s="39"/>
      <c r="L197" s="39"/>
      <c r="N197" s="621">
        <f>ROW()</f>
        <v>197</v>
      </c>
    </row>
    <row r="198" spans="3:14" ht="13.95" customHeight="1">
      <c r="C198" s="1" t="s">
        <v>816</v>
      </c>
      <c r="H198">
        <v>1.5</v>
      </c>
      <c r="J198" s="39"/>
      <c r="K198" s="39"/>
      <c r="L198" s="39"/>
      <c r="N198" s="621">
        <f>ROW()</f>
        <v>198</v>
      </c>
    </row>
    <row r="199" spans="3:14" ht="13.95" customHeight="1">
      <c r="C199" s="3754" t="s">
        <v>2895</v>
      </c>
      <c r="D199" s="3659"/>
      <c r="E199" s="3659"/>
      <c r="F199" s="3659"/>
      <c r="G199" s="3659"/>
      <c r="H199" s="3659"/>
      <c r="I199" s="3659"/>
      <c r="J199" s="3659"/>
      <c r="K199" s="39"/>
      <c r="L199" s="39"/>
      <c r="N199" s="621">
        <f>ROW()</f>
        <v>199</v>
      </c>
    </row>
    <row r="200" spans="3:14" ht="13.95" customHeight="1">
      <c r="C200" s="3659"/>
      <c r="D200" s="3659"/>
      <c r="E200" s="3659"/>
      <c r="F200" s="3659"/>
      <c r="G200" s="3659"/>
      <c r="H200" s="3659"/>
      <c r="I200" s="3659"/>
      <c r="J200" s="3659"/>
      <c r="K200" s="39"/>
      <c r="L200" s="39"/>
      <c r="N200" s="621">
        <f>ROW()</f>
        <v>200</v>
      </c>
    </row>
    <row r="201" spans="3:14" ht="13.95" customHeight="1">
      <c r="C201" s="3659"/>
      <c r="D201" s="3659"/>
      <c r="E201" s="3659"/>
      <c r="F201" s="3659"/>
      <c r="G201" s="3659"/>
      <c r="H201" s="3659"/>
      <c r="I201" s="3659"/>
      <c r="J201" s="3659"/>
      <c r="K201" s="39"/>
      <c r="L201" s="39"/>
      <c r="N201" s="621">
        <f>ROW()</f>
        <v>201</v>
      </c>
    </row>
    <row r="202" spans="3:14" ht="13.95" customHeight="1">
      <c r="C202" s="3659"/>
      <c r="D202" s="3659"/>
      <c r="E202" s="3659"/>
      <c r="F202" s="3659"/>
      <c r="G202" s="3659"/>
      <c r="H202" s="3659"/>
      <c r="I202" s="3659"/>
      <c r="J202" s="3659"/>
      <c r="K202" s="39"/>
      <c r="L202" s="39"/>
      <c r="N202" s="621">
        <f>ROW()</f>
        <v>202</v>
      </c>
    </row>
    <row r="203" spans="3:14" ht="13.95" customHeight="1">
      <c r="C203" s="3659"/>
      <c r="D203" s="3659"/>
      <c r="E203" s="3659"/>
      <c r="F203" s="3659"/>
      <c r="G203" s="3659"/>
      <c r="H203" s="3659"/>
      <c r="I203" s="3659"/>
      <c r="J203" s="3659"/>
      <c r="K203" s="39"/>
      <c r="L203" s="39"/>
      <c r="N203" s="621">
        <f>ROW()</f>
        <v>203</v>
      </c>
    </row>
    <row r="204" spans="3:14" ht="13.95" customHeight="1">
      <c r="C204" s="3659"/>
      <c r="D204" s="3659"/>
      <c r="E204" s="3659"/>
      <c r="F204" s="3659"/>
      <c r="G204" s="3659"/>
      <c r="H204" s="3659"/>
      <c r="I204" s="3659"/>
      <c r="J204" s="3659"/>
      <c r="K204" s="39"/>
      <c r="L204" s="39"/>
      <c r="N204" s="621">
        <f>ROW()</f>
        <v>204</v>
      </c>
    </row>
    <row r="205" spans="3:14" ht="13.95" customHeight="1">
      <c r="C205" s="3659"/>
      <c r="D205" s="3659"/>
      <c r="E205" s="3659"/>
      <c r="F205" s="3659"/>
      <c r="G205" s="3659"/>
      <c r="H205" s="3659"/>
      <c r="I205" s="3659"/>
      <c r="J205" s="3659"/>
      <c r="K205" s="39"/>
      <c r="L205" s="39"/>
      <c r="N205" s="621">
        <f>ROW()</f>
        <v>205</v>
      </c>
    </row>
    <row r="206" spans="3:14" ht="13.95" customHeight="1">
      <c r="C206" s="3659"/>
      <c r="D206" s="3659"/>
      <c r="E206" s="3659"/>
      <c r="F206" s="3659"/>
      <c r="G206" s="3659"/>
      <c r="H206" s="3659"/>
      <c r="I206" s="3659"/>
      <c r="J206" s="3659"/>
      <c r="K206" s="39"/>
      <c r="L206" s="39"/>
      <c r="N206" s="621">
        <f>ROW()</f>
        <v>206</v>
      </c>
    </row>
    <row r="207" spans="3:14" ht="13.95" customHeight="1">
      <c r="J207" s="39"/>
      <c r="K207" s="39"/>
      <c r="L207" s="39"/>
      <c r="N207" s="621">
        <f>ROW()</f>
        <v>207</v>
      </c>
    </row>
    <row r="208" spans="3:14" ht="13.95" customHeight="1">
      <c r="C208" t="s">
        <v>1565</v>
      </c>
      <c r="J208" s="39"/>
      <c r="K208" s="39"/>
      <c r="L208" s="39"/>
      <c r="N208" s="621">
        <f>ROW()</f>
        <v>208</v>
      </c>
    </row>
    <row r="209" spans="2:14" ht="13.95" customHeight="1">
      <c r="J209" s="39"/>
      <c r="K209" s="39"/>
      <c r="L209" s="39"/>
      <c r="N209" s="621">
        <f>ROW()</f>
        <v>209</v>
      </c>
    </row>
    <row r="210" spans="2:14" ht="13.95" customHeight="1">
      <c r="B210" s="1990" t="s">
        <v>3279</v>
      </c>
      <c r="J210" s="39"/>
      <c r="K210" s="39"/>
      <c r="L210" s="39"/>
      <c r="N210" s="621">
        <f>ROW()</f>
        <v>210</v>
      </c>
    </row>
    <row r="211" spans="2:14" ht="13.95" customHeight="1">
      <c r="N211" s="621">
        <f>ROW()</f>
        <v>211</v>
      </c>
    </row>
    <row r="212" spans="2:14" ht="13.95" customHeight="1">
      <c r="B212" s="518" t="s">
        <v>3278</v>
      </c>
      <c r="C212" s="9"/>
      <c r="D212" s="9"/>
      <c r="E212" s="582"/>
      <c r="F212" s="9"/>
      <c r="G212" s="9"/>
      <c r="H212" s="9"/>
      <c r="I212" s="9"/>
      <c r="J212" s="9"/>
      <c r="K212" s="9"/>
      <c r="L212" s="9"/>
      <c r="N212" s="621">
        <f>ROW()</f>
        <v>212</v>
      </c>
    </row>
    <row r="213" spans="2:14" ht="13.95" customHeight="1">
      <c r="N213" s="621">
        <f>ROW()</f>
        <v>213</v>
      </c>
    </row>
    <row r="214" spans="2:14" ht="13.95" customHeight="1">
      <c r="B214" s="213" t="s">
        <v>1238</v>
      </c>
      <c r="C214" s="308"/>
      <c r="D214" s="308"/>
      <c r="E214" s="308"/>
      <c r="F214" s="308"/>
      <c r="G214" s="308"/>
      <c r="H214" s="308"/>
      <c r="I214" s="308"/>
      <c r="J214" s="308"/>
      <c r="K214" s="308"/>
      <c r="L214" s="308"/>
      <c r="N214" s="621">
        <f>ROW()</f>
        <v>214</v>
      </c>
    </row>
    <row r="215" spans="2:14" ht="13.95" customHeight="1">
      <c r="B215" s="324"/>
      <c r="C215" s="6"/>
      <c r="D215" s="6"/>
      <c r="E215" s="597"/>
      <c r="F215" s="591"/>
      <c r="G215" s="9"/>
      <c r="H215" s="9"/>
      <c r="I215" s="9"/>
      <c r="J215" s="9"/>
      <c r="K215" s="9"/>
      <c r="L215" s="9"/>
      <c r="N215" s="621">
        <f>ROW()</f>
        <v>215</v>
      </c>
    </row>
    <row r="216" spans="2:14" ht="13.95" customHeight="1">
      <c r="B216" s="325" t="s">
        <v>1265</v>
      </c>
      <c r="C216" s="6"/>
      <c r="D216" s="6"/>
      <c r="E216" s="597"/>
      <c r="F216" s="9"/>
      <c r="G216" s="9"/>
      <c r="H216" s="596">
        <f>AVERAGE(0.4, 0.25, 0.35, 0.4, 0.1)</f>
        <v>0.3</v>
      </c>
      <c r="I216" s="9"/>
      <c r="J216" s="9"/>
      <c r="K216" s="9"/>
      <c r="L216" s="9"/>
      <c r="N216" s="621">
        <f>ROW()</f>
        <v>216</v>
      </c>
    </row>
    <row r="217" spans="2:14" ht="13.95" customHeight="1">
      <c r="B217" s="4702" t="s">
        <v>3273</v>
      </c>
      <c r="C217" s="4703"/>
      <c r="D217" s="4703"/>
      <c r="E217" s="4703"/>
      <c r="F217" s="4703"/>
      <c r="G217" s="4703"/>
      <c r="H217" s="4703"/>
      <c r="I217" s="4703"/>
      <c r="J217" s="4703"/>
      <c r="K217" s="4703"/>
      <c r="L217" s="4703"/>
      <c r="N217" s="621">
        <f>ROW()</f>
        <v>217</v>
      </c>
    </row>
    <row r="218" spans="2:14" ht="13.95" customHeight="1">
      <c r="B218" s="4703"/>
      <c r="C218" s="4703"/>
      <c r="D218" s="4703"/>
      <c r="E218" s="4703"/>
      <c r="F218" s="4703"/>
      <c r="G218" s="4703"/>
      <c r="H218" s="4703"/>
      <c r="I218" s="4703"/>
      <c r="J218" s="4703"/>
      <c r="K218" s="4703"/>
      <c r="L218" s="4703"/>
      <c r="N218" s="621">
        <f>ROW()</f>
        <v>218</v>
      </c>
    </row>
    <row r="219" spans="2:14" ht="13.95" customHeight="1">
      <c r="B219" s="4703"/>
      <c r="C219" s="4703"/>
      <c r="D219" s="4703"/>
      <c r="E219" s="4703"/>
      <c r="F219" s="4703"/>
      <c r="G219" s="4703"/>
      <c r="H219" s="4703"/>
      <c r="I219" s="4703"/>
      <c r="J219" s="4703"/>
      <c r="K219" s="4703"/>
      <c r="L219" s="4703"/>
      <c r="N219" s="621">
        <f>ROW()</f>
        <v>219</v>
      </c>
    </row>
    <row r="220" spans="2:14" ht="13.95" customHeight="1">
      <c r="B220" s="325" t="s">
        <v>1109</v>
      </c>
      <c r="C220" s="6"/>
      <c r="D220" s="6"/>
      <c r="E220" s="597"/>
      <c r="F220" s="9"/>
      <c r="G220" s="9"/>
      <c r="H220" s="596">
        <f>0.5*H216</f>
        <v>0.15</v>
      </c>
      <c r="I220" s="9"/>
      <c r="J220" s="9"/>
      <c r="K220" s="9"/>
      <c r="L220" s="9"/>
      <c r="N220" s="621">
        <f>ROW()</f>
        <v>220</v>
      </c>
    </row>
    <row r="221" spans="2:14" ht="13.95" customHeight="1">
      <c r="B221" s="326" t="s">
        <v>1110</v>
      </c>
      <c r="C221" s="6"/>
      <c r="D221" s="6"/>
      <c r="E221" s="597"/>
      <c r="F221" s="9"/>
      <c r="G221" s="9"/>
      <c r="H221" s="591"/>
      <c r="I221" s="9"/>
      <c r="J221" s="9"/>
      <c r="K221" s="9"/>
      <c r="L221" s="9"/>
      <c r="N221" s="621">
        <f>ROW()</f>
        <v>221</v>
      </c>
    </row>
    <row r="222" spans="2:14" ht="13.95" customHeight="1">
      <c r="B222" s="325" t="s">
        <v>2323</v>
      </c>
      <c r="C222" s="6"/>
      <c r="D222" s="6"/>
      <c r="E222" s="597"/>
      <c r="F222" s="9"/>
      <c r="G222" s="9"/>
      <c r="H222">
        <v>3</v>
      </c>
      <c r="I222" s="9"/>
      <c r="J222" s="9"/>
      <c r="K222" s="9"/>
      <c r="L222" s="9"/>
      <c r="N222" s="621">
        <f>ROW()</f>
        <v>222</v>
      </c>
    </row>
    <row r="223" spans="2:14" ht="13.95" customHeight="1">
      <c r="B223" s="325" t="s">
        <v>2322</v>
      </c>
      <c r="C223" s="6"/>
      <c r="D223" s="6"/>
      <c r="E223" s="597"/>
      <c r="F223" s="9"/>
      <c r="G223" s="9"/>
      <c r="H223" s="596">
        <f>(H222*H216+1*H220)/(H222+1)</f>
        <v>0.26249999999999996</v>
      </c>
      <c r="I223" s="9"/>
      <c r="J223" s="9"/>
      <c r="K223" s="9"/>
      <c r="L223" s="9"/>
      <c r="N223" s="621">
        <f>ROW()</f>
        <v>223</v>
      </c>
    </row>
    <row r="224" spans="2:14" ht="13.95" customHeight="1">
      <c r="B224" s="325" t="s">
        <v>1644</v>
      </c>
      <c r="C224" s="6"/>
      <c r="D224" s="6"/>
      <c r="E224" s="597"/>
      <c r="F224" s="9"/>
      <c r="G224" s="9"/>
      <c r="H224">
        <v>9</v>
      </c>
      <c r="I224" s="9"/>
      <c r="J224" s="9"/>
      <c r="K224" s="9"/>
      <c r="L224" s="9"/>
      <c r="N224" s="621">
        <f>ROW()</f>
        <v>224</v>
      </c>
    </row>
    <row r="225" spans="2:14" ht="13.95" customHeight="1">
      <c r="B225" s="4915" t="s">
        <v>1546</v>
      </c>
      <c r="C225" s="4915"/>
      <c r="D225" s="4915"/>
      <c r="E225" s="4915"/>
      <c r="F225" s="4915"/>
      <c r="G225" s="4915"/>
      <c r="H225" s="4915"/>
      <c r="I225" s="4915"/>
      <c r="J225" s="4915"/>
      <c r="K225" s="4915"/>
      <c r="L225" s="4915"/>
      <c r="N225" s="621">
        <f>ROW()</f>
        <v>225</v>
      </c>
    </row>
    <row r="226" spans="2:14" ht="13.95" customHeight="1">
      <c r="B226" s="4915"/>
      <c r="C226" s="4915"/>
      <c r="D226" s="4915"/>
      <c r="E226" s="4915"/>
      <c r="F226" s="4915"/>
      <c r="G226" s="4915"/>
      <c r="H226" s="4915"/>
      <c r="I226" s="4915"/>
      <c r="J226" s="4915"/>
      <c r="K226" s="4915"/>
      <c r="L226" s="4915"/>
      <c r="N226" s="621">
        <f>ROW()</f>
        <v>226</v>
      </c>
    </row>
    <row r="227" spans="2:14" ht="13.95" customHeight="1">
      <c r="B227" s="325" t="s">
        <v>1547</v>
      </c>
      <c r="C227" s="6"/>
      <c r="D227" s="6"/>
      <c r="E227" s="597"/>
      <c r="F227" s="9"/>
      <c r="G227" s="9"/>
      <c r="H227" s="596">
        <f>H223*H224</f>
        <v>2.3624999999999998</v>
      </c>
      <c r="I227" s="9"/>
      <c r="J227" s="9"/>
      <c r="K227" s="9"/>
      <c r="L227" s="9"/>
      <c r="N227" s="621">
        <f>ROW()</f>
        <v>227</v>
      </c>
    </row>
    <row r="228" spans="2:14" ht="13.95" customHeight="1">
      <c r="B228" s="326" t="str">
        <f>CONCATENATE("Product of values in Rows ",N223, " and ",N224, ".")</f>
        <v>Product of values in Rows 223 and 224.</v>
      </c>
      <c r="C228" s="6"/>
      <c r="D228" s="6"/>
      <c r="E228" s="597"/>
      <c r="F228" s="9"/>
      <c r="G228" s="9"/>
      <c r="H228" s="596"/>
      <c r="I228" s="9"/>
      <c r="J228" s="9"/>
      <c r="K228" s="9"/>
      <c r="L228" s="9"/>
      <c r="N228" s="621">
        <f>ROW()</f>
        <v>228</v>
      </c>
    </row>
    <row r="229" spans="2:14" ht="13.95" customHeight="1">
      <c r="B229" s="325" t="s">
        <v>2455</v>
      </c>
      <c r="C229" s="6"/>
      <c r="D229" s="6"/>
      <c r="E229" s="597"/>
      <c r="F229" s="9"/>
      <c r="G229" s="9"/>
      <c r="H229" s="596"/>
      <c r="I229" s="9"/>
      <c r="J229" s="9"/>
      <c r="K229" s="9"/>
      <c r="L229" s="9"/>
      <c r="N229" s="621">
        <f>ROW()</f>
        <v>229</v>
      </c>
    </row>
    <row r="230" spans="2:14" ht="13.95" customHeight="1">
      <c r="B230" s="325"/>
      <c r="C230" s="6"/>
      <c r="D230" s="6"/>
      <c r="E230" s="597"/>
      <c r="F230" s="591"/>
      <c r="G230" s="9"/>
      <c r="H230" s="596"/>
      <c r="I230" s="9"/>
      <c r="J230" s="9"/>
      <c r="K230" s="9"/>
      <c r="L230" s="9"/>
      <c r="N230" s="621">
        <f>ROW()</f>
        <v>230</v>
      </c>
    </row>
    <row r="231" spans="2:14" ht="13.95" customHeight="1">
      <c r="B231" s="213" t="s">
        <v>33</v>
      </c>
      <c r="C231" s="6"/>
      <c r="D231" s="6"/>
      <c r="E231" s="597"/>
      <c r="F231" s="591"/>
      <c r="G231" s="9"/>
      <c r="H231" s="9"/>
      <c r="I231" s="9"/>
      <c r="J231" s="9"/>
      <c r="K231" s="9"/>
      <c r="L231" s="9"/>
      <c r="N231" s="621">
        <f>ROW()</f>
        <v>231</v>
      </c>
    </row>
    <row r="232" spans="2:14" ht="13.95" customHeight="1">
      <c r="B232" s="308"/>
      <c r="C232" s="6"/>
      <c r="D232" s="6"/>
      <c r="E232" s="597"/>
      <c r="F232" s="591"/>
      <c r="G232" s="9"/>
      <c r="H232" s="9"/>
      <c r="I232" s="9"/>
      <c r="J232" s="9"/>
      <c r="K232" s="9"/>
      <c r="L232" s="9"/>
      <c r="N232" s="621">
        <f>ROW()</f>
        <v>232</v>
      </c>
    </row>
    <row r="233" spans="2:14" ht="13.95" customHeight="1">
      <c r="B233" s="325" t="s">
        <v>2119</v>
      </c>
      <c r="C233" s="6"/>
      <c r="D233" s="6"/>
      <c r="E233" s="597"/>
      <c r="F233" s="591"/>
      <c r="G233" s="9"/>
      <c r="H233" s="9">
        <v>-0.7</v>
      </c>
      <c r="I233" s="9"/>
      <c r="J233" s="9"/>
      <c r="K233" s="9"/>
      <c r="L233" s="9"/>
      <c r="N233" s="621">
        <f>ROW()</f>
        <v>233</v>
      </c>
    </row>
    <row r="234" spans="2:14" ht="13.95" customHeight="1">
      <c r="B234" s="4915" t="str">
        <f>CONCATENATE("See source given in Row ",N225, ", p. 11 of 29. Note negative 0.691 value in last part of last table of page (under 'Model 4' for 'All Tours'), confirmed in communications with PSRC personnel.")</f>
        <v>See source given in Row 225, p. 11 of 29. Note negative 0.691 value in last part of last table of page (under 'Model 4' for 'All Tours'), confirmed in communications with PSRC personnel.</v>
      </c>
      <c r="C234" s="4915"/>
      <c r="D234" s="4915"/>
      <c r="E234" s="4915"/>
      <c r="F234" s="4915"/>
      <c r="G234" s="4915"/>
      <c r="H234" s="4915"/>
      <c r="I234" s="4915"/>
      <c r="J234" s="4915"/>
      <c r="K234" s="4915"/>
      <c r="L234" s="4915"/>
      <c r="N234" s="621">
        <f>ROW()</f>
        <v>234</v>
      </c>
    </row>
    <row r="235" spans="2:14" ht="13.95" customHeight="1">
      <c r="B235" s="4915"/>
      <c r="C235" s="4915"/>
      <c r="D235" s="4915"/>
      <c r="E235" s="4915"/>
      <c r="F235" s="4915"/>
      <c r="G235" s="4915"/>
      <c r="H235" s="4915"/>
      <c r="I235" s="4915"/>
      <c r="J235" s="4915"/>
      <c r="K235" s="4915"/>
      <c r="L235" s="4915"/>
      <c r="N235" s="621">
        <f>ROW()</f>
        <v>235</v>
      </c>
    </row>
    <row r="236" spans="2:14" ht="13.95" customHeight="1">
      <c r="B236" s="1406" t="s">
        <v>5934</v>
      </c>
      <c r="C236" s="6"/>
      <c r="D236" s="6"/>
      <c r="E236" s="597"/>
      <c r="F236" s="591"/>
      <c r="G236" s="9"/>
      <c r="H236" s="9"/>
      <c r="I236" s="9"/>
      <c r="J236" s="9"/>
      <c r="K236" s="9"/>
      <c r="L236" s="9"/>
      <c r="N236" s="621">
        <f>ROW()</f>
        <v>236</v>
      </c>
    </row>
    <row r="237" spans="2:14" ht="13.95" customHeight="1">
      <c r="B237" s="326" t="str">
        <f>CONCATENATE("We will 'ratio' the applicable value from that worksheet to the value shown in Row ",N233, ".")</f>
        <v>We will 'ratio' the applicable value from that worksheet to the value shown in Row 233.</v>
      </c>
      <c r="C237" s="6"/>
      <c r="D237" s="6"/>
      <c r="E237" s="597"/>
      <c r="F237" s="591"/>
      <c r="G237" s="9"/>
      <c r="H237" s="9"/>
      <c r="I237" s="9"/>
      <c r="J237" s="9"/>
      <c r="K237" s="9"/>
      <c r="L237" s="9"/>
      <c r="N237" s="621">
        <f>ROW()</f>
        <v>237</v>
      </c>
    </row>
    <row r="238" spans="2:14" ht="13.95" customHeight="1">
      <c r="B238" s="319"/>
      <c r="C238" s="6"/>
      <c r="D238" s="6"/>
      <c r="E238" s="597"/>
      <c r="F238" s="591"/>
      <c r="G238" s="9"/>
      <c r="H238" s="9"/>
      <c r="I238" s="9"/>
      <c r="J238" s="9"/>
      <c r="K238" s="9"/>
      <c r="L238" s="9"/>
      <c r="N238" s="621">
        <f>ROW()</f>
        <v>238</v>
      </c>
    </row>
    <row r="239" spans="2:14" ht="13.95" customHeight="1">
      <c r="B239" s="213" t="s">
        <v>2245</v>
      </c>
      <c r="C239" s="6"/>
      <c r="D239" s="6"/>
      <c r="E239" s="597"/>
      <c r="F239" s="591"/>
      <c r="G239" s="9"/>
      <c r="H239" s="9"/>
      <c r="I239" s="9"/>
      <c r="J239" s="9"/>
      <c r="K239" s="9"/>
      <c r="L239" s="9"/>
      <c r="N239" s="621">
        <f>ROW()</f>
        <v>239</v>
      </c>
    </row>
    <row r="240" spans="2:14" ht="13.95" customHeight="1">
      <c r="B240" s="319"/>
      <c r="C240" s="6"/>
      <c r="D240" s="6"/>
      <c r="E240" s="597"/>
      <c r="F240" s="591"/>
      <c r="G240" s="9"/>
      <c r="H240" s="9"/>
      <c r="I240" s="9"/>
      <c r="J240" s="9"/>
      <c r="K240" s="9"/>
      <c r="L240" s="9"/>
      <c r="N240" s="621">
        <f>ROW()</f>
        <v>240</v>
      </c>
    </row>
    <row r="241" spans="2:14" ht="13.95" customHeight="1">
      <c r="B241" s="325" t="s">
        <v>2587</v>
      </c>
      <c r="C241" s="6"/>
      <c r="D241" s="6"/>
      <c r="E241" s="597"/>
      <c r="F241" s="591"/>
      <c r="G241" s="9"/>
      <c r="H241" s="144">
        <v>2</v>
      </c>
      <c r="I241" s="9"/>
      <c r="J241" s="9"/>
      <c r="K241" s="9"/>
      <c r="L241" s="9"/>
      <c r="N241" s="621">
        <f>ROW()</f>
        <v>241</v>
      </c>
    </row>
    <row r="242" spans="2:14" ht="13.95" customHeight="1">
      <c r="B242" s="4915" t="s">
        <v>2031</v>
      </c>
      <c r="C242" s="4915"/>
      <c r="D242" s="4915"/>
      <c r="E242" s="4915"/>
      <c r="F242" s="4915"/>
      <c r="G242" s="4915"/>
      <c r="H242" s="4915"/>
      <c r="I242" s="4915"/>
      <c r="J242" s="4915"/>
      <c r="K242" s="4915"/>
      <c r="L242" s="4915"/>
      <c r="N242" s="621">
        <f>ROW()</f>
        <v>242</v>
      </c>
    </row>
    <row r="243" spans="2:14" ht="13.95" customHeight="1">
      <c r="B243" s="4915"/>
      <c r="C243" s="4915"/>
      <c r="D243" s="4915"/>
      <c r="E243" s="4915"/>
      <c r="F243" s="4915"/>
      <c r="G243" s="4915"/>
      <c r="H243" s="4915"/>
      <c r="I243" s="4915"/>
      <c r="J243" s="4915"/>
      <c r="K243" s="4915"/>
      <c r="L243" s="4915"/>
      <c r="N243" s="621">
        <f>ROW()</f>
        <v>243</v>
      </c>
    </row>
    <row r="244" spans="2:14" ht="13.95" customHeight="1">
      <c r="B244" s="690"/>
      <c r="C244" s="690"/>
      <c r="D244" s="690"/>
      <c r="E244" s="690"/>
      <c r="F244" s="690"/>
      <c r="G244" s="690"/>
      <c r="H244" s="690"/>
      <c r="I244" s="690"/>
      <c r="J244" s="690"/>
      <c r="K244" s="690"/>
      <c r="L244" s="690"/>
      <c r="N244" s="621">
        <f>ROW()</f>
        <v>244</v>
      </c>
    </row>
    <row r="245" spans="2:14" ht="13.95" customHeight="1">
      <c r="B245" s="213" t="s">
        <v>2246</v>
      </c>
      <c r="C245" s="9"/>
      <c r="D245" s="9"/>
      <c r="E245" s="9"/>
      <c r="F245" s="9"/>
      <c r="G245" s="9"/>
      <c r="H245" s="594"/>
      <c r="I245" s="9"/>
      <c r="J245" s="9"/>
      <c r="K245" s="9"/>
      <c r="L245" s="9"/>
      <c r="N245" s="621">
        <f>ROW()</f>
        <v>245</v>
      </c>
    </row>
    <row r="246" spans="2:14" ht="13.95" customHeight="1">
      <c r="J246" s="39"/>
      <c r="K246" s="39"/>
      <c r="L246" s="39"/>
      <c r="N246" s="621">
        <f>ROW()</f>
        <v>246</v>
      </c>
    </row>
    <row r="247" spans="2:14" ht="13.95" customHeight="1">
      <c r="B247" s="325" t="s">
        <v>532</v>
      </c>
      <c r="J247">
        <v>0.5</v>
      </c>
      <c r="K247" s="39"/>
      <c r="L247" s="39"/>
      <c r="N247" s="621">
        <f>ROW()</f>
        <v>247</v>
      </c>
    </row>
  </sheetData>
  <customSheetViews>
    <customSheetView guid="{BD5E6263-A0AD-4076-921A-D4EBD62848EF}" showPageBreaks="1" showGridLines="0" printArea="1" showRuler="0" topLeftCell="A23">
      <selection activeCell="A58" sqref="A58"/>
      <pageMargins left="0.39" right="0.2" top="1" bottom="1" header="0.5" footer="0.5"/>
      <printOptions gridLines="1"/>
      <pageSetup orientation="landscape" r:id="rId1"/>
      <headerFooter alignWithMargins="0"/>
    </customSheetView>
    <customSheetView guid="{1D5AE30A-CA7C-4B32-AEA4-9F37A560AAA8}" showPageBreaks="1" showGridLines="0" printArea="1" showRuler="0" topLeftCell="A23">
      <selection activeCell="A58" sqref="A58"/>
      <pageMargins left="0.39" right="0.2" top="1" bottom="1" header="0.5" footer="0.5"/>
      <printOptions gridLines="1"/>
      <pageSetup orientation="landscape" r:id="rId2"/>
      <headerFooter alignWithMargins="0"/>
    </customSheetView>
  </customSheetViews>
  <mergeCells count="27">
    <mergeCell ref="B225:L226"/>
    <mergeCell ref="B242:L243"/>
    <mergeCell ref="B155:L157"/>
    <mergeCell ref="B159:L162"/>
    <mergeCell ref="P56:R57"/>
    <mergeCell ref="B164:L165"/>
    <mergeCell ref="B171:L175"/>
    <mergeCell ref="B151:L153"/>
    <mergeCell ref="B234:L235"/>
    <mergeCell ref="H57:I59"/>
    <mergeCell ref="G133:H135"/>
    <mergeCell ref="B87:I93"/>
    <mergeCell ref="B217:L219"/>
    <mergeCell ref="C137:D147"/>
    <mergeCell ref="B95:I98"/>
    <mergeCell ref="C199:J206"/>
    <mergeCell ref="T59:V61"/>
    <mergeCell ref="I2:L7"/>
    <mergeCell ref="G28:J29"/>
    <mergeCell ref="P13:V13"/>
    <mergeCell ref="T26:V26"/>
    <mergeCell ref="T17:V25"/>
    <mergeCell ref="G2:H2"/>
    <mergeCell ref="T27:V29"/>
    <mergeCell ref="B26:I27"/>
    <mergeCell ref="K26:L27"/>
    <mergeCell ref="B29:B30"/>
  </mergeCells>
  <phoneticPr fontId="6" type="noConversion"/>
  <printOptions gridLines="1"/>
  <pageMargins left="0.39" right="0.2" top="1" bottom="1" header="0.5" footer="0.5"/>
  <pageSetup orientation="landscape" r:id="rId3"/>
  <headerFooter alignWithMargins="0"/>
  <drawing r:id="rId4"/>
</worksheet>
</file>

<file path=xl/worksheets/sheet29.xml><?xml version="1.0" encoding="utf-8"?>
<worksheet xmlns="http://schemas.openxmlformats.org/spreadsheetml/2006/main" xmlns:r="http://schemas.openxmlformats.org/officeDocument/2006/relationships">
  <sheetPr codeName="Sheet17"/>
  <dimension ref="B1:V90"/>
  <sheetViews>
    <sheetView showGridLines="0" showRuler="0" workbookViewId="0"/>
  </sheetViews>
  <sheetFormatPr defaultRowHeight="13.95" customHeight="1"/>
  <cols>
    <col min="1" max="1" width="2.75" customWidth="1"/>
    <col min="2" max="2" width="10" customWidth="1"/>
    <col min="3" max="3" width="11.625" customWidth="1"/>
    <col min="4" max="4" width="10.75" customWidth="1"/>
    <col min="5" max="5" width="8.75" customWidth="1"/>
    <col min="6" max="6" width="12.625" customWidth="1"/>
    <col min="7" max="7" width="10.875" customWidth="1"/>
    <col min="8" max="8" width="9.375" customWidth="1"/>
    <col min="9" max="9" width="10.125" customWidth="1"/>
    <col min="10" max="10" width="8" customWidth="1"/>
    <col min="13" max="13" width="6" customWidth="1"/>
    <col min="14" max="14" width="2" customWidth="1"/>
    <col min="15" max="15" width="7.125" customWidth="1"/>
    <col min="16" max="16" width="12.375" customWidth="1"/>
    <col min="17" max="17" width="12.125" customWidth="1"/>
    <col min="18" max="18" width="13" customWidth="1"/>
    <col min="19" max="19" width="2.625" customWidth="1"/>
    <col min="20" max="22" width="14.625" customWidth="1"/>
    <col min="23" max="24" width="12.75" customWidth="1"/>
  </cols>
  <sheetData>
    <row r="1" spans="2:22" ht="13.95" customHeight="1">
      <c r="N1" s="621">
        <f>ROW()</f>
        <v>1</v>
      </c>
      <c r="V1" s="8"/>
    </row>
    <row r="2" spans="2:22" ht="13.95" customHeight="1">
      <c r="B2" s="115" t="s">
        <v>640</v>
      </c>
      <c r="E2" s="192">
        <f>'Title Page'!K1</f>
        <v>40914</v>
      </c>
      <c r="G2" s="4189" t="s">
        <v>194</v>
      </c>
      <c r="H2" s="4911"/>
      <c r="I2" s="4907" t="s">
        <v>1207</v>
      </c>
      <c r="J2" s="4908"/>
      <c r="K2" s="4101"/>
      <c r="L2" s="4101"/>
      <c r="N2" s="621">
        <f>ROW()</f>
        <v>2</v>
      </c>
    </row>
    <row r="3" spans="2:22" ht="13.95" customHeight="1">
      <c r="B3" s="24"/>
      <c r="G3" s="739">
        <v>1</v>
      </c>
      <c r="H3" s="763">
        <f>'User Inputs'!J32</f>
        <v>5</v>
      </c>
      <c r="I3" s="4907"/>
      <c r="J3" s="4908"/>
      <c r="K3" s="4101"/>
      <c r="L3" s="4101"/>
      <c r="N3" s="621">
        <f>ROW()</f>
        <v>3</v>
      </c>
    </row>
    <row r="4" spans="2:22" ht="13.95" customHeight="1">
      <c r="B4" s="24"/>
      <c r="G4" s="739">
        <v>2</v>
      </c>
      <c r="H4" s="763">
        <f>'User Inputs'!J33</f>
        <v>5</v>
      </c>
      <c r="I4" s="4907"/>
      <c r="J4" s="4908"/>
      <c r="K4" s="4101"/>
      <c r="L4" s="4101"/>
      <c r="N4" s="621">
        <f>ROW()</f>
        <v>4</v>
      </c>
    </row>
    <row r="5" spans="2:22" ht="13.95" customHeight="1">
      <c r="G5" s="739">
        <v>3</v>
      </c>
      <c r="H5" s="763">
        <f>'User Inputs'!J34</f>
        <v>5</v>
      </c>
      <c r="I5" s="4907"/>
      <c r="J5" s="4908"/>
      <c r="K5" s="4101"/>
      <c r="L5" s="4101"/>
      <c r="N5" s="621">
        <f>ROW()</f>
        <v>5</v>
      </c>
    </row>
    <row r="6" spans="2:22" ht="13.95" customHeight="1">
      <c r="G6" s="739">
        <v>4</v>
      </c>
      <c r="H6" s="763">
        <f>'User Inputs'!J35</f>
        <v>5</v>
      </c>
      <c r="I6" s="4907"/>
      <c r="J6" s="4908"/>
      <c r="K6" s="4101"/>
      <c r="L6" s="4101"/>
      <c r="N6" s="621">
        <f>ROW()</f>
        <v>6</v>
      </c>
    </row>
    <row r="7" spans="2:22" ht="13.95" customHeight="1">
      <c r="G7" s="764">
        <v>5</v>
      </c>
      <c r="H7" s="765" t="str">
        <f>'User Inputs'!J36</f>
        <v>NA</v>
      </c>
      <c r="I7" s="4907"/>
      <c r="J7" s="4908"/>
      <c r="K7" s="4101"/>
      <c r="L7" s="4101"/>
      <c r="N7" s="621">
        <f>ROW()</f>
        <v>7</v>
      </c>
    </row>
    <row r="8" spans="2:22" ht="13.95" customHeight="1">
      <c r="I8" s="665"/>
      <c r="J8" s="666"/>
      <c r="K8" s="663"/>
      <c r="L8" s="664"/>
      <c r="M8" s="664"/>
      <c r="N8" s="621">
        <f>ROW()</f>
        <v>8</v>
      </c>
    </row>
    <row r="9" spans="2:22" ht="13.95" customHeight="1">
      <c r="B9" s="308" t="s">
        <v>42</v>
      </c>
      <c r="I9" s="665"/>
      <c r="J9" s="666"/>
      <c r="K9" s="663"/>
      <c r="L9" s="664"/>
      <c r="M9" s="664"/>
      <c r="N9" s="621">
        <f>ROW()</f>
        <v>9</v>
      </c>
    </row>
    <row r="10" spans="2:22" ht="13.95" customHeight="1">
      <c r="N10" s="621">
        <f>ROW()</f>
        <v>10</v>
      </c>
    </row>
    <row r="11" spans="2:22" ht="13.95" customHeight="1">
      <c r="B11" s="280" t="s">
        <v>544</v>
      </c>
      <c r="C11" s="280"/>
      <c r="D11" s="280"/>
      <c r="E11" s="280"/>
      <c r="F11" s="280"/>
      <c r="G11" s="280"/>
      <c r="H11" s="280"/>
      <c r="I11" s="280"/>
      <c r="J11" s="280"/>
      <c r="K11" s="280"/>
      <c r="N11" s="621">
        <f>ROW()</f>
        <v>11</v>
      </c>
    </row>
    <row r="12" spans="2:22" ht="13.95" customHeight="1">
      <c r="N12" s="621">
        <f>ROW()</f>
        <v>12</v>
      </c>
    </row>
    <row r="13" spans="2:22" ht="13.95" customHeight="1">
      <c r="B13" s="24" t="s">
        <v>2558</v>
      </c>
      <c r="N13" s="621">
        <f>ROW()</f>
        <v>13</v>
      </c>
      <c r="P13" s="4147" t="s">
        <v>1664</v>
      </c>
      <c r="Q13" s="4147"/>
      <c r="R13" s="4147"/>
      <c r="S13" s="4147"/>
      <c r="T13" s="4147"/>
      <c r="U13" s="4147"/>
      <c r="V13" s="4147"/>
    </row>
    <row r="14" spans="2:22" ht="13.95" customHeight="1">
      <c r="B14" s="323" t="s">
        <v>2525</v>
      </c>
      <c r="N14" s="621">
        <f>ROW()</f>
        <v>14</v>
      </c>
      <c r="P14" s="639"/>
      <c r="Q14" s="639"/>
      <c r="R14" s="639"/>
    </row>
    <row r="15" spans="2:22" ht="13.95" customHeight="1">
      <c r="N15" s="621">
        <f>ROW()</f>
        <v>15</v>
      </c>
    </row>
    <row r="16" spans="2:22" ht="13.95" customHeight="1">
      <c r="B16" s="308" t="s">
        <v>784</v>
      </c>
      <c r="N16" s="621">
        <f>ROW()</f>
        <v>16</v>
      </c>
      <c r="T16" s="119"/>
      <c r="U16" s="119"/>
      <c r="V16" s="119"/>
    </row>
    <row r="17" spans="2:22" ht="13.95" customHeight="1">
      <c r="N17" s="621">
        <f>ROW()</f>
        <v>17</v>
      </c>
      <c r="T17" s="3893" t="s">
        <v>2333</v>
      </c>
      <c r="U17" s="4930"/>
      <c r="V17" s="4931"/>
    </row>
    <row r="18" spans="2:22" ht="13.95" customHeight="1">
      <c r="B18" s="4817" t="s">
        <v>1168</v>
      </c>
      <c r="C18" s="4184"/>
      <c r="D18" s="4184"/>
      <c r="E18" s="4184"/>
      <c r="F18" s="4184"/>
      <c r="G18" s="4184"/>
      <c r="H18" s="4184"/>
      <c r="I18" s="4184"/>
      <c r="J18" s="4184"/>
      <c r="K18" s="4184"/>
      <c r="L18" s="4184"/>
      <c r="N18" s="621">
        <f>ROW()</f>
        <v>18</v>
      </c>
      <c r="T18" s="4932"/>
      <c r="U18" s="3926"/>
      <c r="V18" s="4933"/>
    </row>
    <row r="19" spans="2:22" ht="13.95" customHeight="1">
      <c r="B19" s="4184"/>
      <c r="C19" s="4184"/>
      <c r="D19" s="4184"/>
      <c r="E19" s="4184"/>
      <c r="F19" s="4184"/>
      <c r="G19" s="4184"/>
      <c r="H19" s="4184"/>
      <c r="I19" s="4184"/>
      <c r="J19" s="4184"/>
      <c r="K19" s="4184"/>
      <c r="L19" s="4184"/>
      <c r="N19" s="621">
        <f>ROW()</f>
        <v>19</v>
      </c>
      <c r="P19" s="609"/>
      <c r="Q19" s="647" t="s">
        <v>2065</v>
      </c>
      <c r="R19" s="600" t="s">
        <v>1067</v>
      </c>
      <c r="T19" s="4932"/>
      <c r="U19" s="3926"/>
      <c r="V19" s="4933"/>
    </row>
    <row r="20" spans="2:22" ht="13.95" customHeight="1">
      <c r="B20" s="494"/>
      <c r="C20" s="965"/>
      <c r="D20" s="965"/>
      <c r="E20" s="965"/>
      <c r="F20" s="965"/>
      <c r="G20" s="965"/>
      <c r="H20" s="965"/>
      <c r="I20" s="965"/>
      <c r="N20" s="621">
        <f>ROW()</f>
        <v>20</v>
      </c>
      <c r="P20" s="571" t="s">
        <v>1472</v>
      </c>
      <c r="Q20" s="643">
        <v>1.3</v>
      </c>
      <c r="R20" s="644">
        <v>1.3</v>
      </c>
      <c r="T20" s="4932"/>
      <c r="U20" s="3926"/>
      <c r="V20" s="4933"/>
    </row>
    <row r="21" spans="2:22" ht="13.95" customHeight="1">
      <c r="J21" s="20" t="s">
        <v>2065</v>
      </c>
      <c r="K21" s="20" t="s">
        <v>2066</v>
      </c>
      <c r="L21" s="20" t="s">
        <v>1067</v>
      </c>
      <c r="N21" s="621">
        <f>ROW()</f>
        <v>21</v>
      </c>
      <c r="P21" s="571" t="s">
        <v>985</v>
      </c>
      <c r="Q21" s="643">
        <v>1.2</v>
      </c>
      <c r="R21" s="644">
        <v>1.2</v>
      </c>
      <c r="T21" s="4932"/>
      <c r="U21" s="3926"/>
      <c r="V21" s="4933"/>
    </row>
    <row r="22" spans="2:22" ht="13.95" customHeight="1">
      <c r="B22" s="280" t="s">
        <v>1066</v>
      </c>
      <c r="J22" s="642">
        <f>'Motor Vs Weekends'!I76/(SUM('Motor Vs Weekends'!$I$76:$K$76))</f>
        <v>0.18498817966903069</v>
      </c>
      <c r="K22" s="642">
        <f>'Motor Vs Weekends'!J76/(SUM('Motor Vs Weekends'!$I$76:$K$76))</f>
        <v>0.55496453900709208</v>
      </c>
      <c r="L22" s="642">
        <f>'Motor Vs Weekends'!K76/(SUM('Motor Vs Weekends'!$I$76:$K$76))</f>
        <v>0.26004728132387717</v>
      </c>
      <c r="N22" s="621">
        <f>ROW()</f>
        <v>22</v>
      </c>
      <c r="P22" s="571" t="s">
        <v>3877</v>
      </c>
      <c r="Q22" s="643">
        <v>1</v>
      </c>
      <c r="R22" s="644">
        <v>0.9</v>
      </c>
      <c r="T22" s="4932"/>
      <c r="U22" s="3926"/>
      <c r="V22" s="4933"/>
    </row>
    <row r="23" spans="2:22" ht="13.95" customHeight="1">
      <c r="B23" s="309" t="s">
        <v>2349</v>
      </c>
      <c r="N23" s="621">
        <f>ROW()</f>
        <v>23</v>
      </c>
      <c r="P23" s="571" t="s">
        <v>1367</v>
      </c>
      <c r="Q23" s="643">
        <v>0.6</v>
      </c>
      <c r="R23" s="644">
        <v>0.8</v>
      </c>
      <c r="T23" s="4932"/>
      <c r="U23" s="3926"/>
      <c r="V23" s="4933"/>
    </row>
    <row r="24" spans="2:22" ht="13.95" customHeight="1">
      <c r="N24" s="621">
        <f>ROW()</f>
        <v>24</v>
      </c>
      <c r="P24" s="571" t="s">
        <v>986</v>
      </c>
      <c r="Q24" s="643">
        <v>0.8</v>
      </c>
      <c r="R24" s="644">
        <v>0.9</v>
      </c>
      <c r="T24" s="4932"/>
      <c r="U24" s="3926"/>
      <c r="V24" s="4933"/>
    </row>
    <row r="25" spans="2:22" ht="13.95" customHeight="1">
      <c r="B25" s="308" t="s">
        <v>36</v>
      </c>
      <c r="K25" s="308" t="s">
        <v>2902</v>
      </c>
      <c r="N25" s="621">
        <f>ROW()</f>
        <v>25</v>
      </c>
      <c r="P25" s="572"/>
      <c r="Q25" s="645"/>
      <c r="R25" s="646"/>
      <c r="T25" s="4934"/>
      <c r="U25" s="4935"/>
      <c r="V25" s="4936"/>
    </row>
    <row r="26" spans="2:22" ht="13.95" customHeight="1">
      <c r="B26" s="4359" t="str">
        <f>CONCATENATE("Columns show inbound hourly volumes into Manhattan (from source in Row ",N18, "). However, source had only weekDAY volumes, requiring us to derive weekend hourly volumes by prorating weekday hourly figures by weekend/weekday ratio crossings calc'd in 'Weekend' worksheet.")</f>
        <v>Columns show inbound hourly volumes into Manhattan (from source in Row 18). However, source had only weekDAY volumes, requiring us to derive weekend hourly volumes by prorating weekday hourly figures by weekend/weekday ratio crossings calc'd in 'Weekend' worksheet.</v>
      </c>
      <c r="C26" s="4151"/>
      <c r="D26" s="4151"/>
      <c r="E26" s="4151"/>
      <c r="F26" s="4151"/>
      <c r="G26" s="4151"/>
      <c r="H26" s="4152"/>
      <c r="I26" s="309"/>
      <c r="K26" s="4938" t="str">
        <f>CONCATENATE("These cols. are also from Row ",N18," source, but with prorating noted in text box in Row ",N57, ".")</f>
        <v>These cols. are also from Row 18 source, but with prorating noted in text box in Row 57.</v>
      </c>
      <c r="L26" s="4152"/>
      <c r="N26" s="621">
        <f>ROW()</f>
        <v>26</v>
      </c>
      <c r="S26" s="159"/>
      <c r="T26" s="4147"/>
      <c r="U26" s="4147"/>
      <c r="V26" s="4147"/>
    </row>
    <row r="27" spans="2:22" ht="13.95" customHeight="1">
      <c r="B27" s="4153"/>
      <c r="C27" s="3809"/>
      <c r="D27" s="3809"/>
      <c r="E27" s="3809"/>
      <c r="F27" s="3809"/>
      <c r="G27" s="3809"/>
      <c r="H27" s="4154"/>
      <c r="I27" s="309"/>
      <c r="K27" s="4153"/>
      <c r="L27" s="4154"/>
      <c r="N27" s="621">
        <f>ROW()</f>
        <v>27</v>
      </c>
      <c r="P27" s="7" t="s">
        <v>1070</v>
      </c>
      <c r="Q27" s="7" t="s">
        <v>1069</v>
      </c>
      <c r="R27" s="7" t="s">
        <v>1071</v>
      </c>
      <c r="S27" s="7"/>
      <c r="T27" s="4912" t="s">
        <v>476</v>
      </c>
      <c r="U27" s="4912"/>
      <c r="V27" s="4913"/>
    </row>
    <row r="28" spans="2:22" ht="13.95" customHeight="1">
      <c r="B28" s="4164"/>
      <c r="C28" s="4165"/>
      <c r="D28" s="4165"/>
      <c r="E28" s="4165"/>
      <c r="F28" s="4165"/>
      <c r="G28" s="4165"/>
      <c r="H28" s="4166"/>
      <c r="J28" s="309"/>
      <c r="K28" s="4153"/>
      <c r="L28" s="4154"/>
      <c r="M28" s="309"/>
      <c r="N28" s="621">
        <f>ROW()</f>
        <v>28</v>
      </c>
      <c r="P28" s="7"/>
      <c r="Q28" s="7"/>
      <c r="R28" s="7"/>
      <c r="S28" s="7"/>
      <c r="T28" s="4912"/>
      <c r="U28" s="4912"/>
      <c r="V28" s="4913"/>
    </row>
    <row r="29" spans="2:22" ht="13.95" customHeight="1">
      <c r="B29" s="4914" t="s">
        <v>817</v>
      </c>
      <c r="G29" s="309"/>
      <c r="H29" s="309"/>
      <c r="I29" s="309"/>
      <c r="J29" s="309"/>
      <c r="K29" s="4164"/>
      <c r="L29" s="4166"/>
      <c r="M29" s="309"/>
      <c r="N29" s="621">
        <f>ROW()</f>
        <v>29</v>
      </c>
      <c r="O29" s="22">
        <f>SUM(P29:R29)</f>
        <v>1</v>
      </c>
      <c r="P29" s="642">
        <f>J22</f>
        <v>0.18498817966903069</v>
      </c>
      <c r="Q29" s="642">
        <f>K22</f>
        <v>0.55496453900709208</v>
      </c>
      <c r="R29" s="642">
        <f>L22</f>
        <v>0.26004728132387717</v>
      </c>
      <c r="S29" s="564"/>
      <c r="T29" s="4912"/>
      <c r="U29" s="4912"/>
      <c r="V29" s="4913"/>
    </row>
    <row r="30" spans="2:22" ht="22.2" customHeight="1">
      <c r="B30" s="4521"/>
      <c r="C30" s="343" t="s">
        <v>1366</v>
      </c>
      <c r="D30" s="343" t="s">
        <v>785</v>
      </c>
      <c r="E30" s="343" t="s">
        <v>786</v>
      </c>
      <c r="F30" s="343" t="s">
        <v>1471</v>
      </c>
      <c r="G30" s="343" t="s">
        <v>2530</v>
      </c>
      <c r="H30" s="343" t="s">
        <v>433</v>
      </c>
      <c r="I30" s="343" t="s">
        <v>722</v>
      </c>
      <c r="K30" s="343" t="s">
        <v>1366</v>
      </c>
      <c r="L30" s="343" t="s">
        <v>785</v>
      </c>
      <c r="N30" s="621">
        <f>ROW()</f>
        <v>30</v>
      </c>
      <c r="O30" s="141"/>
      <c r="P30" s="806" t="s">
        <v>1111</v>
      </c>
      <c r="Q30" s="806" t="s">
        <v>45</v>
      </c>
      <c r="R30" s="806" t="s">
        <v>1574</v>
      </c>
      <c r="S30" s="806"/>
      <c r="T30" s="806" t="s">
        <v>60</v>
      </c>
      <c r="U30" s="806" t="s">
        <v>1423</v>
      </c>
      <c r="V30" s="806" t="s">
        <v>1068</v>
      </c>
    </row>
    <row r="31" spans="2:22" ht="13.95" customHeight="1">
      <c r="B31" t="s">
        <v>1311</v>
      </c>
      <c r="C31" s="155">
        <f>'Weekday Hours'!C31*Weekends!V122</f>
        <v>22571.282679657194</v>
      </c>
      <c r="D31" s="935">
        <f t="shared" ref="D31:D54" si="0">C31/$C$55</f>
        <v>2.774697066168004E-2</v>
      </c>
      <c r="E31" s="569"/>
      <c r="F31" s="934">
        <f t="shared" ref="F31:F54" si="1">C31/$C$57</f>
        <v>0.66592729588032096</v>
      </c>
      <c r="G31" s="298" t="s">
        <v>1472</v>
      </c>
      <c r="H31" s="298">
        <v>1</v>
      </c>
      <c r="I31" s="592">
        <f t="shared" ref="I31:I54" si="2">VLOOKUP(H31,$G$3:$H$7,2)</f>
        <v>5</v>
      </c>
      <c r="K31" s="155">
        <f>'Weekday Hours'!K31*Weekends!W122*$C$55/867443</f>
        <v>36773.608750672232</v>
      </c>
      <c r="L31" s="935">
        <f t="shared" ref="L31:L54" si="3">K31/$K$55</f>
        <v>4.5205972973870294E-2</v>
      </c>
      <c r="N31" s="621">
        <f>ROW()</f>
        <v>31</v>
      </c>
      <c r="O31" s="22">
        <f t="shared" ref="O31:O55" si="4">SUM(P31:R31)</f>
        <v>2.774697066168004E-2</v>
      </c>
      <c r="P31" s="574">
        <f>$D31*P$29*IF($G31="Graveyard",Q$20,IF($G31="Early Shoulder",Q$21,IF($G31="Shoulder",Q$22,IF($G31="Peak",Q$23,IF($G31="Late Shoulder",Q$24,100)))))</f>
        <v>6.6727200722444483E-3</v>
      </c>
      <c r="Q31" s="574">
        <f t="shared" ref="Q31:Q54" si="5">D31-P31-R31</f>
        <v>1.1694069018229334E-2</v>
      </c>
      <c r="R31" s="574">
        <f>$D31*R$29*IF($G31="Graveyard",R$20,IF($G31="Early Shoulder",R$21,IF($G31="Shoulder",R$22,IF($G31="Peak",R$23,IF($G31="Late Shoulder",R$24,100)))))</f>
        <v>9.380181571206259E-3</v>
      </c>
      <c r="S31" s="574"/>
      <c r="T31" s="574">
        <f t="shared" ref="T31:T54" si="6">P31/P$55</f>
        <v>3.6145682486432761E-2</v>
      </c>
      <c r="U31" s="574">
        <f t="shared" ref="U31:U54" si="7">Q31/Q$55</f>
        <v>2.1094914664194952E-2</v>
      </c>
      <c r="V31" s="574">
        <f t="shared" ref="V31:V54" si="8">R31/R$55</f>
        <v>3.593404676524449E-2</v>
      </c>
    </row>
    <row r="32" spans="2:22" ht="13.95" customHeight="1">
      <c r="B32" t="s">
        <v>1312</v>
      </c>
      <c r="C32" s="155">
        <f>'Weekday Hours'!C32*Weekends!V123</f>
        <v>18857.208710718256</v>
      </c>
      <c r="D32" s="935">
        <f t="shared" si="0"/>
        <v>2.3181244251087613E-2</v>
      </c>
      <c r="E32" s="569"/>
      <c r="F32" s="934">
        <f t="shared" si="1"/>
        <v>0.5563498620261027</v>
      </c>
      <c r="G32" s="298" t="s">
        <v>1472</v>
      </c>
      <c r="H32" s="298">
        <v>1</v>
      </c>
      <c r="I32" s="592">
        <f t="shared" si="2"/>
        <v>5</v>
      </c>
      <c r="J32" s="4937" t="s">
        <v>328</v>
      </c>
      <c r="K32" s="155">
        <f>'Weekday Hours'!K32*Weekends!W123*$C$55/867443</f>
        <v>31965.922028371329</v>
      </c>
      <c r="L32" s="935">
        <f t="shared" si="3"/>
        <v>3.9295860710787146E-2</v>
      </c>
      <c r="N32" s="621">
        <f>ROW()</f>
        <v>32</v>
      </c>
      <c r="O32" s="22">
        <f t="shared" si="4"/>
        <v>2.3181244251087613E-2</v>
      </c>
      <c r="P32" s="574">
        <f t="shared" ref="P32:P54" si="9">$D32*P$29*IF($G32="Graveyard",Q$20,IF($G32="Early Shoulder",Q$21,IF($G32="Shoulder",Q$22,IF($G32="Peak",Q$23,IF($G32="Late Shoulder",Q$24,100)))))</f>
        <v>5.5747330294134449E-3</v>
      </c>
      <c r="Q32" s="574">
        <f t="shared" si="5"/>
        <v>9.7698258129140497E-3</v>
      </c>
      <c r="R32" s="574">
        <f t="shared" ref="R32:R54" si="10">$D32*R$29*IF($G32="Graveyard",R$20,IF($G32="Early Shoulder",R$21,IF($G32="Shoulder",R$22,IF($G32="Peak",R$23,IF($G32="Late Shoulder",R$24,100)))))</f>
        <v>7.8366854087601173E-3</v>
      </c>
      <c r="S32" s="574"/>
      <c r="T32" s="574">
        <f t="shared" si="6"/>
        <v>3.0197959429763707E-2</v>
      </c>
      <c r="U32" s="574">
        <f t="shared" si="7"/>
        <v>1.7623775050942599E-2</v>
      </c>
      <c r="V32" s="574">
        <f t="shared" si="8"/>
        <v>3.0021148079618882E-2</v>
      </c>
    </row>
    <row r="33" spans="2:22" ht="13.95" customHeight="1">
      <c r="B33" t="s">
        <v>1313</v>
      </c>
      <c r="C33" s="155">
        <f>'Weekday Hours'!C33*Weekends!V124</f>
        <v>15827.848500487518</v>
      </c>
      <c r="D33" s="935">
        <f t="shared" si="0"/>
        <v>1.945723928114898E-2</v>
      </c>
      <c r="E33" s="570"/>
      <c r="F33" s="934">
        <f t="shared" si="1"/>
        <v>0.46697374274757553</v>
      </c>
      <c r="G33" s="298" t="s">
        <v>1472</v>
      </c>
      <c r="H33" s="298">
        <v>1</v>
      </c>
      <c r="I33" s="592">
        <f t="shared" si="2"/>
        <v>5</v>
      </c>
      <c r="J33" s="3779"/>
      <c r="K33" s="155">
        <f>'Weekday Hours'!K33*Weekends!W124*$C$55/867443</f>
        <v>26368.83264755378</v>
      </c>
      <c r="L33" s="935">
        <f t="shared" si="3"/>
        <v>3.2415331987128794E-2</v>
      </c>
      <c r="N33" s="621">
        <f>ROW()</f>
        <v>33</v>
      </c>
      <c r="O33" s="22">
        <f t="shared" si="4"/>
        <v>1.945723928114898E-2</v>
      </c>
      <c r="P33" s="574">
        <f t="shared" si="9"/>
        <v>4.6791670588058618E-3</v>
      </c>
      <c r="Q33" s="574">
        <f t="shared" si="5"/>
        <v>8.2003293920728942E-3</v>
      </c>
      <c r="R33" s="574">
        <f t="shared" si="10"/>
        <v>6.5777428302702251E-3</v>
      </c>
      <c r="S33" s="574"/>
      <c r="T33" s="574">
        <f t="shared" si="6"/>
        <v>2.5346737908590655E-2</v>
      </c>
      <c r="U33" s="574">
        <f t="shared" si="7"/>
        <v>1.4792562663552677E-2</v>
      </c>
      <c r="V33" s="574">
        <f t="shared" si="8"/>
        <v>2.5198330829569029E-2</v>
      </c>
    </row>
    <row r="34" spans="2:22" ht="13.95" customHeight="1">
      <c r="B34" t="s">
        <v>1314</v>
      </c>
      <c r="C34" s="155">
        <f>'Weekday Hours'!C34*Weekends!V125</f>
        <v>13856.614757628691</v>
      </c>
      <c r="D34" s="935">
        <f t="shared" si="0"/>
        <v>1.7033993530932347E-2</v>
      </c>
      <c r="E34" s="569"/>
      <c r="F34" s="934">
        <f t="shared" si="1"/>
        <v>0.40881584474237631</v>
      </c>
      <c r="G34" s="298" t="s">
        <v>1472</v>
      </c>
      <c r="H34" s="298">
        <v>1</v>
      </c>
      <c r="I34" s="592">
        <f t="shared" si="2"/>
        <v>5</v>
      </c>
      <c r="J34" s="3779"/>
      <c r="K34" s="155">
        <f>'Weekday Hours'!K34*Weekends!W125*$C$55/867443</f>
        <v>24842.572584737161</v>
      </c>
      <c r="L34" s="935">
        <f t="shared" si="3"/>
        <v>3.0539093198094405E-2</v>
      </c>
      <c r="N34" s="621">
        <f>ROW()</f>
        <v>34</v>
      </c>
      <c r="O34" s="22">
        <f t="shared" si="4"/>
        <v>1.7033993530932344E-2</v>
      </c>
      <c r="P34" s="574">
        <f t="shared" si="9"/>
        <v>4.0964136925155858E-3</v>
      </c>
      <c r="Q34" s="574">
        <f t="shared" si="5"/>
        <v>7.1790430182670523E-3</v>
      </c>
      <c r="R34" s="574">
        <f t="shared" si="10"/>
        <v>5.7585368201497084E-3</v>
      </c>
      <c r="S34" s="574"/>
      <c r="T34" s="574">
        <f t="shared" si="6"/>
        <v>2.2190001537549835E-2</v>
      </c>
      <c r="U34" s="574">
        <f t="shared" si="7"/>
        <v>1.295026560941733E-2</v>
      </c>
      <c r="V34" s="574">
        <f t="shared" si="8"/>
        <v>2.2060077390168447E-2</v>
      </c>
    </row>
    <row r="35" spans="2:22" ht="13.95" customHeight="1">
      <c r="B35" t="s">
        <v>1315</v>
      </c>
      <c r="C35" s="155">
        <f>'Weekday Hours'!C35*Weekends!V126</f>
        <v>13184.29328149398</v>
      </c>
      <c r="D35" s="935">
        <f t="shared" si="0"/>
        <v>1.6207505974230912E-2</v>
      </c>
      <c r="E35" s="569"/>
      <c r="F35" s="934">
        <f t="shared" si="1"/>
        <v>0.38898014338154191</v>
      </c>
      <c r="G35" s="298" t="s">
        <v>1472</v>
      </c>
      <c r="H35" s="298">
        <v>1</v>
      </c>
      <c r="I35" s="592">
        <f t="shared" si="2"/>
        <v>5</v>
      </c>
      <c r="J35" s="3779"/>
      <c r="K35" s="155">
        <f>'Weekday Hours'!K35*Weekends!W126*$C$55/867443</f>
        <v>16629.152990301009</v>
      </c>
      <c r="L35" s="935">
        <f t="shared" si="3"/>
        <v>2.0442297239706173E-2</v>
      </c>
      <c r="N35" s="621">
        <f>ROW()</f>
        <v>35</v>
      </c>
      <c r="O35" s="22">
        <f t="shared" si="4"/>
        <v>1.6207505974230915E-2</v>
      </c>
      <c r="P35" s="574">
        <f t="shared" si="9"/>
        <v>3.8976561352922915E-3</v>
      </c>
      <c r="Q35" s="574">
        <f t="shared" si="5"/>
        <v>6.8307166136076011E-3</v>
      </c>
      <c r="R35" s="574">
        <f t="shared" si="10"/>
        <v>5.4791332253310201E-3</v>
      </c>
      <c r="S35" s="574"/>
      <c r="T35" s="574">
        <f t="shared" si="6"/>
        <v>2.1113345020059258E-2</v>
      </c>
      <c r="U35" s="574">
        <f t="shared" si="7"/>
        <v>1.2321920097677776E-2</v>
      </c>
      <c r="V35" s="574">
        <f t="shared" si="8"/>
        <v>2.0989724778507749E-2</v>
      </c>
    </row>
    <row r="36" spans="2:22" ht="13.95" customHeight="1">
      <c r="B36" t="s">
        <v>1316</v>
      </c>
      <c r="C36" s="155">
        <f>'Weekday Hours'!C36*Weekends!V127</f>
        <v>13664.912030937041</v>
      </c>
      <c r="D36" s="935">
        <f t="shared" si="0"/>
        <v>1.6798332580300095E-2</v>
      </c>
      <c r="E36" s="569"/>
      <c r="F36" s="934">
        <f t="shared" si="1"/>
        <v>0.40315998192720226</v>
      </c>
      <c r="G36" s="298" t="s">
        <v>1472</v>
      </c>
      <c r="H36" s="298">
        <v>1</v>
      </c>
      <c r="I36" s="592">
        <f t="shared" si="2"/>
        <v>5</v>
      </c>
      <c r="J36" s="3779"/>
      <c r="K36" s="155">
        <f>'Weekday Hours'!K36*Weekends!W127*$C$55/867443</f>
        <v>13944.484631114889</v>
      </c>
      <c r="L36" s="935">
        <f t="shared" si="3"/>
        <v>1.7142021596050345E-2</v>
      </c>
      <c r="N36" s="621">
        <f>ROW()</f>
        <v>36</v>
      </c>
      <c r="O36" s="22">
        <f t="shared" si="4"/>
        <v>1.6798332580300095E-2</v>
      </c>
      <c r="P36" s="574">
        <f t="shared" si="9"/>
        <v>4.0397408551560918E-3</v>
      </c>
      <c r="Q36" s="574">
        <f t="shared" si="5"/>
        <v>7.0797227913782478E-3</v>
      </c>
      <c r="R36" s="574">
        <f t="shared" si="10"/>
        <v>5.6788689337657558E-3</v>
      </c>
      <c r="S36" s="574"/>
      <c r="T36" s="574">
        <f t="shared" si="6"/>
        <v>2.1883008532804699E-2</v>
      </c>
      <c r="U36" s="574">
        <f t="shared" si="7"/>
        <v>1.2771101991742268E-2</v>
      </c>
      <c r="V36" s="574">
        <f t="shared" si="8"/>
        <v>2.1754881852824388E-2</v>
      </c>
    </row>
    <row r="37" spans="2:22" ht="13.95" customHeight="1">
      <c r="B37" t="s">
        <v>1317</v>
      </c>
      <c r="C37" s="155">
        <f>'Weekday Hours'!C37*Weekends!V128</f>
        <v>19542.218104348543</v>
      </c>
      <c r="D37" s="935">
        <f t="shared" si="0"/>
        <v>2.4023329116967442E-2</v>
      </c>
      <c r="E37" s="569"/>
      <c r="F37" s="934">
        <f t="shared" si="1"/>
        <v>0.57655989880721858</v>
      </c>
      <c r="G37" s="298" t="s">
        <v>1472</v>
      </c>
      <c r="H37" s="298">
        <v>1</v>
      </c>
      <c r="I37" s="592">
        <f t="shared" si="2"/>
        <v>5</v>
      </c>
      <c r="J37" s="3779"/>
      <c r="K37" s="155">
        <f>'Weekday Hours'!K37*Weekends!W128*$C$55/867443</f>
        <v>17021.233213596814</v>
      </c>
      <c r="L37" s="935">
        <f t="shared" si="3"/>
        <v>2.0924283331908104E-2</v>
      </c>
      <c r="N37" s="621">
        <f>ROW()</f>
        <v>37</v>
      </c>
      <c r="O37" s="22">
        <f t="shared" si="4"/>
        <v>2.4023329116967446E-2</v>
      </c>
      <c r="P37" s="574">
        <f t="shared" si="9"/>
        <v>5.7772414998191789E-3</v>
      </c>
      <c r="Q37" s="574">
        <f t="shared" si="5"/>
        <v>1.0124725764367305E-2</v>
      </c>
      <c r="R37" s="574">
        <f t="shared" si="10"/>
        <v>8.1213618527809592E-3</v>
      </c>
      <c r="S37" s="574"/>
      <c r="T37" s="574">
        <f t="shared" si="6"/>
        <v>3.1294934395422157E-2</v>
      </c>
      <c r="U37" s="574">
        <f t="shared" si="7"/>
        <v>1.8263978574503376E-2</v>
      </c>
      <c r="V37" s="574">
        <f t="shared" si="8"/>
        <v>3.1111700173387463E-2</v>
      </c>
    </row>
    <row r="38" spans="2:22" ht="13.95" customHeight="1">
      <c r="B38" t="s">
        <v>1318</v>
      </c>
      <c r="C38" s="155">
        <f>'Weekday Hours'!C38*Weekends!V129</f>
        <v>22008.750050839037</v>
      </c>
      <c r="D38" s="935">
        <f t="shared" si="0"/>
        <v>2.7055446986682042E-2</v>
      </c>
      <c r="E38" s="569"/>
      <c r="F38" s="934">
        <f t="shared" si="1"/>
        <v>0.64933072768036904</v>
      </c>
      <c r="G38" s="298" t="s">
        <v>1472</v>
      </c>
      <c r="H38" s="298">
        <v>1</v>
      </c>
      <c r="I38" s="592">
        <f t="shared" si="2"/>
        <v>5</v>
      </c>
      <c r="J38" s="3779"/>
      <c r="K38" s="155">
        <f>'Weekday Hours'!K38*Weekends!W129*$C$55/867443</f>
        <v>21364.077960778217</v>
      </c>
      <c r="L38" s="935">
        <f t="shared" si="3"/>
        <v>2.6262963133552763E-2</v>
      </c>
      <c r="N38" s="621">
        <f>ROW()</f>
        <v>38</v>
      </c>
      <c r="O38" s="22">
        <f t="shared" si="4"/>
        <v>2.7055446986682039E-2</v>
      </c>
      <c r="P38" s="574">
        <f t="shared" si="9"/>
        <v>6.5064192546577552E-3</v>
      </c>
      <c r="Q38" s="574">
        <f t="shared" si="5"/>
        <v>1.1402623667968651E-2</v>
      </c>
      <c r="R38" s="574">
        <f t="shared" si="10"/>
        <v>9.1464040640556344E-3</v>
      </c>
      <c r="S38" s="574"/>
      <c r="T38" s="574">
        <f t="shared" si="6"/>
        <v>3.5244841976919093E-2</v>
      </c>
      <c r="U38" s="574">
        <f t="shared" si="7"/>
        <v>2.0569176806530379E-2</v>
      </c>
      <c r="V38" s="574">
        <f t="shared" si="8"/>
        <v>3.503848074545661E-2</v>
      </c>
    </row>
    <row r="39" spans="2:22" ht="13.95" customHeight="1">
      <c r="B39" t="s">
        <v>1319</v>
      </c>
      <c r="C39" s="155">
        <f>'Weekday Hours'!C39*Weekends!V130</f>
        <v>25080.206932419966</v>
      </c>
      <c r="D39" s="935">
        <f t="shared" si="0"/>
        <v>3.0831201567907095E-2</v>
      </c>
      <c r="E39" s="569"/>
      <c r="F39" s="934">
        <f t="shared" si="1"/>
        <v>0.73994883762977026</v>
      </c>
      <c r="G39" s="298" t="s">
        <v>1472</v>
      </c>
      <c r="H39" s="298">
        <v>1</v>
      </c>
      <c r="I39" s="592">
        <f t="shared" si="2"/>
        <v>5</v>
      </c>
      <c r="J39" s="3779"/>
      <c r="K39" s="155">
        <f>'Weekday Hours'!K39*Weekends!W130*$C$55/867443</f>
        <v>27079.639497555167</v>
      </c>
      <c r="L39" s="935">
        <f t="shared" si="3"/>
        <v>3.3289130244696243E-2</v>
      </c>
      <c r="N39" s="621">
        <f>ROW()</f>
        <v>39</v>
      </c>
      <c r="O39" s="22">
        <f t="shared" si="4"/>
        <v>3.0831201567907092E-2</v>
      </c>
      <c r="P39" s="574">
        <f t="shared" si="9"/>
        <v>7.4144302115729281E-3</v>
      </c>
      <c r="Q39" s="574">
        <f t="shared" si="5"/>
        <v>1.2993930164346657E-2</v>
      </c>
      <c r="R39" s="574">
        <f t="shared" si="10"/>
        <v>1.042284119198751E-2</v>
      </c>
      <c r="S39" s="574"/>
      <c r="T39" s="574">
        <f t="shared" si="6"/>
        <v>4.016347716429601E-2</v>
      </c>
      <c r="U39" s="574">
        <f t="shared" si="7"/>
        <v>2.3439732358523854E-2</v>
      </c>
      <c r="V39" s="574">
        <f t="shared" si="8"/>
        <v>3.9928316949565397E-2</v>
      </c>
    </row>
    <row r="40" spans="2:22" ht="13.95" customHeight="1">
      <c r="B40" t="s">
        <v>1320</v>
      </c>
      <c r="C40" s="155">
        <f>'Weekday Hours'!C40*Weekends!V131</f>
        <v>28299.210270265088</v>
      </c>
      <c r="D40" s="935">
        <f t="shared" si="0"/>
        <v>3.4788335614858619E-2</v>
      </c>
      <c r="E40" s="569"/>
      <c r="F40" s="934">
        <f t="shared" si="1"/>
        <v>0.83492005475660691</v>
      </c>
      <c r="G40" s="298" t="s">
        <v>1472</v>
      </c>
      <c r="H40" s="298">
        <v>1</v>
      </c>
      <c r="I40" s="592">
        <f t="shared" si="2"/>
        <v>5</v>
      </c>
      <c r="J40" s="3779"/>
      <c r="K40" s="155">
        <f>'Weekday Hours'!K40*Weekends!W131*$C$55/867443</f>
        <v>31100.037175027708</v>
      </c>
      <c r="L40" s="935">
        <f t="shared" si="3"/>
        <v>3.8231424322611895E-2</v>
      </c>
      <c r="N40" s="621">
        <f>ROW()</f>
        <v>40</v>
      </c>
      <c r="O40" s="22">
        <f t="shared" si="4"/>
        <v>3.4788335614858619E-2</v>
      </c>
      <c r="P40" s="574">
        <f t="shared" si="9"/>
        <v>8.3660601428404077E-3</v>
      </c>
      <c r="Q40" s="574">
        <f t="shared" si="5"/>
        <v>1.4661679744063639E-2</v>
      </c>
      <c r="R40" s="574">
        <f t="shared" si="10"/>
        <v>1.1760595727954572E-2</v>
      </c>
      <c r="S40" s="574"/>
      <c r="T40" s="574">
        <f t="shared" si="6"/>
        <v>4.5318393445477612E-2</v>
      </c>
      <c r="U40" s="1217">
        <f t="shared" si="7"/>
        <v>2.6448183481100149E-2</v>
      </c>
      <c r="V40" s="574">
        <f t="shared" si="8"/>
        <v>4.50530508036966E-2</v>
      </c>
    </row>
    <row r="41" spans="2:22" ht="13.95" customHeight="1">
      <c r="B41" t="s">
        <v>1321</v>
      </c>
      <c r="C41" s="155">
        <f>'Weekday Hours'!C41*Weekends!V132</f>
        <v>35690.324516221976</v>
      </c>
      <c r="D41" s="936">
        <f t="shared" si="0"/>
        <v>4.3874262766199663E-2</v>
      </c>
      <c r="E41" s="569"/>
      <c r="F41" s="934">
        <f t="shared" si="1"/>
        <v>1.052982306388792</v>
      </c>
      <c r="G41" s="298" t="s">
        <v>985</v>
      </c>
      <c r="H41" s="298">
        <v>2</v>
      </c>
      <c r="I41" s="592">
        <f t="shared" si="2"/>
        <v>5</v>
      </c>
      <c r="J41" s="3779"/>
      <c r="K41" s="155">
        <f>'Weekday Hours'!K41*Weekends!W132*$C$55/867443</f>
        <v>34229.943101458986</v>
      </c>
      <c r="L41" s="936">
        <f t="shared" si="3"/>
        <v>4.2079032635419171E-2</v>
      </c>
      <c r="N41" s="621">
        <f>ROW()</f>
        <v>41</v>
      </c>
      <c r="O41" s="22">
        <f t="shared" si="4"/>
        <v>4.387426276619967E-2</v>
      </c>
      <c r="P41" s="574">
        <f t="shared" si="9"/>
        <v>9.7394640041280085E-3</v>
      </c>
      <c r="Q41" s="574">
        <f t="shared" si="5"/>
        <v>2.0443539459144098E-2</v>
      </c>
      <c r="R41" s="574">
        <f t="shared" si="10"/>
        <v>1.3691259302927559E-2</v>
      </c>
      <c r="S41" s="574"/>
      <c r="T41" s="574">
        <f t="shared" si="6"/>
        <v>5.2758031158174956E-2</v>
      </c>
      <c r="U41" s="1217">
        <f t="shared" si="7"/>
        <v>3.6878072093852382E-2</v>
      </c>
      <c r="V41" s="574">
        <f t="shared" si="8"/>
        <v>5.244912887152358E-2</v>
      </c>
    </row>
    <row r="42" spans="2:22" ht="13.95" customHeight="1">
      <c r="B42" t="s">
        <v>2768</v>
      </c>
      <c r="C42" s="155">
        <f>'Weekday Hours'!C42*Weekends!V133</f>
        <v>39164.479886316702</v>
      </c>
      <c r="D42" s="936">
        <f t="shared" si="0"/>
        <v>4.8145056256151231E-2</v>
      </c>
      <c r="E42" s="569"/>
      <c r="F42" s="934">
        <f t="shared" si="1"/>
        <v>1.1554813501476295</v>
      </c>
      <c r="G42" s="298" t="s">
        <v>985</v>
      </c>
      <c r="H42" s="298">
        <v>2</v>
      </c>
      <c r="I42" s="592">
        <f t="shared" si="2"/>
        <v>5</v>
      </c>
      <c r="J42" s="3779"/>
      <c r="K42" s="155">
        <f>'Weekday Hours'!K42*Weekends!W133*$C$55/867443</f>
        <v>37202.483249847304</v>
      </c>
      <c r="L42" s="936">
        <f t="shared" si="3"/>
        <v>4.5733190445246041E-2</v>
      </c>
      <c r="N42" s="621">
        <f>ROW()</f>
        <v>42</v>
      </c>
      <c r="O42" s="22">
        <f t="shared" si="4"/>
        <v>4.8145056256151231E-2</v>
      </c>
      <c r="P42" s="574">
        <f t="shared" si="9"/>
        <v>1.0687519580266192E-2</v>
      </c>
      <c r="Q42" s="574">
        <f t="shared" si="5"/>
        <v>2.2433547489568342E-2</v>
      </c>
      <c r="R42" s="574">
        <f t="shared" si="10"/>
        <v>1.50239891863167E-2</v>
      </c>
      <c r="S42" s="574"/>
      <c r="T42" s="574">
        <f t="shared" si="6"/>
        <v>5.7893585394463543E-2</v>
      </c>
      <c r="U42" s="1217">
        <f t="shared" si="7"/>
        <v>4.0467844782676343E-2</v>
      </c>
      <c r="V42" s="574">
        <f t="shared" si="8"/>
        <v>5.7554614047007846E-2</v>
      </c>
    </row>
    <row r="43" spans="2:22" ht="13.95" customHeight="1">
      <c r="B43" t="s">
        <v>2904</v>
      </c>
      <c r="C43" s="155">
        <f>'Weekday Hours'!C43*Weekends!V134</f>
        <v>44494.706890969741</v>
      </c>
      <c r="D43" s="937">
        <f t="shared" si="0"/>
        <v>5.4697526242781555E-2</v>
      </c>
      <c r="E43" s="569"/>
      <c r="F43" s="934">
        <f t="shared" si="1"/>
        <v>1.3127406298267572</v>
      </c>
      <c r="G43" s="298" t="s">
        <v>2529</v>
      </c>
      <c r="H43" s="298">
        <v>3</v>
      </c>
      <c r="I43" s="592">
        <f t="shared" si="2"/>
        <v>5</v>
      </c>
      <c r="J43" s="3779"/>
      <c r="K43" s="155">
        <f>'Weekday Hours'!K43*Weekends!W134*$C$55/867443</f>
        <v>37452.010378253726</v>
      </c>
      <c r="L43" s="937">
        <f t="shared" si="3"/>
        <v>4.6039935336656297E-2</v>
      </c>
      <c r="N43" s="621">
        <f>ROW()</f>
        <v>43</v>
      </c>
      <c r="O43" s="22">
        <f t="shared" si="4"/>
        <v>5.4697526242781555E-2</v>
      </c>
      <c r="P43" s="574">
        <f t="shared" si="9"/>
        <v>1.0118395812051196E-2</v>
      </c>
      <c r="Q43" s="574">
        <f t="shared" si="5"/>
        <v>3.1777581735611266E-2</v>
      </c>
      <c r="R43" s="574">
        <f t="shared" si="10"/>
        <v>1.2801548695119094E-2</v>
      </c>
      <c r="S43" s="574"/>
      <c r="T43" s="574">
        <f t="shared" si="6"/>
        <v>5.4810679653077933E-2</v>
      </c>
      <c r="U43" s="1217">
        <f t="shared" si="7"/>
        <v>5.7323535024654787E-2</v>
      </c>
      <c r="V43" s="574">
        <f t="shared" si="8"/>
        <v>4.904078305797744E-2</v>
      </c>
    </row>
    <row r="44" spans="2:22" ht="13.95" customHeight="1">
      <c r="B44" t="s">
        <v>2769</v>
      </c>
      <c r="C44" s="155">
        <f>'Weekday Hours'!C44*Weekends!V135</f>
        <v>47335.834268002676</v>
      </c>
      <c r="D44" s="937">
        <f t="shared" si="0"/>
        <v>5.8190135816435881E-2</v>
      </c>
      <c r="E44" s="569"/>
      <c r="F44" s="934">
        <f t="shared" si="1"/>
        <v>1.396563259594461</v>
      </c>
      <c r="G44" s="298" t="s">
        <v>2529</v>
      </c>
      <c r="H44" s="298">
        <v>3</v>
      </c>
      <c r="I44" s="592">
        <f t="shared" si="2"/>
        <v>5</v>
      </c>
      <c r="K44" s="155">
        <f>'Weekday Hours'!K44*Weekends!W135*$C$55/867443</f>
        <v>37198.590142118519</v>
      </c>
      <c r="L44" s="937">
        <f t="shared" si="3"/>
        <v>4.5728404629310354E-2</v>
      </c>
      <c r="N44" s="621">
        <f>ROW()</f>
        <v>44</v>
      </c>
      <c r="O44" s="22">
        <f t="shared" si="4"/>
        <v>5.8190135816435881E-2</v>
      </c>
      <c r="P44" s="574">
        <f t="shared" si="9"/>
        <v>1.0764487299376138E-2</v>
      </c>
      <c r="Q44" s="574">
        <f t="shared" si="5"/>
        <v>3.3806680560021556E-2</v>
      </c>
      <c r="R44" s="574">
        <f t="shared" si="10"/>
        <v>1.3618967957038189E-2</v>
      </c>
      <c r="S44" s="574"/>
      <c r="T44" s="574">
        <f t="shared" si="6"/>
        <v>5.8310514428880127E-2</v>
      </c>
      <c r="U44" s="574">
        <f t="shared" si="7"/>
        <v>6.0983823541802137E-2</v>
      </c>
      <c r="V44" s="574">
        <f t="shared" si="8"/>
        <v>5.2172191737184397E-2</v>
      </c>
    </row>
    <row r="45" spans="2:22" ht="13.95" customHeight="1">
      <c r="B45" t="s">
        <v>2189</v>
      </c>
      <c r="C45" s="155">
        <f>'Weekday Hours'!C45*Weekends!V136</f>
        <v>48179.595813556945</v>
      </c>
      <c r="D45" s="937">
        <f t="shared" si="0"/>
        <v>5.9227375355819629E-2</v>
      </c>
      <c r="E45" s="569"/>
      <c r="F45" s="934">
        <f t="shared" si="1"/>
        <v>1.4214570085396712</v>
      </c>
      <c r="G45" s="298" t="s">
        <v>2529</v>
      </c>
      <c r="H45" s="298">
        <v>3</v>
      </c>
      <c r="I45" s="592">
        <f t="shared" si="2"/>
        <v>5</v>
      </c>
      <c r="K45" s="155">
        <f>'Weekday Hours'!K45*Weekends!W136*$C$55/867443</f>
        <v>40479.18564669128</v>
      </c>
      <c r="L45" s="937">
        <f t="shared" si="3"/>
        <v>4.9761256360654385E-2</v>
      </c>
      <c r="N45" s="621">
        <f>ROW()</f>
        <v>45</v>
      </c>
      <c r="O45" s="22">
        <f t="shared" si="4"/>
        <v>5.9227375355819629E-2</v>
      </c>
      <c r="P45" s="574">
        <f t="shared" si="9"/>
        <v>1.0956364353647483E-2</v>
      </c>
      <c r="Q45" s="574">
        <f t="shared" si="5"/>
        <v>3.440928485506542E-2</v>
      </c>
      <c r="R45" s="574">
        <f t="shared" si="10"/>
        <v>1.3861726147106727E-2</v>
      </c>
      <c r="S45" s="574"/>
      <c r="T45" s="574">
        <f t="shared" si="6"/>
        <v>5.9349899717792927E-2</v>
      </c>
      <c r="U45" s="574">
        <f t="shared" si="7"/>
        <v>6.2070860582579962E-2</v>
      </c>
      <c r="V45" s="574">
        <f t="shared" si="8"/>
        <v>5.3102161385250299E-2</v>
      </c>
    </row>
    <row r="46" spans="2:22" ht="13.95" customHeight="1">
      <c r="B46" t="s">
        <v>2190</v>
      </c>
      <c r="C46" s="155">
        <f>'Weekday Hours'!C46*Weekends!V137</f>
        <v>46591.331910330475</v>
      </c>
      <c r="D46" s="937">
        <f t="shared" si="0"/>
        <v>5.7274916005091249E-2</v>
      </c>
      <c r="E46" s="569"/>
      <c r="F46" s="934">
        <f t="shared" si="1"/>
        <v>1.37459798412219</v>
      </c>
      <c r="G46" s="298" t="s">
        <v>2529</v>
      </c>
      <c r="H46" s="298">
        <v>3</v>
      </c>
      <c r="I46" s="592">
        <f t="shared" si="2"/>
        <v>5</v>
      </c>
      <c r="K46" s="155">
        <f>'Weekday Hours'!K46*Weekends!W137*$C$55/867443</f>
        <v>46354.87864587464</v>
      </c>
      <c r="L46" s="937">
        <f t="shared" si="3"/>
        <v>5.6984273843783136E-2</v>
      </c>
      <c r="N46" s="621">
        <f>ROW()</f>
        <v>46</v>
      </c>
      <c r="O46" s="22">
        <f t="shared" si="4"/>
        <v>5.7274916005091256E-2</v>
      </c>
      <c r="P46" s="574">
        <f t="shared" si="9"/>
        <v>1.0595182452478463E-2</v>
      </c>
      <c r="Q46" s="574">
        <f t="shared" si="5"/>
        <v>3.3274965976953133E-2</v>
      </c>
      <c r="R46" s="574">
        <f t="shared" si="10"/>
        <v>1.3404767575659659E-2</v>
      </c>
      <c r="S46" s="574"/>
      <c r="T46" s="574">
        <f t="shared" si="6"/>
        <v>5.7393401291640569E-2</v>
      </c>
      <c r="U46" s="574">
        <f t="shared" si="7"/>
        <v>6.0024664352810557E-2</v>
      </c>
      <c r="V46" s="574">
        <f t="shared" si="8"/>
        <v>5.1351622704148135E-2</v>
      </c>
    </row>
    <row r="47" spans="2:22" ht="13.95" customHeight="1">
      <c r="B47" t="s">
        <v>2191</v>
      </c>
      <c r="C47" s="155">
        <f>'Weekday Hours'!C47*Weekends!V138</f>
        <v>48645.549087067193</v>
      </c>
      <c r="D47" s="937">
        <f t="shared" si="0"/>
        <v>5.9800173631987384E-2</v>
      </c>
      <c r="E47" s="569"/>
      <c r="F47" s="934">
        <f t="shared" si="1"/>
        <v>1.4352041671676972</v>
      </c>
      <c r="G47" s="298" t="s">
        <v>2529</v>
      </c>
      <c r="H47" s="298">
        <v>3</v>
      </c>
      <c r="I47" s="592">
        <f t="shared" si="2"/>
        <v>5</v>
      </c>
      <c r="K47" s="155">
        <f>'Weekday Hours'!K47*Weekends!W138*$C$55/867443</f>
        <v>48916.361917771937</v>
      </c>
      <c r="L47" s="937">
        <f t="shared" si="3"/>
        <v>6.0133117470948044E-2</v>
      </c>
      <c r="N47" s="621">
        <f>ROW()</f>
        <v>47</v>
      </c>
      <c r="O47" s="22">
        <f t="shared" si="4"/>
        <v>5.9800173631987384E-2</v>
      </c>
      <c r="P47" s="574">
        <f t="shared" si="9"/>
        <v>1.1062325264073315E-2</v>
      </c>
      <c r="Q47" s="574">
        <f t="shared" si="5"/>
        <v>3.4742063049789357E-2</v>
      </c>
      <c r="R47" s="574">
        <f t="shared" si="10"/>
        <v>1.3995785318124713E-2</v>
      </c>
      <c r="S47" s="574"/>
      <c r="T47" s="574">
        <f t="shared" si="6"/>
        <v>5.9923882948433267E-2</v>
      </c>
      <c r="U47" s="574">
        <f t="shared" si="7"/>
        <v>6.2671158700272206E-2</v>
      </c>
      <c r="V47" s="1217">
        <f t="shared" si="8"/>
        <v>5.361572164888715E-2</v>
      </c>
    </row>
    <row r="48" spans="2:22" ht="13.95" customHeight="1">
      <c r="B48" t="s">
        <v>2192</v>
      </c>
      <c r="C48" s="155">
        <f>'Weekday Hours'!C48*Weekends!V139</f>
        <v>51707.378116539949</v>
      </c>
      <c r="D48" s="938">
        <f t="shared" si="0"/>
        <v>6.3564092655004609E-2</v>
      </c>
      <c r="E48" s="569"/>
      <c r="F48" s="934">
        <f t="shared" si="1"/>
        <v>1.5255382237201105</v>
      </c>
      <c r="G48" s="298" t="s">
        <v>1367</v>
      </c>
      <c r="H48" s="298">
        <v>4</v>
      </c>
      <c r="I48" s="592">
        <f t="shared" si="2"/>
        <v>5</v>
      </c>
      <c r="K48" s="155">
        <f>'Weekday Hours'!K48*Weekends!W139*$C$55/867443</f>
        <v>47992.031767088134</v>
      </c>
      <c r="L48" s="938">
        <f t="shared" si="3"/>
        <v>5.8996833999449438E-2</v>
      </c>
      <c r="N48" s="621">
        <f>ROW()</f>
        <v>48</v>
      </c>
      <c r="O48" s="22">
        <f t="shared" si="4"/>
        <v>6.3564092655004609E-2</v>
      </c>
      <c r="P48" s="574">
        <f t="shared" si="9"/>
        <v>7.0551634755377434E-3</v>
      </c>
      <c r="Q48" s="574">
        <f t="shared" si="5"/>
        <v>4.3285193591664481E-2</v>
      </c>
      <c r="R48" s="574">
        <f t="shared" si="10"/>
        <v>1.3223735587802384E-2</v>
      </c>
      <c r="S48" s="574"/>
      <c r="T48" s="574">
        <f t="shared" si="6"/>
        <v>3.8217353060771786E-2</v>
      </c>
      <c r="U48" s="574">
        <f t="shared" si="7"/>
        <v>7.8082099876094074E-2</v>
      </c>
      <c r="V48" s="1217">
        <f t="shared" si="8"/>
        <v>5.0658116734323716E-2</v>
      </c>
    </row>
    <row r="49" spans="2:22" ht="13.95" customHeight="1">
      <c r="B49" t="s">
        <v>2193</v>
      </c>
      <c r="C49" s="155">
        <f>'Weekday Hours'!C49*Weekends!V140</f>
        <v>50178.752269729695</v>
      </c>
      <c r="D49" s="938">
        <f t="shared" si="0"/>
        <v>6.1684946612393696E-2</v>
      </c>
      <c r="E49" s="569"/>
      <c r="F49" s="934">
        <f t="shared" si="1"/>
        <v>1.4804387186974488</v>
      </c>
      <c r="G49" s="298" t="s">
        <v>1367</v>
      </c>
      <c r="H49" s="298">
        <v>4</v>
      </c>
      <c r="I49" s="592">
        <f t="shared" si="2"/>
        <v>5</v>
      </c>
      <c r="K49" s="155">
        <f>'Weekday Hours'!K49*Weekends!W140*$C$55/867443</f>
        <v>43581.659615774792</v>
      </c>
      <c r="L49" s="938">
        <f t="shared" si="3"/>
        <v>5.3575142437200012E-2</v>
      </c>
      <c r="N49" s="621">
        <f>ROW()</f>
        <v>49</v>
      </c>
      <c r="O49" s="22">
        <f t="shared" si="4"/>
        <v>6.1684946612393696E-2</v>
      </c>
      <c r="P49" s="574">
        <f t="shared" si="9"/>
        <v>6.8465915920848299E-3</v>
      </c>
      <c r="Q49" s="574">
        <f t="shared" si="5"/>
        <v>4.200555288817967E-2</v>
      </c>
      <c r="R49" s="574">
        <f t="shared" si="10"/>
        <v>1.283280213212919E-2</v>
      </c>
      <c r="S49" s="574"/>
      <c r="T49" s="574">
        <f t="shared" si="6"/>
        <v>3.7087532988408035E-2</v>
      </c>
      <c r="U49" s="574">
        <f t="shared" si="7"/>
        <v>7.5773757809807066E-2</v>
      </c>
      <c r="V49" s="574">
        <f t="shared" si="8"/>
        <v>4.9160510214490367E-2</v>
      </c>
    </row>
    <row r="50" spans="2:22" ht="13.95" customHeight="1">
      <c r="B50" t="s">
        <v>2194</v>
      </c>
      <c r="C50" s="155">
        <f>'Weekday Hours'!C50*Weekends!V141</f>
        <v>49762.879680458704</v>
      </c>
      <c r="D50" s="938">
        <f t="shared" si="0"/>
        <v>6.1173712727405002E-2</v>
      </c>
      <c r="E50" s="569"/>
      <c r="F50" s="934">
        <f t="shared" si="1"/>
        <v>1.4681691054577202</v>
      </c>
      <c r="G50" s="298" t="s">
        <v>1367</v>
      </c>
      <c r="H50" s="298">
        <v>4</v>
      </c>
      <c r="I50" s="592">
        <f t="shared" si="2"/>
        <v>5</v>
      </c>
      <c r="K50" s="155">
        <f>'Weekday Hours'!K50*Weekends!W141*$C$55/867443</f>
        <v>41917.780730422055</v>
      </c>
      <c r="L50" s="938">
        <f t="shared" si="3"/>
        <v>5.1529728171958118E-2</v>
      </c>
      <c r="N50" s="621">
        <f>ROW()</f>
        <v>50</v>
      </c>
      <c r="O50" s="22">
        <f t="shared" si="4"/>
        <v>6.1173712727405002E-2</v>
      </c>
      <c r="P50" s="574">
        <f t="shared" si="9"/>
        <v>6.7898482566233201E-3</v>
      </c>
      <c r="Q50" s="574">
        <f t="shared" si="5"/>
        <v>4.1657418324182058E-2</v>
      </c>
      <c r="R50" s="574">
        <f t="shared" si="10"/>
        <v>1.2726446146599627E-2</v>
      </c>
      <c r="S50" s="574"/>
      <c r="T50" s="574">
        <f t="shared" si="6"/>
        <v>3.678015810011559E-2</v>
      </c>
      <c r="U50" s="574">
        <f t="shared" si="7"/>
        <v>7.5145758359167744E-2</v>
      </c>
      <c r="V50" s="574">
        <f t="shared" si="8"/>
        <v>4.8753076634578167E-2</v>
      </c>
    </row>
    <row r="51" spans="2:22" ht="13.95" customHeight="1">
      <c r="B51" t="s">
        <v>2195</v>
      </c>
      <c r="C51" s="155">
        <f>'Weekday Hours'!C51*Weekends!V142</f>
        <v>45720.115760686473</v>
      </c>
      <c r="D51" s="937">
        <f t="shared" si="0"/>
        <v>5.6203926407945276E-2</v>
      </c>
      <c r="E51" s="569"/>
      <c r="F51" s="934">
        <f t="shared" si="1"/>
        <v>1.3488942337906866</v>
      </c>
      <c r="G51" s="298" t="s">
        <v>2529</v>
      </c>
      <c r="H51" s="298">
        <v>3</v>
      </c>
      <c r="I51" s="592">
        <f t="shared" si="2"/>
        <v>5</v>
      </c>
      <c r="K51" s="155">
        <f>'Weekday Hours'!K51*Weekends!W142*$C$55/867443</f>
        <v>40119.76348014878</v>
      </c>
      <c r="L51" s="937">
        <f t="shared" si="3"/>
        <v>4.9319416973688232E-2</v>
      </c>
      <c r="N51" s="621">
        <f>ROW()</f>
        <v>51</v>
      </c>
      <c r="O51" s="22">
        <f t="shared" si="4"/>
        <v>5.6203926407945276E-2</v>
      </c>
      <c r="P51" s="574">
        <f t="shared" si="9"/>
        <v>1.039706203645796E-2</v>
      </c>
      <c r="Q51" s="574">
        <f t="shared" si="5"/>
        <v>3.2652753935585227E-2</v>
      </c>
      <c r="R51" s="574">
        <f t="shared" si="10"/>
        <v>1.3154110435902091E-2</v>
      </c>
      <c r="S51" s="574"/>
      <c r="T51" s="574">
        <f t="shared" si="6"/>
        <v>5.6320196125827539E-2</v>
      </c>
      <c r="U51" s="574">
        <f t="shared" si="7"/>
        <v>5.8902256926000457E-2</v>
      </c>
      <c r="V51" s="574">
        <f t="shared" si="8"/>
        <v>5.0391393383029288E-2</v>
      </c>
    </row>
    <row r="52" spans="2:22" ht="13.95" customHeight="1">
      <c r="B52" t="s">
        <v>2196</v>
      </c>
      <c r="C52" s="155">
        <f>'Weekday Hours'!C52*Weekends!V143</f>
        <v>43812.475951492168</v>
      </c>
      <c r="D52" s="937">
        <f t="shared" si="0"/>
        <v>5.3858856942022873E-2</v>
      </c>
      <c r="E52" s="569"/>
      <c r="F52" s="934">
        <f t="shared" si="1"/>
        <v>1.2926125666085488</v>
      </c>
      <c r="G52" s="298" t="s">
        <v>2529</v>
      </c>
      <c r="H52" s="298">
        <v>3</v>
      </c>
      <c r="I52" s="592">
        <f t="shared" si="2"/>
        <v>5</v>
      </c>
      <c r="K52" s="155">
        <f>'Weekday Hours'!K52*Weekends!W143*$C$55/867443</f>
        <v>35087.738594443683</v>
      </c>
      <c r="L52" s="937">
        <f t="shared" si="3"/>
        <v>4.3133524734247114E-2</v>
      </c>
      <c r="N52" s="621">
        <f>ROW()</f>
        <v>52</v>
      </c>
      <c r="O52" s="22">
        <f t="shared" si="4"/>
        <v>5.3858856942022873E-2</v>
      </c>
      <c r="P52" s="574">
        <f t="shared" si="9"/>
        <v>9.9632519047595479E-3</v>
      </c>
      <c r="Q52" s="574">
        <f t="shared" si="5"/>
        <v>3.1290340646577111E-2</v>
      </c>
      <c r="R52" s="574">
        <f t="shared" si="10"/>
        <v>1.2605264390686209E-2</v>
      </c>
      <c r="S52" s="574"/>
      <c r="T52" s="574">
        <f t="shared" si="6"/>
        <v>5.3970275387358116E-2</v>
      </c>
      <c r="U52" s="574">
        <f t="shared" si="7"/>
        <v>5.6444601509037386E-2</v>
      </c>
      <c r="V52" s="574">
        <f t="shared" si="8"/>
        <v>4.8288847786657554E-2</v>
      </c>
    </row>
    <row r="53" spans="2:22" ht="13.95" customHeight="1">
      <c r="B53" t="s">
        <v>2197</v>
      </c>
      <c r="C53" s="155">
        <f>'Weekday Hours'!C53*Weekends!V144</f>
        <v>38328.700522549436</v>
      </c>
      <c r="D53" s="936">
        <f t="shared" si="0"/>
        <v>4.7117629245678819E-2</v>
      </c>
      <c r="E53" s="569"/>
      <c r="F53" s="939">
        <f t="shared" si="1"/>
        <v>1.1308231018962918</v>
      </c>
      <c r="G53" s="298" t="s">
        <v>986</v>
      </c>
      <c r="H53" s="298">
        <v>2</v>
      </c>
      <c r="I53" s="592">
        <f t="shared" si="2"/>
        <v>5</v>
      </c>
      <c r="K53" s="155">
        <f>'Weekday Hours'!K53*Weekends!W144*$C$55/867443</f>
        <v>33680.941011312389</v>
      </c>
      <c r="L53" s="936">
        <f t="shared" si="3"/>
        <v>4.1404141742386769E-2</v>
      </c>
      <c r="N53" s="621">
        <f>ROW()</f>
        <v>53</v>
      </c>
      <c r="O53" s="22">
        <f t="shared" si="4"/>
        <v>4.7117629245678826E-2</v>
      </c>
      <c r="P53" s="574">
        <f t="shared" si="9"/>
        <v>6.9729635715827278E-3</v>
      </c>
      <c r="Q53" s="574">
        <f t="shared" si="5"/>
        <v>2.9117135425107431E-2</v>
      </c>
      <c r="R53" s="574">
        <f t="shared" si="10"/>
        <v>1.1027530248988664E-2</v>
      </c>
      <c r="S53" s="574"/>
      <c r="T53" s="574">
        <f t="shared" si="6"/>
        <v>3.7772081627742246E-2</v>
      </c>
      <c r="U53" s="574">
        <f t="shared" si="7"/>
        <v>5.2524359664798015E-2</v>
      </c>
      <c r="V53" s="574">
        <f t="shared" si="8"/>
        <v>4.22447886178123E-2</v>
      </c>
    </row>
    <row r="54" spans="2:22" ht="13.95" customHeight="1">
      <c r="B54" t="s">
        <v>2198</v>
      </c>
      <c r="C54" s="942">
        <f>'Weekday Hours'!C54*Weekends!V121</f>
        <v>30963.688584864864</v>
      </c>
      <c r="D54" s="943">
        <f t="shared" si="0"/>
        <v>3.8063789769287981E-2</v>
      </c>
      <c r="E54" s="569"/>
      <c r="F54" s="934">
        <f t="shared" si="1"/>
        <v>0.91353095446291155</v>
      </c>
      <c r="G54" s="298" t="s">
        <v>986</v>
      </c>
      <c r="H54" s="298">
        <v>2</v>
      </c>
      <c r="I54" s="592">
        <f t="shared" si="2"/>
        <v>5</v>
      </c>
      <c r="K54" s="942">
        <f>'Weekday Hours'!K54*Weekends!W121*$C$55/867443</f>
        <v>42164.989001234761</v>
      </c>
      <c r="L54" s="943">
        <f t="shared" si="3"/>
        <v>5.1833622480646872E-2</v>
      </c>
      <c r="N54" s="621">
        <f>ROW()</f>
        <v>54</v>
      </c>
      <c r="O54" s="807">
        <f t="shared" si="4"/>
        <v>3.8063789769287981E-2</v>
      </c>
      <c r="P54" s="574">
        <f t="shared" si="9"/>
        <v>5.6330809445802061E-3</v>
      </c>
      <c r="Q54" s="808">
        <f t="shared" si="5"/>
        <v>2.3522162282959523E-2</v>
      </c>
      <c r="R54" s="574">
        <f t="shared" si="10"/>
        <v>8.9085465417482537E-3</v>
      </c>
      <c r="S54" s="808"/>
      <c r="T54" s="808">
        <f t="shared" si="6"/>
        <v>3.0514026219997523E-2</v>
      </c>
      <c r="U54" s="808">
        <f t="shared" si="7"/>
        <v>4.2431595478261371E-2</v>
      </c>
      <c r="V54" s="808">
        <f t="shared" si="8"/>
        <v>3.4127284809090587E-2</v>
      </c>
    </row>
    <row r="55" spans="2:22" ht="13.95" customHeight="1">
      <c r="B55" s="175" t="s">
        <v>818</v>
      </c>
      <c r="C55" s="155">
        <f>SUM(C31:C54)</f>
        <v>813468.35857758229</v>
      </c>
      <c r="D55" s="940">
        <f>SUM(D31:D54)</f>
        <v>1.0000000000000002</v>
      </c>
      <c r="E55" s="940"/>
      <c r="I55" s="667">
        <f>SUMPRODUCT(C31:C54,I31:I54)/C55</f>
        <v>5</v>
      </c>
      <c r="K55" s="155">
        <f>SUM(K31:K54)</f>
        <v>813467.91876214917</v>
      </c>
      <c r="L55" s="940">
        <f>SUM(L31:L54)</f>
        <v>1.0000000000000002</v>
      </c>
      <c r="N55" s="621">
        <f>ROW()</f>
        <v>55</v>
      </c>
      <c r="O55" s="22">
        <f t="shared" si="4"/>
        <v>1.0000000000000002</v>
      </c>
      <c r="P55" s="809">
        <f>SUM(P31:P54)</f>
        <v>0.18460628249996514</v>
      </c>
      <c r="Q55" s="809">
        <f>SUM(Q31:Q54)</f>
        <v>0.55435488620762419</v>
      </c>
      <c r="R55" s="809">
        <f>SUM(R31:R54)</f>
        <v>0.26103883129241084</v>
      </c>
      <c r="S55" s="940"/>
      <c r="T55" s="940">
        <f>SUM(T31:T54)</f>
        <v>1</v>
      </c>
      <c r="U55" s="940">
        <f>SUM(U31:U54)</f>
        <v>0.99999999999999989</v>
      </c>
      <c r="V55" s="940">
        <f>SUM(V31:V54)</f>
        <v>1</v>
      </c>
    </row>
    <row r="56" spans="2:22" ht="13.95" customHeight="1">
      <c r="B56" s="169"/>
      <c r="C56" s="155"/>
      <c r="D56" s="155"/>
      <c r="E56" s="155"/>
      <c r="J56" s="155"/>
      <c r="K56" s="155"/>
      <c r="L56" s="155"/>
      <c r="N56" s="621">
        <f>ROW()</f>
        <v>56</v>
      </c>
      <c r="P56" s="4327" t="s">
        <v>475</v>
      </c>
      <c r="Q56" s="4917"/>
      <c r="R56" s="4917"/>
    </row>
    <row r="57" spans="2:22" ht="13.95" customHeight="1">
      <c r="B57" s="118" t="s">
        <v>1365</v>
      </c>
      <c r="C57" s="342">
        <f>C55/24</f>
        <v>33894.514940732595</v>
      </c>
      <c r="D57" s="342"/>
      <c r="E57" s="342"/>
      <c r="F57" s="4939" t="s">
        <v>780</v>
      </c>
      <c r="G57" s="4940"/>
      <c r="H57" s="3819" t="s">
        <v>2348</v>
      </c>
      <c r="I57" s="3678"/>
      <c r="J57" s="3678"/>
      <c r="K57" s="3678"/>
      <c r="L57" s="3678"/>
      <c r="M57" s="3679"/>
      <c r="N57" s="621">
        <f>ROW()</f>
        <v>57</v>
      </c>
      <c r="P57" s="4918"/>
      <c r="Q57" s="4918"/>
      <c r="R57" s="4918"/>
    </row>
    <row r="58" spans="2:22" ht="13.95" customHeight="1">
      <c r="B58" s="118"/>
      <c r="C58" s="10"/>
      <c r="D58" s="10"/>
      <c r="E58" s="10"/>
      <c r="F58" s="4941"/>
      <c r="G58" s="4942"/>
      <c r="H58" s="3680"/>
      <c r="I58" s="3681"/>
      <c r="J58" s="3681"/>
      <c r="K58" s="3681"/>
      <c r="L58" s="3681"/>
      <c r="M58" s="3682"/>
      <c r="N58" s="621">
        <f>ROW()</f>
        <v>58</v>
      </c>
      <c r="R58" s="609"/>
      <c r="S58" s="197"/>
      <c r="T58" s="216" t="s">
        <v>2065</v>
      </c>
      <c r="U58" s="216" t="s">
        <v>2692</v>
      </c>
      <c r="V58" s="834" t="s">
        <v>1067</v>
      </c>
    </row>
    <row r="59" spans="2:22" s="6" customFormat="1" ht="13.95" customHeight="1">
      <c r="F59" s="4943"/>
      <c r="G59" s="4944"/>
      <c r="H59" s="3683"/>
      <c r="I59" s="3684"/>
      <c r="J59" s="3684"/>
      <c r="K59" s="3684"/>
      <c r="L59" s="3684"/>
      <c r="M59" s="3685"/>
      <c r="N59" s="621">
        <f>ROW()</f>
        <v>59</v>
      </c>
      <c r="R59" s="835"/>
      <c r="S59" s="737"/>
      <c r="T59" s="4904" t="s">
        <v>1107</v>
      </c>
      <c r="U59" s="4905"/>
      <c r="V59" s="4906"/>
    </row>
    <row r="60" spans="2:22" s="6" customFormat="1" ht="13.95" customHeight="1">
      <c r="H60" s="1989"/>
      <c r="I60" s="1989"/>
      <c r="J60" s="1989"/>
      <c r="K60" s="1989"/>
      <c r="L60" s="1989"/>
      <c r="M60" s="1989"/>
      <c r="N60" s="621">
        <f>ROW()</f>
        <v>60</v>
      </c>
      <c r="R60" s="835"/>
      <c r="S60" s="737"/>
      <c r="T60" s="4156"/>
      <c r="U60" s="4157"/>
      <c r="V60" s="4158"/>
    </row>
    <row r="61" spans="2:22" s="6" customFormat="1" ht="13.95" customHeight="1">
      <c r="J61" s="447"/>
      <c r="K61" s="1010"/>
      <c r="L61" s="1010"/>
      <c r="N61" s="621">
        <f>ROW()</f>
        <v>61</v>
      </c>
      <c r="R61" s="835"/>
      <c r="S61" s="737"/>
      <c r="T61" s="4156"/>
      <c r="U61" s="4157"/>
      <c r="V61" s="4158"/>
    </row>
    <row r="62" spans="2:22" s="6" customFormat="1" ht="13.95" customHeight="1">
      <c r="J62" s="447"/>
      <c r="K62" s="1010"/>
      <c r="L62" s="1010"/>
      <c r="N62" s="621">
        <f>ROW()</f>
        <v>62</v>
      </c>
      <c r="R62" s="836"/>
      <c r="S62" s="684" t="s">
        <v>1472</v>
      </c>
      <c r="T62" s="944">
        <f>SUMIF($G$31:$G$54,"=Graveyard",T$31:T$54)</f>
        <v>0.30889838189731578</v>
      </c>
      <c r="U62" s="944">
        <f>SUMIF($G$31:$G$54,"=Graveyard",U$31:U$54)</f>
        <v>0.18027561129818534</v>
      </c>
      <c r="V62" s="945">
        <f>SUMIF($G$31:$G$54,"=Graveyard",V$31:V$54)</f>
        <v>0.30708975836803903</v>
      </c>
    </row>
    <row r="63" spans="2:22" s="6" customFormat="1" ht="13.95" customHeight="1">
      <c r="J63" s="447"/>
      <c r="K63" s="1010"/>
      <c r="L63" s="1010"/>
      <c r="N63" s="621">
        <f>ROW()</f>
        <v>63</v>
      </c>
      <c r="R63" s="836"/>
      <c r="S63" s="684" t="s">
        <v>985</v>
      </c>
      <c r="T63" s="944">
        <f>SUMIF($G$31:$G$54,"=Early Shoulder",T$31:T$54)</f>
        <v>0.1106516165526385</v>
      </c>
      <c r="U63" s="944">
        <f>SUMIF($G$31:$G$54,"=Early Shoulder",U$31:U$54)</f>
        <v>7.7345916876528725E-2</v>
      </c>
      <c r="V63" s="944">
        <f>SUMIF($G$31:$G$54,"=Early Shoulder",V$31:V$54)</f>
        <v>0.11000374291853143</v>
      </c>
    </row>
    <row r="64" spans="2:22" s="6" customFormat="1" ht="13.95" customHeight="1">
      <c r="J64" s="447"/>
      <c r="K64" s="1010"/>
      <c r="L64" s="1010"/>
      <c r="N64" s="621">
        <f>ROW()</f>
        <v>64</v>
      </c>
      <c r="R64" s="836"/>
      <c r="S64" s="684" t="s">
        <v>2529</v>
      </c>
      <c r="T64" s="944">
        <f>SUMIF($G$31:$G$54,"=Shoulder",T$31:T$54)</f>
        <v>0.40007884955301048</v>
      </c>
      <c r="U64" s="944">
        <f>SUMIF($G$31:$G$54,"=Shoulder",U$31:U$54)</f>
        <v>0.41842090063715753</v>
      </c>
      <c r="V64" s="944">
        <f>SUMIF($G$31:$G$54,"=Shoulder",V$31:V$54)</f>
        <v>0.35796272170313426</v>
      </c>
    </row>
    <row r="65" spans="10:22" s="6" customFormat="1" ht="13.95" customHeight="1">
      <c r="J65" s="447"/>
      <c r="K65" s="1010"/>
      <c r="L65" s="1010"/>
      <c r="N65" s="621">
        <f>ROW()</f>
        <v>65</v>
      </c>
      <c r="R65" s="836"/>
      <c r="S65" s="684" t="s">
        <v>1367</v>
      </c>
      <c r="T65" s="944">
        <f>SUMIF($G$31:$G$54,"=Peak",T$31:T$54)</f>
        <v>0.1120850441492954</v>
      </c>
      <c r="U65" s="944">
        <f>SUMIF($G$31:$G$54,"=Peak",U$31:U$54)</f>
        <v>0.22900161604506891</v>
      </c>
      <c r="V65" s="944">
        <f>SUMIF($G$31:$G$54,"=Peak",V$31:V$54)</f>
        <v>0.14857170358339225</v>
      </c>
    </row>
    <row r="66" spans="10:22" s="6" customFormat="1" ht="13.95" customHeight="1">
      <c r="J66" s="447"/>
      <c r="K66" s="447"/>
      <c r="L66" s="447"/>
      <c r="N66" s="621">
        <f>ROW()</f>
        <v>66</v>
      </c>
      <c r="R66" s="836"/>
      <c r="S66" s="684" t="s">
        <v>986</v>
      </c>
      <c r="T66" s="944">
        <f>SUMIF($G$31:$G$54,"=Late Shoulder",T$31:T$54)</f>
        <v>6.8286107847739766E-2</v>
      </c>
      <c r="U66" s="944">
        <f>SUMIF($G$31:$G$54,"=Late Shoulder",U$31:U$54)</f>
        <v>9.4955955143059378E-2</v>
      </c>
      <c r="V66" s="944">
        <f>SUMIF($G$31:$G$54,"=Late Shoulder",V$31:V$54)</f>
        <v>7.6372073426902887E-2</v>
      </c>
    </row>
    <row r="67" spans="10:22" s="6" customFormat="1" ht="13.95" customHeight="1">
      <c r="J67" s="447"/>
      <c r="K67" s="447"/>
      <c r="L67" s="447"/>
      <c r="N67" s="621">
        <f>ROW()</f>
        <v>67</v>
      </c>
      <c r="R67"/>
      <c r="S67"/>
      <c r="T67" s="941">
        <f>SUM(T62:T66)</f>
        <v>1</v>
      </c>
      <c r="U67" s="941">
        <f>SUM(U62:U66)</f>
        <v>1</v>
      </c>
      <c r="V67" s="941">
        <f>SUM(V62:V66)</f>
        <v>0.99999999999999978</v>
      </c>
    </row>
    <row r="68" spans="10:22" s="6" customFormat="1" ht="13.95" customHeight="1">
      <c r="J68" s="447"/>
      <c r="K68" s="447"/>
      <c r="L68" s="447"/>
      <c r="N68" s="621">
        <f>ROW()</f>
        <v>68</v>
      </c>
      <c r="R68"/>
      <c r="S68"/>
      <c r="T68"/>
      <c r="U68"/>
      <c r="V68"/>
    </row>
    <row r="69" spans="10:22" s="6" customFormat="1" ht="13.95" customHeight="1">
      <c r="J69" s="447"/>
      <c r="K69" s="447"/>
      <c r="L69" s="447"/>
      <c r="N69" s="621">
        <f>ROW()</f>
        <v>69</v>
      </c>
    </row>
    <row r="70" spans="10:22" s="6" customFormat="1" ht="13.95" customHeight="1">
      <c r="J70" s="447"/>
      <c r="K70" s="447"/>
      <c r="L70" s="447"/>
      <c r="N70" s="621">
        <f>ROW()</f>
        <v>70</v>
      </c>
    </row>
    <row r="71" spans="10:22" s="6" customFormat="1" ht="13.95" customHeight="1">
      <c r="J71" s="447"/>
      <c r="K71" s="447"/>
      <c r="L71" s="447"/>
      <c r="N71" s="621">
        <f>ROW()</f>
        <v>71</v>
      </c>
    </row>
    <row r="72" spans="10:22" s="6" customFormat="1" ht="13.95" customHeight="1">
      <c r="J72" s="447"/>
      <c r="K72" s="447"/>
      <c r="L72" s="447"/>
      <c r="N72" s="621">
        <f>ROW()</f>
        <v>72</v>
      </c>
      <c r="Q72"/>
      <c r="R72"/>
    </row>
    <row r="73" spans="10:22" s="6" customFormat="1" ht="13.95" customHeight="1">
      <c r="J73" s="447"/>
      <c r="K73" s="447"/>
      <c r="L73" s="447"/>
      <c r="N73" s="621">
        <f>ROW()</f>
        <v>73</v>
      </c>
    </row>
    <row r="74" spans="10:22" s="6" customFormat="1" ht="13.95" customHeight="1">
      <c r="J74" s="447"/>
      <c r="K74" s="447"/>
      <c r="L74" s="447"/>
      <c r="N74" s="621">
        <f>ROW()</f>
        <v>74</v>
      </c>
    </row>
    <row r="75" spans="10:22" s="6" customFormat="1" ht="13.95" customHeight="1">
      <c r="J75" s="447"/>
      <c r="K75" s="447"/>
      <c r="L75" s="447"/>
      <c r="N75" s="621">
        <f>ROW()</f>
        <v>75</v>
      </c>
    </row>
    <row r="76" spans="10:22" s="6" customFormat="1" ht="13.95" customHeight="1">
      <c r="J76" s="447"/>
      <c r="K76" s="447"/>
      <c r="L76" s="447"/>
      <c r="N76" s="621">
        <f>ROW()</f>
        <v>76</v>
      </c>
    </row>
    <row r="77" spans="10:22" s="6" customFormat="1" ht="13.95" customHeight="1">
      <c r="J77" s="447"/>
      <c r="K77" s="447"/>
      <c r="L77" s="447"/>
      <c r="N77" s="621">
        <f>ROW()</f>
        <v>77</v>
      </c>
    </row>
    <row r="78" spans="10:22" s="6" customFormat="1" ht="13.95" customHeight="1">
      <c r="J78" s="447"/>
      <c r="K78" s="447"/>
      <c r="L78" s="447"/>
      <c r="N78" s="621">
        <f>ROW()</f>
        <v>78</v>
      </c>
    </row>
    <row r="79" spans="10:22" s="6" customFormat="1" ht="13.95" customHeight="1">
      <c r="J79" s="447"/>
      <c r="K79" s="447"/>
      <c r="L79" s="447"/>
      <c r="N79" s="621">
        <f>ROW()</f>
        <v>79</v>
      </c>
    </row>
    <row r="80" spans="10:22" s="6" customFormat="1" ht="13.95" customHeight="1">
      <c r="J80" s="447"/>
      <c r="K80" s="447"/>
      <c r="L80" s="447"/>
      <c r="N80" s="621">
        <f>ROW()</f>
        <v>80</v>
      </c>
    </row>
    <row r="81" spans="3:14" s="6" customFormat="1" ht="13.95" customHeight="1">
      <c r="J81" s="447"/>
      <c r="K81" s="447"/>
      <c r="L81" s="447"/>
      <c r="N81" s="621">
        <f>ROW()</f>
        <v>81</v>
      </c>
    </row>
    <row r="82" spans="3:14" s="6" customFormat="1" ht="13.95" customHeight="1">
      <c r="D82"/>
      <c r="E82"/>
      <c r="F82"/>
      <c r="G82"/>
      <c r="H82"/>
      <c r="I82"/>
      <c r="J82"/>
      <c r="K82"/>
      <c r="L82"/>
      <c r="N82" s="621">
        <f>ROW()</f>
        <v>82</v>
      </c>
    </row>
    <row r="83" spans="3:14" ht="13.95" customHeight="1">
      <c r="N83" s="621">
        <f>ROW()</f>
        <v>83</v>
      </c>
    </row>
    <row r="84" spans="3:14" ht="13.95" customHeight="1">
      <c r="C84" t="s">
        <v>2538</v>
      </c>
      <c r="D84" s="1218" t="s">
        <v>1472</v>
      </c>
      <c r="E84" s="1218" t="s">
        <v>985</v>
      </c>
      <c r="F84" s="1218" t="s">
        <v>987</v>
      </c>
      <c r="G84" s="1218" t="s">
        <v>1367</v>
      </c>
      <c r="H84" s="1218" t="s">
        <v>988</v>
      </c>
      <c r="I84" s="1218" t="s">
        <v>986</v>
      </c>
      <c r="J84" s="1218" t="s">
        <v>1638</v>
      </c>
      <c r="K84" s="948" t="s">
        <v>2684</v>
      </c>
      <c r="N84" s="621">
        <f>ROW()</f>
        <v>84</v>
      </c>
    </row>
    <row r="85" spans="3:14" ht="13.95" customHeight="1">
      <c r="C85" t="s">
        <v>2539</v>
      </c>
      <c r="D85" s="1219">
        <f>SUM(D31:D40)</f>
        <v>0.23712359956579518</v>
      </c>
      <c r="E85" s="1219">
        <f>SUM(D41:D42)</f>
        <v>9.2019319022350887E-2</v>
      </c>
      <c r="F85" s="1219">
        <f>SUM(D43:D47)</f>
        <v>0.28919012705211566</v>
      </c>
      <c r="G85" s="1219">
        <f>SUM(D48:D50)</f>
        <v>0.18642275199480329</v>
      </c>
      <c r="H85" s="1219">
        <f>SUM(D51:D52)</f>
        <v>0.11006278334996815</v>
      </c>
      <c r="I85" s="1219">
        <f>SUM(D53:D54)</f>
        <v>8.51814190149668E-2</v>
      </c>
      <c r="J85">
        <v>0</v>
      </c>
      <c r="K85" s="1219">
        <f>SUM(D85:J85)</f>
        <v>0.99999999999999989</v>
      </c>
      <c r="N85" s="621">
        <f>ROW()</f>
        <v>85</v>
      </c>
    </row>
    <row r="86" spans="3:14" ht="13.95" customHeight="1">
      <c r="C86" t="s">
        <v>2540</v>
      </c>
      <c r="D86" s="1219">
        <f>SUM(L31:L40)</f>
        <v>0.30374837873840616</v>
      </c>
      <c r="E86" s="1219">
        <f>SUM(L41:L42)</f>
        <v>8.7812223080665219E-2</v>
      </c>
      <c r="F86" s="1219">
        <f>SUM(L43:L47)</f>
        <v>0.25864698764135219</v>
      </c>
      <c r="G86" s="1219">
        <f>SUM(L48:L50)</f>
        <v>0.16410170460860757</v>
      </c>
      <c r="H86" s="1219">
        <f>SUM(L51:L52)</f>
        <v>9.2452941707935346E-2</v>
      </c>
      <c r="I86" s="1219">
        <f>SUM(L53:L54)</f>
        <v>9.3237764223033648E-2</v>
      </c>
      <c r="J86">
        <v>0</v>
      </c>
      <c r="K86" s="1219">
        <f>SUM(D86:J86)</f>
        <v>1</v>
      </c>
      <c r="N86" s="621">
        <f>ROW()</f>
        <v>86</v>
      </c>
    </row>
    <row r="87" spans="3:14" ht="13.95" customHeight="1">
      <c r="C87" t="s">
        <v>2766</v>
      </c>
      <c r="D87" s="1219">
        <f>SUM(T31:T40)</f>
        <v>0.30889838189731578</v>
      </c>
      <c r="E87" s="1219">
        <f>SUM(T41:T42)</f>
        <v>0.1106516165526385</v>
      </c>
      <c r="F87" s="1219">
        <f>SUM(T43:T47)</f>
        <v>0.28978837803982482</v>
      </c>
      <c r="G87" s="1219">
        <f>SUM(T48:T50)</f>
        <v>0.1120850441492954</v>
      </c>
      <c r="H87" s="1219">
        <f>SUM(T51:T52)</f>
        <v>0.11029047151318566</v>
      </c>
      <c r="I87" s="1219">
        <f>SUM(T53:T54)</f>
        <v>6.8286107847739766E-2</v>
      </c>
      <c r="J87">
        <v>0</v>
      </c>
      <c r="K87" s="1219">
        <f>SUM(D87:J87)</f>
        <v>1</v>
      </c>
      <c r="N87" s="621">
        <f>ROW()</f>
        <v>87</v>
      </c>
    </row>
    <row r="88" spans="3:14" ht="13.95" customHeight="1">
      <c r="C88" t="s">
        <v>1981</v>
      </c>
      <c r="D88" s="1219">
        <f>SUM(U31:U40)</f>
        <v>0.18027561129818534</v>
      </c>
      <c r="E88" s="1219">
        <f>SUM(U41:U42)</f>
        <v>7.7345916876528725E-2</v>
      </c>
      <c r="F88" s="1219">
        <f>SUM(U43:U47)</f>
        <v>0.30307404220211964</v>
      </c>
      <c r="G88" s="1219">
        <f>SUM(U48:U50)</f>
        <v>0.22900161604506891</v>
      </c>
      <c r="H88" s="1219">
        <f>SUM(U51:U52)</f>
        <v>0.11534685843503784</v>
      </c>
      <c r="I88" s="1219">
        <f>SUM(U53:U54)</f>
        <v>9.4955955143059378E-2</v>
      </c>
      <c r="J88">
        <v>0</v>
      </c>
      <c r="K88" s="1219">
        <f>SUM(D88:J88)</f>
        <v>1</v>
      </c>
      <c r="N88" s="621">
        <f>ROW()</f>
        <v>88</v>
      </c>
    </row>
    <row r="89" spans="3:14" ht="13.95" customHeight="1">
      <c r="C89" t="s">
        <v>1982</v>
      </c>
      <c r="D89" s="1219">
        <f>SUM(V31:V40)</f>
        <v>0.30708975836803903</v>
      </c>
      <c r="E89" s="1219">
        <f>SUM(V41:V42)</f>
        <v>0.11000374291853143</v>
      </c>
      <c r="F89" s="1219">
        <f>SUM(V43:V47)</f>
        <v>0.25928248053344743</v>
      </c>
      <c r="G89" s="1219">
        <f>SUM(V48:V50)</f>
        <v>0.14857170358339225</v>
      </c>
      <c r="H89" s="1219">
        <f>SUM(V51:V52)</f>
        <v>9.868024116968685E-2</v>
      </c>
      <c r="I89" s="1219">
        <f>SUM(V53:V54)</f>
        <v>7.6372073426902887E-2</v>
      </c>
      <c r="J89">
        <v>0</v>
      </c>
      <c r="K89" s="1219">
        <f>SUM(D89:J89)</f>
        <v>0.99999999999999989</v>
      </c>
      <c r="N89" s="621">
        <f>ROW()</f>
        <v>89</v>
      </c>
    </row>
    <row r="90" spans="3:14" ht="13.95" customHeight="1">
      <c r="N90" s="621"/>
    </row>
  </sheetData>
  <customSheetViews>
    <customSheetView guid="{BD5E6263-A0AD-4076-921A-D4EBD62848EF}" showPageBreaks="1" showGridLines="0" printArea="1" showRuler="0">
      <pageMargins left="0.39" right="0.2" top="1" bottom="1" header="0.5" footer="0.5"/>
      <printOptions gridLines="1"/>
      <pageSetup orientation="landscape" r:id="rId1"/>
      <headerFooter alignWithMargins="0"/>
    </customSheetView>
    <customSheetView guid="{1D5AE30A-CA7C-4B32-AEA4-9F37A560AAA8}" showPageBreaks="1" showGridLines="0" printArea="1" showRuler="0">
      <pageMargins left="0.39" right="0.2" top="1" bottom="1" header="0.5" footer="0.5"/>
      <printOptions gridLines="1"/>
      <pageSetup orientation="landscape" r:id="rId2"/>
      <headerFooter alignWithMargins="0"/>
    </customSheetView>
  </customSheetViews>
  <mergeCells count="15">
    <mergeCell ref="J32:J43"/>
    <mergeCell ref="K26:L29"/>
    <mergeCell ref="F57:G59"/>
    <mergeCell ref="T59:V61"/>
    <mergeCell ref="P56:R57"/>
    <mergeCell ref="H57:M59"/>
    <mergeCell ref="B29:B30"/>
    <mergeCell ref="G2:H2"/>
    <mergeCell ref="T17:V25"/>
    <mergeCell ref="B26:H28"/>
    <mergeCell ref="T27:V29"/>
    <mergeCell ref="I2:L7"/>
    <mergeCell ref="P13:V13"/>
    <mergeCell ref="B18:L19"/>
    <mergeCell ref="T26:V26"/>
  </mergeCells>
  <phoneticPr fontId="6" type="noConversion"/>
  <printOptions gridLines="1"/>
  <pageMargins left="0.39" right="0.2" top="1" bottom="1" header="0.5" footer="0.5"/>
  <pageSetup orientation="landscape" r:id="rId3"/>
  <headerFooter alignWithMargins="0"/>
  <drawing r:id="rId4"/>
</worksheet>
</file>

<file path=xl/worksheets/sheet30.xml><?xml version="1.0" encoding="utf-8"?>
<worksheet xmlns="http://schemas.openxmlformats.org/spreadsheetml/2006/main" xmlns:r="http://schemas.openxmlformats.org/officeDocument/2006/relationships">
  <sheetPr codeName="Sheet18"/>
  <dimension ref="B1:X148"/>
  <sheetViews>
    <sheetView showRuler="0" workbookViewId="0"/>
  </sheetViews>
  <sheetFormatPr defaultRowHeight="14.1" customHeight="1"/>
  <cols>
    <col min="1" max="1" width="2.625" customWidth="1"/>
    <col min="2" max="2" width="10.875" customWidth="1"/>
    <col min="3" max="3" width="2.75" customWidth="1"/>
    <col min="4" max="8" width="8.125" customWidth="1"/>
    <col min="9" max="9" width="8.875" customWidth="1"/>
    <col min="10" max="10" width="2.75" customWidth="1"/>
    <col min="11" max="11" width="8.125" customWidth="1"/>
    <col min="12" max="12" width="9.375" customWidth="1"/>
    <col min="13" max="16" width="8.125" customWidth="1"/>
    <col min="17" max="17" width="2.75" customWidth="1"/>
    <col min="18" max="23" width="8.125" customWidth="1"/>
    <col min="24" max="24" width="2.75" customWidth="1"/>
  </cols>
  <sheetData>
    <row r="1" spans="2:24" ht="16.2" customHeight="1">
      <c r="B1" s="115" t="s">
        <v>1975</v>
      </c>
      <c r="L1" s="2089">
        <f>'Title Page'!K1</f>
        <v>40914</v>
      </c>
      <c r="X1" s="1177">
        <f>ROW()</f>
        <v>1</v>
      </c>
    </row>
    <row r="2" spans="2:24" ht="14.1" customHeight="1">
      <c r="X2" s="1177">
        <f>ROW()</f>
        <v>2</v>
      </c>
    </row>
    <row r="3" spans="2:24" ht="14.1" customHeight="1">
      <c r="X3" s="1177">
        <f>ROW()</f>
        <v>3</v>
      </c>
    </row>
    <row r="4" spans="2:24" ht="14.1" customHeight="1">
      <c r="B4" s="3779" t="s">
        <v>517</v>
      </c>
      <c r="C4" s="3779"/>
      <c r="D4" s="3779"/>
      <c r="E4" s="3779"/>
      <c r="F4" s="3779"/>
      <c r="G4" s="3779"/>
      <c r="H4" s="3779"/>
      <c r="I4" s="3779"/>
      <c r="J4" s="3779"/>
      <c r="K4" s="3779"/>
      <c r="L4" s="3779"/>
      <c r="M4" s="3779"/>
      <c r="N4" s="3779"/>
      <c r="O4" s="3779"/>
      <c r="P4" s="3779"/>
      <c r="X4" s="1177">
        <f>ROW()</f>
        <v>4</v>
      </c>
    </row>
    <row r="5" spans="2:24" ht="14.1" customHeight="1">
      <c r="B5" s="3779"/>
      <c r="C5" s="3779"/>
      <c r="D5" s="3779"/>
      <c r="E5" s="3779"/>
      <c r="F5" s="3779"/>
      <c r="G5" s="3779"/>
      <c r="H5" s="3779"/>
      <c r="I5" s="3779"/>
      <c r="J5" s="3779"/>
      <c r="K5" s="3779"/>
      <c r="L5" s="3779"/>
      <c r="M5" s="3779"/>
      <c r="N5" s="3779"/>
      <c r="O5" s="3779"/>
      <c r="P5" s="3779"/>
      <c r="X5" s="1177">
        <f>ROW()</f>
        <v>5</v>
      </c>
    </row>
    <row r="6" spans="2:24" ht="14.1" customHeight="1">
      <c r="B6" s="3779"/>
      <c r="C6" s="3779"/>
      <c r="D6" s="3779"/>
      <c r="E6" s="3779"/>
      <c r="F6" s="3779"/>
      <c r="G6" s="3779"/>
      <c r="H6" s="3779"/>
      <c r="I6" s="3779"/>
      <c r="J6" s="3779"/>
      <c r="K6" s="3779"/>
      <c r="L6" s="3779"/>
      <c r="M6" s="3779"/>
      <c r="N6" s="3779"/>
      <c r="O6" s="3779"/>
      <c r="P6" s="3779"/>
      <c r="X6" s="1177">
        <f>ROW()</f>
        <v>6</v>
      </c>
    </row>
    <row r="7" spans="2:24" ht="14.1" customHeight="1">
      <c r="B7" s="3779"/>
      <c r="C7" s="3779"/>
      <c r="D7" s="3779"/>
      <c r="E7" s="3779"/>
      <c r="F7" s="3779"/>
      <c r="G7" s="3779"/>
      <c r="H7" s="3779"/>
      <c r="I7" s="3779"/>
      <c r="J7" s="3779"/>
      <c r="K7" s="3779"/>
      <c r="L7" s="3779"/>
      <c r="M7" s="3779"/>
      <c r="N7" s="3779"/>
      <c r="O7" s="3779"/>
      <c r="P7" s="3779"/>
      <c r="X7" s="1177">
        <f>ROW()</f>
        <v>7</v>
      </c>
    </row>
    <row r="8" spans="2:24" ht="14.1" customHeight="1">
      <c r="X8" s="1177">
        <f>ROW()</f>
        <v>8</v>
      </c>
    </row>
    <row r="9" spans="2:24" ht="14.1" customHeight="1">
      <c r="B9" s="3779" t="s">
        <v>1854</v>
      </c>
      <c r="C9" s="3779"/>
      <c r="D9" s="3779"/>
      <c r="E9" s="3779"/>
      <c r="F9" s="3779"/>
      <c r="G9" s="3779"/>
      <c r="H9" s="3779"/>
      <c r="I9" s="3779"/>
      <c r="J9" s="3779"/>
      <c r="K9" s="3779"/>
      <c r="L9" s="3779"/>
      <c r="M9" s="3779"/>
      <c r="N9" s="3779"/>
      <c r="O9" s="3779"/>
      <c r="P9" s="3779"/>
      <c r="X9" s="1177">
        <f>ROW()</f>
        <v>9</v>
      </c>
    </row>
    <row r="10" spans="2:24" ht="14.1" customHeight="1">
      <c r="B10" s="3779"/>
      <c r="C10" s="3779"/>
      <c r="D10" s="3779"/>
      <c r="E10" s="3779"/>
      <c r="F10" s="3779"/>
      <c r="G10" s="3779"/>
      <c r="H10" s="3779"/>
      <c r="I10" s="3779"/>
      <c r="J10" s="3779"/>
      <c r="K10" s="3779"/>
      <c r="L10" s="3779"/>
      <c r="M10" s="3779"/>
      <c r="N10" s="3779"/>
      <c r="O10" s="3779"/>
      <c r="P10" s="3779"/>
      <c r="X10" s="1177">
        <f>ROW()</f>
        <v>10</v>
      </c>
    </row>
    <row r="11" spans="2:24" ht="14.1" customHeight="1">
      <c r="B11" s="3779"/>
      <c r="C11" s="3779"/>
      <c r="D11" s="3779"/>
      <c r="E11" s="3779"/>
      <c r="F11" s="3779"/>
      <c r="G11" s="3779"/>
      <c r="H11" s="3779"/>
      <c r="I11" s="3779"/>
      <c r="J11" s="3779"/>
      <c r="K11" s="3779"/>
      <c r="L11" s="3779"/>
      <c r="M11" s="3779"/>
      <c r="N11" s="3779"/>
      <c r="O11" s="3779"/>
      <c r="P11" s="3779"/>
      <c r="X11" s="1177">
        <f>ROW()</f>
        <v>11</v>
      </c>
    </row>
    <row r="12" spans="2:24" ht="14.1" customHeight="1">
      <c r="X12" s="1177">
        <f>ROW()</f>
        <v>12</v>
      </c>
    </row>
    <row r="13" spans="2:24" ht="14.1" customHeight="1">
      <c r="B13" s="487"/>
      <c r="C13" s="487"/>
      <c r="D13" s="487"/>
      <c r="E13" s="487"/>
      <c r="F13" s="487"/>
      <c r="G13" s="487"/>
      <c r="H13" s="487"/>
      <c r="I13" s="487"/>
      <c r="J13" s="487"/>
      <c r="K13" s="487"/>
      <c r="L13" s="487"/>
      <c r="M13" s="487"/>
      <c r="N13" s="487"/>
      <c r="O13" s="487"/>
      <c r="P13" s="487"/>
      <c r="X13" s="1177">
        <f>ROW()</f>
        <v>13</v>
      </c>
    </row>
    <row r="14" spans="2:24" ht="14.1" customHeight="1">
      <c r="B14" s="921" t="s">
        <v>1189</v>
      </c>
      <c r="C14" s="90"/>
      <c r="D14" s="90"/>
      <c r="E14" s="90"/>
      <c r="F14" s="90"/>
      <c r="G14" s="90"/>
      <c r="H14" s="90"/>
      <c r="I14" s="90"/>
      <c r="J14" s="90"/>
      <c r="K14" s="90"/>
      <c r="L14" s="90"/>
      <c r="M14" s="90"/>
      <c r="N14" s="90"/>
      <c r="O14" s="90"/>
      <c r="P14" s="90"/>
      <c r="X14" s="1177">
        <f>ROW()</f>
        <v>14</v>
      </c>
    </row>
    <row r="15" spans="2:24" ht="14.1" customHeight="1">
      <c r="B15" s="90"/>
      <c r="C15" s="90"/>
      <c r="D15" s="90"/>
      <c r="E15" s="90"/>
      <c r="F15" s="90"/>
      <c r="G15" s="90"/>
      <c r="H15" s="90"/>
      <c r="I15" s="90"/>
      <c r="J15" s="90"/>
      <c r="K15" s="4948" t="s">
        <v>1657</v>
      </c>
      <c r="L15" s="3813"/>
      <c r="M15" s="90"/>
      <c r="N15" s="90"/>
      <c r="O15" s="90"/>
      <c r="P15" s="90"/>
      <c r="X15" s="1177">
        <f>ROW()</f>
        <v>15</v>
      </c>
    </row>
    <row r="16" spans="2:24" ht="14.1" customHeight="1">
      <c r="B16" s="487" t="s">
        <v>1658</v>
      </c>
      <c r="C16" s="90"/>
      <c r="D16" s="90"/>
      <c r="E16" s="90"/>
      <c r="F16" s="90"/>
      <c r="G16" s="90"/>
      <c r="H16" s="90"/>
      <c r="I16" s="922">
        <f>wkday_per_yr</f>
        <v>250</v>
      </c>
      <c r="J16" s="90"/>
      <c r="K16" s="923">
        <f>I16/$I$18</f>
        <v>0.68493150684931503</v>
      </c>
      <c r="L16" s="924">
        <v>1</v>
      </c>
      <c r="M16" s="90"/>
      <c r="N16" s="4297" t="s">
        <v>2497</v>
      </c>
      <c r="O16" s="4949"/>
      <c r="P16" s="90"/>
      <c r="X16" s="1177">
        <f>ROW()</f>
        <v>16</v>
      </c>
    </row>
    <row r="17" spans="2:24" ht="14.1" customHeight="1">
      <c r="B17" s="487" t="s">
        <v>1667</v>
      </c>
      <c r="C17" s="90"/>
      <c r="D17" s="90"/>
      <c r="E17" s="90"/>
      <c r="F17" s="90"/>
      <c r="G17" s="90"/>
      <c r="H17" s="90"/>
      <c r="I17" s="922">
        <f>wkend_per_yr</f>
        <v>115</v>
      </c>
      <c r="J17" s="90"/>
      <c r="K17" s="923">
        <f>I17/$I$18</f>
        <v>0.31506849315068491</v>
      </c>
      <c r="L17" s="90">
        <f>K17/K16*L16</f>
        <v>0.46</v>
      </c>
      <c r="M17" s="90"/>
      <c r="N17" s="4950"/>
      <c r="O17" s="4951"/>
      <c r="P17" s="90"/>
      <c r="X17" s="1177">
        <f>ROW()</f>
        <v>17</v>
      </c>
    </row>
    <row r="18" spans="2:24" ht="14.1" customHeight="1">
      <c r="B18" s="487" t="s">
        <v>1668</v>
      </c>
      <c r="C18" s="90"/>
      <c r="D18" s="90"/>
      <c r="E18" s="90"/>
      <c r="F18" s="90"/>
      <c r="G18" s="90"/>
      <c r="H18" s="90"/>
      <c r="I18" s="922">
        <f>I16+I17</f>
        <v>365</v>
      </c>
      <c r="J18" s="90"/>
      <c r="K18" s="923">
        <f>I18/$I$18</f>
        <v>1</v>
      </c>
      <c r="L18" s="90"/>
      <c r="M18" s="90"/>
      <c r="N18" s="4950"/>
      <c r="O18" s="4951"/>
      <c r="P18" s="90"/>
      <c r="X18" s="1177">
        <f>ROW()</f>
        <v>18</v>
      </c>
    </row>
    <row r="19" spans="2:24" ht="14.1" customHeight="1">
      <c r="B19" s="487"/>
      <c r="C19" s="90"/>
      <c r="D19" s="90"/>
      <c r="E19" s="90"/>
      <c r="F19" s="90"/>
      <c r="G19" s="90"/>
      <c r="H19" s="90"/>
      <c r="I19" s="922"/>
      <c r="J19" s="90"/>
      <c r="K19" s="923"/>
      <c r="L19" s="90"/>
      <c r="M19" s="90"/>
      <c r="N19" s="4950"/>
      <c r="O19" s="4951"/>
      <c r="P19" s="90"/>
      <c r="X19" s="1177">
        <f>ROW()</f>
        <v>19</v>
      </c>
    </row>
    <row r="20" spans="2:24" ht="14.1" customHeight="1">
      <c r="B20" s="487" t="s">
        <v>1670</v>
      </c>
      <c r="C20" s="90"/>
      <c r="D20" s="90"/>
      <c r="E20" s="90"/>
      <c r="F20" s="90"/>
      <c r="G20" s="90"/>
      <c r="H20" s="90"/>
      <c r="J20" s="90"/>
      <c r="K20" s="90"/>
      <c r="L20" s="924">
        <v>1</v>
      </c>
      <c r="M20" s="90"/>
      <c r="N20" s="4950"/>
      <c r="O20" s="4951"/>
      <c r="P20" s="90"/>
      <c r="X20" s="1177">
        <f>ROW()</f>
        <v>20</v>
      </c>
    </row>
    <row r="21" spans="2:24" ht="14.1" customHeight="1">
      <c r="B21" s="487" t="s">
        <v>2746</v>
      </c>
      <c r="C21" s="90"/>
      <c r="D21" s="90"/>
      <c r="E21" s="90"/>
      <c r="F21" s="90"/>
      <c r="G21" s="90"/>
      <c r="H21" s="90"/>
      <c r="J21" s="90"/>
      <c r="K21" s="90"/>
      <c r="L21" s="924">
        <f>V148</f>
        <v>0.8505209452271516</v>
      </c>
      <c r="M21" s="90"/>
      <c r="N21" s="4950"/>
      <c r="O21" s="4951"/>
      <c r="P21" s="90"/>
      <c r="X21" s="1177">
        <f>ROW()</f>
        <v>21</v>
      </c>
    </row>
    <row r="22" spans="2:24" ht="14.1" customHeight="1">
      <c r="B22" s="487"/>
      <c r="C22" s="90"/>
      <c r="D22" s="90"/>
      <c r="E22" s="90"/>
      <c r="F22" s="90"/>
      <c r="G22" s="90"/>
      <c r="H22" s="90"/>
      <c r="I22" s="90"/>
      <c r="J22" s="90"/>
      <c r="K22" s="90"/>
      <c r="L22" s="90"/>
      <c r="M22" s="90"/>
      <c r="N22" s="4950"/>
      <c r="O22" s="4951"/>
      <c r="P22" s="90"/>
      <c r="X22" s="1177">
        <f>ROW()</f>
        <v>22</v>
      </c>
    </row>
    <row r="23" spans="2:24" ht="14.1" customHeight="1">
      <c r="B23" s="488" t="s">
        <v>1671</v>
      </c>
      <c r="C23" s="920"/>
      <c r="D23" s="920"/>
      <c r="E23" s="920"/>
      <c r="F23" s="920"/>
      <c r="G23" s="920"/>
      <c r="H23" s="920"/>
      <c r="I23" s="6"/>
      <c r="J23" s="920"/>
      <c r="K23" s="925">
        <f>L23/$L$25</f>
        <v>0.71878343240309528</v>
      </c>
      <c r="L23" s="924">
        <v>1</v>
      </c>
      <c r="M23" s="90"/>
      <c r="N23" s="4950"/>
      <c r="O23" s="4951"/>
      <c r="P23" s="90"/>
      <c r="X23" s="1177">
        <f>ROW()</f>
        <v>23</v>
      </c>
    </row>
    <row r="24" spans="2:24" ht="14.1" customHeight="1">
      <c r="B24" s="488" t="s">
        <v>1672</v>
      </c>
      <c r="C24" s="920"/>
      <c r="D24" s="920"/>
      <c r="E24" s="920"/>
      <c r="F24" s="920"/>
      <c r="G24" s="920"/>
      <c r="H24" s="920"/>
      <c r="I24" s="6"/>
      <c r="J24" s="920"/>
      <c r="K24" s="925">
        <f>L24/$L$25</f>
        <v>0.28121656759690467</v>
      </c>
      <c r="L24" s="924">
        <f>L23*L21*L17</f>
        <v>0.39123963480448976</v>
      </c>
      <c r="M24" s="90"/>
      <c r="N24" s="4950"/>
      <c r="O24" s="4951"/>
      <c r="P24" s="90"/>
      <c r="X24" s="1177">
        <f>ROW()</f>
        <v>24</v>
      </c>
    </row>
    <row r="25" spans="2:24" ht="14.1" customHeight="1">
      <c r="B25" s="487" t="s">
        <v>1669</v>
      </c>
      <c r="C25" s="90"/>
      <c r="D25" s="90"/>
      <c r="E25" s="90"/>
      <c r="F25" s="90"/>
      <c r="G25" s="90"/>
      <c r="H25" s="90"/>
      <c r="J25" s="90"/>
      <c r="K25" s="923">
        <f>L25/$L$25</f>
        <v>1</v>
      </c>
      <c r="L25" s="924">
        <f>L23+L24</f>
        <v>1.3912396348044898</v>
      </c>
      <c r="M25" s="90"/>
      <c r="N25" s="4952"/>
      <c r="O25" s="4953"/>
      <c r="P25" s="90"/>
      <c r="X25" s="1177">
        <f>ROW()</f>
        <v>25</v>
      </c>
    </row>
    <row r="26" spans="2:24" ht="14.1" customHeight="1">
      <c r="B26" s="90"/>
      <c r="C26" s="90"/>
      <c r="D26" s="90"/>
      <c r="E26" s="90"/>
      <c r="F26" s="90"/>
      <c r="G26" s="90"/>
      <c r="H26" s="90"/>
      <c r="I26" s="90"/>
      <c r="J26" s="90"/>
      <c r="K26" s="90"/>
      <c r="L26" s="90"/>
      <c r="M26" s="90"/>
      <c r="N26" s="90"/>
      <c r="O26" s="90"/>
      <c r="P26" s="90"/>
      <c r="X26" s="1177">
        <f>ROW()</f>
        <v>26</v>
      </c>
    </row>
    <row r="27" spans="2:24" ht="14.1" customHeight="1">
      <c r="B27" s="90"/>
      <c r="C27" s="90"/>
      <c r="D27" s="90"/>
      <c r="E27" s="90"/>
      <c r="F27" s="90"/>
      <c r="G27" s="90"/>
      <c r="H27" s="90"/>
      <c r="I27" s="90"/>
      <c r="J27" s="90"/>
      <c r="K27" s="90"/>
      <c r="L27" s="90"/>
      <c r="M27" s="90"/>
      <c r="N27" s="90"/>
      <c r="O27" s="90"/>
      <c r="P27" s="90"/>
      <c r="X27" s="1177">
        <f>ROW()</f>
        <v>27</v>
      </c>
    </row>
    <row r="28" spans="2:24" ht="14.1" customHeight="1">
      <c r="B28" s="921" t="s">
        <v>1855</v>
      </c>
      <c r="C28" s="90"/>
      <c r="D28" s="90"/>
      <c r="E28" s="90"/>
      <c r="F28" s="90"/>
      <c r="G28" s="90"/>
      <c r="H28" s="90"/>
      <c r="I28" s="90"/>
      <c r="J28" s="90"/>
      <c r="K28" s="90"/>
      <c r="L28" s="90"/>
      <c r="M28" s="90"/>
      <c r="N28" s="90"/>
      <c r="O28" s="90"/>
      <c r="P28" s="90"/>
      <c r="X28" s="1177">
        <f>ROW()</f>
        <v>28</v>
      </c>
    </row>
    <row r="29" spans="2:24" ht="14.1" customHeight="1">
      <c r="B29" s="90"/>
      <c r="C29" s="90"/>
      <c r="D29" s="90"/>
      <c r="E29" s="90"/>
      <c r="F29" s="90"/>
      <c r="G29" s="90"/>
      <c r="H29" s="90"/>
      <c r="I29" s="90"/>
      <c r="J29" s="90"/>
      <c r="K29" s="90"/>
      <c r="L29" s="90"/>
      <c r="M29" s="90"/>
      <c r="N29" s="90"/>
      <c r="O29" s="90"/>
      <c r="P29" s="90"/>
      <c r="X29" s="1177">
        <f>ROW()</f>
        <v>29</v>
      </c>
    </row>
    <row r="30" spans="2:24" ht="14.1" customHeight="1">
      <c r="B30" s="3779" t="s">
        <v>669</v>
      </c>
      <c r="C30" s="3779"/>
      <c r="D30" s="3779"/>
      <c r="E30" s="3779"/>
      <c r="F30" s="3779"/>
      <c r="G30" s="3779"/>
      <c r="H30" s="3779"/>
      <c r="I30" s="3779"/>
      <c r="J30" s="3779"/>
      <c r="K30" s="3779"/>
      <c r="L30" s="3779"/>
      <c r="M30" s="3779"/>
      <c r="N30" s="3779"/>
      <c r="O30" s="3779"/>
      <c r="P30" s="3779"/>
      <c r="X30" s="1177">
        <f>ROW()</f>
        <v>30</v>
      </c>
    </row>
    <row r="31" spans="2:24" ht="14.1" customHeight="1">
      <c r="B31" s="3779"/>
      <c r="C31" s="3779"/>
      <c r="D31" s="3779"/>
      <c r="E31" s="3779"/>
      <c r="F31" s="3779"/>
      <c r="G31" s="3779"/>
      <c r="H31" s="3779"/>
      <c r="I31" s="3779"/>
      <c r="J31" s="3779"/>
      <c r="K31" s="3779"/>
      <c r="L31" s="3779"/>
      <c r="M31" s="3779"/>
      <c r="N31" s="3779"/>
      <c r="O31" s="3779"/>
      <c r="P31" s="3779"/>
      <c r="X31" s="1177">
        <f>ROW()</f>
        <v>31</v>
      </c>
    </row>
    <row r="32" spans="2:24" ht="14.1" customHeight="1">
      <c r="B32" s="3787" t="s">
        <v>1656</v>
      </c>
      <c r="C32" s="3779"/>
      <c r="D32" s="3779"/>
      <c r="E32" s="3779"/>
      <c r="F32" s="3779"/>
      <c r="G32" s="3779"/>
      <c r="H32" s="3779"/>
      <c r="I32" s="3779"/>
      <c r="J32" s="3779"/>
      <c r="K32" s="3779"/>
      <c r="L32" s="3779"/>
      <c r="M32" s="3779"/>
      <c r="N32" s="3779"/>
      <c r="O32" s="3779"/>
      <c r="P32" s="3779"/>
      <c r="X32" s="1177">
        <f>ROW()</f>
        <v>32</v>
      </c>
    </row>
    <row r="33" spans="2:24" ht="14.1" customHeight="1">
      <c r="B33" s="3779"/>
      <c r="C33" s="3779"/>
      <c r="D33" s="3779"/>
      <c r="E33" s="3779"/>
      <c r="F33" s="3779"/>
      <c r="G33" s="3779"/>
      <c r="H33" s="3779"/>
      <c r="I33" s="3779"/>
      <c r="J33" s="3779"/>
      <c r="K33" s="3779"/>
      <c r="L33" s="3779"/>
      <c r="M33" s="3779"/>
      <c r="N33" s="3779"/>
      <c r="O33" s="3779"/>
      <c r="P33" s="3779"/>
      <c r="X33" s="1177">
        <f>ROW()</f>
        <v>33</v>
      </c>
    </row>
    <row r="34" spans="2:24" ht="14.1" customHeight="1">
      <c r="B34" s="3779"/>
      <c r="C34" s="3779"/>
      <c r="D34" s="3779"/>
      <c r="E34" s="3779"/>
      <c r="F34" s="3779"/>
      <c r="G34" s="3779"/>
      <c r="H34" s="3779"/>
      <c r="I34" s="3779"/>
      <c r="J34" s="3779"/>
      <c r="K34" s="3779"/>
      <c r="L34" s="3779"/>
      <c r="M34" s="3779"/>
      <c r="N34" s="3779"/>
      <c r="O34" s="3779"/>
      <c r="P34" s="3779"/>
      <c r="X34" s="1177">
        <f>ROW()</f>
        <v>34</v>
      </c>
    </row>
    <row r="35" spans="2:24" ht="14.1" customHeight="1">
      <c r="B35" s="3779"/>
      <c r="C35" s="3779"/>
      <c r="D35" s="3779"/>
      <c r="E35" s="3779"/>
      <c r="F35" s="3779"/>
      <c r="G35" s="3779"/>
      <c r="H35" s="3779"/>
      <c r="I35" s="3779"/>
      <c r="J35" s="3779"/>
      <c r="K35" s="3779"/>
      <c r="L35" s="3779"/>
      <c r="M35" s="3779"/>
      <c r="N35" s="3779"/>
      <c r="O35" s="3779"/>
      <c r="P35" s="3779"/>
      <c r="X35" s="1177">
        <f>ROW()</f>
        <v>35</v>
      </c>
    </row>
    <row r="36" spans="2:24" ht="14.1" customHeight="1">
      <c r="B36" s="3779"/>
      <c r="C36" s="3779"/>
      <c r="D36" s="3779"/>
      <c r="E36" s="3779"/>
      <c r="F36" s="3779"/>
      <c r="G36" s="3779"/>
      <c r="H36" s="3779"/>
      <c r="I36" s="3779"/>
      <c r="J36" s="3779"/>
      <c r="K36" s="3779"/>
      <c r="L36" s="3779"/>
      <c r="M36" s="3779"/>
      <c r="N36" s="3779"/>
      <c r="O36" s="3779"/>
      <c r="P36" s="3779"/>
      <c r="X36" s="1177">
        <f>ROW()</f>
        <v>36</v>
      </c>
    </row>
    <row r="37" spans="2:24" ht="14.1" customHeight="1">
      <c r="B37" t="str">
        <f>CONCATENATE("The column (vector) of results appears in the ",V120, "nd column, beginning in Row ",X120, ". These numbers are called upon in the By Hours worksheet.")</f>
        <v>The column (vector) of results appears in the 22nd column, beginning in Row 120. These numbers are called upon in the By Hours worksheet.</v>
      </c>
      <c r="C37" s="45"/>
      <c r="D37" s="45"/>
      <c r="E37" s="45"/>
      <c r="F37" s="45"/>
      <c r="G37" s="45"/>
      <c r="H37" s="45"/>
      <c r="I37" s="45"/>
      <c r="J37" s="45"/>
      <c r="K37" s="45"/>
      <c r="L37" s="45"/>
      <c r="M37" s="45"/>
      <c r="N37" s="45"/>
      <c r="O37" s="45"/>
      <c r="P37" s="45"/>
      <c r="X37" s="1177">
        <f>ROW()</f>
        <v>37</v>
      </c>
    </row>
    <row r="38" spans="2:24" ht="14.1" customHeight="1">
      <c r="X38" s="1177">
        <f>ROW()</f>
        <v>38</v>
      </c>
    </row>
    <row r="39" spans="2:24" ht="14.1" customHeight="1">
      <c r="D39" s="4945" t="s">
        <v>1677</v>
      </c>
      <c r="E39" s="4945"/>
      <c r="F39" s="4945"/>
      <c r="G39" s="4945"/>
      <c r="H39" s="4945"/>
      <c r="I39" s="4945"/>
      <c r="K39" s="4945" t="s">
        <v>1681</v>
      </c>
      <c r="L39" s="4945"/>
      <c r="M39" s="4945"/>
      <c r="N39" s="4945"/>
      <c r="O39" s="4945"/>
      <c r="P39" s="4945"/>
      <c r="R39" s="4947" t="s">
        <v>1974</v>
      </c>
      <c r="S39" s="4945"/>
      <c r="T39" s="4945"/>
      <c r="U39" s="4945"/>
      <c r="V39" s="4945"/>
      <c r="W39" s="4945"/>
      <c r="X39" s="1177">
        <f>ROW()</f>
        <v>39</v>
      </c>
    </row>
    <row r="40" spans="2:24" ht="14.1" customHeight="1">
      <c r="D40" s="4946" t="s">
        <v>2015</v>
      </c>
      <c r="E40" s="4412"/>
      <c r="F40" s="4946" t="s">
        <v>1678</v>
      </c>
      <c r="G40" s="4412"/>
      <c r="H40" s="4946" t="s">
        <v>2242</v>
      </c>
      <c r="I40" s="4412"/>
      <c r="K40" s="4946" t="s">
        <v>2015</v>
      </c>
      <c r="L40" s="4412"/>
      <c r="M40" s="4946" t="s">
        <v>1678</v>
      </c>
      <c r="N40" s="4412"/>
      <c r="O40" s="4946" t="s">
        <v>2242</v>
      </c>
      <c r="P40" s="4412"/>
      <c r="R40" s="4946" t="s">
        <v>2015</v>
      </c>
      <c r="S40" s="4412"/>
      <c r="T40" s="4946" t="s">
        <v>1678</v>
      </c>
      <c r="U40" s="4412"/>
      <c r="V40" s="4946" t="s">
        <v>2242</v>
      </c>
      <c r="W40" s="4412"/>
      <c r="X40" s="1177">
        <f>ROW()</f>
        <v>40</v>
      </c>
    </row>
    <row r="41" spans="2:24" ht="14.1" customHeight="1">
      <c r="D41" s="8" t="s">
        <v>1675</v>
      </c>
      <c r="E41" s="8" t="s">
        <v>1676</v>
      </c>
      <c r="F41" s="8" t="s">
        <v>1675</v>
      </c>
      <c r="G41" s="8" t="s">
        <v>1676</v>
      </c>
      <c r="H41" s="8" t="s">
        <v>1675</v>
      </c>
      <c r="I41" s="8" t="s">
        <v>1676</v>
      </c>
      <c r="K41" s="8" t="s">
        <v>1675</v>
      </c>
      <c r="L41" s="8" t="s">
        <v>1676</v>
      </c>
      <c r="M41" s="8" t="s">
        <v>1675</v>
      </c>
      <c r="N41" s="8" t="s">
        <v>1676</v>
      </c>
      <c r="O41" s="8" t="s">
        <v>1675</v>
      </c>
      <c r="P41" s="8" t="s">
        <v>1676</v>
      </c>
      <c r="R41" s="8" t="s">
        <v>1675</v>
      </c>
      <c r="S41" s="8" t="s">
        <v>1676</v>
      </c>
      <c r="T41" s="8" t="s">
        <v>1675</v>
      </c>
      <c r="U41" s="8" t="s">
        <v>1676</v>
      </c>
      <c r="V41" s="8" t="s">
        <v>1675</v>
      </c>
      <c r="W41" s="8" t="s">
        <v>1676</v>
      </c>
      <c r="X41" s="1177">
        <f>ROW()</f>
        <v>41</v>
      </c>
    </row>
    <row r="42" spans="2:24" ht="14.1" customHeight="1">
      <c r="X42" s="1177">
        <f>ROW()</f>
        <v>42</v>
      </c>
    </row>
    <row r="43" spans="2:24" ht="14.1" customHeight="1">
      <c r="B43" s="172" t="s">
        <v>351</v>
      </c>
      <c r="X43" s="1177">
        <f>ROW()</f>
        <v>43</v>
      </c>
    </row>
    <row r="44" spans="2:24" ht="14.1" customHeight="1">
      <c r="X44" s="1177">
        <f>ROW()</f>
        <v>44</v>
      </c>
    </row>
    <row r="45" spans="2:24" ht="14.1" customHeight="1">
      <c r="B45" s="658" t="s">
        <v>1680</v>
      </c>
      <c r="X45" s="1177">
        <f>ROW()</f>
        <v>45</v>
      </c>
    </row>
    <row r="46" spans="2:24" ht="14.1" customHeight="1">
      <c r="B46" s="657"/>
      <c r="X46" s="1177">
        <f>ROW()</f>
        <v>46</v>
      </c>
    </row>
    <row r="47" spans="2:24" ht="14.1" customHeight="1">
      <c r="B47" s="656">
        <v>0</v>
      </c>
      <c r="D47" s="805">
        <v>1020.5</v>
      </c>
      <c r="E47" s="805">
        <v>1552.090909090909</v>
      </c>
      <c r="F47" s="659">
        <v>1332.5555555555557</v>
      </c>
      <c r="G47" s="659">
        <v>1770.5555555555557</v>
      </c>
      <c r="H47" s="635">
        <f>F47/D47</f>
        <v>1.3057869236213187</v>
      </c>
      <c r="I47" s="635">
        <f t="shared" ref="I47:I72" si="0">G47/E47</f>
        <v>1.1407550583442343</v>
      </c>
      <c r="K47" s="659">
        <v>1197.7894736842106</v>
      </c>
      <c r="L47" s="659">
        <v>1413.1578947368421</v>
      </c>
      <c r="M47" s="659">
        <v>1490.2</v>
      </c>
      <c r="N47" s="659">
        <v>1695.2</v>
      </c>
      <c r="O47" s="635">
        <f>M47/K47</f>
        <v>1.2441251428069249</v>
      </c>
      <c r="P47" s="635">
        <f t="shared" ref="P47:P70" si="1">N47/L47</f>
        <v>1.1995828677839853</v>
      </c>
      <c r="R47" s="659">
        <f>AVERAGE(D47,K47)</f>
        <v>1109.1447368421054</v>
      </c>
      <c r="S47" s="659">
        <f t="shared" ref="S47:S70" si="2">AVERAGE(E47,L47)</f>
        <v>1482.6244019138755</v>
      </c>
      <c r="T47" s="659">
        <f t="shared" ref="T47:T70" si="3">AVERAGE(F47,M47)</f>
        <v>1411.3777777777777</v>
      </c>
      <c r="U47" s="659">
        <f t="shared" ref="U47:U70" si="4">AVERAGE(G47,N47)</f>
        <v>1732.8777777777777</v>
      </c>
      <c r="V47" s="635">
        <f>T47/R47</f>
        <v>1.2724919759310884</v>
      </c>
      <c r="W47" s="635">
        <f t="shared" ref="W47:W70" si="5">U47/S47</f>
        <v>1.1687908114427752</v>
      </c>
      <c r="X47" s="1177">
        <f>ROW()</f>
        <v>47</v>
      </c>
    </row>
    <row r="48" spans="2:24" ht="14.1" customHeight="1">
      <c r="B48" s="656">
        <v>4.1666666666666664E-2</v>
      </c>
      <c r="D48" s="659">
        <v>674.9545454545455</v>
      </c>
      <c r="E48" s="659">
        <v>1065.7727272727273</v>
      </c>
      <c r="F48" s="659">
        <v>937.88888888888891</v>
      </c>
      <c r="G48" s="659">
        <v>1366.6666666666667</v>
      </c>
      <c r="H48" s="635">
        <f t="shared" ref="H48:H72" si="6">F48/D48</f>
        <v>1.389558593545394</v>
      </c>
      <c r="I48" s="635">
        <f t="shared" si="0"/>
        <v>1.2823246755093047</v>
      </c>
      <c r="K48" s="659">
        <v>755.52631578947364</v>
      </c>
      <c r="L48" s="659">
        <v>950.31578947368416</v>
      </c>
      <c r="M48" s="659">
        <v>1016.1</v>
      </c>
      <c r="N48" s="659">
        <v>1383.4</v>
      </c>
      <c r="O48" s="635">
        <f t="shared" ref="O48:O70" si="7">M48/K48</f>
        <v>1.3448902821316615</v>
      </c>
      <c r="P48" s="635">
        <f t="shared" si="1"/>
        <v>1.455726628267612</v>
      </c>
      <c r="R48" s="659">
        <f t="shared" ref="R48:R70" si="8">AVERAGE(D48,K48)</f>
        <v>715.24043062200963</v>
      </c>
      <c r="S48" s="659">
        <f t="shared" si="2"/>
        <v>1008.0442583732057</v>
      </c>
      <c r="T48" s="659">
        <f t="shared" si="3"/>
        <v>976.99444444444453</v>
      </c>
      <c r="U48" s="659">
        <f t="shared" si="4"/>
        <v>1375.0333333333333</v>
      </c>
      <c r="V48" s="635">
        <f t="shared" ref="V48:V70" si="9">T48/R48</f>
        <v>1.3659664675202998</v>
      </c>
      <c r="W48" s="635">
        <f t="shared" si="5"/>
        <v>1.3640604784083381</v>
      </c>
      <c r="X48" s="1177">
        <f>ROW()</f>
        <v>48</v>
      </c>
    </row>
    <row r="49" spans="2:24" ht="14.1" customHeight="1">
      <c r="B49" s="656">
        <v>8.3333333333333329E-2</v>
      </c>
      <c r="D49" s="659">
        <v>323.59090909090907</v>
      </c>
      <c r="E49" s="659">
        <v>551.5</v>
      </c>
      <c r="F49" s="659">
        <v>517.11111111111109</v>
      </c>
      <c r="G49" s="659">
        <v>954.44444444444446</v>
      </c>
      <c r="H49" s="635">
        <f t="shared" si="6"/>
        <v>1.5980396747358401</v>
      </c>
      <c r="I49" s="635">
        <f t="shared" si="0"/>
        <v>1.7306336254659012</v>
      </c>
      <c r="K49" s="659">
        <v>278.94736842105266</v>
      </c>
      <c r="L49" s="659">
        <v>498.73684210526318</v>
      </c>
      <c r="M49" s="659">
        <v>539.9</v>
      </c>
      <c r="N49" s="659">
        <v>965.5</v>
      </c>
      <c r="O49" s="635">
        <f t="shared" si="7"/>
        <v>1.9354905660377355</v>
      </c>
      <c r="P49" s="635">
        <f t="shared" si="1"/>
        <v>1.9358906711692696</v>
      </c>
      <c r="R49" s="659">
        <f t="shared" si="8"/>
        <v>301.26913875598086</v>
      </c>
      <c r="S49" s="659">
        <f t="shared" si="2"/>
        <v>525.11842105263156</v>
      </c>
      <c r="T49" s="659">
        <f t="shared" si="3"/>
        <v>528.50555555555547</v>
      </c>
      <c r="U49" s="659">
        <f t="shared" si="4"/>
        <v>959.97222222222217</v>
      </c>
      <c r="V49" s="635">
        <f t="shared" si="9"/>
        <v>1.754263837769422</v>
      </c>
      <c r="W49" s="635">
        <f t="shared" si="5"/>
        <v>1.8281061637447416</v>
      </c>
      <c r="X49" s="1177">
        <f>ROW()</f>
        <v>49</v>
      </c>
    </row>
    <row r="50" spans="2:24" ht="14.1" customHeight="1">
      <c r="B50" s="656">
        <v>0.125</v>
      </c>
      <c r="D50" s="659">
        <v>166.77272727272728</v>
      </c>
      <c r="E50" s="659">
        <v>316.63636363636363</v>
      </c>
      <c r="F50" s="659">
        <v>233.11111111111111</v>
      </c>
      <c r="G50" s="659">
        <v>655.55555555555554</v>
      </c>
      <c r="H50" s="635">
        <f t="shared" si="6"/>
        <v>1.3977771721026013</v>
      </c>
      <c r="I50" s="635">
        <f t="shared" si="0"/>
        <v>2.0703735604683065</v>
      </c>
      <c r="K50" s="659">
        <v>148.63157894736841</v>
      </c>
      <c r="L50" s="659">
        <v>300.5263157894737</v>
      </c>
      <c r="M50" s="659">
        <v>299.8</v>
      </c>
      <c r="N50" s="659">
        <v>732.9</v>
      </c>
      <c r="O50" s="635">
        <f t="shared" si="7"/>
        <v>2.0170679886685554</v>
      </c>
      <c r="P50" s="635">
        <f t="shared" si="1"/>
        <v>2.4387215411558669</v>
      </c>
      <c r="R50" s="659">
        <f t="shared" si="8"/>
        <v>157.70215311004785</v>
      </c>
      <c r="S50" s="659">
        <f t="shared" si="2"/>
        <v>308.58133971291863</v>
      </c>
      <c r="T50" s="659">
        <f t="shared" si="3"/>
        <v>266.45555555555558</v>
      </c>
      <c r="U50" s="659">
        <f t="shared" si="4"/>
        <v>694.22777777777776</v>
      </c>
      <c r="V50" s="635">
        <f t="shared" si="9"/>
        <v>1.6896126673021221</v>
      </c>
      <c r="W50" s="635">
        <f t="shared" si="5"/>
        <v>2.2497399824099413</v>
      </c>
      <c r="X50" s="1177">
        <f>ROW()</f>
        <v>50</v>
      </c>
    </row>
    <row r="51" spans="2:24" ht="14.1" customHeight="1">
      <c r="B51" s="656">
        <v>0.16666666666666666</v>
      </c>
      <c r="D51" s="659">
        <v>154.63636363636363</v>
      </c>
      <c r="E51" s="659">
        <v>228.90909090909091</v>
      </c>
      <c r="F51" s="659">
        <v>194.77777777777777</v>
      </c>
      <c r="G51" s="659">
        <v>652.11111111111109</v>
      </c>
      <c r="H51" s="635">
        <f t="shared" si="6"/>
        <v>1.2595858645241362</v>
      </c>
      <c r="I51" s="635">
        <f t="shared" si="0"/>
        <v>2.8487776895243138</v>
      </c>
      <c r="K51" s="659">
        <v>165.52631578947367</v>
      </c>
      <c r="L51" s="659">
        <v>228.31578947368422</v>
      </c>
      <c r="M51" s="659">
        <v>200.7</v>
      </c>
      <c r="N51" s="659">
        <v>624.70000000000005</v>
      </c>
      <c r="O51" s="635">
        <f t="shared" si="7"/>
        <v>1.2124960254372019</v>
      </c>
      <c r="P51" s="635">
        <f t="shared" si="1"/>
        <v>2.7361226371599816</v>
      </c>
      <c r="R51" s="659">
        <f t="shared" si="8"/>
        <v>160.08133971291863</v>
      </c>
      <c r="S51" s="659">
        <f t="shared" si="2"/>
        <v>228.61244019138758</v>
      </c>
      <c r="T51" s="659">
        <f t="shared" si="3"/>
        <v>197.73888888888888</v>
      </c>
      <c r="U51" s="659">
        <f t="shared" si="4"/>
        <v>638.40555555555557</v>
      </c>
      <c r="V51" s="635">
        <f t="shared" si="9"/>
        <v>1.2352400925898253</v>
      </c>
      <c r="W51" s="635">
        <f t="shared" si="5"/>
        <v>2.792523254732338</v>
      </c>
      <c r="X51" s="1177">
        <f>ROW()</f>
        <v>51</v>
      </c>
    </row>
    <row r="52" spans="2:24" ht="14.1" customHeight="1">
      <c r="B52" s="656">
        <v>0.20833333333333334</v>
      </c>
      <c r="D52" s="659">
        <v>308.90909090909093</v>
      </c>
      <c r="E52" s="659">
        <v>447.36363636363637</v>
      </c>
      <c r="F52" s="659">
        <v>243.55555555555554</v>
      </c>
      <c r="G52" s="659">
        <v>737</v>
      </c>
      <c r="H52" s="635">
        <f t="shared" si="6"/>
        <v>0.7884376430580079</v>
      </c>
      <c r="I52" s="635">
        <f t="shared" si="0"/>
        <v>1.6474293842714895</v>
      </c>
      <c r="K52" s="659">
        <v>330.36842105263156</v>
      </c>
      <c r="L52" s="659">
        <v>424.5263157894737</v>
      </c>
      <c r="M52" s="659">
        <v>228.5</v>
      </c>
      <c r="N52" s="659">
        <v>680.1</v>
      </c>
      <c r="O52" s="635">
        <f t="shared" si="7"/>
        <v>0.69165206308746219</v>
      </c>
      <c r="P52" s="635">
        <f t="shared" si="1"/>
        <v>1.6020208281676172</v>
      </c>
      <c r="R52" s="659">
        <f t="shared" si="8"/>
        <v>319.63875598086122</v>
      </c>
      <c r="S52" s="659">
        <f t="shared" si="2"/>
        <v>435.94497607655501</v>
      </c>
      <c r="T52" s="659">
        <f t="shared" si="3"/>
        <v>236.02777777777777</v>
      </c>
      <c r="U52" s="659">
        <f t="shared" si="4"/>
        <v>708.55</v>
      </c>
      <c r="V52" s="635">
        <f t="shared" si="9"/>
        <v>0.738420399158074</v>
      </c>
      <c r="W52" s="635">
        <f t="shared" si="5"/>
        <v>1.6253197969543147</v>
      </c>
      <c r="X52" s="1177">
        <f>ROW()</f>
        <v>52</v>
      </c>
    </row>
    <row r="53" spans="2:24" ht="14.1" customHeight="1">
      <c r="B53" s="656">
        <v>0.25</v>
      </c>
      <c r="D53" s="659">
        <v>982.68181818181813</v>
      </c>
      <c r="E53" s="659">
        <v>781</v>
      </c>
      <c r="F53" s="659">
        <v>419.55555555555554</v>
      </c>
      <c r="G53" s="659">
        <v>649</v>
      </c>
      <c r="H53" s="635">
        <f t="shared" si="6"/>
        <v>0.42694954541015878</v>
      </c>
      <c r="I53" s="635">
        <f t="shared" si="0"/>
        <v>0.83098591549295775</v>
      </c>
      <c r="K53" s="659">
        <v>1087.9473684210527</v>
      </c>
      <c r="L53" s="659">
        <v>798.0526315789474</v>
      </c>
      <c r="M53" s="659">
        <v>402.9</v>
      </c>
      <c r="N53" s="659">
        <v>592.29999999999995</v>
      </c>
      <c r="O53" s="635">
        <f t="shared" si="7"/>
        <v>0.37033041459048904</v>
      </c>
      <c r="P53" s="635">
        <f t="shared" si="1"/>
        <v>0.74218162632724383</v>
      </c>
      <c r="R53" s="659">
        <f t="shared" si="8"/>
        <v>1035.3145933014355</v>
      </c>
      <c r="S53" s="659">
        <f t="shared" si="2"/>
        <v>789.52631578947376</v>
      </c>
      <c r="T53" s="659">
        <f t="shared" si="3"/>
        <v>411.22777777777776</v>
      </c>
      <c r="U53" s="659">
        <f t="shared" si="4"/>
        <v>620.65</v>
      </c>
      <c r="V53" s="635">
        <f t="shared" si="9"/>
        <v>0.39720079330326541</v>
      </c>
      <c r="W53" s="635">
        <f t="shared" si="5"/>
        <v>0.78610425971601883</v>
      </c>
      <c r="X53" s="1177">
        <f>ROW()</f>
        <v>53</v>
      </c>
    </row>
    <row r="54" spans="2:24" ht="14.1" customHeight="1">
      <c r="B54" s="656">
        <v>0.29166666666666669</v>
      </c>
      <c r="D54" s="659">
        <v>2458.090909090909</v>
      </c>
      <c r="E54" s="659">
        <v>1218.3636363636363</v>
      </c>
      <c r="F54" s="659">
        <v>997.11111111111109</v>
      </c>
      <c r="G54" s="659">
        <v>687.88888888888891</v>
      </c>
      <c r="H54" s="635">
        <f t="shared" si="6"/>
        <v>0.40564452169910953</v>
      </c>
      <c r="I54" s="635">
        <f t="shared" si="0"/>
        <v>0.56460064003714217</v>
      </c>
      <c r="K54" s="659">
        <v>2608.6842105263158</v>
      </c>
      <c r="L54" s="659">
        <v>1305.7368421052631</v>
      </c>
      <c r="M54" s="659">
        <v>976.7</v>
      </c>
      <c r="N54" s="659">
        <v>690.8</v>
      </c>
      <c r="O54" s="635">
        <f t="shared" si="7"/>
        <v>0.37440330878644207</v>
      </c>
      <c r="P54" s="635">
        <f t="shared" si="1"/>
        <v>0.52904994155346852</v>
      </c>
      <c r="R54" s="659">
        <f t="shared" si="8"/>
        <v>2533.3875598086124</v>
      </c>
      <c r="S54" s="659">
        <f t="shared" si="2"/>
        <v>1262.0502392344497</v>
      </c>
      <c r="T54" s="659">
        <f t="shared" si="3"/>
        <v>986.90555555555557</v>
      </c>
      <c r="U54" s="659">
        <f t="shared" si="4"/>
        <v>689.34444444444443</v>
      </c>
      <c r="V54" s="635">
        <f t="shared" si="9"/>
        <v>0.3895596438588782</v>
      </c>
      <c r="W54" s="635">
        <f t="shared" si="5"/>
        <v>0.54620998674553212</v>
      </c>
      <c r="X54" s="1177">
        <f>ROW()</f>
        <v>54</v>
      </c>
    </row>
    <row r="55" spans="2:24" ht="14.1" customHeight="1">
      <c r="B55" s="656">
        <v>0.33333333333333331</v>
      </c>
      <c r="D55" s="659">
        <v>3644.3636363636365</v>
      </c>
      <c r="E55" s="659">
        <v>1370.0454545454545</v>
      </c>
      <c r="F55" s="659">
        <v>1400.8888888888889</v>
      </c>
      <c r="G55" s="659">
        <v>794.44444444444446</v>
      </c>
      <c r="H55" s="635">
        <f t="shared" si="6"/>
        <v>0.38439876715669968</v>
      </c>
      <c r="I55" s="635">
        <f t="shared" si="0"/>
        <v>0.57986721667422381</v>
      </c>
      <c r="K55" s="659">
        <v>3717.6315789473683</v>
      </c>
      <c r="L55" s="659">
        <v>1341.3684210526317</v>
      </c>
      <c r="M55" s="659">
        <v>1284.8</v>
      </c>
      <c r="N55" s="659">
        <v>827.6</v>
      </c>
      <c r="O55" s="635">
        <f t="shared" si="7"/>
        <v>0.34559637573440927</v>
      </c>
      <c r="P55" s="635">
        <f t="shared" si="1"/>
        <v>0.61698187240053359</v>
      </c>
      <c r="R55" s="659">
        <f t="shared" si="8"/>
        <v>3680.9976076555022</v>
      </c>
      <c r="S55" s="659">
        <f t="shared" si="2"/>
        <v>1355.7069377990431</v>
      </c>
      <c r="T55" s="659">
        <f t="shared" si="3"/>
        <v>1342.8444444444444</v>
      </c>
      <c r="U55" s="659">
        <f t="shared" si="4"/>
        <v>811.02222222222224</v>
      </c>
      <c r="V55" s="635">
        <f t="shared" si="9"/>
        <v>0.36480448714546376</v>
      </c>
      <c r="W55" s="635">
        <f t="shared" si="5"/>
        <v>0.59822827457009031</v>
      </c>
      <c r="X55" s="1177">
        <f>ROW()</f>
        <v>55</v>
      </c>
    </row>
    <row r="56" spans="2:24" ht="14.1" customHeight="1">
      <c r="B56" s="656">
        <v>0.375</v>
      </c>
      <c r="D56" s="659">
        <v>3981.681818181818</v>
      </c>
      <c r="E56" s="659">
        <v>1337.7272727272727</v>
      </c>
      <c r="F56" s="659">
        <v>1638.3333333333333</v>
      </c>
      <c r="G56" s="659">
        <v>971.11111111111109</v>
      </c>
      <c r="H56" s="635">
        <f t="shared" si="6"/>
        <v>0.41146766822303654</v>
      </c>
      <c r="I56" s="635">
        <f t="shared" si="0"/>
        <v>0.72594102767395319</v>
      </c>
      <c r="K56" s="659">
        <v>3904.8421052631579</v>
      </c>
      <c r="L56" s="659">
        <v>1288.1052631578948</v>
      </c>
      <c r="M56" s="659">
        <v>1558.7</v>
      </c>
      <c r="N56" s="659">
        <v>1054.5</v>
      </c>
      <c r="O56" s="635">
        <f t="shared" si="7"/>
        <v>0.39917106965710591</v>
      </c>
      <c r="P56" s="635">
        <f t="shared" si="1"/>
        <v>0.81864427555773467</v>
      </c>
      <c r="R56" s="659">
        <f t="shared" si="8"/>
        <v>3943.2619617224882</v>
      </c>
      <c r="S56" s="659">
        <f t="shared" si="2"/>
        <v>1312.9162679425838</v>
      </c>
      <c r="T56" s="659">
        <f t="shared" si="3"/>
        <v>1598.5166666666667</v>
      </c>
      <c r="U56" s="659">
        <f t="shared" si="4"/>
        <v>1012.8055555555555</v>
      </c>
      <c r="V56" s="635">
        <f t="shared" si="9"/>
        <v>0.40537927284151459</v>
      </c>
      <c r="W56" s="635">
        <f t="shared" si="5"/>
        <v>0.77141671581439142</v>
      </c>
      <c r="X56" s="1177">
        <f>ROW()</f>
        <v>56</v>
      </c>
    </row>
    <row r="57" spans="2:24" ht="14.1" customHeight="1">
      <c r="B57" s="656">
        <v>0.41666666666666669</v>
      </c>
      <c r="D57" s="659">
        <v>3827.2727272727275</v>
      </c>
      <c r="E57" s="659">
        <v>1314.6818181818182</v>
      </c>
      <c r="F57" s="659">
        <v>1857.2222222222222</v>
      </c>
      <c r="G57" s="659">
        <v>1159</v>
      </c>
      <c r="H57" s="635">
        <f t="shared" si="6"/>
        <v>0.48525996305093688</v>
      </c>
      <c r="I57" s="635">
        <f t="shared" si="0"/>
        <v>0.881582131867372</v>
      </c>
      <c r="K57" s="659">
        <v>3605.5263157894738</v>
      </c>
      <c r="L57" s="659">
        <v>1275.5263157894738</v>
      </c>
      <c r="M57" s="659">
        <v>1736</v>
      </c>
      <c r="N57" s="659">
        <v>1352</v>
      </c>
      <c r="O57" s="635">
        <f t="shared" si="7"/>
        <v>0.48148310342310779</v>
      </c>
      <c r="P57" s="635">
        <f t="shared" si="1"/>
        <v>1.0599546110996492</v>
      </c>
      <c r="R57" s="659">
        <f t="shared" si="8"/>
        <v>3716.3995215311006</v>
      </c>
      <c r="S57" s="659">
        <f t="shared" si="2"/>
        <v>1295.1040669856461</v>
      </c>
      <c r="T57" s="659">
        <f t="shared" si="3"/>
        <v>1796.6111111111111</v>
      </c>
      <c r="U57" s="659">
        <f t="shared" si="4"/>
        <v>1255.5</v>
      </c>
      <c r="V57" s="635">
        <f t="shared" si="9"/>
        <v>0.48342787170818879</v>
      </c>
      <c r="W57" s="635">
        <f t="shared" si="5"/>
        <v>0.96942016630538075</v>
      </c>
      <c r="X57" s="1177">
        <f>ROW()</f>
        <v>57</v>
      </c>
    </row>
    <row r="58" spans="2:24" ht="14.1" customHeight="1">
      <c r="B58" s="656">
        <v>0.45833333333333331</v>
      </c>
      <c r="D58" s="659">
        <v>2744.181818181818</v>
      </c>
      <c r="E58" s="659">
        <v>1601.5</v>
      </c>
      <c r="F58" s="659">
        <v>1806.1111111111111</v>
      </c>
      <c r="G58" s="659">
        <v>1304.2222222222222</v>
      </c>
      <c r="H58" s="635">
        <f t="shared" si="6"/>
        <v>0.65816014782423049</v>
      </c>
      <c r="I58" s="635">
        <f t="shared" si="0"/>
        <v>0.81437541194019492</v>
      </c>
      <c r="K58" s="659">
        <v>2839</v>
      </c>
      <c r="L58" s="659">
        <v>1620.578947368421</v>
      </c>
      <c r="M58" s="659">
        <v>1956.6</v>
      </c>
      <c r="N58" s="659">
        <v>1599.7</v>
      </c>
      <c r="O58" s="635">
        <f t="shared" si="7"/>
        <v>0.68918633321592104</v>
      </c>
      <c r="P58" s="635">
        <f t="shared" si="1"/>
        <v>0.98711636517164114</v>
      </c>
      <c r="R58" s="659">
        <f t="shared" si="8"/>
        <v>2791.590909090909</v>
      </c>
      <c r="S58" s="659">
        <f t="shared" si="2"/>
        <v>1611.0394736842104</v>
      </c>
      <c r="T58" s="659">
        <f t="shared" si="3"/>
        <v>1881.3555555555554</v>
      </c>
      <c r="U58" s="659">
        <f t="shared" si="4"/>
        <v>1451.9611111111112</v>
      </c>
      <c r="V58" s="635">
        <f t="shared" si="9"/>
        <v>0.67393669660868227</v>
      </c>
      <c r="W58" s="635">
        <f t="shared" si="5"/>
        <v>0.90125731543417098</v>
      </c>
      <c r="X58" s="1177">
        <f>ROW()</f>
        <v>58</v>
      </c>
    </row>
    <row r="59" spans="2:24" ht="14.1" customHeight="1">
      <c r="B59" s="656">
        <v>0.5</v>
      </c>
      <c r="D59" s="659">
        <v>2716.909090909091</v>
      </c>
      <c r="E59" s="659">
        <v>1705.3636363636363</v>
      </c>
      <c r="F59" s="659">
        <v>2171.2222222222222</v>
      </c>
      <c r="G59" s="659">
        <v>1510.1111111111111</v>
      </c>
      <c r="H59" s="635">
        <f t="shared" si="6"/>
        <v>0.79915159086008314</v>
      </c>
      <c r="I59" s="635">
        <f t="shared" si="0"/>
        <v>0.88550680858373165</v>
      </c>
      <c r="K59" s="659">
        <v>2612.6842105263158</v>
      </c>
      <c r="L59" s="659">
        <v>1849.2631578947369</v>
      </c>
      <c r="M59" s="659">
        <v>2083.1</v>
      </c>
      <c r="N59" s="659">
        <v>1752.9</v>
      </c>
      <c r="O59" s="635">
        <f t="shared" si="7"/>
        <v>0.79730263290425252</v>
      </c>
      <c r="P59" s="635">
        <f t="shared" si="1"/>
        <v>0.94789105191256828</v>
      </c>
      <c r="R59" s="659">
        <f t="shared" si="8"/>
        <v>2664.7966507177034</v>
      </c>
      <c r="S59" s="659">
        <f t="shared" si="2"/>
        <v>1777.3133971291866</v>
      </c>
      <c r="T59" s="659">
        <f t="shared" si="3"/>
        <v>2127.161111111111</v>
      </c>
      <c r="U59" s="659">
        <f t="shared" si="4"/>
        <v>1631.5055555555555</v>
      </c>
      <c r="V59" s="635">
        <f t="shared" si="9"/>
        <v>0.79824519088096557</v>
      </c>
      <c r="W59" s="635">
        <f t="shared" si="5"/>
        <v>0.91796165954234754</v>
      </c>
      <c r="X59" s="1177">
        <f>ROW()</f>
        <v>59</v>
      </c>
    </row>
    <row r="60" spans="2:24" ht="14.1" customHeight="1">
      <c r="B60" s="656">
        <v>0.54166666666666663</v>
      </c>
      <c r="D60" s="659">
        <v>2351.0454545454545</v>
      </c>
      <c r="E60" s="659">
        <v>2006.3636363636363</v>
      </c>
      <c r="F60" s="659">
        <v>2346.6666666666665</v>
      </c>
      <c r="G60" s="659">
        <v>1653.7777777777778</v>
      </c>
      <c r="H60" s="635">
        <f t="shared" si="6"/>
        <v>0.99813751458087629</v>
      </c>
      <c r="I60" s="635">
        <f t="shared" si="0"/>
        <v>0.8242662236318784</v>
      </c>
      <c r="K60" s="659">
        <v>2394.2631578947367</v>
      </c>
      <c r="L60" s="659">
        <v>2098.4736842105262</v>
      </c>
      <c r="M60" s="659">
        <v>2305.6999999999998</v>
      </c>
      <c r="N60" s="659">
        <v>1780.8</v>
      </c>
      <c r="O60" s="635">
        <f t="shared" si="7"/>
        <v>0.963010265766855</v>
      </c>
      <c r="P60" s="635">
        <f t="shared" si="1"/>
        <v>0.84861678914499261</v>
      </c>
      <c r="R60" s="659">
        <f t="shared" si="8"/>
        <v>2372.6543062200953</v>
      </c>
      <c r="S60" s="659">
        <f t="shared" si="2"/>
        <v>2052.4186602870814</v>
      </c>
      <c r="T60" s="659">
        <f t="shared" si="3"/>
        <v>2326.1833333333334</v>
      </c>
      <c r="U60" s="659">
        <f t="shared" si="4"/>
        <v>1717.2888888888888</v>
      </c>
      <c r="V60" s="635">
        <f t="shared" si="9"/>
        <v>0.98041393018572709</v>
      </c>
      <c r="W60" s="635">
        <f t="shared" si="5"/>
        <v>0.83671471231346317</v>
      </c>
      <c r="X60" s="1177">
        <f>ROW()</f>
        <v>60</v>
      </c>
    </row>
    <row r="61" spans="2:24" ht="14.1" customHeight="1">
      <c r="B61" s="656">
        <v>0.58333333333333337</v>
      </c>
      <c r="D61" s="659">
        <v>2104.1363636363635</v>
      </c>
      <c r="E61" s="659">
        <v>2310.590909090909</v>
      </c>
      <c r="F61" s="659">
        <v>2274.6666666666665</v>
      </c>
      <c r="G61" s="659">
        <v>1753</v>
      </c>
      <c r="H61" s="635">
        <f t="shared" si="6"/>
        <v>1.0810452715790686</v>
      </c>
      <c r="I61" s="635">
        <f t="shared" si="0"/>
        <v>0.75868038478940847</v>
      </c>
      <c r="K61" s="659">
        <v>2236</v>
      </c>
      <c r="L61" s="659">
        <v>2436.2105263157896</v>
      </c>
      <c r="M61" s="659">
        <v>2300.1</v>
      </c>
      <c r="N61" s="659">
        <v>1869.5</v>
      </c>
      <c r="O61" s="635">
        <f t="shared" si="7"/>
        <v>1.0286672629695885</v>
      </c>
      <c r="P61" s="635">
        <f t="shared" si="1"/>
        <v>0.76738031455236777</v>
      </c>
      <c r="R61" s="659">
        <f t="shared" si="8"/>
        <v>2170.068181818182</v>
      </c>
      <c r="S61" s="659">
        <f t="shared" si="2"/>
        <v>2373.4007177033491</v>
      </c>
      <c r="T61" s="659">
        <f t="shared" si="3"/>
        <v>2287.3833333333332</v>
      </c>
      <c r="U61" s="659">
        <f t="shared" si="4"/>
        <v>1811.25</v>
      </c>
      <c r="V61" s="635">
        <f t="shared" si="9"/>
        <v>1.0540605832102747</v>
      </c>
      <c r="W61" s="635">
        <f t="shared" si="5"/>
        <v>0.76314546738347611</v>
      </c>
      <c r="X61" s="1177">
        <f>ROW()</f>
        <v>61</v>
      </c>
    </row>
    <row r="62" spans="2:24" ht="14.1" customHeight="1">
      <c r="B62" s="656">
        <v>0.625</v>
      </c>
      <c r="D62" s="659">
        <v>2306.818181818182</v>
      </c>
      <c r="E62" s="659">
        <v>2637.3636363636365</v>
      </c>
      <c r="F62" s="659">
        <v>2219.2222222222222</v>
      </c>
      <c r="G62" s="659">
        <v>1991.1111111111111</v>
      </c>
      <c r="H62" s="635">
        <f t="shared" si="6"/>
        <v>0.96202736726874649</v>
      </c>
      <c r="I62" s="635">
        <f t="shared" si="0"/>
        <v>0.75496267699225195</v>
      </c>
      <c r="K62" s="659">
        <v>2344.6842105263158</v>
      </c>
      <c r="L62" s="659">
        <v>2705.1052631578946</v>
      </c>
      <c r="M62" s="659">
        <v>2202.4</v>
      </c>
      <c r="N62" s="659">
        <v>2009.4</v>
      </c>
      <c r="O62" s="635">
        <f t="shared" si="7"/>
        <v>0.93931625850187439</v>
      </c>
      <c r="P62" s="635">
        <f t="shared" si="1"/>
        <v>0.74281767418331812</v>
      </c>
      <c r="R62" s="659">
        <f t="shared" si="8"/>
        <v>2325.7511961722489</v>
      </c>
      <c r="S62" s="659">
        <f t="shared" si="2"/>
        <v>2671.2344497607655</v>
      </c>
      <c r="T62" s="659">
        <f t="shared" si="3"/>
        <v>2210.8111111111111</v>
      </c>
      <c r="U62" s="659">
        <f t="shared" si="4"/>
        <v>2000.2555555555555</v>
      </c>
      <c r="V62" s="635">
        <f t="shared" si="9"/>
        <v>0.95057937183895347</v>
      </c>
      <c r="W62" s="635">
        <f t="shared" si="5"/>
        <v>0.74881317726892049</v>
      </c>
      <c r="X62" s="1177">
        <f>ROW()</f>
        <v>62</v>
      </c>
    </row>
    <row r="63" spans="2:24" ht="14.1" customHeight="1">
      <c r="B63" s="656">
        <v>0.66666666666666663</v>
      </c>
      <c r="D63" s="659">
        <v>2399</v>
      </c>
      <c r="E63" s="659">
        <v>2780.909090909091</v>
      </c>
      <c r="F63" s="659">
        <v>2238.1111111111113</v>
      </c>
      <c r="G63" s="659">
        <v>2319.8888888888887</v>
      </c>
      <c r="H63" s="635">
        <f t="shared" si="6"/>
        <v>0.93293501922097177</v>
      </c>
      <c r="I63" s="635">
        <f t="shared" si="0"/>
        <v>0.83421960698848563</v>
      </c>
      <c r="K63" s="659">
        <v>2473.5263157894738</v>
      </c>
      <c r="L63" s="659">
        <v>2842</v>
      </c>
      <c r="M63" s="659">
        <v>2183.9</v>
      </c>
      <c r="N63" s="659">
        <v>2176.1</v>
      </c>
      <c r="O63" s="635">
        <f t="shared" si="7"/>
        <v>0.88290954741792027</v>
      </c>
      <c r="P63" s="635">
        <f t="shared" si="1"/>
        <v>0.76569317382125257</v>
      </c>
      <c r="R63" s="659">
        <f t="shared" si="8"/>
        <v>2436.2631578947367</v>
      </c>
      <c r="S63" s="659">
        <f t="shared" si="2"/>
        <v>2811.4545454545455</v>
      </c>
      <c r="T63" s="659">
        <f t="shared" si="3"/>
        <v>2211.0055555555555</v>
      </c>
      <c r="U63" s="659">
        <f t="shared" si="4"/>
        <v>2247.9944444444445</v>
      </c>
      <c r="V63" s="635">
        <f t="shared" si="9"/>
        <v>0.90753970825802155</v>
      </c>
      <c r="W63" s="635">
        <f t="shared" si="5"/>
        <v>0.79958413273261619</v>
      </c>
      <c r="X63" s="1177">
        <f>ROW()</f>
        <v>63</v>
      </c>
    </row>
    <row r="64" spans="2:24" ht="14.1" customHeight="1">
      <c r="B64" s="656">
        <v>0.70833333333333337</v>
      </c>
      <c r="D64" s="659">
        <v>2508.8636363636365</v>
      </c>
      <c r="E64" s="659">
        <v>2773.4545454545455</v>
      </c>
      <c r="F64" s="659">
        <v>2340.8888888888887</v>
      </c>
      <c r="G64" s="659">
        <v>2373.5555555555557</v>
      </c>
      <c r="H64" s="635">
        <f t="shared" si="6"/>
        <v>0.93304747813308364</v>
      </c>
      <c r="I64" s="635">
        <f t="shared" si="0"/>
        <v>0.85581195460571369</v>
      </c>
      <c r="K64" s="659">
        <v>2570.8947368421054</v>
      </c>
      <c r="L64" s="659">
        <v>2873.2105263157896</v>
      </c>
      <c r="M64" s="659">
        <v>2333.6</v>
      </c>
      <c r="N64" s="659">
        <v>2230.6999999999998</v>
      </c>
      <c r="O64" s="635">
        <f t="shared" si="7"/>
        <v>0.90769955166130967</v>
      </c>
      <c r="P64" s="635">
        <f t="shared" si="1"/>
        <v>0.77637889029327167</v>
      </c>
      <c r="R64" s="659">
        <f t="shared" si="8"/>
        <v>2539.879186602871</v>
      </c>
      <c r="S64" s="659">
        <f t="shared" si="2"/>
        <v>2823.3325358851675</v>
      </c>
      <c r="T64" s="659">
        <f t="shared" si="3"/>
        <v>2337.2444444444445</v>
      </c>
      <c r="U64" s="659">
        <f t="shared" si="4"/>
        <v>2302.1277777777777</v>
      </c>
      <c r="V64" s="635">
        <f t="shared" si="9"/>
        <v>0.92021874771553458</v>
      </c>
      <c r="W64" s="635">
        <f t="shared" si="5"/>
        <v>0.81539377615538922</v>
      </c>
      <c r="X64" s="1177">
        <f>ROW()</f>
        <v>64</v>
      </c>
    </row>
    <row r="65" spans="2:24" ht="14.1" customHeight="1">
      <c r="B65" s="656">
        <v>0.75</v>
      </c>
      <c r="D65" s="659">
        <v>2674.7727272727275</v>
      </c>
      <c r="E65" s="659">
        <v>2802.909090909091</v>
      </c>
      <c r="F65" s="659">
        <v>2520.1111111111113</v>
      </c>
      <c r="G65" s="659">
        <v>2256.3333333333335</v>
      </c>
      <c r="H65" s="635">
        <f t="shared" si="6"/>
        <v>0.94217766070939668</v>
      </c>
      <c r="I65" s="635">
        <f t="shared" si="0"/>
        <v>0.80499697284206884</v>
      </c>
      <c r="K65" s="659">
        <v>2652.1052631578946</v>
      </c>
      <c r="L65" s="659">
        <v>2766.0526315789475</v>
      </c>
      <c r="M65" s="659">
        <v>2535.3000000000002</v>
      </c>
      <c r="N65" s="659">
        <v>2152.6999999999998</v>
      </c>
      <c r="O65" s="635">
        <f t="shared" si="7"/>
        <v>0.95595753125620175</v>
      </c>
      <c r="P65" s="635">
        <f t="shared" si="1"/>
        <v>0.77825706402816086</v>
      </c>
      <c r="R65" s="659">
        <f t="shared" si="8"/>
        <v>2663.438995215311</v>
      </c>
      <c r="S65" s="659">
        <f t="shared" si="2"/>
        <v>2784.4808612440193</v>
      </c>
      <c r="T65" s="659">
        <f t="shared" si="3"/>
        <v>2527.7055555555557</v>
      </c>
      <c r="U65" s="659">
        <f t="shared" si="4"/>
        <v>2204.5166666666664</v>
      </c>
      <c r="V65" s="635">
        <f t="shared" si="9"/>
        <v>0.94903827724096879</v>
      </c>
      <c r="W65" s="635">
        <f t="shared" si="5"/>
        <v>0.79171550336379659</v>
      </c>
      <c r="X65" s="1177">
        <f>ROW()</f>
        <v>65</v>
      </c>
    </row>
    <row r="66" spans="2:24" ht="14.1" customHeight="1">
      <c r="B66" s="656">
        <v>0.79166666666666663</v>
      </c>
      <c r="D66" s="659">
        <v>2522</v>
      </c>
      <c r="E66" s="659">
        <v>2722.318181818182</v>
      </c>
      <c r="F66" s="659">
        <v>2428.6666666666665</v>
      </c>
      <c r="G66" s="659">
        <v>2020.2222222222222</v>
      </c>
      <c r="H66" s="635">
        <f t="shared" si="6"/>
        <v>0.96299233412635465</v>
      </c>
      <c r="I66" s="635">
        <f t="shared" si="0"/>
        <v>0.74209628974117792</v>
      </c>
      <c r="K66" s="659">
        <v>2414.7894736842104</v>
      </c>
      <c r="L66" s="659">
        <v>2662.3157894736842</v>
      </c>
      <c r="M66" s="659">
        <v>2514.3000000000002</v>
      </c>
      <c r="N66" s="659">
        <v>1941.5</v>
      </c>
      <c r="O66" s="635">
        <f t="shared" si="7"/>
        <v>1.0412087792332338</v>
      </c>
      <c r="P66" s="635">
        <f t="shared" si="1"/>
        <v>0.72925233275343981</v>
      </c>
      <c r="R66" s="659">
        <f t="shared" si="8"/>
        <v>2468.394736842105</v>
      </c>
      <c r="S66" s="659">
        <f t="shared" si="2"/>
        <v>2692.3169856459331</v>
      </c>
      <c r="T66" s="659">
        <f t="shared" si="3"/>
        <v>2471.4833333333336</v>
      </c>
      <c r="U66" s="659">
        <f t="shared" si="4"/>
        <v>1980.8611111111111</v>
      </c>
      <c r="V66" s="635">
        <f t="shared" si="9"/>
        <v>1.0012512571207228</v>
      </c>
      <c r="W66" s="635">
        <f t="shared" si="5"/>
        <v>0.73574587304245997</v>
      </c>
      <c r="X66" s="1177">
        <f>ROW()</f>
        <v>66</v>
      </c>
    </row>
    <row r="67" spans="2:24" ht="14.1" customHeight="1">
      <c r="B67" s="656">
        <v>0.83333333333333337</v>
      </c>
      <c r="D67" s="659">
        <v>2019.1363636363637</v>
      </c>
      <c r="E67" s="659">
        <v>2257.5454545454545</v>
      </c>
      <c r="F67" s="659">
        <v>2205.6666666666665</v>
      </c>
      <c r="G67" s="659">
        <v>1743.6666666666667</v>
      </c>
      <c r="H67" s="635">
        <f t="shared" si="6"/>
        <v>1.0923812310994048</v>
      </c>
      <c r="I67" s="635">
        <f t="shared" si="0"/>
        <v>0.77237278352729577</v>
      </c>
      <c r="K67" s="659">
        <v>2178.6842105263158</v>
      </c>
      <c r="L67" s="659">
        <v>2315.1578947368421</v>
      </c>
      <c r="M67" s="659">
        <v>2461.3000000000002</v>
      </c>
      <c r="N67" s="659">
        <v>1691.2</v>
      </c>
      <c r="O67" s="635">
        <f t="shared" si="7"/>
        <v>1.1297185650440875</v>
      </c>
      <c r="P67" s="635">
        <f t="shared" si="1"/>
        <v>0.7304901336728199</v>
      </c>
      <c r="R67" s="659">
        <f t="shared" si="8"/>
        <v>2098.9102870813399</v>
      </c>
      <c r="S67" s="659">
        <f t="shared" si="2"/>
        <v>2286.3516746411483</v>
      </c>
      <c r="T67" s="659">
        <f t="shared" si="3"/>
        <v>2333.4833333333336</v>
      </c>
      <c r="U67" s="659">
        <f t="shared" si="4"/>
        <v>1717.4333333333334</v>
      </c>
      <c r="V67" s="635">
        <f t="shared" si="9"/>
        <v>1.1117594437912739</v>
      </c>
      <c r="W67" s="635">
        <f t="shared" si="5"/>
        <v>0.75116761449346636</v>
      </c>
      <c r="X67" s="1177">
        <f>ROW()</f>
        <v>67</v>
      </c>
    </row>
    <row r="68" spans="2:24" ht="14.1" customHeight="1">
      <c r="B68" s="656">
        <v>0.875</v>
      </c>
      <c r="D68" s="659">
        <v>1628.9545454545455</v>
      </c>
      <c r="E68" s="659">
        <v>2215.6363636363635</v>
      </c>
      <c r="F68" s="659">
        <v>1912.5555555555557</v>
      </c>
      <c r="G68" s="659">
        <v>1582.1111111111111</v>
      </c>
      <c r="H68" s="635">
        <f t="shared" si="6"/>
        <v>1.1741000145721523</v>
      </c>
      <c r="I68" s="635">
        <f t="shared" si="0"/>
        <v>0.71406623265313574</v>
      </c>
      <c r="K68" s="659">
        <v>1811.3684210526317</v>
      </c>
      <c r="L68" s="659">
        <v>2094.9473684210525</v>
      </c>
      <c r="M68" s="659">
        <v>2245.6</v>
      </c>
      <c r="N68" s="659">
        <v>1636.2</v>
      </c>
      <c r="O68" s="635">
        <f t="shared" si="7"/>
        <v>1.2397257089725708</v>
      </c>
      <c r="P68" s="635">
        <f t="shared" si="1"/>
        <v>0.78102200783840825</v>
      </c>
      <c r="R68" s="659">
        <f t="shared" si="8"/>
        <v>1720.1614832535886</v>
      </c>
      <c r="S68" s="659">
        <f t="shared" si="2"/>
        <v>2155.2918660287078</v>
      </c>
      <c r="T68" s="659">
        <f t="shared" si="3"/>
        <v>2079.0777777777776</v>
      </c>
      <c r="U68" s="659">
        <f t="shared" si="4"/>
        <v>1609.1555555555556</v>
      </c>
      <c r="V68" s="635">
        <f t="shared" si="9"/>
        <v>1.2086526747740678</v>
      </c>
      <c r="W68" s="635">
        <f t="shared" si="5"/>
        <v>0.74660679647093431</v>
      </c>
      <c r="X68" s="1177">
        <f>ROW()</f>
        <v>68</v>
      </c>
    </row>
    <row r="69" spans="2:24" ht="14.1" customHeight="1">
      <c r="B69" s="656">
        <v>0.91666666666666663</v>
      </c>
      <c r="D69" s="659">
        <v>1425.3636363636363</v>
      </c>
      <c r="E69" s="659">
        <v>2195.1363636363635</v>
      </c>
      <c r="F69" s="659">
        <v>1658.1111111111111</v>
      </c>
      <c r="G69" s="659">
        <v>1411.3333333333333</v>
      </c>
      <c r="H69" s="635">
        <f t="shared" si="6"/>
        <v>1.1632898923542461</v>
      </c>
      <c r="I69" s="635">
        <f t="shared" si="0"/>
        <v>0.64293651944036057</v>
      </c>
      <c r="K69" s="659">
        <v>1558.578947368421</v>
      </c>
      <c r="L69" s="659">
        <v>2094.3157894736842</v>
      </c>
      <c r="M69" s="659">
        <v>2121.8000000000002</v>
      </c>
      <c r="N69" s="659">
        <v>1501.2</v>
      </c>
      <c r="O69" s="635">
        <f t="shared" si="7"/>
        <v>1.3613683179684599</v>
      </c>
      <c r="P69" s="635">
        <f t="shared" si="1"/>
        <v>0.71679734620024127</v>
      </c>
      <c r="R69" s="659">
        <f t="shared" si="8"/>
        <v>1491.9712918660287</v>
      </c>
      <c r="S69" s="659">
        <f t="shared" si="2"/>
        <v>2144.7260765550236</v>
      </c>
      <c r="T69" s="659">
        <f t="shared" si="3"/>
        <v>1889.9555555555557</v>
      </c>
      <c r="U69" s="659">
        <f t="shared" si="4"/>
        <v>1456.2666666666667</v>
      </c>
      <c r="V69" s="635">
        <f t="shared" si="9"/>
        <v>1.2667506176957084</v>
      </c>
      <c r="W69" s="635">
        <f t="shared" si="5"/>
        <v>0.67899890927134243</v>
      </c>
      <c r="X69" s="1177">
        <f>ROW()</f>
        <v>69</v>
      </c>
    </row>
    <row r="70" spans="2:24" ht="14.1" customHeight="1">
      <c r="B70" s="656">
        <v>0.95833333333333337</v>
      </c>
      <c r="D70" s="659">
        <v>1355.409090909091</v>
      </c>
      <c r="E70" s="659">
        <v>2099.4545454545455</v>
      </c>
      <c r="F70" s="659">
        <v>1592.1111111111111</v>
      </c>
      <c r="G70" s="659">
        <v>1419.6666666666667</v>
      </c>
      <c r="H70" s="635">
        <f t="shared" si="6"/>
        <v>1.1746351133319173</v>
      </c>
      <c r="I70" s="635">
        <f t="shared" si="0"/>
        <v>0.6762073843133859</v>
      </c>
      <c r="K70" s="659">
        <v>1520.7368421052631</v>
      </c>
      <c r="L70" s="659">
        <v>1887.4736842105262</v>
      </c>
      <c r="M70" s="659">
        <v>1958.5</v>
      </c>
      <c r="N70" s="659">
        <v>1508.1</v>
      </c>
      <c r="O70" s="635">
        <f t="shared" si="7"/>
        <v>1.2878625320135668</v>
      </c>
      <c r="P70" s="635">
        <f t="shared" si="1"/>
        <v>0.79900451731637945</v>
      </c>
      <c r="R70" s="659">
        <f t="shared" si="8"/>
        <v>1438.0729665071772</v>
      </c>
      <c r="S70" s="659">
        <f t="shared" si="2"/>
        <v>1993.4641148325359</v>
      </c>
      <c r="T70" s="659">
        <f t="shared" si="3"/>
        <v>1775.3055555555557</v>
      </c>
      <c r="U70" s="659">
        <f t="shared" si="4"/>
        <v>1463.8833333333332</v>
      </c>
      <c r="V70" s="635">
        <f t="shared" si="9"/>
        <v>1.2345031141691345</v>
      </c>
      <c r="W70" s="635">
        <f t="shared" si="5"/>
        <v>0.7343414523698657</v>
      </c>
      <c r="X70" s="1177">
        <f>ROW()</f>
        <v>70</v>
      </c>
    </row>
    <row r="71" spans="2:24" ht="14.1" customHeight="1">
      <c r="B71" s="139"/>
      <c r="D71" s="659"/>
      <c r="E71" s="659"/>
      <c r="F71" s="659"/>
      <c r="G71" s="659"/>
      <c r="H71" s="635"/>
      <c r="I71" s="635"/>
      <c r="K71" s="659"/>
      <c r="L71" s="659"/>
      <c r="M71" s="659"/>
      <c r="N71" s="659"/>
      <c r="O71" s="635"/>
      <c r="P71" s="635"/>
      <c r="R71" s="659"/>
      <c r="S71" s="659"/>
      <c r="T71" s="659"/>
      <c r="U71" s="659"/>
      <c r="V71" s="635"/>
      <c r="W71" s="635"/>
      <c r="X71" s="1177">
        <f>ROW()</f>
        <v>71</v>
      </c>
    </row>
    <row r="72" spans="2:24" ht="14.1" customHeight="1">
      <c r="B72" s="188" t="s">
        <v>1679</v>
      </c>
      <c r="D72" s="659">
        <f>SUM(D47:D70)</f>
        <v>46300.045454545456</v>
      </c>
      <c r="E72" s="659">
        <f>SUM(E47:E70)</f>
        <v>40292.636363636353</v>
      </c>
      <c r="F72" s="659">
        <f>SUM(F47:F70)</f>
        <v>37486.222222222219</v>
      </c>
      <c r="G72" s="659">
        <f>SUM(G47:G70)</f>
        <v>33736.777777777774</v>
      </c>
      <c r="H72" s="117">
        <f t="shared" si="6"/>
        <v>0.80963683413710452</v>
      </c>
      <c r="I72" s="117">
        <f t="shared" si="0"/>
        <v>0.83729387854662285</v>
      </c>
      <c r="K72" s="659">
        <f>SUM(K47:K70)</f>
        <v>47408.73684210526</v>
      </c>
      <c r="L72" s="659">
        <f>SUM(L47:L70)</f>
        <v>40069.473684210527</v>
      </c>
      <c r="M72" s="659">
        <f>SUM(M47:M70)</f>
        <v>38936.5</v>
      </c>
      <c r="N72" s="659">
        <f>SUM(N47:N70)</f>
        <v>34449</v>
      </c>
      <c r="O72" s="117">
        <f>M72/K72</f>
        <v>0.82129376552845024</v>
      </c>
      <c r="P72" s="117">
        <f>N72/L72</f>
        <v>0.8597317816424106</v>
      </c>
      <c r="R72" s="659">
        <f>SUM(R47:R70)</f>
        <v>46854.391148325361</v>
      </c>
      <c r="S72" s="659">
        <f>SUM(S47:S70)</f>
        <v>40181.055023923451</v>
      </c>
      <c r="T72" s="659">
        <f>SUM(T47:T70)</f>
        <v>38211.361111111117</v>
      </c>
      <c r="U72" s="659">
        <f>SUM(U47:U70)</f>
        <v>34092.888888888891</v>
      </c>
      <c r="V72" s="117">
        <f>T72/R72</f>
        <v>0.81553425782754707</v>
      </c>
      <c r="W72" s="117">
        <f>U72/S72</f>
        <v>0.84848167547094722</v>
      </c>
      <c r="X72" s="1177">
        <f>ROW()</f>
        <v>72</v>
      </c>
    </row>
    <row r="73" spans="2:24" ht="14.1" customHeight="1">
      <c r="X73" s="1177">
        <f>ROW()</f>
        <v>73</v>
      </c>
    </row>
    <row r="74" spans="2:24" ht="14.1" customHeight="1">
      <c r="X74" s="1177">
        <f>ROW()</f>
        <v>74</v>
      </c>
    </row>
    <row r="75" spans="2:24" ht="14.1" customHeight="1">
      <c r="B75" s="4909" t="s">
        <v>829</v>
      </c>
      <c r="C75" s="3781"/>
      <c r="D75" s="3781"/>
      <c r="E75" s="3781"/>
      <c r="F75" s="3781"/>
      <c r="G75" s="3781"/>
      <c r="H75" s="3781"/>
      <c r="I75" s="3781"/>
      <c r="K75" s="4148" t="s">
        <v>670</v>
      </c>
      <c r="L75" s="3779"/>
      <c r="M75" s="3779"/>
      <c r="N75" s="3779"/>
      <c r="O75" s="3779"/>
      <c r="P75" s="3779"/>
      <c r="X75" s="1177">
        <f>ROW()</f>
        <v>75</v>
      </c>
    </row>
    <row r="76" spans="2:24" ht="14.1" customHeight="1">
      <c r="B76" s="3781"/>
      <c r="C76" s="3781"/>
      <c r="D76" s="3781"/>
      <c r="E76" s="3781"/>
      <c r="F76" s="3781"/>
      <c r="G76" s="3781"/>
      <c r="H76" s="3781"/>
      <c r="I76" s="3781"/>
      <c r="K76" s="3779"/>
      <c r="L76" s="3779"/>
      <c r="M76" s="3779"/>
      <c r="N76" s="3779"/>
      <c r="O76" s="3779"/>
      <c r="P76" s="3779"/>
      <c r="X76" s="1177">
        <f>ROW()</f>
        <v>76</v>
      </c>
    </row>
    <row r="77" spans="2:24" ht="14.1" customHeight="1">
      <c r="B77" s="3781"/>
      <c r="C77" s="3781"/>
      <c r="D77" s="3781"/>
      <c r="E77" s="3781"/>
      <c r="F77" s="3781"/>
      <c r="G77" s="3781"/>
      <c r="H77" s="3781"/>
      <c r="I77" s="3781"/>
      <c r="X77" s="1177">
        <f>ROW()</f>
        <v>77</v>
      </c>
    </row>
    <row r="78" spans="2:24" ht="14.1" customHeight="1">
      <c r="X78" s="1177">
        <f>ROW()</f>
        <v>78</v>
      </c>
    </row>
    <row r="79" spans="2:24" ht="14.1" customHeight="1">
      <c r="X79" s="1177">
        <f>ROW()</f>
        <v>79</v>
      </c>
    </row>
    <row r="80" spans="2:24" ht="14.1" customHeight="1">
      <c r="B80" s="172" t="s">
        <v>102</v>
      </c>
      <c r="X80" s="1177">
        <f>ROW()</f>
        <v>80</v>
      </c>
    </row>
    <row r="81" spans="2:24" ht="14.1" customHeight="1">
      <c r="X81" s="1177">
        <f>ROW()</f>
        <v>81</v>
      </c>
    </row>
    <row r="82" spans="2:24" ht="14.1" customHeight="1">
      <c r="B82" s="658" t="s">
        <v>1680</v>
      </c>
      <c r="X82" s="1177">
        <f>ROW()</f>
        <v>82</v>
      </c>
    </row>
    <row r="83" spans="2:24" ht="14.1" customHeight="1">
      <c r="B83" s="657"/>
      <c r="X83" s="1177">
        <f>ROW()</f>
        <v>83</v>
      </c>
    </row>
    <row r="84" spans="2:24" ht="14.1" customHeight="1">
      <c r="B84" s="656">
        <v>0</v>
      </c>
      <c r="D84" s="659">
        <v>1193.090909090909</v>
      </c>
      <c r="E84" s="659">
        <v>1019.2727272727273</v>
      </c>
      <c r="F84" s="659">
        <v>1394.5555555555557</v>
      </c>
      <c r="G84" s="659">
        <v>1382.5555555555557</v>
      </c>
      <c r="H84" s="635">
        <f>F84/D84</f>
        <v>1.1688594263266621</v>
      </c>
      <c r="I84" s="635">
        <f t="shared" ref="I84:I107" si="10">G84/E84</f>
        <v>1.3564137630316726</v>
      </c>
      <c r="K84" s="659">
        <v>1255.421052631579</v>
      </c>
      <c r="L84" s="659">
        <v>988.26315789473688</v>
      </c>
      <c r="M84" s="659">
        <v>1684.8</v>
      </c>
      <c r="N84" s="659">
        <v>1371.5</v>
      </c>
      <c r="O84" s="635">
        <f>M84/K84</f>
        <v>1.3420198717142497</v>
      </c>
      <c r="P84" s="635">
        <f t="shared" ref="P84:P107" si="11">N84/L84</f>
        <v>1.3877882515843851</v>
      </c>
      <c r="R84" s="659">
        <f>AVERAGE(D84,K84)</f>
        <v>1224.2559808612441</v>
      </c>
      <c r="S84" s="659">
        <f t="shared" ref="S84:S107" si="12">AVERAGE(E84,L84)</f>
        <v>1003.7679425837321</v>
      </c>
      <c r="T84" s="659">
        <f t="shared" ref="T84:T107" si="13">AVERAGE(F84,M84)</f>
        <v>1539.6777777777779</v>
      </c>
      <c r="U84" s="659">
        <f t="shared" ref="U84:U107" si="14">AVERAGE(G84,N84)</f>
        <v>1377.0277777777778</v>
      </c>
      <c r="V84" s="635">
        <f>T84/R84</f>
        <v>1.257643664272434</v>
      </c>
      <c r="W84" s="635">
        <f t="shared" ref="W84:W107" si="15">U84/S84</f>
        <v>1.3718586929895993</v>
      </c>
      <c r="X84" s="1177">
        <f>ROW()</f>
        <v>84</v>
      </c>
    </row>
    <row r="85" spans="2:24" ht="14.1" customHeight="1">
      <c r="B85" s="656">
        <v>4.1666666666666664E-2</v>
      </c>
      <c r="D85" s="659">
        <v>730</v>
      </c>
      <c r="E85" s="659">
        <v>610.9545454545455</v>
      </c>
      <c r="F85" s="659">
        <v>969.77777777777783</v>
      </c>
      <c r="G85" s="659">
        <v>963.33333333333337</v>
      </c>
      <c r="H85" s="635">
        <f t="shared" ref="H85:H107" si="16">F85/D85</f>
        <v>1.3284627092846271</v>
      </c>
      <c r="I85" s="635">
        <f t="shared" si="10"/>
        <v>1.5767676016169432</v>
      </c>
      <c r="K85" s="659">
        <v>731.57894736842104</v>
      </c>
      <c r="L85" s="659">
        <v>581.68421052631584</v>
      </c>
      <c r="M85" s="659">
        <v>1075.0999999999999</v>
      </c>
      <c r="N85" s="659">
        <v>930.3</v>
      </c>
      <c r="O85" s="635">
        <f t="shared" ref="O85:O107" si="17">M85/K85</f>
        <v>1.4695611510791367</v>
      </c>
      <c r="P85" s="635">
        <f t="shared" si="11"/>
        <v>1.5993213897937022</v>
      </c>
      <c r="R85" s="659">
        <f t="shared" ref="R85:R107" si="18">AVERAGE(D85,K85)</f>
        <v>730.78947368421052</v>
      </c>
      <c r="S85" s="659">
        <f t="shared" si="12"/>
        <v>596.31937799043067</v>
      </c>
      <c r="T85" s="659">
        <f t="shared" si="13"/>
        <v>1022.4388888888889</v>
      </c>
      <c r="U85" s="659">
        <f t="shared" si="14"/>
        <v>946.81666666666661</v>
      </c>
      <c r="V85" s="635">
        <f t="shared" ref="V85:V107" si="19">T85/R85</f>
        <v>1.3990881446805106</v>
      </c>
      <c r="W85" s="635">
        <f t="shared" si="15"/>
        <v>1.587767732548615</v>
      </c>
      <c r="X85" s="1177">
        <f>ROW()</f>
        <v>85</v>
      </c>
    </row>
    <row r="86" spans="2:24" ht="14.1" customHeight="1">
      <c r="B86" s="656">
        <v>8.3333333333333329E-2</v>
      </c>
      <c r="D86" s="659">
        <v>348.5</v>
      </c>
      <c r="E86" s="659">
        <v>321.77272727272725</v>
      </c>
      <c r="F86" s="659">
        <v>564.66666666666663</v>
      </c>
      <c r="G86" s="659">
        <v>619.77777777777783</v>
      </c>
      <c r="H86" s="635">
        <f t="shared" si="16"/>
        <v>1.6202773792443805</v>
      </c>
      <c r="I86" s="635">
        <f t="shared" si="10"/>
        <v>1.9261352042818354</v>
      </c>
      <c r="K86" s="659">
        <v>276.63157894736844</v>
      </c>
      <c r="L86" s="659">
        <v>292.42105263157896</v>
      </c>
      <c r="M86" s="659">
        <v>564.79999999999995</v>
      </c>
      <c r="N86" s="659">
        <v>627.9</v>
      </c>
      <c r="O86" s="635">
        <f t="shared" si="17"/>
        <v>2.0417047184170469</v>
      </c>
      <c r="P86" s="635">
        <f t="shared" si="11"/>
        <v>2.1472462203023754</v>
      </c>
      <c r="R86" s="659">
        <f t="shared" si="18"/>
        <v>312.56578947368422</v>
      </c>
      <c r="S86" s="659">
        <f t="shared" si="12"/>
        <v>307.09688995215311</v>
      </c>
      <c r="T86" s="659">
        <f t="shared" si="13"/>
        <v>564.73333333333335</v>
      </c>
      <c r="U86" s="659">
        <f t="shared" si="14"/>
        <v>623.83888888888896</v>
      </c>
      <c r="V86" s="635">
        <f t="shared" si="19"/>
        <v>1.8067662948151266</v>
      </c>
      <c r="W86" s="635">
        <f t="shared" si="15"/>
        <v>2.0314073808630413</v>
      </c>
      <c r="X86" s="1177">
        <f>ROW()</f>
        <v>86</v>
      </c>
    </row>
    <row r="87" spans="2:24" ht="14.1" customHeight="1">
      <c r="B87" s="656">
        <v>0.125</v>
      </c>
      <c r="D87" s="659">
        <v>151.09090909090909</v>
      </c>
      <c r="E87" s="659">
        <v>194.31818181818181</v>
      </c>
      <c r="F87" s="659">
        <v>287</v>
      </c>
      <c r="G87" s="659">
        <v>390.55555555555554</v>
      </c>
      <c r="H87" s="635">
        <f t="shared" si="16"/>
        <v>1.8995186522262335</v>
      </c>
      <c r="I87" s="635">
        <f t="shared" si="10"/>
        <v>2.0098765432098764</v>
      </c>
      <c r="K87" s="659">
        <v>146.63157894736841</v>
      </c>
      <c r="L87" s="659">
        <v>176</v>
      </c>
      <c r="M87" s="659">
        <v>329.5</v>
      </c>
      <c r="N87" s="659">
        <v>423.1</v>
      </c>
      <c r="O87" s="635">
        <f t="shared" si="17"/>
        <v>2.2471284996410628</v>
      </c>
      <c r="P87" s="635">
        <f t="shared" si="11"/>
        <v>2.403977272727273</v>
      </c>
      <c r="R87" s="659">
        <f t="shared" si="18"/>
        <v>148.86124401913875</v>
      </c>
      <c r="S87" s="659">
        <f t="shared" si="12"/>
        <v>185.15909090909091</v>
      </c>
      <c r="T87" s="659">
        <f t="shared" si="13"/>
        <v>308.25</v>
      </c>
      <c r="U87" s="659">
        <f t="shared" si="14"/>
        <v>406.82777777777778</v>
      </c>
      <c r="V87" s="635">
        <f t="shared" si="19"/>
        <v>2.0707203008485471</v>
      </c>
      <c r="W87" s="635">
        <f t="shared" si="15"/>
        <v>2.1971796025803636</v>
      </c>
      <c r="X87" s="1177">
        <f>ROW()</f>
        <v>87</v>
      </c>
    </row>
    <row r="88" spans="2:24" ht="14.1" customHeight="1">
      <c r="B88" s="656">
        <v>0.16666666666666666</v>
      </c>
      <c r="D88" s="659">
        <v>149.59090909090909</v>
      </c>
      <c r="E88" s="659">
        <v>198.90909090909091</v>
      </c>
      <c r="F88" s="659">
        <v>268.55555555555554</v>
      </c>
      <c r="G88" s="659">
        <v>407.55555555555554</v>
      </c>
      <c r="H88" s="635">
        <f t="shared" si="16"/>
        <v>1.7952665518754851</v>
      </c>
      <c r="I88" s="635">
        <f t="shared" si="10"/>
        <v>2.0489538899045296</v>
      </c>
      <c r="K88" s="659">
        <v>134.21052631578948</v>
      </c>
      <c r="L88" s="659">
        <v>186.47368421052633</v>
      </c>
      <c r="M88" s="659">
        <v>264.39999999999998</v>
      </c>
      <c r="N88" s="659">
        <v>385.5</v>
      </c>
      <c r="O88" s="635">
        <f t="shared" si="17"/>
        <v>1.9700392156862743</v>
      </c>
      <c r="P88" s="635">
        <f t="shared" si="11"/>
        <v>2.0673158340389497</v>
      </c>
      <c r="R88" s="659">
        <f t="shared" si="18"/>
        <v>141.9007177033493</v>
      </c>
      <c r="S88" s="659">
        <f t="shared" si="12"/>
        <v>192.69138755980862</v>
      </c>
      <c r="T88" s="659">
        <f t="shared" si="13"/>
        <v>266.47777777777776</v>
      </c>
      <c r="U88" s="659">
        <f t="shared" si="14"/>
        <v>396.52777777777777</v>
      </c>
      <c r="V88" s="635">
        <f t="shared" si="19"/>
        <v>1.8779170541960413</v>
      </c>
      <c r="W88" s="635">
        <f t="shared" si="15"/>
        <v>2.0578386133355404</v>
      </c>
      <c r="X88" s="1177">
        <f>ROW()</f>
        <v>88</v>
      </c>
    </row>
    <row r="89" spans="2:24" ht="14.1" customHeight="1">
      <c r="B89" s="656">
        <v>0.20833333333333334</v>
      </c>
      <c r="D89" s="659">
        <v>301.18181818181819</v>
      </c>
      <c r="E89" s="659">
        <v>558.59090909090912</v>
      </c>
      <c r="F89" s="659">
        <v>339.88888888888891</v>
      </c>
      <c r="G89" s="659">
        <v>622</v>
      </c>
      <c r="H89" s="635">
        <f t="shared" si="16"/>
        <v>1.1285172887949828</v>
      </c>
      <c r="I89" s="635">
        <f t="shared" si="10"/>
        <v>1.1135161526568476</v>
      </c>
      <c r="K89" s="659">
        <v>313.15789473684208</v>
      </c>
      <c r="L89" s="659">
        <v>502.36842105263156</v>
      </c>
      <c r="M89" s="659">
        <v>335.2</v>
      </c>
      <c r="N89" s="659">
        <v>532.5</v>
      </c>
      <c r="O89" s="635">
        <f t="shared" si="17"/>
        <v>1.0703865546218487</v>
      </c>
      <c r="P89" s="635">
        <f t="shared" si="11"/>
        <v>1.0599790466212677</v>
      </c>
      <c r="R89" s="659">
        <f t="shared" si="18"/>
        <v>307.16985645933016</v>
      </c>
      <c r="S89" s="659">
        <f t="shared" si="12"/>
        <v>530.47966507177034</v>
      </c>
      <c r="T89" s="659">
        <f t="shared" si="13"/>
        <v>337.54444444444448</v>
      </c>
      <c r="U89" s="659">
        <f t="shared" si="14"/>
        <v>577.25</v>
      </c>
      <c r="V89" s="635">
        <f t="shared" si="19"/>
        <v>1.0988853149043809</v>
      </c>
      <c r="W89" s="635">
        <f t="shared" si="15"/>
        <v>1.0881661221112064</v>
      </c>
      <c r="X89" s="1177">
        <f>ROW()</f>
        <v>89</v>
      </c>
    </row>
    <row r="90" spans="2:24" ht="14.1" customHeight="1">
      <c r="B90" s="656">
        <v>0.25</v>
      </c>
      <c r="D90" s="659">
        <v>1001.2727272727273</v>
      </c>
      <c r="E90" s="659">
        <v>1123.3181818181818</v>
      </c>
      <c r="F90" s="659">
        <v>430.55555555555554</v>
      </c>
      <c r="G90" s="659">
        <v>772.88888888888891</v>
      </c>
      <c r="H90" s="635">
        <f t="shared" si="16"/>
        <v>0.43000827229990113</v>
      </c>
      <c r="I90" s="635">
        <f t="shared" si="10"/>
        <v>0.68804093212299422</v>
      </c>
      <c r="K90" s="659">
        <v>1105.2631578947369</v>
      </c>
      <c r="L90" s="659">
        <v>1119.2631578947369</v>
      </c>
      <c r="M90" s="659">
        <v>448.5</v>
      </c>
      <c r="N90" s="659">
        <v>651.6</v>
      </c>
      <c r="O90" s="635">
        <f t="shared" si="17"/>
        <v>0.40578571428571425</v>
      </c>
      <c r="P90" s="635">
        <f t="shared" si="11"/>
        <v>0.58216872002257125</v>
      </c>
      <c r="R90" s="659">
        <f t="shared" si="18"/>
        <v>1053.2679425837321</v>
      </c>
      <c r="S90" s="659">
        <f t="shared" si="12"/>
        <v>1121.2906698564593</v>
      </c>
      <c r="T90" s="659">
        <f t="shared" si="13"/>
        <v>439.52777777777777</v>
      </c>
      <c r="U90" s="659">
        <f t="shared" si="14"/>
        <v>712.24444444444453</v>
      </c>
      <c r="V90" s="635">
        <f t="shared" si="19"/>
        <v>0.41729911260717634</v>
      </c>
      <c r="W90" s="635">
        <f t="shared" si="15"/>
        <v>0.63520054486462607</v>
      </c>
      <c r="X90" s="1177">
        <f>ROW()</f>
        <v>90</v>
      </c>
    </row>
    <row r="91" spans="2:24" ht="14.1" customHeight="1">
      <c r="B91" s="656">
        <v>0.29166666666666669</v>
      </c>
      <c r="D91" s="659">
        <v>3085.818181818182</v>
      </c>
      <c r="E91" s="659">
        <v>1821.3181818181818</v>
      </c>
      <c r="F91" s="659">
        <v>833.77777777777783</v>
      </c>
      <c r="G91" s="659">
        <v>950</v>
      </c>
      <c r="H91" s="635">
        <f t="shared" si="16"/>
        <v>0.27019666378610524</v>
      </c>
      <c r="I91" s="635">
        <f t="shared" si="10"/>
        <v>0.52160023958671298</v>
      </c>
      <c r="K91" s="659">
        <v>3390.6842105263158</v>
      </c>
      <c r="L91" s="659">
        <v>1885.8947368421052</v>
      </c>
      <c r="M91" s="659">
        <v>882.6</v>
      </c>
      <c r="N91" s="659">
        <v>847</v>
      </c>
      <c r="O91" s="635">
        <f t="shared" si="17"/>
        <v>0.26030144513605391</v>
      </c>
      <c r="P91" s="635">
        <f t="shared" si="11"/>
        <v>0.44912368832328647</v>
      </c>
      <c r="R91" s="659">
        <f t="shared" si="18"/>
        <v>3238.2511961722489</v>
      </c>
      <c r="S91" s="659">
        <f t="shared" si="12"/>
        <v>1853.6064593301435</v>
      </c>
      <c r="T91" s="659">
        <f t="shared" si="13"/>
        <v>858.18888888888887</v>
      </c>
      <c r="U91" s="659">
        <f t="shared" si="14"/>
        <v>898.5</v>
      </c>
      <c r="V91" s="635">
        <f t="shared" si="19"/>
        <v>0.26501615745662499</v>
      </c>
      <c r="W91" s="635">
        <f t="shared" si="15"/>
        <v>0.48473072343775714</v>
      </c>
      <c r="X91" s="1177">
        <f>ROW()</f>
        <v>91</v>
      </c>
    </row>
    <row r="92" spans="2:24" ht="14.1" customHeight="1">
      <c r="B92" s="656">
        <v>0.33333333333333331</v>
      </c>
      <c r="D92" s="659">
        <v>4273.363636363636</v>
      </c>
      <c r="E92" s="659">
        <v>2383</v>
      </c>
      <c r="F92" s="659">
        <v>1217.2222222222222</v>
      </c>
      <c r="G92" s="659">
        <v>1162.1111111111111</v>
      </c>
      <c r="H92" s="635">
        <f t="shared" si="16"/>
        <v>0.28483937380484703</v>
      </c>
      <c r="I92" s="635">
        <f t="shared" si="10"/>
        <v>0.4876672728120483</v>
      </c>
      <c r="K92" s="659">
        <v>4252.2105263157891</v>
      </c>
      <c r="L92" s="659">
        <v>2302.5263157894738</v>
      </c>
      <c r="M92" s="659">
        <v>1224.3</v>
      </c>
      <c r="N92" s="659">
        <v>1114.2</v>
      </c>
      <c r="O92" s="635">
        <f t="shared" si="17"/>
        <v>0.28792083374591543</v>
      </c>
      <c r="P92" s="635">
        <f t="shared" si="11"/>
        <v>0.48390326414921825</v>
      </c>
      <c r="R92" s="659">
        <f t="shared" si="18"/>
        <v>4262.787081339713</v>
      </c>
      <c r="S92" s="659">
        <f t="shared" si="12"/>
        <v>2342.7631578947367</v>
      </c>
      <c r="T92" s="659">
        <f t="shared" si="13"/>
        <v>1220.7611111111109</v>
      </c>
      <c r="U92" s="659">
        <f t="shared" si="14"/>
        <v>1138.1555555555556</v>
      </c>
      <c r="V92" s="635">
        <f t="shared" si="19"/>
        <v>0.28637628101459128</v>
      </c>
      <c r="W92" s="635">
        <f t="shared" si="15"/>
        <v>0.48581759181253709</v>
      </c>
      <c r="X92" s="1177">
        <f>ROW()</f>
        <v>92</v>
      </c>
    </row>
    <row r="93" spans="2:24" ht="14.1" customHeight="1">
      <c r="B93" s="656">
        <v>0.375</v>
      </c>
      <c r="D93" s="659">
        <v>4078.5</v>
      </c>
      <c r="E93" s="659">
        <v>2408.6363636363635</v>
      </c>
      <c r="F93" s="659">
        <v>1496.7777777777778</v>
      </c>
      <c r="G93" s="659">
        <v>1348.3333333333333</v>
      </c>
      <c r="H93" s="635">
        <f t="shared" si="16"/>
        <v>0.36699222208600657</v>
      </c>
      <c r="I93" s="635">
        <f t="shared" si="10"/>
        <v>0.55979115556394288</v>
      </c>
      <c r="K93" s="659">
        <v>4088.5263157894738</v>
      </c>
      <c r="L93" s="659">
        <v>2347</v>
      </c>
      <c r="M93" s="659">
        <v>1578.8</v>
      </c>
      <c r="N93" s="659">
        <v>1469.5</v>
      </c>
      <c r="O93" s="635">
        <f t="shared" si="17"/>
        <v>0.38615380654463066</v>
      </c>
      <c r="P93" s="635">
        <f t="shared" si="11"/>
        <v>0.62611844908393699</v>
      </c>
      <c r="R93" s="659">
        <f t="shared" si="18"/>
        <v>4083.5131578947367</v>
      </c>
      <c r="S93" s="659">
        <f t="shared" si="12"/>
        <v>2377.818181818182</v>
      </c>
      <c r="T93" s="659">
        <f t="shared" si="13"/>
        <v>1537.7888888888888</v>
      </c>
      <c r="U93" s="659">
        <f t="shared" si="14"/>
        <v>1408.9166666666665</v>
      </c>
      <c r="V93" s="635">
        <f t="shared" si="19"/>
        <v>0.37658477625224523</v>
      </c>
      <c r="W93" s="635">
        <f t="shared" si="15"/>
        <v>0.59252497833511741</v>
      </c>
      <c r="X93" s="1177">
        <f>ROW()</f>
        <v>93</v>
      </c>
    </row>
    <row r="94" spans="2:24" ht="14.1" customHeight="1">
      <c r="B94" s="656">
        <v>0.41666666666666669</v>
      </c>
      <c r="D94" s="659">
        <v>3687.409090909091</v>
      </c>
      <c r="E94" s="659">
        <v>2184.0454545454545</v>
      </c>
      <c r="F94" s="659">
        <v>1769</v>
      </c>
      <c r="G94" s="659">
        <v>1595.7777777777778</v>
      </c>
      <c r="H94" s="635">
        <f t="shared" si="16"/>
        <v>0.47974064075539613</v>
      </c>
      <c r="I94" s="635">
        <f t="shared" si="10"/>
        <v>0.73065227395182242</v>
      </c>
      <c r="K94" s="659">
        <v>3595.8947368421054</v>
      </c>
      <c r="L94" s="659">
        <v>2221.3157894736842</v>
      </c>
      <c r="M94" s="659">
        <v>1914.5</v>
      </c>
      <c r="N94" s="659">
        <v>1813.2</v>
      </c>
      <c r="O94" s="635">
        <f t="shared" si="17"/>
        <v>0.53241269283686077</v>
      </c>
      <c r="P94" s="635">
        <f t="shared" si="11"/>
        <v>0.81627295344153539</v>
      </c>
      <c r="R94" s="659">
        <f t="shared" si="18"/>
        <v>3641.6519138755984</v>
      </c>
      <c r="S94" s="659">
        <f t="shared" si="12"/>
        <v>2202.6806220095696</v>
      </c>
      <c r="T94" s="659">
        <f t="shared" si="13"/>
        <v>1841.75</v>
      </c>
      <c r="U94" s="659">
        <f t="shared" si="14"/>
        <v>1704.4888888888891</v>
      </c>
      <c r="V94" s="635">
        <f t="shared" si="19"/>
        <v>0.50574575592534665</v>
      </c>
      <c r="W94" s="635">
        <f t="shared" si="15"/>
        <v>0.77382479868272247</v>
      </c>
      <c r="X94" s="1177">
        <f>ROW()</f>
        <v>94</v>
      </c>
    </row>
    <row r="95" spans="2:24" ht="14.1" customHeight="1">
      <c r="B95" s="656">
        <v>0.45833333333333331</v>
      </c>
      <c r="D95" s="659">
        <v>3032.318181818182</v>
      </c>
      <c r="E95" s="659">
        <v>1987.9545454545455</v>
      </c>
      <c r="F95" s="659">
        <v>2141.8888888888887</v>
      </c>
      <c r="G95" s="659">
        <v>1831</v>
      </c>
      <c r="H95" s="635">
        <f t="shared" si="16"/>
        <v>0.70635360818389092</v>
      </c>
      <c r="I95" s="635">
        <f t="shared" si="10"/>
        <v>0.92104721618840746</v>
      </c>
      <c r="K95" s="659">
        <v>2893.4210526315787</v>
      </c>
      <c r="L95" s="659">
        <v>2137.0526315789475</v>
      </c>
      <c r="M95" s="659">
        <v>2389</v>
      </c>
      <c r="N95" s="659">
        <v>2263.8000000000002</v>
      </c>
      <c r="O95" s="635">
        <f t="shared" si="17"/>
        <v>0.82566621191450662</v>
      </c>
      <c r="P95" s="635">
        <f t="shared" si="11"/>
        <v>1.0593094276425967</v>
      </c>
      <c r="R95" s="659">
        <f t="shared" si="18"/>
        <v>2962.8696172248801</v>
      </c>
      <c r="S95" s="659">
        <f t="shared" si="12"/>
        <v>2062.5035885167463</v>
      </c>
      <c r="T95" s="659">
        <f t="shared" si="13"/>
        <v>2265.4444444444443</v>
      </c>
      <c r="U95" s="659">
        <f t="shared" si="14"/>
        <v>2047.4</v>
      </c>
      <c r="V95" s="635">
        <f t="shared" si="19"/>
        <v>0.76461158846616184</v>
      </c>
      <c r="W95" s="635">
        <f t="shared" si="15"/>
        <v>0.9926770607329668</v>
      </c>
      <c r="X95" s="1177">
        <f>ROW()</f>
        <v>95</v>
      </c>
    </row>
    <row r="96" spans="2:24" ht="14.1" customHeight="1">
      <c r="B96" s="656">
        <v>0.5</v>
      </c>
      <c r="D96" s="659">
        <v>2668.8636363636365</v>
      </c>
      <c r="E96" s="659">
        <v>2017.8636363636363</v>
      </c>
      <c r="F96" s="659">
        <v>2300.3333333333335</v>
      </c>
      <c r="G96" s="659">
        <v>2088.4444444444443</v>
      </c>
      <c r="H96" s="635">
        <f t="shared" si="16"/>
        <v>0.86191489965653301</v>
      </c>
      <c r="I96" s="635">
        <f t="shared" si="10"/>
        <v>1.0349779870199756</v>
      </c>
      <c r="K96" s="659">
        <v>2760.4210526315787</v>
      </c>
      <c r="L96" s="659">
        <v>2173.2105263157896</v>
      </c>
      <c r="M96" s="659">
        <v>2585.8000000000002</v>
      </c>
      <c r="N96" s="659">
        <v>2585.6999999999998</v>
      </c>
      <c r="O96" s="635">
        <f t="shared" si="17"/>
        <v>0.93674115314216</v>
      </c>
      <c r="P96" s="635">
        <f t="shared" si="11"/>
        <v>1.1898064953621854</v>
      </c>
      <c r="R96" s="659">
        <f t="shared" si="18"/>
        <v>2714.6423444976076</v>
      </c>
      <c r="S96" s="659">
        <f t="shared" si="12"/>
        <v>2095.537081339713</v>
      </c>
      <c r="T96" s="659">
        <f t="shared" si="13"/>
        <v>2443.0666666666666</v>
      </c>
      <c r="U96" s="659">
        <f t="shared" si="14"/>
        <v>2337.0722222222221</v>
      </c>
      <c r="V96" s="635">
        <f t="shared" si="19"/>
        <v>0.89995894730611337</v>
      </c>
      <c r="W96" s="635">
        <f t="shared" si="15"/>
        <v>1.1152616878189965</v>
      </c>
      <c r="X96" s="1177">
        <f>ROW()</f>
        <v>96</v>
      </c>
    </row>
    <row r="97" spans="2:24" ht="14.1" customHeight="1">
      <c r="B97" s="656">
        <v>0.54166666666666663</v>
      </c>
      <c r="D97" s="659">
        <v>2462.9545454545455</v>
      </c>
      <c r="E97" s="659">
        <v>2154.4545454545455</v>
      </c>
      <c r="F97" s="659">
        <v>2575.2222222222222</v>
      </c>
      <c r="G97" s="659">
        <v>2274</v>
      </c>
      <c r="H97" s="635">
        <f t="shared" si="16"/>
        <v>1.045582520787836</v>
      </c>
      <c r="I97" s="635">
        <f t="shared" si="10"/>
        <v>1.0554875733153297</v>
      </c>
      <c r="K97" s="659">
        <v>2599.8947368421054</v>
      </c>
      <c r="L97" s="659">
        <v>2261.3157894736842</v>
      </c>
      <c r="M97" s="659">
        <v>2641.5</v>
      </c>
      <c r="N97" s="659">
        <v>2597.6</v>
      </c>
      <c r="O97" s="635">
        <f t="shared" si="17"/>
        <v>1.0160026721729625</v>
      </c>
      <c r="P97" s="635">
        <f t="shared" si="11"/>
        <v>1.1487117421156756</v>
      </c>
      <c r="R97" s="659">
        <f t="shared" si="18"/>
        <v>2531.4246411483255</v>
      </c>
      <c r="S97" s="659">
        <f t="shared" si="12"/>
        <v>2207.8851674641146</v>
      </c>
      <c r="T97" s="659">
        <f t="shared" si="13"/>
        <v>2608.3611111111113</v>
      </c>
      <c r="U97" s="659">
        <f t="shared" si="14"/>
        <v>2435.8000000000002</v>
      </c>
      <c r="V97" s="635">
        <f t="shared" si="19"/>
        <v>1.0303925578949431</v>
      </c>
      <c r="W97" s="635">
        <f t="shared" si="15"/>
        <v>1.1032276659558609</v>
      </c>
      <c r="X97" s="1177">
        <f>ROW()</f>
        <v>97</v>
      </c>
    </row>
    <row r="98" spans="2:24" ht="14.1" customHeight="1">
      <c r="B98" s="656">
        <v>0.58333333333333337</v>
      </c>
      <c r="D98" s="659">
        <v>2549.3636363636365</v>
      </c>
      <c r="E98" s="659">
        <v>2308.5</v>
      </c>
      <c r="F98" s="659">
        <v>2592.4444444444443</v>
      </c>
      <c r="G98" s="659">
        <v>2300.8888888888887</v>
      </c>
      <c r="H98" s="635">
        <f t="shared" si="16"/>
        <v>1.0168986516738183</v>
      </c>
      <c r="I98" s="635">
        <f t="shared" si="10"/>
        <v>0.99670300579982185</v>
      </c>
      <c r="K98" s="659">
        <v>2594.1052631578946</v>
      </c>
      <c r="L98" s="659">
        <v>2432.7368421052633</v>
      </c>
      <c r="M98" s="659">
        <v>2870.9</v>
      </c>
      <c r="N98" s="659">
        <v>2544.6</v>
      </c>
      <c r="O98" s="635">
        <f t="shared" si="17"/>
        <v>1.1067014283395553</v>
      </c>
      <c r="P98" s="635">
        <f t="shared" si="11"/>
        <v>1.0459824326078491</v>
      </c>
      <c r="R98" s="659">
        <f t="shared" si="18"/>
        <v>2571.7344497607655</v>
      </c>
      <c r="S98" s="659">
        <f t="shared" si="12"/>
        <v>2370.6184210526317</v>
      </c>
      <c r="T98" s="659">
        <f t="shared" si="13"/>
        <v>2731.6722222222224</v>
      </c>
      <c r="U98" s="659">
        <f t="shared" si="14"/>
        <v>2422.7444444444445</v>
      </c>
      <c r="V98" s="635">
        <f t="shared" si="19"/>
        <v>1.0621906248821045</v>
      </c>
      <c r="W98" s="635">
        <f t="shared" si="15"/>
        <v>1.0219883651155748</v>
      </c>
      <c r="X98" s="1177">
        <f>ROW()</f>
        <v>98</v>
      </c>
    </row>
    <row r="99" spans="2:24" ht="14.1" customHeight="1">
      <c r="B99" s="656">
        <v>0.625</v>
      </c>
      <c r="D99" s="659">
        <v>2850.181818181818</v>
      </c>
      <c r="E99" s="659">
        <v>2636.0454545454545</v>
      </c>
      <c r="F99" s="659">
        <v>2806.8888888888887</v>
      </c>
      <c r="G99" s="659">
        <v>2492.4444444444443</v>
      </c>
      <c r="H99" s="635">
        <f t="shared" si="16"/>
        <v>0.98481046752289414</v>
      </c>
      <c r="I99" s="635">
        <f t="shared" si="10"/>
        <v>0.94552407666059313</v>
      </c>
      <c r="K99" s="659">
        <v>2718.5789473684213</v>
      </c>
      <c r="L99" s="659">
        <v>2762.5263157894738</v>
      </c>
      <c r="M99" s="659">
        <v>2955.1</v>
      </c>
      <c r="N99" s="659">
        <v>2636.1</v>
      </c>
      <c r="O99" s="635">
        <f t="shared" si="17"/>
        <v>1.087001723036416</v>
      </c>
      <c r="P99" s="635">
        <f t="shared" si="11"/>
        <v>0.95423525377229079</v>
      </c>
      <c r="R99" s="659">
        <f t="shared" si="18"/>
        <v>2784.3803827751199</v>
      </c>
      <c r="S99" s="659">
        <f t="shared" si="12"/>
        <v>2699.2858851674641</v>
      </c>
      <c r="T99" s="659">
        <f t="shared" si="13"/>
        <v>2880.9944444444445</v>
      </c>
      <c r="U99" s="659">
        <f t="shared" si="14"/>
        <v>2564.2722222222219</v>
      </c>
      <c r="V99" s="635">
        <f t="shared" si="19"/>
        <v>1.0346985858207463</v>
      </c>
      <c r="W99" s="635">
        <f t="shared" si="15"/>
        <v>0.94998171046381552</v>
      </c>
      <c r="X99" s="1177">
        <f>ROW()</f>
        <v>99</v>
      </c>
    </row>
    <row r="100" spans="2:24" ht="14.1" customHeight="1">
      <c r="B100" s="656">
        <v>0.66666666666666663</v>
      </c>
      <c r="D100" s="659">
        <v>3186.4545454545455</v>
      </c>
      <c r="E100" s="659">
        <v>3048.5454545454545</v>
      </c>
      <c r="F100" s="659">
        <v>2942.1111111111113</v>
      </c>
      <c r="G100" s="659">
        <v>2740.4444444444443</v>
      </c>
      <c r="H100" s="635">
        <f t="shared" si="16"/>
        <v>0.92331808571002894</v>
      </c>
      <c r="I100" s="635">
        <f t="shared" si="10"/>
        <v>0.89893507750011592</v>
      </c>
      <c r="K100" s="659">
        <v>3236.1052631578946</v>
      </c>
      <c r="L100" s="659">
        <v>3135.2105263157896</v>
      </c>
      <c r="M100" s="659">
        <v>3068.3</v>
      </c>
      <c r="N100" s="659">
        <v>2695.5</v>
      </c>
      <c r="O100" s="635">
        <f t="shared" si="17"/>
        <v>0.94814591939628545</v>
      </c>
      <c r="P100" s="635">
        <f t="shared" si="11"/>
        <v>0.85975087713407983</v>
      </c>
      <c r="R100" s="659">
        <f t="shared" si="18"/>
        <v>3211.27990430622</v>
      </c>
      <c r="S100" s="659">
        <f t="shared" si="12"/>
        <v>3091.877990430622</v>
      </c>
      <c r="T100" s="659">
        <f t="shared" si="13"/>
        <v>3005.2055555555557</v>
      </c>
      <c r="U100" s="659">
        <f t="shared" si="14"/>
        <v>2717.9722222222222</v>
      </c>
      <c r="V100" s="635">
        <f t="shared" si="19"/>
        <v>0.93582797050038358</v>
      </c>
      <c r="W100" s="635">
        <f t="shared" si="15"/>
        <v>0.87906839488309685</v>
      </c>
      <c r="X100" s="1177">
        <f>ROW()</f>
        <v>100</v>
      </c>
    </row>
    <row r="101" spans="2:24" ht="14.1" customHeight="1">
      <c r="B101" s="656">
        <v>0.70833333333333337</v>
      </c>
      <c r="D101" s="659">
        <v>3197.7727272727275</v>
      </c>
      <c r="E101" s="659">
        <v>3146.181818181818</v>
      </c>
      <c r="F101" s="659">
        <v>2929.2222222222222</v>
      </c>
      <c r="G101" s="659">
        <v>2695.3333333333335</v>
      </c>
      <c r="H101" s="635">
        <f t="shared" si="16"/>
        <v>0.91601951484540212</v>
      </c>
      <c r="I101" s="635">
        <f t="shared" si="10"/>
        <v>0.85669979966096477</v>
      </c>
      <c r="K101" s="659">
        <v>3205.3157894736842</v>
      </c>
      <c r="L101" s="659">
        <v>3307.1578947368421</v>
      </c>
      <c r="M101" s="659">
        <v>3185.7</v>
      </c>
      <c r="N101" s="659">
        <v>2672.3</v>
      </c>
      <c r="O101" s="635">
        <f t="shared" si="17"/>
        <v>0.99388023185169372</v>
      </c>
      <c r="P101" s="635">
        <f t="shared" si="11"/>
        <v>0.80803520275001595</v>
      </c>
      <c r="R101" s="659">
        <f t="shared" si="18"/>
        <v>3201.5442583732056</v>
      </c>
      <c r="S101" s="659">
        <f t="shared" si="12"/>
        <v>3226.6698564593298</v>
      </c>
      <c r="T101" s="659">
        <f t="shared" si="13"/>
        <v>3057.4611111111108</v>
      </c>
      <c r="U101" s="659">
        <f t="shared" si="14"/>
        <v>2683.8166666666666</v>
      </c>
      <c r="V101" s="635">
        <f t="shared" si="19"/>
        <v>0.95499573467233356</v>
      </c>
      <c r="W101" s="635">
        <f t="shared" si="15"/>
        <v>0.83176054138109323</v>
      </c>
      <c r="X101" s="1177">
        <f>ROW()</f>
        <v>101</v>
      </c>
    </row>
    <row r="102" spans="2:24" ht="14.1" customHeight="1">
      <c r="B102" s="656">
        <v>0.75</v>
      </c>
      <c r="D102" s="659">
        <v>3299.909090909091</v>
      </c>
      <c r="E102" s="659">
        <v>3003.681818181818</v>
      </c>
      <c r="F102" s="659">
        <v>3132.2222222222222</v>
      </c>
      <c r="G102" s="659">
        <v>2578.5555555555557</v>
      </c>
      <c r="H102" s="635">
        <f t="shared" si="16"/>
        <v>0.94918439748875849</v>
      </c>
      <c r="I102" s="635">
        <f t="shared" si="10"/>
        <v>0.85846494790064054</v>
      </c>
      <c r="K102" s="659">
        <v>3174.3157894736842</v>
      </c>
      <c r="L102" s="659">
        <v>3177.5789473684213</v>
      </c>
      <c r="M102" s="659">
        <v>3314.8</v>
      </c>
      <c r="N102" s="659">
        <v>2540.3000000000002</v>
      </c>
      <c r="O102" s="635">
        <f t="shared" si="17"/>
        <v>1.0442565326966442</v>
      </c>
      <c r="P102" s="635">
        <f t="shared" si="11"/>
        <v>0.7994451253850996</v>
      </c>
      <c r="R102" s="659">
        <f t="shared" si="18"/>
        <v>3237.1124401913876</v>
      </c>
      <c r="S102" s="659">
        <f t="shared" si="12"/>
        <v>3090.6303827751199</v>
      </c>
      <c r="T102" s="659">
        <f t="shared" si="13"/>
        <v>3223.5111111111109</v>
      </c>
      <c r="U102" s="659">
        <f t="shared" si="14"/>
        <v>2559.4277777777779</v>
      </c>
      <c r="V102" s="635">
        <f t="shared" si="19"/>
        <v>0.99579831429041354</v>
      </c>
      <c r="W102" s="635">
        <f t="shared" si="15"/>
        <v>0.82812483564586981</v>
      </c>
      <c r="X102" s="1177">
        <f>ROW()</f>
        <v>102</v>
      </c>
    </row>
    <row r="103" spans="2:24" ht="14.1" customHeight="1">
      <c r="B103" s="656">
        <v>0.79166666666666663</v>
      </c>
      <c r="D103" s="659">
        <v>3126.8636363636365</v>
      </c>
      <c r="E103" s="659">
        <v>2775.4545454545455</v>
      </c>
      <c r="F103" s="659">
        <v>2937.2222222222222</v>
      </c>
      <c r="G103" s="659">
        <v>2383</v>
      </c>
      <c r="H103" s="635">
        <f t="shared" si="16"/>
        <v>0.93935091638279555</v>
      </c>
      <c r="I103" s="635">
        <f t="shared" si="10"/>
        <v>0.85859810022928262</v>
      </c>
      <c r="K103" s="659">
        <v>3130.3684210526317</v>
      </c>
      <c r="L103" s="659">
        <v>2972.3684210526317</v>
      </c>
      <c r="M103" s="659">
        <v>3221.3</v>
      </c>
      <c r="N103" s="659">
        <v>2386.4</v>
      </c>
      <c r="O103" s="635">
        <f t="shared" si="17"/>
        <v>1.0290482035072381</v>
      </c>
      <c r="P103" s="635">
        <f t="shared" si="11"/>
        <v>0.80286144311642316</v>
      </c>
      <c r="R103" s="659">
        <f t="shared" si="18"/>
        <v>3128.6160287081339</v>
      </c>
      <c r="S103" s="659">
        <f t="shared" si="12"/>
        <v>2873.9114832535888</v>
      </c>
      <c r="T103" s="659">
        <f t="shared" si="13"/>
        <v>3079.2611111111109</v>
      </c>
      <c r="U103" s="659">
        <f t="shared" si="14"/>
        <v>2384.6999999999998</v>
      </c>
      <c r="V103" s="635">
        <f t="shared" si="19"/>
        <v>0.98422468045163003</v>
      </c>
      <c r="W103" s="635">
        <f t="shared" si="15"/>
        <v>0.82977503444199785</v>
      </c>
      <c r="X103" s="1177">
        <f>ROW()</f>
        <v>103</v>
      </c>
    </row>
    <row r="104" spans="2:24" ht="14.1" customHeight="1">
      <c r="B104" s="656">
        <v>0.83333333333333337</v>
      </c>
      <c r="D104" s="659">
        <v>2508.0454545454545</v>
      </c>
      <c r="E104" s="659">
        <v>2449.5</v>
      </c>
      <c r="F104" s="659">
        <v>2603.6666666666665</v>
      </c>
      <c r="G104" s="659">
        <v>2132.5555555555557</v>
      </c>
      <c r="H104" s="635">
        <f t="shared" si="16"/>
        <v>1.0381257891271121</v>
      </c>
      <c r="I104" s="635">
        <f t="shared" si="10"/>
        <v>0.87060851420924912</v>
      </c>
      <c r="K104" s="659">
        <v>2615.2105263157896</v>
      </c>
      <c r="L104" s="659">
        <v>2459.1578947368421</v>
      </c>
      <c r="M104" s="659">
        <v>2983</v>
      </c>
      <c r="N104" s="659">
        <v>2138.6</v>
      </c>
      <c r="O104" s="635">
        <f t="shared" si="17"/>
        <v>1.1406347481333896</v>
      </c>
      <c r="P104" s="635">
        <f t="shared" si="11"/>
        <v>0.86964729047170619</v>
      </c>
      <c r="R104" s="659">
        <f t="shared" si="18"/>
        <v>2561.627990430622</v>
      </c>
      <c r="S104" s="659">
        <f t="shared" si="12"/>
        <v>2454.3289473684208</v>
      </c>
      <c r="T104" s="659">
        <f t="shared" si="13"/>
        <v>2793.333333333333</v>
      </c>
      <c r="U104" s="659">
        <f t="shared" si="14"/>
        <v>2135.5777777777776</v>
      </c>
      <c r="V104" s="635">
        <f t="shared" si="19"/>
        <v>1.0904523778504467</v>
      </c>
      <c r="W104" s="635">
        <f t="shared" si="15"/>
        <v>0.87012695672582341</v>
      </c>
      <c r="X104" s="1177">
        <f>ROW()</f>
        <v>104</v>
      </c>
    </row>
    <row r="105" spans="2:24" ht="14.1" customHeight="1">
      <c r="B105" s="656">
        <v>0.875</v>
      </c>
      <c r="D105" s="659">
        <v>1986.2727272727273</v>
      </c>
      <c r="E105" s="659">
        <v>2077.2272727272725</v>
      </c>
      <c r="F105" s="659">
        <v>2223.7777777777778</v>
      </c>
      <c r="G105" s="659">
        <v>1919.2222222222222</v>
      </c>
      <c r="H105" s="635">
        <f t="shared" si="16"/>
        <v>1.1195732324388099</v>
      </c>
      <c r="I105" s="635">
        <f t="shared" si="10"/>
        <v>0.92393463508805207</v>
      </c>
      <c r="K105" s="659">
        <v>2112.5789473684213</v>
      </c>
      <c r="L105" s="659">
        <v>2050.2105263157896</v>
      </c>
      <c r="M105" s="659">
        <v>2770.8</v>
      </c>
      <c r="N105" s="659">
        <v>2042.7</v>
      </c>
      <c r="O105" s="635">
        <f t="shared" si="17"/>
        <v>1.3115722863050898</v>
      </c>
      <c r="P105" s="635">
        <f t="shared" si="11"/>
        <v>0.99633670483133951</v>
      </c>
      <c r="R105" s="659">
        <f t="shared" si="18"/>
        <v>2049.4258373205744</v>
      </c>
      <c r="S105" s="659">
        <f t="shared" si="12"/>
        <v>2063.7188995215311</v>
      </c>
      <c r="T105" s="659">
        <f t="shared" si="13"/>
        <v>2497.2888888888892</v>
      </c>
      <c r="U105" s="659">
        <f t="shared" si="14"/>
        <v>1980.9611111111112</v>
      </c>
      <c r="V105" s="635">
        <f t="shared" si="19"/>
        <v>1.2185309872709775</v>
      </c>
      <c r="W105" s="635">
        <f t="shared" si="15"/>
        <v>0.95989871080329447</v>
      </c>
      <c r="X105" s="1177">
        <f>ROW()</f>
        <v>105</v>
      </c>
    </row>
    <row r="106" spans="2:24" ht="14.1" customHeight="1">
      <c r="B106" s="656">
        <v>0.91666666666666663</v>
      </c>
      <c r="D106" s="659">
        <v>1679.1363636363637</v>
      </c>
      <c r="E106" s="659">
        <v>1740.6363636363637</v>
      </c>
      <c r="F106" s="659">
        <v>2007.8888888888889</v>
      </c>
      <c r="G106" s="659">
        <v>1626</v>
      </c>
      <c r="H106" s="635">
        <f t="shared" si="16"/>
        <v>1.1957866748478805</v>
      </c>
      <c r="I106" s="635">
        <f t="shared" si="10"/>
        <v>0.93414111871311423</v>
      </c>
      <c r="K106" s="659">
        <v>1857.8421052631579</v>
      </c>
      <c r="L106" s="659">
        <v>1789.5263157894738</v>
      </c>
      <c r="M106" s="659">
        <v>2516.4</v>
      </c>
      <c r="N106" s="659">
        <v>1889.2</v>
      </c>
      <c r="O106" s="635">
        <f t="shared" si="17"/>
        <v>1.3544746310093772</v>
      </c>
      <c r="P106" s="635">
        <f t="shared" si="11"/>
        <v>1.0556983618128879</v>
      </c>
      <c r="R106" s="659">
        <f t="shared" si="18"/>
        <v>1768.4892344497607</v>
      </c>
      <c r="S106" s="659">
        <f t="shared" si="12"/>
        <v>1765.0813397129186</v>
      </c>
      <c r="T106" s="659">
        <f t="shared" si="13"/>
        <v>2262.1444444444446</v>
      </c>
      <c r="U106" s="659">
        <f t="shared" si="14"/>
        <v>1757.6</v>
      </c>
      <c r="V106" s="635">
        <f t="shared" si="19"/>
        <v>1.2791395052785139</v>
      </c>
      <c r="W106" s="635">
        <f t="shared" si="15"/>
        <v>0.99576147594754161</v>
      </c>
      <c r="X106" s="1177">
        <f>ROW()</f>
        <v>106</v>
      </c>
    </row>
    <row r="107" spans="2:24" ht="14.1" customHeight="1">
      <c r="B107" s="656">
        <v>0.95833333333333337</v>
      </c>
      <c r="D107" s="659">
        <v>1552.5</v>
      </c>
      <c r="E107" s="659">
        <v>1453</v>
      </c>
      <c r="F107" s="659">
        <v>1762</v>
      </c>
      <c r="G107" s="659">
        <v>1442.2222222222222</v>
      </c>
      <c r="H107" s="635">
        <f t="shared" si="16"/>
        <v>1.1349436392914654</v>
      </c>
      <c r="I107" s="635">
        <f t="shared" si="10"/>
        <v>0.99258239657413772</v>
      </c>
      <c r="K107" s="659">
        <v>1789.8947368421052</v>
      </c>
      <c r="L107" s="659">
        <v>1501.6315789473683</v>
      </c>
      <c r="M107" s="659">
        <v>2130.1999999999998</v>
      </c>
      <c r="N107" s="659">
        <v>1569.1</v>
      </c>
      <c r="O107" s="635">
        <f t="shared" si="17"/>
        <v>1.1901258527405316</v>
      </c>
      <c r="P107" s="635">
        <f t="shared" si="11"/>
        <v>1.0449300760576214</v>
      </c>
      <c r="R107" s="659">
        <f t="shared" si="18"/>
        <v>1671.1973684210525</v>
      </c>
      <c r="S107" s="659">
        <f t="shared" si="12"/>
        <v>1477.3157894736842</v>
      </c>
      <c r="T107" s="659">
        <f t="shared" si="13"/>
        <v>1946.1</v>
      </c>
      <c r="U107" s="659">
        <f t="shared" si="14"/>
        <v>1505.661111111111</v>
      </c>
      <c r="V107" s="635">
        <f t="shared" si="19"/>
        <v>1.1644944138696649</v>
      </c>
      <c r="W107" s="635">
        <f t="shared" si="15"/>
        <v>1.0191870430407606</v>
      </c>
      <c r="X107" s="1177">
        <f>ROW()</f>
        <v>107</v>
      </c>
    </row>
    <row r="108" spans="2:24" ht="14.1" customHeight="1">
      <c r="B108" s="139"/>
      <c r="D108" s="659"/>
      <c r="E108" s="659"/>
      <c r="F108" s="659"/>
      <c r="G108" s="659"/>
      <c r="H108" s="635"/>
      <c r="I108" s="635"/>
      <c r="K108" s="659"/>
      <c r="L108" s="659"/>
      <c r="M108" s="659"/>
      <c r="N108" s="659"/>
      <c r="O108" s="635"/>
      <c r="P108" s="635"/>
      <c r="R108" s="659"/>
      <c r="S108" s="659"/>
      <c r="T108" s="659"/>
      <c r="U108" s="659"/>
      <c r="V108" s="635"/>
      <c r="W108" s="635"/>
      <c r="X108" s="1177">
        <f>ROW()</f>
        <v>108</v>
      </c>
    </row>
    <row r="109" spans="2:24" ht="14.1" customHeight="1">
      <c r="B109" s="188" t="s">
        <v>1679</v>
      </c>
      <c r="D109" s="659">
        <f>SUM(D84:D107)</f>
        <v>53100.454545454537</v>
      </c>
      <c r="E109" s="659">
        <f>SUM(E84:E107)</f>
        <v>43623.181818181816</v>
      </c>
      <c r="F109" s="659">
        <f>SUM(F84:F107)</f>
        <v>42526.666666666664</v>
      </c>
      <c r="G109" s="659">
        <f>SUM(G84:G107)</f>
        <v>38718.999999999993</v>
      </c>
      <c r="H109" s="117">
        <f>F109/D109</f>
        <v>0.80087198933981629</v>
      </c>
      <c r="I109" s="117">
        <f>G109/E109</f>
        <v>0.88757853935042863</v>
      </c>
      <c r="K109" s="659">
        <f>SUM(K84:K107)</f>
        <v>53978.263157894748</v>
      </c>
      <c r="L109" s="659">
        <f>SUM(L84:L107)</f>
        <v>44762.8947368421</v>
      </c>
      <c r="M109" s="659">
        <f>SUM(M84:M107)</f>
        <v>46935.3</v>
      </c>
      <c r="N109" s="659">
        <f>SUM(N84:N107)</f>
        <v>40728.19999999999</v>
      </c>
      <c r="O109" s="117">
        <f>M109/K109</f>
        <v>0.86952223458370659</v>
      </c>
      <c r="P109" s="117">
        <f>N109/L109</f>
        <v>0.90986519615047701</v>
      </c>
      <c r="R109" s="659">
        <f>SUM(R84:R107)</f>
        <v>53539.358851674646</v>
      </c>
      <c r="S109" s="659">
        <f>SUM(S84:S107)</f>
        <v>44193.038277511965</v>
      </c>
      <c r="T109" s="659">
        <f>SUM(T84:T107)</f>
        <v>44730.983333333337</v>
      </c>
      <c r="U109" s="659">
        <f>SUM(U84:U107)</f>
        <v>39723.599999999999</v>
      </c>
      <c r="V109" s="117">
        <f>T109/R109</f>
        <v>0.83547850203540874</v>
      </c>
      <c r="W109" s="117">
        <f>U109/S109</f>
        <v>0.89886555775038712</v>
      </c>
      <c r="X109" s="1177">
        <f>ROW()</f>
        <v>109</v>
      </c>
    </row>
    <row r="110" spans="2:24" ht="14.1" customHeight="1">
      <c r="X110" s="1177">
        <f>ROW()</f>
        <v>110</v>
      </c>
    </row>
    <row r="111" spans="2:24" ht="14.1" customHeight="1">
      <c r="X111" s="1177">
        <f>ROW()</f>
        <v>111</v>
      </c>
    </row>
    <row r="112" spans="2:24" ht="14.1" customHeight="1">
      <c r="B112" s="4909" t="s">
        <v>872</v>
      </c>
      <c r="C112" s="3781"/>
      <c r="D112" s="3781"/>
      <c r="E112" s="3781"/>
      <c r="F112" s="3781"/>
      <c r="G112" s="3781"/>
      <c r="H112" s="3781"/>
      <c r="I112" s="3781"/>
      <c r="K112" s="4148" t="s">
        <v>2241</v>
      </c>
      <c r="L112" s="3779"/>
      <c r="M112" s="3779"/>
      <c r="N112" s="3779"/>
      <c r="O112" s="3779"/>
      <c r="P112" s="3779"/>
      <c r="X112" s="1177">
        <f>ROW()</f>
        <v>112</v>
      </c>
    </row>
    <row r="113" spans="2:24" ht="14.1" customHeight="1">
      <c r="B113" s="3781"/>
      <c r="C113" s="3781"/>
      <c r="D113" s="3781"/>
      <c r="E113" s="3781"/>
      <c r="F113" s="3781"/>
      <c r="G113" s="3781"/>
      <c r="H113" s="3781"/>
      <c r="I113" s="3781"/>
      <c r="K113" s="3779"/>
      <c r="L113" s="3779"/>
      <c r="M113" s="3779"/>
      <c r="N113" s="3779"/>
      <c r="O113" s="3779"/>
      <c r="P113" s="3779"/>
      <c r="X113" s="1177">
        <f>ROW()</f>
        <v>113</v>
      </c>
    </row>
    <row r="114" spans="2:24" ht="14.1" customHeight="1">
      <c r="B114" s="3781"/>
      <c r="C114" s="3781"/>
      <c r="D114" s="3781"/>
      <c r="E114" s="3781"/>
      <c r="F114" s="3781"/>
      <c r="G114" s="3781"/>
      <c r="H114" s="3781"/>
      <c r="I114" s="3781"/>
      <c r="K114" s="3779"/>
      <c r="L114" s="3779"/>
      <c r="M114" s="3779"/>
      <c r="N114" s="3779"/>
      <c r="O114" s="3779"/>
      <c r="P114" s="3779"/>
      <c r="X114" s="1177">
        <f>ROW()</f>
        <v>114</v>
      </c>
    </row>
    <row r="115" spans="2:24" ht="14.1" customHeight="1">
      <c r="X115" s="1177">
        <f>ROW()</f>
        <v>115</v>
      </c>
    </row>
    <row r="116" spans="2:24" ht="14.1" customHeight="1">
      <c r="X116" s="1177">
        <f>ROW()</f>
        <v>116</v>
      </c>
    </row>
    <row r="117" spans="2:24" ht="14.1" customHeight="1">
      <c r="B117" s="172" t="s">
        <v>103</v>
      </c>
      <c r="X117" s="1177">
        <f>ROW()</f>
        <v>117</v>
      </c>
    </row>
    <row r="118" spans="2:24" ht="14.1" customHeight="1">
      <c r="X118" s="1177">
        <f>ROW()</f>
        <v>118</v>
      </c>
    </row>
    <row r="119" spans="2:24" ht="14.1" customHeight="1">
      <c r="B119" s="658" t="s">
        <v>1680</v>
      </c>
      <c r="X119" s="1177">
        <f>ROW()</f>
        <v>119</v>
      </c>
    </row>
    <row r="120" spans="2:24" ht="14.1" customHeight="1">
      <c r="B120" s="657"/>
      <c r="J120" s="21"/>
      <c r="V120" s="669">
        <f>COLUMN()</f>
        <v>22</v>
      </c>
      <c r="X120" s="1177">
        <f>ROW()</f>
        <v>120</v>
      </c>
    </row>
    <row r="121" spans="2:24" ht="14.1" customHeight="1">
      <c r="B121" s="656">
        <v>0</v>
      </c>
      <c r="D121" s="659">
        <f t="shared" ref="D121:G142" si="20">D47+D84</f>
        <v>2213.590909090909</v>
      </c>
      <c r="E121" s="659">
        <f t="shared" si="20"/>
        <v>2571.363636363636</v>
      </c>
      <c r="F121" s="659">
        <f t="shared" si="20"/>
        <v>2727.1111111111113</v>
      </c>
      <c r="G121" s="659">
        <f t="shared" si="20"/>
        <v>3153.1111111111113</v>
      </c>
      <c r="H121" s="635">
        <f>F121/D121</f>
        <v>1.2319851422913088</v>
      </c>
      <c r="I121" s="635">
        <f t="shared" ref="I121:I144" si="21">G121/E121</f>
        <v>1.226240842221044</v>
      </c>
      <c r="K121" s="659">
        <f t="shared" ref="K121:N142" si="22">K47+K84</f>
        <v>2453.2105263157896</v>
      </c>
      <c r="L121" s="659">
        <f t="shared" si="22"/>
        <v>2401.4210526315792</v>
      </c>
      <c r="M121" s="659">
        <f t="shared" si="22"/>
        <v>3175</v>
      </c>
      <c r="N121" s="659">
        <f t="shared" si="22"/>
        <v>3066.7</v>
      </c>
      <c r="O121" s="635">
        <f>M121/K121</f>
        <v>1.2942223938555275</v>
      </c>
      <c r="P121" s="635">
        <f t="shared" ref="P121:P144" si="23">N121/L121</f>
        <v>1.277035527209766</v>
      </c>
      <c r="R121" s="659">
        <f>AVERAGE(D121,K121)</f>
        <v>2333.4007177033491</v>
      </c>
      <c r="S121" s="659">
        <f t="shared" ref="S121:S144" si="24">AVERAGE(E121,L121)</f>
        <v>2486.3923444976076</v>
      </c>
      <c r="T121" s="659">
        <f t="shared" ref="T121:T144" si="25">AVERAGE(F121,M121)</f>
        <v>2951.0555555555557</v>
      </c>
      <c r="U121" s="659">
        <f t="shared" ref="U121:U144" si="26">AVERAGE(G121,N121)</f>
        <v>3109.9055555555556</v>
      </c>
      <c r="V121" s="660">
        <f>T121/R121</f>
        <v>1.264701571901518</v>
      </c>
      <c r="W121" s="635">
        <f t="shared" ref="W121:W144" si="27">U121/S121</f>
        <v>1.250770242450989</v>
      </c>
      <c r="X121" s="1177">
        <f>ROW()</f>
        <v>121</v>
      </c>
    </row>
    <row r="122" spans="2:24" ht="14.1" customHeight="1">
      <c r="B122" s="656">
        <v>4.1666666666666664E-2</v>
      </c>
      <c r="D122" s="659">
        <f t="shared" si="20"/>
        <v>1404.9545454545455</v>
      </c>
      <c r="E122" s="659">
        <f t="shared" si="20"/>
        <v>1676.7272727272727</v>
      </c>
      <c r="F122" s="659">
        <f t="shared" si="20"/>
        <v>1907.6666666666667</v>
      </c>
      <c r="G122" s="659">
        <f t="shared" si="20"/>
        <v>2330</v>
      </c>
      <c r="H122" s="635">
        <f t="shared" ref="H122:H144" si="28">F122/D122</f>
        <v>1.3578137974915612</v>
      </c>
      <c r="I122" s="635">
        <f t="shared" si="21"/>
        <v>1.3896117978746476</v>
      </c>
      <c r="K122" s="659">
        <f t="shared" si="22"/>
        <v>1487.1052631578946</v>
      </c>
      <c r="L122" s="659">
        <f t="shared" si="22"/>
        <v>1532</v>
      </c>
      <c r="M122" s="659">
        <f t="shared" si="22"/>
        <v>2091.1999999999998</v>
      </c>
      <c r="N122" s="659">
        <f t="shared" si="22"/>
        <v>2313.6999999999998</v>
      </c>
      <c r="O122" s="635">
        <f t="shared" ref="O122:O144" si="29">M122/K122</f>
        <v>1.4062219076269686</v>
      </c>
      <c r="P122" s="635">
        <f t="shared" si="23"/>
        <v>1.5102480417754569</v>
      </c>
      <c r="R122" s="659">
        <f t="shared" ref="R122:R144" si="30">AVERAGE(D122,K122)</f>
        <v>1446.02990430622</v>
      </c>
      <c r="S122" s="659">
        <f t="shared" si="24"/>
        <v>1604.3636363636365</v>
      </c>
      <c r="T122" s="659">
        <f t="shared" si="25"/>
        <v>1999.4333333333334</v>
      </c>
      <c r="U122" s="659">
        <f t="shared" si="26"/>
        <v>2321.85</v>
      </c>
      <c r="V122" s="661">
        <f t="shared" ref="V122:V144" si="31">T122/R122</f>
        <v>1.38270538346344</v>
      </c>
      <c r="W122" s="635">
        <f t="shared" si="27"/>
        <v>1.4472093155031729</v>
      </c>
      <c r="X122" s="1177">
        <f>ROW()</f>
        <v>122</v>
      </c>
    </row>
    <row r="123" spans="2:24" ht="14.1" customHeight="1">
      <c r="B123" s="656">
        <v>8.3333333333333329E-2</v>
      </c>
      <c r="D123" s="659">
        <f t="shared" si="20"/>
        <v>672.09090909090901</v>
      </c>
      <c r="E123" s="659">
        <f t="shared" si="20"/>
        <v>873.27272727272725</v>
      </c>
      <c r="F123" s="659">
        <f t="shared" si="20"/>
        <v>1081.7777777777778</v>
      </c>
      <c r="G123" s="659">
        <f t="shared" si="20"/>
        <v>1574.2222222222222</v>
      </c>
      <c r="H123" s="635">
        <f t="shared" si="28"/>
        <v>1.6095706148458755</v>
      </c>
      <c r="I123" s="635">
        <f t="shared" si="21"/>
        <v>1.8026696277789345</v>
      </c>
      <c r="K123" s="659">
        <f t="shared" si="22"/>
        <v>555.57894736842104</v>
      </c>
      <c r="L123" s="659">
        <f t="shared" si="22"/>
        <v>791.15789473684208</v>
      </c>
      <c r="M123" s="659">
        <f t="shared" si="22"/>
        <v>1104.6999999999998</v>
      </c>
      <c r="N123" s="659">
        <f t="shared" si="22"/>
        <v>1593.4</v>
      </c>
      <c r="O123" s="635">
        <f t="shared" si="29"/>
        <v>1.98837627889352</v>
      </c>
      <c r="P123" s="635">
        <f t="shared" si="23"/>
        <v>2.0140101117615754</v>
      </c>
      <c r="R123" s="659">
        <f t="shared" si="30"/>
        <v>613.83492822966502</v>
      </c>
      <c r="S123" s="659">
        <f t="shared" si="24"/>
        <v>832.21531100478467</v>
      </c>
      <c r="T123" s="659">
        <f t="shared" si="25"/>
        <v>1093.2388888888888</v>
      </c>
      <c r="U123" s="659">
        <f t="shared" si="26"/>
        <v>1583.8111111111111</v>
      </c>
      <c r="V123" s="661">
        <f t="shared" si="31"/>
        <v>1.7809981781940174</v>
      </c>
      <c r="W123" s="635">
        <f t="shared" si="27"/>
        <v>1.9031266189982479</v>
      </c>
      <c r="X123" s="1177">
        <f>ROW()</f>
        <v>123</v>
      </c>
    </row>
    <row r="124" spans="2:24" ht="14.1" customHeight="1">
      <c r="B124" s="656">
        <v>0.125</v>
      </c>
      <c r="D124" s="659">
        <f t="shared" si="20"/>
        <v>317.86363636363637</v>
      </c>
      <c r="E124" s="659">
        <f t="shared" si="20"/>
        <v>510.95454545454544</v>
      </c>
      <c r="F124" s="659">
        <f t="shared" si="20"/>
        <v>520.11111111111109</v>
      </c>
      <c r="G124" s="659">
        <f t="shared" si="20"/>
        <v>1046.1111111111111</v>
      </c>
      <c r="H124" s="635">
        <f t="shared" si="28"/>
        <v>1.6362711918267472</v>
      </c>
      <c r="I124" s="635">
        <f t="shared" si="21"/>
        <v>2.0473662880922023</v>
      </c>
      <c r="K124" s="659">
        <f t="shared" si="22"/>
        <v>295.26315789473682</v>
      </c>
      <c r="L124" s="659">
        <f t="shared" si="22"/>
        <v>476.5263157894737</v>
      </c>
      <c r="M124" s="659">
        <f t="shared" si="22"/>
        <v>629.29999999999995</v>
      </c>
      <c r="N124" s="659">
        <f t="shared" si="22"/>
        <v>1156</v>
      </c>
      <c r="O124" s="635">
        <f t="shared" si="29"/>
        <v>2.131319073083779</v>
      </c>
      <c r="P124" s="635">
        <f t="shared" si="23"/>
        <v>2.42588910978573</v>
      </c>
      <c r="R124" s="659">
        <f t="shared" si="30"/>
        <v>306.56339712918657</v>
      </c>
      <c r="S124" s="659">
        <f t="shared" si="24"/>
        <v>493.74043062200957</v>
      </c>
      <c r="T124" s="659">
        <f t="shared" si="25"/>
        <v>574.70555555555552</v>
      </c>
      <c r="U124" s="659">
        <f t="shared" si="26"/>
        <v>1101.0555555555557</v>
      </c>
      <c r="V124" s="661">
        <f t="shared" si="31"/>
        <v>1.8746711477540587</v>
      </c>
      <c r="W124" s="635">
        <f t="shared" si="27"/>
        <v>2.2300291555391891</v>
      </c>
      <c r="X124" s="1177">
        <f>ROW()</f>
        <v>124</v>
      </c>
    </row>
    <row r="125" spans="2:24" ht="14.1" customHeight="1">
      <c r="B125" s="656">
        <v>0.16666666666666666</v>
      </c>
      <c r="D125" s="659">
        <f t="shared" si="20"/>
        <v>304.22727272727275</v>
      </c>
      <c r="E125" s="659">
        <f t="shared" si="20"/>
        <v>427.81818181818181</v>
      </c>
      <c r="F125" s="659">
        <f t="shared" si="20"/>
        <v>463.33333333333331</v>
      </c>
      <c r="G125" s="659">
        <f t="shared" si="20"/>
        <v>1059.6666666666665</v>
      </c>
      <c r="H125" s="635">
        <f t="shared" si="28"/>
        <v>1.5229842123611732</v>
      </c>
      <c r="I125" s="635">
        <f t="shared" si="21"/>
        <v>2.4769089106105677</v>
      </c>
      <c r="K125" s="659">
        <f t="shared" si="22"/>
        <v>299.73684210526312</v>
      </c>
      <c r="L125" s="659">
        <f t="shared" si="22"/>
        <v>414.78947368421052</v>
      </c>
      <c r="M125" s="659">
        <f t="shared" si="22"/>
        <v>465.09999999999997</v>
      </c>
      <c r="N125" s="659">
        <f t="shared" si="22"/>
        <v>1010.2</v>
      </c>
      <c r="O125" s="635">
        <f t="shared" si="29"/>
        <v>1.5516944688323091</v>
      </c>
      <c r="P125" s="635">
        <f t="shared" si="23"/>
        <v>2.435452353762213</v>
      </c>
      <c r="R125" s="659">
        <f t="shared" si="30"/>
        <v>301.98205741626793</v>
      </c>
      <c r="S125" s="659">
        <f t="shared" si="24"/>
        <v>421.3038277511962</v>
      </c>
      <c r="T125" s="659">
        <f t="shared" si="25"/>
        <v>464.21666666666664</v>
      </c>
      <c r="U125" s="659">
        <f t="shared" si="26"/>
        <v>1034.9333333333334</v>
      </c>
      <c r="V125" s="661">
        <f t="shared" si="31"/>
        <v>1.5372326112301633</v>
      </c>
      <c r="W125" s="635">
        <f t="shared" si="27"/>
        <v>2.4565011404181218</v>
      </c>
      <c r="X125" s="1177">
        <f>ROW()</f>
        <v>125</v>
      </c>
    </row>
    <row r="126" spans="2:24" ht="14.1" customHeight="1">
      <c r="B126" s="656">
        <v>0.20833333333333334</v>
      </c>
      <c r="D126" s="659">
        <f t="shared" si="20"/>
        <v>610.09090909090912</v>
      </c>
      <c r="E126" s="659">
        <f t="shared" si="20"/>
        <v>1005.9545454545455</v>
      </c>
      <c r="F126" s="659">
        <f t="shared" si="20"/>
        <v>583.44444444444446</v>
      </c>
      <c r="G126" s="659">
        <f t="shared" si="20"/>
        <v>1359</v>
      </c>
      <c r="H126" s="635">
        <f t="shared" si="28"/>
        <v>0.95632378019503628</v>
      </c>
      <c r="I126" s="635">
        <f t="shared" si="21"/>
        <v>1.3509556730378203</v>
      </c>
      <c r="K126" s="659">
        <f t="shared" si="22"/>
        <v>643.52631578947364</v>
      </c>
      <c r="L126" s="659">
        <f t="shared" si="22"/>
        <v>926.8947368421052</v>
      </c>
      <c r="M126" s="659">
        <f t="shared" si="22"/>
        <v>563.70000000000005</v>
      </c>
      <c r="N126" s="659">
        <f t="shared" si="22"/>
        <v>1212.5999999999999</v>
      </c>
      <c r="O126" s="635">
        <f t="shared" si="29"/>
        <v>0.87595485401161377</v>
      </c>
      <c r="P126" s="635">
        <f t="shared" si="23"/>
        <v>1.3082391687013799</v>
      </c>
      <c r="R126" s="659">
        <f t="shared" si="30"/>
        <v>626.80861244019138</v>
      </c>
      <c r="S126" s="659">
        <f t="shared" si="24"/>
        <v>966.42464114832535</v>
      </c>
      <c r="T126" s="659">
        <f t="shared" si="25"/>
        <v>573.57222222222231</v>
      </c>
      <c r="U126" s="659">
        <f t="shared" si="26"/>
        <v>1285.8</v>
      </c>
      <c r="V126" s="661">
        <f t="shared" si="31"/>
        <v>0.91506755146404639</v>
      </c>
      <c r="W126" s="635">
        <f t="shared" si="27"/>
        <v>1.3304710427004285</v>
      </c>
      <c r="X126" s="1177">
        <f>ROW()</f>
        <v>126</v>
      </c>
    </row>
    <row r="127" spans="2:24" ht="14.1" customHeight="1">
      <c r="B127" s="656">
        <v>0.25</v>
      </c>
      <c r="D127" s="659">
        <f t="shared" si="20"/>
        <v>1983.9545454545455</v>
      </c>
      <c r="E127" s="659">
        <f t="shared" si="20"/>
        <v>1904.3181818181818</v>
      </c>
      <c r="F127" s="659">
        <f t="shared" si="20"/>
        <v>850.11111111111109</v>
      </c>
      <c r="G127" s="659">
        <f t="shared" si="20"/>
        <v>1421.8888888888889</v>
      </c>
      <c r="H127" s="635">
        <f t="shared" si="28"/>
        <v>0.42849323995794542</v>
      </c>
      <c r="I127" s="635">
        <f t="shared" si="21"/>
        <v>0.74666560581347552</v>
      </c>
      <c r="K127" s="659">
        <f t="shared" si="22"/>
        <v>2193.2105263157896</v>
      </c>
      <c r="L127" s="659">
        <f t="shared" si="22"/>
        <v>1917.3157894736842</v>
      </c>
      <c r="M127" s="659">
        <f t="shared" si="22"/>
        <v>851.4</v>
      </c>
      <c r="N127" s="659">
        <f t="shared" si="22"/>
        <v>1243.9000000000001</v>
      </c>
      <c r="O127" s="635">
        <f t="shared" si="29"/>
        <v>0.38819802740514986</v>
      </c>
      <c r="P127" s="635">
        <f t="shared" si="23"/>
        <v>0.64877158307941485</v>
      </c>
      <c r="R127" s="659">
        <f t="shared" si="30"/>
        <v>2088.5825358851675</v>
      </c>
      <c r="S127" s="659">
        <f t="shared" si="24"/>
        <v>1910.8169856459331</v>
      </c>
      <c r="T127" s="659">
        <f t="shared" si="25"/>
        <v>850.75555555555547</v>
      </c>
      <c r="U127" s="659">
        <f t="shared" si="26"/>
        <v>1332.8944444444446</v>
      </c>
      <c r="V127" s="661">
        <f t="shared" si="31"/>
        <v>0.40733633502062899</v>
      </c>
      <c r="W127" s="635">
        <f t="shared" si="27"/>
        <v>0.69755212270832556</v>
      </c>
      <c r="X127" s="1177">
        <f>ROW()</f>
        <v>127</v>
      </c>
    </row>
    <row r="128" spans="2:24" ht="14.1" customHeight="1">
      <c r="B128" s="656">
        <v>0.29166666666666669</v>
      </c>
      <c r="D128" s="659">
        <f t="shared" si="20"/>
        <v>5543.909090909091</v>
      </c>
      <c r="E128" s="659">
        <f t="shared" si="20"/>
        <v>3039.681818181818</v>
      </c>
      <c r="F128" s="659">
        <f t="shared" si="20"/>
        <v>1830.8888888888889</v>
      </c>
      <c r="G128" s="659">
        <f t="shared" si="20"/>
        <v>1637.8888888888889</v>
      </c>
      <c r="H128" s="635">
        <f t="shared" si="28"/>
        <v>0.33025232897328399</v>
      </c>
      <c r="I128" s="635">
        <f t="shared" si="21"/>
        <v>0.53883563703670478</v>
      </c>
      <c r="K128" s="659">
        <f t="shared" si="22"/>
        <v>5999.3684210526317</v>
      </c>
      <c r="L128" s="659">
        <f t="shared" si="22"/>
        <v>3191.6315789473683</v>
      </c>
      <c r="M128" s="659">
        <f t="shared" si="22"/>
        <v>1859.3000000000002</v>
      </c>
      <c r="N128" s="659">
        <f t="shared" si="22"/>
        <v>1537.8</v>
      </c>
      <c r="O128" s="635">
        <f t="shared" si="29"/>
        <v>0.30991595606555078</v>
      </c>
      <c r="P128" s="635">
        <f t="shared" si="23"/>
        <v>0.48182252931185171</v>
      </c>
      <c r="R128" s="659">
        <f t="shared" si="30"/>
        <v>5771.6387559808609</v>
      </c>
      <c r="S128" s="659">
        <f t="shared" si="24"/>
        <v>3115.6566985645932</v>
      </c>
      <c r="T128" s="659">
        <f t="shared" si="25"/>
        <v>1845.0944444444444</v>
      </c>
      <c r="U128" s="659">
        <f t="shared" si="26"/>
        <v>1587.8444444444444</v>
      </c>
      <c r="V128" s="661">
        <f t="shared" si="31"/>
        <v>0.31968293970797551</v>
      </c>
      <c r="W128" s="635">
        <f t="shared" si="27"/>
        <v>0.50963395459325689</v>
      </c>
      <c r="X128" s="1177">
        <f>ROW()</f>
        <v>128</v>
      </c>
    </row>
    <row r="129" spans="2:24" ht="14.1" customHeight="1">
      <c r="B129" s="656">
        <v>0.33333333333333331</v>
      </c>
      <c r="D129" s="659">
        <f t="shared" si="20"/>
        <v>7917.7272727272721</v>
      </c>
      <c r="E129" s="659">
        <f t="shared" si="20"/>
        <v>3753.0454545454545</v>
      </c>
      <c r="F129" s="659">
        <f t="shared" si="20"/>
        <v>2618.1111111111113</v>
      </c>
      <c r="G129" s="659">
        <f t="shared" si="20"/>
        <v>1956.5555555555557</v>
      </c>
      <c r="H129" s="635">
        <f t="shared" si="28"/>
        <v>0.33066447238328522</v>
      </c>
      <c r="I129" s="635">
        <f t="shared" si="21"/>
        <v>0.52132476924464044</v>
      </c>
      <c r="K129" s="659">
        <f t="shared" si="22"/>
        <v>7969.8421052631575</v>
      </c>
      <c r="L129" s="659">
        <f t="shared" si="22"/>
        <v>3643.8947368421054</v>
      </c>
      <c r="M129" s="659">
        <f t="shared" si="22"/>
        <v>2509.1</v>
      </c>
      <c r="N129" s="659">
        <f t="shared" si="22"/>
        <v>1941.8000000000002</v>
      </c>
      <c r="O129" s="635">
        <f t="shared" si="29"/>
        <v>0.31482430478052131</v>
      </c>
      <c r="P129" s="635">
        <f t="shared" si="23"/>
        <v>0.53289135395903753</v>
      </c>
      <c r="R129" s="659">
        <f t="shared" si="30"/>
        <v>7943.7846889952143</v>
      </c>
      <c r="S129" s="659">
        <f t="shared" si="24"/>
        <v>3698.47009569378</v>
      </c>
      <c r="T129" s="659">
        <f t="shared" si="25"/>
        <v>2563.6055555555558</v>
      </c>
      <c r="U129" s="659">
        <f t="shared" si="26"/>
        <v>1949.1777777777779</v>
      </c>
      <c r="V129" s="661">
        <f t="shared" si="31"/>
        <v>0.32271840890992459</v>
      </c>
      <c r="W129" s="635">
        <f t="shared" si="27"/>
        <v>0.52702272219187429</v>
      </c>
      <c r="X129" s="1177">
        <f>ROW()</f>
        <v>129</v>
      </c>
    </row>
    <row r="130" spans="2:24" ht="14.1" customHeight="1">
      <c r="B130" s="656">
        <v>0.375</v>
      </c>
      <c r="D130" s="659">
        <f t="shared" si="20"/>
        <v>8060.181818181818</v>
      </c>
      <c r="E130" s="659">
        <f t="shared" si="20"/>
        <v>3746.363636363636</v>
      </c>
      <c r="F130" s="659">
        <f t="shared" si="20"/>
        <v>3135.1111111111113</v>
      </c>
      <c r="G130" s="659">
        <f t="shared" si="20"/>
        <v>2319.4444444444443</v>
      </c>
      <c r="H130" s="635">
        <f t="shared" si="28"/>
        <v>0.38896282761749368</v>
      </c>
      <c r="I130" s="635">
        <f t="shared" si="21"/>
        <v>0.61911887621666806</v>
      </c>
      <c r="K130" s="659">
        <f t="shared" si="22"/>
        <v>7993.3684210526317</v>
      </c>
      <c r="L130" s="659">
        <f t="shared" si="22"/>
        <v>3635.105263157895</v>
      </c>
      <c r="M130" s="659">
        <f t="shared" si="22"/>
        <v>3137.5</v>
      </c>
      <c r="N130" s="659">
        <f t="shared" si="22"/>
        <v>2524</v>
      </c>
      <c r="O130" s="635">
        <f t="shared" si="29"/>
        <v>0.39251287251274081</v>
      </c>
      <c r="P130" s="635">
        <f t="shared" si="23"/>
        <v>0.69434027828051015</v>
      </c>
      <c r="R130" s="659">
        <f t="shared" si="30"/>
        <v>8026.7751196172248</v>
      </c>
      <c r="S130" s="659">
        <f t="shared" si="24"/>
        <v>3690.7344497607655</v>
      </c>
      <c r="T130" s="659">
        <f t="shared" si="25"/>
        <v>3136.3055555555557</v>
      </c>
      <c r="U130" s="659">
        <f t="shared" si="26"/>
        <v>2421.7222222222222</v>
      </c>
      <c r="V130" s="661">
        <f t="shared" si="31"/>
        <v>0.39073046258521787</v>
      </c>
      <c r="W130" s="635">
        <f t="shared" si="27"/>
        <v>0.6561626839284519</v>
      </c>
      <c r="X130" s="1177">
        <f>ROW()</f>
        <v>130</v>
      </c>
    </row>
    <row r="131" spans="2:24" ht="14.1" customHeight="1">
      <c r="B131" s="656">
        <v>0.41666666666666669</v>
      </c>
      <c r="D131" s="659">
        <f t="shared" si="20"/>
        <v>7514.681818181818</v>
      </c>
      <c r="E131" s="659">
        <f t="shared" si="20"/>
        <v>3498.727272727273</v>
      </c>
      <c r="F131" s="659">
        <f t="shared" si="20"/>
        <v>3626.2222222222222</v>
      </c>
      <c r="G131" s="659">
        <f t="shared" si="20"/>
        <v>2754.7777777777778</v>
      </c>
      <c r="H131" s="635">
        <f t="shared" si="28"/>
        <v>0.48255166485539758</v>
      </c>
      <c r="I131" s="635">
        <f t="shared" si="21"/>
        <v>0.78736567987204575</v>
      </c>
      <c r="K131" s="659">
        <f t="shared" si="22"/>
        <v>7201.4210526315792</v>
      </c>
      <c r="L131" s="659">
        <f t="shared" si="22"/>
        <v>3496.8421052631579</v>
      </c>
      <c r="M131" s="659">
        <f t="shared" si="22"/>
        <v>3650.5</v>
      </c>
      <c r="N131" s="659">
        <f t="shared" si="22"/>
        <v>3165.2</v>
      </c>
      <c r="O131" s="635">
        <f t="shared" si="29"/>
        <v>0.50691384010465768</v>
      </c>
      <c r="P131" s="635">
        <f t="shared" si="23"/>
        <v>0.90515954244431063</v>
      </c>
      <c r="R131" s="659">
        <f t="shared" si="30"/>
        <v>7358.0514354066981</v>
      </c>
      <c r="S131" s="659">
        <f t="shared" si="24"/>
        <v>3497.7846889952152</v>
      </c>
      <c r="T131" s="659">
        <f t="shared" si="25"/>
        <v>3638.3611111111113</v>
      </c>
      <c r="U131" s="659">
        <f t="shared" si="26"/>
        <v>2959.9888888888891</v>
      </c>
      <c r="V131" s="661">
        <f t="shared" si="31"/>
        <v>0.49447345442618668</v>
      </c>
      <c r="W131" s="635">
        <f t="shared" si="27"/>
        <v>0.84624673960111163</v>
      </c>
      <c r="X131" s="1177">
        <f>ROW()</f>
        <v>131</v>
      </c>
    </row>
    <row r="132" spans="2:24" ht="14.1" customHeight="1">
      <c r="B132" s="656">
        <v>0.45833333333333331</v>
      </c>
      <c r="D132" s="659">
        <f t="shared" si="20"/>
        <v>5776.5</v>
      </c>
      <c r="E132" s="659">
        <f t="shared" si="20"/>
        <v>3589.4545454545455</v>
      </c>
      <c r="F132" s="659">
        <f t="shared" si="20"/>
        <v>3948</v>
      </c>
      <c r="G132" s="659">
        <f t="shared" si="20"/>
        <v>3135.2222222222222</v>
      </c>
      <c r="H132" s="635">
        <f t="shared" si="28"/>
        <v>0.68345884185925732</v>
      </c>
      <c r="I132" s="635">
        <f t="shared" si="21"/>
        <v>0.87345366336856556</v>
      </c>
      <c r="K132" s="659">
        <f t="shared" si="22"/>
        <v>5732.4210526315783</v>
      </c>
      <c r="L132" s="659">
        <f t="shared" si="22"/>
        <v>3757.6315789473683</v>
      </c>
      <c r="M132" s="659">
        <f t="shared" si="22"/>
        <v>4345.6000000000004</v>
      </c>
      <c r="N132" s="659">
        <f t="shared" si="22"/>
        <v>3863.5</v>
      </c>
      <c r="O132" s="635">
        <f t="shared" si="29"/>
        <v>0.75807411215982978</v>
      </c>
      <c r="P132" s="635">
        <f t="shared" si="23"/>
        <v>1.0281742418936901</v>
      </c>
      <c r="R132" s="659">
        <f t="shared" si="30"/>
        <v>5754.4605263157891</v>
      </c>
      <c r="S132" s="659">
        <f t="shared" si="24"/>
        <v>3673.5430622009571</v>
      </c>
      <c r="T132" s="659">
        <f t="shared" si="25"/>
        <v>4146.8</v>
      </c>
      <c r="U132" s="659">
        <f t="shared" si="26"/>
        <v>3499.3611111111113</v>
      </c>
      <c r="V132" s="661">
        <f t="shared" si="31"/>
        <v>0.72062358948092908</v>
      </c>
      <c r="W132" s="635">
        <f t="shared" si="27"/>
        <v>0.95258475315504076</v>
      </c>
      <c r="X132" s="1177">
        <f>ROW()</f>
        <v>132</v>
      </c>
    </row>
    <row r="133" spans="2:24" ht="14.1" customHeight="1">
      <c r="B133" s="656">
        <v>0.5</v>
      </c>
      <c r="D133" s="659">
        <f t="shared" si="20"/>
        <v>5385.7727272727279</v>
      </c>
      <c r="E133" s="659">
        <f t="shared" si="20"/>
        <v>3723.2272727272725</v>
      </c>
      <c r="F133" s="659">
        <f t="shared" si="20"/>
        <v>4471.5555555555557</v>
      </c>
      <c r="G133" s="659">
        <f t="shared" si="20"/>
        <v>3598.5555555555557</v>
      </c>
      <c r="H133" s="635">
        <f t="shared" si="28"/>
        <v>0.83025329548576821</v>
      </c>
      <c r="I133" s="635">
        <f t="shared" si="21"/>
        <v>0.96651514719906029</v>
      </c>
      <c r="K133" s="659">
        <f t="shared" si="22"/>
        <v>5373.105263157895</v>
      </c>
      <c r="L133" s="659">
        <f t="shared" si="22"/>
        <v>4022.4736842105267</v>
      </c>
      <c r="M133" s="659">
        <f t="shared" si="22"/>
        <v>4668.8999999999996</v>
      </c>
      <c r="N133" s="659">
        <f t="shared" si="22"/>
        <v>4338.6000000000004</v>
      </c>
      <c r="O133" s="635">
        <f t="shared" si="29"/>
        <v>0.86893886706697088</v>
      </c>
      <c r="P133" s="635">
        <f t="shared" si="23"/>
        <v>1.0785900270846691</v>
      </c>
      <c r="R133" s="659">
        <f t="shared" si="30"/>
        <v>5379.4389952153115</v>
      </c>
      <c r="S133" s="659">
        <f t="shared" si="24"/>
        <v>3872.8504784688994</v>
      </c>
      <c r="T133" s="659">
        <f t="shared" si="25"/>
        <v>4570.2277777777781</v>
      </c>
      <c r="U133" s="659">
        <f t="shared" si="26"/>
        <v>3968.577777777778</v>
      </c>
      <c r="V133" s="661">
        <f t="shared" si="31"/>
        <v>0.84957330715019197</v>
      </c>
      <c r="W133" s="635">
        <f t="shared" si="27"/>
        <v>1.0247175303671221</v>
      </c>
      <c r="X133" s="1177">
        <f>ROW()</f>
        <v>133</v>
      </c>
    </row>
    <row r="134" spans="2:24" ht="14.1" customHeight="1">
      <c r="B134" s="656">
        <v>0.54166666666666663</v>
      </c>
      <c r="D134" s="659">
        <f t="shared" si="20"/>
        <v>4814</v>
      </c>
      <c r="E134" s="659">
        <f t="shared" si="20"/>
        <v>4160.818181818182</v>
      </c>
      <c r="F134" s="659">
        <f t="shared" si="20"/>
        <v>4921.8888888888887</v>
      </c>
      <c r="G134" s="659">
        <f t="shared" si="20"/>
        <v>3927.7777777777778</v>
      </c>
      <c r="H134" s="635">
        <f t="shared" si="28"/>
        <v>1.0224114850205419</v>
      </c>
      <c r="I134" s="635">
        <f t="shared" si="21"/>
        <v>0.94399168772653008</v>
      </c>
      <c r="K134" s="659">
        <f t="shared" si="22"/>
        <v>4994.1578947368416</v>
      </c>
      <c r="L134" s="659">
        <f t="shared" si="22"/>
        <v>4359.78947368421</v>
      </c>
      <c r="M134" s="659">
        <f t="shared" si="22"/>
        <v>4947.2</v>
      </c>
      <c r="N134" s="659">
        <f t="shared" si="22"/>
        <v>4378.3999999999996</v>
      </c>
      <c r="O134" s="635">
        <f t="shared" si="29"/>
        <v>0.99059743489761731</v>
      </c>
      <c r="P134" s="635">
        <f t="shared" si="23"/>
        <v>1.0042686754551162</v>
      </c>
      <c r="R134" s="659">
        <f t="shared" si="30"/>
        <v>4904.0789473684208</v>
      </c>
      <c r="S134" s="659">
        <f t="shared" si="24"/>
        <v>4260.303827751196</v>
      </c>
      <c r="T134" s="659">
        <f t="shared" si="25"/>
        <v>4934.5444444444438</v>
      </c>
      <c r="U134" s="659">
        <f t="shared" si="26"/>
        <v>4153.0888888888885</v>
      </c>
      <c r="V134" s="661">
        <f t="shared" si="31"/>
        <v>1.006212277045901</v>
      </c>
      <c r="W134" s="635">
        <f t="shared" si="27"/>
        <v>0.97483396884421247</v>
      </c>
      <c r="X134" s="1177">
        <f>ROW()</f>
        <v>134</v>
      </c>
    </row>
    <row r="135" spans="2:24" ht="14.1" customHeight="1">
      <c r="B135" s="656">
        <v>0.58333333333333337</v>
      </c>
      <c r="D135" s="659">
        <f t="shared" si="20"/>
        <v>4653.5</v>
      </c>
      <c r="E135" s="659">
        <f t="shared" si="20"/>
        <v>4619.090909090909</v>
      </c>
      <c r="F135" s="659">
        <f t="shared" si="20"/>
        <v>4867.1111111111113</v>
      </c>
      <c r="G135" s="659">
        <f t="shared" si="20"/>
        <v>4053.8888888888887</v>
      </c>
      <c r="H135" s="635">
        <f t="shared" si="28"/>
        <v>1.0459033224693481</v>
      </c>
      <c r="I135" s="635">
        <f t="shared" si="21"/>
        <v>0.87763782282577796</v>
      </c>
      <c r="K135" s="659">
        <f t="shared" si="22"/>
        <v>4830.105263157895</v>
      </c>
      <c r="L135" s="659">
        <f t="shared" si="22"/>
        <v>4868.9473684210534</v>
      </c>
      <c r="M135" s="659">
        <f t="shared" si="22"/>
        <v>5171</v>
      </c>
      <c r="N135" s="659">
        <f t="shared" si="22"/>
        <v>4414.1000000000004</v>
      </c>
      <c r="O135" s="635">
        <f t="shared" si="29"/>
        <v>1.0705770823344811</v>
      </c>
      <c r="P135" s="635">
        <f t="shared" si="23"/>
        <v>0.90658199113609328</v>
      </c>
      <c r="R135" s="659">
        <f t="shared" si="30"/>
        <v>4741.8026315789475</v>
      </c>
      <c r="S135" s="659">
        <f t="shared" si="24"/>
        <v>4744.0191387559807</v>
      </c>
      <c r="T135" s="659">
        <f t="shared" si="25"/>
        <v>5019.0555555555557</v>
      </c>
      <c r="U135" s="659">
        <f t="shared" si="26"/>
        <v>4233.9944444444445</v>
      </c>
      <c r="V135" s="661">
        <f t="shared" si="31"/>
        <v>1.0584699418171033</v>
      </c>
      <c r="W135" s="635">
        <f t="shared" si="27"/>
        <v>0.89249101249509721</v>
      </c>
      <c r="X135" s="1177">
        <f>ROW()</f>
        <v>135</v>
      </c>
    </row>
    <row r="136" spans="2:24" ht="14.1" customHeight="1">
      <c r="B136" s="656">
        <v>0.625</v>
      </c>
      <c r="D136" s="659">
        <f t="shared" si="20"/>
        <v>5157</v>
      </c>
      <c r="E136" s="659">
        <f t="shared" si="20"/>
        <v>5273.409090909091</v>
      </c>
      <c r="F136" s="659">
        <f t="shared" si="20"/>
        <v>5026.1111111111113</v>
      </c>
      <c r="G136" s="659">
        <f t="shared" si="20"/>
        <v>4483.5555555555557</v>
      </c>
      <c r="H136" s="635">
        <f t="shared" si="28"/>
        <v>0.97461917997112879</v>
      </c>
      <c r="I136" s="635">
        <f t="shared" si="21"/>
        <v>0.85021955973126084</v>
      </c>
      <c r="K136" s="659">
        <f t="shared" si="22"/>
        <v>5063.2631578947367</v>
      </c>
      <c r="L136" s="659">
        <f t="shared" si="22"/>
        <v>5467.6315789473683</v>
      </c>
      <c r="M136" s="659">
        <f t="shared" si="22"/>
        <v>5157.5</v>
      </c>
      <c r="N136" s="659">
        <f t="shared" si="22"/>
        <v>4645.5</v>
      </c>
      <c r="O136" s="635">
        <f t="shared" si="29"/>
        <v>1.0186118791709113</v>
      </c>
      <c r="P136" s="635">
        <f t="shared" si="23"/>
        <v>0.84963661741348606</v>
      </c>
      <c r="R136" s="659">
        <f t="shared" si="30"/>
        <v>5110.1315789473683</v>
      </c>
      <c r="S136" s="659">
        <f t="shared" si="24"/>
        <v>5370.5203349282292</v>
      </c>
      <c r="T136" s="659">
        <f t="shared" si="25"/>
        <v>5091.8055555555557</v>
      </c>
      <c r="U136" s="659">
        <f t="shared" si="26"/>
        <v>4564.5277777777774</v>
      </c>
      <c r="V136" s="661">
        <f t="shared" si="31"/>
        <v>0.9964137863949899</v>
      </c>
      <c r="W136" s="635">
        <f t="shared" si="27"/>
        <v>0.84992281810972359</v>
      </c>
      <c r="X136" s="1177">
        <f>ROW()</f>
        <v>136</v>
      </c>
    </row>
    <row r="137" spans="2:24" ht="14.1" customHeight="1">
      <c r="B137" s="656">
        <v>0.66666666666666663</v>
      </c>
      <c r="D137" s="659">
        <f t="shared" si="20"/>
        <v>5585.454545454546</v>
      </c>
      <c r="E137" s="659">
        <f t="shared" si="20"/>
        <v>5829.454545454546</v>
      </c>
      <c r="F137" s="659">
        <f t="shared" si="20"/>
        <v>5180.2222222222226</v>
      </c>
      <c r="G137" s="659">
        <f t="shared" si="20"/>
        <v>5060.333333333333</v>
      </c>
      <c r="H137" s="635">
        <f t="shared" si="28"/>
        <v>0.92744864004629624</v>
      </c>
      <c r="I137" s="635">
        <f t="shared" si="21"/>
        <v>0.86806291975963223</v>
      </c>
      <c r="K137" s="659">
        <f t="shared" si="22"/>
        <v>5709.6315789473683</v>
      </c>
      <c r="L137" s="659">
        <f t="shared" si="22"/>
        <v>5977.21052631579</v>
      </c>
      <c r="M137" s="659">
        <f t="shared" si="22"/>
        <v>5252.2000000000007</v>
      </c>
      <c r="N137" s="659">
        <f t="shared" si="22"/>
        <v>4871.6000000000004</v>
      </c>
      <c r="O137" s="635">
        <f t="shared" si="29"/>
        <v>0.91988422149092497</v>
      </c>
      <c r="P137" s="635">
        <f t="shared" si="23"/>
        <v>0.8150290137099685</v>
      </c>
      <c r="R137" s="659">
        <f t="shared" si="30"/>
        <v>5647.5430622009571</v>
      </c>
      <c r="S137" s="659">
        <f t="shared" si="24"/>
        <v>5903.332535885168</v>
      </c>
      <c r="T137" s="659">
        <f t="shared" si="25"/>
        <v>5216.2111111111117</v>
      </c>
      <c r="U137" s="659">
        <f t="shared" si="26"/>
        <v>4965.9666666666672</v>
      </c>
      <c r="V137" s="661">
        <f t="shared" si="31"/>
        <v>0.92362484954267055</v>
      </c>
      <c r="W137" s="635">
        <f t="shared" si="27"/>
        <v>0.8412141170228099</v>
      </c>
      <c r="X137" s="1177">
        <f>ROW()</f>
        <v>137</v>
      </c>
    </row>
    <row r="138" spans="2:24" ht="14.1" customHeight="1">
      <c r="B138" s="656">
        <v>0.70833333333333337</v>
      </c>
      <c r="D138" s="659">
        <f t="shared" si="20"/>
        <v>5706.636363636364</v>
      </c>
      <c r="E138" s="659">
        <f t="shared" si="20"/>
        <v>5919.636363636364</v>
      </c>
      <c r="F138" s="659">
        <f t="shared" si="20"/>
        <v>5270.1111111111113</v>
      </c>
      <c r="G138" s="659">
        <f t="shared" si="20"/>
        <v>5068.8888888888887</v>
      </c>
      <c r="H138" s="635">
        <f t="shared" si="28"/>
        <v>0.92350568273337619</v>
      </c>
      <c r="I138" s="635">
        <f t="shared" si="21"/>
        <v>0.85628382851799512</v>
      </c>
      <c r="K138" s="659">
        <f t="shared" si="22"/>
        <v>5776.21052631579</v>
      </c>
      <c r="L138" s="659">
        <f t="shared" si="22"/>
        <v>6180.3684210526317</v>
      </c>
      <c r="M138" s="659">
        <f t="shared" si="22"/>
        <v>5519.2999999999993</v>
      </c>
      <c r="N138" s="659">
        <f t="shared" si="22"/>
        <v>4903</v>
      </c>
      <c r="O138" s="635">
        <f t="shared" si="29"/>
        <v>0.95552265189342833</v>
      </c>
      <c r="P138" s="635">
        <f t="shared" si="23"/>
        <v>0.79331840207107396</v>
      </c>
      <c r="R138" s="659">
        <f t="shared" si="30"/>
        <v>5741.423444976077</v>
      </c>
      <c r="S138" s="659">
        <f t="shared" si="24"/>
        <v>6050.0023923444978</v>
      </c>
      <c r="T138" s="659">
        <f t="shared" si="25"/>
        <v>5394.7055555555553</v>
      </c>
      <c r="U138" s="659">
        <f t="shared" si="26"/>
        <v>4985.9444444444443</v>
      </c>
      <c r="V138" s="661">
        <f t="shared" si="31"/>
        <v>0.9396111621545854</v>
      </c>
      <c r="W138" s="635">
        <f t="shared" si="27"/>
        <v>0.82412272278660881</v>
      </c>
      <c r="X138" s="1177">
        <f>ROW()</f>
        <v>138</v>
      </c>
    </row>
    <row r="139" spans="2:24" ht="14.1" customHeight="1">
      <c r="B139" s="656">
        <v>0.75</v>
      </c>
      <c r="D139" s="659">
        <f t="shared" si="20"/>
        <v>5974.681818181818</v>
      </c>
      <c r="E139" s="659">
        <f t="shared" si="20"/>
        <v>5806.590909090909</v>
      </c>
      <c r="F139" s="659">
        <f t="shared" si="20"/>
        <v>5652.3333333333339</v>
      </c>
      <c r="G139" s="659">
        <f t="shared" si="20"/>
        <v>4834.8888888888887</v>
      </c>
      <c r="H139" s="635">
        <f t="shared" si="28"/>
        <v>0.94604758970301461</v>
      </c>
      <c r="I139" s="635">
        <f t="shared" si="21"/>
        <v>0.83265533332463537</v>
      </c>
      <c r="K139" s="659">
        <f t="shared" si="22"/>
        <v>5826.4210526315783</v>
      </c>
      <c r="L139" s="659">
        <f t="shared" si="22"/>
        <v>5943.6315789473683</v>
      </c>
      <c r="M139" s="659">
        <f t="shared" si="22"/>
        <v>5850.1</v>
      </c>
      <c r="N139" s="659">
        <f t="shared" si="22"/>
        <v>4693</v>
      </c>
      <c r="O139" s="635">
        <f t="shared" si="29"/>
        <v>1.0040640638832181</v>
      </c>
      <c r="P139" s="635">
        <f t="shared" si="23"/>
        <v>0.78958460625702875</v>
      </c>
      <c r="R139" s="659">
        <f t="shared" si="30"/>
        <v>5900.5514354066981</v>
      </c>
      <c r="S139" s="659">
        <f t="shared" si="24"/>
        <v>5875.1112440191391</v>
      </c>
      <c r="T139" s="659">
        <f t="shared" si="25"/>
        <v>5751.2166666666672</v>
      </c>
      <c r="U139" s="659">
        <f t="shared" si="26"/>
        <v>4763.9444444444443</v>
      </c>
      <c r="V139" s="661">
        <f t="shared" si="31"/>
        <v>0.97469138768218566</v>
      </c>
      <c r="W139" s="635">
        <f t="shared" si="27"/>
        <v>0.8108688068322345</v>
      </c>
      <c r="X139" s="1177">
        <f>ROW()</f>
        <v>139</v>
      </c>
    </row>
    <row r="140" spans="2:24" ht="14.1" customHeight="1">
      <c r="B140" s="656">
        <v>0.79166666666666663</v>
      </c>
      <c r="D140" s="659">
        <f t="shared" si="20"/>
        <v>5648.863636363636</v>
      </c>
      <c r="E140" s="659">
        <f t="shared" si="20"/>
        <v>5497.7727272727279</v>
      </c>
      <c r="F140" s="659">
        <f t="shared" si="20"/>
        <v>5365.8888888888887</v>
      </c>
      <c r="G140" s="659">
        <f t="shared" si="20"/>
        <v>4403.2222222222226</v>
      </c>
      <c r="H140" s="635">
        <f t="shared" si="28"/>
        <v>0.94990589865665309</v>
      </c>
      <c r="I140" s="635">
        <f t="shared" si="21"/>
        <v>0.80091019411901421</v>
      </c>
      <c r="K140" s="659">
        <f t="shared" si="22"/>
        <v>5545.1578947368416</v>
      </c>
      <c r="L140" s="659">
        <f t="shared" si="22"/>
        <v>5634.6842105263158</v>
      </c>
      <c r="M140" s="659">
        <f t="shared" si="22"/>
        <v>5735.6</v>
      </c>
      <c r="N140" s="659">
        <f t="shared" si="22"/>
        <v>4327.8999999999996</v>
      </c>
      <c r="O140" s="635">
        <f t="shared" si="29"/>
        <v>1.0343438561855769</v>
      </c>
      <c r="P140" s="635">
        <f t="shared" si="23"/>
        <v>0.76808208557897972</v>
      </c>
      <c r="R140" s="659">
        <f t="shared" si="30"/>
        <v>5597.0107655502388</v>
      </c>
      <c r="S140" s="659">
        <f t="shared" si="24"/>
        <v>5566.2284688995223</v>
      </c>
      <c r="T140" s="659">
        <f t="shared" si="25"/>
        <v>5550.7444444444445</v>
      </c>
      <c r="U140" s="659">
        <f t="shared" si="26"/>
        <v>4365.5611111111111</v>
      </c>
      <c r="V140" s="661">
        <f t="shared" si="31"/>
        <v>0.99173374448543772</v>
      </c>
      <c r="W140" s="635">
        <f t="shared" si="27"/>
        <v>0.78429427313360167</v>
      </c>
      <c r="X140" s="1177">
        <f>ROW()</f>
        <v>140</v>
      </c>
    </row>
    <row r="141" spans="2:24" ht="14.1" customHeight="1">
      <c r="B141" s="656">
        <v>0.83333333333333337</v>
      </c>
      <c r="D141" s="659">
        <f t="shared" si="20"/>
        <v>4527.181818181818</v>
      </c>
      <c r="E141" s="659">
        <f t="shared" si="20"/>
        <v>4707.045454545454</v>
      </c>
      <c r="F141" s="659">
        <f t="shared" si="20"/>
        <v>4809.333333333333</v>
      </c>
      <c r="G141" s="659">
        <f t="shared" si="20"/>
        <v>3876.2222222222226</v>
      </c>
      <c r="H141" s="635">
        <f t="shared" si="28"/>
        <v>1.0623238753120878</v>
      </c>
      <c r="I141" s="635">
        <f t="shared" si="21"/>
        <v>0.82349368827086</v>
      </c>
      <c r="K141" s="659">
        <f t="shared" si="22"/>
        <v>4793.894736842105</v>
      </c>
      <c r="L141" s="659">
        <f t="shared" si="22"/>
        <v>4774.3157894736842</v>
      </c>
      <c r="M141" s="659">
        <f t="shared" si="22"/>
        <v>5444.3</v>
      </c>
      <c r="N141" s="659">
        <f t="shared" si="22"/>
        <v>3829.8</v>
      </c>
      <c r="O141" s="635">
        <f t="shared" si="29"/>
        <v>1.1356736638707128</v>
      </c>
      <c r="P141" s="635">
        <f t="shared" si="23"/>
        <v>0.80216729870358938</v>
      </c>
      <c r="R141" s="659">
        <f t="shared" si="30"/>
        <v>4660.5382775119615</v>
      </c>
      <c r="S141" s="659">
        <f t="shared" si="24"/>
        <v>4740.6806220095696</v>
      </c>
      <c r="T141" s="659">
        <f t="shared" si="25"/>
        <v>5126.8166666666666</v>
      </c>
      <c r="U141" s="659">
        <f t="shared" si="26"/>
        <v>3853.0111111111114</v>
      </c>
      <c r="V141" s="661">
        <f t="shared" si="31"/>
        <v>1.1000481835766895</v>
      </c>
      <c r="W141" s="635">
        <f t="shared" si="27"/>
        <v>0.81275483803374715</v>
      </c>
      <c r="X141" s="1177">
        <f>ROW()</f>
        <v>141</v>
      </c>
    </row>
    <row r="142" spans="2:24" ht="14.1" customHeight="1">
      <c r="B142" s="656">
        <v>0.875</v>
      </c>
      <c r="D142" s="659">
        <f t="shared" si="20"/>
        <v>3615.227272727273</v>
      </c>
      <c r="E142" s="659">
        <f t="shared" si="20"/>
        <v>4292.863636363636</v>
      </c>
      <c r="F142" s="659">
        <f t="shared" si="20"/>
        <v>4136.3333333333339</v>
      </c>
      <c r="G142" s="659">
        <f t="shared" si="20"/>
        <v>3501.333333333333</v>
      </c>
      <c r="H142" s="635">
        <f t="shared" si="28"/>
        <v>1.1441419919951386</v>
      </c>
      <c r="I142" s="635">
        <f t="shared" si="21"/>
        <v>0.8156171800274592</v>
      </c>
      <c r="K142" s="659">
        <f t="shared" si="22"/>
        <v>3923.9473684210529</v>
      </c>
      <c r="L142" s="659">
        <f t="shared" si="22"/>
        <v>4145.1578947368416</v>
      </c>
      <c r="M142" s="659">
        <f t="shared" si="22"/>
        <v>5016.3999999999996</v>
      </c>
      <c r="N142" s="659">
        <f t="shared" si="22"/>
        <v>3678.9</v>
      </c>
      <c r="O142" s="635">
        <f t="shared" si="29"/>
        <v>1.2784065455033196</v>
      </c>
      <c r="P142" s="635">
        <f t="shared" si="23"/>
        <v>0.88751745854389408</v>
      </c>
      <c r="R142" s="659">
        <f t="shared" si="30"/>
        <v>3769.5873205741627</v>
      </c>
      <c r="S142" s="659">
        <f t="shared" si="24"/>
        <v>4219.0107655502388</v>
      </c>
      <c r="T142" s="659">
        <f t="shared" si="25"/>
        <v>4576.3666666666668</v>
      </c>
      <c r="U142" s="659">
        <f t="shared" si="26"/>
        <v>3590.1166666666668</v>
      </c>
      <c r="V142" s="661">
        <f t="shared" si="31"/>
        <v>1.2140232543995346</v>
      </c>
      <c r="W142" s="635">
        <f t="shared" si="27"/>
        <v>0.8509380198745351</v>
      </c>
      <c r="X142" s="1177">
        <f>ROW()</f>
        <v>142</v>
      </c>
    </row>
    <row r="143" spans="2:24" ht="14.1" customHeight="1">
      <c r="B143" s="656">
        <v>0.91666666666666663</v>
      </c>
      <c r="D143" s="659">
        <f t="shared" ref="D143:G144" si="32">D69+D106</f>
        <v>3104.5</v>
      </c>
      <c r="E143" s="659">
        <f t="shared" si="32"/>
        <v>3935.772727272727</v>
      </c>
      <c r="F143" s="659">
        <f t="shared" si="32"/>
        <v>3666</v>
      </c>
      <c r="G143" s="659">
        <f t="shared" si="32"/>
        <v>3037.333333333333</v>
      </c>
      <c r="H143" s="635">
        <f t="shared" si="28"/>
        <v>1.1808664841359318</v>
      </c>
      <c r="I143" s="635">
        <f t="shared" si="21"/>
        <v>0.77172477777649451</v>
      </c>
      <c r="K143" s="659">
        <f t="shared" ref="K143:N144" si="33">K69+K106</f>
        <v>3416.4210526315792</v>
      </c>
      <c r="L143" s="659">
        <f t="shared" si="33"/>
        <v>3883.8421052631579</v>
      </c>
      <c r="M143" s="659">
        <f t="shared" si="33"/>
        <v>4638.2000000000007</v>
      </c>
      <c r="N143" s="659">
        <f t="shared" si="33"/>
        <v>3390.4</v>
      </c>
      <c r="O143" s="635">
        <f t="shared" si="29"/>
        <v>1.3576195464629037</v>
      </c>
      <c r="P143" s="635">
        <f t="shared" si="23"/>
        <v>0.87295000880842355</v>
      </c>
      <c r="R143" s="659">
        <f t="shared" si="30"/>
        <v>3260.4605263157896</v>
      </c>
      <c r="S143" s="659">
        <f t="shared" si="24"/>
        <v>3909.8074162679422</v>
      </c>
      <c r="T143" s="659">
        <f t="shared" si="25"/>
        <v>4152.1000000000004</v>
      </c>
      <c r="U143" s="659">
        <f t="shared" si="26"/>
        <v>3213.8666666666668</v>
      </c>
      <c r="V143" s="661">
        <f t="shared" si="31"/>
        <v>1.2734704090074458</v>
      </c>
      <c r="W143" s="635">
        <f t="shared" si="27"/>
        <v>0.82200127128881018</v>
      </c>
      <c r="X143" s="1177">
        <f>ROW()</f>
        <v>143</v>
      </c>
    </row>
    <row r="144" spans="2:24" ht="14.1" customHeight="1">
      <c r="B144" s="656">
        <v>0.95833333333333337</v>
      </c>
      <c r="D144" s="659">
        <f t="shared" si="32"/>
        <v>2907.909090909091</v>
      </c>
      <c r="E144" s="659">
        <f t="shared" si="32"/>
        <v>3552.4545454545455</v>
      </c>
      <c r="F144" s="659">
        <f t="shared" si="32"/>
        <v>3354.1111111111113</v>
      </c>
      <c r="G144" s="659">
        <f t="shared" si="32"/>
        <v>2861.8888888888887</v>
      </c>
      <c r="H144" s="635">
        <f t="shared" si="28"/>
        <v>1.1534442811836754</v>
      </c>
      <c r="I144" s="635">
        <f t="shared" si="21"/>
        <v>0.8056088690989015</v>
      </c>
      <c r="K144" s="659">
        <f t="shared" si="33"/>
        <v>3310.6315789473683</v>
      </c>
      <c r="L144" s="659">
        <f t="shared" si="33"/>
        <v>3389.1052631578946</v>
      </c>
      <c r="M144" s="659">
        <f t="shared" si="33"/>
        <v>4088.7</v>
      </c>
      <c r="N144" s="659">
        <f t="shared" si="33"/>
        <v>3077.2</v>
      </c>
      <c r="O144" s="635">
        <f t="shared" si="29"/>
        <v>1.2350211440017804</v>
      </c>
      <c r="P144" s="635">
        <f t="shared" si="23"/>
        <v>0.90796825741928466</v>
      </c>
      <c r="R144" s="659">
        <f t="shared" si="30"/>
        <v>3109.2703349282297</v>
      </c>
      <c r="S144" s="659">
        <f t="shared" si="24"/>
        <v>3470.77990430622</v>
      </c>
      <c r="T144" s="659">
        <f t="shared" si="25"/>
        <v>3721.4055555555556</v>
      </c>
      <c r="U144" s="659">
        <f t="shared" si="26"/>
        <v>2969.5444444444443</v>
      </c>
      <c r="V144" s="662">
        <f t="shared" si="31"/>
        <v>1.1968742356529303</v>
      </c>
      <c r="W144" s="635">
        <f t="shared" si="27"/>
        <v>0.85558419903264693</v>
      </c>
      <c r="X144" s="1177">
        <f>ROW()</f>
        <v>144</v>
      </c>
    </row>
    <row r="145" spans="2:24" ht="14.1" customHeight="1">
      <c r="B145" s="139"/>
      <c r="D145" s="659"/>
      <c r="E145" s="659"/>
      <c r="F145" s="659"/>
      <c r="G145" s="659"/>
      <c r="H145" s="635"/>
      <c r="I145" s="635"/>
      <c r="K145" s="659"/>
      <c r="L145" s="659"/>
      <c r="M145" s="659"/>
      <c r="N145" s="659"/>
      <c r="O145" s="635"/>
      <c r="P145" s="635"/>
      <c r="R145" s="659"/>
      <c r="S145" s="659"/>
      <c r="T145" s="659"/>
      <c r="U145" s="659"/>
      <c r="V145" s="635"/>
      <c r="W145" s="635"/>
      <c r="X145" s="1177">
        <f>ROW()</f>
        <v>145</v>
      </c>
    </row>
    <row r="146" spans="2:24" ht="14.1" customHeight="1">
      <c r="B146" s="188" t="s">
        <v>1679</v>
      </c>
      <c r="D146" s="659">
        <f>SUM(D121:D144)</f>
        <v>99400.500000000015</v>
      </c>
      <c r="E146" s="659">
        <f>SUM(E121:E144)</f>
        <v>83915.818181818177</v>
      </c>
      <c r="F146" s="659">
        <f>SUM(F121:F144)</f>
        <v>80012.888888888891</v>
      </c>
      <c r="G146" s="659">
        <f>SUM(G121:G144)</f>
        <v>72455.777777777766</v>
      </c>
      <c r="H146" s="117">
        <f>F146/D146</f>
        <v>0.80495459166592598</v>
      </c>
      <c r="I146" s="117">
        <f>G146/E146</f>
        <v>0.863434086059791</v>
      </c>
      <c r="K146" s="659">
        <f>SUM(K121:K144)</f>
        <v>101386.99999999999</v>
      </c>
      <c r="L146" s="659">
        <f>SUM(L121:L144)</f>
        <v>84832.368421052626</v>
      </c>
      <c r="M146" s="659">
        <f>SUM(M121:M144)</f>
        <v>85871.799999999988</v>
      </c>
      <c r="N146" s="659">
        <f>SUM(N121:N144)</f>
        <v>75177.2</v>
      </c>
      <c r="O146" s="117">
        <f>M146/K146</f>
        <v>0.84697051890281794</v>
      </c>
      <c r="P146" s="117">
        <f>N146/L146</f>
        <v>0.88618532523893878</v>
      </c>
      <c r="R146" s="659">
        <f>SUM(R121:R144)</f>
        <v>100393.75</v>
      </c>
      <c r="S146" s="659">
        <f>SUM(S121:S144)</f>
        <v>84374.093301435423</v>
      </c>
      <c r="T146" s="659">
        <f>SUM(T121:T144)</f>
        <v>82942.344444444461</v>
      </c>
      <c r="U146" s="659">
        <f>SUM(U121:U144)</f>
        <v>73816.488888888896</v>
      </c>
      <c r="V146" s="117">
        <f>T146/R146</f>
        <v>0.82617039850034946</v>
      </c>
      <c r="W146" s="117">
        <f>U146/S146</f>
        <v>0.87487149195395364</v>
      </c>
      <c r="X146" s="1177">
        <f>ROW()</f>
        <v>146</v>
      </c>
    </row>
    <row r="147" spans="2:24" ht="14.1" customHeight="1">
      <c r="X147" s="1177">
        <f>ROW()</f>
        <v>147</v>
      </c>
    </row>
    <row r="148" spans="2:24" ht="14.1" customHeight="1">
      <c r="U148" t="s">
        <v>2667</v>
      </c>
      <c r="V148" s="621">
        <f>AVERAGE(V146:W146)</f>
        <v>0.8505209452271516</v>
      </c>
      <c r="X148" s="1177">
        <f>ROW()</f>
        <v>148</v>
      </c>
    </row>
  </sheetData>
  <customSheetViews>
    <customSheetView guid="{BD5E6263-A0AD-4076-921A-D4EBD62848EF}" showRuler="0">
      <selection activeCell="B3" sqref="B3"/>
      <pageMargins left="0.75" right="0.75" top="1" bottom="1" header="0.5" footer="0.5"/>
      <pageSetup orientation="portrait" verticalDpi="1200" r:id="rId1"/>
      <headerFooter alignWithMargins="0"/>
    </customSheetView>
    <customSheetView guid="{1D5AE30A-CA7C-4B32-AEA4-9F37A560AAA8}" showRuler="0">
      <selection activeCell="B3" sqref="B3"/>
      <pageMargins left="0.75" right="0.75" top="1" bottom="1" header="0.5" footer="0.5"/>
      <pageSetup orientation="portrait" verticalDpi="1200" r:id="rId2"/>
      <headerFooter alignWithMargins="0"/>
    </customSheetView>
  </customSheetViews>
  <mergeCells count="22">
    <mergeCell ref="B4:P7"/>
    <mergeCell ref="B9:P11"/>
    <mergeCell ref="K15:L15"/>
    <mergeCell ref="F40:G40"/>
    <mergeCell ref="B32:P36"/>
    <mergeCell ref="H40:I40"/>
    <mergeCell ref="O40:P40"/>
    <mergeCell ref="D40:E40"/>
    <mergeCell ref="D39:I39"/>
    <mergeCell ref="N16:O25"/>
    <mergeCell ref="R39:W39"/>
    <mergeCell ref="R40:S40"/>
    <mergeCell ref="T40:U40"/>
    <mergeCell ref="V40:W40"/>
    <mergeCell ref="K112:P114"/>
    <mergeCell ref="K40:L40"/>
    <mergeCell ref="B112:I114"/>
    <mergeCell ref="B30:P31"/>
    <mergeCell ref="B75:I77"/>
    <mergeCell ref="K39:P39"/>
    <mergeCell ref="M40:N40"/>
    <mergeCell ref="K75:P76"/>
  </mergeCells>
  <phoneticPr fontId="6" type="noConversion"/>
  <conditionalFormatting sqref="H84:I109 O84:P109 V84:W109 H47:I72 O47:P72 V47:W72 H121:I146 O121:P146 V121:W146">
    <cfRule type="cellIs" dxfId="6" priority="1" stopIfTrue="1" operator="greaterThanOrEqual">
      <formula>1</formula>
    </cfRule>
  </conditionalFormatting>
  <pageMargins left="0.75" right="0.75" top="1" bottom="1" header="0.5" footer="0.5"/>
  <pageSetup orientation="portrait" verticalDpi="1200" r:id="rId3"/>
  <headerFooter alignWithMargins="0"/>
</worksheet>
</file>

<file path=xl/worksheets/sheet31.xml><?xml version="1.0" encoding="utf-8"?>
<worksheet xmlns="http://schemas.openxmlformats.org/spreadsheetml/2006/main" xmlns:r="http://schemas.openxmlformats.org/officeDocument/2006/relationships">
  <sheetPr codeName="Sheet15"/>
  <dimension ref="A1:BY232"/>
  <sheetViews>
    <sheetView workbookViewId="0"/>
  </sheetViews>
  <sheetFormatPr defaultRowHeight="11.4"/>
  <cols>
    <col min="1" max="1" width="2.75" customWidth="1"/>
    <col min="2" max="2" width="11.125" customWidth="1"/>
    <col min="3" max="3" width="12.375" customWidth="1"/>
    <col min="4" max="6" width="11.125" customWidth="1"/>
    <col min="7" max="14" width="11.625" customWidth="1"/>
    <col min="15" max="15" width="1.75" customWidth="1"/>
    <col min="16" max="23" width="12.75" customWidth="1"/>
    <col min="24" max="24" width="1.75" customWidth="1"/>
    <col min="25" max="32" width="12.75" customWidth="1"/>
    <col min="33" max="33" width="1.75" customWidth="1"/>
    <col min="34" max="41" width="12.75" customWidth="1"/>
    <col min="42" max="42" width="1.75" customWidth="1"/>
    <col min="43" max="50" width="12.75" customWidth="1"/>
    <col min="51" max="51" width="1.75" customWidth="1"/>
    <col min="52" max="59" width="12.75" customWidth="1"/>
    <col min="60" max="60" width="1.75" customWidth="1"/>
    <col min="61" max="68" width="12.75" customWidth="1"/>
  </cols>
  <sheetData>
    <row r="1" spans="2:21">
      <c r="B1" s="1199"/>
      <c r="O1" s="136">
        <f>ROW()</f>
        <v>1</v>
      </c>
    </row>
    <row r="2" spans="2:21" ht="14.1" customHeight="1">
      <c r="B2" s="115" t="s">
        <v>656</v>
      </c>
      <c r="M2" s="181">
        <f>'Title Page'!K1</f>
        <v>40914</v>
      </c>
      <c r="O2" s="136">
        <f>ROW()</f>
        <v>2</v>
      </c>
    </row>
    <row r="3" spans="2:21" ht="14.1" customHeight="1">
      <c r="B3" s="1199"/>
      <c r="G3" s="181"/>
      <c r="O3" s="136">
        <f>ROW()</f>
        <v>3</v>
      </c>
    </row>
    <row r="4" spans="2:21" ht="14.1" customHeight="1">
      <c r="B4" s="4955" t="s">
        <v>5263</v>
      </c>
      <c r="C4" s="4956"/>
      <c r="D4" s="4956"/>
      <c r="E4" s="4956"/>
      <c r="F4" s="4956"/>
      <c r="G4" s="4956"/>
      <c r="H4" s="4956"/>
      <c r="I4" s="4956"/>
      <c r="J4" s="4956"/>
      <c r="K4" s="4956"/>
      <c r="O4" s="136">
        <f>ROW()</f>
        <v>4</v>
      </c>
    </row>
    <row r="5" spans="2:21" ht="14.1" customHeight="1">
      <c r="B5" s="4956"/>
      <c r="C5" s="4956"/>
      <c r="D5" s="4956"/>
      <c r="E5" s="4956"/>
      <c r="F5" s="4956"/>
      <c r="G5" s="4956"/>
      <c r="H5" s="4956"/>
      <c r="I5" s="4956"/>
      <c r="J5" s="4956"/>
      <c r="K5" s="4956"/>
      <c r="O5" s="136">
        <f>ROW()</f>
        <v>5</v>
      </c>
    </row>
    <row r="6" spans="2:21" ht="14.1" customHeight="1">
      <c r="B6" s="4956"/>
      <c r="C6" s="4956"/>
      <c r="D6" s="4956"/>
      <c r="E6" s="4956"/>
      <c r="F6" s="4956"/>
      <c r="G6" s="4956"/>
      <c r="H6" s="4956"/>
      <c r="I6" s="4956"/>
      <c r="J6" s="4956"/>
      <c r="K6" s="4956"/>
      <c r="O6" s="136">
        <f>ROW()</f>
        <v>6</v>
      </c>
    </row>
    <row r="7" spans="2:21" ht="14.1" customHeight="1">
      <c r="B7" s="4956"/>
      <c r="C7" s="4956"/>
      <c r="D7" s="4956"/>
      <c r="E7" s="4956"/>
      <c r="F7" s="4956"/>
      <c r="G7" s="4956"/>
      <c r="H7" s="4956"/>
      <c r="I7" s="4956"/>
      <c r="J7" s="4956"/>
      <c r="K7" s="4956"/>
      <c r="O7" s="136">
        <f>ROW()</f>
        <v>7</v>
      </c>
    </row>
    <row r="8" spans="2:21" ht="14.1" customHeight="1">
      <c r="B8" s="4956"/>
      <c r="C8" s="4956"/>
      <c r="D8" s="4956"/>
      <c r="E8" s="4956"/>
      <c r="F8" s="4956"/>
      <c r="G8" s="4956"/>
      <c r="H8" s="4956"/>
      <c r="I8" s="4956"/>
      <c r="J8" s="4956"/>
      <c r="K8" s="4956"/>
      <c r="O8" s="136">
        <f>ROW()</f>
        <v>8</v>
      </c>
    </row>
    <row r="9" spans="2:21" ht="14.1" customHeight="1">
      <c r="B9" s="115"/>
      <c r="G9" s="181"/>
      <c r="O9" s="136">
        <f>ROW()</f>
        <v>9</v>
      </c>
    </row>
    <row r="10" spans="2:21" ht="14.1" customHeight="1">
      <c r="B10" s="4348" t="str">
        <f>CONCATENATE("This worksheet estimates the aggregate delays borne by all 'current' motor vehicle users as a result of a single additional vehicle trip into the CBD on a weekday. See result in Row ",O140, ". See 'Delays Weekends' worksheet for analogous calculations for weekends.")</f>
        <v>This worksheet estimates the aggregate delays borne by all 'current' motor vehicle users as a result of a single additional vehicle trip into the CBD on a weekday. See result in Row 140. See 'Delays Weekends' worksheet for analogous calculations for weekends.</v>
      </c>
      <c r="C10" s="3779"/>
      <c r="D10" s="3779"/>
      <c r="E10" s="3779"/>
      <c r="F10" s="3779"/>
      <c r="G10" s="3779"/>
      <c r="H10" s="3779"/>
      <c r="I10" s="3779"/>
      <c r="J10" s="3779"/>
      <c r="K10" s="3779"/>
      <c r="L10" s="3779"/>
      <c r="O10" s="136">
        <f>ROW()</f>
        <v>10</v>
      </c>
    </row>
    <row r="11" spans="2:21">
      <c r="B11" s="3779"/>
      <c r="C11" s="3779"/>
      <c r="D11" s="3779"/>
      <c r="E11" s="3779"/>
      <c r="F11" s="3779"/>
      <c r="G11" s="3779"/>
      <c r="H11" s="3779"/>
      <c r="I11" s="3779"/>
      <c r="J11" s="3779"/>
      <c r="K11" s="3779"/>
      <c r="L11" s="3779"/>
      <c r="M11" s="281"/>
      <c r="N11" s="281"/>
      <c r="O11" s="136">
        <f>ROW()</f>
        <v>11</v>
      </c>
      <c r="P11" s="902"/>
      <c r="Q11" s="113"/>
      <c r="R11" s="113"/>
      <c r="S11" s="113"/>
      <c r="T11" s="113"/>
      <c r="U11" s="113"/>
    </row>
    <row r="12" spans="2:21" ht="12">
      <c r="B12" s="129"/>
      <c r="C12" s="129"/>
      <c r="D12" s="129"/>
      <c r="E12" s="129"/>
      <c r="F12" s="129"/>
      <c r="G12" s="129"/>
      <c r="H12" s="129"/>
      <c r="I12" s="129"/>
      <c r="J12" s="129"/>
      <c r="K12" s="129"/>
      <c r="L12" s="129"/>
      <c r="M12" s="281"/>
      <c r="N12" s="281"/>
      <c r="O12" s="136">
        <f>ROW()</f>
        <v>12</v>
      </c>
      <c r="P12" s="902"/>
      <c r="Q12" s="113"/>
      <c r="R12" s="113"/>
      <c r="S12" s="113"/>
      <c r="T12" s="113"/>
      <c r="U12" s="113"/>
    </row>
    <row r="13" spans="2:21" ht="12" customHeight="1">
      <c r="B13" s="3810" t="s">
        <v>2049</v>
      </c>
      <c r="C13" s="3810"/>
      <c r="D13" s="3810"/>
      <c r="E13" s="3810"/>
      <c r="F13" s="3810"/>
      <c r="G13" s="3810"/>
      <c r="H13" s="3810"/>
      <c r="I13" s="3810"/>
      <c r="J13" s="3810"/>
      <c r="K13" s="3810"/>
      <c r="L13" s="3810"/>
      <c r="M13" s="217"/>
      <c r="N13" s="217"/>
      <c r="O13" s="136">
        <f>ROW()</f>
        <v>13</v>
      </c>
      <c r="P13" s="902"/>
      <c r="Q13" s="113"/>
      <c r="R13" s="113"/>
      <c r="S13" s="113"/>
      <c r="T13" s="113"/>
      <c r="U13" s="113"/>
    </row>
    <row r="14" spans="2:21">
      <c r="B14" s="3810"/>
      <c r="C14" s="3810"/>
      <c r="D14" s="3810"/>
      <c r="E14" s="3810"/>
      <c r="F14" s="3810"/>
      <c r="G14" s="3810"/>
      <c r="H14" s="3810"/>
      <c r="I14" s="3810"/>
      <c r="J14" s="3810"/>
      <c r="K14" s="3810"/>
      <c r="L14" s="3810"/>
      <c r="M14" s="217"/>
      <c r="N14" s="217"/>
      <c r="O14" s="136">
        <f>ROW()</f>
        <v>14</v>
      </c>
      <c r="P14" s="902"/>
      <c r="Q14" s="113"/>
      <c r="R14" s="113"/>
      <c r="S14" s="113"/>
      <c r="T14" s="113"/>
      <c r="U14" s="113"/>
    </row>
    <row r="15" spans="2:21">
      <c r="B15" s="3810"/>
      <c r="C15" s="3810"/>
      <c r="D15" s="3810"/>
      <c r="E15" s="3810"/>
      <c r="F15" s="3810"/>
      <c r="G15" s="3810"/>
      <c r="H15" s="3810"/>
      <c r="I15" s="3810"/>
      <c r="J15" s="3810"/>
      <c r="K15" s="3810"/>
      <c r="L15" s="3810"/>
      <c r="M15" s="217"/>
      <c r="N15" s="217"/>
      <c r="O15" s="136">
        <f>ROW()</f>
        <v>15</v>
      </c>
      <c r="P15" s="902"/>
      <c r="Q15" s="113"/>
      <c r="R15" s="113"/>
      <c r="S15" s="113"/>
      <c r="T15" s="113"/>
      <c r="U15" s="113"/>
    </row>
    <row r="16" spans="2:21">
      <c r="B16" s="3810"/>
      <c r="C16" s="3810"/>
      <c r="D16" s="3810"/>
      <c r="E16" s="3810"/>
      <c r="F16" s="3810"/>
      <c r="G16" s="3810"/>
      <c r="H16" s="3810"/>
      <c r="I16" s="3810"/>
      <c r="J16" s="3810"/>
      <c r="K16" s="3810"/>
      <c r="L16" s="3810"/>
      <c r="M16" s="281"/>
      <c r="N16" s="281"/>
      <c r="O16" s="136">
        <f>ROW()</f>
        <v>16</v>
      </c>
      <c r="P16" s="902"/>
      <c r="Q16" s="113"/>
      <c r="R16" s="113"/>
      <c r="S16" s="113"/>
      <c r="T16" s="113"/>
      <c r="U16" s="113"/>
    </row>
    <row r="17" spans="2:68">
      <c r="M17" s="281"/>
      <c r="N17" s="281"/>
      <c r="O17" s="136">
        <f>ROW()</f>
        <v>17</v>
      </c>
      <c r="P17" s="902"/>
      <c r="Q17" s="113"/>
      <c r="R17" s="113"/>
      <c r="S17" s="113"/>
      <c r="T17" s="113"/>
      <c r="U17" s="113"/>
    </row>
    <row r="18" spans="2:68">
      <c r="B18" s="3781" t="str">
        <f>CONCATENATE("In performing these calculations, we have taken care to calculate total traffic delays, in the section beginning in Row ",O117, ", for 'baseline vehicles' only, to avoid 'charging' the posited additional trips for the delays they themselves experience." )</f>
        <v>In performing these calculations, we have taken care to calculate total traffic delays, in the section beginning in Row 117, for 'baseline vehicles' only, to avoid 'charging' the posited additional trips for the delays they themselves experience.</v>
      </c>
      <c r="C18" s="3781"/>
      <c r="D18" s="3781"/>
      <c r="E18" s="3781"/>
      <c r="F18" s="3781"/>
      <c r="G18" s="3781"/>
      <c r="H18" s="3781"/>
      <c r="I18" s="3781"/>
      <c r="J18" s="3781"/>
      <c r="K18" s="3781"/>
      <c r="L18" s="3781"/>
      <c r="M18" s="281"/>
      <c r="N18" s="281"/>
      <c r="O18" s="136">
        <f>ROW()</f>
        <v>18</v>
      </c>
      <c r="P18" s="902"/>
      <c r="Q18" s="113"/>
      <c r="R18" s="113"/>
      <c r="S18" s="113"/>
      <c r="T18" s="113"/>
      <c r="U18" s="113"/>
    </row>
    <row r="19" spans="2:68">
      <c r="B19" s="3781"/>
      <c r="C19" s="3781"/>
      <c r="D19" s="3781"/>
      <c r="E19" s="3781"/>
      <c r="F19" s="3781"/>
      <c r="G19" s="3781"/>
      <c r="H19" s="3781"/>
      <c r="I19" s="3781"/>
      <c r="J19" s="3781"/>
      <c r="K19" s="3781"/>
      <c r="L19" s="3781"/>
      <c r="M19" s="281"/>
      <c r="N19" s="281"/>
      <c r="O19" s="136">
        <f>ROW()</f>
        <v>19</v>
      </c>
      <c r="P19" s="902"/>
      <c r="Q19" s="113"/>
      <c r="R19" s="113"/>
      <c r="S19" s="113"/>
      <c r="T19" s="113"/>
      <c r="U19" s="113"/>
    </row>
    <row r="20" spans="2:68">
      <c r="M20" s="281"/>
      <c r="N20" s="281"/>
      <c r="O20" s="136">
        <f>ROW()</f>
        <v>20</v>
      </c>
      <c r="P20" s="902"/>
      <c r="Q20" s="113"/>
      <c r="R20" s="113"/>
      <c r="S20" s="113"/>
      <c r="T20" s="113"/>
      <c r="U20" s="113"/>
    </row>
    <row r="21" spans="2:68" ht="12">
      <c r="B21" s="836" t="str">
        <f>CONCATENATE("Trips added to 'merged cell' (autos-thru trips-taxis) in Row ",O28, " to estimate delay impact per trip:")</f>
        <v>Trips added to 'merged cell' (autos-thru trips-taxis) in Row 28 to estimate delay impact per trip:</v>
      </c>
      <c r="C21" s="173"/>
      <c r="D21" s="173"/>
      <c r="E21" s="173"/>
      <c r="F21" s="173"/>
      <c r="G21" s="173"/>
      <c r="H21" s="173"/>
      <c r="I21" s="173"/>
      <c r="J21" s="1074">
        <v>100</v>
      </c>
      <c r="M21" s="281"/>
      <c r="O21" s="136">
        <f>ROW()</f>
        <v>21</v>
      </c>
      <c r="P21" s="902"/>
    </row>
    <row r="22" spans="2:68" ht="12">
      <c r="B22" s="275" t="str">
        <f>CONCATENATE("Note: this figure could be virtually any number, since delay costs in Row ",O135, " are calculated per trip, and the ratio is nearly constant over a fairly wide range.")</f>
        <v>Note: this figure could be virtually any number, since delay costs in Row 135 are calculated per trip, and the ratio is nearly constant over a fairly wide range.</v>
      </c>
      <c r="C22" s="902"/>
      <c r="D22" s="902"/>
      <c r="E22" s="902"/>
      <c r="F22" s="902"/>
      <c r="G22" s="902"/>
      <c r="H22" s="902"/>
      <c r="I22" s="902"/>
      <c r="J22" s="964"/>
      <c r="K22" s="86"/>
      <c r="L22" s="86"/>
      <c r="M22" s="1025"/>
      <c r="O22" s="136">
        <f>ROW()</f>
        <v>22</v>
      </c>
      <c r="P22" s="902"/>
    </row>
    <row r="23" spans="2:68">
      <c r="M23" s="217"/>
      <c r="O23" s="136">
        <f>ROW()</f>
        <v>23</v>
      </c>
      <c r="P23" s="902"/>
    </row>
    <row r="24" spans="2:68" ht="13.2">
      <c r="B24" s="24" t="s">
        <v>1686</v>
      </c>
      <c r="C24" s="217"/>
      <c r="D24" s="217"/>
      <c r="E24" s="217"/>
      <c r="F24" s="217"/>
      <c r="O24" s="136">
        <f>ROW()</f>
        <v>24</v>
      </c>
      <c r="P24" s="902"/>
      <c r="Y24" s="43"/>
      <c r="AH24" s="43"/>
      <c r="AQ24" s="43"/>
      <c r="AZ24" s="43"/>
      <c r="BI24" s="43"/>
    </row>
    <row r="25" spans="2:68">
      <c r="L25" s="23"/>
      <c r="O25" s="136">
        <f>ROW()</f>
        <v>25</v>
      </c>
      <c r="P25" s="902"/>
    </row>
    <row r="26" spans="2:68" ht="12">
      <c r="B26" s="6" t="s">
        <v>1234</v>
      </c>
      <c r="H26" s="20" t="s">
        <v>367</v>
      </c>
      <c r="I26" s="20" t="s">
        <v>368</v>
      </c>
      <c r="J26" s="20" t="s">
        <v>2473</v>
      </c>
      <c r="K26" s="20" t="s">
        <v>1241</v>
      </c>
      <c r="L26" s="20" t="s">
        <v>2212</v>
      </c>
      <c r="M26" s="20" t="s">
        <v>967</v>
      </c>
      <c r="N26" s="20" t="s">
        <v>228</v>
      </c>
      <c r="O26" s="136">
        <f>ROW()</f>
        <v>26</v>
      </c>
      <c r="P26" s="902"/>
      <c r="Y26" s="608"/>
      <c r="AH26" s="608"/>
      <c r="AQ26" s="608"/>
      <c r="AZ26" s="608"/>
      <c r="BI26" s="608"/>
    </row>
    <row r="27" spans="2:68" ht="12">
      <c r="B27" s="6"/>
      <c r="H27" s="7" t="str">
        <f>CONCATENATE("Figure = corresponding figure in Motor Vs worksheet + increment number in Row ",O21, ".")</f>
        <v>Figure = corresponding figure in Motor Vs worksheet + increment number in Row 21.</v>
      </c>
      <c r="I27" s="8"/>
      <c r="J27" s="8"/>
      <c r="K27" s="8"/>
      <c r="L27" s="8"/>
      <c r="O27" s="136">
        <f>ROW()</f>
        <v>27</v>
      </c>
      <c r="P27" s="902"/>
      <c r="Y27" s="627"/>
      <c r="AH27" s="627"/>
      <c r="AQ27" s="627"/>
      <c r="AZ27" s="627"/>
      <c r="BI27" s="627"/>
    </row>
    <row r="28" spans="2:68" ht="12">
      <c r="B28" s="1056" t="str">
        <f>'Motor Vs'!B27</f>
        <v>Daily motor vehicle trips into cordon</v>
      </c>
      <c r="C28" s="281"/>
      <c r="D28" s="281"/>
      <c r="E28" s="281"/>
      <c r="F28" s="281"/>
      <c r="G28" s="281"/>
      <c r="H28" s="4960">
        <f>'Motor Vs'!I27+J21-K28</f>
        <v>673100</v>
      </c>
      <c r="I28" s="4961"/>
      <c r="J28" s="10">
        <v>0</v>
      </c>
      <c r="K28" s="10">
        <f>'Motor Vs'!L30</f>
        <v>65000</v>
      </c>
      <c r="L28" s="10">
        <f>'Motor Vs'!M27</f>
        <v>45000</v>
      </c>
      <c r="M28" s="10">
        <f>'Motor Vs'!N27</f>
        <v>12000</v>
      </c>
      <c r="N28" s="186">
        <f>SUM(H28:M28)</f>
        <v>795100</v>
      </c>
      <c r="O28" s="136">
        <f>ROW()</f>
        <v>28</v>
      </c>
      <c r="P28" s="902"/>
      <c r="Y28" s="628"/>
      <c r="AH28" s="628"/>
      <c r="AQ28" s="628"/>
      <c r="AZ28" s="628"/>
      <c r="BI28" s="628"/>
    </row>
    <row r="29" spans="2:68" ht="12" customHeight="1">
      <c r="B29" s="4962" t="s">
        <v>2556</v>
      </c>
      <c r="C29" s="4962"/>
      <c r="D29" s="4962"/>
      <c r="E29" s="4962"/>
      <c r="F29" s="4962"/>
      <c r="G29" s="4962"/>
      <c r="H29" s="4962"/>
      <c r="I29" s="4962"/>
      <c r="J29" s="4962"/>
      <c r="K29" s="4962"/>
      <c r="L29" s="214"/>
      <c r="M29" s="214"/>
      <c r="N29" s="45"/>
      <c r="O29" s="136">
        <f>ROW()</f>
        <v>29</v>
      </c>
      <c r="P29" s="903"/>
      <c r="Y29" s="628"/>
      <c r="AH29" s="628"/>
      <c r="AQ29" s="628"/>
      <c r="AZ29" s="628"/>
      <c r="BI29" s="628"/>
    </row>
    <row r="30" spans="2:68" ht="12" customHeight="1">
      <c r="B30" s="4962"/>
      <c r="C30" s="4962"/>
      <c r="D30" s="4962"/>
      <c r="E30" s="4962"/>
      <c r="F30" s="4962"/>
      <c r="G30" s="4962"/>
      <c r="H30" s="4962"/>
      <c r="I30" s="4962"/>
      <c r="J30" s="4962"/>
      <c r="K30" s="4962"/>
      <c r="L30" s="214"/>
      <c r="M30" s="214"/>
      <c r="N30" s="45"/>
      <c r="O30" s="136">
        <f>ROW()</f>
        <v>30</v>
      </c>
      <c r="P30" s="903"/>
      <c r="Y30" s="628"/>
      <c r="AH30" s="628"/>
      <c r="AQ30" s="628"/>
      <c r="AZ30" s="628"/>
      <c r="BI30" s="628"/>
    </row>
    <row r="31" spans="2:68" ht="12">
      <c r="B31" s="280" t="s">
        <v>2557</v>
      </c>
      <c r="H31" s="4287">
        <f>'Motor Vs'!I32</f>
        <v>0.34</v>
      </c>
      <c r="I31" s="4287"/>
      <c r="J31" s="446" t="str">
        <f>'Motor Vs'!K32</f>
        <v>N.A.</v>
      </c>
      <c r="K31" s="446">
        <f>'Motor Vs'!L32</f>
        <v>0</v>
      </c>
      <c r="L31" s="446">
        <f>'Motor Vs'!M32</f>
        <v>0.34</v>
      </c>
      <c r="M31" s="446">
        <f>'Motor Vs'!N32</f>
        <v>0.1</v>
      </c>
      <c r="N31" s="631"/>
      <c r="O31" s="136">
        <f>ROW()</f>
        <v>31</v>
      </c>
      <c r="P31" s="4147" t="str">
        <f>'Motor Vs'!P34:W34</f>
        <v>AUTO TRIPS FOR WORK</v>
      </c>
      <c r="Q31" s="4147"/>
      <c r="R31" s="4147"/>
      <c r="S31" s="4147"/>
      <c r="T31" s="4147"/>
      <c r="U31" s="4147"/>
      <c r="V31" s="4147"/>
      <c r="W31" s="4147"/>
      <c r="Y31" s="4147" t="str">
        <f>'Motor Vs'!Y34:AF34</f>
        <v>AUTO TRIPS FOR NON-WORK</v>
      </c>
      <c r="Z31" s="4147"/>
      <c r="AA31" s="4147"/>
      <c r="AB31" s="4147"/>
      <c r="AC31" s="4147"/>
      <c r="AD31" s="4147"/>
      <c r="AE31" s="4147"/>
      <c r="AF31" s="4147"/>
      <c r="AH31" s="4147" t="str">
        <f>'Motor Vs'!AH34:AO34</f>
        <v>THROUGH-TRIPS (AUTOS ONLY)</v>
      </c>
      <c r="AI31" s="4147"/>
      <c r="AJ31" s="4147"/>
      <c r="AK31" s="4147"/>
      <c r="AL31" s="4147"/>
      <c r="AM31" s="4147"/>
      <c r="AN31" s="4147"/>
      <c r="AO31" s="4147"/>
      <c r="AQ31" s="4147" t="str">
        <f>'Motor Vs'!AQ34:AX34</f>
        <v>TAXICABS (MEDALLION TAXIS ONLY)</v>
      </c>
      <c r="AR31" s="4147"/>
      <c r="AS31" s="4147"/>
      <c r="AT31" s="4147"/>
      <c r="AU31" s="4147"/>
      <c r="AV31" s="4147"/>
      <c r="AW31" s="4147"/>
      <c r="AX31" s="4147"/>
      <c r="AZ31" s="4147" t="str">
        <f>'Motor Vs'!AZ34:BG34</f>
        <v>TRUCKS</v>
      </c>
      <c r="BA31" s="4147"/>
      <c r="BB31" s="4147"/>
      <c r="BC31" s="4147"/>
      <c r="BD31" s="4147"/>
      <c r="BE31" s="4147"/>
      <c r="BF31" s="4147"/>
      <c r="BG31" s="4147"/>
      <c r="BI31" s="4147" t="str">
        <f>'Motor Vs'!BI34:BP34</f>
        <v>BUSES</v>
      </c>
      <c r="BJ31" s="4147"/>
      <c r="BK31" s="4147"/>
      <c r="BL31" s="4147"/>
      <c r="BM31" s="4147"/>
      <c r="BN31" s="4147"/>
      <c r="BO31" s="4147"/>
      <c r="BP31" s="4147"/>
    </row>
    <row r="32" spans="2:68">
      <c r="B32" s="215" t="s">
        <v>2698</v>
      </c>
      <c r="I32" s="342"/>
      <c r="J32" s="113"/>
      <c r="K32" s="629"/>
      <c r="L32" s="630"/>
      <c r="M32" s="10"/>
      <c r="N32" s="631"/>
      <c r="O32" s="136">
        <f>ROW()</f>
        <v>32</v>
      </c>
    </row>
    <row r="33" spans="2:68" ht="13.2">
      <c r="B33" s="281" t="s">
        <v>1832</v>
      </c>
      <c r="H33" s="4963">
        <f>H28*(1-H31)</f>
        <v>444245.99999999994</v>
      </c>
      <c r="I33" s="4963"/>
      <c r="J33" s="632">
        <f>N28-(H33+SUM(K33:M33))</f>
        <v>245354</v>
      </c>
      <c r="K33" s="10">
        <f>K28*(1-K31)</f>
        <v>65000</v>
      </c>
      <c r="L33" s="10">
        <f>L28*(1-L31)</f>
        <v>29699.999999999996</v>
      </c>
      <c r="M33" s="10">
        <f>M28*(1-M31)</f>
        <v>10800</v>
      </c>
      <c r="N33" s="10">
        <f>SUM(H33:M33)</f>
        <v>795100</v>
      </c>
      <c r="O33" s="136">
        <f>ROW()</f>
        <v>33</v>
      </c>
      <c r="P33" s="4954" t="str">
        <f>CONCATENATE("Data will appear in this 'column block' after Row ",$O$59,)</f>
        <v>Data will appear in this 'column block' after Row 59</v>
      </c>
      <c r="Q33" s="4954"/>
      <c r="R33" s="4954"/>
      <c r="S33" s="4954"/>
      <c r="T33" s="4954"/>
      <c r="U33" s="4954"/>
      <c r="V33" s="4954"/>
      <c r="W33" s="4954"/>
      <c r="Y33" s="4954" t="str">
        <f>CONCATENATE("Data will appear in this 'column block' after Row ",$O$59,)</f>
        <v>Data will appear in this 'column block' after Row 59</v>
      </c>
      <c r="Z33" s="4954"/>
      <c r="AA33" s="4954"/>
      <c r="AB33" s="4954"/>
      <c r="AC33" s="4954"/>
      <c r="AD33" s="4954"/>
      <c r="AE33" s="4954"/>
      <c r="AF33" s="4954"/>
      <c r="AH33" s="4954" t="str">
        <f>CONCATENATE("Data will appear in this 'column block' after Row ",$O$59,)</f>
        <v>Data will appear in this 'column block' after Row 59</v>
      </c>
      <c r="AI33" s="4954"/>
      <c r="AJ33" s="4954"/>
      <c r="AK33" s="4954"/>
      <c r="AL33" s="4954"/>
      <c r="AM33" s="4954"/>
      <c r="AN33" s="4954"/>
      <c r="AO33" s="4954"/>
      <c r="AQ33" s="4954" t="str">
        <f>CONCATENATE("Data will appear in this 'column block' after Row ",$O$59,)</f>
        <v>Data will appear in this 'column block' after Row 59</v>
      </c>
      <c r="AR33" s="4954"/>
      <c r="AS33" s="4954"/>
      <c r="AT33" s="4954"/>
      <c r="AU33" s="4954"/>
      <c r="AV33" s="4954"/>
      <c r="AW33" s="4954"/>
      <c r="AX33" s="4954"/>
      <c r="AZ33" s="4954" t="str">
        <f>CONCATENATE("Data will appear in this 'column block' after Row ",$O$59,)</f>
        <v>Data will appear in this 'column block' after Row 59</v>
      </c>
      <c r="BA33" s="4954"/>
      <c r="BB33" s="4954"/>
      <c r="BC33" s="4954"/>
      <c r="BD33" s="4954"/>
      <c r="BE33" s="4954"/>
      <c r="BF33" s="4954"/>
      <c r="BG33" s="4954"/>
      <c r="BI33" s="4954" t="str">
        <f>CONCATENATE("Data will appear in this 'column block' after Row ",$O$59,)</f>
        <v>Data will appear in this 'column block' after Row 59</v>
      </c>
      <c r="BJ33" s="4954"/>
      <c r="BK33" s="4954"/>
      <c r="BL33" s="4954"/>
      <c r="BM33" s="4954"/>
      <c r="BN33" s="4954"/>
      <c r="BO33" s="4954"/>
      <c r="BP33" s="4954"/>
    </row>
    <row r="34" spans="2:68">
      <c r="B34" s="281" t="s">
        <v>2848</v>
      </c>
      <c r="H34" s="209">
        <f>H.I.S.!G131</f>
        <v>0.58708201873587496</v>
      </c>
      <c r="I34" s="209">
        <f>1-H34</f>
        <v>0.41291798126412504</v>
      </c>
      <c r="M34" s="23"/>
      <c r="O34" s="136">
        <f>ROW()</f>
        <v>34</v>
      </c>
    </row>
    <row r="35" spans="2:68" s="86" customFormat="1">
      <c r="B35" s="275" t="s">
        <v>2363</v>
      </c>
      <c r="G35" s="816"/>
      <c r="H35" s="1077">
        <f>'Motor Vs'!I76</f>
        <v>260770.0910821009</v>
      </c>
      <c r="I35" s="1077">
        <f>'Motor Vs'!J76</f>
        <v>183409.90891789904</v>
      </c>
      <c r="J35" s="1077">
        <f>'Motor Vs'!K76</f>
        <v>127122.22222222225</v>
      </c>
      <c r="K35" s="1077">
        <f>'Motor Vs'!L76</f>
        <v>65000</v>
      </c>
      <c r="L35" s="1077">
        <f>'Motor Vs'!M76</f>
        <v>38200</v>
      </c>
      <c r="M35" s="1077">
        <f>'Motor Vs'!N76</f>
        <v>11431.578947368422</v>
      </c>
      <c r="N35" s="10">
        <f>SUM(H35:M35)</f>
        <v>685933.80116959068</v>
      </c>
      <c r="O35" s="136">
        <f>ROW()</f>
        <v>35</v>
      </c>
    </row>
    <row r="36" spans="2:68" s="86" customFormat="1" ht="12">
      <c r="B36" s="1049" t="s">
        <v>1118</v>
      </c>
      <c r="C36" s="1050"/>
      <c r="D36" s="1050"/>
      <c r="E36" s="1050"/>
      <c r="F36" s="1050"/>
      <c r="G36" s="1075">
        <f>'User Inputs'!J151</f>
        <v>0</v>
      </c>
      <c r="H36" s="1076">
        <f>H35+H34*($J$21-$J$37)</f>
        <v>260818.81888965599</v>
      </c>
      <c r="I36" s="1076">
        <f>I35+I34*($J$21-$J$37)</f>
        <v>183444.18111034395</v>
      </c>
      <c r="J36" s="1076">
        <f>J35+0.5*H31*J21</f>
        <v>127139.22222222225</v>
      </c>
      <c r="K36" s="1076">
        <f>K33*(1-$G$36)</f>
        <v>65000</v>
      </c>
      <c r="L36" s="1076">
        <f>L35</f>
        <v>38200</v>
      </c>
      <c r="M36" s="1076">
        <f>M35</f>
        <v>11431.578947368422</v>
      </c>
      <c r="N36" s="1051">
        <f>SUM(H36:M36)</f>
        <v>686033.80116959068</v>
      </c>
      <c r="O36" s="136">
        <f>ROW()</f>
        <v>36</v>
      </c>
    </row>
    <row r="37" spans="2:68" ht="12" customHeight="1">
      <c r="B37" s="215"/>
      <c r="G37" s="49" t="s">
        <v>1880</v>
      </c>
      <c r="H37" s="10">
        <f t="shared" ref="H37:M37" si="0">H36-H35</f>
        <v>48.727807555085747</v>
      </c>
      <c r="I37" s="10">
        <f t="shared" si="0"/>
        <v>34.272192444914253</v>
      </c>
      <c r="J37" s="10">
        <f t="shared" si="0"/>
        <v>17</v>
      </c>
      <c r="K37" s="10">
        <f t="shared" si="0"/>
        <v>0</v>
      </c>
      <c r="L37" s="10">
        <f t="shared" si="0"/>
        <v>0</v>
      </c>
      <c r="M37" s="10">
        <f t="shared" si="0"/>
        <v>0</v>
      </c>
      <c r="N37" s="1078">
        <f>SUM(H37:M37)</f>
        <v>100</v>
      </c>
      <c r="O37" s="136">
        <f>ROW()</f>
        <v>37</v>
      </c>
    </row>
    <row r="38" spans="2:68" ht="12">
      <c r="B38" s="172" t="s">
        <v>1518</v>
      </c>
      <c r="H38" s="113"/>
      <c r="O38" s="136">
        <f>ROW()</f>
        <v>38</v>
      </c>
    </row>
    <row r="39" spans="2:68">
      <c r="B39" s="281" t="s">
        <v>2097</v>
      </c>
      <c r="H39" s="3214">
        <f>'Motor Vs'!I85</f>
        <v>1.25</v>
      </c>
      <c r="I39" s="117">
        <f>'Motor Vs'!J85</f>
        <v>1.25</v>
      </c>
      <c r="J39" s="21">
        <f>'Motor Vs'!K85</f>
        <v>1.6</v>
      </c>
      <c r="K39" s="21">
        <f>'Motor Vs'!L85</f>
        <v>2</v>
      </c>
      <c r="L39" s="21">
        <f>'Motor Vs'!M85</f>
        <v>3</v>
      </c>
      <c r="M39" s="21">
        <f>'Motor Vs'!N85</f>
        <v>2</v>
      </c>
      <c r="O39" s="136">
        <f>ROW()</f>
        <v>39</v>
      </c>
    </row>
    <row r="40" spans="2:68">
      <c r="B40" s="281" t="s">
        <v>2098</v>
      </c>
      <c r="H40" s="3214">
        <f>'Motor Vs'!I79</f>
        <v>16.900058730389546</v>
      </c>
      <c r="I40" s="21">
        <f>'Motor Vs'!J79</f>
        <v>16.900058730389546</v>
      </c>
      <c r="J40" s="21">
        <f>'Motor Vs'!K79</f>
        <v>25.350088095584319</v>
      </c>
      <c r="K40" s="21">
        <f>'Motor Vs'!L79</f>
        <v>6</v>
      </c>
      <c r="L40" s="21">
        <f>'Motor Vs'!M79</f>
        <v>12.520200577749323</v>
      </c>
      <c r="M40" s="21">
        <f>'Motor Vs'!N79</f>
        <v>17.36691118150528</v>
      </c>
      <c r="O40" s="136">
        <f>ROW()</f>
        <v>40</v>
      </c>
    </row>
    <row r="41" spans="2:68" ht="13.2">
      <c r="B41" s="215" t="s">
        <v>1172</v>
      </c>
      <c r="O41" s="136">
        <f>ROW()</f>
        <v>41</v>
      </c>
      <c r="P41" s="4363"/>
      <c r="Q41" s="4363"/>
      <c r="R41" s="4363"/>
      <c r="S41" s="4363"/>
      <c r="T41" s="4363"/>
      <c r="U41" s="4363"/>
      <c r="V41" s="4363"/>
      <c r="W41" s="4363"/>
      <c r="Y41" s="4363"/>
      <c r="Z41" s="4363"/>
      <c r="AA41" s="4363"/>
      <c r="AB41" s="4363"/>
      <c r="AC41" s="4363"/>
      <c r="AD41" s="4363"/>
      <c r="AE41" s="4363"/>
      <c r="AF41" s="4363"/>
      <c r="AH41" s="4363"/>
      <c r="AI41" s="4363"/>
      <c r="AJ41" s="4363"/>
      <c r="AK41" s="4363"/>
      <c r="AL41" s="4363"/>
      <c r="AM41" s="4363"/>
      <c r="AN41" s="4363"/>
      <c r="AO41" s="4363"/>
      <c r="AQ41" s="4363"/>
      <c r="AR41" s="4363"/>
      <c r="AS41" s="4363"/>
      <c r="AT41" s="4363"/>
      <c r="AU41" s="4363"/>
      <c r="AV41" s="4363"/>
      <c r="AW41" s="4363"/>
      <c r="AX41" s="4363"/>
      <c r="AZ41" s="4363"/>
      <c r="BA41" s="4363"/>
      <c r="BB41" s="4363"/>
      <c r="BC41" s="4363"/>
      <c r="BD41" s="4363"/>
      <c r="BE41" s="4363"/>
      <c r="BF41" s="4363"/>
      <c r="BG41" s="4363"/>
      <c r="BI41" s="4363"/>
      <c r="BJ41" s="4363"/>
      <c r="BK41" s="4363"/>
      <c r="BL41" s="4363"/>
      <c r="BM41" s="4363"/>
      <c r="BN41" s="4363"/>
      <c r="BO41" s="4363"/>
      <c r="BP41" s="4363"/>
    </row>
    <row r="42" spans="2:68" ht="13.2">
      <c r="B42" s="215"/>
      <c r="O42" s="136">
        <f>ROW()</f>
        <v>42</v>
      </c>
      <c r="P42" s="1048"/>
      <c r="Q42" s="1048"/>
      <c r="R42" s="1048"/>
      <c r="S42" s="1048"/>
      <c r="T42" s="1048"/>
      <c r="U42" s="1048"/>
      <c r="V42" s="1048"/>
      <c r="W42" s="1048"/>
      <c r="Y42" s="1048"/>
      <c r="Z42" s="1048"/>
      <c r="AA42" s="1048"/>
      <c r="AB42" s="1048"/>
      <c r="AC42" s="1048"/>
      <c r="AD42" s="1048"/>
      <c r="AE42" s="1048"/>
      <c r="AF42" s="1048"/>
      <c r="AH42" s="1048"/>
      <c r="AI42" s="1048"/>
      <c r="AJ42" s="1048"/>
      <c r="AK42" s="1048"/>
      <c r="AL42" s="1048"/>
      <c r="AM42" s="1048"/>
      <c r="AN42" s="1048"/>
      <c r="AO42" s="1048"/>
      <c r="AQ42" s="1048"/>
      <c r="AR42" s="1048"/>
      <c r="AS42" s="1048"/>
      <c r="AT42" s="1048"/>
      <c r="AU42" s="1048"/>
      <c r="AV42" s="1048"/>
      <c r="AW42" s="1048"/>
      <c r="AX42" s="1048"/>
      <c r="AZ42" s="1048"/>
      <c r="BA42" s="1048"/>
      <c r="BB42" s="1048"/>
      <c r="BC42" s="1048"/>
      <c r="BD42" s="1048"/>
      <c r="BE42" s="1048"/>
      <c r="BF42" s="1048"/>
      <c r="BG42" s="1048"/>
      <c r="BI42" s="1048"/>
      <c r="BJ42" s="1048"/>
      <c r="BK42" s="1048"/>
      <c r="BL42" s="1048"/>
      <c r="BM42" s="1048"/>
      <c r="BN42" s="1048"/>
      <c r="BO42" s="1048"/>
      <c r="BP42" s="1048"/>
    </row>
    <row r="43" spans="2:68" ht="12">
      <c r="B43" s="6" t="s">
        <v>1235</v>
      </c>
      <c r="H43" s="20" t="s">
        <v>367</v>
      </c>
      <c r="I43" s="20" t="s">
        <v>368</v>
      </c>
      <c r="J43" s="20" t="s">
        <v>2473</v>
      </c>
      <c r="K43" s="20" t="s">
        <v>1241</v>
      </c>
      <c r="L43" s="20" t="s">
        <v>2212</v>
      </c>
      <c r="M43" s="20" t="s">
        <v>967</v>
      </c>
      <c r="N43" s="20" t="s">
        <v>228</v>
      </c>
      <c r="O43" s="136">
        <f>ROW()</f>
        <v>43</v>
      </c>
    </row>
    <row r="44" spans="2:68" ht="12">
      <c r="B44" s="1052" t="s">
        <v>1879</v>
      </c>
      <c r="C44" s="1053"/>
      <c r="D44" s="1053"/>
      <c r="E44" s="1053"/>
      <c r="F44" s="1053"/>
      <c r="G44" s="1053"/>
      <c r="H44" s="1121">
        <f>2*H36*H39</f>
        <v>652047.04722414003</v>
      </c>
      <c r="I44" s="1121">
        <f>2*I36*I39</f>
        <v>458610.45277585986</v>
      </c>
      <c r="J44" s="1121">
        <f>2*J36*J39</f>
        <v>406845.51111111121</v>
      </c>
      <c r="K44" s="1121">
        <f>(1+Taxis!L130)*K36*K39</f>
        <v>227500</v>
      </c>
      <c r="L44" s="1121">
        <f>2*L36*L39</f>
        <v>229200</v>
      </c>
      <c r="M44" s="1121">
        <f>2*M36*M39</f>
        <v>45726.315789473687</v>
      </c>
      <c r="N44" s="1054">
        <f>SUM(H44:M44)</f>
        <v>2019929.3269005849</v>
      </c>
      <c r="O44" s="136">
        <f>ROW()</f>
        <v>44</v>
      </c>
    </row>
    <row r="45" spans="2:68" ht="12">
      <c r="B45" s="215" t="s">
        <v>1173</v>
      </c>
      <c r="H45" s="575"/>
      <c r="I45" s="575"/>
      <c r="J45" s="575"/>
      <c r="K45" s="575"/>
      <c r="L45" s="575"/>
      <c r="N45" s="607"/>
      <c r="O45" s="136">
        <f>ROW()</f>
        <v>45</v>
      </c>
    </row>
    <row r="46" spans="2:68" ht="12" customHeight="1">
      <c r="B46" s="312" t="s">
        <v>1267</v>
      </c>
      <c r="H46" s="927">
        <f t="shared" ref="H46:M46" si="1">H44/$N$44</f>
        <v>0.32280686187405006</v>
      </c>
      <c r="I46" s="927">
        <f t="shared" si="1"/>
        <v>0.22704282108699309</v>
      </c>
      <c r="J46" s="927">
        <f t="shared" si="1"/>
        <v>0.20141571573465994</v>
      </c>
      <c r="K46" s="927">
        <f t="shared" si="1"/>
        <v>0.11262770284596046</v>
      </c>
      <c r="L46" s="927">
        <f t="shared" si="1"/>
        <v>0.11346931644964456</v>
      </c>
      <c r="M46" s="927">
        <f t="shared" si="1"/>
        <v>2.2637582008691835E-2</v>
      </c>
      <c r="N46" s="53">
        <f>SUM(H46:M46)</f>
        <v>0.99999999999999978</v>
      </c>
      <c r="O46" s="136">
        <f>ROW()</f>
        <v>46</v>
      </c>
    </row>
    <row r="47" spans="2:68" ht="12">
      <c r="H47" s="927"/>
      <c r="I47" s="927"/>
      <c r="J47" s="927"/>
      <c r="K47" s="927"/>
      <c r="L47" s="927"/>
      <c r="M47" s="927"/>
      <c r="N47" s="607"/>
      <c r="O47" s="136">
        <f>ROW()</f>
        <v>47</v>
      </c>
    </row>
    <row r="48" spans="2:68" ht="12">
      <c r="B48" s="172" t="s">
        <v>1236</v>
      </c>
      <c r="H48" s="575"/>
      <c r="I48" s="575"/>
      <c r="J48" s="575"/>
      <c r="K48" s="575"/>
      <c r="N48" s="607"/>
      <c r="O48" s="136">
        <f>ROW()</f>
        <v>48</v>
      </c>
    </row>
    <row r="49" spans="2:68" ht="12">
      <c r="B49" s="281" t="s">
        <v>518</v>
      </c>
      <c r="H49" s="23">
        <f>'Motor Vs'!I96</f>
        <v>0.14285714285714285</v>
      </c>
      <c r="I49" s="23">
        <f>'Motor Vs'!J96</f>
        <v>0.14285714285714285</v>
      </c>
      <c r="J49" s="23">
        <f>'Motor Vs'!K96</f>
        <v>0</v>
      </c>
      <c r="K49" s="605" t="str">
        <f>'Motor Vs'!L96</f>
        <v>N.A.</v>
      </c>
      <c r="L49" s="23">
        <f>'Motor Vs'!M96</f>
        <v>0.2</v>
      </c>
      <c r="M49" s="23">
        <f>'Motor Vs'!N96</f>
        <v>0.5</v>
      </c>
      <c r="N49" s="6"/>
      <c r="O49" s="136">
        <f>ROW()</f>
        <v>49</v>
      </c>
    </row>
    <row r="50" spans="2:68" ht="13.2">
      <c r="B50" s="215" t="s">
        <v>2096</v>
      </c>
      <c r="H50" s="23"/>
      <c r="I50" s="23"/>
      <c r="J50" s="23"/>
      <c r="K50" s="598"/>
      <c r="L50" s="23"/>
      <c r="M50" s="23"/>
      <c r="N50" s="6"/>
      <c r="O50" s="136">
        <f>ROW()</f>
        <v>50</v>
      </c>
      <c r="P50" s="4954"/>
      <c r="Q50" s="4954"/>
      <c r="R50" s="4954"/>
      <c r="S50" s="4954"/>
      <c r="T50" s="4954"/>
      <c r="U50" s="4954"/>
      <c r="V50" s="4954"/>
      <c r="W50" s="4954"/>
    </row>
    <row r="51" spans="2:68" ht="12">
      <c r="B51" s="1052" t="s">
        <v>1453</v>
      </c>
      <c r="C51" s="1053"/>
      <c r="D51" s="1053"/>
      <c r="E51" s="1053"/>
      <c r="F51" s="1053"/>
      <c r="G51" s="1053"/>
      <c r="H51" s="1121">
        <f>'Motor Vs'!W143</f>
        <v>93132.175386464602</v>
      </c>
      <c r="I51" s="1121">
        <f>'Motor Vs'!AF143</f>
        <v>65503.538899249645</v>
      </c>
      <c r="J51" s="1121">
        <f>'Motor Vs'!AO143</f>
        <v>0</v>
      </c>
      <c r="K51" s="1121">
        <f>'Motor Vs'!AX143</f>
        <v>1187061.5384615383</v>
      </c>
      <c r="L51" s="1121">
        <f>'Motor Vs'!BG143</f>
        <v>45840</v>
      </c>
      <c r="M51" s="1121">
        <f>'Motor Vs'!BP143</f>
        <v>22863.157894736843</v>
      </c>
      <c r="N51" s="1054">
        <f>SUM(H51:M51)</f>
        <v>1414400.4106419894</v>
      </c>
      <c r="O51" s="136">
        <f>ROW()</f>
        <v>51</v>
      </c>
    </row>
    <row r="52" spans="2:68" ht="12">
      <c r="B52" s="215" t="str">
        <f>CONCATENATE("From sums of respective column-blocks in 'Motor Vs' worksheet, Row ",'Motor Vs'!O143, ".")</f>
        <v>From sums of respective column-blocks in 'Motor Vs' worksheet, Row 143.</v>
      </c>
      <c r="H52" s="575"/>
      <c r="I52" s="575"/>
      <c r="J52" s="575"/>
      <c r="K52" s="575"/>
      <c r="L52" s="575"/>
      <c r="M52" s="575"/>
      <c r="N52" s="607"/>
      <c r="O52" s="136">
        <f>ROW()</f>
        <v>52</v>
      </c>
    </row>
    <row r="53" spans="2:68" ht="12">
      <c r="B53" s="281"/>
      <c r="H53" s="575"/>
      <c r="I53" s="575"/>
      <c r="K53" s="575"/>
      <c r="L53" s="575"/>
      <c r="N53" s="607"/>
      <c r="O53" s="136">
        <f>ROW()</f>
        <v>53</v>
      </c>
    </row>
    <row r="54" spans="2:68" ht="12">
      <c r="B54" s="1080" t="s">
        <v>1237</v>
      </c>
      <c r="C54" s="1050"/>
      <c r="D54" s="1050"/>
      <c r="E54" s="1050" t="str">
        <f>CONCATENATE("(sum of VMT's in rows ",O44," and ",O51,")")</f>
        <v>(sum of VMT's in rows 44 and 51)</v>
      </c>
      <c r="F54" s="1050"/>
      <c r="G54" s="1050"/>
      <c r="H54" s="1076">
        <f t="shared" ref="H54:M54" si="2">H44+H51</f>
        <v>745179.2226106046</v>
      </c>
      <c r="I54" s="1076">
        <f t="shared" si="2"/>
        <v>524113.99167510949</v>
      </c>
      <c r="J54" s="1076">
        <f t="shared" si="2"/>
        <v>406845.51111111121</v>
      </c>
      <c r="K54" s="1076">
        <f t="shared" si="2"/>
        <v>1414561.5384615383</v>
      </c>
      <c r="L54" s="1076">
        <f t="shared" si="2"/>
        <v>275040</v>
      </c>
      <c r="M54" s="1076">
        <f t="shared" si="2"/>
        <v>68589.473684210534</v>
      </c>
      <c r="N54" s="1051">
        <f>SUM(H54:M54)</f>
        <v>3434329.7375425738</v>
      </c>
      <c r="O54" s="136">
        <f>ROW()</f>
        <v>54</v>
      </c>
    </row>
    <row r="55" spans="2:68" ht="12">
      <c r="B55" s="6"/>
      <c r="H55" s="575"/>
      <c r="M55" s="118" t="s">
        <v>673</v>
      </c>
      <c r="N55" s="10">
        <f>'Motor Vs'!H101</f>
        <v>3434067.8375425739</v>
      </c>
      <c r="O55" s="136">
        <f>ROW()</f>
        <v>55</v>
      </c>
    </row>
    <row r="56" spans="2:68" ht="12">
      <c r="B56" s="6"/>
      <c r="H56" s="575"/>
      <c r="M56" s="118" t="s">
        <v>674</v>
      </c>
      <c r="N56" s="10">
        <f>N54-N55</f>
        <v>261.89999999990687</v>
      </c>
      <c r="O56" s="136">
        <f>ROW()</f>
        <v>56</v>
      </c>
    </row>
    <row r="57" spans="2:68" ht="13.2">
      <c r="B57" s="24" t="s">
        <v>1653</v>
      </c>
      <c r="H57" s="575"/>
      <c r="O57" s="136">
        <f>ROW()</f>
        <v>57</v>
      </c>
    </row>
    <row r="58" spans="2:68" ht="11.7" customHeight="1">
      <c r="F58" s="4957" t="s">
        <v>1174</v>
      </c>
      <c r="G58" s="4147" t="s">
        <v>459</v>
      </c>
      <c r="H58" s="4147"/>
      <c r="I58" s="4147"/>
      <c r="J58" s="4147"/>
      <c r="K58" s="4147"/>
      <c r="L58" s="4147"/>
      <c r="M58" s="4147"/>
      <c r="N58" s="4147"/>
      <c r="O58" s="136">
        <f>ROW()</f>
        <v>58</v>
      </c>
    </row>
    <row r="59" spans="2:68">
      <c r="F59" s="4958"/>
      <c r="G59" s="880" t="str">
        <f>'Motor Vs'!G115</f>
        <v>Graveyard</v>
      </c>
      <c r="H59" s="880" t="str">
        <f>'Motor Vs'!H115</f>
        <v>A.M. Pre-pk</v>
      </c>
      <c r="I59" s="880" t="str">
        <f>'Motor Vs'!I115</f>
        <v>A.M. Peak</v>
      </c>
      <c r="J59" s="880" t="str">
        <f>'Motor Vs'!J115</f>
        <v>A.M. Post-pk</v>
      </c>
      <c r="K59" s="880" t="str">
        <f>'Motor Vs'!K115</f>
        <v>Midday Pk</v>
      </c>
      <c r="L59" s="880" t="str">
        <f>'Motor Vs'!L115</f>
        <v>P.M. Peak</v>
      </c>
      <c r="M59" s="880" t="str">
        <f>'Motor Vs'!M115</f>
        <v>P.M. Post-pk</v>
      </c>
      <c r="N59" s="880" t="str">
        <f>'Motor Vs'!N115</f>
        <v>Totals</v>
      </c>
      <c r="O59" s="136">
        <f>ROW()</f>
        <v>59</v>
      </c>
      <c r="P59" s="880" t="str">
        <f>G59</f>
        <v>Graveyard</v>
      </c>
      <c r="Q59" s="880" t="str">
        <f t="shared" ref="Q59:W61" si="3">H59</f>
        <v>A.M. Pre-pk</v>
      </c>
      <c r="R59" s="880" t="str">
        <f t="shared" si="3"/>
        <v>A.M. Peak</v>
      </c>
      <c r="S59" s="880" t="str">
        <f t="shared" si="3"/>
        <v>A.M. Post-pk</v>
      </c>
      <c r="T59" s="880" t="str">
        <f t="shared" si="3"/>
        <v>Midday Pk</v>
      </c>
      <c r="U59" s="880" t="str">
        <f t="shared" si="3"/>
        <v>P.M. Peak</v>
      </c>
      <c r="V59" s="880" t="str">
        <f t="shared" si="3"/>
        <v>P.M. Post-pk</v>
      </c>
      <c r="W59" s="880" t="str">
        <f t="shared" si="3"/>
        <v>Totals</v>
      </c>
      <c r="Y59" s="880" t="str">
        <f t="shared" ref="Y59:AF59" si="4">P59</f>
        <v>Graveyard</v>
      </c>
      <c r="Z59" s="880" t="str">
        <f t="shared" si="4"/>
        <v>A.M. Pre-pk</v>
      </c>
      <c r="AA59" s="880" t="str">
        <f t="shared" si="4"/>
        <v>A.M. Peak</v>
      </c>
      <c r="AB59" s="880" t="str">
        <f t="shared" si="4"/>
        <v>A.M. Post-pk</v>
      </c>
      <c r="AC59" s="880" t="str">
        <f t="shared" si="4"/>
        <v>Midday Pk</v>
      </c>
      <c r="AD59" s="880" t="str">
        <f t="shared" si="4"/>
        <v>P.M. Peak</v>
      </c>
      <c r="AE59" s="880" t="str">
        <f t="shared" si="4"/>
        <v>P.M. Post-pk</v>
      </c>
      <c r="AF59" s="880" t="str">
        <f t="shared" si="4"/>
        <v>Totals</v>
      </c>
      <c r="AH59" s="880" t="str">
        <f t="shared" ref="AH59:AO59" si="5">Y59</f>
        <v>Graveyard</v>
      </c>
      <c r="AI59" s="880" t="str">
        <f t="shared" si="5"/>
        <v>A.M. Pre-pk</v>
      </c>
      <c r="AJ59" s="880" t="str">
        <f t="shared" si="5"/>
        <v>A.M. Peak</v>
      </c>
      <c r="AK59" s="880" t="str">
        <f t="shared" si="5"/>
        <v>A.M. Post-pk</v>
      </c>
      <c r="AL59" s="880" t="str">
        <f t="shared" si="5"/>
        <v>Midday Pk</v>
      </c>
      <c r="AM59" s="880" t="str">
        <f t="shared" si="5"/>
        <v>P.M. Peak</v>
      </c>
      <c r="AN59" s="880" t="str">
        <f t="shared" si="5"/>
        <v>P.M. Post-pk</v>
      </c>
      <c r="AO59" s="880" t="str">
        <f t="shared" si="5"/>
        <v>Totals</v>
      </c>
      <c r="AQ59" s="880" t="str">
        <f t="shared" ref="AQ59:AX59" si="6">AH59</f>
        <v>Graveyard</v>
      </c>
      <c r="AR59" s="880" t="str">
        <f t="shared" si="6"/>
        <v>A.M. Pre-pk</v>
      </c>
      <c r="AS59" s="880" t="str">
        <f t="shared" si="6"/>
        <v>A.M. Peak</v>
      </c>
      <c r="AT59" s="880" t="str">
        <f t="shared" si="6"/>
        <v>A.M. Post-pk</v>
      </c>
      <c r="AU59" s="880" t="str">
        <f t="shared" si="6"/>
        <v>Midday Pk</v>
      </c>
      <c r="AV59" s="880" t="str">
        <f t="shared" si="6"/>
        <v>P.M. Peak</v>
      </c>
      <c r="AW59" s="880" t="str">
        <f t="shared" si="6"/>
        <v>P.M. Post-pk</v>
      </c>
      <c r="AX59" s="880" t="str">
        <f t="shared" si="6"/>
        <v>Totals</v>
      </c>
      <c r="AZ59" s="880" t="str">
        <f t="shared" ref="AZ59:BG59" si="7">AQ59</f>
        <v>Graveyard</v>
      </c>
      <c r="BA59" s="880" t="str">
        <f t="shared" si="7"/>
        <v>A.M. Pre-pk</v>
      </c>
      <c r="BB59" s="880" t="str">
        <f t="shared" si="7"/>
        <v>A.M. Peak</v>
      </c>
      <c r="BC59" s="880" t="str">
        <f t="shared" si="7"/>
        <v>A.M. Post-pk</v>
      </c>
      <c r="BD59" s="880" t="str">
        <f t="shared" si="7"/>
        <v>Midday Pk</v>
      </c>
      <c r="BE59" s="880" t="str">
        <f t="shared" si="7"/>
        <v>P.M. Peak</v>
      </c>
      <c r="BF59" s="880" t="str">
        <f t="shared" si="7"/>
        <v>P.M. Post-pk</v>
      </c>
      <c r="BG59" s="880" t="str">
        <f t="shared" si="7"/>
        <v>Totals</v>
      </c>
      <c r="BI59" s="880" t="str">
        <f t="shared" ref="BI59:BP59" si="8">AZ59</f>
        <v>Graveyard</v>
      </c>
      <c r="BJ59" s="880" t="str">
        <f t="shared" si="8"/>
        <v>A.M. Pre-pk</v>
      </c>
      <c r="BK59" s="880" t="str">
        <f t="shared" si="8"/>
        <v>A.M. Peak</v>
      </c>
      <c r="BL59" s="880" t="str">
        <f t="shared" si="8"/>
        <v>A.M. Post-pk</v>
      </c>
      <c r="BM59" s="880" t="str">
        <f t="shared" si="8"/>
        <v>Midday Pk</v>
      </c>
      <c r="BN59" s="880" t="str">
        <f t="shared" si="8"/>
        <v>P.M. Peak</v>
      </c>
      <c r="BO59" s="880" t="str">
        <f t="shared" si="8"/>
        <v>P.M. Post-pk</v>
      </c>
      <c r="BP59" s="880" t="str">
        <f t="shared" si="8"/>
        <v>Totals</v>
      </c>
    </row>
    <row r="60" spans="2:68" s="7" customFormat="1">
      <c r="B60"/>
      <c r="C60"/>
      <c r="D60"/>
      <c r="E60"/>
      <c r="F60" s="4958"/>
      <c r="G60" s="298" t="str">
        <f>'Motor Vs'!G116</f>
        <v>11 pm - 5 am</v>
      </c>
      <c r="H60" s="298" t="str">
        <f>'Motor Vs'!H116</f>
        <v>5 am - 6 am</v>
      </c>
      <c r="I60" s="298" t="str">
        <f>'Motor Vs'!I116</f>
        <v>6 am - 9 am</v>
      </c>
      <c r="J60" s="298" t="str">
        <f>'Motor Vs'!J116</f>
        <v>9 am - 10 am</v>
      </c>
      <c r="K60" s="298" t="str">
        <f>'Motor Vs'!K116</f>
        <v>10 am - 2 pm</v>
      </c>
      <c r="L60" s="298" t="str">
        <f>'Motor Vs'!L116</f>
        <v xml:space="preserve">2 pm - 8 pm </v>
      </c>
      <c r="M60" s="298" t="str">
        <f>'Motor Vs'!M116</f>
        <v>8 pm - 11 pm</v>
      </c>
      <c r="N60" s="298"/>
      <c r="O60" s="136">
        <f>ROW()</f>
        <v>60</v>
      </c>
      <c r="P60" s="298" t="str">
        <f>G60</f>
        <v>11 pm - 5 am</v>
      </c>
      <c r="Q60" s="298" t="str">
        <f t="shared" si="3"/>
        <v>5 am - 6 am</v>
      </c>
      <c r="R60" s="298" t="str">
        <f t="shared" si="3"/>
        <v>6 am - 9 am</v>
      </c>
      <c r="S60" s="298" t="str">
        <f t="shared" si="3"/>
        <v>9 am - 10 am</v>
      </c>
      <c r="T60" s="298" t="str">
        <f t="shared" si="3"/>
        <v>10 am - 2 pm</v>
      </c>
      <c r="U60" s="298" t="str">
        <f t="shared" si="3"/>
        <v xml:space="preserve">2 pm - 8 pm </v>
      </c>
      <c r="V60" s="298" t="str">
        <f t="shared" si="3"/>
        <v>8 pm - 11 pm</v>
      </c>
      <c r="W60" s="298"/>
      <c r="Y60" s="298" t="str">
        <f t="shared" ref="Y60:AE61" si="9">P60</f>
        <v>11 pm - 5 am</v>
      </c>
      <c r="Z60" s="298" t="str">
        <f t="shared" si="9"/>
        <v>5 am - 6 am</v>
      </c>
      <c r="AA60" s="298" t="str">
        <f t="shared" si="9"/>
        <v>6 am - 9 am</v>
      </c>
      <c r="AB60" s="298" t="str">
        <f t="shared" si="9"/>
        <v>9 am - 10 am</v>
      </c>
      <c r="AC60" s="298" t="str">
        <f t="shared" si="9"/>
        <v>10 am - 2 pm</v>
      </c>
      <c r="AD60" s="298" t="str">
        <f t="shared" si="9"/>
        <v xml:space="preserve">2 pm - 8 pm </v>
      </c>
      <c r="AE60" s="298" t="str">
        <f t="shared" si="9"/>
        <v>8 pm - 11 pm</v>
      </c>
      <c r="AF60" s="298"/>
      <c r="AH60" s="298" t="str">
        <f t="shared" ref="AH60:AN61" si="10">Y60</f>
        <v>11 pm - 5 am</v>
      </c>
      <c r="AI60" s="298" t="str">
        <f t="shared" si="10"/>
        <v>5 am - 6 am</v>
      </c>
      <c r="AJ60" s="298" t="str">
        <f t="shared" si="10"/>
        <v>6 am - 9 am</v>
      </c>
      <c r="AK60" s="298" t="str">
        <f t="shared" si="10"/>
        <v>9 am - 10 am</v>
      </c>
      <c r="AL60" s="298" t="str">
        <f t="shared" si="10"/>
        <v>10 am - 2 pm</v>
      </c>
      <c r="AM60" s="298" t="str">
        <f t="shared" si="10"/>
        <v xml:space="preserve">2 pm - 8 pm </v>
      </c>
      <c r="AN60" s="298" t="str">
        <f t="shared" si="10"/>
        <v>8 pm - 11 pm</v>
      </c>
      <c r="AO60" s="298"/>
      <c r="AQ60" s="298" t="str">
        <f t="shared" ref="AQ60:AW61" si="11">AH60</f>
        <v>11 pm - 5 am</v>
      </c>
      <c r="AR60" s="298" t="str">
        <f t="shared" si="11"/>
        <v>5 am - 6 am</v>
      </c>
      <c r="AS60" s="298" t="str">
        <f t="shared" si="11"/>
        <v>6 am - 9 am</v>
      </c>
      <c r="AT60" s="298" t="str">
        <f t="shared" si="11"/>
        <v>9 am - 10 am</v>
      </c>
      <c r="AU60" s="298" t="str">
        <f t="shared" si="11"/>
        <v>10 am - 2 pm</v>
      </c>
      <c r="AV60" s="298" t="str">
        <f t="shared" si="11"/>
        <v xml:space="preserve">2 pm - 8 pm </v>
      </c>
      <c r="AW60" s="298" t="str">
        <f t="shared" si="11"/>
        <v>8 pm - 11 pm</v>
      </c>
      <c r="AX60" s="298"/>
      <c r="AZ60" s="298" t="str">
        <f t="shared" ref="AZ60:BF61" si="12">AQ60</f>
        <v>11 pm - 5 am</v>
      </c>
      <c r="BA60" s="298" t="str">
        <f t="shared" si="12"/>
        <v>5 am - 6 am</v>
      </c>
      <c r="BB60" s="298" t="str">
        <f t="shared" si="12"/>
        <v>6 am - 9 am</v>
      </c>
      <c r="BC60" s="298" t="str">
        <f t="shared" si="12"/>
        <v>9 am - 10 am</v>
      </c>
      <c r="BD60" s="298" t="str">
        <f t="shared" si="12"/>
        <v>10 am - 2 pm</v>
      </c>
      <c r="BE60" s="298" t="str">
        <f t="shared" si="12"/>
        <v xml:space="preserve">2 pm - 8 pm </v>
      </c>
      <c r="BF60" s="298" t="str">
        <f t="shared" si="12"/>
        <v>8 pm - 11 pm</v>
      </c>
      <c r="BG60" s="298"/>
      <c r="BI60" s="298" t="str">
        <f t="shared" ref="BI60:BO61" si="13">AZ60</f>
        <v>11 pm - 5 am</v>
      </c>
      <c r="BJ60" s="298" t="str">
        <f t="shared" si="13"/>
        <v>5 am - 6 am</v>
      </c>
      <c r="BK60" s="298" t="str">
        <f t="shared" si="13"/>
        <v>6 am - 9 am</v>
      </c>
      <c r="BL60" s="298" t="str">
        <f t="shared" si="13"/>
        <v>9 am - 10 am</v>
      </c>
      <c r="BM60" s="298" t="str">
        <f t="shared" si="13"/>
        <v>10 am - 2 pm</v>
      </c>
      <c r="BN60" s="298" t="str">
        <f t="shared" si="13"/>
        <v xml:space="preserve">2 pm - 8 pm </v>
      </c>
      <c r="BO60" s="298" t="str">
        <f t="shared" si="13"/>
        <v>8 pm - 11 pm</v>
      </c>
      <c r="BP60" s="298"/>
    </row>
    <row r="61" spans="2:68" ht="12">
      <c r="B61" s="6" t="s">
        <v>2677</v>
      </c>
      <c r="D61" s="282" t="s">
        <v>1567</v>
      </c>
      <c r="F61" s="4959"/>
      <c r="G61" s="1210">
        <v>6</v>
      </c>
      <c r="H61" s="1210">
        <f>'Motor Vs'!H118</f>
        <v>1</v>
      </c>
      <c r="I61" s="1210">
        <f>'Motor Vs'!I118</f>
        <v>3</v>
      </c>
      <c r="J61" s="1210">
        <f>'Motor Vs'!J118</f>
        <v>1</v>
      </c>
      <c r="K61" s="1210">
        <f>'Motor Vs'!K118</f>
        <v>4</v>
      </c>
      <c r="L61" s="1210">
        <f>'Motor Vs'!L118</f>
        <v>6</v>
      </c>
      <c r="M61" s="1210">
        <f>'Motor Vs'!M118</f>
        <v>3</v>
      </c>
      <c r="N61" s="1210">
        <f>SUM(G61:M61)</f>
        <v>24</v>
      </c>
      <c r="O61" s="136">
        <f>ROW()</f>
        <v>61</v>
      </c>
      <c r="P61" s="1081">
        <f>G61</f>
        <v>6</v>
      </c>
      <c r="Q61" s="1081">
        <f t="shared" si="3"/>
        <v>1</v>
      </c>
      <c r="R61" s="1081">
        <f t="shared" si="3"/>
        <v>3</v>
      </c>
      <c r="S61" s="1081">
        <f t="shared" si="3"/>
        <v>1</v>
      </c>
      <c r="T61" s="1081">
        <f t="shared" si="3"/>
        <v>4</v>
      </c>
      <c r="U61" s="1081">
        <f t="shared" si="3"/>
        <v>6</v>
      </c>
      <c r="V61" s="1081">
        <f t="shared" si="3"/>
        <v>3</v>
      </c>
      <c r="W61" s="1081">
        <f t="shared" si="3"/>
        <v>24</v>
      </c>
      <c r="Y61" s="1081">
        <f t="shared" si="9"/>
        <v>6</v>
      </c>
      <c r="Z61" s="1081">
        <f t="shared" si="9"/>
        <v>1</v>
      </c>
      <c r="AA61" s="1081">
        <f t="shared" si="9"/>
        <v>3</v>
      </c>
      <c r="AB61" s="1081">
        <f t="shared" si="9"/>
        <v>1</v>
      </c>
      <c r="AC61" s="1081">
        <f t="shared" si="9"/>
        <v>4</v>
      </c>
      <c r="AD61" s="1081">
        <f t="shared" si="9"/>
        <v>6</v>
      </c>
      <c r="AE61" s="1081">
        <f t="shared" si="9"/>
        <v>3</v>
      </c>
      <c r="AF61" s="1081">
        <f>W61</f>
        <v>24</v>
      </c>
      <c r="AH61" s="1081">
        <f t="shared" si="10"/>
        <v>6</v>
      </c>
      <c r="AI61" s="1081">
        <f t="shared" si="10"/>
        <v>1</v>
      </c>
      <c r="AJ61" s="1081">
        <f t="shared" si="10"/>
        <v>3</v>
      </c>
      <c r="AK61" s="1081">
        <f t="shared" si="10"/>
        <v>1</v>
      </c>
      <c r="AL61" s="1081">
        <f t="shared" si="10"/>
        <v>4</v>
      </c>
      <c r="AM61" s="1081">
        <f t="shared" si="10"/>
        <v>6</v>
      </c>
      <c r="AN61" s="1081">
        <f t="shared" si="10"/>
        <v>3</v>
      </c>
      <c r="AO61" s="1081">
        <f>AF61</f>
        <v>24</v>
      </c>
      <c r="AQ61" s="1081">
        <f t="shared" si="11"/>
        <v>6</v>
      </c>
      <c r="AR61" s="1081">
        <f t="shared" si="11"/>
        <v>1</v>
      </c>
      <c r="AS61" s="1081">
        <f t="shared" si="11"/>
        <v>3</v>
      </c>
      <c r="AT61" s="1081">
        <f t="shared" si="11"/>
        <v>1</v>
      </c>
      <c r="AU61" s="1081">
        <f t="shared" si="11"/>
        <v>4</v>
      </c>
      <c r="AV61" s="1081">
        <f t="shared" si="11"/>
        <v>6</v>
      </c>
      <c r="AW61" s="1081">
        <f t="shared" si="11"/>
        <v>3</v>
      </c>
      <c r="AX61" s="1081">
        <f>AO61</f>
        <v>24</v>
      </c>
      <c r="AZ61" s="1081">
        <f t="shared" si="12"/>
        <v>6</v>
      </c>
      <c r="BA61" s="1081">
        <f t="shared" si="12"/>
        <v>1</v>
      </c>
      <c r="BB61" s="1081">
        <f t="shared" si="12"/>
        <v>3</v>
      </c>
      <c r="BC61" s="1081">
        <f t="shared" si="12"/>
        <v>1</v>
      </c>
      <c r="BD61" s="1081">
        <f t="shared" si="12"/>
        <v>4</v>
      </c>
      <c r="BE61" s="1081">
        <f t="shared" si="12"/>
        <v>6</v>
      </c>
      <c r="BF61" s="1081">
        <f t="shared" si="12"/>
        <v>3</v>
      </c>
      <c r="BG61" s="1081">
        <f>AX61</f>
        <v>24</v>
      </c>
      <c r="BI61" s="1081">
        <f t="shared" si="13"/>
        <v>6</v>
      </c>
      <c r="BJ61" s="1081">
        <f t="shared" si="13"/>
        <v>1</v>
      </c>
      <c r="BK61" s="1081">
        <f t="shared" si="13"/>
        <v>3</v>
      </c>
      <c r="BL61" s="1081">
        <f t="shared" si="13"/>
        <v>1</v>
      </c>
      <c r="BM61" s="1081">
        <f t="shared" si="13"/>
        <v>4</v>
      </c>
      <c r="BN61" s="1081">
        <f t="shared" si="13"/>
        <v>6</v>
      </c>
      <c r="BO61" s="1081">
        <f t="shared" si="13"/>
        <v>3</v>
      </c>
      <c r="BP61" s="1081">
        <f>BG61</f>
        <v>24</v>
      </c>
    </row>
    <row r="62" spans="2:68">
      <c r="B62" s="281" t="s">
        <v>1566</v>
      </c>
      <c r="F62" s="1097" t="s">
        <v>1090</v>
      </c>
      <c r="G62" s="1278">
        <f t="shared" ref="G62:M62" si="14">IF($F$62 = G59, 1, 0)</f>
        <v>0</v>
      </c>
      <c r="H62" s="34">
        <f t="shared" si="14"/>
        <v>0</v>
      </c>
      <c r="I62" s="34">
        <f t="shared" si="14"/>
        <v>0</v>
      </c>
      <c r="J62" s="34">
        <f t="shared" si="14"/>
        <v>0</v>
      </c>
      <c r="K62" s="34">
        <f t="shared" si="14"/>
        <v>0</v>
      </c>
      <c r="L62" s="34">
        <f t="shared" si="14"/>
        <v>0</v>
      </c>
      <c r="M62" s="34">
        <f t="shared" si="14"/>
        <v>1</v>
      </c>
      <c r="O62" s="136">
        <f>ROW()</f>
        <v>62</v>
      </c>
    </row>
    <row r="63" spans="2:68" ht="12">
      <c r="B63" s="282"/>
      <c r="C63" s="1197"/>
      <c r="D63" s="1197"/>
      <c r="E63" s="1198" t="s">
        <v>2099</v>
      </c>
      <c r="F63" s="1197">
        <v>0</v>
      </c>
      <c r="G63" s="34">
        <f t="shared" ref="G63:M63" si="15">1-G62+(1-$F63)*G62</f>
        <v>1</v>
      </c>
      <c r="H63" s="34">
        <f t="shared" si="15"/>
        <v>1</v>
      </c>
      <c r="I63" s="34">
        <f t="shared" si="15"/>
        <v>1</v>
      </c>
      <c r="J63" s="34">
        <f t="shared" si="15"/>
        <v>1</v>
      </c>
      <c r="K63" s="34">
        <f t="shared" si="15"/>
        <v>1</v>
      </c>
      <c r="L63" s="34">
        <f t="shared" si="15"/>
        <v>1</v>
      </c>
      <c r="M63" s="34">
        <f t="shared" si="15"/>
        <v>1</v>
      </c>
      <c r="O63" s="136">
        <f>ROW()</f>
        <v>63</v>
      </c>
      <c r="P63" s="4147" t="s">
        <v>1599</v>
      </c>
      <c r="Q63" s="4147"/>
      <c r="R63" s="4147"/>
      <c r="S63" s="4147"/>
      <c r="T63" s="4147"/>
      <c r="U63" s="4147"/>
      <c r="V63" s="4147"/>
      <c r="W63" s="4147"/>
      <c r="Y63" s="4147" t="s">
        <v>1600</v>
      </c>
      <c r="Z63" s="4147"/>
      <c r="AA63" s="4147"/>
      <c r="AB63" s="4147"/>
      <c r="AC63" s="4147"/>
      <c r="AD63" s="4147"/>
      <c r="AE63" s="4147"/>
      <c r="AF63" s="4147"/>
      <c r="AH63" s="4147" t="s">
        <v>1408</v>
      </c>
      <c r="AI63" s="4147"/>
      <c r="AJ63" s="4147"/>
      <c r="AK63" s="4147"/>
      <c r="AL63" s="4147"/>
      <c r="AM63" s="4147"/>
      <c r="AN63" s="4147"/>
      <c r="AO63" s="4147"/>
      <c r="AQ63" s="4147" t="s">
        <v>372</v>
      </c>
      <c r="AR63" s="4147"/>
      <c r="AS63" s="4147"/>
      <c r="AT63" s="4147"/>
      <c r="AU63" s="4147"/>
      <c r="AV63" s="4147"/>
      <c r="AW63" s="4147"/>
      <c r="AX63" s="4147"/>
      <c r="AZ63" s="4147" t="s">
        <v>372</v>
      </c>
      <c r="BA63" s="4147"/>
      <c r="BB63" s="4147"/>
      <c r="BC63" s="4147"/>
      <c r="BD63" s="4147"/>
      <c r="BE63" s="4147"/>
      <c r="BF63" s="4147"/>
      <c r="BG63" s="4147"/>
      <c r="BI63" s="4147" t="s">
        <v>372</v>
      </c>
      <c r="BJ63" s="4147"/>
      <c r="BK63" s="4147"/>
      <c r="BL63" s="4147"/>
      <c r="BM63" s="4147"/>
      <c r="BN63" s="4147"/>
      <c r="BO63" s="4147"/>
      <c r="BP63" s="4147"/>
    </row>
    <row r="64" spans="2:68" ht="12">
      <c r="B64" s="1199"/>
      <c r="G64" s="34"/>
      <c r="H64" s="34"/>
      <c r="I64" s="34"/>
      <c r="J64" s="34"/>
      <c r="K64" s="34"/>
      <c r="L64" s="34"/>
      <c r="M64" s="34"/>
      <c r="O64" s="136">
        <f>ROW()</f>
        <v>64</v>
      </c>
      <c r="P64" s="6"/>
      <c r="Y64" s="6"/>
      <c r="AH64" s="6"/>
      <c r="AQ64" s="6"/>
      <c r="AZ64" s="6"/>
    </row>
    <row r="65" spans="2:68" ht="12">
      <c r="B65" s="172" t="str">
        <f>CONCATENATE("1. Auto Cordon Crossings, inbound -- Trips and VMT (calculated with the 'incremented' number of trips set in the box in Row ",O21,")")</f>
        <v>1. Auto Cordon Crossings, inbound -- Trips and VMT (calculated with the 'incremented' number of trips set in the box in Row 21)</v>
      </c>
      <c r="O65" s="136">
        <f>ROW()</f>
        <v>65</v>
      </c>
      <c r="Z65">
        <f t="shared" ref="Z65:AE65" si="16">H62*$I37</f>
        <v>0</v>
      </c>
      <c r="AA65">
        <f t="shared" si="16"/>
        <v>0</v>
      </c>
      <c r="AB65">
        <f t="shared" si="16"/>
        <v>0</v>
      </c>
      <c r="AC65">
        <f t="shared" si="16"/>
        <v>0</v>
      </c>
      <c r="AD65">
        <f t="shared" si="16"/>
        <v>0</v>
      </c>
      <c r="AE65">
        <f t="shared" si="16"/>
        <v>34.272192444914253</v>
      </c>
    </row>
    <row r="66" spans="2:68" ht="12">
      <c r="B66" s="281" t="s">
        <v>664</v>
      </c>
      <c r="G66" s="1133">
        <f t="shared" ref="G66:M66" si="17">P66+Y66+AH66+AQ66+AZ66+BI66</f>
        <v>59816.389783210681</v>
      </c>
      <c r="H66" s="1133">
        <f t="shared" si="17"/>
        <v>24061.208416006182</v>
      </c>
      <c r="I66" s="1133">
        <f t="shared" si="17"/>
        <v>138773.65063043591</v>
      </c>
      <c r="J66" s="1133">
        <f t="shared" si="17"/>
        <v>41059.235442521305</v>
      </c>
      <c r="K66" s="1133">
        <f t="shared" si="17"/>
        <v>132453.98342495839</v>
      </c>
      <c r="L66" s="1133">
        <f t="shared" si="17"/>
        <v>215013.46225259535</v>
      </c>
      <c r="M66" s="1133">
        <f t="shared" si="17"/>
        <v>74855.871219862805</v>
      </c>
      <c r="N66" s="186">
        <f>SUM(G66:M66)</f>
        <v>686033.80116959068</v>
      </c>
      <c r="O66" s="136">
        <f>ROW()</f>
        <v>66</v>
      </c>
      <c r="P66" s="10">
        <f>$H$35*('Weekday Hours'!T54+SUM('Weekday Hours'!T31:T35))+G62*H37</f>
        <v>9068.1174994694829</v>
      </c>
      <c r="Q66" s="10">
        <f>$H$35*'Weekday Hours'!T36+H62*H37</f>
        <v>13701.42345159903</v>
      </c>
      <c r="R66" s="10">
        <f>$H$35*SUM('Weekday Hours'!T37:T39)+I62*H37</f>
        <v>84305.82877863734</v>
      </c>
      <c r="S66" s="10">
        <f>$H$35*'Weekday Hours'!T40+J62*H37</f>
        <v>20257.946865114682</v>
      </c>
      <c r="T66" s="10">
        <f>$H$35*SUM('Weekday Hours'!T41:T44)+K62*H37</f>
        <v>55279.929341131465</v>
      </c>
      <c r="U66" s="10">
        <f>$H$35*SUM('Weekday Hours'!T45:T50)+L62*H37</f>
        <v>61152.001026197337</v>
      </c>
      <c r="V66" s="10">
        <f>$H$35*SUM('Weekday Hours'!T51:T53)+M62*H37</f>
        <v>17053.571927506673</v>
      </c>
      <c r="W66" s="10">
        <f>SUM(P66:V66)</f>
        <v>260818.81888965602</v>
      </c>
      <c r="Y66" s="10">
        <f>I35*('Weekday Hours'!U54+SUM('Weekday Hours'!U31:U35))+G62*$I37</f>
        <v>18566.423617388937</v>
      </c>
      <c r="Z66" s="10">
        <f>I35*'Weekday Hours'!U36+H62*$I37</f>
        <v>1864.4728120161126</v>
      </c>
      <c r="AA66" s="10">
        <f>I35*SUM('Weekday Hours'!U37:U39)+I62*$I37</f>
        <v>15779.78576675158</v>
      </c>
      <c r="AB66" s="10">
        <f>I35*'Weekday Hours'!U40+J62*$I37</f>
        <v>9359.5731989194483</v>
      </c>
      <c r="AC66" s="10">
        <f>I35*SUM('Weekday Hours'!U41:U44)+K62*$I37</f>
        <v>35355.069843840189</v>
      </c>
      <c r="AD66" s="10">
        <f>I35*SUM('Weekday Hours'!U45:U50)+L62*$I37</f>
        <v>78029.14507383731</v>
      </c>
      <c r="AE66" s="10">
        <f>I35*SUM('Weekday Hours'!U51:U53)+M62*$I37</f>
        <v>24489.710797590378</v>
      </c>
      <c r="AF66" s="10">
        <f>SUM(Y66:AE66)</f>
        <v>183444.18111034395</v>
      </c>
      <c r="AH66" s="10">
        <f>J35*('Weekday Hours'!V54+SUM('Weekday Hours'!V31:V35))+G62*J37</f>
        <v>22194.818457807927</v>
      </c>
      <c r="AI66" s="10">
        <f>J35*'Weekday Hours'!V36+H62*J37</f>
        <v>4471.3522387946341</v>
      </c>
      <c r="AJ66" s="10">
        <f>J35*SUM('Weekday Hours'!V37:V39)+I62*J37</f>
        <v>15475.807670001774</v>
      </c>
      <c r="AK66" s="10">
        <f>J35*'Weekday Hours'!V40+J62*J37</f>
        <v>4576.8615967768628</v>
      </c>
      <c r="AL66" s="10">
        <f>J35*SUM('Weekday Hours'!V41:V44)+K62*J37</f>
        <v>19680.187644978312</v>
      </c>
      <c r="AM66" s="10">
        <f>J35*SUM('Weekday Hours'!V45:V50)+L62*J37</f>
        <v>39912.953228717008</v>
      </c>
      <c r="AN66" s="10">
        <f>J35*SUM('Weekday Hours'!V51:V53)+M62*J37</f>
        <v>20827.241385145731</v>
      </c>
      <c r="AO66" s="10">
        <f>SUM(AH66:AN66)</f>
        <v>127139.22222222225</v>
      </c>
      <c r="AQ66" s="1133">
        <f>K35*('Weekday Hours'!D54+SUM('Weekday Hours'!D31:D35))</f>
        <v>5662.9854488302353</v>
      </c>
      <c r="AR66" s="1133">
        <f>K35*'Weekday Hours'!D36</f>
        <v>2281.7219895737198</v>
      </c>
      <c r="AS66" s="10">
        <f>K35*SUM('Weekday Hours'!D37:D39)</f>
        <v>13162.122172902134</v>
      </c>
      <c r="AT66" s="1133">
        <f>K35*'Weekday Hours'!D40</f>
        <v>3892.6053353591542</v>
      </c>
      <c r="AU66" s="1133">
        <f>K35*SUM('Weekday Hours'!D41:D44)</f>
        <v>12553.4498598877</v>
      </c>
      <c r="AV66" s="1133">
        <f>K35*SUM('Weekday Hours'!D45:D50)</f>
        <v>20367.499178579874</v>
      </c>
      <c r="AW66" s="1133">
        <f>K35*SUM('Weekday Hours'!D51:D53)</f>
        <v>7079.6160148671806</v>
      </c>
      <c r="AX66" s="10">
        <f>SUM(AQ66:AW66)</f>
        <v>65000</v>
      </c>
      <c r="AZ66" s="10">
        <f>$L$36*('Weekday Hours'!D54+SUM('Weekday Hours'!D31:D35))</f>
        <v>3328.0929868509998</v>
      </c>
      <c r="BA66" s="10">
        <f>$L$36*'Weekday Hours'!D36</f>
        <v>1340.950461564863</v>
      </c>
      <c r="BB66" s="10">
        <f>$L$36*SUM('Weekday Hours'!D37:D39)</f>
        <v>7735.2779539209469</v>
      </c>
      <c r="BC66" s="10">
        <f>$L$36*'Weekday Hours'!D40</f>
        <v>2287.6542124726107</v>
      </c>
      <c r="BD66" s="10">
        <f>$L$36*SUM('Weekday Hours'!D41:D44)</f>
        <v>7377.5659176570798</v>
      </c>
      <c r="BE66" s="10">
        <f>$L$36*SUM('Weekday Hours'!D45:D50)</f>
        <v>11969.822594180787</v>
      </c>
      <c r="BF66" s="10">
        <f>$L$36*SUM('Weekday Hours'!D51:D53)</f>
        <v>4160.6358733527122</v>
      </c>
      <c r="BG66" s="10">
        <f>SUM(AZ66:BF66)</f>
        <v>38200</v>
      </c>
      <c r="BI66" s="10">
        <f>$M$36*('Weekday Hours'!D54+SUM('Weekday Hours'!D31:D35))</f>
        <v>995.95177286309888</v>
      </c>
      <c r="BJ66" s="10">
        <f>$M$36*'Weekday Hours'!D36</f>
        <v>401.28746245782344</v>
      </c>
      <c r="BK66" s="10">
        <f>$M$36*SUM('Weekday Hours'!D37:D39)</f>
        <v>2314.8282882221406</v>
      </c>
      <c r="BL66" s="10">
        <f>$M$36*'Weekday Hours'!D40</f>
        <v>684.59423387854929</v>
      </c>
      <c r="BM66" s="10">
        <f>$M$36*SUM('Weekday Hours'!D41:D44)</f>
        <v>2207.7808174636507</v>
      </c>
      <c r="BN66" s="10">
        <f>$M$36*SUM('Weekday Hours'!D45:D50)</f>
        <v>3582.0411510830354</v>
      </c>
      <c r="BO66" s="10">
        <f>$M$36*SUM('Weekday Hours'!D51:D53)</f>
        <v>1245.0952214001229</v>
      </c>
      <c r="BP66" s="10">
        <f>SUM(BI66:BO66)</f>
        <v>11431.57894736842</v>
      </c>
    </row>
    <row r="67" spans="2:68">
      <c r="B67" s="309" t="s">
        <v>1557</v>
      </c>
      <c r="O67" s="136">
        <f>ROW()</f>
        <v>67</v>
      </c>
      <c r="P67" s="282" t="s">
        <v>100</v>
      </c>
      <c r="Y67" s="282" t="s">
        <v>101</v>
      </c>
      <c r="AH67" s="282" t="s">
        <v>1601</v>
      </c>
      <c r="AZ67" s="616"/>
      <c r="BI67" s="282"/>
    </row>
    <row r="68" spans="2:68" ht="12">
      <c r="B68" s="1052" t="s">
        <v>979</v>
      </c>
      <c r="C68" s="1053"/>
      <c r="D68" s="1053"/>
      <c r="E68" s="1053"/>
      <c r="F68" s="1053"/>
      <c r="G68" s="1178">
        <f t="shared" ref="G68:M68" si="18">P68+Y68+AH68+AQ68+AZ68+BI68</f>
        <v>93357.039332505374</v>
      </c>
      <c r="H68" s="1178">
        <f t="shared" si="18"/>
        <v>36000.404200348014</v>
      </c>
      <c r="I68" s="1178">
        <f t="shared" si="18"/>
        <v>204028.04523775037</v>
      </c>
      <c r="J68" s="1178">
        <f t="shared" si="18"/>
        <v>60362.240410778883</v>
      </c>
      <c r="K68" s="1178">
        <f t="shared" si="18"/>
        <v>196437.20832085377</v>
      </c>
      <c r="L68" s="1178">
        <f t="shared" si="18"/>
        <v>321645.70623285871</v>
      </c>
      <c r="M68" s="1178">
        <f t="shared" si="18"/>
        <v>114384.01971519722</v>
      </c>
      <c r="N68" s="1054">
        <f>SUM(G68:M68)</f>
        <v>1026214.6634502924</v>
      </c>
      <c r="O68" s="136">
        <f>ROW()</f>
        <v>68</v>
      </c>
      <c r="P68" s="10">
        <f t="shared" ref="P68:V68" si="19">P66*$H$39</f>
        <v>11335.146874336853</v>
      </c>
      <c r="Q68" s="10">
        <f t="shared" si="19"/>
        <v>17126.779314498788</v>
      </c>
      <c r="R68" s="10">
        <f t="shared" si="19"/>
        <v>105382.28597329668</v>
      </c>
      <c r="S68" s="10">
        <f t="shared" si="19"/>
        <v>25322.43358139335</v>
      </c>
      <c r="T68" s="10">
        <f t="shared" si="19"/>
        <v>69099.911676414325</v>
      </c>
      <c r="U68" s="10">
        <f t="shared" si="19"/>
        <v>76440.001282746671</v>
      </c>
      <c r="V68" s="10">
        <f t="shared" si="19"/>
        <v>21316.964909383343</v>
      </c>
      <c r="W68" s="10">
        <f>SUM(P68:V68)</f>
        <v>326023.52361207001</v>
      </c>
      <c r="Y68" s="10">
        <f t="shared" ref="Y68:AE68" si="20">Y66*$I$39</f>
        <v>23208.029521736171</v>
      </c>
      <c r="Z68" s="10">
        <f t="shared" si="20"/>
        <v>2330.5910150201407</v>
      </c>
      <c r="AA68" s="10">
        <f t="shared" si="20"/>
        <v>19724.732208439476</v>
      </c>
      <c r="AB68" s="10">
        <f t="shared" si="20"/>
        <v>11699.46649864931</v>
      </c>
      <c r="AC68" s="10">
        <f t="shared" si="20"/>
        <v>44193.83730480024</v>
      </c>
      <c r="AD68" s="10">
        <f t="shared" si="20"/>
        <v>97536.431342296637</v>
      </c>
      <c r="AE68" s="10">
        <f t="shared" si="20"/>
        <v>30612.138496987973</v>
      </c>
      <c r="AF68" s="10">
        <f>SUM(Y68:AE68)</f>
        <v>229305.22638792999</v>
      </c>
      <c r="AH68" s="10">
        <f t="shared" ref="AH68:AN68" si="21">AH66*$J$39</f>
        <v>35511.709532492685</v>
      </c>
      <c r="AI68" s="10">
        <f t="shared" si="21"/>
        <v>7154.1635820714146</v>
      </c>
      <c r="AJ68" s="10">
        <f t="shared" si="21"/>
        <v>24761.29227200284</v>
      </c>
      <c r="AK68" s="10">
        <f t="shared" si="21"/>
        <v>7322.9785548429809</v>
      </c>
      <c r="AL68" s="10">
        <f t="shared" si="21"/>
        <v>31488.300231965302</v>
      </c>
      <c r="AM68" s="10">
        <f t="shared" si="21"/>
        <v>63860.725165947217</v>
      </c>
      <c r="AN68" s="10">
        <f t="shared" si="21"/>
        <v>33323.586216233169</v>
      </c>
      <c r="AO68" s="10">
        <f>SUM(AH68:AN68)</f>
        <v>203422.7555555556</v>
      </c>
      <c r="AQ68" s="10">
        <f t="shared" ref="AQ68:AW68" si="22">AQ66*$K$39</f>
        <v>11325.970897660471</v>
      </c>
      <c r="AR68" s="10">
        <f t="shared" si="22"/>
        <v>4563.4439791474397</v>
      </c>
      <c r="AS68" s="10">
        <f t="shared" si="22"/>
        <v>26324.244345804269</v>
      </c>
      <c r="AT68" s="10">
        <f t="shared" si="22"/>
        <v>7785.2106707183084</v>
      </c>
      <c r="AU68" s="10">
        <f t="shared" si="22"/>
        <v>25106.8997197754</v>
      </c>
      <c r="AV68" s="10">
        <f t="shared" si="22"/>
        <v>40734.998357159748</v>
      </c>
      <c r="AW68" s="10">
        <f t="shared" si="22"/>
        <v>14159.232029734361</v>
      </c>
      <c r="AX68" s="10">
        <f>SUM(AQ68:AW68)</f>
        <v>130000</v>
      </c>
      <c r="AZ68" s="10">
        <f t="shared" ref="AZ68:BF68" si="23">AZ66*$L$39</f>
        <v>9984.2789605529997</v>
      </c>
      <c r="BA68" s="10">
        <f t="shared" si="23"/>
        <v>4022.8513846945889</v>
      </c>
      <c r="BB68" s="10">
        <f t="shared" si="23"/>
        <v>23205.83386176284</v>
      </c>
      <c r="BC68" s="10">
        <f t="shared" si="23"/>
        <v>6862.9626374178315</v>
      </c>
      <c r="BD68" s="10">
        <f t="shared" si="23"/>
        <v>22132.697752971239</v>
      </c>
      <c r="BE68" s="10">
        <f t="shared" si="23"/>
        <v>35909.467782542357</v>
      </c>
      <c r="BF68" s="10">
        <f t="shared" si="23"/>
        <v>12481.907620058137</v>
      </c>
      <c r="BG68" s="10">
        <f>SUM(AZ68:BF68)</f>
        <v>114599.99999999999</v>
      </c>
      <c r="BI68" s="10">
        <f t="shared" ref="BI68:BO68" si="24">BI66*$M$39</f>
        <v>1991.9035457261978</v>
      </c>
      <c r="BJ68" s="10">
        <f t="shared" si="24"/>
        <v>802.57492491564687</v>
      </c>
      <c r="BK68" s="10">
        <f t="shared" si="24"/>
        <v>4629.6565764442812</v>
      </c>
      <c r="BL68" s="10">
        <f t="shared" si="24"/>
        <v>1369.1884677570986</v>
      </c>
      <c r="BM68" s="10">
        <f t="shared" si="24"/>
        <v>4415.5616349273014</v>
      </c>
      <c r="BN68" s="10">
        <f t="shared" si="24"/>
        <v>7164.0823021660708</v>
      </c>
      <c r="BO68" s="10">
        <f t="shared" si="24"/>
        <v>2490.1904428002458</v>
      </c>
      <c r="BP68" s="10">
        <f>SUM(BI68:BO68)</f>
        <v>22863.15789473684</v>
      </c>
    </row>
    <row r="69" spans="2:68">
      <c r="B69" s="309" t="str">
        <f>CONCATENATE("Daily cordon entries in Row ",O66," times Cordon VMT per entry in Row ",O$39,".")</f>
        <v>Daily cordon entries in Row 66 times Cordon VMT per entry in Row 39.</v>
      </c>
      <c r="N69" s="138"/>
      <c r="O69" s="136">
        <f>ROW()</f>
        <v>69</v>
      </c>
      <c r="P69" s="10"/>
      <c r="Q69" s="10"/>
      <c r="R69" s="10"/>
      <c r="S69" s="10"/>
      <c r="T69" s="10"/>
      <c r="U69" s="10"/>
      <c r="V69" s="10"/>
      <c r="W69" s="10"/>
      <c r="Y69" s="10"/>
      <c r="Z69" s="10"/>
      <c r="AA69" s="10"/>
      <c r="AB69" s="10"/>
      <c r="AC69" s="10"/>
      <c r="AD69" s="10"/>
      <c r="AE69" s="10"/>
      <c r="AF69" s="10"/>
      <c r="AH69" s="10"/>
      <c r="AI69" s="10"/>
      <c r="AJ69" s="10"/>
      <c r="AK69" s="10"/>
      <c r="AL69" s="10"/>
      <c r="AM69" s="10"/>
      <c r="AN69" s="10"/>
      <c r="AO69" s="10"/>
      <c r="AQ69" s="265"/>
      <c r="AR69" s="10"/>
      <c r="AS69" s="10"/>
      <c r="AT69" s="10"/>
      <c r="AU69" s="10"/>
      <c r="AV69" s="10"/>
      <c r="AW69" s="10"/>
      <c r="AX69" s="10"/>
      <c r="AZ69" s="10"/>
      <c r="BA69" s="10"/>
      <c r="BB69" s="10"/>
      <c r="BC69" s="10"/>
      <c r="BD69" s="10"/>
      <c r="BE69" s="10"/>
      <c r="BF69" s="10"/>
      <c r="BG69" s="10"/>
      <c r="BI69" s="10"/>
      <c r="BJ69" s="10"/>
      <c r="BK69" s="10"/>
      <c r="BL69" s="10"/>
      <c r="BM69" s="10"/>
      <c r="BN69" s="10"/>
      <c r="BO69" s="10"/>
      <c r="BP69" s="10"/>
    </row>
    <row r="70" spans="2:68">
      <c r="B70" s="281"/>
      <c r="G70" s="1179"/>
      <c r="H70" s="1179"/>
      <c r="I70" s="1179"/>
      <c r="J70" s="1179"/>
      <c r="K70" s="1179"/>
      <c r="L70" s="1179"/>
      <c r="M70" s="1179"/>
      <c r="N70" s="679"/>
      <c r="O70" s="136">
        <f>ROW()</f>
        <v>70</v>
      </c>
      <c r="P70" s="10"/>
      <c r="Q70" s="10"/>
      <c r="R70" s="10"/>
      <c r="S70" s="10"/>
      <c r="T70" s="10"/>
      <c r="U70" s="10"/>
      <c r="V70" s="10"/>
      <c r="W70" s="10"/>
      <c r="Y70" s="10"/>
      <c r="Z70" s="10"/>
      <c r="AA70" s="10"/>
      <c r="AB70" s="10"/>
      <c r="AC70" s="10"/>
      <c r="AD70" s="10"/>
      <c r="AE70" s="10"/>
      <c r="AF70" s="10"/>
      <c r="AH70" s="10"/>
      <c r="AI70" s="10"/>
      <c r="AJ70" s="10"/>
      <c r="AK70" s="10"/>
      <c r="AL70" s="10"/>
      <c r="AM70" s="10"/>
      <c r="AN70" s="10"/>
      <c r="AO70" s="10"/>
      <c r="AQ70" s="282"/>
      <c r="AR70" s="10"/>
      <c r="AS70" s="10"/>
      <c r="AT70" s="10"/>
      <c r="AU70" s="10"/>
      <c r="AV70" s="10"/>
      <c r="AW70" s="10"/>
      <c r="AX70" s="10"/>
      <c r="AZ70" s="10"/>
      <c r="BA70" s="10"/>
      <c r="BB70" s="10"/>
      <c r="BC70" s="10"/>
      <c r="BD70" s="10"/>
      <c r="BE70" s="10"/>
      <c r="BF70" s="10"/>
      <c r="BG70" s="10"/>
      <c r="BI70" s="10"/>
      <c r="BJ70" s="10"/>
      <c r="BK70" s="10"/>
      <c r="BL70" s="10"/>
      <c r="BM70" s="10"/>
      <c r="BN70" s="10"/>
      <c r="BO70" s="10"/>
      <c r="BP70" s="10"/>
    </row>
    <row r="71" spans="2:68" ht="12">
      <c r="B71" s="172" t="s">
        <v>907</v>
      </c>
      <c r="G71" s="138">
        <f>'Motor Vs'!G133</f>
        <v>82460.027021359856</v>
      </c>
      <c r="H71" s="138">
        <f>'Motor Vs'!H133</f>
        <v>16193.501241091566</v>
      </c>
      <c r="I71" s="138">
        <f>'Motor Vs'!I133</f>
        <v>93335.790186645507</v>
      </c>
      <c r="J71" s="138">
        <f>'Motor Vs'!J133</f>
        <v>29467.907539596752</v>
      </c>
      <c r="K71" s="138">
        <f>'Motor Vs'!K133</f>
        <v>118567.38148782861</v>
      </c>
      <c r="L71" s="138">
        <f>'Motor Vs'!L133</f>
        <v>248917.59892696427</v>
      </c>
      <c r="M71" s="138">
        <f>'Motor Vs'!M133</f>
        <v>96991.594766104055</v>
      </c>
      <c r="N71" s="138"/>
      <c r="O71" s="136">
        <f>ROW()</f>
        <v>71</v>
      </c>
      <c r="P71" s="10"/>
      <c r="Q71" s="10"/>
      <c r="R71" s="10"/>
      <c r="S71" s="10"/>
      <c r="T71" s="10"/>
      <c r="U71" s="10"/>
      <c r="V71" s="10"/>
      <c r="W71" s="10"/>
      <c r="Y71" s="10"/>
      <c r="Z71" s="10"/>
      <c r="AA71" s="10"/>
      <c r="AB71" s="10"/>
      <c r="AC71" s="10"/>
      <c r="AD71" s="10"/>
      <c r="AE71" s="10"/>
      <c r="AF71" s="10"/>
      <c r="AH71" s="10"/>
      <c r="AI71" s="10"/>
      <c r="AJ71" s="10"/>
      <c r="AK71" s="10"/>
      <c r="AL71" s="10"/>
      <c r="AM71" s="10"/>
      <c r="AN71" s="10"/>
      <c r="AO71" s="10"/>
      <c r="AQ71" s="10"/>
      <c r="AR71" s="10"/>
      <c r="AS71" s="10"/>
      <c r="AT71" s="10"/>
      <c r="AU71" s="10"/>
      <c r="AV71" s="10"/>
      <c r="AW71" s="10"/>
      <c r="AX71" s="10"/>
      <c r="AZ71" s="10"/>
      <c r="BA71" s="10"/>
      <c r="BB71" s="10"/>
      <c r="BC71" s="10"/>
      <c r="BD71" s="10"/>
      <c r="BE71" s="10"/>
      <c r="BF71" s="10"/>
      <c r="BG71" s="10"/>
      <c r="BI71" s="10"/>
      <c r="BJ71" s="10"/>
      <c r="BK71" s="10"/>
      <c r="BL71" s="10"/>
      <c r="BM71" s="10"/>
      <c r="BN71" s="10"/>
      <c r="BO71" s="10"/>
      <c r="BP71" s="10"/>
    </row>
    <row r="72" spans="2:68" ht="12">
      <c r="B72" s="281" t="s">
        <v>2515</v>
      </c>
      <c r="G72" s="138">
        <f t="shared" ref="G72:M72" si="25">P72+Y72+AH72+AQ72+AZ72+BI72</f>
        <v>82472.39501315348</v>
      </c>
      <c r="H72" s="138">
        <f t="shared" si="25"/>
        <v>16195.741702027226</v>
      </c>
      <c r="I72" s="138">
        <f t="shared" si="25"/>
        <v>93348.701976575874</v>
      </c>
      <c r="J72" s="138">
        <f t="shared" si="25"/>
        <v>29472.026384819233</v>
      </c>
      <c r="K72" s="138">
        <f t="shared" si="25"/>
        <v>118584.45479442397</v>
      </c>
      <c r="L72" s="138">
        <f t="shared" si="25"/>
        <v>248954.40640939123</v>
      </c>
      <c r="M72" s="138">
        <f t="shared" si="25"/>
        <v>97006.074889199605</v>
      </c>
      <c r="N72" s="186">
        <f>SUM(G72:M72)</f>
        <v>686033.80116959056</v>
      </c>
      <c r="O72" s="136">
        <f>ROW()</f>
        <v>72</v>
      </c>
      <c r="P72" s="10">
        <f>(H35+G63*H37)*('Weekday Hours'!L54+SUM('Weekday Hours'!L31:L35))</f>
        <v>32258.050116515275</v>
      </c>
      <c r="Q72" s="10">
        <f>(H35+H63*H37)*'Weekday Hours'!L36</f>
        <v>5843.5437500744083</v>
      </c>
      <c r="R72" s="10">
        <f>(H35+I63*H37)*SUM('Weekday Hours'!L37:L39)</f>
        <v>33676.377993931659</v>
      </c>
      <c r="S72" s="10">
        <f>(H35+J63*H37)*'Weekday Hours'!L40</f>
        <v>10742.723461165549</v>
      </c>
      <c r="T72" s="10">
        <f>(H35+K63*H37)*SUM('Weekday Hours'!L41:L44)</f>
        <v>44530.396607441828</v>
      </c>
      <c r="U72" s="10">
        <f>(H35+L63*H37)*SUM('Weekday Hours'!L45:L50)</f>
        <v>96000.840928944439</v>
      </c>
      <c r="V72" s="10">
        <f>(H35+M63*H37)*SUM('Weekday Hours'!L51:L53)</f>
        <v>37766.886031582842</v>
      </c>
      <c r="W72" s="10">
        <f>SUM(P72:V72)</f>
        <v>260818.81888965599</v>
      </c>
      <c r="Y72" s="10">
        <f>(I35+G63*I37)*('Weekday Hours'!L54+SUM('Weekday Hours'!L31:L35))</f>
        <v>22688.361265619045</v>
      </c>
      <c r="Z72" s="10">
        <f>(I35+H63*I37)*'Weekday Hours'!L36</f>
        <v>4109.9952165199456</v>
      </c>
      <c r="AA72" s="10">
        <f>(I35+I63*I37)*SUM('Weekday Hours'!L37:L39)</f>
        <v>23685.927304474146</v>
      </c>
      <c r="AB72" s="10">
        <f>(I35+J63*I37)*'Weekday Hours'!L40</f>
        <v>7555.7818895810942</v>
      </c>
      <c r="AC72" s="10">
        <f>(I35+K63*I37)*SUM('Weekday Hours'!L41:L44)</f>
        <v>31319.98747232644</v>
      </c>
      <c r="AD72" s="10">
        <f>(I35+L63*I37)*SUM('Weekday Hours'!L45:L50)</f>
        <v>67521.184725421073</v>
      </c>
      <c r="AE72" s="10">
        <f>(I35+M63*I37)*SUM('Weekday Hours'!L51:L53)</f>
        <v>26562.943236402218</v>
      </c>
      <c r="AF72" s="10">
        <f>SUM(Y72:AE72)</f>
        <v>183444.18111034395</v>
      </c>
      <c r="AH72" s="10">
        <f>($J35+G63*$J37)*('Weekday Hours'!L54+SUM('Weekday Hours'!L31:L35))</f>
        <v>15724.568570929423</v>
      </c>
      <c r="AI72" s="10">
        <f>($J35+H63*$J37)*'Weekday Hours'!L36</f>
        <v>2848.5046077917546</v>
      </c>
      <c r="AJ72" s="10">
        <f>($J35+I63*$J37)*SUM('Weekday Hours'!L37:L39)</f>
        <v>16415.949292452835</v>
      </c>
      <c r="AK72" s="10">
        <f>($J35+J63*$J37)*'Weekday Hours'!L40</f>
        <v>5236.6677803983239</v>
      </c>
      <c r="AL72" s="10">
        <f>($J35+K63*$J37)*SUM('Weekday Hours'!L41:L44)</f>
        <v>21706.869212962967</v>
      </c>
      <c r="AM72" s="10">
        <f>($J35+L63*$J37)*SUM('Weekday Hours'!L45:L50)</f>
        <v>46796.746877183803</v>
      </c>
      <c r="AN72" s="10">
        <f>($J35+M63*$J37)*SUM('Weekday Hours'!L51:L53)</f>
        <v>18409.915880503147</v>
      </c>
      <c r="AO72" s="10">
        <f>SUM(AH72:AN72)</f>
        <v>127139.22222222226</v>
      </c>
      <c r="AQ72" s="10">
        <f t="shared" ref="AQ72:AW72" si="26">AQ66</f>
        <v>5662.9854488302353</v>
      </c>
      <c r="AR72" s="10">
        <f t="shared" si="26"/>
        <v>2281.7219895737198</v>
      </c>
      <c r="AS72" s="10">
        <f t="shared" si="26"/>
        <v>13162.122172902134</v>
      </c>
      <c r="AT72" s="10">
        <f t="shared" si="26"/>
        <v>3892.6053353591542</v>
      </c>
      <c r="AU72" s="10">
        <f t="shared" si="26"/>
        <v>12553.4498598877</v>
      </c>
      <c r="AV72" s="10">
        <f t="shared" si="26"/>
        <v>20367.499178579874</v>
      </c>
      <c r="AW72" s="10">
        <f t="shared" si="26"/>
        <v>7079.6160148671806</v>
      </c>
      <c r="AX72" s="10">
        <f>SUM(AQ72:AW72)</f>
        <v>65000</v>
      </c>
      <c r="AZ72" s="10">
        <f>$L$36*('Weekday Hours'!L54+SUM('Weekday Hours'!L31:L35))</f>
        <v>4724.5728651666495</v>
      </c>
      <c r="BA72" s="10">
        <f>$L$36*'Weekday Hours'!L36</f>
        <v>855.85607742239256</v>
      </c>
      <c r="BB72" s="10">
        <f>$L$36*SUM('Weekday Hours'!L37:L39)</f>
        <v>4932.3037534053074</v>
      </c>
      <c r="BC72" s="10">
        <f>$L$36*'Weekday Hours'!L40</f>
        <v>1573.3988749873877</v>
      </c>
      <c r="BD72" s="10">
        <f>$L$36*SUM('Weekday Hours'!L41:L44)</f>
        <v>6522.0031194295907</v>
      </c>
      <c r="BE72" s="10">
        <f>$L$36*SUM('Weekday Hours'!L45:L50)</f>
        <v>14060.458287088422</v>
      </c>
      <c r="BF72" s="10">
        <f>$L$36*SUM('Weekday Hours'!L51:L53)</f>
        <v>5531.4070225002524</v>
      </c>
      <c r="BG72" s="10">
        <f>SUM(AZ72:BF72)</f>
        <v>38200</v>
      </c>
      <c r="BI72" s="10">
        <f>$M$36*('Weekday Hours'!L54+SUM('Weekday Hours'!L31:L35))</f>
        <v>1413.856746092858</v>
      </c>
      <c r="BJ72" s="10">
        <f>$M$36*'Weekday Hours'!L36</f>
        <v>256.12006064500366</v>
      </c>
      <c r="BK72" s="10">
        <f>$M$36*SUM('Weekday Hours'!L37:L39)</f>
        <v>1476.0214594097999</v>
      </c>
      <c r="BL72" s="10">
        <f>$M$36*'Weekday Hours'!L40</f>
        <v>470.84904332772203</v>
      </c>
      <c r="BM72" s="10">
        <f>$M$36*SUM('Weekday Hours'!L41:L44)</f>
        <v>1951.7485223754577</v>
      </c>
      <c r="BN72" s="10">
        <f>$M$36*SUM('Weekday Hours'!L45:L50)</f>
        <v>4207.6764121736087</v>
      </c>
      <c r="BO72" s="10">
        <f>$M$36*SUM('Weekday Hours'!L51:L53)</f>
        <v>1655.306703343972</v>
      </c>
      <c r="BP72" s="10">
        <f>SUM(BI72:BO72)</f>
        <v>11431.578947368424</v>
      </c>
    </row>
    <row r="73" spans="2:68">
      <c r="B73" s="309" t="s">
        <v>1557</v>
      </c>
      <c r="N73" s="138"/>
      <c r="O73" s="136">
        <f>ROW()</f>
        <v>73</v>
      </c>
      <c r="P73" s="282" t="s">
        <v>1062</v>
      </c>
      <c r="Q73" s="10"/>
      <c r="R73" s="10"/>
      <c r="S73" s="10"/>
      <c r="T73" s="10"/>
      <c r="U73" s="10"/>
      <c r="V73" s="10"/>
      <c r="W73" s="10"/>
      <c r="Y73" s="282" t="s">
        <v>779</v>
      </c>
      <c r="Z73" s="10"/>
      <c r="AA73" s="10"/>
      <c r="AB73" s="10"/>
      <c r="AC73" s="10"/>
      <c r="AD73" s="10"/>
      <c r="AE73" s="10"/>
      <c r="AF73" s="10"/>
      <c r="AH73" s="282" t="str">
        <f>CONCATENATE("Figures in preceding row are made equal to corresponding figues in row ",O66,", since thru-trips leave cordon shortly after entering.")</f>
        <v>Figures in preceding row are made equal to corresponding figues in row 66, since thru-trips leave cordon shortly after entering.</v>
      </c>
      <c r="AI73" s="10"/>
      <c r="AJ73" s="10"/>
      <c r="AK73" s="10"/>
      <c r="AL73" s="10"/>
      <c r="AM73" s="10"/>
      <c r="AN73" s="10"/>
      <c r="AO73" s="10"/>
      <c r="AQ73" s="282" t="s">
        <v>2299</v>
      </c>
      <c r="AR73" s="10"/>
      <c r="AS73" s="10"/>
      <c r="AT73" s="10"/>
      <c r="AU73" s="10"/>
      <c r="AV73" s="10"/>
      <c r="AW73" s="10"/>
      <c r="AX73" s="10"/>
      <c r="AZ73" s="616"/>
      <c r="BA73" s="10"/>
      <c r="BB73" s="10"/>
      <c r="BC73" s="10"/>
      <c r="BD73" s="10"/>
      <c r="BE73" s="10"/>
      <c r="BF73" s="10"/>
      <c r="BG73" s="10"/>
      <c r="BI73" s="616"/>
      <c r="BJ73" s="10"/>
      <c r="BK73" s="10"/>
      <c r="BL73" s="10"/>
      <c r="BM73" s="10"/>
      <c r="BN73" s="10"/>
      <c r="BO73" s="10"/>
      <c r="BP73" s="10"/>
    </row>
    <row r="74" spans="2:68" ht="12">
      <c r="B74" s="1052" t="s">
        <v>2484</v>
      </c>
      <c r="C74" s="1053"/>
      <c r="D74" s="1053"/>
      <c r="E74" s="1053"/>
      <c r="F74" s="1053"/>
      <c r="G74" s="1178">
        <f t="shared" ref="G74:M74" si="27">P74+Y74+AH74+AQ74+AZ74+BI74</f>
        <v>119338.23420208601</v>
      </c>
      <c r="H74" s="1178">
        <f t="shared" si="27"/>
        <v>23501.922418627513</v>
      </c>
      <c r="I74" s="1178">
        <f t="shared" si="27"/>
        <v>135460.53792932053</v>
      </c>
      <c r="J74" s="1178">
        <f t="shared" si="27"/>
        <v>42752.602851726966</v>
      </c>
      <c r="K74" s="1178">
        <f t="shared" si="27"/>
        <v>171843.65203332235</v>
      </c>
      <c r="L74" s="1178">
        <f t="shared" si="27"/>
        <v>360425.30352493329</v>
      </c>
      <c r="M74" s="1178">
        <f t="shared" si="27"/>
        <v>140392.41049027583</v>
      </c>
      <c r="N74" s="1054">
        <f>SUM(G74:M74)</f>
        <v>993714.66345029254</v>
      </c>
      <c r="O74" s="136">
        <f>ROW()</f>
        <v>74</v>
      </c>
      <c r="P74" s="10">
        <f t="shared" ref="P74:V74" si="28">P72*$H$39</f>
        <v>40322.562645644095</v>
      </c>
      <c r="Q74" s="10">
        <f t="shared" si="28"/>
        <v>7304.4296875930104</v>
      </c>
      <c r="R74" s="10">
        <f t="shared" si="28"/>
        <v>42095.47249241457</v>
      </c>
      <c r="S74" s="10">
        <f t="shared" si="28"/>
        <v>13428.404326456937</v>
      </c>
      <c r="T74" s="10">
        <f t="shared" si="28"/>
        <v>55662.995759302285</v>
      </c>
      <c r="U74" s="10">
        <f t="shared" si="28"/>
        <v>120001.05116118054</v>
      </c>
      <c r="V74" s="10">
        <f t="shared" si="28"/>
        <v>47208.607539478551</v>
      </c>
      <c r="W74" s="10">
        <f>SUM(P74:V74)</f>
        <v>326023.52361207001</v>
      </c>
      <c r="Y74" s="10">
        <f t="shared" ref="Y74:AE74" si="29">Y72*$I$39</f>
        <v>28360.451582023808</v>
      </c>
      <c r="Z74" s="10">
        <f t="shared" si="29"/>
        <v>5137.4940206499323</v>
      </c>
      <c r="AA74" s="10">
        <f t="shared" si="29"/>
        <v>29607.409130592681</v>
      </c>
      <c r="AB74" s="10">
        <f t="shared" si="29"/>
        <v>9444.7273619763673</v>
      </c>
      <c r="AC74" s="10">
        <f t="shared" si="29"/>
        <v>39149.984340408053</v>
      </c>
      <c r="AD74" s="10">
        <f t="shared" si="29"/>
        <v>84401.480906776342</v>
      </c>
      <c r="AE74" s="10">
        <f t="shared" si="29"/>
        <v>33203.679045502773</v>
      </c>
      <c r="AF74" s="10">
        <f>SUM(Y74:AE74)</f>
        <v>229305.22638792996</v>
      </c>
      <c r="AH74" s="10">
        <f t="shared" ref="AH74:AN74" si="30">AH72*$J$39</f>
        <v>25159.309713487077</v>
      </c>
      <c r="AI74" s="10">
        <f t="shared" si="30"/>
        <v>4557.6073724668076</v>
      </c>
      <c r="AJ74" s="10">
        <f t="shared" si="30"/>
        <v>26265.518867924537</v>
      </c>
      <c r="AK74" s="10">
        <f t="shared" si="30"/>
        <v>8378.6684486373179</v>
      </c>
      <c r="AL74" s="10">
        <f t="shared" si="30"/>
        <v>34730.990740740752</v>
      </c>
      <c r="AM74" s="10">
        <f t="shared" si="30"/>
        <v>74874.795003494088</v>
      </c>
      <c r="AN74" s="10">
        <f t="shared" si="30"/>
        <v>29455.865408805039</v>
      </c>
      <c r="AO74" s="10">
        <f>SUM(AH74:AN74)</f>
        <v>203422.75555555563</v>
      </c>
      <c r="AQ74" s="10">
        <f>AQ72*$K$39*Taxis!$L$130</f>
        <v>8494.4781732453521</v>
      </c>
      <c r="AR74" s="10">
        <f>AR72*$K$39*Taxis!$L$130</f>
        <v>3422.5829843605798</v>
      </c>
      <c r="AS74" s="10">
        <f>AS72*$K$39*Taxis!$L$130</f>
        <v>19743.183259353202</v>
      </c>
      <c r="AT74" s="10">
        <f>AT72*$K$39*Taxis!$L$130</f>
        <v>5838.9080030387313</v>
      </c>
      <c r="AU74" s="10">
        <f>AU72*$K$39*Taxis!$L$130</f>
        <v>18830.174789831552</v>
      </c>
      <c r="AV74" s="10">
        <f>AV72*$K$39*Taxis!$L$130</f>
        <v>30551.248767869809</v>
      </c>
      <c r="AW74" s="10">
        <f>AW72*$K$39*Taxis!$L$130</f>
        <v>10619.424022300771</v>
      </c>
      <c r="AX74" s="10">
        <f>SUM(AQ74:AW74)</f>
        <v>97499.999999999985</v>
      </c>
      <c r="AZ74" s="10">
        <f t="shared" ref="AZ74:BF74" si="31">AZ72*$L$39</f>
        <v>14173.718595499948</v>
      </c>
      <c r="BA74" s="10">
        <f t="shared" si="31"/>
        <v>2567.5682322671778</v>
      </c>
      <c r="BB74" s="10">
        <f t="shared" si="31"/>
        <v>14796.911260215922</v>
      </c>
      <c r="BC74" s="10">
        <f t="shared" si="31"/>
        <v>4720.1966249621628</v>
      </c>
      <c r="BD74" s="10">
        <f t="shared" si="31"/>
        <v>19566.009358288771</v>
      </c>
      <c r="BE74" s="10">
        <f t="shared" si="31"/>
        <v>42181.374861265271</v>
      </c>
      <c r="BF74" s="10">
        <f t="shared" si="31"/>
        <v>16594.221067500759</v>
      </c>
      <c r="BG74" s="10">
        <f>SUM(AZ74:BF74)</f>
        <v>114600.00000000003</v>
      </c>
      <c r="BI74" s="10">
        <f t="shared" ref="BI74:BO74" si="32">BI72*$M$39</f>
        <v>2827.7134921857159</v>
      </c>
      <c r="BJ74" s="10">
        <f t="shared" si="32"/>
        <v>512.24012129000732</v>
      </c>
      <c r="BK74" s="10">
        <f t="shared" si="32"/>
        <v>2952.0429188195999</v>
      </c>
      <c r="BL74" s="10">
        <f t="shared" si="32"/>
        <v>941.69808665544406</v>
      </c>
      <c r="BM74" s="10">
        <f t="shared" si="32"/>
        <v>3903.4970447509154</v>
      </c>
      <c r="BN74" s="10">
        <f t="shared" si="32"/>
        <v>8415.3528243472174</v>
      </c>
      <c r="BO74" s="10">
        <f t="shared" si="32"/>
        <v>3310.613406687944</v>
      </c>
      <c r="BP74" s="10">
        <f>SUM(BI74:BO74)</f>
        <v>22863.157894736847</v>
      </c>
    </row>
    <row r="75" spans="2:68">
      <c r="B75" s="309" t="str">
        <f>CONCATENATE("Daily cordon return trips in Row ",O72," times Cordon VMT per entry [which is same as per return] in Row ",O$39,".")</f>
        <v>Daily cordon return trips in Row 72 times Cordon VMT per entry [which is same as per return] in Row 39.</v>
      </c>
      <c r="O75" s="136">
        <f>ROW()</f>
        <v>75</v>
      </c>
      <c r="P75" s="10"/>
      <c r="Q75" s="10"/>
      <c r="R75" s="10"/>
      <c r="S75" s="10"/>
      <c r="T75" s="10"/>
      <c r="U75" s="10"/>
      <c r="V75" s="10"/>
      <c r="Y75" s="10"/>
      <c r="Z75" s="10"/>
      <c r="AA75" s="10"/>
      <c r="AB75" s="10"/>
      <c r="AC75" s="10"/>
      <c r="AD75" s="10"/>
      <c r="AE75" s="10"/>
      <c r="AH75" s="10"/>
      <c r="AI75" s="10"/>
      <c r="AJ75" s="10"/>
      <c r="AK75" s="10"/>
      <c r="AL75" s="10"/>
      <c r="AM75" s="10"/>
      <c r="AN75" s="10"/>
      <c r="AQ75" s="265"/>
      <c r="AR75" s="929"/>
      <c r="AS75" s="929"/>
      <c r="AT75" s="929"/>
      <c r="AU75" s="929"/>
      <c r="AV75" s="929"/>
      <c r="AW75" s="929"/>
      <c r="AZ75" s="10"/>
      <c r="BA75" s="10"/>
      <c r="BB75" s="10"/>
      <c r="BC75" s="10"/>
      <c r="BD75" s="10"/>
      <c r="BE75" s="10"/>
      <c r="BF75" s="10"/>
      <c r="BI75" s="10"/>
      <c r="BJ75" s="10"/>
      <c r="BK75" s="10"/>
      <c r="BL75" s="10"/>
      <c r="BM75" s="10"/>
      <c r="BN75" s="10"/>
      <c r="BO75" s="10"/>
    </row>
    <row r="76" spans="2:68">
      <c r="B76" s="281"/>
      <c r="O76" s="136">
        <f>ROW()</f>
        <v>76</v>
      </c>
      <c r="P76" s="10"/>
      <c r="Q76" s="10"/>
      <c r="R76" s="10"/>
      <c r="S76" s="10"/>
      <c r="T76" s="10"/>
      <c r="U76" s="10"/>
      <c r="V76" s="10"/>
      <c r="Y76" s="10"/>
      <c r="Z76" s="10"/>
      <c r="AA76" s="10"/>
      <c r="AB76" s="10"/>
      <c r="AC76" s="10"/>
      <c r="AD76" s="10"/>
      <c r="AE76" s="10"/>
      <c r="AH76" s="10"/>
      <c r="AI76" s="10"/>
      <c r="AJ76" s="10"/>
      <c r="AK76" s="10"/>
      <c r="AL76" s="10"/>
      <c r="AM76" s="10"/>
      <c r="AN76" s="10"/>
      <c r="AQ76" s="282"/>
      <c r="AR76" s="929"/>
      <c r="AS76" s="929"/>
      <c r="AT76" s="929"/>
      <c r="AU76" s="929"/>
      <c r="AV76" s="929"/>
      <c r="AW76" s="929"/>
      <c r="AZ76" s="10"/>
      <c r="BA76" s="10"/>
      <c r="BB76" s="10"/>
      <c r="BC76" s="10"/>
      <c r="BD76" s="10"/>
      <c r="BE76" s="10"/>
      <c r="BF76" s="10"/>
      <c r="BI76" s="10"/>
      <c r="BJ76" s="10"/>
      <c r="BK76" s="10"/>
      <c r="BL76" s="10"/>
      <c r="BM76" s="10"/>
      <c r="BN76" s="10"/>
      <c r="BO76" s="10"/>
    </row>
    <row r="77" spans="2:68" ht="12">
      <c r="B77" s="172" t="s">
        <v>269</v>
      </c>
      <c r="O77" s="136">
        <f>ROW()</f>
        <v>77</v>
      </c>
      <c r="P77" s="10"/>
      <c r="Q77" s="10"/>
      <c r="R77" s="10"/>
      <c r="S77" s="10"/>
      <c r="T77" s="10"/>
      <c r="U77" s="10"/>
      <c r="V77" s="10"/>
      <c r="Y77" s="10"/>
      <c r="Z77" s="10"/>
      <c r="AA77" s="10"/>
      <c r="AB77" s="10"/>
      <c r="AC77" s="10"/>
      <c r="AD77" s="10"/>
      <c r="AE77" s="10"/>
      <c r="AH77" s="10"/>
      <c r="AI77" s="10"/>
      <c r="AJ77" s="10"/>
      <c r="AK77" s="10"/>
      <c r="AL77" s="10"/>
      <c r="AM77" s="10"/>
      <c r="AN77" s="10"/>
      <c r="AQ77" s="929"/>
      <c r="AR77" s="929"/>
      <c r="AS77" s="929"/>
      <c r="AT77" s="929"/>
      <c r="AU77" s="929"/>
      <c r="AV77" s="929"/>
      <c r="AW77" s="929"/>
      <c r="AZ77" s="10"/>
      <c r="BA77" s="10"/>
      <c r="BB77" s="10"/>
      <c r="BC77" s="10"/>
      <c r="BD77" s="10"/>
      <c r="BE77" s="10"/>
      <c r="BF77" s="10"/>
      <c r="BI77" s="10"/>
      <c r="BJ77" s="10"/>
      <c r="BK77" s="10"/>
      <c r="BL77" s="10"/>
      <c r="BM77" s="10"/>
      <c r="BN77" s="10"/>
      <c r="BO77" s="10"/>
    </row>
    <row r="78" spans="2:68">
      <c r="B78" s="281" t="s">
        <v>1202</v>
      </c>
      <c r="G78" s="22">
        <f>AVERAGE('Weekday Hours'!D54+SUM('Weekday Hours'!D31:D35),('Weekday Hours'!L54+SUM('Weekday Hours'!L31:L35)))</f>
        <v>0.10540138549761321</v>
      </c>
      <c r="H78" s="22">
        <f>AVERAGE('Weekday Hours'!D36,'Weekday Hours'!L36)</f>
        <v>2.8754012290409102E-2</v>
      </c>
      <c r="I78" s="22">
        <f>AVERAGE(SUM('Weekday Hours'!D37:D39),SUM('Weekday Hours'!L37:L39))</f>
        <v>0.16580604328961066</v>
      </c>
      <c r="J78" s="22">
        <f>AVERAGE('Weekday Hours'!D40,'Weekday Hours'!L40)</f>
        <v>5.0537344076701546E-2</v>
      </c>
      <c r="K78" s="22">
        <f>AVERAGE(SUM('Weekday Hours'!D41:D44),SUM('Weekday Hours'!L41:L44))</f>
        <v>0.18193153189904018</v>
      </c>
      <c r="L78" s="22">
        <f>AVERAGE(SUM('Weekday Hours'!D45:D50),SUM('Weekday Hours'!L45:L50))</f>
        <v>0.34071048273912574</v>
      </c>
      <c r="M78" s="22">
        <f>AVERAGE(SUM('Weekday Hours'!D51:D53),SUM('Weekday Hours'!L51:L53))</f>
        <v>0.12685920020749952</v>
      </c>
      <c r="N78" s="927">
        <f>SUM(G78:M78)</f>
        <v>1</v>
      </c>
      <c r="O78" s="136">
        <f>ROW()</f>
        <v>78</v>
      </c>
      <c r="P78" s="930">
        <f>'Motor Vs'!P141</f>
        <v>0.10540138549761321</v>
      </c>
      <c r="Q78" s="930">
        <f>'Motor Vs'!Q141</f>
        <v>2.8754012290409102E-2</v>
      </c>
      <c r="R78" s="930">
        <f>'Motor Vs'!R141</f>
        <v>0.16580604328961066</v>
      </c>
      <c r="S78" s="930">
        <f>'Motor Vs'!S141</f>
        <v>5.0537344076701546E-2</v>
      </c>
      <c r="T78" s="930">
        <f>'Motor Vs'!T141</f>
        <v>0.18193153189904018</v>
      </c>
      <c r="U78" s="930">
        <f>'Motor Vs'!U141</f>
        <v>0.34071048273912574</v>
      </c>
      <c r="V78" s="930">
        <f>'Motor Vs'!V141</f>
        <v>0.12685920020749952</v>
      </c>
      <c r="W78" s="930">
        <f>SUM(P78:V78)</f>
        <v>1</v>
      </c>
      <c r="Y78" s="930">
        <f>'Motor Vs'!Y141</f>
        <v>0.10540138549761321</v>
      </c>
      <c r="Z78" s="930">
        <f>'Motor Vs'!Z141</f>
        <v>2.8754012290409102E-2</v>
      </c>
      <c r="AA78" s="930">
        <f>'Motor Vs'!AA141</f>
        <v>0.16580604328961066</v>
      </c>
      <c r="AB78" s="930">
        <f>'Motor Vs'!AB141</f>
        <v>5.0537344076701546E-2</v>
      </c>
      <c r="AC78" s="930">
        <f>'Motor Vs'!AC141</f>
        <v>0.18193153189904018</v>
      </c>
      <c r="AD78" s="930">
        <f>'Motor Vs'!AD141</f>
        <v>0.34071048273912574</v>
      </c>
      <c r="AE78" s="930">
        <f>'Motor Vs'!AE141</f>
        <v>0.12685920020749952</v>
      </c>
      <c r="AF78" s="930">
        <f>SUM(Y78:AE78)</f>
        <v>1</v>
      </c>
      <c r="AH78" s="930">
        <f>'Motor Vs'!AH141</f>
        <v>0.10540138549761321</v>
      </c>
      <c r="AI78" s="930">
        <f>'Motor Vs'!AI141</f>
        <v>2.8754012290409102E-2</v>
      </c>
      <c r="AJ78" s="930">
        <f>'Motor Vs'!AJ141</f>
        <v>0.16580604328961066</v>
      </c>
      <c r="AK78" s="930">
        <f>'Motor Vs'!AK141</f>
        <v>5.0537344076701546E-2</v>
      </c>
      <c r="AL78" s="930">
        <f>'Motor Vs'!AL141</f>
        <v>0.18193153189904018</v>
      </c>
      <c r="AM78" s="930">
        <f>'Motor Vs'!AM141</f>
        <v>0.34071048273912574</v>
      </c>
      <c r="AN78" s="930">
        <f>'Motor Vs'!AN141</f>
        <v>0.12685920020749952</v>
      </c>
      <c r="AO78" s="930">
        <f>SUM(AH78:AN78)</f>
        <v>1</v>
      </c>
      <c r="AQ78" s="930">
        <f>'Motor Vs'!AQ141</f>
        <v>0.17706524707400711</v>
      </c>
      <c r="AR78" s="930">
        <f>'Motor Vs'!AR141</f>
        <v>1.9163809244673296E-2</v>
      </c>
      <c r="AS78" s="930">
        <f>'Motor Vs'!AS141</f>
        <v>0.12853643148176547</v>
      </c>
      <c r="AT78" s="930">
        <f>'Motor Vs'!AT141</f>
        <v>4.806967876441904E-2</v>
      </c>
      <c r="AU78" s="930">
        <f>'Motor Vs'!AU141</f>
        <v>0.17585202592539378</v>
      </c>
      <c r="AV78" s="930">
        <f>'Motor Vs'!AV141</f>
        <v>0.29641489818485756</v>
      </c>
      <c r="AW78" s="930">
        <f>'Motor Vs'!AW141</f>
        <v>0.15489790932488368</v>
      </c>
      <c r="AX78" s="930">
        <f>SUM(AQ78:AW78)</f>
        <v>1</v>
      </c>
      <c r="AZ78" s="930">
        <f>'Motor Vs'!AZ141</f>
        <v>0.10540138549761321</v>
      </c>
      <c r="BA78" s="930">
        <f>'Motor Vs'!BA141</f>
        <v>2.8754012290409102E-2</v>
      </c>
      <c r="BB78" s="930">
        <f>'Motor Vs'!BB141</f>
        <v>0.16580604328961066</v>
      </c>
      <c r="BC78" s="930">
        <f>'Motor Vs'!BC141</f>
        <v>5.0537344076701546E-2</v>
      </c>
      <c r="BD78" s="930">
        <f>'Motor Vs'!BD141</f>
        <v>0.18193153189904018</v>
      </c>
      <c r="BE78" s="930">
        <f>'Motor Vs'!BE141</f>
        <v>0.34071048273912574</v>
      </c>
      <c r="BF78" s="930">
        <f>'Motor Vs'!BF141</f>
        <v>0.12685920020749952</v>
      </c>
      <c r="BG78" s="930">
        <f>SUM(AZ78:BF78)</f>
        <v>1</v>
      </c>
      <c r="BI78" s="930">
        <f>'Motor Vs'!BI141</f>
        <v>0.10540138549761321</v>
      </c>
      <c r="BJ78" s="930">
        <f>'Motor Vs'!BJ141</f>
        <v>2.8754012290409102E-2</v>
      </c>
      <c r="BK78" s="930">
        <f>'Motor Vs'!BK141</f>
        <v>0.16580604328961066</v>
      </c>
      <c r="BL78" s="930">
        <f>'Motor Vs'!BL141</f>
        <v>5.0537344076701546E-2</v>
      </c>
      <c r="BM78" s="930">
        <f>'Motor Vs'!BM141</f>
        <v>0.18193153189904018</v>
      </c>
      <c r="BN78" s="930">
        <f>'Motor Vs'!BN141</f>
        <v>0.34071048273912574</v>
      </c>
      <c r="BO78" s="930">
        <f>'Motor Vs'!BO141</f>
        <v>0.12685920020749952</v>
      </c>
      <c r="BP78" s="930">
        <f>SUM(BI78:BO78)</f>
        <v>1</v>
      </c>
    </row>
    <row r="79" spans="2:68">
      <c r="B79" s="309" t="s">
        <v>2899</v>
      </c>
      <c r="O79" s="136">
        <f>ROW()</f>
        <v>79</v>
      </c>
      <c r="P79" s="265" t="str">
        <f>CONCATENATE("Same as for this column block in 'Motor Vs' tab, Row ",'Motor Vs'!O141, ".")</f>
        <v>Same as for this column block in 'Motor Vs' tab, Row 141.</v>
      </c>
      <c r="Y79" s="265" t="str">
        <f>CONCATENATE("Same as for this column block in 'Motor Vs' tab, Row ",'Motor Vs'!X141, ".")</f>
        <v>Same as for this column block in 'Motor Vs' tab, Row .</v>
      </c>
      <c r="AH79" s="265" t="str">
        <f>CONCATENATE("Same as for this column block in 'Motor Vs' tab, Row ",'Motor Vs'!AG141, ".")</f>
        <v>Same as for this column block in 'Motor Vs' tab, Row .</v>
      </c>
      <c r="AQ79" s="265" t="str">
        <f>CONCATENATE("Same as for this column block in 'Motor Vs' tab, Row ",'Motor Vs'!AP141, ".")</f>
        <v>Same as for this column block in 'Motor Vs' tab, Row .</v>
      </c>
      <c r="AZ79" s="265" t="str">
        <f>CONCATENATE("Same as for this column block in 'Motor Vs' tab, Row ",'Motor Vs'!AY141, ".")</f>
        <v>Same as for this column block in 'Motor Vs' tab, Row .</v>
      </c>
      <c r="BI79" s="265" t="str">
        <f>CONCATENATE("Same as for this column block in 'Motor Vs' tab, Row ",'Motor Vs'!BH141, ".")</f>
        <v>Same as for this column block in 'Motor Vs' tab, Row .</v>
      </c>
    </row>
    <row r="80" spans="2:68" ht="12">
      <c r="B80" s="1052" t="s">
        <v>1834</v>
      </c>
      <c r="C80" s="1053"/>
      <c r="D80" s="1053"/>
      <c r="E80" s="1053"/>
      <c r="F80" s="1053"/>
      <c r="G80" s="1178">
        <f t="shared" ref="G80:M80" si="33">P80+Y80+AH80+AQ80+AZ80+BI80</f>
        <v>234149.17670502764</v>
      </c>
      <c r="H80" s="1178">
        <f t="shared" si="33"/>
        <v>29285.525609529766</v>
      </c>
      <c r="I80" s="1178">
        <f t="shared" si="33"/>
        <v>190274.81298526376</v>
      </c>
      <c r="J80" s="1178">
        <f t="shared" si="33"/>
        <v>68550.769632835931</v>
      </c>
      <c r="K80" s="1178">
        <f t="shared" si="33"/>
        <v>250107.28571256585</v>
      </c>
      <c r="L80" s="1178">
        <f t="shared" si="33"/>
        <v>429319.46194820711</v>
      </c>
      <c r="M80" s="1178">
        <f t="shared" si="33"/>
        <v>212713.3780485593</v>
      </c>
      <c r="N80" s="1054">
        <f>SUM(G80:M80)</f>
        <v>1414400.4106419892</v>
      </c>
      <c r="O80" s="136">
        <f>ROW()</f>
        <v>80</v>
      </c>
      <c r="P80" s="10">
        <f t="shared" ref="P80:V80" si="34">P78*$H$51</f>
        <v>9816.2603201400798</v>
      </c>
      <c r="Q80" s="10">
        <f t="shared" si="34"/>
        <v>2677.9237156949393</v>
      </c>
      <c r="R80" s="10">
        <f t="shared" si="34"/>
        <v>15441.877503783762</v>
      </c>
      <c r="S80" s="10">
        <f t="shared" si="34"/>
        <v>4706.6527921174766</v>
      </c>
      <c r="T80" s="10">
        <f t="shared" si="34"/>
        <v>16943.679337149591</v>
      </c>
      <c r="U80" s="10">
        <f t="shared" si="34"/>
        <v>31731.108434467278</v>
      </c>
      <c r="V80" s="10">
        <f t="shared" si="34"/>
        <v>11814.673283111471</v>
      </c>
      <c r="W80" s="10">
        <f>SUM(P80:V80)</f>
        <v>93132.175386464602</v>
      </c>
      <c r="X80" s="10"/>
      <c r="Y80" s="10">
        <f t="shared" ref="Y80:AE80" si="35">Y78*$I$51</f>
        <v>6904.1637549777142</v>
      </c>
      <c r="Z80" s="10">
        <f t="shared" si="35"/>
        <v>1883.489562574315</v>
      </c>
      <c r="AA80" s="10">
        <f t="shared" si="35"/>
        <v>10860.882606351683</v>
      </c>
      <c r="AB80" s="10">
        <f t="shared" si="35"/>
        <v>3310.3748835929832</v>
      </c>
      <c r="AC80" s="10">
        <f t="shared" si="35"/>
        <v>11917.159176748855</v>
      </c>
      <c r="AD80" s="10">
        <f t="shared" si="35"/>
        <v>22317.742359484448</v>
      </c>
      <c r="AE80" s="10">
        <f t="shared" si="35"/>
        <v>8309.7265555196427</v>
      </c>
      <c r="AF80" s="10">
        <f>SUM(Y80:AE80)</f>
        <v>65503.538899249637</v>
      </c>
      <c r="AG80" s="10"/>
      <c r="AH80" s="10">
        <f t="shared" ref="AH80:AN80" si="36">AH78*$J$51</f>
        <v>0</v>
      </c>
      <c r="AI80" s="10">
        <f t="shared" si="36"/>
        <v>0</v>
      </c>
      <c r="AJ80" s="10">
        <f t="shared" si="36"/>
        <v>0</v>
      </c>
      <c r="AK80" s="10">
        <f t="shared" si="36"/>
        <v>0</v>
      </c>
      <c r="AL80" s="10">
        <f t="shared" si="36"/>
        <v>0</v>
      </c>
      <c r="AM80" s="10">
        <f t="shared" si="36"/>
        <v>0</v>
      </c>
      <c r="AN80" s="10">
        <f t="shared" si="36"/>
        <v>0</v>
      </c>
      <c r="AO80" s="10">
        <f>SUM(AH80:AN80)</f>
        <v>0</v>
      </c>
      <c r="AP80" s="10"/>
      <c r="AQ80" s="10">
        <f t="shared" ref="AQ80:AW80" si="37">AQ78*$K$51</f>
        <v>210187.34459974329</v>
      </c>
      <c r="AR80" s="10">
        <f t="shared" si="37"/>
        <v>22748.620884765332</v>
      </c>
      <c r="AS80" s="10">
        <f t="shared" si="37"/>
        <v>152580.65410310062</v>
      </c>
      <c r="AT80" s="10">
        <f t="shared" si="37"/>
        <v>57061.666827443201</v>
      </c>
      <c r="AU80" s="10">
        <f t="shared" si="37"/>
        <v>208747.17643657626</v>
      </c>
      <c r="AV80" s="10">
        <f t="shared" si="37"/>
        <v>351862.72506223724</v>
      </c>
      <c r="AW80" s="10">
        <f t="shared" si="37"/>
        <v>183873.35054767228</v>
      </c>
      <c r="AX80" s="10">
        <f>SUM(AQ80:AW80)</f>
        <v>1187061.5384615383</v>
      </c>
      <c r="AY80" s="10"/>
      <c r="AZ80" s="10">
        <f t="shared" ref="AZ80:BF80" si="38">AZ78*$L$51</f>
        <v>4831.5995112105902</v>
      </c>
      <c r="BA80" s="10">
        <f t="shared" si="38"/>
        <v>1318.0839233923532</v>
      </c>
      <c r="BB80" s="10">
        <f t="shared" si="38"/>
        <v>7600.549024395752</v>
      </c>
      <c r="BC80" s="10">
        <f t="shared" si="38"/>
        <v>2316.631852475999</v>
      </c>
      <c r="BD80" s="10">
        <f t="shared" si="38"/>
        <v>8339.7414222520019</v>
      </c>
      <c r="BE80" s="10">
        <f t="shared" si="38"/>
        <v>15618.168528761524</v>
      </c>
      <c r="BF80" s="10">
        <f t="shared" si="38"/>
        <v>5815.2257375117779</v>
      </c>
      <c r="BG80" s="10">
        <f>SUM(AZ80:BF80)</f>
        <v>45840</v>
      </c>
      <c r="BH80" s="10"/>
      <c r="BI80" s="10">
        <f t="shared" ref="BI80:BO80" si="39">BI78*$M$51</f>
        <v>2409.808518955957</v>
      </c>
      <c r="BJ80" s="10">
        <f t="shared" si="39"/>
        <v>657.4075231028271</v>
      </c>
      <c r="BK80" s="10">
        <f t="shared" si="39"/>
        <v>3790.8497476319408</v>
      </c>
      <c r="BL80" s="10">
        <f t="shared" si="39"/>
        <v>1155.4432772062712</v>
      </c>
      <c r="BM80" s="10">
        <f t="shared" si="39"/>
        <v>4159.5293398391086</v>
      </c>
      <c r="BN80" s="10">
        <f t="shared" si="39"/>
        <v>7789.7175632566441</v>
      </c>
      <c r="BO80" s="10">
        <f t="shared" si="39"/>
        <v>2900.4019247440947</v>
      </c>
      <c r="BP80" s="10">
        <f>SUM(BI80:BO80)</f>
        <v>22863.157894736843</v>
      </c>
    </row>
    <row r="81" spans="2:68">
      <c r="B81" s="309" t="s">
        <v>2805</v>
      </c>
      <c r="O81" s="136">
        <f>ROW()</f>
        <v>81</v>
      </c>
      <c r="P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Q81" s="10"/>
      <c r="R81" s="10"/>
      <c r="S81" s="10"/>
      <c r="T81" s="10"/>
      <c r="U81" s="10"/>
      <c r="V81" s="10"/>
      <c r="W81" s="10"/>
      <c r="X81" s="10"/>
      <c r="Y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Z81" s="10"/>
      <c r="AA81" s="10"/>
      <c r="AB81" s="10"/>
      <c r="AC81" s="10"/>
      <c r="AD81" s="10"/>
      <c r="AE81" s="10"/>
      <c r="AF81" s="10"/>
      <c r="AG81" s="10"/>
      <c r="AH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AI81" s="10"/>
      <c r="AJ81" s="10"/>
      <c r="AK81" s="10"/>
      <c r="AL81" s="10"/>
      <c r="AM81" s="10"/>
      <c r="AN81" s="10"/>
      <c r="AO81" s="10"/>
      <c r="AP81" s="10"/>
      <c r="AQ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AR81" s="10"/>
      <c r="AS81" s="10"/>
      <c r="AT81" s="10"/>
      <c r="AU81" s="10"/>
      <c r="AV81" s="10"/>
      <c r="AW81" s="10"/>
      <c r="AX81" s="10"/>
      <c r="AY81" s="10"/>
      <c r="AZ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BA81" s="10"/>
      <c r="BB81" s="10"/>
      <c r="BC81" s="10"/>
      <c r="BD81" s="10"/>
      <c r="BE81" s="10"/>
      <c r="BF81" s="10"/>
      <c r="BG81" s="10"/>
      <c r="BH81" s="10"/>
      <c r="BI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BJ81" s="10"/>
      <c r="BK81" s="10"/>
      <c r="BL81" s="10"/>
      <c r="BM81" s="10"/>
      <c r="BN81" s="10"/>
      <c r="BO81" s="10"/>
      <c r="BP81" s="10"/>
    </row>
    <row r="82" spans="2:68">
      <c r="O82" s="136">
        <f>ROW()</f>
        <v>82</v>
      </c>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row>
    <row r="83" spans="2:68" ht="12">
      <c r="B83" s="172" t="s">
        <v>908</v>
      </c>
      <c r="O83" s="136">
        <f>ROW()</f>
        <v>83</v>
      </c>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row>
    <row r="84" spans="2:68" ht="12">
      <c r="B84" s="1049" t="s">
        <v>2901</v>
      </c>
      <c r="C84" s="1050"/>
      <c r="D84" s="1050"/>
      <c r="E84" s="1050"/>
      <c r="F84" s="1050"/>
      <c r="G84" s="1180">
        <f t="shared" ref="G84:M84" si="40">G68+G74+G80</f>
        <v>446844.45023961901</v>
      </c>
      <c r="H84" s="1180">
        <f t="shared" si="40"/>
        <v>88787.85222850529</v>
      </c>
      <c r="I84" s="1180">
        <f t="shared" si="40"/>
        <v>529763.39615233464</v>
      </c>
      <c r="J84" s="1180">
        <f t="shared" si="40"/>
        <v>171665.61289534176</v>
      </c>
      <c r="K84" s="1180">
        <f t="shared" si="40"/>
        <v>618388.14606674202</v>
      </c>
      <c r="L84" s="1180">
        <f t="shared" si="40"/>
        <v>1111390.4717059992</v>
      </c>
      <c r="M84" s="1180">
        <f t="shared" si="40"/>
        <v>467489.80825403234</v>
      </c>
      <c r="N84" s="1051">
        <f>SUM(G84:M84)</f>
        <v>3434329.7375425743</v>
      </c>
      <c r="O84" s="136">
        <f>ROW()</f>
        <v>84</v>
      </c>
      <c r="P84" s="10">
        <f t="shared" ref="P84:V84" si="41">P68+P74+P80</f>
        <v>61473.969840121026</v>
      </c>
      <c r="Q84" s="10">
        <f t="shared" si="41"/>
        <v>27109.132717786735</v>
      </c>
      <c r="R84" s="10">
        <f t="shared" si="41"/>
        <v>162919.63596949502</v>
      </c>
      <c r="S84" s="10">
        <f t="shared" si="41"/>
        <v>43457.49069996777</v>
      </c>
      <c r="T84" s="10">
        <f t="shared" si="41"/>
        <v>141706.5867728662</v>
      </c>
      <c r="U84" s="10">
        <f t="shared" si="41"/>
        <v>228172.1608783945</v>
      </c>
      <c r="V84" s="10">
        <f t="shared" si="41"/>
        <v>80340.24573197338</v>
      </c>
      <c r="W84" s="10">
        <f>SUM(P84:V84)</f>
        <v>745179.22261060448</v>
      </c>
      <c r="X84" s="10"/>
      <c r="Y84" s="10">
        <f t="shared" ref="Y84:AE84" si="42">Y68+Y74+Y80</f>
        <v>58472.644858737694</v>
      </c>
      <c r="Z84" s="10">
        <f t="shared" si="42"/>
        <v>9351.5745982443877</v>
      </c>
      <c r="AA84" s="10">
        <f t="shared" si="42"/>
        <v>60193.023945383837</v>
      </c>
      <c r="AB84" s="10">
        <f t="shared" si="42"/>
        <v>24454.568744218661</v>
      </c>
      <c r="AC84" s="10">
        <f t="shared" si="42"/>
        <v>95260.980821957142</v>
      </c>
      <c r="AD84" s="10">
        <f t="shared" si="42"/>
        <v>204255.65460855744</v>
      </c>
      <c r="AE84" s="10">
        <f t="shared" si="42"/>
        <v>72125.544098010389</v>
      </c>
      <c r="AF84" s="10">
        <f>SUM(Y84:AE84)</f>
        <v>524113.99167510954</v>
      </c>
      <c r="AG84" s="10"/>
      <c r="AH84" s="10">
        <f t="shared" ref="AH84:AN84" si="43">AH68+AH74+AH80</f>
        <v>60671.019245979762</v>
      </c>
      <c r="AI84" s="10">
        <f t="shared" si="43"/>
        <v>11711.770954538222</v>
      </c>
      <c r="AJ84" s="10">
        <f t="shared" si="43"/>
        <v>51026.811139927377</v>
      </c>
      <c r="AK84" s="10">
        <f t="shared" si="43"/>
        <v>15701.647003480299</v>
      </c>
      <c r="AL84" s="10">
        <f t="shared" si="43"/>
        <v>66219.290972706047</v>
      </c>
      <c r="AM84" s="10">
        <f t="shared" si="43"/>
        <v>138735.5201694413</v>
      </c>
      <c r="AN84" s="10">
        <f t="shared" si="43"/>
        <v>62779.451625038208</v>
      </c>
      <c r="AO84" s="10">
        <f>SUM(AH84:AN84)</f>
        <v>406845.51111111121</v>
      </c>
      <c r="AP84" s="10"/>
      <c r="AQ84" s="10">
        <f t="shared" ref="AQ84:AW84" si="44">AQ68+AQ74+AQ80</f>
        <v>230007.79367064912</v>
      </c>
      <c r="AR84" s="10">
        <f t="shared" si="44"/>
        <v>30734.647848273351</v>
      </c>
      <c r="AS84" s="10">
        <f t="shared" si="44"/>
        <v>198648.08170825808</v>
      </c>
      <c r="AT84" s="10">
        <f t="shared" si="44"/>
        <v>70685.78550120024</v>
      </c>
      <c r="AU84" s="10">
        <f t="shared" si="44"/>
        <v>252684.25094618322</v>
      </c>
      <c r="AV84" s="10">
        <f t="shared" si="44"/>
        <v>423148.9721872668</v>
      </c>
      <c r="AW84" s="10">
        <f t="shared" si="44"/>
        <v>208652.00659970741</v>
      </c>
      <c r="AX84" s="10">
        <f>SUM(AQ84:AW84)</f>
        <v>1414561.5384615385</v>
      </c>
      <c r="AY84" s="10"/>
      <c r="AZ84" s="10">
        <f t="shared" ref="AZ84:BF84" si="45">AZ68+AZ74+AZ80</f>
        <v>28989.597067263538</v>
      </c>
      <c r="BA84" s="10">
        <f t="shared" si="45"/>
        <v>7908.5035403541197</v>
      </c>
      <c r="BB84" s="10">
        <f t="shared" si="45"/>
        <v>45603.294146374516</v>
      </c>
      <c r="BC84" s="10">
        <f t="shared" si="45"/>
        <v>13899.791114855994</v>
      </c>
      <c r="BD84" s="10">
        <f t="shared" si="45"/>
        <v>50038.448533512012</v>
      </c>
      <c r="BE84" s="10">
        <f t="shared" si="45"/>
        <v>93709.011172569153</v>
      </c>
      <c r="BF84" s="10">
        <f t="shared" si="45"/>
        <v>34891.354425070676</v>
      </c>
      <c r="BG84" s="10">
        <f>SUM(AZ84:BF84)</f>
        <v>275040</v>
      </c>
      <c r="BH84" s="10"/>
      <c r="BI84" s="10">
        <f t="shared" ref="BI84:BO84" si="46">BI68+BI74+BI80</f>
        <v>7229.4255568678709</v>
      </c>
      <c r="BJ84" s="10">
        <f t="shared" si="46"/>
        <v>1972.2225693084813</v>
      </c>
      <c r="BK84" s="10">
        <f t="shared" si="46"/>
        <v>11372.549242895822</v>
      </c>
      <c r="BL84" s="10">
        <f t="shared" si="46"/>
        <v>3466.3298316188138</v>
      </c>
      <c r="BM84" s="10">
        <f t="shared" si="46"/>
        <v>12478.588019517327</v>
      </c>
      <c r="BN84" s="10">
        <f t="shared" si="46"/>
        <v>23369.152689769933</v>
      </c>
      <c r="BO84" s="10">
        <f t="shared" si="46"/>
        <v>8701.2057742322831</v>
      </c>
      <c r="BP84" s="10">
        <f>SUM(BI84:BO84)</f>
        <v>68589.473684210534</v>
      </c>
    </row>
    <row r="85" spans="2:68" ht="12">
      <c r="B85" s="309" t="str">
        <f>CONCATENATE("Each entry is sum of respective VMT's in Rows ",O68, ", ",O74, " and ",103, ".")</f>
        <v>Each entry is sum of respective VMT's in Rows 68, 74 and 103.</v>
      </c>
      <c r="G85" s="1133"/>
      <c r="H85" s="1133"/>
      <c r="I85" s="1133"/>
      <c r="J85" s="1133"/>
      <c r="K85" s="1133"/>
      <c r="L85" s="1133"/>
      <c r="M85" s="1133"/>
      <c r="N85" s="186"/>
      <c r="O85" s="136">
        <f>ROW()</f>
        <v>85</v>
      </c>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row>
    <row r="86" spans="2:68">
      <c r="B86" s="281" t="s">
        <v>2900</v>
      </c>
      <c r="G86" s="1133">
        <f t="shared" ref="G86:M86" si="47">G84/G61</f>
        <v>74474.075039936506</v>
      </c>
      <c r="H86" s="1133">
        <f t="shared" si="47"/>
        <v>88787.85222850529</v>
      </c>
      <c r="I86" s="1133">
        <f t="shared" si="47"/>
        <v>176587.79871744488</v>
      </c>
      <c r="J86" s="1133">
        <f t="shared" si="47"/>
        <v>171665.61289534176</v>
      </c>
      <c r="K86" s="1133">
        <f t="shared" si="47"/>
        <v>154597.0365166855</v>
      </c>
      <c r="L86" s="1133">
        <f t="shared" si="47"/>
        <v>185231.74528433321</v>
      </c>
      <c r="M86" s="1133">
        <f t="shared" si="47"/>
        <v>155829.93608467744</v>
      </c>
      <c r="O86" s="136">
        <f>ROW()</f>
        <v>86</v>
      </c>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224" t="s">
        <v>109</v>
      </c>
      <c r="AX86" s="39">
        <f>AX84/$N84</f>
        <v>0.41188867888781244</v>
      </c>
      <c r="AY86" s="10"/>
      <c r="AZ86" s="10"/>
      <c r="BA86" s="10"/>
      <c r="BB86" s="10"/>
      <c r="BC86" s="10"/>
      <c r="BD86" s="10"/>
      <c r="BE86" s="10"/>
      <c r="BF86" s="10"/>
      <c r="BG86" s="10"/>
      <c r="BH86" s="10"/>
      <c r="BI86" s="10"/>
      <c r="BJ86" s="10"/>
      <c r="BK86" s="10"/>
      <c r="BL86" s="10"/>
      <c r="BM86" s="10"/>
      <c r="BN86" s="10"/>
      <c r="BO86" s="10"/>
      <c r="BP86" s="10"/>
    </row>
    <row r="87" spans="2:68">
      <c r="B87" s="309" t="str">
        <f>CONCATENATE("Period VMT in Row ",O84, " divided by hours in period in Row ",O61, ".")</f>
        <v>Period VMT in Row 84 divided by hours in period in Row 61.</v>
      </c>
      <c r="O87" s="136">
        <f>ROW()</f>
        <v>87</v>
      </c>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row>
    <row r="88" spans="2:68">
      <c r="I88" s="509"/>
      <c r="O88" s="136">
        <f>ROW()</f>
        <v>88</v>
      </c>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row>
    <row r="89" spans="2:68" ht="12">
      <c r="B89" s="172" t="s">
        <v>2619</v>
      </c>
      <c r="O89" s="136">
        <f>ROW()</f>
        <v>89</v>
      </c>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row>
    <row r="90" spans="2:68">
      <c r="B90" s="280" t="s">
        <v>2620</v>
      </c>
      <c r="O90" s="136">
        <f>ROW()</f>
        <v>90</v>
      </c>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row>
    <row r="91" spans="2:68">
      <c r="B91" s="214" t="s">
        <v>831</v>
      </c>
      <c r="G91" s="1133">
        <f t="shared" ref="G91:M93" si="48">P91+Y91+AH91+AQ91+AZ91+BI91</f>
        <v>1122608.8814433368</v>
      </c>
      <c r="H91" s="1133">
        <f t="shared" si="48"/>
        <v>413862.15860589576</v>
      </c>
      <c r="I91" s="1133">
        <f t="shared" si="48"/>
        <v>2299787.2334962026</v>
      </c>
      <c r="J91" s="1133">
        <f t="shared" si="48"/>
        <v>680448.4820702424</v>
      </c>
      <c r="K91" s="1133">
        <f t="shared" si="48"/>
        <v>2236662.9373817421</v>
      </c>
      <c r="L91" s="1133">
        <f t="shared" si="48"/>
        <v>3698244.98910648</v>
      </c>
      <c r="M91" s="1133">
        <f t="shared" si="48"/>
        <v>1346249.4716858922</v>
      </c>
      <c r="N91" s="10">
        <f>SUM(G91:M91)</f>
        <v>11797864.153789792</v>
      </c>
      <c r="O91" s="136">
        <f>ROW()</f>
        <v>91</v>
      </c>
      <c r="P91" s="10">
        <f t="shared" ref="P91:V91" si="49">P66*$H$40</f>
        <v>153251.71831510746</v>
      </c>
      <c r="Q91" s="10">
        <f t="shared" si="49"/>
        <v>231554.86102196024</v>
      </c>
      <c r="R91" s="10">
        <f t="shared" si="49"/>
        <v>1424773.4576731361</v>
      </c>
      <c r="S91" s="10">
        <f t="shared" si="49"/>
        <v>342360.49177754892</v>
      </c>
      <c r="T91" s="10">
        <f t="shared" si="49"/>
        <v>934234.05247690598</v>
      </c>
      <c r="U91" s="10">
        <f t="shared" si="49"/>
        <v>1033472.4088235768</v>
      </c>
      <c r="V91" s="10">
        <f t="shared" si="49"/>
        <v>288206.36713778524</v>
      </c>
      <c r="W91" s="10">
        <f>SUM(P91:V91)</f>
        <v>4407853.3572260207</v>
      </c>
      <c r="X91" s="10"/>
      <c r="Y91" s="10">
        <f t="shared" ref="Y91:AE91" si="50">Y66*$I$40</f>
        <v>313773.64954716456</v>
      </c>
      <c r="Z91" s="10">
        <f t="shared" si="50"/>
        <v>31509.700024286849</v>
      </c>
      <c r="AA91" s="10">
        <f t="shared" si="50"/>
        <v>266679.30621106672</v>
      </c>
      <c r="AB91" s="10">
        <f t="shared" si="50"/>
        <v>158177.33675311864</v>
      </c>
      <c r="AC91" s="10">
        <f t="shared" si="50"/>
        <v>597502.75677792355</v>
      </c>
      <c r="AD91" s="10">
        <f t="shared" si="50"/>
        <v>1318697.1344299365</v>
      </c>
      <c r="AE91" s="10">
        <f t="shared" si="50"/>
        <v>413877.55076953239</v>
      </c>
      <c r="AF91" s="10">
        <f>SUM(Y91:AE91)</f>
        <v>3100217.4345130292</v>
      </c>
      <c r="AG91" s="10"/>
      <c r="AH91" s="10">
        <f t="shared" ref="AH91:AN91" si="51">AH66*$J$40</f>
        <v>562640.6031709318</v>
      </c>
      <c r="AI91" s="10">
        <f t="shared" si="51"/>
        <v>113349.17315983215</v>
      </c>
      <c r="AJ91" s="10">
        <f t="shared" si="51"/>
        <v>392313.08778486447</v>
      </c>
      <c r="AK91" s="10">
        <f t="shared" si="51"/>
        <v>116023.84467959018</v>
      </c>
      <c r="AL91" s="10">
        <f t="shared" si="51"/>
        <v>498894.49053783028</v>
      </c>
      <c r="AM91" s="10">
        <f t="shared" si="51"/>
        <v>1011796.8805029127</v>
      </c>
      <c r="AN91" s="10">
        <f t="shared" si="51"/>
        <v>527972.40390144382</v>
      </c>
      <c r="AO91" s="10">
        <f>SUM(AH91:AN91)</f>
        <v>3222990.4837374054</v>
      </c>
      <c r="AP91" s="10"/>
      <c r="AQ91" s="10">
        <f t="shared" ref="AQ91:AW91" si="52">AQ66*$K$40</f>
        <v>33977.912692981408</v>
      </c>
      <c r="AR91" s="10">
        <f t="shared" si="52"/>
        <v>13690.331937442319</v>
      </c>
      <c r="AS91" s="10">
        <f t="shared" si="52"/>
        <v>78972.733037412807</v>
      </c>
      <c r="AT91" s="10">
        <f t="shared" si="52"/>
        <v>23355.632012154925</v>
      </c>
      <c r="AU91" s="10">
        <f t="shared" si="52"/>
        <v>75320.699159326206</v>
      </c>
      <c r="AV91" s="10">
        <f t="shared" si="52"/>
        <v>122204.99507147924</v>
      </c>
      <c r="AW91" s="10">
        <f t="shared" si="52"/>
        <v>42477.696089203084</v>
      </c>
      <c r="AX91" s="10">
        <f>SUM(AQ91:AW91)</f>
        <v>389999.99999999994</v>
      </c>
      <c r="AY91" s="10"/>
      <c r="AZ91" s="10">
        <f t="shared" ref="AZ91:BF91" si="53">AZ66*$L$40</f>
        <v>41668.39173677536</v>
      </c>
      <c r="BA91" s="10">
        <f t="shared" si="53"/>
        <v>16788.968743617617</v>
      </c>
      <c r="BB91" s="10">
        <f t="shared" si="53"/>
        <v>96847.231507732635</v>
      </c>
      <c r="BC91" s="10">
        <f t="shared" si="53"/>
        <v>28641.889592690251</v>
      </c>
      <c r="BD91" s="10">
        <f t="shared" si="53"/>
        <v>92368.605064633884</v>
      </c>
      <c r="BE91" s="10">
        <f t="shared" si="53"/>
        <v>149864.5797592192</v>
      </c>
      <c r="BF91" s="10">
        <f t="shared" si="53"/>
        <v>52091.995665355185</v>
      </c>
      <c r="BG91" s="10">
        <f>SUM(AZ91:BF91)</f>
        <v>478271.66207002412</v>
      </c>
      <c r="BH91" s="10"/>
      <c r="BI91" s="10">
        <f t="shared" ref="BI91:BO91" si="54">BI66*$M$40</f>
        <v>17296.60598037616</v>
      </c>
      <c r="BJ91" s="10">
        <f t="shared" si="54"/>
        <v>6969.1237187566539</v>
      </c>
      <c r="BK91" s="10">
        <f t="shared" si="54"/>
        <v>40201.417281989823</v>
      </c>
      <c r="BL91" s="10">
        <f t="shared" si="54"/>
        <v>11889.287255139419</v>
      </c>
      <c r="BM91" s="10">
        <f t="shared" si="54"/>
        <v>38342.333365122344</v>
      </c>
      <c r="BN91" s="10">
        <f t="shared" si="54"/>
        <v>62208.990519356012</v>
      </c>
      <c r="BO91" s="10">
        <f t="shared" si="54"/>
        <v>21623.458122572585</v>
      </c>
      <c r="BP91" s="10">
        <f>SUM(BI91:BO91)</f>
        <v>198531.21624331299</v>
      </c>
    </row>
    <row r="92" spans="2:68">
      <c r="B92" s="214" t="s">
        <v>1098</v>
      </c>
      <c r="G92" s="1133">
        <f t="shared" si="48"/>
        <v>1444901.6150621581</v>
      </c>
      <c r="H92" s="1133">
        <f t="shared" si="48"/>
        <v>269279.07189634425</v>
      </c>
      <c r="I92" s="1133">
        <f t="shared" si="48"/>
        <v>1551932.1881179169</v>
      </c>
      <c r="J92" s="1133">
        <f t="shared" si="48"/>
        <v>493227.8996975426</v>
      </c>
      <c r="K92" s="1133">
        <f t="shared" si="48"/>
        <v>2023020.3221186467</v>
      </c>
      <c r="L92" s="1133">
        <f t="shared" si="48"/>
        <v>4321152.5887660505</v>
      </c>
      <c r="M92" s="1133">
        <f t="shared" si="48"/>
        <v>1694350.4681311338</v>
      </c>
      <c r="N92" s="10">
        <f>SUM(G92:M92)</f>
        <v>11797864.153789794</v>
      </c>
      <c r="O92" s="136">
        <f>ROW()</f>
        <v>92</v>
      </c>
      <c r="P92" s="10">
        <f t="shared" ref="P92:V92" si="55">P72*$H$40</f>
        <v>545162.94149695744</v>
      </c>
      <c r="Q92" s="10">
        <f t="shared" si="55"/>
        <v>98756.232569858272</v>
      </c>
      <c r="R92" s="10">
        <f t="shared" si="55"/>
        <v>569132.76592424314</v>
      </c>
      <c r="S92" s="10">
        <f t="shared" si="55"/>
        <v>181552.65741803145</v>
      </c>
      <c r="T92" s="10">
        <f t="shared" si="55"/>
        <v>752566.31795330625</v>
      </c>
      <c r="U92" s="10">
        <f t="shared" si="55"/>
        <v>1622419.8498659455</v>
      </c>
      <c r="V92" s="10">
        <f t="shared" si="55"/>
        <v>638262.59199767862</v>
      </c>
      <c r="W92" s="10">
        <f>SUM(P92:V92)</f>
        <v>4407853.3572260207</v>
      </c>
      <c r="X92" s="10"/>
      <c r="Y92" s="10">
        <f t="shared" ref="Y92:AE92" si="56">Y72*$I$40</f>
        <v>383434.63788525714</v>
      </c>
      <c r="Z92" s="10">
        <f t="shared" si="56"/>
        <v>69459.160540807177</v>
      </c>
      <c r="AA92" s="10">
        <f t="shared" si="56"/>
        <v>400293.5625293504</v>
      </c>
      <c r="AB92" s="10">
        <f t="shared" si="56"/>
        <v>127693.15768793419</v>
      </c>
      <c r="AC92" s="10">
        <f t="shared" si="56"/>
        <v>529309.62771738169</v>
      </c>
      <c r="AD92" s="10">
        <f t="shared" si="56"/>
        <v>1141111.9874050976</v>
      </c>
      <c r="AE92" s="10">
        <f t="shared" si="56"/>
        <v>448915.30074720125</v>
      </c>
      <c r="AF92" s="10">
        <f>SUM(Y92:AE92)</f>
        <v>3100217.4345130296</v>
      </c>
      <c r="AG92" s="10"/>
      <c r="AH92" s="10">
        <f t="shared" ref="AH92:AN92" si="57">AH72*$J$40</f>
        <v>398619.19853811729</v>
      </c>
      <c r="AI92" s="10">
        <f t="shared" si="57"/>
        <v>72209.842748198833</v>
      </c>
      <c r="AJ92" s="10">
        <f t="shared" si="57"/>
        <v>416145.76073632442</v>
      </c>
      <c r="AK92" s="10">
        <f t="shared" si="57"/>
        <v>132749.98956040552</v>
      </c>
      <c r="AL92" s="10">
        <f t="shared" si="57"/>
        <v>550271.04682793829</v>
      </c>
      <c r="AM92" s="10">
        <f t="shared" si="57"/>
        <v>1186301.6559233698</v>
      </c>
      <c r="AN92" s="10">
        <f t="shared" si="57"/>
        <v>466692.98940305156</v>
      </c>
      <c r="AO92" s="10">
        <f>SUM(AH92:AN92)</f>
        <v>3222990.4837374054</v>
      </c>
      <c r="AP92" s="10"/>
      <c r="AQ92" s="10">
        <f t="shared" ref="AQ92:AW92" si="58">AQ72*$K$40</f>
        <v>33977.912692981408</v>
      </c>
      <c r="AR92" s="10">
        <f t="shared" si="58"/>
        <v>13690.331937442319</v>
      </c>
      <c r="AS92" s="10">
        <f t="shared" si="58"/>
        <v>78972.733037412807</v>
      </c>
      <c r="AT92" s="10">
        <f t="shared" si="58"/>
        <v>23355.632012154925</v>
      </c>
      <c r="AU92" s="10">
        <f t="shared" si="58"/>
        <v>75320.699159326206</v>
      </c>
      <c r="AV92" s="10">
        <f t="shared" si="58"/>
        <v>122204.99507147924</v>
      </c>
      <c r="AW92" s="10">
        <f t="shared" si="58"/>
        <v>42477.696089203084</v>
      </c>
      <c r="AX92" s="10">
        <f>SUM(AQ92:AW92)</f>
        <v>389999.99999999994</v>
      </c>
      <c r="AY92" s="10"/>
      <c r="AZ92" s="10">
        <f t="shared" ref="AZ92:BF92" si="59">AZ72*$L$40</f>
        <v>59152.599916078259</v>
      </c>
      <c r="BA92" s="10">
        <f t="shared" si="59"/>
        <v>10715.489755014109</v>
      </c>
      <c r="BB92" s="10">
        <f t="shared" si="59"/>
        <v>61753.432303020287</v>
      </c>
      <c r="BC92" s="10">
        <f t="shared" si="59"/>
        <v>19699.269503647225</v>
      </c>
      <c r="BD92" s="10">
        <f t="shared" si="59"/>
        <v>81656.78722396525</v>
      </c>
      <c r="BE92" s="10">
        <f t="shared" si="59"/>
        <v>176039.75796942471</v>
      </c>
      <c r="BF92" s="10">
        <f t="shared" si="59"/>
        <v>69254.325398874324</v>
      </c>
      <c r="BG92" s="10">
        <f>SUM(AZ92:BF92)</f>
        <v>478271.66207002418</v>
      </c>
      <c r="BH92" s="10"/>
      <c r="BI92" s="10">
        <f t="shared" ref="BI92:BO92" si="60">BI72*$M$40</f>
        <v>24554.324532766728</v>
      </c>
      <c r="BJ92" s="10">
        <f t="shared" si="60"/>
        <v>4448.0143450235246</v>
      </c>
      <c r="BK92" s="10">
        <f t="shared" si="60"/>
        <v>25633.933587565796</v>
      </c>
      <c r="BL92" s="10">
        <f t="shared" si="60"/>
        <v>8177.1935153692802</v>
      </c>
      <c r="BM92" s="10">
        <f t="shared" si="60"/>
        <v>33895.843236728746</v>
      </c>
      <c r="BN92" s="10">
        <f t="shared" si="60"/>
        <v>73074.342530733862</v>
      </c>
      <c r="BO92" s="10">
        <f t="shared" si="60"/>
        <v>28747.564495125072</v>
      </c>
      <c r="BP92" s="10">
        <f>SUM(BI92:BO92)</f>
        <v>198531.21624331304</v>
      </c>
    </row>
    <row r="93" spans="2:68" ht="12">
      <c r="B93" s="1055" t="s">
        <v>1119</v>
      </c>
      <c r="C93" s="1053"/>
      <c r="D93" s="1053"/>
      <c r="E93" s="1053"/>
      <c r="F93" s="1053"/>
      <c r="G93" s="1178">
        <f t="shared" si="48"/>
        <v>2567510.4965054952</v>
      </c>
      <c r="H93" s="1178">
        <f t="shared" si="48"/>
        <v>683141.23050224001</v>
      </c>
      <c r="I93" s="1178">
        <f t="shared" si="48"/>
        <v>3851719.4216141193</v>
      </c>
      <c r="J93" s="1178">
        <f t="shared" si="48"/>
        <v>1173676.3817677847</v>
      </c>
      <c r="K93" s="1178">
        <f t="shared" si="48"/>
        <v>4259683.259500389</v>
      </c>
      <c r="L93" s="1178">
        <f t="shared" si="48"/>
        <v>8019397.5778725315</v>
      </c>
      <c r="M93" s="1178">
        <f t="shared" si="48"/>
        <v>3040599.9398170263</v>
      </c>
      <c r="N93" s="1054">
        <f>SUM(G93:M93)</f>
        <v>23595728.307579584</v>
      </c>
      <c r="O93" s="136">
        <f>ROW()</f>
        <v>93</v>
      </c>
      <c r="P93" s="10">
        <f t="shared" ref="P93:V93" si="61">P91+P92</f>
        <v>698414.65981206484</v>
      </c>
      <c r="Q93" s="10">
        <f t="shared" si="61"/>
        <v>330311.09359181853</v>
      </c>
      <c r="R93" s="10">
        <f t="shared" si="61"/>
        <v>1993906.2235973794</v>
      </c>
      <c r="S93" s="10">
        <f t="shared" si="61"/>
        <v>523913.14919558039</v>
      </c>
      <c r="T93" s="10">
        <f t="shared" si="61"/>
        <v>1686800.3704302122</v>
      </c>
      <c r="U93" s="10">
        <f t="shared" si="61"/>
        <v>2655892.2586895223</v>
      </c>
      <c r="V93" s="10">
        <f t="shared" si="61"/>
        <v>926468.95913546393</v>
      </c>
      <c r="W93" s="10">
        <f>SUM(P93:V93)</f>
        <v>8815706.7144520413</v>
      </c>
      <c r="X93" s="10"/>
      <c r="Y93" s="10">
        <f t="shared" ref="Y93:AE93" si="62">Y91+Y92</f>
        <v>697208.2874324217</v>
      </c>
      <c r="Z93" s="10">
        <f t="shared" si="62"/>
        <v>100968.86056509403</v>
      </c>
      <c r="AA93" s="10">
        <f t="shared" si="62"/>
        <v>666972.86874041706</v>
      </c>
      <c r="AB93" s="10">
        <f t="shared" si="62"/>
        <v>285870.49444105284</v>
      </c>
      <c r="AC93" s="10">
        <f t="shared" si="62"/>
        <v>1126812.3844953054</v>
      </c>
      <c r="AD93" s="10">
        <f t="shared" si="62"/>
        <v>2459809.1218350343</v>
      </c>
      <c r="AE93" s="10">
        <f t="shared" si="62"/>
        <v>862792.85151673364</v>
      </c>
      <c r="AF93" s="10">
        <f>SUM(Y93:AE93)</f>
        <v>6200434.8690260593</v>
      </c>
      <c r="AG93" s="10"/>
      <c r="AH93" s="10">
        <f t="shared" ref="AH93:AN93" si="63">AH91+AH92</f>
        <v>961259.80170904915</v>
      </c>
      <c r="AI93" s="10">
        <f t="shared" si="63"/>
        <v>185559.01590803097</v>
      </c>
      <c r="AJ93" s="10">
        <f t="shared" si="63"/>
        <v>808458.84852118883</v>
      </c>
      <c r="AK93" s="10">
        <f t="shared" si="63"/>
        <v>248773.83423999569</v>
      </c>
      <c r="AL93" s="10">
        <f t="shared" si="63"/>
        <v>1049165.5373657686</v>
      </c>
      <c r="AM93" s="10">
        <f t="shared" si="63"/>
        <v>2198098.5364262825</v>
      </c>
      <c r="AN93" s="10">
        <f t="shared" si="63"/>
        <v>994665.39330449537</v>
      </c>
      <c r="AO93" s="10">
        <f>SUM(AH93:AN93)</f>
        <v>6445980.9674748108</v>
      </c>
      <c r="AP93" s="10"/>
      <c r="AQ93" s="10">
        <f t="shared" ref="AQ93:AW93" si="64">AQ91+AQ92</f>
        <v>67955.825385962817</v>
      </c>
      <c r="AR93" s="10">
        <f t="shared" si="64"/>
        <v>27380.663874884638</v>
      </c>
      <c r="AS93" s="10">
        <f t="shared" si="64"/>
        <v>157945.46607482561</v>
      </c>
      <c r="AT93" s="10">
        <f t="shared" si="64"/>
        <v>46711.26402430985</v>
      </c>
      <c r="AU93" s="10">
        <f t="shared" si="64"/>
        <v>150641.39831865241</v>
      </c>
      <c r="AV93" s="10">
        <f t="shared" si="64"/>
        <v>244409.99014295847</v>
      </c>
      <c r="AW93" s="10">
        <f t="shared" si="64"/>
        <v>84955.392178406168</v>
      </c>
      <c r="AX93" s="10">
        <f>SUM(AQ93:AW93)</f>
        <v>779999.99999999988</v>
      </c>
      <c r="AY93" s="10"/>
      <c r="AZ93" s="10">
        <f t="shared" ref="AZ93:BF93" si="65">AZ91+AZ92</f>
        <v>100820.99165285361</v>
      </c>
      <c r="BA93" s="10">
        <f t="shared" si="65"/>
        <v>27504.458498631728</v>
      </c>
      <c r="BB93" s="10">
        <f t="shared" si="65"/>
        <v>158600.66381075291</v>
      </c>
      <c r="BC93" s="10">
        <f t="shared" si="65"/>
        <v>48341.159096337477</v>
      </c>
      <c r="BD93" s="10">
        <f t="shared" si="65"/>
        <v>174025.39228859913</v>
      </c>
      <c r="BE93" s="10">
        <f t="shared" si="65"/>
        <v>325904.33772864391</v>
      </c>
      <c r="BF93" s="10">
        <f t="shared" si="65"/>
        <v>121346.3210642295</v>
      </c>
      <c r="BG93" s="10">
        <f>SUM(AZ93:BF93)</f>
        <v>956543.32414004824</v>
      </c>
      <c r="BH93" s="10"/>
      <c r="BI93" s="10">
        <f t="shared" ref="BI93:BO93" si="66">BI91+BI92</f>
        <v>41850.930513142885</v>
      </c>
      <c r="BJ93" s="10">
        <f t="shared" si="66"/>
        <v>11417.138063780178</v>
      </c>
      <c r="BK93" s="10">
        <f t="shared" si="66"/>
        <v>65835.350869555623</v>
      </c>
      <c r="BL93" s="10">
        <f t="shared" si="66"/>
        <v>20066.480770508701</v>
      </c>
      <c r="BM93" s="10">
        <f t="shared" si="66"/>
        <v>72238.176601851097</v>
      </c>
      <c r="BN93" s="10">
        <f t="shared" si="66"/>
        <v>135283.33305008989</v>
      </c>
      <c r="BO93" s="10">
        <f t="shared" si="66"/>
        <v>50371.022617697658</v>
      </c>
      <c r="BP93" s="10">
        <f>SUM(BI93:BO93)</f>
        <v>397062.43248662603</v>
      </c>
    </row>
    <row r="94" spans="2:68">
      <c r="G94" s="1133"/>
      <c r="H94" s="1133"/>
      <c r="I94" s="1133"/>
      <c r="J94" s="1133"/>
      <c r="K94" s="1133"/>
      <c r="L94" s="1133"/>
      <c r="M94" s="1133"/>
      <c r="O94" s="136">
        <f>ROW()</f>
        <v>94</v>
      </c>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row>
    <row r="95" spans="2:68" ht="12">
      <c r="B95" s="1052" t="s">
        <v>123</v>
      </c>
      <c r="C95" s="1053"/>
      <c r="D95" s="1053"/>
      <c r="E95" s="1053"/>
      <c r="F95" s="1053"/>
      <c r="G95" s="1178">
        <f>'Motor Vs'!G166</f>
        <v>4887770.3619101448</v>
      </c>
      <c r="H95" s="1178">
        <f>'Motor Vs'!H166</f>
        <v>1283302.4472092623</v>
      </c>
      <c r="I95" s="1178">
        <f>'Motor Vs'!I166</f>
        <v>7228958.5413245726</v>
      </c>
      <c r="J95" s="1178">
        <f>'Motor Vs'!J166</f>
        <v>2205390.6529658451</v>
      </c>
      <c r="K95" s="1178">
        <f>'Motor Vs'!K166</f>
        <v>8039062.0109516988</v>
      </c>
      <c r="L95" s="1178">
        <f>'Motor Vs'!L166</f>
        <v>15207012.392620942</v>
      </c>
      <c r="M95" s="1178">
        <f>'Motor Vs'!M166</f>
        <v>5776518.4450596282</v>
      </c>
      <c r="N95" s="1054">
        <f>SUM(G95:M95)</f>
        <v>44628014.852042094</v>
      </c>
      <c r="O95" s="136">
        <f>ROW()</f>
        <v>95</v>
      </c>
      <c r="P95" s="10">
        <f>'Motor Vs'!P166</f>
        <v>1363745.5213577119</v>
      </c>
      <c r="Q95" s="10">
        <f>'Motor Vs'!Q166</f>
        <v>645033.4395186808</v>
      </c>
      <c r="R95" s="10">
        <f>'Motor Vs'!R166</f>
        <v>3893721.6123753693</v>
      </c>
      <c r="S95" s="10">
        <f>'Motor Vs'!S166</f>
        <v>1023091.5786088234</v>
      </c>
      <c r="T95" s="10">
        <f>'Motor Vs'!T166</f>
        <v>3293903.0751086255</v>
      </c>
      <c r="U95" s="10">
        <f>'Motor Vs'!U166</f>
        <v>5186139.7360275537</v>
      </c>
      <c r="V95" s="10">
        <f>'Motor Vs'!V166</f>
        <v>1807473.9719742306</v>
      </c>
      <c r="W95" s="10">
        <f>SUM(P95:V95)</f>
        <v>17213108.934970994</v>
      </c>
      <c r="X95" s="10"/>
      <c r="Y95" s="10">
        <f>'Motor Vs'!Y166</f>
        <v>1361448.586220376</v>
      </c>
      <c r="Z95" s="10">
        <f>'Motor Vs'!Z166</f>
        <v>197158.2542380596</v>
      </c>
      <c r="AA95" s="10">
        <f>'Motor Vs'!AA166</f>
        <v>1302395.2340997804</v>
      </c>
      <c r="AB95" s="10">
        <f>'Motor Vs'!AB166</f>
        <v>558234.17144941085</v>
      </c>
      <c r="AC95" s="10">
        <f>'Motor Vs'!AC166</f>
        <v>2200375.6246379656</v>
      </c>
      <c r="AD95" s="10">
        <f>'Motor Vs'!AD166</f>
        <v>4803381.6554988604</v>
      </c>
      <c r="AE95" s="10">
        <f>'Motor Vs'!AE166</f>
        <v>1683666.1327768483</v>
      </c>
      <c r="AF95" s="10">
        <f>SUM(Y95:AE95)</f>
        <v>12106659.658921301</v>
      </c>
      <c r="AG95" s="10"/>
      <c r="AH95" s="10">
        <f>'Motor Vs'!AH166</f>
        <v>1877154.5427074649</v>
      </c>
      <c r="AI95" s="10">
        <f>'Motor Vs'!AI166</f>
        <v>362362.11943972204</v>
      </c>
      <c r="AJ95" s="10">
        <f>'Motor Vs'!AJ166</f>
        <v>1578742.7008882058</v>
      </c>
      <c r="AK95" s="10">
        <f>'Motor Vs'!AK166</f>
        <v>485799.47423011786</v>
      </c>
      <c r="AL95" s="10">
        <f>'Motor Vs'!AL166</f>
        <v>2048787.3671811344</v>
      </c>
      <c r="AM95" s="10">
        <f>'Motor Vs'!AM166</f>
        <v>4292389.7071852162</v>
      </c>
      <c r="AN95" s="10">
        <f>'Motor Vs'!AN166</f>
        <v>1941533.4342309968</v>
      </c>
      <c r="AO95" s="10">
        <f>SUM(AH95:AN95)</f>
        <v>12586769.345862856</v>
      </c>
      <c r="AP95" s="10"/>
      <c r="AQ95" s="10">
        <f>'Motor Vs'!AQ166</f>
        <v>6795.5825385962817</v>
      </c>
      <c r="AR95" s="10">
        <f>'Motor Vs'!AR166</f>
        <v>2738.066387488464</v>
      </c>
      <c r="AS95" s="10">
        <f>'Motor Vs'!AS166</f>
        <v>15794.546607482562</v>
      </c>
      <c r="AT95" s="10">
        <f>'Motor Vs'!AT166</f>
        <v>4671.1264024309849</v>
      </c>
      <c r="AU95" s="10">
        <f>'Motor Vs'!AU166</f>
        <v>15064.139831865243</v>
      </c>
      <c r="AV95" s="10">
        <f>'Motor Vs'!AV166</f>
        <v>24440.999014295849</v>
      </c>
      <c r="AW95" s="10">
        <f>'Motor Vs'!AW166</f>
        <v>8495.5392178406164</v>
      </c>
      <c r="AX95" s="10">
        <f>SUM(AQ95:AW95)</f>
        <v>78000</v>
      </c>
      <c r="AY95" s="10"/>
      <c r="AZ95" s="10">
        <f>'Motor Vs'!AZ166</f>
        <v>196894.82140825348</v>
      </c>
      <c r="BA95" s="10">
        <f>'Motor Vs'!BA166</f>
        <v>53713.868066933806</v>
      </c>
      <c r="BB95" s="10">
        <f>'Motor Vs'!BB166</f>
        <v>309733.60670535307</v>
      </c>
      <c r="BC95" s="10">
        <f>'Motor Vs'!BC166</f>
        <v>94406.172076883522</v>
      </c>
      <c r="BD95" s="10">
        <f>'Motor Vs'!BD166</f>
        <v>339856.78947837604</v>
      </c>
      <c r="BE95" s="10">
        <f>'Motor Vs'!BE166</f>
        <v>636463.45191884693</v>
      </c>
      <c r="BF95" s="10">
        <f>'Motor Vs'!BF166</f>
        <v>236979.04397485469</v>
      </c>
      <c r="BG95" s="10">
        <f>SUM(AZ95:BF95)</f>
        <v>1868047.7536295017</v>
      </c>
      <c r="BH95" s="10"/>
      <c r="BI95" s="10">
        <f>'Motor Vs'!BI166</f>
        <v>81731.307677742574</v>
      </c>
      <c r="BJ95" s="10">
        <f>'Motor Vs'!BJ166</f>
        <v>22296.699558377582</v>
      </c>
      <c r="BK95" s="10">
        <f>'Motor Vs'!BK166</f>
        <v>128570.84064838167</v>
      </c>
      <c r="BL95" s="10">
        <f>'Motor Vs'!BL166</f>
        <v>39188.130198178187</v>
      </c>
      <c r="BM95" s="10">
        <f>'Motor Vs'!BM166</f>
        <v>141075.01471373174</v>
      </c>
      <c r="BN95" s="10">
        <f>'Motor Vs'!BN166</f>
        <v>264196.84297617013</v>
      </c>
      <c r="BO95" s="10">
        <f>'Motor Vs'!BO166</f>
        <v>98370.322884856942</v>
      </c>
      <c r="BP95" s="10">
        <f>SUM(BI95:BO95)</f>
        <v>775429.15865743882</v>
      </c>
    </row>
    <row r="96" spans="2:68">
      <c r="B96" s="280"/>
      <c r="G96" s="1133"/>
      <c r="H96" s="1133"/>
      <c r="I96" s="1133"/>
      <c r="J96" s="1133"/>
      <c r="K96" s="1133"/>
      <c r="L96" s="1133"/>
      <c r="M96" s="1133"/>
      <c r="N96" s="138"/>
      <c r="O96" s="136">
        <f>ROW()</f>
        <v>96</v>
      </c>
      <c r="W96" s="138"/>
      <c r="AF96" s="138"/>
      <c r="AO96" s="138"/>
      <c r="AX96" s="138"/>
      <c r="BG96" s="138"/>
      <c r="BP96" s="138"/>
    </row>
    <row r="97" spans="1:17" ht="12">
      <c r="B97" s="1049" t="s">
        <v>1954</v>
      </c>
      <c r="C97" s="1050"/>
      <c r="D97" s="1050"/>
      <c r="E97" s="1050"/>
      <c r="F97" s="1050"/>
      <c r="G97" s="1180">
        <f t="shared" ref="G97:M97" si="67">G93+G95</f>
        <v>7455280.85841564</v>
      </c>
      <c r="H97" s="1180">
        <f t="shared" si="67"/>
        <v>1966443.6777115022</v>
      </c>
      <c r="I97" s="1180">
        <f t="shared" si="67"/>
        <v>11080677.962938692</v>
      </c>
      <c r="J97" s="1180">
        <f t="shared" si="67"/>
        <v>3379067.0347336298</v>
      </c>
      <c r="K97" s="1180">
        <f t="shared" si="67"/>
        <v>12298745.270452088</v>
      </c>
      <c r="L97" s="1180">
        <f t="shared" si="67"/>
        <v>23226409.970493473</v>
      </c>
      <c r="M97" s="1180">
        <f t="shared" si="67"/>
        <v>8817118.3848766536</v>
      </c>
      <c r="N97" s="1051">
        <f>SUM(G97:M97)</f>
        <v>68223743.159621686</v>
      </c>
      <c r="O97" s="136">
        <f>ROW()</f>
        <v>97</v>
      </c>
    </row>
    <row r="98" spans="1:17" ht="12">
      <c r="B98" s="281" t="s">
        <v>2900</v>
      </c>
      <c r="G98" s="1133">
        <f t="shared" ref="G98:M98" si="68">G97/G61</f>
        <v>1242546.8097359401</v>
      </c>
      <c r="H98" s="1133">
        <f t="shared" si="68"/>
        <v>1966443.6777115022</v>
      </c>
      <c r="I98" s="1133">
        <f t="shared" si="68"/>
        <v>3693559.320979564</v>
      </c>
      <c r="J98" s="1133">
        <f t="shared" si="68"/>
        <v>3379067.0347336298</v>
      </c>
      <c r="K98" s="1133">
        <f t="shared" si="68"/>
        <v>3074686.3176130219</v>
      </c>
      <c r="L98" s="1133">
        <f t="shared" si="68"/>
        <v>3871068.3284155787</v>
      </c>
      <c r="M98" s="1133">
        <f t="shared" si="68"/>
        <v>2939039.4616255513</v>
      </c>
      <c r="N98" s="186"/>
      <c r="O98" s="136">
        <f>ROW()</f>
        <v>98</v>
      </c>
    </row>
    <row r="99" spans="1:17" ht="12">
      <c r="B99" s="281"/>
      <c r="G99" s="930"/>
      <c r="H99" s="930"/>
      <c r="I99" s="930"/>
      <c r="J99" s="930"/>
      <c r="K99" s="930"/>
      <c r="L99" s="930"/>
      <c r="M99" s="930"/>
      <c r="N99" s="186"/>
      <c r="O99" s="136">
        <f>ROW()</f>
        <v>99</v>
      </c>
    </row>
    <row r="100" spans="1:17" ht="12">
      <c r="B100" s="309"/>
      <c r="N100" s="186"/>
      <c r="O100" s="136">
        <f>ROW()</f>
        <v>100</v>
      </c>
    </row>
    <row r="101" spans="1:17" ht="12">
      <c r="B101" s="6" t="s">
        <v>1934</v>
      </c>
      <c r="N101" s="880"/>
      <c r="O101" s="136">
        <f>ROW()</f>
        <v>101</v>
      </c>
    </row>
    <row r="102" spans="1:17" ht="12" customHeight="1">
      <c r="B102" s="1049" t="s">
        <v>1935</v>
      </c>
      <c r="C102" s="1050"/>
      <c r="D102" s="1050"/>
      <c r="E102" s="1050"/>
      <c r="F102" s="1050"/>
      <c r="G102" s="1083">
        <f t="shared" ref="G102:M102" si="69">KSC/(1+0.1*(G86/V_sub_k)^KSE)</f>
        <v>21.069830531303836</v>
      </c>
      <c r="H102" s="1083">
        <f t="shared" si="69"/>
        <v>20.198577613479941</v>
      </c>
      <c r="I102" s="1083">
        <f t="shared" si="69"/>
        <v>9.1839665735589548</v>
      </c>
      <c r="J102" s="1083">
        <f t="shared" si="69"/>
        <v>9.7939933252839673</v>
      </c>
      <c r="K102" s="1083">
        <f t="shared" si="69"/>
        <v>12.089525104511466</v>
      </c>
      <c r="L102" s="1083">
        <f t="shared" si="69"/>
        <v>8.1801478830611334</v>
      </c>
      <c r="M102" s="1083">
        <f t="shared" si="69"/>
        <v>11.916228972327893</v>
      </c>
      <c r="O102" s="136">
        <f>ROW()</f>
        <v>102</v>
      </c>
    </row>
    <row r="103" spans="1:17" ht="12" customHeight="1">
      <c r="B103" s="309" t="str">
        <f>CONCATENATE("Reciprocal of Cordon Speeds (needed to calc avgs in Rows ",O105, " &amp; ",O106,")")</f>
        <v>Reciprocal of Cordon Speeds (needed to calc avgs in Rows 105 &amp; 106)</v>
      </c>
      <c r="D103" s="86"/>
      <c r="E103" s="86"/>
      <c r="F103" s="86"/>
      <c r="G103" s="117">
        <f t="shared" ref="G103:M103" si="70">1/G102</f>
        <v>4.7461226539733274E-2</v>
      </c>
      <c r="H103" s="117">
        <f t="shared" si="70"/>
        <v>4.9508436640242882E-2</v>
      </c>
      <c r="I103" s="117">
        <f t="shared" si="70"/>
        <v>0.10888541372515925</v>
      </c>
      <c r="J103" s="117">
        <f t="shared" si="70"/>
        <v>0.10210339815307215</v>
      </c>
      <c r="K103" s="117">
        <f t="shared" si="70"/>
        <v>8.2716235034478613E-2</v>
      </c>
      <c r="L103" s="117">
        <f t="shared" si="70"/>
        <v>0.12224717869352077</v>
      </c>
      <c r="M103" s="117">
        <f t="shared" si="70"/>
        <v>8.3919166233060824E-2</v>
      </c>
      <c r="O103" s="136">
        <f>ROW()</f>
        <v>103</v>
      </c>
    </row>
    <row r="104" spans="1:17">
      <c r="B104" s="309" t="str">
        <f>CONCATENATE("Are calculated using speed-vol. relationship in Speed-Volume Cordon wksheet, operating on Vk value derived there and shown in Motor Vs wksheet in Row ",'Motor Vs'!O181, ", and on hourly VMT figs in Row ",O86, ".")</f>
        <v>Are calculated using speed-vol. relationship in Speed-Volume Cordon wksheet, operating on Vk value derived there and shown in Motor Vs wksheet in Row 181, and on hourly VMT figs in Row 86.</v>
      </c>
      <c r="G104" s="282"/>
      <c r="O104" s="136">
        <f>ROW()</f>
        <v>104</v>
      </c>
    </row>
    <row r="105" spans="1:17">
      <c r="H105" s="171" t="s">
        <v>1533</v>
      </c>
      <c r="I105" s="113"/>
      <c r="J105" s="113"/>
      <c r="K105" s="3003">
        <f>(SUMPRODUCT(I86:K86,I61:K61)+L86*4)/(SUMPRODUCT(I86:K86,I61:K61,I103:K103)+L86*4*L103)</f>
        <v>9.4992255121314368</v>
      </c>
      <c r="M105" s="118" t="s">
        <v>672</v>
      </c>
      <c r="N105" s="1222">
        <f>K105-'Motor Vs'!K187</f>
        <v>-8.2322857156569285E-4</v>
      </c>
      <c r="O105" s="136">
        <f>ROW()</f>
        <v>105</v>
      </c>
      <c r="Q105" s="2494" t="s">
        <v>5264</v>
      </c>
    </row>
    <row r="106" spans="1:17">
      <c r="H106" s="171" t="s">
        <v>1534</v>
      </c>
      <c r="I106" s="113"/>
      <c r="J106" s="113"/>
      <c r="K106" s="3004">
        <f>$N$84/SUMPRODUCT(G103:M103,G84:M84)</f>
        <v>10.500574548929674</v>
      </c>
      <c r="M106" s="118" t="s">
        <v>672</v>
      </c>
      <c r="N106" s="1222">
        <f>K106-'Motor Vs'!K188</f>
        <v>-1.4629936480403671E-3</v>
      </c>
      <c r="O106" s="136">
        <f>ROW()</f>
        <v>106</v>
      </c>
    </row>
    <row r="107" spans="1:17">
      <c r="B107" s="280" t="s">
        <v>113</v>
      </c>
      <c r="C107" s="297"/>
      <c r="D107" s="297"/>
      <c r="E107" s="297"/>
      <c r="F107" s="297"/>
      <c r="G107" s="21"/>
      <c r="H107" s="21"/>
      <c r="I107" s="615"/>
      <c r="J107" s="21"/>
      <c r="K107" s="21"/>
      <c r="L107" s="21"/>
      <c r="M107" s="21"/>
      <c r="O107" s="136">
        <f>ROW()</f>
        <v>107</v>
      </c>
      <c r="Q107" s="3005">
        <f>(SUMPRODUCT(I86:K86,I61:K61)+L86*4)/(SUMPRODUCT(I86:K86,I61:K61,I103:K103)+L86*4*L103)</f>
        <v>9.4992255121314368</v>
      </c>
    </row>
    <row r="108" spans="1:17" ht="11.7" customHeight="1">
      <c r="A108" s="281"/>
      <c r="B108" s="4187" t="str">
        <f>'Motor Vs'!B195</f>
        <v>Baseline non-cordon speeds, i.e., on approaches to (and from) CBD in NJ, Bklyn, Queens, Bronx and Upper Manhattan, are derived differently than cordon speeds. Whereas our cordon equation is derived from observations made on urban streets, our non-cordon equation is based on data for freeways and expressways. See Speed-Volume, non-Cordon, for details.</v>
      </c>
      <c r="C108" s="4187"/>
      <c r="D108" s="4187"/>
      <c r="E108" s="4187"/>
      <c r="F108" s="4187"/>
      <c r="G108" s="4187"/>
      <c r="H108" s="4187"/>
      <c r="I108" s="4187"/>
      <c r="J108" s="4187"/>
      <c r="K108" s="4187"/>
      <c r="L108" s="4187"/>
      <c r="M108" s="21"/>
      <c r="O108" s="136">
        <f>ROW()</f>
        <v>108</v>
      </c>
    </row>
    <row r="109" spans="1:17">
      <c r="A109" s="281"/>
      <c r="B109" s="4187"/>
      <c r="C109" s="4187"/>
      <c r="D109" s="4187"/>
      <c r="E109" s="4187"/>
      <c r="F109" s="4187"/>
      <c r="G109" s="4187"/>
      <c r="H109" s="4187"/>
      <c r="I109" s="4187"/>
      <c r="J109" s="4187"/>
      <c r="K109" s="4187"/>
      <c r="L109" s="4187"/>
      <c r="M109" s="21"/>
      <c r="O109" s="136">
        <f>ROW()</f>
        <v>109</v>
      </c>
    </row>
    <row r="110" spans="1:17">
      <c r="A110" s="281"/>
      <c r="B110" s="4187"/>
      <c r="C110" s="4187"/>
      <c r="D110" s="4187"/>
      <c r="E110" s="4187"/>
      <c r="F110" s="4187"/>
      <c r="G110" s="4187"/>
      <c r="H110" s="4187"/>
      <c r="I110" s="4187"/>
      <c r="J110" s="4187"/>
      <c r="K110" s="4187"/>
      <c r="L110" s="4187"/>
      <c r="M110" s="21"/>
      <c r="O110" s="136">
        <f>ROW()</f>
        <v>110</v>
      </c>
    </row>
    <row r="111" spans="1:17">
      <c r="A111" s="281"/>
      <c r="B111" s="1085" t="s">
        <v>562</v>
      </c>
      <c r="C111" s="886"/>
      <c r="D111" s="886"/>
      <c r="E111" s="886"/>
      <c r="F111" s="886"/>
      <c r="G111" s="1086">
        <f t="shared" ref="G111:M111" si="71">Alpha*EXP(Beta*G98/SVConstant)</f>
        <v>65.876283341717766</v>
      </c>
      <c r="H111" s="1086">
        <f t="shared" si="71"/>
        <v>44.209607149069264</v>
      </c>
      <c r="I111" s="1086">
        <f t="shared" si="71"/>
        <v>17.070893959043573</v>
      </c>
      <c r="J111" s="1086">
        <f t="shared" si="71"/>
        <v>20.300525472382542</v>
      </c>
      <c r="K111" s="1086">
        <f t="shared" si="71"/>
        <v>24.007051320786122</v>
      </c>
      <c r="L111" s="1086">
        <f t="shared" si="71"/>
        <v>15.480404480037365</v>
      </c>
      <c r="M111" s="1086">
        <f t="shared" si="71"/>
        <v>25.869980358630468</v>
      </c>
      <c r="O111" s="136">
        <f>ROW()</f>
        <v>111</v>
      </c>
    </row>
    <row r="112" spans="1:17" ht="12">
      <c r="A112" s="281"/>
      <c r="B112" s="1087" t="s">
        <v>563</v>
      </c>
      <c r="C112" s="1088"/>
      <c r="D112" s="1088"/>
      <c r="E112" s="1088"/>
      <c r="F112" s="1088"/>
      <c r="G112" s="1083">
        <f>MIN(G111,'Speed-Vol., non-Cordon'!$X$32)</f>
        <v>55</v>
      </c>
      <c r="H112" s="1083">
        <f>MIN(H111,'Speed-Vol., non-Cordon'!$X$32)</f>
        <v>44.209607149069264</v>
      </c>
      <c r="I112" s="1083">
        <f>MIN(I111,'Speed-Vol., non-Cordon'!$X$32)</f>
        <v>17.070893959043573</v>
      </c>
      <c r="J112" s="1083">
        <f>MIN(J111,'Speed-Vol., non-Cordon'!$X$32)</f>
        <v>20.300525472382542</v>
      </c>
      <c r="K112" s="1083">
        <f>MIN(K111,'Speed-Vol., non-Cordon'!$X$32)</f>
        <v>24.007051320786122</v>
      </c>
      <c r="L112" s="1083">
        <f>MIN(L111,'Speed-Vol., non-Cordon'!$X$32)</f>
        <v>15.480404480037365</v>
      </c>
      <c r="M112" s="1181">
        <f>MIN(M111,'Speed-Vol., non-Cordon'!$X$32)</f>
        <v>25.869980358630468</v>
      </c>
      <c r="N112" s="163"/>
      <c r="O112" s="136">
        <f>ROW()</f>
        <v>112</v>
      </c>
    </row>
    <row r="113" spans="2:27">
      <c r="B113" s="309" t="str">
        <f>CONCATENATE("Reciprocal of Cordon Speeds (needed to calc avgs in Rows ",O114, " &amp; ",O115,")")</f>
        <v>Reciprocal of Cordon Speeds (needed to calc avgs in Rows 114 &amp; 115)</v>
      </c>
      <c r="G113" s="117">
        <f t="shared" ref="G113:M113" si="72">1/G112</f>
        <v>1.8181818181818181E-2</v>
      </c>
      <c r="H113" s="117">
        <f t="shared" si="72"/>
        <v>2.2619517894111232E-2</v>
      </c>
      <c r="I113" s="117">
        <f t="shared" si="72"/>
        <v>5.8579240337336545E-2</v>
      </c>
      <c r="J113" s="117">
        <f t="shared" si="72"/>
        <v>4.9259808636994674E-2</v>
      </c>
      <c r="K113" s="117">
        <f t="shared" si="72"/>
        <v>4.1654428385970332E-2</v>
      </c>
      <c r="L113" s="117">
        <f t="shared" si="72"/>
        <v>6.4597795315331857E-2</v>
      </c>
      <c r="M113" s="117">
        <f t="shared" si="72"/>
        <v>3.8654841872208481E-2</v>
      </c>
      <c r="N113" s="91"/>
      <c r="O113" s="136">
        <f>ROW()</f>
        <v>113</v>
      </c>
    </row>
    <row r="114" spans="2:27">
      <c r="F114" s="113"/>
      <c r="H114" s="171" t="s">
        <v>1533</v>
      </c>
      <c r="J114" s="113"/>
      <c r="K114" s="955">
        <f>(I$86*I61+J$86*J61+K$86*K61+L$86*4)/(I86*I61*I113+J86*J61*J113+K86*K61*K113+L86*4*L113)</f>
        <v>18.21890521857263</v>
      </c>
      <c r="L114" s="902"/>
      <c r="M114" s="118" t="s">
        <v>672</v>
      </c>
      <c r="N114" s="1222">
        <f>K114-'Motor Vs'!K203</f>
        <v>-9.3850327796829447E-4</v>
      </c>
      <c r="O114" s="136">
        <f>ROW()</f>
        <v>114</v>
      </c>
    </row>
    <row r="115" spans="2:27">
      <c r="F115" s="113"/>
      <c r="H115" s="171" t="s">
        <v>1534</v>
      </c>
      <c r="K115" s="955">
        <f>N84/SUMPRODUCT(G113:M113,G84:M84)</f>
        <v>20.783277354431963</v>
      </c>
      <c r="M115" s="118" t="s">
        <v>672</v>
      </c>
      <c r="N115" s="1222">
        <f>K115-'Motor Vs'!K204</f>
        <v>-1.6509713954029337E-3</v>
      </c>
      <c r="O115" s="136">
        <f>ROW()</f>
        <v>115</v>
      </c>
    </row>
    <row r="116" spans="2:27">
      <c r="H116" s="113"/>
      <c r="I116" s="113"/>
      <c r="J116" s="113"/>
      <c r="K116" s="955"/>
      <c r="O116" s="136">
        <f>ROW()</f>
        <v>116</v>
      </c>
    </row>
    <row r="117" spans="2:27" ht="13.2">
      <c r="B117" s="24" t="s">
        <v>270</v>
      </c>
      <c r="C117" s="297"/>
      <c r="D117" s="297"/>
      <c r="E117" s="297"/>
      <c r="F117" s="297"/>
      <c r="O117" s="136">
        <f>ROW()</f>
        <v>117</v>
      </c>
      <c r="Y117" s="4606" t="s">
        <v>2172</v>
      </c>
      <c r="Z117" s="4606" t="s">
        <v>63</v>
      </c>
      <c r="AA117" s="4606" t="s">
        <v>1442</v>
      </c>
    </row>
    <row r="118" spans="2:27" ht="12">
      <c r="B118" s="6"/>
      <c r="C118" s="297"/>
      <c r="D118" s="297"/>
      <c r="E118" s="297"/>
      <c r="F118" s="297"/>
      <c r="G118" s="282"/>
      <c r="H118" s="282"/>
      <c r="I118" s="282"/>
      <c r="J118" s="282"/>
      <c r="K118" s="282"/>
      <c r="L118" s="282"/>
      <c r="M118" s="282"/>
      <c r="N118" s="186"/>
      <c r="O118" s="136">
        <f>ROW()</f>
        <v>118</v>
      </c>
      <c r="Y118" s="3781"/>
      <c r="Z118" s="3781"/>
      <c r="AA118" s="3781"/>
    </row>
    <row r="119" spans="2:27" ht="12">
      <c r="B119" s="172" t="s">
        <v>782</v>
      </c>
      <c r="C119" s="297"/>
      <c r="D119" s="297"/>
      <c r="E119" s="297"/>
      <c r="F119" s="297"/>
      <c r="G119" s="1532">
        <f>'Motor Vs'!G147/G102</f>
        <v>21207.01700426609</v>
      </c>
      <c r="H119" s="1532">
        <f>'Motor Vs'!H147/H102</f>
        <v>4395.6025044881171</v>
      </c>
      <c r="I119" s="1532">
        <f>'Motor Vs'!I147/I102</f>
        <v>57681.665533124251</v>
      </c>
      <c r="J119" s="1532">
        <f>'Motor Vs'!J147/J102</f>
        <v>17527.091714915561</v>
      </c>
      <c r="K119" s="1532">
        <f>'Motor Vs'!K147/K102</f>
        <v>51148.889904782016</v>
      </c>
      <c r="L119" s="1532">
        <f>'Motor Vs'!L147/L102</f>
        <v>135858.45735247029</v>
      </c>
      <c r="M119" s="1532">
        <f>'Motor Vs'!M147/M102</f>
        <v>39218.774464480739</v>
      </c>
      <c r="N119" s="1182">
        <f>SUM(G119:M119)</f>
        <v>327037.49847852712</v>
      </c>
      <c r="O119" s="136">
        <f>ROW()</f>
        <v>119</v>
      </c>
      <c r="Y119" s="3781"/>
      <c r="Z119" s="3781"/>
      <c r="AA119" s="3781"/>
    </row>
    <row r="120" spans="2:27" ht="12">
      <c r="B120" s="4101" t="str">
        <f>CONCATENATE("Calculated as quotient of Row ",'Motor Vs'!O147, " VMT figures in Motor Vs worksheet by Row ",123, " speeds in this worksheet. Numerator uses Motor Vs VMT figures to ensure that delays are calculated on 'baseline' vehicle volumes only and do not [spuriously] reflect delays experienced by the hypothesized additional vehicles.")</f>
        <v>Calculated as quotient of Row 147 VMT figures in Motor Vs worksheet by Row 123 speeds in this worksheet. Numerator uses Motor Vs VMT figures to ensure that delays are calculated on 'baseline' vehicle volumes only and do not [spuriously] reflect delays experienced by the hypothesized additional vehicles.</v>
      </c>
      <c r="C120" s="3659"/>
      <c r="D120" s="3659"/>
      <c r="E120" s="3659"/>
      <c r="F120" s="3659"/>
      <c r="G120" s="3659"/>
      <c r="H120" s="3659"/>
      <c r="I120" s="3659"/>
      <c r="J120" s="3659"/>
      <c r="K120" s="3659"/>
      <c r="L120" s="3659"/>
      <c r="M120" s="282"/>
      <c r="N120" s="186"/>
      <c r="O120" s="136">
        <f>ROW()</f>
        <v>120</v>
      </c>
      <c r="Y120" s="22">
        <v>0.1</v>
      </c>
      <c r="Z120" s="117">
        <v>4.3984154366728108</v>
      </c>
      <c r="AA120" s="39">
        <f t="shared" ref="AA120:AA151" si="73">Z120/Z$140-1</f>
        <v>0.35030541971621743</v>
      </c>
    </row>
    <row r="121" spans="2:27">
      <c r="B121" s="3659"/>
      <c r="C121" s="3659"/>
      <c r="D121" s="3659"/>
      <c r="E121" s="3659"/>
      <c r="F121" s="3659"/>
      <c r="G121" s="3659"/>
      <c r="H121" s="3659"/>
      <c r="I121" s="3659"/>
      <c r="J121" s="3659"/>
      <c r="K121" s="3659"/>
      <c r="L121" s="3659"/>
      <c r="O121" s="136">
        <f>ROW()</f>
        <v>121</v>
      </c>
      <c r="Y121" s="22">
        <v>9.5000000000000001E-2</v>
      </c>
      <c r="Z121" s="117">
        <v>4.3341243508007832</v>
      </c>
      <c r="AA121" s="39">
        <f t="shared" si="73"/>
        <v>0.33056817503291192</v>
      </c>
    </row>
    <row r="122" spans="2:27">
      <c r="B122" s="281" t="s">
        <v>783</v>
      </c>
      <c r="C122" s="568"/>
      <c r="D122" s="568"/>
      <c r="E122" s="568"/>
      <c r="G122" s="1532">
        <f>'Motor Vs'!G190</f>
        <v>21206.887016138899</v>
      </c>
      <c r="H122" s="1532">
        <f>'Motor Vs'!H190</f>
        <v>4395.5549338387082</v>
      </c>
      <c r="I122" s="1532">
        <f>'Motor Vs'!I190</f>
        <v>57677.375921739913</v>
      </c>
      <c r="J122" s="1532">
        <f>'Motor Vs'!J190</f>
        <v>17525.869639600944</v>
      </c>
      <c r="K122" s="1532">
        <f>'Motor Vs'!K190</f>
        <v>51145.557893814155</v>
      </c>
      <c r="L122" s="1532">
        <f>'Motor Vs'!L190</f>
        <v>135843.65352278142</v>
      </c>
      <c r="M122" s="1532">
        <f>'Motor Vs'!M190</f>
        <v>39195.727759532099</v>
      </c>
      <c r="N122" s="1182">
        <f>SUM(G122:M122)</f>
        <v>326990.62668744614</v>
      </c>
      <c r="O122" s="136">
        <f>ROW()</f>
        <v>122</v>
      </c>
      <c r="Y122" s="22">
        <v>0.09</v>
      </c>
      <c r="Z122" s="117">
        <v>4.2706483651566289</v>
      </c>
      <c r="AA122" s="39">
        <f t="shared" si="73"/>
        <v>0.31108116461491297</v>
      </c>
    </row>
    <row r="123" spans="2:27" ht="12">
      <c r="B123" s="215" t="str">
        <f>CONCATENATE("Taken from corresponding entry in Motor Vs, Row ",'Motor Vs'!O190)</f>
        <v>Taken from corresponding entry in Motor Vs, Row 190</v>
      </c>
      <c r="C123" s="568"/>
      <c r="D123" s="568"/>
      <c r="E123" s="568"/>
      <c r="N123" s="186"/>
      <c r="O123" s="136">
        <f>ROW()</f>
        <v>123</v>
      </c>
      <c r="Y123" s="22">
        <v>8.5000000000000006E-2</v>
      </c>
      <c r="Z123" s="117">
        <v>4.2079781915803238</v>
      </c>
      <c r="AA123" s="39">
        <f t="shared" si="73"/>
        <v>0.29184153701423887</v>
      </c>
    </row>
    <row r="124" spans="2:27" ht="12">
      <c r="B124" s="1049" t="s">
        <v>1114</v>
      </c>
      <c r="C124" s="1089"/>
      <c r="D124" s="1089"/>
      <c r="E124" s="1089"/>
      <c r="F124" s="1089"/>
      <c r="G124" s="1090"/>
      <c r="H124" s="1050"/>
      <c r="I124" s="1050"/>
      <c r="J124" s="1050"/>
      <c r="K124" s="1050"/>
      <c r="L124" s="1050"/>
      <c r="M124" s="1050"/>
      <c r="N124" s="1051">
        <f>N119-N122</f>
        <v>46.871791080979165</v>
      </c>
      <c r="O124" s="136">
        <f>ROW()</f>
        <v>124</v>
      </c>
      <c r="Y124" s="22">
        <v>0.08</v>
      </c>
      <c r="Z124" s="117">
        <v>4.1461046432496911</v>
      </c>
      <c r="AA124" s="39">
        <f t="shared" si="73"/>
        <v>0.27284647189344002</v>
      </c>
    </row>
    <row r="125" spans="2:27" ht="12">
      <c r="B125" s="281"/>
      <c r="C125" s="568"/>
      <c r="D125" s="568"/>
      <c r="E125" s="568"/>
      <c r="F125" s="568"/>
      <c r="G125" s="282"/>
      <c r="N125" s="186"/>
      <c r="O125" s="136">
        <f>ROW()</f>
        <v>125</v>
      </c>
      <c r="Y125" s="22">
        <v>7.4999999999999997E-2</v>
      </c>
      <c r="Z125" s="117">
        <v>4.0850186338064463</v>
      </c>
      <c r="AA125" s="39">
        <f t="shared" si="73"/>
        <v>0.25409317975729628</v>
      </c>
    </row>
    <row r="126" spans="2:27" ht="12">
      <c r="B126" s="172" t="s">
        <v>1120</v>
      </c>
      <c r="C126" s="568"/>
      <c r="D126" s="568"/>
      <c r="E126" s="568"/>
      <c r="F126" s="568"/>
      <c r="G126" s="1123">
        <f>'Motor Vs'!G167/G112</f>
        <v>135546.4376717454</v>
      </c>
      <c r="H126" s="1123">
        <f>'Motor Vs'!H167/H112</f>
        <v>44479.07869269963</v>
      </c>
      <c r="I126" s="1123">
        <f>'Motor Vs'!I167/I112</f>
        <v>649083.8283961002</v>
      </c>
      <c r="J126" s="1123">
        <f>'Motor Vs'!J167/J112</f>
        <v>166448.47513246041</v>
      </c>
      <c r="K126" s="1123">
        <f>'Motor Vs'!K167/K112</f>
        <v>512284.16352946055</v>
      </c>
      <c r="L126" s="1123">
        <f>'Motor Vs'!L167/L112</f>
        <v>1500331.2786624569</v>
      </c>
      <c r="M126" s="1123">
        <f>'Motor Vs'!M167/M112</f>
        <v>340743.17377143982</v>
      </c>
      <c r="N126" s="1182">
        <f>SUM(G126:M126)</f>
        <v>3348916.4358563628</v>
      </c>
      <c r="O126" s="136">
        <f>ROW()</f>
        <v>126</v>
      </c>
      <c r="Y126" s="22">
        <v>7.0000000000000007E-2</v>
      </c>
      <c r="Z126" s="117">
        <v>4.0247111760245566</v>
      </c>
      <c r="AA126" s="39">
        <f t="shared" si="73"/>
        <v>0.23557890154400574</v>
      </c>
    </row>
    <row r="127" spans="2:27" ht="12">
      <c r="B127" s="4101" t="str">
        <f>CONCATENATE("Calculated as quotient of Row ",'Motor Vs'!O167, " VMT figures in Motor Vs worksheet by Row ",O112, " speeds in this worksheet. Numerator uses Motor Vs VMT figures to ensure that delays are calculated on 'baseline' vehicle volumes only and do not [spuriously] reflect delays experienced by the hypothesized additional vehicles.")</f>
        <v>Calculated as quotient of Row 167 VMT figures in Motor Vs worksheet by Row 112 speeds in this worksheet. Numerator uses Motor Vs VMT figures to ensure that delays are calculated on 'baseline' vehicle volumes only and do not [spuriously] reflect delays experienced by the hypothesized additional vehicles.</v>
      </c>
      <c r="C127" s="3659"/>
      <c r="D127" s="3659"/>
      <c r="E127" s="3659"/>
      <c r="F127" s="3659"/>
      <c r="G127" s="3659"/>
      <c r="H127" s="3659"/>
      <c r="I127" s="3659"/>
      <c r="J127" s="3659"/>
      <c r="K127" s="3659"/>
      <c r="L127" s="3659"/>
      <c r="N127" s="186"/>
      <c r="O127" s="136">
        <f>ROW()</f>
        <v>127</v>
      </c>
      <c r="Y127" s="22">
        <v>6.5000000000000002E-2</v>
      </c>
      <c r="Z127" s="117">
        <v>3.9651733808140137</v>
      </c>
      <c r="AA127" s="39">
        <f t="shared" si="73"/>
        <v>0.21730090831934468</v>
      </c>
    </row>
    <row r="128" spans="2:27" ht="12">
      <c r="B128" s="3659"/>
      <c r="C128" s="3659"/>
      <c r="D128" s="3659"/>
      <c r="E128" s="3659"/>
      <c r="F128" s="3659"/>
      <c r="G128" s="3659"/>
      <c r="H128" s="3659"/>
      <c r="I128" s="3659"/>
      <c r="J128" s="3659"/>
      <c r="K128" s="3659"/>
      <c r="L128" s="3659"/>
      <c r="N128" s="186"/>
      <c r="O128" s="136">
        <f>ROW()</f>
        <v>128</v>
      </c>
      <c r="Y128" s="22">
        <v>0.06</v>
      </c>
      <c r="Z128" s="117">
        <v>3.9063964560900919</v>
      </c>
      <c r="AA128" s="39">
        <f t="shared" si="73"/>
        <v>0.19925650092953218</v>
      </c>
    </row>
    <row r="129" spans="2:77">
      <c r="B129" s="281" t="s">
        <v>250</v>
      </c>
      <c r="C129" s="568"/>
      <c r="D129" s="568"/>
      <c r="E129" s="568"/>
      <c r="F129" s="568"/>
      <c r="G129" s="1123">
        <f>'Motor Vs'!G966</f>
        <v>135546.4376717454</v>
      </c>
      <c r="H129" s="1123">
        <f>'Motor Vs'!H966</f>
        <v>44478.071936646833</v>
      </c>
      <c r="I129" s="1123">
        <f>'Motor Vs'!I966</f>
        <v>649055.60608664656</v>
      </c>
      <c r="J129" s="1123">
        <f>'Motor Vs'!J966</f>
        <v>166441.54913603849</v>
      </c>
      <c r="K129" s="1123">
        <f>'Motor Vs'!K966</f>
        <v>512262.07355467405</v>
      </c>
      <c r="L129" s="1123">
        <f>'Motor Vs'!L966</f>
        <v>1500238.297585078</v>
      </c>
      <c r="M129" s="1123">
        <f>'Motor Vs'!M966</f>
        <v>340611.83640879602</v>
      </c>
      <c r="N129" s="1123">
        <f>SUM(G129:M129)</f>
        <v>3348633.8723796252</v>
      </c>
      <c r="O129" s="136">
        <f>ROW()</f>
        <v>129</v>
      </c>
      <c r="Y129" s="22">
        <v>5.5E-2</v>
      </c>
      <c r="Z129" s="117">
        <v>3.8483717054934807</v>
      </c>
      <c r="AA129" s="39">
        <f t="shared" si="73"/>
        <v>0.1814430096083135</v>
      </c>
    </row>
    <row r="130" spans="2:77" ht="12">
      <c r="B130" s="215" t="str">
        <f>CONCATENATE("Taken from corresponding entry in Motor Vs, Row ",'Motor Vs'!O966)</f>
        <v>Taken from corresponding entry in Motor Vs, Row 966</v>
      </c>
      <c r="C130" s="568"/>
      <c r="D130" s="568"/>
      <c r="E130" s="568"/>
      <c r="F130" s="568"/>
      <c r="G130" s="282"/>
      <c r="N130" s="186"/>
      <c r="O130" s="136">
        <f>ROW()</f>
        <v>130</v>
      </c>
      <c r="Y130" s="22">
        <v>0.05</v>
      </c>
      <c r="Z130" s="117">
        <v>3.7910905275445446</v>
      </c>
      <c r="AA130" s="39">
        <f t="shared" si="73"/>
        <v>0.16385779371731823</v>
      </c>
    </row>
    <row r="131" spans="2:77" ht="12">
      <c r="B131" s="1049" t="s">
        <v>1115</v>
      </c>
      <c r="C131" s="1089"/>
      <c r="D131" s="1089"/>
      <c r="E131" s="1089"/>
      <c r="F131" s="1089"/>
      <c r="G131" s="1090"/>
      <c r="H131" s="1050"/>
      <c r="I131" s="1050"/>
      <c r="J131" s="1050"/>
      <c r="K131" s="1050"/>
      <c r="L131" s="1050"/>
      <c r="M131" s="1050"/>
      <c r="N131" s="1051">
        <f>(N126-N129)</f>
        <v>282.56347673758864</v>
      </c>
      <c r="O131" s="136">
        <f>ROW()</f>
        <v>131</v>
      </c>
      <c r="Y131" s="22">
        <v>4.4999999999999998E-2</v>
      </c>
      <c r="Z131" s="117">
        <v>3.7345444145131763</v>
      </c>
      <c r="AA131" s="39">
        <f t="shared" si="73"/>
        <v>0.1464982413991085</v>
      </c>
    </row>
    <row r="132" spans="2:77">
      <c r="B132" s="281"/>
      <c r="C132" s="568"/>
      <c r="D132" s="568"/>
      <c r="E132" s="568"/>
      <c r="O132" s="136">
        <f>ROW()</f>
        <v>132</v>
      </c>
      <c r="Y132" s="22">
        <v>0.04</v>
      </c>
      <c r="Z132" s="117">
        <v>3.6787249511860769</v>
      </c>
      <c r="AA132" s="39">
        <f t="shared" si="73"/>
        <v>0.1293617691987361</v>
      </c>
    </row>
    <row r="133" spans="2:77" ht="12">
      <c r="B133" s="172" t="s">
        <v>1116</v>
      </c>
      <c r="C133" s="568"/>
      <c r="D133" s="568"/>
      <c r="E133" s="568"/>
      <c r="G133" s="1200" t="str">
        <f>CONCATENATE("Note: figures in next row apply to trips whose inbound leg is taken in the period 'selected' in Row ",O62, ".")</f>
        <v>Note: figures in next row apply to trips whose inbound leg is taken in the period 'selected' in Row 62.</v>
      </c>
      <c r="H133" s="50"/>
      <c r="I133" s="50"/>
      <c r="J133" s="50"/>
      <c r="K133" s="50"/>
      <c r="L133" s="50"/>
      <c r="M133" s="50"/>
      <c r="O133" s="136">
        <f>ROW()</f>
        <v>133</v>
      </c>
      <c r="Y133" s="22">
        <v>3.5000000000000003E-2</v>
      </c>
      <c r="Z133" s="117">
        <v>3.6236238141300809</v>
      </c>
      <c r="AA133" s="39">
        <f t="shared" si="73"/>
        <v>0.11244582183758367</v>
      </c>
    </row>
    <row r="134" spans="2:77" ht="12">
      <c r="B134" s="280" t="s">
        <v>2923</v>
      </c>
      <c r="C134" s="568"/>
      <c r="D134" s="568"/>
      <c r="E134" s="568"/>
      <c r="F134" s="568"/>
      <c r="G134" s="1617">
        <f t="shared" ref="G134:M134" si="74">(G119-G122+G126-G129)/CarsAdded</f>
        <v>1.2998812718433327E-3</v>
      </c>
      <c r="H134" s="1617">
        <f t="shared" si="74"/>
        <v>1.054326702207618E-2</v>
      </c>
      <c r="I134" s="1617">
        <f t="shared" si="74"/>
        <v>0.32511920838034714</v>
      </c>
      <c r="J134" s="1617">
        <f t="shared" si="74"/>
        <v>8.1480717365338934E-2</v>
      </c>
      <c r="K134" s="1617">
        <f t="shared" si="74"/>
        <v>0.25421985754393972</v>
      </c>
      <c r="L134" s="1617">
        <f t="shared" si="74"/>
        <v>1.0778490706766024</v>
      </c>
      <c r="M134" s="1617">
        <f t="shared" si="74"/>
        <v>1.543840675924439</v>
      </c>
      <c r="N134" s="186">
        <f>N124+N131</f>
        <v>329.43526781856781</v>
      </c>
      <c r="O134" s="136">
        <f>ROW()</f>
        <v>134</v>
      </c>
      <c r="Y134" s="22">
        <v>0.03</v>
      </c>
      <c r="Z134" s="117">
        <v>3.5692327703281532</v>
      </c>
      <c r="AA134" s="39">
        <f t="shared" si="73"/>
        <v>9.574787179461941E-2</v>
      </c>
    </row>
    <row r="135" spans="2:77" s="24" customFormat="1" ht="13.2">
      <c r="B135" s="1091" t="str">
        <f>CONCATENATE("Delay time attributable to each additional vehicle trip into the cordon (whose inbound leg is taken in the period selected in Row ",O62, ").")</f>
        <v>Delay time attributable to each additional vehicle trip into the cordon (whose inbound leg is taken in the period selected in Row 62).</v>
      </c>
      <c r="C135" s="1092"/>
      <c r="D135" s="1092"/>
      <c r="E135" s="1092"/>
      <c r="F135" s="1092"/>
      <c r="G135" s="1093"/>
      <c r="H135" s="1094"/>
      <c r="I135" s="1094"/>
      <c r="J135" s="1094"/>
      <c r="K135" s="1094"/>
      <c r="L135" s="1094"/>
      <c r="M135" s="4964">
        <f>N134/CarsAdded</f>
        <v>3.2943526781856782</v>
      </c>
      <c r="N135" s="4965"/>
      <c r="O135" s="136">
        <f>ROW()</f>
        <v>135</v>
      </c>
      <c r="P135"/>
      <c r="Q135"/>
      <c r="R135"/>
      <c r="S135"/>
      <c r="T135"/>
      <c r="U135"/>
      <c r="V135"/>
      <c r="W135"/>
      <c r="Y135" s="22">
        <v>2.5000000000000001E-2</v>
      </c>
      <c r="Z135" s="117">
        <v>3.5155436763269412</v>
      </c>
      <c r="AA135" s="39">
        <f t="shared" si="73"/>
        <v>7.9265419044696861E-2</v>
      </c>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row>
    <row r="136" spans="2:77" s="1006" customFormat="1" ht="13.2">
      <c r="B136" s="215" t="s">
        <v>1183</v>
      </c>
      <c r="C136" s="568"/>
      <c r="D136" s="568"/>
      <c r="E136" s="568"/>
      <c r="F136" s="568"/>
      <c r="G136" s="282"/>
      <c r="H136"/>
      <c r="I136"/>
      <c r="J136"/>
      <c r="K136"/>
      <c r="L136"/>
      <c r="M136"/>
      <c r="N136" s="1206"/>
      <c r="O136" s="136">
        <f>ROW()</f>
        <v>136</v>
      </c>
      <c r="P136"/>
      <c r="Q136"/>
      <c r="R136"/>
      <c r="S136"/>
      <c r="T136"/>
      <c r="U136"/>
      <c r="V136" s="86"/>
      <c r="W136" s="86"/>
      <c r="Y136" s="22">
        <v>0.02</v>
      </c>
      <c r="Z136" s="117">
        <v>3.4625484773504205</v>
      </c>
      <c r="AA136" s="39">
        <f t="shared" si="73"/>
        <v>6.2995990786445022E-2</v>
      </c>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row>
    <row r="137" spans="2:77">
      <c r="F137" s="8" t="s">
        <v>1650</v>
      </c>
      <c r="G137" s="8" t="s">
        <v>1687</v>
      </c>
      <c r="O137" s="136">
        <f>ROW()</f>
        <v>137</v>
      </c>
      <c r="Y137" s="22">
        <v>1.4999999999999999E-2</v>
      </c>
      <c r="Z137" s="117">
        <v>3.4102392059559414</v>
      </c>
      <c r="AA137" s="39">
        <f t="shared" si="73"/>
        <v>4.6937141029678386E-2</v>
      </c>
    </row>
    <row r="138" spans="2:77">
      <c r="B138" s="340" t="s">
        <v>1117</v>
      </c>
      <c r="C138" s="9"/>
      <c r="D138" s="9"/>
      <c r="E138" s="9"/>
      <c r="F138" s="53">
        <f>L184/L156</f>
        <v>0.41002053667378691</v>
      </c>
      <c r="G138" s="53">
        <f>L197/L156</f>
        <v>0.58997946332621309</v>
      </c>
      <c r="H138" s="52">
        <f>SUM(F138:G138)</f>
        <v>1</v>
      </c>
      <c r="M138" s="118"/>
      <c r="O138" s="136">
        <f>ROW()</f>
        <v>138</v>
      </c>
      <c r="Y138" s="22">
        <v>0.01</v>
      </c>
      <c r="Z138" s="117">
        <v>3.3586079813853709</v>
      </c>
      <c r="AA138" s="39">
        <f t="shared" si="73"/>
        <v>3.108645039619784E-2</v>
      </c>
    </row>
    <row r="139" spans="2:77">
      <c r="B139" s="340"/>
      <c r="C139" s="9"/>
      <c r="D139" s="9"/>
      <c r="E139" s="9"/>
      <c r="F139" s="53"/>
      <c r="G139" s="53"/>
      <c r="H139" s="52"/>
      <c r="M139" s="118">
        <v>2.02</v>
      </c>
      <c r="O139" s="136">
        <f>ROW()</f>
        <v>139</v>
      </c>
      <c r="Y139" s="22">
        <v>5.0000000000000001E-3</v>
      </c>
      <c r="Z139" s="117">
        <v>3.3076470084008824</v>
      </c>
      <c r="AA139" s="39">
        <f t="shared" si="73"/>
        <v>1.5441525762380115E-2</v>
      </c>
    </row>
    <row r="140" spans="2:77" ht="13.2">
      <c r="B140" s="1091" t="s">
        <v>268</v>
      </c>
      <c r="C140" s="1092"/>
      <c r="D140" s="1092"/>
      <c r="E140" s="1092"/>
      <c r="F140" s="1092"/>
      <c r="G140" s="1096"/>
      <c r="H140" s="1096"/>
      <c r="I140" s="1096"/>
      <c r="J140" s="1096"/>
      <c r="K140" s="1096"/>
      <c r="L140" s="1096"/>
      <c r="M140" s="4964">
        <f>SUMPRODUCT(TotalResults, 'Motor Vs'!G122:M122)/'Motor Vs'!N122</f>
        <v>3.9438021015941152</v>
      </c>
      <c r="N140" s="4965"/>
      <c r="O140" s="136">
        <f>ROW()</f>
        <v>140</v>
      </c>
      <c r="Y140" s="22">
        <v>0</v>
      </c>
      <c r="Z140" s="117">
        <v>3.2573485764407208</v>
      </c>
      <c r="AA140" s="39">
        <f t="shared" si="73"/>
        <v>0</v>
      </c>
    </row>
    <row r="141" spans="2:77" ht="13.2">
      <c r="G141" s="117"/>
      <c r="M141" s="5002">
        <f>60*M140</f>
        <v>236.62812609564691</v>
      </c>
      <c r="N141" s="5003"/>
      <c r="O141" s="136">
        <f>ROW()</f>
        <v>141</v>
      </c>
      <c r="Y141" s="22">
        <v>-5.0000000000000001E-3</v>
      </c>
      <c r="Z141" s="117">
        <v>3.2077050584699256</v>
      </c>
      <c r="AA141" s="39">
        <f t="shared" si="73"/>
        <v>-1.5240468376596095E-2</v>
      </c>
    </row>
    <row r="142" spans="2:77" ht="12">
      <c r="C142" s="161"/>
      <c r="G142" s="117"/>
      <c r="O142" s="136">
        <f>ROW()</f>
        <v>142</v>
      </c>
      <c r="Y142" s="22">
        <v>-0.01</v>
      </c>
      <c r="Z142" s="117">
        <v>3.1587089103053185</v>
      </c>
      <c r="AA142" s="39">
        <f t="shared" si="73"/>
        <v>-3.0282195417717706E-2</v>
      </c>
    </row>
    <row r="143" spans="2:77" ht="13.2">
      <c r="B143" s="6" t="s">
        <v>2171</v>
      </c>
      <c r="G143" s="117"/>
      <c r="M143" s="1208"/>
      <c r="N143" s="1208"/>
      <c r="O143" s="136">
        <f>ROW()</f>
        <v>143</v>
      </c>
      <c r="Y143" s="22">
        <v>-1.4999999999999999E-2</v>
      </c>
      <c r="Z143" s="117">
        <v>3.1103526694743695</v>
      </c>
      <c r="AA143" s="39">
        <f t="shared" si="73"/>
        <v>-4.5127472088655751E-2</v>
      </c>
    </row>
    <row r="144" spans="2:77" ht="13.2">
      <c r="C144" s="6"/>
      <c r="M144" s="1208"/>
      <c r="N144" s="1208"/>
      <c r="O144" s="136">
        <f>ROW()</f>
        <v>144</v>
      </c>
      <c r="Y144" s="22">
        <v>-0.02</v>
      </c>
      <c r="Z144" s="117">
        <v>3.0626289543444791</v>
      </c>
      <c r="AA144" s="39">
        <f t="shared" si="73"/>
        <v>-5.9778564536992373E-2</v>
      </c>
    </row>
    <row r="145" spans="2:31" ht="13.2">
      <c r="D145" s="4412" t="s">
        <v>1853</v>
      </c>
      <c r="E145" s="4412"/>
      <c r="F145" s="4412"/>
      <c r="G145" s="4412"/>
      <c r="H145" s="4412"/>
      <c r="I145" s="4412"/>
      <c r="J145" s="4412"/>
      <c r="K145" s="4412"/>
      <c r="M145" s="1208"/>
      <c r="N145" s="1208"/>
      <c r="O145" s="136">
        <f>ROW()</f>
        <v>145</v>
      </c>
      <c r="Y145" s="22">
        <v>-2.5000000000000001E-2</v>
      </c>
      <c r="Z145" s="117">
        <v>3.0155304634346889</v>
      </c>
      <c r="AA145" s="39">
        <f t="shared" si="73"/>
        <v>-7.4237714303903135E-2</v>
      </c>
    </row>
    <row r="146" spans="2:31" ht="11.7" customHeight="1">
      <c r="B146" s="5004" t="str">
        <f>CONCATENATE("Array shows Row ",O134, " results when all addit'l trips are assigned to respective periods chosen via Switch in Row ",O62, ".")</f>
        <v>Array shows Row 134 results when all addit'l trips are assigned to respective periods chosen via Switch in Row 62.</v>
      </c>
      <c r="C146" s="3810"/>
      <c r="D146" s="1227"/>
      <c r="E146" s="34" t="str">
        <f t="shared" ref="E146:K146" si="75">G59</f>
        <v>Graveyard</v>
      </c>
      <c r="F146" s="34" t="str">
        <f t="shared" si="75"/>
        <v>A.M. Pre-pk</v>
      </c>
      <c r="G146" s="34" t="str">
        <f t="shared" si="75"/>
        <v>A.M. Peak</v>
      </c>
      <c r="H146" s="34" t="str">
        <f t="shared" si="75"/>
        <v>A.M. Post-pk</v>
      </c>
      <c r="I146" s="34" t="str">
        <f t="shared" si="75"/>
        <v>Midday Pk</v>
      </c>
      <c r="J146" s="34" t="str">
        <f t="shared" si="75"/>
        <v>P.M. Peak</v>
      </c>
      <c r="K146" s="34" t="str">
        <f t="shared" si="75"/>
        <v>P.M. Post-pk</v>
      </c>
      <c r="L146" s="1239" t="s">
        <v>837</v>
      </c>
      <c r="O146" s="136">
        <f>ROW()</f>
        <v>146</v>
      </c>
      <c r="Y146" s="22">
        <v>-0.03</v>
      </c>
      <c r="Z146" s="117">
        <v>2.9690499740413987</v>
      </c>
      <c r="AA146" s="39">
        <f t="shared" si="73"/>
        <v>-8.8507138746060643E-2</v>
      </c>
    </row>
    <row r="147" spans="2:31" ht="11.7" customHeight="1">
      <c r="B147" s="3810"/>
      <c r="C147" s="3810"/>
      <c r="E147" s="1210">
        <f t="shared" ref="E147:K147" si="76">G61</f>
        <v>6</v>
      </c>
      <c r="F147" s="1210">
        <f t="shared" si="76"/>
        <v>1</v>
      </c>
      <c r="G147" s="1210">
        <f t="shared" si="76"/>
        <v>3</v>
      </c>
      <c r="H147" s="1210">
        <f t="shared" si="76"/>
        <v>1</v>
      </c>
      <c r="I147" s="1210">
        <f t="shared" si="76"/>
        <v>4</v>
      </c>
      <c r="J147" s="1210">
        <f t="shared" si="76"/>
        <v>6</v>
      </c>
      <c r="K147" s="1210">
        <f t="shared" si="76"/>
        <v>3</v>
      </c>
      <c r="L147" s="4995" t="s">
        <v>859</v>
      </c>
      <c r="M147" s="4996"/>
      <c r="N147" t="s">
        <v>2365</v>
      </c>
      <c r="O147" s="136">
        <f>ROW()</f>
        <v>147</v>
      </c>
      <c r="Y147" s="22">
        <v>-3.5000000000000003E-2</v>
      </c>
      <c r="Z147" s="117">
        <v>2.9231803418452542</v>
      </c>
      <c r="AA147" s="39">
        <f t="shared" si="73"/>
        <v>-0.10258903115631846</v>
      </c>
    </row>
    <row r="148" spans="2:31">
      <c r="B148" s="3810"/>
      <c r="C148" s="3810"/>
      <c r="D148" s="1227"/>
      <c r="L148" s="4996"/>
      <c r="M148" s="4996"/>
      <c r="N148" s="7" t="s">
        <v>2366</v>
      </c>
      <c r="O148" s="136">
        <f>ROW()</f>
        <v>148</v>
      </c>
      <c r="Y148" s="22">
        <v>-0.04</v>
      </c>
      <c r="Z148" s="117">
        <v>2.8779144997351587</v>
      </c>
      <c r="AA148" s="39">
        <f t="shared" si="73"/>
        <v>-0.11648556112473751</v>
      </c>
      <c r="AC148" s="22">
        <v>-0.15</v>
      </c>
      <c r="AD148" s="117">
        <v>2.0214443167559391</v>
      </c>
      <c r="AE148" s="39">
        <f t="shared" ref="AE148:AE168" si="77">AD148/Z$140-1</f>
        <v>-0.37942032628121258</v>
      </c>
    </row>
    <row r="149" spans="2:31" ht="12">
      <c r="B149" s="3810"/>
      <c r="C149" s="3810"/>
      <c r="D149" t="str">
        <f>E146</f>
        <v>Graveyard</v>
      </c>
      <c r="E149" s="597">
        <v>1.2E-2</v>
      </c>
      <c r="F149" s="621">
        <v>1.0999999999999999E-2</v>
      </c>
      <c r="G149" s="621">
        <v>0.32500000000000001</v>
      </c>
      <c r="H149" s="621">
        <v>8.1000000000000003E-2</v>
      </c>
      <c r="I149" s="582">
        <v>0.254</v>
      </c>
      <c r="J149" s="621">
        <v>1.0780000000000001</v>
      </c>
      <c r="K149" s="621">
        <v>0.19500000000000001</v>
      </c>
      <c r="L149" s="1240">
        <f t="shared" ref="L149:L155" si="78">SUM(E149:K149)</f>
        <v>1.9560000000000002</v>
      </c>
      <c r="N149" s="1179">
        <f>'Motor Vs'!G122</f>
        <v>59816.389783210681</v>
      </c>
      <c r="O149" s="136">
        <f>ROW()</f>
        <v>149</v>
      </c>
      <c r="Y149" s="22">
        <v>-4.4999999999999998E-2</v>
      </c>
      <c r="Z149" s="117">
        <v>2.8332454571271439</v>
      </c>
      <c r="AA149" s="39">
        <f t="shared" si="73"/>
        <v>-0.13019887474769154</v>
      </c>
      <c r="AC149" s="22">
        <v>-0.155</v>
      </c>
      <c r="AD149" s="117">
        <v>1.9882806355116676</v>
      </c>
      <c r="AE149" s="39">
        <f t="shared" si="77"/>
        <v>-0.38960151520404795</v>
      </c>
    </row>
    <row r="150" spans="2:31" ht="12">
      <c r="B150" s="3810"/>
      <c r="C150" s="3810"/>
      <c r="D150" t="str">
        <f>F146</f>
        <v>A.M. Pre-pk</v>
      </c>
      <c r="E150" s="621">
        <v>1E-3</v>
      </c>
      <c r="F150" s="597">
        <v>0.48099999999999998</v>
      </c>
      <c r="G150" s="621">
        <v>0.32500000000000001</v>
      </c>
      <c r="H150" s="621">
        <v>8.1000000000000003E-2</v>
      </c>
      <c r="I150" s="582">
        <v>0.254</v>
      </c>
      <c r="J150" s="621">
        <v>1.0780000000000001</v>
      </c>
      <c r="K150" s="621">
        <v>0.19500000000000001</v>
      </c>
      <c r="L150" s="1240">
        <f t="shared" si="78"/>
        <v>2.4149999999999996</v>
      </c>
      <c r="N150" s="1179">
        <f>'Motor Vs'!H122</f>
        <v>24061.208416006182</v>
      </c>
      <c r="O150" s="136">
        <f>ROW()</f>
        <v>150</v>
      </c>
      <c r="Y150" s="22">
        <v>-0.05</v>
      </c>
      <c r="Z150" s="117">
        <v>2.7891662988916037</v>
      </c>
      <c r="AA150" s="39">
        <f t="shared" si="73"/>
        <v>-0.14373109495720482</v>
      </c>
      <c r="AC150" s="22">
        <v>-0.16</v>
      </c>
      <c r="AD150" s="117">
        <v>1.9555722204576547</v>
      </c>
      <c r="AE150" s="39">
        <f t="shared" si="77"/>
        <v>-0.39964293824688146</v>
      </c>
    </row>
    <row r="151" spans="2:31" ht="12">
      <c r="B151" s="4967" t="str">
        <f>CONCATENATE("Example: Highlighted fig. in A.M. Peak col. in Row ",O153, " is delay hrs experienced in A.M. Peak period per extra trip in Midday Peak.")</f>
        <v>Example: Highlighted fig. in A.M. Peak col. in Row 153 is delay hrs experienced in A.M. Peak period per extra trip in Midday Peak.</v>
      </c>
      <c r="C151" s="4968"/>
      <c r="D151" t="str">
        <f>G146</f>
        <v>A.M. Peak</v>
      </c>
      <c r="E151" s="621">
        <v>1E-3</v>
      </c>
      <c r="F151" s="621">
        <v>1.0999999999999999E-2</v>
      </c>
      <c r="G151" s="1229">
        <v>2.8439999999999999</v>
      </c>
      <c r="H151" s="621">
        <v>8.1000000000000003E-2</v>
      </c>
      <c r="I151" s="582">
        <v>0.254</v>
      </c>
      <c r="J151" s="621">
        <v>1.0780000000000001</v>
      </c>
      <c r="K151" s="621">
        <v>0.19500000000000001</v>
      </c>
      <c r="L151" s="1240">
        <f t="shared" si="78"/>
        <v>4.4640000000000004</v>
      </c>
      <c r="N151" s="1179">
        <f>'Motor Vs'!I122</f>
        <v>138773.65063043591</v>
      </c>
      <c r="O151" s="136">
        <f>ROW()</f>
        <v>151</v>
      </c>
      <c r="Y151" s="22">
        <v>-5.5E-2</v>
      </c>
      <c r="Z151" s="117">
        <v>2.745670184718731</v>
      </c>
      <c r="AA151" s="39">
        <f t="shared" si="73"/>
        <v>-0.15708432171576081</v>
      </c>
      <c r="AC151" s="22">
        <v>-0.16500000000000001</v>
      </c>
      <c r="AD151" s="117">
        <v>1.923313680734748</v>
      </c>
      <c r="AE151" s="39">
        <f t="shared" si="77"/>
        <v>-0.40954625039352166</v>
      </c>
    </row>
    <row r="152" spans="2:31" ht="12" customHeight="1">
      <c r="B152" s="4968"/>
      <c r="C152" s="4968"/>
      <c r="D152" t="str">
        <f>H146</f>
        <v>A.M. Post-pk</v>
      </c>
      <c r="E152" s="621">
        <v>1E-3</v>
      </c>
      <c r="F152" s="621">
        <v>1.0999999999999999E-2</v>
      </c>
      <c r="G152" s="621">
        <v>0.32500000000000001</v>
      </c>
      <c r="H152" s="597">
        <v>2.0609999999999999</v>
      </c>
      <c r="I152" s="582">
        <v>0.254</v>
      </c>
      <c r="J152" s="621">
        <v>1.0780000000000001</v>
      </c>
      <c r="K152" s="621">
        <v>0.19500000000000001</v>
      </c>
      <c r="L152" s="1240">
        <f t="shared" si="78"/>
        <v>3.9250000000000003</v>
      </c>
      <c r="N152" s="1179">
        <f>'Motor Vs'!J122</f>
        <v>41059.235442521305</v>
      </c>
      <c r="O152" s="136">
        <f>ROW()</f>
        <v>152</v>
      </c>
      <c r="Y152" s="22">
        <v>-0.06</v>
      </c>
      <c r="Z152" s="117">
        <v>2.7027503482083821</v>
      </c>
      <c r="AA152" s="39">
        <f t="shared" ref="AA152:AA169" si="79">Z152/Z$140-1</f>
        <v>-0.17026063229571331</v>
      </c>
      <c r="AC152" s="22">
        <v>-0.17</v>
      </c>
      <c r="AD152" s="117">
        <v>1.8914996833697479</v>
      </c>
      <c r="AE152" s="39">
        <f t="shared" si="77"/>
        <v>-0.41931308885689633</v>
      </c>
    </row>
    <row r="153" spans="2:31" ht="12">
      <c r="B153" s="4968"/>
      <c r="C153" s="4968"/>
      <c r="D153" t="str">
        <f>I146</f>
        <v>Midday Pk</v>
      </c>
      <c r="E153" s="621">
        <v>1E-3</v>
      </c>
      <c r="F153" s="621">
        <v>1.0999999999999999E-2</v>
      </c>
      <c r="G153" s="1230">
        <v>0.32500000000000001</v>
      </c>
      <c r="H153" s="621">
        <v>8.1000000000000003E-2</v>
      </c>
      <c r="I153" s="597">
        <v>1.7430000000000001</v>
      </c>
      <c r="J153" s="621">
        <v>1.0780000000000001</v>
      </c>
      <c r="K153" s="621">
        <v>0.19500000000000001</v>
      </c>
      <c r="L153" s="1240">
        <f t="shared" si="78"/>
        <v>3.4339999999999997</v>
      </c>
      <c r="N153" s="1179">
        <f>'Motor Vs'!K122</f>
        <v>132453.98342495839</v>
      </c>
      <c r="O153" s="136">
        <f>ROW()</f>
        <v>153</v>
      </c>
      <c r="Y153" s="22">
        <v>-6.5000000000000002E-2</v>
      </c>
      <c r="Z153" s="117">
        <v>2.6604000959660685</v>
      </c>
      <c r="AA153" s="39">
        <f t="shared" si="79"/>
        <v>-0.18326208155681434</v>
      </c>
      <c r="AC153" s="22">
        <v>-0.17499999999999999</v>
      </c>
      <c r="AD153" s="117">
        <v>1.8601249525391335</v>
      </c>
      <c r="AE153" s="39">
        <f t="shared" si="77"/>
        <v>-0.42894507330508747</v>
      </c>
    </row>
    <row r="154" spans="2:31" ht="12">
      <c r="B154" s="4968"/>
      <c r="C154" s="4968"/>
      <c r="D154" t="str">
        <f>J146</f>
        <v>P.M. Peak</v>
      </c>
      <c r="E154" s="621">
        <v>1E-3</v>
      </c>
      <c r="F154" s="621">
        <v>1.0999999999999999E-2</v>
      </c>
      <c r="G154" s="621">
        <v>0.32500000000000001</v>
      </c>
      <c r="H154" s="621">
        <v>8.1000000000000003E-2</v>
      </c>
      <c r="I154" s="582">
        <v>0.254</v>
      </c>
      <c r="J154" s="597">
        <v>4.0069999999999997</v>
      </c>
      <c r="K154" s="621">
        <v>0.19500000000000001</v>
      </c>
      <c r="L154" s="1240">
        <f t="shared" si="78"/>
        <v>4.8739999999999997</v>
      </c>
      <c r="N154" s="1179">
        <f>'Motor Vs'!L122</f>
        <v>215013.46225259535</v>
      </c>
      <c r="O154" s="136">
        <f>ROW()</f>
        <v>154</v>
      </c>
      <c r="Y154" s="22">
        <v>-7.0000000000000007E-2</v>
      </c>
      <c r="Z154" s="117">
        <v>2.6186128069332555</v>
      </c>
      <c r="AA154" s="39">
        <f t="shared" si="79"/>
        <v>-0.19609070215181179</v>
      </c>
      <c r="AC154" s="22">
        <v>-0.18</v>
      </c>
      <c r="AD154" s="117">
        <v>1.8291842690101092</v>
      </c>
      <c r="AE154" s="39">
        <f t="shared" si="77"/>
        <v>-0.43844380603292865</v>
      </c>
    </row>
    <row r="155" spans="2:31" ht="12.6" thickBot="1">
      <c r="B155" s="4968"/>
      <c r="C155" s="4968"/>
      <c r="D155" t="str">
        <f>K146</f>
        <v>P.M. Post-pk</v>
      </c>
      <c r="E155" s="621">
        <v>1E-3</v>
      </c>
      <c r="F155" s="621">
        <v>1.0999999999999999E-2</v>
      </c>
      <c r="G155" s="621">
        <v>0.32500000000000001</v>
      </c>
      <c r="H155" s="621">
        <v>8.1000000000000003E-2</v>
      </c>
      <c r="I155" s="582">
        <v>0.254</v>
      </c>
      <c r="J155" s="621">
        <v>1.0780000000000001</v>
      </c>
      <c r="K155" s="597">
        <v>1.544</v>
      </c>
      <c r="L155" s="1240">
        <f t="shared" si="78"/>
        <v>3.294</v>
      </c>
      <c r="N155" s="1179">
        <f>'Motor Vs'!M122</f>
        <v>74755.871219862805</v>
      </c>
      <c r="O155" s="136">
        <f>ROW()</f>
        <v>155</v>
      </c>
      <c r="Y155" s="22">
        <v>-7.4999999999999997E-2</v>
      </c>
      <c r="Z155" s="117">
        <v>2.5773819314560615</v>
      </c>
      <c r="AA155" s="39">
        <f t="shared" si="79"/>
        <v>-0.20874850481235674</v>
      </c>
      <c r="AC155" s="22">
        <v>-0.185</v>
      </c>
      <c r="AD155" s="117">
        <v>1.7986724695707379</v>
      </c>
      <c r="AE155" s="39">
        <f t="shared" si="77"/>
        <v>-0.44781087213695348</v>
      </c>
    </row>
    <row r="156" spans="2:31" ht="12.6" thickBot="1">
      <c r="D156" s="1237" t="s">
        <v>837</v>
      </c>
      <c r="E156" s="1238">
        <f>SUMPRODUCT(E149:E155,$N149:$N155)/N149</f>
        <v>2.2467321977397561E-2</v>
      </c>
      <c r="F156" s="1238">
        <f>SUMPRODUCT(F149:F155,$N149:$N155)/N150</f>
        <v>0.78358656981858699</v>
      </c>
      <c r="G156" s="1238">
        <f>SUMPRODUCT(G149:G155,$N149:$N155)/N151</f>
        <v>4.1254179645586415</v>
      </c>
      <c r="H156" s="1238">
        <f>SUMPRODUCT(H149:H155,$N149:$N155)/N152</f>
        <v>3.3331824763886795</v>
      </c>
      <c r="I156" s="1238">
        <f>SUMPRODUCT(I149:I155,$N149:$N155)/N153</f>
        <v>2.8043789791137854</v>
      </c>
      <c r="J156" s="1238">
        <f>SUMPRODUCT(J149:J155,$N149:$N155)/N154</f>
        <v>6.3680248401848303</v>
      </c>
      <c r="K156" s="1238">
        <f>SUMPRODUCT(K149:K155,$N149:$N155)/N155</f>
        <v>3.1382519884448969</v>
      </c>
      <c r="L156" s="1241">
        <f>SUMPRODUCT(L149:L155,$N149:$N155)/N156</f>
        <v>3.9432670930539557</v>
      </c>
      <c r="N156" s="1236">
        <f>SUM(N149:N155)</f>
        <v>685933.80116959068</v>
      </c>
      <c r="O156" s="136">
        <f>ROW()</f>
        <v>156</v>
      </c>
      <c r="Y156" s="22">
        <v>-0.08</v>
      </c>
      <c r="Z156" s="117">
        <v>2.5367009905597451</v>
      </c>
      <c r="AA156" s="39">
        <f t="shared" si="79"/>
        <v>-0.22123747857173504</v>
      </c>
      <c r="AC156" s="22">
        <v>-0.19</v>
      </c>
      <c r="AD156" s="117">
        <v>1.7685844462562197</v>
      </c>
      <c r="AE156" s="39">
        <f t="shared" si="77"/>
        <v>-0.45704783975292629</v>
      </c>
    </row>
    <row r="157" spans="2:31">
      <c r="D157" s="1333" t="s">
        <v>2173</v>
      </c>
      <c r="E157" s="1334"/>
      <c r="F157" s="1335"/>
      <c r="G157" s="1334"/>
      <c r="H157" s="1334"/>
      <c r="I157" s="1335"/>
      <c r="O157" s="136">
        <f>ROW()</f>
        <v>157</v>
      </c>
      <c r="Y157" s="22">
        <v>-8.5000000000000006E-2</v>
      </c>
      <c r="Z157" s="117">
        <v>2.4965635751294242</v>
      </c>
      <c r="AA157" s="39">
        <f t="shared" si="79"/>
        <v>-0.23355959101638435</v>
      </c>
      <c r="AC157" s="22">
        <v>-0.19500000000000001</v>
      </c>
      <c r="AD157" s="117">
        <v>1.7314732880986623</v>
      </c>
      <c r="AE157" s="39">
        <f t="shared" si="77"/>
        <v>-0.46844089680121692</v>
      </c>
    </row>
    <row r="158" spans="2:31">
      <c r="B158" s="191"/>
      <c r="C158" s="191"/>
      <c r="D158" s="621"/>
      <c r="E158" s="621"/>
      <c r="F158" s="621"/>
      <c r="G158" s="621"/>
      <c r="H158" s="621"/>
      <c r="I158" s="621"/>
      <c r="J158" s="621"/>
      <c r="K158" s="621"/>
      <c r="L158" s="621"/>
      <c r="O158" s="136">
        <f>ROW()</f>
        <v>158</v>
      </c>
      <c r="Y158" s="22">
        <v>-0.09</v>
      </c>
      <c r="Z158" s="117">
        <v>2.4569633451545938</v>
      </c>
      <c r="AA158" s="39">
        <f t="shared" si="79"/>
        <v>-0.2457167885178263</v>
      </c>
      <c r="AC158" s="22">
        <v>-0.2</v>
      </c>
      <c r="AD158" s="117">
        <v>1.697987705617388</v>
      </c>
      <c r="AE158" s="39">
        <f t="shared" si="77"/>
        <v>-0.47872090880959206</v>
      </c>
    </row>
    <row r="159" spans="2:31">
      <c r="B159" s="191"/>
      <c r="C159" s="191"/>
      <c r="G159" s="621"/>
      <c r="H159" s="621"/>
      <c r="I159" s="621"/>
      <c r="J159" s="621"/>
      <c r="K159" s="621"/>
      <c r="L159" s="621"/>
      <c r="O159" s="136">
        <f>ROW()</f>
        <v>159</v>
      </c>
      <c r="Y159" s="22">
        <v>-9.5000000000000001E-2</v>
      </c>
      <c r="Z159" s="117">
        <v>2.4178940289561313</v>
      </c>
      <c r="AA159" s="39">
        <f t="shared" si="79"/>
        <v>-0.25771099646997409</v>
      </c>
      <c r="AC159" s="22">
        <v>-0.20499999999999999</v>
      </c>
      <c r="AD159" s="117">
        <v>1.6692791459556318</v>
      </c>
      <c r="AE159" s="39">
        <f t="shared" si="77"/>
        <v>-0.4875343836306153</v>
      </c>
    </row>
    <row r="160" spans="2:31" ht="12">
      <c r="B160" s="191"/>
      <c r="C160" s="191"/>
      <c r="E160" s="621"/>
      <c r="F160" s="621"/>
      <c r="G160" s="621"/>
      <c r="H160" s="621"/>
      <c r="I160" s="621"/>
      <c r="J160" s="621"/>
      <c r="K160" s="621"/>
      <c r="L160" s="621"/>
      <c r="O160" s="136">
        <f>ROW()</f>
        <v>160</v>
      </c>
      <c r="Y160" s="838">
        <v>-0.1</v>
      </c>
      <c r="Z160" s="635">
        <v>2.3793494223930653</v>
      </c>
      <c r="AA160" s="47">
        <f t="shared" si="79"/>
        <v>-0.26954411953265323</v>
      </c>
      <c r="AC160" s="22">
        <v>-0.21</v>
      </c>
      <c r="AD160" s="117">
        <v>1.6409732858718962</v>
      </c>
      <c r="AE160" s="39">
        <f t="shared" si="77"/>
        <v>-0.49622423042455754</v>
      </c>
    </row>
    <row r="161" spans="2:31" ht="12">
      <c r="B161" s="6" t="s">
        <v>2566</v>
      </c>
      <c r="G161" s="117"/>
      <c r="O161" s="136">
        <f>ROW()</f>
        <v>161</v>
      </c>
      <c r="Y161" s="22">
        <v>-0.105</v>
      </c>
      <c r="Z161" s="117">
        <v>2.3413233881777136</v>
      </c>
      <c r="AA161" s="39">
        <f t="shared" si="79"/>
        <v>-0.28121804184185306</v>
      </c>
      <c r="AC161" s="22">
        <v>-0.215</v>
      </c>
      <c r="AD161" s="117">
        <v>1.6130652942666306</v>
      </c>
      <c r="AE161" s="39">
        <f t="shared" si="77"/>
        <v>-0.5047919323300627</v>
      </c>
    </row>
    <row r="162" spans="2:31">
      <c r="G162" s="117"/>
      <c r="O162" s="136">
        <f>ROW()</f>
        <v>162</v>
      </c>
      <c r="Y162" s="22">
        <v>-0.11</v>
      </c>
      <c r="Z162" s="117">
        <v>2.3038098550879829</v>
      </c>
      <c r="AA162" s="39">
        <f t="shared" si="79"/>
        <v>-0.29273462725154897</v>
      </c>
      <c r="AC162" s="22">
        <v>-0.22</v>
      </c>
      <c r="AD162" s="117">
        <v>1.5855503917638081</v>
      </c>
      <c r="AE162" s="39">
        <f t="shared" si="77"/>
        <v>-0.51323895660674834</v>
      </c>
    </row>
    <row r="163" spans="2:31" ht="12">
      <c r="E163" s="34" t="str">
        <f t="shared" ref="E163:K163" si="80">G59</f>
        <v>Graveyard</v>
      </c>
      <c r="F163" s="34" t="str">
        <f t="shared" si="80"/>
        <v>A.M. Pre-pk</v>
      </c>
      <c r="G163" s="34" t="str">
        <f t="shared" si="80"/>
        <v>A.M. Peak</v>
      </c>
      <c r="H163" s="34" t="str">
        <f t="shared" si="80"/>
        <v>A.M. Post-pk</v>
      </c>
      <c r="I163" s="34" t="str">
        <f t="shared" si="80"/>
        <v>Midday Pk</v>
      </c>
      <c r="J163" s="34" t="str">
        <f t="shared" si="80"/>
        <v>P.M. Peak</v>
      </c>
      <c r="K163" s="34" t="str">
        <f t="shared" si="80"/>
        <v>P.M. Post-pk</v>
      </c>
      <c r="L163" s="159"/>
      <c r="M163" s="159"/>
      <c r="N163" s="159"/>
      <c r="O163" s="136">
        <f>ROW()</f>
        <v>163</v>
      </c>
      <c r="Y163" s="22">
        <v>-0.115</v>
      </c>
      <c r="Z163" s="117">
        <v>2.2668028172301407</v>
      </c>
      <c r="AA163" s="39">
        <f t="shared" si="79"/>
        <v>-0.3040957195600299</v>
      </c>
      <c r="AC163" s="22">
        <v>-0.22500000000000001</v>
      </c>
      <c r="AD163" s="117">
        <v>1.5584238502315992</v>
      </c>
      <c r="AE163" s="39">
        <f t="shared" si="77"/>
        <v>-0.52156675478235837</v>
      </c>
    </row>
    <row r="164" spans="2:31">
      <c r="B164" s="9" t="s">
        <v>1604</v>
      </c>
      <c r="E164" s="1212">
        <v>1.9562611187889707</v>
      </c>
      <c r="F164" s="1212">
        <v>2.4166108329070268</v>
      </c>
      <c r="G164" s="1212">
        <v>4.4643032198213044</v>
      </c>
      <c r="H164" s="1212">
        <v>3.9252260308637053</v>
      </c>
      <c r="I164" s="1212">
        <v>3.4349999462079723</v>
      </c>
      <c r="J164" s="1212">
        <v>4.8744763956242245</v>
      </c>
      <c r="K164" s="1212">
        <v>3.2943526781856782</v>
      </c>
      <c r="O164" s="136">
        <f>ROW()</f>
        <v>164</v>
      </c>
      <c r="Y164" s="22">
        <v>-0.12</v>
      </c>
      <c r="Z164" s="117">
        <v>2.2302963333630914</v>
      </c>
      <c r="AA164" s="39">
        <f t="shared" si="79"/>
        <v>-0.31530314271734505</v>
      </c>
      <c r="AC164" s="22">
        <v>-0.23</v>
      </c>
      <c r="AD164" s="117">
        <v>1.5316809921539709</v>
      </c>
      <c r="AE164" s="39">
        <f t="shared" si="77"/>
        <v>-0.5297767628456802</v>
      </c>
    </row>
    <row r="165" spans="2:31">
      <c r="B165" s="280" t="s">
        <v>1771</v>
      </c>
      <c r="E165" s="1212">
        <f t="shared" ref="E165:K165" si="81">E164-E166</f>
        <v>1.0514092574813061E-2</v>
      </c>
      <c r="F165" s="1212">
        <f t="shared" si="81"/>
        <v>0.4708526658517076</v>
      </c>
      <c r="G165" s="1212">
        <f t="shared" si="81"/>
        <v>2.5184304622722999</v>
      </c>
      <c r="H165" s="1212">
        <f t="shared" si="81"/>
        <v>1.9793821529376872</v>
      </c>
      <c r="I165" s="1212">
        <f t="shared" si="81"/>
        <v>1.4891770917153193</v>
      </c>
      <c r="J165" s="1212">
        <f t="shared" si="81"/>
        <v>2.92852160462171</v>
      </c>
      <c r="K165" s="1212">
        <f t="shared" si="81"/>
        <v>1.3485263516910346</v>
      </c>
      <c r="O165" s="136">
        <f>ROW()</f>
        <v>165</v>
      </c>
      <c r="Y165" s="22">
        <v>-0.125</v>
      </c>
      <c r="Z165" s="117">
        <v>2.194284526100609</v>
      </c>
      <c r="AA165" s="39">
        <f t="shared" si="79"/>
        <v>-0.32635870107021636</v>
      </c>
      <c r="AC165" s="22">
        <v>-0.23499999999999999</v>
      </c>
      <c r="AD165" s="117">
        <v>1.5053171901329079</v>
      </c>
      <c r="AE165" s="39">
        <f t="shared" si="77"/>
        <v>-0.53787040139936271</v>
      </c>
    </row>
    <row r="166" spans="2:31">
      <c r="B166" s="280" t="s">
        <v>1772</v>
      </c>
      <c r="E166" s="1212">
        <v>1.9457470262141576</v>
      </c>
      <c r="F166" s="1212">
        <v>1.9457581670553192</v>
      </c>
      <c r="G166" s="1212">
        <v>1.9458727575490047</v>
      </c>
      <c r="H166" s="1212">
        <v>1.9458438779260181</v>
      </c>
      <c r="I166" s="1212">
        <v>1.945822854492653</v>
      </c>
      <c r="J166" s="1212">
        <v>1.9459547910025143</v>
      </c>
      <c r="K166" s="1212">
        <v>1.9458263264946436</v>
      </c>
      <c r="O166" s="136">
        <f>ROW()</f>
        <v>166</v>
      </c>
      <c r="Y166" s="22">
        <v>-0.13</v>
      </c>
      <c r="Z166" s="117">
        <v>2.1587615813073948</v>
      </c>
      <c r="AA166" s="39">
        <f t="shared" si="79"/>
        <v>-0.33726417954744758</v>
      </c>
      <c r="AC166" s="22">
        <v>-0.24</v>
      </c>
      <c r="AD166" s="117">
        <v>1.479327866309194</v>
      </c>
      <c r="AE166" s="39">
        <f t="shared" si="77"/>
        <v>-0.54584907583773434</v>
      </c>
    </row>
    <row r="167" spans="2:31" ht="12">
      <c r="E167" s="125"/>
      <c r="F167" s="4969" t="s">
        <v>1605</v>
      </c>
      <c r="G167" s="4970"/>
      <c r="H167" s="4971" t="s">
        <v>1606</v>
      </c>
      <c r="I167" s="4970"/>
      <c r="J167" s="125"/>
      <c r="K167" s="125"/>
      <c r="O167" s="136">
        <f>ROW()</f>
        <v>167</v>
      </c>
      <c r="Y167" s="22">
        <v>-0.13500000000000001</v>
      </c>
      <c r="Z167" s="117">
        <v>2.1237217473192547</v>
      </c>
      <c r="AA167" s="39">
        <f t="shared" si="79"/>
        <v>-0.34802134389932915</v>
      </c>
      <c r="AC167" s="22">
        <v>-0.245</v>
      </c>
      <c r="AD167" s="117">
        <v>1.4537084918331153</v>
      </c>
      <c r="AE167" s="39">
        <f t="shared" si="77"/>
        <v>-0.55371417650929722</v>
      </c>
    </row>
    <row r="168" spans="2:31" ht="12">
      <c r="E168" s="125"/>
      <c r="F168" s="4972">
        <f>SUMPRODUCT(E165:K165, 'Motor Vs'!G122:M122)/'Motor Vs'!N122</f>
        <v>1.997935038925837</v>
      </c>
      <c r="G168" s="4973"/>
      <c r="H168" s="4990">
        <f>SUMPRODUCT(E166:K166, 'Motor Vs'!G122:M122)/'Motor Vs'!N122</f>
        <v>1.9458670626682786</v>
      </c>
      <c r="I168" s="4973"/>
      <c r="J168" s="125"/>
      <c r="K168" s="125"/>
      <c r="O168" s="136">
        <f>ROW()</f>
        <v>168</v>
      </c>
      <c r="Y168" s="22">
        <v>-0.14000000000000001</v>
      </c>
      <c r="Z168" s="117">
        <v>2.0891593343091772</v>
      </c>
      <c r="AA168" s="39">
        <f t="shared" si="79"/>
        <v>-0.35863194089225015</v>
      </c>
      <c r="AC168" s="22">
        <v>-0.25</v>
      </c>
      <c r="AD168" s="117">
        <v>1.4284545863666516</v>
      </c>
      <c r="AE168" s="39">
        <f t="shared" si="77"/>
        <v>-0.56146707886955327</v>
      </c>
    </row>
    <row r="169" spans="2:31" ht="12">
      <c r="B169" s="308"/>
      <c r="G169" s="125"/>
      <c r="H169" s="597"/>
      <c r="I169" s="125"/>
      <c r="J169" s="125"/>
      <c r="K169" s="125"/>
      <c r="L169" s="125"/>
      <c r="O169" s="136">
        <f>ROW()</f>
        <v>169</v>
      </c>
      <c r="Y169" s="22">
        <v>-0.14499999999999999</v>
      </c>
      <c r="Z169" s="117">
        <v>2.0550687135266861</v>
      </c>
      <c r="AA169" s="39">
        <f t="shared" si="79"/>
        <v>-0.3690976985422163</v>
      </c>
    </row>
    <row r="170" spans="2:31" ht="12">
      <c r="B170" s="6" t="s">
        <v>2928</v>
      </c>
      <c r="O170" s="136">
        <f>ROW()</f>
        <v>170</v>
      </c>
    </row>
    <row r="171" spans="2:31">
      <c r="B171" s="4321" t="s">
        <v>1770</v>
      </c>
      <c r="C171" s="3776"/>
      <c r="O171" s="136">
        <f>ROW()</f>
        <v>171</v>
      </c>
    </row>
    <row r="172" spans="2:31" ht="12">
      <c r="B172" s="3741"/>
      <c r="C172" s="3777"/>
      <c r="L172" s="4974" t="s">
        <v>2416</v>
      </c>
      <c r="M172" s="4974"/>
      <c r="O172" s="136">
        <f>ROW()</f>
        <v>172</v>
      </c>
    </row>
    <row r="173" spans="2:31" ht="12" customHeight="1">
      <c r="B173" s="4988" t="s">
        <v>1594</v>
      </c>
      <c r="C173" s="4173" t="s">
        <v>577</v>
      </c>
      <c r="D173" s="4412" t="s">
        <v>1853</v>
      </c>
      <c r="E173" s="4412"/>
      <c r="F173" s="4412"/>
      <c r="G173" s="4412"/>
      <c r="H173" s="4412"/>
      <c r="I173" s="4412"/>
      <c r="J173" s="4412"/>
      <c r="K173" s="4412"/>
      <c r="L173" s="4994" t="s">
        <v>1247</v>
      </c>
      <c r="M173" s="5000" t="s">
        <v>1248</v>
      </c>
      <c r="N173" s="1208"/>
      <c r="O173" s="136">
        <f>ROW()</f>
        <v>173</v>
      </c>
      <c r="P173" s="4997" t="s">
        <v>1595</v>
      </c>
    </row>
    <row r="174" spans="2:31">
      <c r="B174" s="4876"/>
      <c r="C174" s="4986"/>
      <c r="E174" s="34" t="str">
        <f t="shared" ref="E174:K175" si="82">E146</f>
        <v>Graveyard</v>
      </c>
      <c r="F174" s="34" t="str">
        <f t="shared" si="82"/>
        <v>A.M. Pre-pk</v>
      </c>
      <c r="G174" s="34" t="str">
        <f t="shared" si="82"/>
        <v>A.M. Peak</v>
      </c>
      <c r="H174" s="34" t="str">
        <f t="shared" si="82"/>
        <v>A.M. Post-pk</v>
      </c>
      <c r="I174" s="34" t="str">
        <f t="shared" si="82"/>
        <v>Midday Pk</v>
      </c>
      <c r="J174" s="34" t="str">
        <f t="shared" si="82"/>
        <v>P.M. Peak</v>
      </c>
      <c r="K174" s="34" t="str">
        <f t="shared" si="82"/>
        <v>P.M. Post-pk</v>
      </c>
      <c r="L174" s="3833"/>
      <c r="M174" s="5001"/>
      <c r="O174" s="136">
        <f>ROW()</f>
        <v>174</v>
      </c>
      <c r="P174" s="4998"/>
    </row>
    <row r="175" spans="2:31">
      <c r="B175" s="4876"/>
      <c r="C175" s="4986"/>
      <c r="E175" s="34">
        <f t="shared" si="82"/>
        <v>6</v>
      </c>
      <c r="F175" s="34">
        <f t="shared" si="82"/>
        <v>1</v>
      </c>
      <c r="G175" s="34">
        <f t="shared" si="82"/>
        <v>3</v>
      </c>
      <c r="H175" s="34">
        <f t="shared" si="82"/>
        <v>1</v>
      </c>
      <c r="I175" s="34">
        <f t="shared" si="82"/>
        <v>4</v>
      </c>
      <c r="J175" s="34">
        <f t="shared" si="82"/>
        <v>6</v>
      </c>
      <c r="K175" s="34">
        <f t="shared" si="82"/>
        <v>3</v>
      </c>
      <c r="L175" s="3833"/>
      <c r="M175" s="5001"/>
      <c r="N175" t="s">
        <v>2365</v>
      </c>
      <c r="O175" s="136">
        <f>ROW()</f>
        <v>175</v>
      </c>
      <c r="P175" s="4998"/>
    </row>
    <row r="176" spans="2:31">
      <c r="B176" s="4877"/>
      <c r="C176" s="4987"/>
      <c r="D176" s="1227"/>
      <c r="E176" s="4989" t="s">
        <v>2924</v>
      </c>
      <c r="F176" s="4976"/>
      <c r="G176" s="4976"/>
      <c r="H176" s="4976"/>
      <c r="I176" s="4976"/>
      <c r="J176" s="4976"/>
      <c r="K176" s="4977"/>
      <c r="L176" s="3833"/>
      <c r="M176" s="5001"/>
      <c r="N176" s="7" t="s">
        <v>2366</v>
      </c>
      <c r="O176" s="136">
        <f>ROW()</f>
        <v>176</v>
      </c>
      <c r="P176" s="4999"/>
    </row>
    <row r="177" spans="2:21" ht="12" customHeight="1">
      <c r="B177" s="1611">
        <f t="shared" ref="B177:B183" si="83">P177*60/(2*$L$200)</f>
        <v>0.44120796659917083</v>
      </c>
      <c r="C177" s="1744">
        <f ca="1">B177*'Cost-Benefit'!$I$205/60</f>
        <v>0.30480540874176681</v>
      </c>
      <c r="D177" t="str">
        <f>E174</f>
        <v>Graveyard</v>
      </c>
      <c r="E177" s="1755">
        <f t="shared" ref="E177:K181" si="84">E149-E190</f>
        <v>1.2E-2</v>
      </c>
      <c r="F177" s="1235">
        <f t="shared" si="84"/>
        <v>3.9999999999999992E-3</v>
      </c>
      <c r="G177" s="1235">
        <f t="shared" si="84"/>
        <v>0.14200000000000002</v>
      </c>
      <c r="H177" s="1235">
        <f t="shared" si="84"/>
        <v>3.6000000000000004E-2</v>
      </c>
      <c r="I177" s="1235">
        <f t="shared" si="84"/>
        <v>0.10500000000000001</v>
      </c>
      <c r="J177" s="1235">
        <f t="shared" si="84"/>
        <v>0.43100000000000005</v>
      </c>
      <c r="K177" s="1761">
        <f t="shared" si="84"/>
        <v>7.400000000000001E-2</v>
      </c>
      <c r="L177" s="1762">
        <f t="shared" ref="L177:L183" si="85">SUM(E177:K177)</f>
        <v>0.80400000000000005</v>
      </c>
      <c r="M177" s="1611">
        <f t="shared" ref="M177:M183" si="86">L177*60/(2*$L$200)</f>
        <v>16.124145688442429</v>
      </c>
      <c r="N177" s="1179">
        <f t="shared" ref="N177:N183" si="87">N149</f>
        <v>59816.389783210681</v>
      </c>
      <c r="O177" s="136">
        <f>ROW()</f>
        <v>177</v>
      </c>
      <c r="P177" s="34">
        <v>2.1999999999999999E-2</v>
      </c>
      <c r="Q177" s="4297" t="str">
        <f>CONCATENATE("Derivation of Col. P figures to left: To eliminate non-cordon delays, non-cordon baseline hours in Row ",O126, " were temporarily set equal to 'incremented' non-cordon hours in Row ", O129, ". The array in Rows ",O149, "-",O156, " was then recalculated (reflecting cordon delays only) via the 'usual' procedure of consecutively selecting the respective periods via the switch in Row ",O62, ", and inputting the vector in Row ",O134, " into the array. The column sums in Row ",O156, " were then manually inputted into the column at left.")</f>
        <v>Derivation of Col. P figures to left: To eliminate non-cordon delays, non-cordon baseline hours in Row 126 were temporarily set equal to 'incremented' non-cordon hours in Row 129. The array in Rows 149-156 was then recalculated (reflecting cordon delays only) via the 'usual' procedure of consecutively selecting the respective periods via the switch in Row 62, and inputting the vector in Row 134 into the array. The column sums in Row 156 were then manually inputted into the column at left.</v>
      </c>
      <c r="R177" s="4298"/>
      <c r="S177" s="4298"/>
      <c r="T177" s="4298"/>
      <c r="U177" s="4299"/>
    </row>
    <row r="178" spans="2:21" ht="12">
      <c r="B178" s="1611">
        <f t="shared" si="83"/>
        <v>0.44120796659917083</v>
      </c>
      <c r="C178" s="1744">
        <f ca="1">B178*'Cost-Benefit'!$I$205/60</f>
        <v>0.30480540874176681</v>
      </c>
      <c r="D178" t="str">
        <f>F174</f>
        <v>A.M. Pre-pk</v>
      </c>
      <c r="E178" s="1756">
        <f t="shared" si="84"/>
        <v>1E-3</v>
      </c>
      <c r="F178" s="1759">
        <f t="shared" si="84"/>
        <v>0.16299999999999998</v>
      </c>
      <c r="G178" s="1235">
        <f t="shared" si="84"/>
        <v>0.14200000000000002</v>
      </c>
      <c r="H178" s="1235">
        <f t="shared" si="84"/>
        <v>3.6000000000000004E-2</v>
      </c>
      <c r="I178" s="1235">
        <f t="shared" si="84"/>
        <v>0.10500000000000001</v>
      </c>
      <c r="J178" s="1235">
        <f t="shared" si="84"/>
        <v>0.43100000000000005</v>
      </c>
      <c r="K178" s="1761">
        <f t="shared" si="84"/>
        <v>7.400000000000001E-2</v>
      </c>
      <c r="L178" s="1762">
        <f t="shared" si="85"/>
        <v>0.95199999999999996</v>
      </c>
      <c r="M178" s="1611">
        <f t="shared" si="86"/>
        <v>19.092272009200485</v>
      </c>
      <c r="N178" s="1179">
        <f t="shared" si="87"/>
        <v>24061.208416006182</v>
      </c>
      <c r="O178" s="136">
        <f>ROW()</f>
        <v>178</v>
      </c>
      <c r="P178" s="34">
        <v>2.1999999999999999E-2</v>
      </c>
      <c r="Q178" s="4300"/>
      <c r="R178" s="3796"/>
      <c r="S178" s="3796"/>
      <c r="T178" s="3796"/>
      <c r="U178" s="4301"/>
    </row>
    <row r="179" spans="2:21" ht="12">
      <c r="B179" s="1611">
        <f t="shared" si="83"/>
        <v>10.929924627115826</v>
      </c>
      <c r="C179" s="1744">
        <f ca="1">B179*'Cost-Benefit'!$I$205/60</f>
        <v>7.5508612620119528</v>
      </c>
      <c r="D179" t="str">
        <f>G174</f>
        <v>A.M. Peak</v>
      </c>
      <c r="E179" s="1756">
        <f t="shared" si="84"/>
        <v>1E-3</v>
      </c>
      <c r="F179" s="1235">
        <f t="shared" si="84"/>
        <v>3.9999999999999992E-3</v>
      </c>
      <c r="G179" s="1759">
        <f t="shared" si="84"/>
        <v>1.2419999999999998</v>
      </c>
      <c r="H179" s="1235">
        <f t="shared" si="84"/>
        <v>3.6000000000000004E-2</v>
      </c>
      <c r="I179" s="1235">
        <f t="shared" si="84"/>
        <v>0.10500000000000001</v>
      </c>
      <c r="J179" s="1235">
        <f t="shared" si="84"/>
        <v>0.43100000000000005</v>
      </c>
      <c r="K179" s="1761">
        <f t="shared" si="84"/>
        <v>7.400000000000001E-2</v>
      </c>
      <c r="L179" s="1762">
        <f t="shared" si="85"/>
        <v>1.8929999999999998</v>
      </c>
      <c r="M179" s="1611">
        <f t="shared" si="86"/>
        <v>37.96394003510138</v>
      </c>
      <c r="N179" s="1179">
        <f t="shared" si="87"/>
        <v>138773.65063043591</v>
      </c>
      <c r="O179" s="136">
        <f>ROW()</f>
        <v>179</v>
      </c>
      <c r="P179" s="34">
        <v>0.54500000000000004</v>
      </c>
      <c r="Q179" s="4300"/>
      <c r="R179" s="3796"/>
      <c r="S179" s="3796"/>
      <c r="T179" s="3796"/>
      <c r="U179" s="4301"/>
    </row>
    <row r="180" spans="2:21" ht="12">
      <c r="B180" s="1611">
        <f t="shared" si="83"/>
        <v>9.9672890636267244</v>
      </c>
      <c r="C180" s="1744">
        <f ca="1">B180*'Cost-Benefit'!$I$205/60</f>
        <v>6.8858312793026419</v>
      </c>
      <c r="D180" t="str">
        <f>H174</f>
        <v>A.M. Post-pk</v>
      </c>
      <c r="E180" s="1756">
        <f t="shared" si="84"/>
        <v>1E-3</v>
      </c>
      <c r="F180" s="1235">
        <f t="shared" si="84"/>
        <v>3.9999999999999992E-3</v>
      </c>
      <c r="G180" s="1235">
        <f t="shared" si="84"/>
        <v>0.14200000000000002</v>
      </c>
      <c r="H180" s="1759">
        <f t="shared" si="84"/>
        <v>0.91999999999999993</v>
      </c>
      <c r="I180" s="1235">
        <f t="shared" si="84"/>
        <v>0.10500000000000001</v>
      </c>
      <c r="J180" s="1235">
        <f t="shared" si="84"/>
        <v>0.43100000000000005</v>
      </c>
      <c r="K180" s="1761">
        <f t="shared" si="84"/>
        <v>7.400000000000001E-2</v>
      </c>
      <c r="L180" s="1762">
        <f t="shared" si="85"/>
        <v>1.677</v>
      </c>
      <c r="M180" s="1611">
        <f t="shared" si="86"/>
        <v>33.632079999400439</v>
      </c>
      <c r="N180" s="1179">
        <f t="shared" si="87"/>
        <v>41059.235442521305</v>
      </c>
      <c r="O180" s="136">
        <f>ROW()</f>
        <v>180</v>
      </c>
      <c r="P180" s="34">
        <v>0.497</v>
      </c>
      <c r="Q180" s="4300"/>
      <c r="R180" s="3796"/>
      <c r="S180" s="3796"/>
      <c r="T180" s="3796"/>
      <c r="U180" s="4301"/>
    </row>
    <row r="181" spans="2:21" ht="12">
      <c r="B181" s="1611">
        <f t="shared" si="83"/>
        <v>7.3601510791770783</v>
      </c>
      <c r="C181" s="1744">
        <f ca="1">B181*'Cost-Benefit'!$I$205/60</f>
        <v>5.0847084094649295</v>
      </c>
      <c r="D181" t="str">
        <f>I174</f>
        <v>Midday Pk</v>
      </c>
      <c r="E181" s="1756">
        <f t="shared" si="84"/>
        <v>1E-3</v>
      </c>
      <c r="F181" s="1235">
        <f t="shared" si="84"/>
        <v>3.9999999999999992E-3</v>
      </c>
      <c r="G181" s="1235">
        <f t="shared" si="84"/>
        <v>0.14200000000000002</v>
      </c>
      <c r="H181" s="1235">
        <f t="shared" si="84"/>
        <v>3.6000000000000004E-2</v>
      </c>
      <c r="I181" s="1759">
        <f t="shared" si="84"/>
        <v>0.7200000000000002</v>
      </c>
      <c r="J181" s="1235">
        <f t="shared" si="84"/>
        <v>0.43100000000000005</v>
      </c>
      <c r="K181" s="1761">
        <f t="shared" si="84"/>
        <v>7.400000000000001E-2</v>
      </c>
      <c r="L181" s="1762">
        <f t="shared" si="85"/>
        <v>1.4080000000000004</v>
      </c>
      <c r="M181" s="1611">
        <f t="shared" si="86"/>
        <v>28.237309862346944</v>
      </c>
      <c r="N181" s="1179">
        <f t="shared" si="87"/>
        <v>132453.98342495839</v>
      </c>
      <c r="O181" s="136">
        <f>ROW()</f>
        <v>181</v>
      </c>
      <c r="P181" s="34">
        <v>0.36699999999999999</v>
      </c>
      <c r="Q181" s="4300"/>
      <c r="R181" s="3796"/>
      <c r="S181" s="3796"/>
      <c r="T181" s="3796"/>
      <c r="U181" s="4301"/>
    </row>
    <row r="182" spans="2:21" ht="12">
      <c r="B182" s="1611">
        <f t="shared" si="83"/>
        <v>17.527989218530699</v>
      </c>
      <c r="C182" s="1744">
        <f ca="1">B182*'Cost-Benefit'!$I$205/60</f>
        <v>12.109087601832012</v>
      </c>
      <c r="D182" t="str">
        <f>J174</f>
        <v>P.M. Peak</v>
      </c>
      <c r="E182" s="1756">
        <f t="shared" ref="E182:K182" si="88">E154-E195</f>
        <v>1E-3</v>
      </c>
      <c r="F182" s="1235">
        <f t="shared" si="88"/>
        <v>3.9999999999999992E-3</v>
      </c>
      <c r="G182" s="1235">
        <f t="shared" si="88"/>
        <v>0.14200000000000002</v>
      </c>
      <c r="H182" s="1235">
        <f t="shared" si="88"/>
        <v>3.6000000000000004E-2</v>
      </c>
      <c r="I182" s="1235">
        <f t="shared" si="88"/>
        <v>0.10500000000000001</v>
      </c>
      <c r="J182" s="1759">
        <f t="shared" si="88"/>
        <v>1.6029999999999998</v>
      </c>
      <c r="K182" s="1761">
        <f t="shared" si="88"/>
        <v>7.400000000000001E-2</v>
      </c>
      <c r="L182" s="1762">
        <f t="shared" si="85"/>
        <v>1.9649999999999999</v>
      </c>
      <c r="M182" s="1611">
        <f t="shared" si="86"/>
        <v>39.407893380335032</v>
      </c>
      <c r="N182" s="1179">
        <f t="shared" si="87"/>
        <v>215013.46225259535</v>
      </c>
      <c r="O182" s="136">
        <f>ROW()</f>
        <v>182</v>
      </c>
      <c r="P182" s="849">
        <v>0.874</v>
      </c>
      <c r="Q182" s="4302"/>
      <c r="R182" s="4303"/>
      <c r="S182" s="4303"/>
      <c r="T182" s="4303"/>
      <c r="U182" s="4304"/>
    </row>
    <row r="183" spans="2:21" ht="12.6" thickBot="1">
      <c r="B183" s="1611">
        <f t="shared" si="83"/>
        <v>9.3656418364460379</v>
      </c>
      <c r="C183" s="1744">
        <f ca="1">B183*'Cost-Benefit'!$I$205/60</f>
        <v>6.4701875401093245</v>
      </c>
      <c r="D183" t="str">
        <f>K174</f>
        <v>P.M. Post-pk</v>
      </c>
      <c r="E183" s="1756">
        <f t="shared" ref="E183:K183" si="89">E155-E196</f>
        <v>1E-3</v>
      </c>
      <c r="F183" s="1235">
        <f t="shared" si="89"/>
        <v>3.9999999999999992E-3</v>
      </c>
      <c r="G183" s="1235">
        <f t="shared" si="89"/>
        <v>0.14200000000000002</v>
      </c>
      <c r="H183" s="1235">
        <f t="shared" si="89"/>
        <v>3.6000000000000004E-2</v>
      </c>
      <c r="I183" s="1235">
        <f t="shared" si="89"/>
        <v>0.10500000000000001</v>
      </c>
      <c r="J183" s="1235">
        <f t="shared" si="89"/>
        <v>0.43100000000000005</v>
      </c>
      <c r="K183" s="1027">
        <f t="shared" si="89"/>
        <v>0.58500000000000008</v>
      </c>
      <c r="L183" s="1762">
        <f t="shared" si="85"/>
        <v>1.3040000000000003</v>
      </c>
      <c r="M183" s="1611">
        <f t="shared" si="86"/>
        <v>26.151599474787226</v>
      </c>
      <c r="N183" s="1179">
        <f t="shared" si="87"/>
        <v>74755.871219862805</v>
      </c>
      <c r="O183" s="136">
        <f>ROW()</f>
        <v>183</v>
      </c>
      <c r="P183" s="34">
        <v>0.46700000000000003</v>
      </c>
    </row>
    <row r="184" spans="2:21" ht="12.6" thickBot="1">
      <c r="B184" s="1610">
        <f>SUMPRODUCT(B177:B183,$N177:$N183)/$N184</f>
        <v>10.798146926406675</v>
      </c>
      <c r="C184" s="1745">
        <f ca="1">SUMPRODUCT(C177:C183,$N177:$N183)/$N184</f>
        <v>7.4598235678440394</v>
      </c>
      <c r="D184" s="1237" t="s">
        <v>837</v>
      </c>
      <c r="E184" s="1533">
        <f>SUMPRODUCT(E177:E183,$N177:$N183)/N177</f>
        <v>2.2467321977397561E-2</v>
      </c>
      <c r="F184" s="1534">
        <f>SUMPRODUCT(F177:F183,$N177:$N183)/N178</f>
        <v>0.2730314799340316</v>
      </c>
      <c r="G184" s="1534">
        <f>SUMPRODUCT(G177:G183,$N177:$N183)/N179</f>
        <v>1.801881079899468</v>
      </c>
      <c r="H184" s="1534">
        <f>SUMPRODUCT(H177:H183,$N177:$N183)/N180</f>
        <v>1.4854144339505244</v>
      </c>
      <c r="I184" s="1534">
        <f>SUMPRODUCT(I177:I183,$N177:$N183)/N181</f>
        <v>1.1587590267990062</v>
      </c>
      <c r="J184" s="1534">
        <f>SUMPRODUCT(J177:J183,$N177:$N183)/N182</f>
        <v>2.5469718980701872</v>
      </c>
      <c r="K184" s="1535">
        <f>SUMPRODUCT(K177:K183,$N177:$N183)/N183</f>
        <v>1.1899981904867816</v>
      </c>
      <c r="L184" s="1763">
        <f>SUMPRODUCT(L177:L183,$N177:$N183)/N184</f>
        <v>1.6168204897420666</v>
      </c>
      <c r="M184" s="1765">
        <f>SUMPRODUCT(M177:M183,$N177:$N183)/N184</f>
        <v>32.425185483407859</v>
      </c>
      <c r="N184" s="1236">
        <f>SUM(N177:N183)</f>
        <v>685933.80116959068</v>
      </c>
      <c r="O184" s="136">
        <f>ROW()</f>
        <v>184</v>
      </c>
    </row>
    <row r="185" spans="2:21" ht="12" thickBot="1">
      <c r="D185" s="1333" t="s">
        <v>2173</v>
      </c>
      <c r="E185" s="1334"/>
      <c r="F185" s="1335"/>
      <c r="G185" s="1334"/>
      <c r="H185" s="1334"/>
      <c r="I185" s="1335"/>
      <c r="O185" s="136">
        <f>ROW()</f>
        <v>185</v>
      </c>
    </row>
    <row r="186" spans="2:21">
      <c r="B186" s="4991" t="s">
        <v>1249</v>
      </c>
      <c r="C186" s="4992"/>
      <c r="D186" s="4992"/>
      <c r="E186" s="4993"/>
      <c r="F186" s="1029"/>
      <c r="G186" s="1746"/>
      <c r="H186" s="1746"/>
      <c r="I186" s="1029"/>
      <c r="O186" s="136">
        <f>ROW()</f>
        <v>186</v>
      </c>
      <c r="P186" s="4997" t="s">
        <v>1040</v>
      </c>
    </row>
    <row r="187" spans="2:21">
      <c r="B187" s="1747" t="s">
        <v>1135</v>
      </c>
      <c r="C187" s="1748"/>
      <c r="D187" s="1749"/>
      <c r="E187" s="1750">
        <f>'Delay Costs'!E83</f>
        <v>2.2567055269843665</v>
      </c>
      <c r="G187" s="1746"/>
      <c r="H187" s="1746"/>
      <c r="I187" s="1029"/>
      <c r="O187" s="136">
        <f>ROW()</f>
        <v>187</v>
      </c>
      <c r="P187" s="4998"/>
    </row>
    <row r="188" spans="2:21">
      <c r="B188" s="1751" t="s">
        <v>1136</v>
      </c>
      <c r="C188" s="1752"/>
      <c r="D188" s="1752"/>
      <c r="E188" s="1753">
        <f>'Delay Costs'!E82</f>
        <v>0.90268221079374666</v>
      </c>
      <c r="O188" s="136">
        <f>ROW()</f>
        <v>188</v>
      </c>
      <c r="P188" s="4998"/>
    </row>
    <row r="189" spans="2:21" ht="12">
      <c r="E189" s="4975" t="s">
        <v>2925</v>
      </c>
      <c r="F189" s="4976"/>
      <c r="G189" s="4976"/>
      <c r="H189" s="4976"/>
      <c r="I189" s="4976"/>
      <c r="J189" s="4976"/>
      <c r="K189" s="4977"/>
      <c r="L189" s="4974" t="s">
        <v>1962</v>
      </c>
      <c r="M189" s="4974"/>
      <c r="O189" s="136">
        <f>ROW()</f>
        <v>189</v>
      </c>
      <c r="P189" s="4999"/>
    </row>
    <row r="190" spans="2:21" ht="12" customHeight="1">
      <c r="B190" s="1611">
        <f t="shared" ref="B190:B196" si="90">P190*60/(2*$L$201)</f>
        <v>0</v>
      </c>
      <c r="C190" s="1744">
        <f>B190*'Cost-Benefit'!$I$219/60</f>
        <v>0</v>
      </c>
      <c r="D190" t="str">
        <f t="shared" ref="D190:D196" si="91">D177</f>
        <v>Graveyard</v>
      </c>
      <c r="E190" s="1755">
        <v>0</v>
      </c>
      <c r="F190" s="604">
        <v>7.0000000000000001E-3</v>
      </c>
      <c r="G190" s="604">
        <v>0.183</v>
      </c>
      <c r="H190" s="604">
        <v>4.4999999999999998E-2</v>
      </c>
      <c r="I190" s="1235">
        <v>0.14899999999999999</v>
      </c>
      <c r="J190" s="604">
        <v>0.64700000000000002</v>
      </c>
      <c r="K190" s="1757">
        <v>0.121</v>
      </c>
      <c r="L190" s="1762">
        <f t="shared" ref="L190:L196" si="92">SUM(E190:K190)</f>
        <v>1.1520000000000001</v>
      </c>
      <c r="M190" s="1611">
        <f t="shared" ref="M190:M196" si="93">L190*60/(2*$L$201)</f>
        <v>2.0096482603712222</v>
      </c>
      <c r="N190" s="1179">
        <f t="shared" ref="N190:N196" si="94">N177</f>
        <v>59816.389783210681</v>
      </c>
      <c r="O190" s="136">
        <f>ROW()</f>
        <v>190</v>
      </c>
      <c r="P190" s="849">
        <v>0</v>
      </c>
      <c r="Q190" s="4297" t="str">
        <f>CONCATENATE("The figures in column of figures to left were calculated through the same procedure as described above (for Rows ",O177, "-",O182, ") except that cordon hours rather than non-cordon hours zeroed out by equating Row ",O119, " to Row ",O122, ".")</f>
        <v>The figures in column of figures to left were calculated through the same procedure as described above (for Rows 177-182) except that cordon hours rather than non-cordon hours zeroed out by equating Row 119 to Row 122.</v>
      </c>
      <c r="R190" s="4298"/>
      <c r="S190" s="4298"/>
      <c r="T190" s="4298"/>
      <c r="U190" s="4299"/>
    </row>
    <row r="191" spans="2:21" ht="12">
      <c r="B191" s="1611">
        <f t="shared" si="90"/>
        <v>1.2821974577889308</v>
      </c>
      <c r="C191" s="1744">
        <f>B191*'Cost-Benefit'!$I$219/60</f>
        <v>0.63501950940356311</v>
      </c>
      <c r="D191" t="str">
        <f t="shared" si="91"/>
        <v>A.M. Pre-pk</v>
      </c>
      <c r="E191" s="1758">
        <v>0</v>
      </c>
      <c r="F191" s="1759">
        <v>0.318</v>
      </c>
      <c r="G191" s="604">
        <v>0.183</v>
      </c>
      <c r="H191" s="604">
        <v>4.4999999999999998E-2</v>
      </c>
      <c r="I191" s="1235">
        <v>0.14899999999999999</v>
      </c>
      <c r="J191" s="604">
        <v>0.64700000000000002</v>
      </c>
      <c r="K191" s="1757">
        <v>0.121</v>
      </c>
      <c r="L191" s="1762">
        <f t="shared" si="92"/>
        <v>1.4630000000000001</v>
      </c>
      <c r="M191" s="1611">
        <f t="shared" si="93"/>
        <v>2.5521835112179669</v>
      </c>
      <c r="N191" s="1179">
        <f t="shared" si="94"/>
        <v>24061.208416006182</v>
      </c>
      <c r="O191" s="136">
        <f>ROW()</f>
        <v>191</v>
      </c>
      <c r="P191" s="849">
        <v>0.73499999999999999</v>
      </c>
      <c r="Q191" s="4300"/>
      <c r="R191" s="3796"/>
      <c r="S191" s="3796"/>
      <c r="T191" s="3796"/>
      <c r="U191" s="4301"/>
    </row>
    <row r="192" spans="2:21" ht="12">
      <c r="B192" s="1611">
        <f t="shared" si="90"/>
        <v>6.2452610869175142</v>
      </c>
      <c r="C192" s="1744">
        <f>B192*'Cost-Benefit'!$I$219/60</f>
        <v>3.0930201954622536</v>
      </c>
      <c r="D192" t="str">
        <f t="shared" si="91"/>
        <v>A.M. Peak</v>
      </c>
      <c r="E192" s="1758">
        <v>0</v>
      </c>
      <c r="F192" s="604">
        <v>7.0000000000000001E-3</v>
      </c>
      <c r="G192" s="1760">
        <v>1.6020000000000001</v>
      </c>
      <c r="H192" s="604">
        <v>4.4999999999999998E-2</v>
      </c>
      <c r="I192" s="1235">
        <v>0.14899999999999999</v>
      </c>
      <c r="J192" s="604">
        <v>0.64700000000000002</v>
      </c>
      <c r="K192" s="1757">
        <v>0.121</v>
      </c>
      <c r="L192" s="1762">
        <f t="shared" si="92"/>
        <v>2.5710000000000002</v>
      </c>
      <c r="M192" s="1611">
        <f t="shared" si="93"/>
        <v>4.4850743727555669</v>
      </c>
      <c r="N192" s="1179">
        <f t="shared" si="94"/>
        <v>138773.65063043591</v>
      </c>
      <c r="O192" s="136">
        <f>ROW()</f>
        <v>192</v>
      </c>
      <c r="P192" s="849">
        <v>3.58</v>
      </c>
      <c r="Q192" s="4300"/>
      <c r="R192" s="3796"/>
      <c r="S192" s="3796"/>
      <c r="T192" s="3796"/>
      <c r="U192" s="4301"/>
    </row>
    <row r="193" spans="2:21" ht="12">
      <c r="B193" s="1611">
        <f t="shared" si="90"/>
        <v>4.9473632520944326</v>
      </c>
      <c r="C193" s="1744">
        <f>B193*'Cost-Benefit'!$I$219/60</f>
        <v>2.450224936963953</v>
      </c>
      <c r="D193" t="str">
        <f t="shared" si="91"/>
        <v>A.M. Post-pk</v>
      </c>
      <c r="E193" s="1758">
        <v>0</v>
      </c>
      <c r="F193" s="604">
        <v>7.0000000000000001E-3</v>
      </c>
      <c r="G193" s="604">
        <v>0.183</v>
      </c>
      <c r="H193" s="1759">
        <v>1.141</v>
      </c>
      <c r="I193" s="1235">
        <v>0.14899999999999999</v>
      </c>
      <c r="J193" s="604">
        <v>0.64700000000000002</v>
      </c>
      <c r="K193" s="1757">
        <v>0.121</v>
      </c>
      <c r="L193" s="1762">
        <f t="shared" si="92"/>
        <v>2.2479999999999998</v>
      </c>
      <c r="M193" s="1611">
        <f t="shared" si="93"/>
        <v>3.9216052858632877</v>
      </c>
      <c r="N193" s="1179">
        <f t="shared" si="94"/>
        <v>41059.235442521305</v>
      </c>
      <c r="O193" s="136">
        <f>ROW()</f>
        <v>193</v>
      </c>
      <c r="P193" s="849">
        <v>2.8359999999999999</v>
      </c>
      <c r="Q193" s="4300"/>
      <c r="R193" s="3796"/>
      <c r="S193" s="3796"/>
      <c r="T193" s="3796"/>
      <c r="U193" s="4301"/>
    </row>
    <row r="194" spans="2:21" ht="12">
      <c r="B194" s="1611">
        <f t="shared" si="90"/>
        <v>4.2530576899175694</v>
      </c>
      <c r="C194" s="1744">
        <f>B194*'Cost-Benefit'!$I$219/60</f>
        <v>2.1063640325522273</v>
      </c>
      <c r="D194" t="str">
        <f t="shared" si="91"/>
        <v>Midday Pk</v>
      </c>
      <c r="E194" s="1758">
        <v>0</v>
      </c>
      <c r="F194" s="604">
        <v>7.0000000000000001E-3</v>
      </c>
      <c r="G194" s="604">
        <v>0.183</v>
      </c>
      <c r="H194" s="604">
        <v>4.4999999999999998E-2</v>
      </c>
      <c r="I194" s="1759">
        <v>1.0229999999999999</v>
      </c>
      <c r="J194" s="604">
        <v>0.64700000000000002</v>
      </c>
      <c r="K194" s="1757">
        <v>0.121</v>
      </c>
      <c r="L194" s="1762">
        <f t="shared" si="92"/>
        <v>2.0259999999999998</v>
      </c>
      <c r="M194" s="1611">
        <f t="shared" si="93"/>
        <v>3.5343293190209164</v>
      </c>
      <c r="N194" s="1179">
        <f t="shared" si="94"/>
        <v>132453.98342495839</v>
      </c>
      <c r="O194" s="136">
        <f>ROW()</f>
        <v>194</v>
      </c>
      <c r="P194" s="849">
        <v>2.4380000000000002</v>
      </c>
      <c r="Q194" s="4300"/>
      <c r="R194" s="3796"/>
      <c r="S194" s="3796"/>
      <c r="T194" s="3796"/>
      <c r="U194" s="4301"/>
    </row>
    <row r="195" spans="2:21" ht="12">
      <c r="B195" s="1611">
        <f t="shared" si="90"/>
        <v>9.5824634498429901</v>
      </c>
      <c r="C195" s="1744">
        <f>B195*'Cost-Benefit'!$I$219/60</f>
        <v>4.7457988641547928</v>
      </c>
      <c r="D195" t="str">
        <f t="shared" si="91"/>
        <v>P.M. Peak</v>
      </c>
      <c r="E195" s="1758">
        <v>0</v>
      </c>
      <c r="F195" s="604">
        <v>7.0000000000000001E-3</v>
      </c>
      <c r="G195" s="604">
        <v>0.183</v>
      </c>
      <c r="H195" s="604">
        <v>4.4999999999999998E-2</v>
      </c>
      <c r="I195" s="1235">
        <v>0.14899999999999999</v>
      </c>
      <c r="J195" s="1759">
        <v>2.4039999999999999</v>
      </c>
      <c r="K195" s="1757">
        <v>0.121</v>
      </c>
      <c r="L195" s="1762">
        <f t="shared" si="92"/>
        <v>2.9089999999999998</v>
      </c>
      <c r="M195" s="1611">
        <f t="shared" si="93"/>
        <v>5.0747107547047614</v>
      </c>
      <c r="N195" s="1179">
        <f t="shared" si="94"/>
        <v>215013.46225259535</v>
      </c>
      <c r="O195" s="136">
        <f>ROW()</f>
        <v>195</v>
      </c>
      <c r="P195" s="849">
        <v>5.4930000000000003</v>
      </c>
      <c r="Q195" s="4302"/>
      <c r="R195" s="4303"/>
      <c r="S195" s="4303"/>
      <c r="T195" s="4303"/>
      <c r="U195" s="4304"/>
    </row>
    <row r="196" spans="2:21" ht="12.6" thickBot="1">
      <c r="B196" s="1611">
        <f t="shared" si="90"/>
        <v>4.6577785201312176</v>
      </c>
      <c r="C196" s="1744">
        <f>B196*'Cost-Benefit'!$I$219/60</f>
        <v>2.3068055647721271</v>
      </c>
      <c r="D196" t="str">
        <f t="shared" si="91"/>
        <v>P.M. Post-pk</v>
      </c>
      <c r="E196" s="1758">
        <v>0</v>
      </c>
      <c r="F196" s="604">
        <v>7.0000000000000001E-3</v>
      </c>
      <c r="G196" s="604">
        <v>0.183</v>
      </c>
      <c r="H196" s="604">
        <v>4.4999999999999998E-2</v>
      </c>
      <c r="I196" s="1235">
        <v>0.14899999999999999</v>
      </c>
      <c r="J196" s="604">
        <v>0.64700000000000002</v>
      </c>
      <c r="K196" s="1027">
        <v>0.95899999999999996</v>
      </c>
      <c r="L196" s="1762">
        <f t="shared" si="92"/>
        <v>1.9900000000000002</v>
      </c>
      <c r="M196" s="1611">
        <f t="shared" si="93"/>
        <v>3.4715278108843162</v>
      </c>
      <c r="N196" s="1179">
        <f t="shared" si="94"/>
        <v>74755.871219862805</v>
      </c>
      <c r="O196" s="136">
        <f>ROW()</f>
        <v>196</v>
      </c>
      <c r="P196" s="849">
        <v>2.67</v>
      </c>
    </row>
    <row r="197" spans="2:21" ht="12.6" thickBot="1">
      <c r="B197" s="1610">
        <f>SUMPRODUCT(B190:B196,$N190:$N196)/N197</f>
        <v>5.9372394439876848</v>
      </c>
      <c r="C197" s="1745">
        <f>SUMPRODUCT(C190:C196,$N190:$N196)/$N197</f>
        <v>2.9404697818026606</v>
      </c>
      <c r="D197" s="1237" t="s">
        <v>837</v>
      </c>
      <c r="E197" s="1533">
        <f>SUMPRODUCT(E190:E196,$N190:$N196)/N190</f>
        <v>0</v>
      </c>
      <c r="F197" s="1534">
        <f>SUMPRODUCT(F190:F196,$N190:$N196)/N191</f>
        <v>0.51055508988455534</v>
      </c>
      <c r="G197" s="1534">
        <f>SUMPRODUCT(G190:G196,$N190:$N196)/N192</f>
        <v>2.3235368846591737</v>
      </c>
      <c r="H197" s="1534">
        <f>SUMPRODUCT(H190:H196,$N190:$N196)/N193</f>
        <v>1.8477680424381555</v>
      </c>
      <c r="I197" s="1534">
        <f>SUMPRODUCT(I190:I196,$N190:$N196)/N194</f>
        <v>1.6456199523147794</v>
      </c>
      <c r="J197" s="1534">
        <f>SUMPRODUCT(J190:J196,$N190:$N196)/N195</f>
        <v>3.8210529421146426</v>
      </c>
      <c r="K197" s="1535">
        <f>SUMPRODUCT(K190:K196,$N190:$N196)/N196</f>
        <v>1.9482537979581156</v>
      </c>
      <c r="L197" s="1763">
        <f>SUMPRODUCT(L190:L196,$N190:$N196)/N197</f>
        <v>2.3264466033118891</v>
      </c>
      <c r="M197" s="1765">
        <f>SUMPRODUCT(M190:M196,$N190:$N196)/N197</f>
        <v>4.0584543135349627</v>
      </c>
      <c r="N197" s="1236">
        <f>SUM(N190:N196)</f>
        <v>685933.80116959068</v>
      </c>
      <c r="O197" s="136">
        <f>ROW()</f>
        <v>197</v>
      </c>
    </row>
    <row r="198" spans="2:21">
      <c r="D198" s="1333" t="s">
        <v>2173</v>
      </c>
      <c r="E198" s="1334"/>
      <c r="F198" s="1335"/>
      <c r="G198" s="1334"/>
      <c r="H198" s="1334"/>
      <c r="I198" s="1335"/>
      <c r="O198" s="136">
        <f>ROW()</f>
        <v>198</v>
      </c>
    </row>
    <row r="199" spans="2:21">
      <c r="O199" s="136">
        <f>ROW()</f>
        <v>199</v>
      </c>
    </row>
    <row r="200" spans="2:21">
      <c r="B200" s="4978" t="s">
        <v>1961</v>
      </c>
      <c r="C200" s="4979"/>
      <c r="D200" s="4979"/>
      <c r="E200" s="4979"/>
      <c r="F200" s="4979"/>
      <c r="G200" s="4980"/>
      <c r="K200" s="118" t="s">
        <v>2926</v>
      </c>
      <c r="L200" s="91">
        <f>SUMPRODUCT(H35:M35,H39:M39)/N184</f>
        <v>1.4958932067507238</v>
      </c>
      <c r="O200" s="136">
        <f>ROW()</f>
        <v>200</v>
      </c>
    </row>
    <row r="201" spans="2:21">
      <c r="B201" s="4981"/>
      <c r="C201" s="4956"/>
      <c r="D201" s="4956"/>
      <c r="E201" s="4956"/>
      <c r="F201" s="4956"/>
      <c r="G201" s="4982"/>
      <c r="K201" s="118" t="s">
        <v>2927</v>
      </c>
      <c r="L201" s="91">
        <f>SUMPRODUCT(H35:M35,H40:M40)/N184</f>
        <v>17.197039243880457</v>
      </c>
      <c r="O201" s="136">
        <f>ROW()</f>
        <v>201</v>
      </c>
    </row>
    <row r="202" spans="2:21" ht="11.7" customHeight="1">
      <c r="B202" s="4983"/>
      <c r="C202" s="4984"/>
      <c r="D202" s="4984"/>
      <c r="E202" s="4984"/>
      <c r="F202" s="4984"/>
      <c r="G202" s="4985"/>
      <c r="O202" s="136">
        <f>ROW()</f>
        <v>202</v>
      </c>
    </row>
    <row r="203" spans="2:21">
      <c r="O203" s="136">
        <f>ROW()</f>
        <v>203</v>
      </c>
    </row>
    <row r="204" spans="2:21" ht="12">
      <c r="B204" s="6" t="s">
        <v>2086</v>
      </c>
      <c r="O204" s="136">
        <f>ROW()</f>
        <v>204</v>
      </c>
    </row>
    <row r="205" spans="2:21">
      <c r="O205" s="136">
        <f>ROW()</f>
        <v>205</v>
      </c>
    </row>
    <row r="206" spans="2:21" ht="13.2">
      <c r="B206" s="4966" t="s">
        <v>767</v>
      </c>
      <c r="C206" s="4966"/>
      <c r="D206" s="4966"/>
      <c r="E206" s="4966"/>
      <c r="F206" s="4966"/>
      <c r="G206" s="4966"/>
      <c r="H206" s="4966"/>
      <c r="I206" s="4966"/>
      <c r="J206" s="4966"/>
      <c r="K206" s="4966"/>
      <c r="L206" s="4966"/>
      <c r="M206" s="4966"/>
      <c r="O206" s="136">
        <f>ROW()</f>
        <v>206</v>
      </c>
    </row>
    <row r="207" spans="2:21">
      <c r="O207" s="136">
        <f>ROW()</f>
        <v>207</v>
      </c>
    </row>
    <row r="208" spans="2:21">
      <c r="O208" s="136">
        <f>ROW()</f>
        <v>208</v>
      </c>
    </row>
    <row r="209" spans="2:15" ht="12">
      <c r="B209" s="1117"/>
      <c r="C209" s="90"/>
      <c r="D209" s="90"/>
      <c r="E209" s="90"/>
      <c r="F209" s="90"/>
      <c r="O209" s="136">
        <f>ROW()</f>
        <v>209</v>
      </c>
    </row>
    <row r="210" spans="2:15">
      <c r="B210" s="90"/>
      <c r="C210" s="90"/>
      <c r="D210" s="90"/>
      <c r="E210" s="90"/>
      <c r="F210" s="90"/>
      <c r="O210" s="136">
        <f>ROW()</f>
        <v>210</v>
      </c>
    </row>
    <row r="211" spans="2:15">
      <c r="O211" s="136">
        <f>ROW()</f>
        <v>211</v>
      </c>
    </row>
    <row r="212" spans="2:15">
      <c r="O212" s="136">
        <f>ROW()</f>
        <v>212</v>
      </c>
    </row>
    <row r="213" spans="2:15">
      <c r="O213" s="136">
        <f>ROW()</f>
        <v>213</v>
      </c>
    </row>
    <row r="214" spans="2:15">
      <c r="O214" s="136">
        <f>ROW()</f>
        <v>214</v>
      </c>
    </row>
    <row r="215" spans="2:15">
      <c r="F215" s="1116"/>
      <c r="O215" s="136">
        <f>ROW()</f>
        <v>215</v>
      </c>
    </row>
    <row r="216" spans="2:15">
      <c r="F216" s="1116"/>
      <c r="O216" s="136">
        <f>ROW()</f>
        <v>216</v>
      </c>
    </row>
    <row r="217" spans="2:15">
      <c r="F217" s="1116"/>
      <c r="O217" s="136">
        <f>ROW()</f>
        <v>217</v>
      </c>
    </row>
    <row r="218" spans="2:15">
      <c r="F218" s="1116"/>
      <c r="O218" s="136">
        <f>ROW()</f>
        <v>218</v>
      </c>
    </row>
    <row r="219" spans="2:15">
      <c r="F219" s="1116"/>
      <c r="O219" s="136">
        <f>ROW()</f>
        <v>219</v>
      </c>
    </row>
    <row r="220" spans="2:15">
      <c r="F220" s="1116"/>
      <c r="O220" s="136">
        <f>ROW()</f>
        <v>220</v>
      </c>
    </row>
    <row r="221" spans="2:15">
      <c r="O221" s="136">
        <f>ROW()</f>
        <v>221</v>
      </c>
    </row>
    <row r="222" spans="2:15">
      <c r="O222" s="136">
        <f>ROW()</f>
        <v>222</v>
      </c>
    </row>
    <row r="223" spans="2:15">
      <c r="O223" s="136">
        <f>ROW()</f>
        <v>223</v>
      </c>
    </row>
    <row r="224" spans="2:15">
      <c r="O224" s="136">
        <f>ROW()</f>
        <v>224</v>
      </c>
    </row>
    <row r="225" spans="15:15">
      <c r="O225" s="136">
        <f>ROW()</f>
        <v>225</v>
      </c>
    </row>
    <row r="226" spans="15:15">
      <c r="O226" s="136">
        <f>ROW()</f>
        <v>226</v>
      </c>
    </row>
    <row r="227" spans="15:15">
      <c r="O227" s="136">
        <f>ROW()</f>
        <v>227</v>
      </c>
    </row>
    <row r="228" spans="15:15">
      <c r="O228" s="136">
        <f>ROW()</f>
        <v>228</v>
      </c>
    </row>
    <row r="229" spans="15:15">
      <c r="O229" s="136">
        <f>ROW()</f>
        <v>229</v>
      </c>
    </row>
    <row r="230" spans="15:15">
      <c r="O230" s="136">
        <f>ROW()</f>
        <v>230</v>
      </c>
    </row>
    <row r="231" spans="15:15">
      <c r="O231" s="136">
        <f>ROW()</f>
        <v>231</v>
      </c>
    </row>
    <row r="232" spans="15:15">
      <c r="O232" s="136">
        <f>ROW()</f>
        <v>232</v>
      </c>
    </row>
  </sheetData>
  <mergeCells count="69">
    <mergeCell ref="Q190:U195"/>
    <mergeCell ref="AQ41:AX41"/>
    <mergeCell ref="M140:N140"/>
    <mergeCell ref="AH41:AO41"/>
    <mergeCell ref="P186:P189"/>
    <mergeCell ref="Z117:Z119"/>
    <mergeCell ref="Y117:Y119"/>
    <mergeCell ref="M173:M176"/>
    <mergeCell ref="L189:M189"/>
    <mergeCell ref="P173:P176"/>
    <mergeCell ref="M141:N141"/>
    <mergeCell ref="B120:L121"/>
    <mergeCell ref="B146:C150"/>
    <mergeCell ref="D145:K145"/>
    <mergeCell ref="G58:N58"/>
    <mergeCell ref="Q177:U182"/>
    <mergeCell ref="AQ31:AX31"/>
    <mergeCell ref="L147:M148"/>
    <mergeCell ref="AA117:AA119"/>
    <mergeCell ref="Y41:AF41"/>
    <mergeCell ref="B127:L128"/>
    <mergeCell ref="Y31:AF31"/>
    <mergeCell ref="Y33:AF33"/>
    <mergeCell ref="P31:W31"/>
    <mergeCell ref="P33:W33"/>
    <mergeCell ref="P41:W41"/>
    <mergeCell ref="B108:L110"/>
    <mergeCell ref="P63:W63"/>
    <mergeCell ref="AQ33:AX33"/>
    <mergeCell ref="AH31:AO31"/>
    <mergeCell ref="B206:M206"/>
    <mergeCell ref="B151:C155"/>
    <mergeCell ref="F167:G167"/>
    <mergeCell ref="H167:I167"/>
    <mergeCell ref="F168:G168"/>
    <mergeCell ref="L172:M172"/>
    <mergeCell ref="D173:K173"/>
    <mergeCell ref="E189:K189"/>
    <mergeCell ref="B200:G202"/>
    <mergeCell ref="C173:C176"/>
    <mergeCell ref="B171:C172"/>
    <mergeCell ref="B173:B176"/>
    <mergeCell ref="E176:K176"/>
    <mergeCell ref="H168:I168"/>
    <mergeCell ref="B186:E186"/>
    <mergeCell ref="L173:L176"/>
    <mergeCell ref="BI31:BP31"/>
    <mergeCell ref="BI33:BP33"/>
    <mergeCell ref="BI41:BP41"/>
    <mergeCell ref="AZ31:BG31"/>
    <mergeCell ref="AZ33:BG33"/>
    <mergeCell ref="AZ41:BG41"/>
    <mergeCell ref="M135:N135"/>
    <mergeCell ref="BI63:BP63"/>
    <mergeCell ref="AQ63:AX63"/>
    <mergeCell ref="AZ63:BG63"/>
    <mergeCell ref="AH63:AO63"/>
    <mergeCell ref="Y63:AF63"/>
    <mergeCell ref="AH33:AO33"/>
    <mergeCell ref="B4:K8"/>
    <mergeCell ref="B10:L11"/>
    <mergeCell ref="F58:F61"/>
    <mergeCell ref="H28:I28"/>
    <mergeCell ref="B13:L16"/>
    <mergeCell ref="B18:L19"/>
    <mergeCell ref="H31:I31"/>
    <mergeCell ref="B29:K30"/>
    <mergeCell ref="H33:I33"/>
    <mergeCell ref="P50:W50"/>
  </mergeCells>
  <phoneticPr fontId="6" type="noConversion"/>
  <conditionalFormatting sqref="G62:M62">
    <cfRule type="cellIs" dxfId="5" priority="1" stopIfTrue="1" operator="equal">
      <formula>1</formula>
    </cfRule>
    <cfRule type="cellIs" dxfId="4" priority="2" stopIfTrue="1" operator="equal">
      <formula>0</formula>
    </cfRule>
  </conditionalFormatting>
  <dataValidations disablePrompts="1" count="1">
    <dataValidation type="list" showErrorMessage="1" sqref="F62">
      <formula1>Times</formula1>
    </dataValidation>
  </dataValidations>
  <pageMargins left="0.75" right="0.75" top="1" bottom="1" header="0.5" footer="0.5"/>
  <pageSetup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sheetPr codeName="Sheet34"/>
  <dimension ref="A1:BY309"/>
  <sheetViews>
    <sheetView workbookViewId="0"/>
  </sheetViews>
  <sheetFormatPr defaultRowHeight="11.4"/>
  <cols>
    <col min="1" max="1" width="2.75" customWidth="1"/>
    <col min="2" max="2" width="11.125" customWidth="1"/>
    <col min="3" max="3" width="12.375" customWidth="1"/>
    <col min="4" max="6" width="11.125" customWidth="1"/>
    <col min="7" max="14" width="11.625" customWidth="1"/>
    <col min="15" max="15" width="1.75" customWidth="1"/>
    <col min="16" max="23" width="12.75" customWidth="1"/>
    <col min="24" max="24" width="1.75" customWidth="1"/>
    <col min="25" max="32" width="12.75" customWidth="1"/>
    <col min="33" max="33" width="1.75" customWidth="1"/>
    <col min="34" max="41" width="12.75" customWidth="1"/>
    <col min="42" max="42" width="1.75" customWidth="1"/>
    <col min="43" max="50" width="12.75" customWidth="1"/>
    <col min="51" max="51" width="1.75" customWidth="1"/>
    <col min="52" max="59" width="12.75" customWidth="1"/>
    <col min="60" max="60" width="1.75" customWidth="1"/>
    <col min="61" max="68" width="12.75" customWidth="1"/>
  </cols>
  <sheetData>
    <row r="1" spans="2:21">
      <c r="O1" s="136">
        <f>ROW()</f>
        <v>1</v>
      </c>
    </row>
    <row r="2" spans="2:21" ht="14.1" customHeight="1">
      <c r="B2" s="115" t="s">
        <v>1261</v>
      </c>
      <c r="M2" s="181">
        <f>'Title Page'!K1</f>
        <v>40914</v>
      </c>
      <c r="O2" s="136">
        <f>ROW()</f>
        <v>2</v>
      </c>
    </row>
    <row r="3" spans="2:21" ht="14.1" customHeight="1">
      <c r="B3" s="115"/>
      <c r="G3" s="181"/>
      <c r="O3" s="136">
        <f>ROW()</f>
        <v>3</v>
      </c>
    </row>
    <row r="4" spans="2:21" ht="14.1" customHeight="1">
      <c r="B4" s="115"/>
      <c r="G4" s="181"/>
      <c r="O4" s="136">
        <f>ROW()</f>
        <v>4</v>
      </c>
    </row>
    <row r="5" spans="2:21" ht="14.1" customHeight="1">
      <c r="B5" s="115"/>
      <c r="G5" s="181"/>
      <c r="O5" s="136">
        <f>ROW()</f>
        <v>5</v>
      </c>
    </row>
    <row r="6" spans="2:21" ht="14.1" customHeight="1">
      <c r="B6" s="55" t="s">
        <v>720</v>
      </c>
      <c r="G6" s="181"/>
      <c r="O6" s="136">
        <f>ROW()</f>
        <v>6</v>
      </c>
    </row>
    <row r="7" spans="2:21" ht="14.1" customHeight="1">
      <c r="B7" s="115"/>
      <c r="G7" s="181"/>
      <c r="O7" s="136">
        <f>ROW()</f>
        <v>7</v>
      </c>
    </row>
    <row r="8" spans="2:21" ht="14.1" customHeight="1">
      <c r="G8" s="181"/>
      <c r="O8" s="136">
        <f>ROW()</f>
        <v>8</v>
      </c>
    </row>
    <row r="9" spans="2:21" ht="14.1" customHeight="1">
      <c r="B9" s="115"/>
      <c r="G9" s="181"/>
      <c r="O9" s="136">
        <f>ROW()</f>
        <v>9</v>
      </c>
    </row>
    <row r="10" spans="2:21" ht="14.1" customHeight="1">
      <c r="B10" s="4348" t="str">
        <f>CONCATENATE("This worksheet estimates the aggregate delays borne by all 'current' motor vehicle users as a result of a single additional vehicle trip into the CBD made on a weekend or holiday. See result in Row ",O140, ". See 'Delays' worksheet for analogous calculations for weekdays.")</f>
        <v>This worksheet estimates the aggregate delays borne by all 'current' motor vehicle users as a result of a single additional vehicle trip into the CBD made on a weekend or holiday. See result in Row 140. See 'Delays' worksheet for analogous calculations for weekdays.</v>
      </c>
      <c r="C10" s="3779"/>
      <c r="D10" s="3779"/>
      <c r="E10" s="3779"/>
      <c r="F10" s="3779"/>
      <c r="G10" s="3779"/>
      <c r="H10" s="3779"/>
      <c r="I10" s="3779"/>
      <c r="J10" s="3779"/>
      <c r="K10" s="3779"/>
      <c r="L10" s="3779"/>
      <c r="M10" s="115"/>
      <c r="O10" s="136">
        <f>ROW()</f>
        <v>10</v>
      </c>
    </row>
    <row r="11" spans="2:21" ht="13.8">
      <c r="B11" s="3779"/>
      <c r="C11" s="3779"/>
      <c r="D11" s="3779"/>
      <c r="E11" s="3779"/>
      <c r="F11" s="3779"/>
      <c r="G11" s="3779"/>
      <c r="H11" s="3779"/>
      <c r="I11" s="3779"/>
      <c r="J11" s="3779"/>
      <c r="K11" s="3779"/>
      <c r="L11" s="3779"/>
      <c r="M11" s="115"/>
      <c r="N11" s="281"/>
      <c r="O11" s="136">
        <f>ROW()</f>
        <v>11</v>
      </c>
      <c r="P11" s="902"/>
      <c r="Q11" s="113"/>
      <c r="R11" s="113"/>
      <c r="S11" s="113"/>
      <c r="T11" s="113"/>
      <c r="U11" s="113"/>
    </row>
    <row r="12" spans="2:21" ht="12" customHeight="1">
      <c r="M12" s="217"/>
      <c r="N12" s="217"/>
      <c r="O12" s="136">
        <f>ROW()</f>
        <v>12</v>
      </c>
      <c r="P12" s="902"/>
      <c r="Q12" s="113"/>
      <c r="R12" s="113"/>
      <c r="S12" s="113"/>
      <c r="T12" s="113"/>
      <c r="U12" s="113"/>
    </row>
    <row r="13" spans="2:21" ht="12" customHeight="1">
      <c r="B13" s="3810" t="s">
        <v>106</v>
      </c>
      <c r="C13" s="3810"/>
      <c r="D13" s="3810"/>
      <c r="E13" s="3810"/>
      <c r="F13" s="3810"/>
      <c r="G13" s="3810"/>
      <c r="H13" s="3810"/>
      <c r="I13" s="3810"/>
      <c r="J13" s="3810"/>
      <c r="K13" s="3810"/>
      <c r="L13" s="3810"/>
      <c r="M13" s="217"/>
      <c r="N13" s="217"/>
      <c r="O13" s="136">
        <f>ROW()</f>
        <v>13</v>
      </c>
      <c r="P13" s="902"/>
      <c r="Q13" s="113"/>
      <c r="R13" s="113"/>
      <c r="S13" s="113"/>
      <c r="T13" s="113"/>
      <c r="U13" s="113"/>
    </row>
    <row r="14" spans="2:21">
      <c r="B14" s="3810"/>
      <c r="C14" s="3810"/>
      <c r="D14" s="3810"/>
      <c r="E14" s="3810"/>
      <c r="F14" s="3810"/>
      <c r="G14" s="3810"/>
      <c r="H14" s="3810"/>
      <c r="I14" s="3810"/>
      <c r="J14" s="3810"/>
      <c r="K14" s="3810"/>
      <c r="L14" s="3810"/>
      <c r="M14" s="217"/>
      <c r="N14" s="217"/>
      <c r="O14" s="136">
        <f>ROW()</f>
        <v>14</v>
      </c>
      <c r="P14" s="902"/>
      <c r="Q14" s="113"/>
      <c r="R14" s="113"/>
      <c r="S14" s="113"/>
      <c r="T14" s="113"/>
      <c r="U14" s="113"/>
    </row>
    <row r="15" spans="2:21">
      <c r="B15" s="3810"/>
      <c r="C15" s="3810"/>
      <c r="D15" s="3810"/>
      <c r="E15" s="3810"/>
      <c r="F15" s="3810"/>
      <c r="G15" s="3810"/>
      <c r="H15" s="3810"/>
      <c r="I15" s="3810"/>
      <c r="J15" s="3810"/>
      <c r="K15" s="3810"/>
      <c r="L15" s="3810"/>
      <c r="M15" s="217"/>
      <c r="N15" s="217"/>
      <c r="O15" s="136">
        <f>ROW()</f>
        <v>15</v>
      </c>
      <c r="P15" s="902"/>
      <c r="Q15" s="113"/>
      <c r="R15" s="113"/>
      <c r="S15" s="113"/>
      <c r="T15" s="113"/>
      <c r="U15" s="113"/>
    </row>
    <row r="16" spans="2:21">
      <c r="B16" s="3810"/>
      <c r="C16" s="3810"/>
      <c r="D16" s="3810"/>
      <c r="E16" s="3810"/>
      <c r="F16" s="3810"/>
      <c r="G16" s="3810"/>
      <c r="H16" s="3810"/>
      <c r="I16" s="3810"/>
      <c r="J16" s="3810"/>
      <c r="K16" s="3810"/>
      <c r="L16" s="3810"/>
      <c r="M16" s="281"/>
      <c r="N16" s="281"/>
      <c r="O16" s="136">
        <f>ROW()</f>
        <v>16</v>
      </c>
      <c r="P16" s="902"/>
      <c r="Q16" s="113"/>
      <c r="R16" s="113"/>
      <c r="S16" s="113"/>
      <c r="T16" s="113"/>
      <c r="U16" s="113"/>
    </row>
    <row r="17" spans="2:68">
      <c r="M17" s="281"/>
      <c r="N17" s="281"/>
      <c r="O17" s="136">
        <f>ROW()</f>
        <v>17</v>
      </c>
      <c r="P17" s="902"/>
      <c r="Q17" s="113"/>
      <c r="R17" s="113"/>
      <c r="S17" s="113"/>
      <c r="T17" s="113"/>
      <c r="U17" s="113"/>
    </row>
    <row r="18" spans="2:68">
      <c r="B18" s="3781" t="str">
        <f>CONCATENATE("In performing these calculations, we have taken care to calculate total traffic delays, in the section beginning in Row ",O117, ", for 'baseline vehicles' only, to avoid 'charging' the additional trips for the delays they themselves experience." )</f>
        <v>In performing these calculations, we have taken care to calculate total traffic delays, in the section beginning in Row 117, for 'baseline vehicles' only, to avoid 'charging' the additional trips for the delays they themselves experience.</v>
      </c>
      <c r="C18" s="3781"/>
      <c r="D18" s="3781"/>
      <c r="E18" s="3781"/>
      <c r="F18" s="3781"/>
      <c r="G18" s="3781"/>
      <c r="H18" s="3781"/>
      <c r="I18" s="3781"/>
      <c r="J18" s="3781"/>
      <c r="K18" s="3781"/>
      <c r="L18" s="3781"/>
      <c r="M18" s="281"/>
      <c r="N18" s="281"/>
      <c r="O18" s="136">
        <f>ROW()</f>
        <v>18</v>
      </c>
      <c r="P18" s="902"/>
      <c r="Q18" s="113"/>
      <c r="R18" s="113"/>
      <c r="S18" s="113"/>
      <c r="T18" s="113"/>
      <c r="U18" s="113"/>
    </row>
    <row r="19" spans="2:68">
      <c r="B19" s="3781"/>
      <c r="C19" s="3781"/>
      <c r="D19" s="3781"/>
      <c r="E19" s="3781"/>
      <c r="F19" s="3781"/>
      <c r="G19" s="3781"/>
      <c r="H19" s="3781"/>
      <c r="I19" s="3781"/>
      <c r="J19" s="3781"/>
      <c r="K19" s="3781"/>
      <c r="L19" s="3781"/>
      <c r="M19" s="281"/>
      <c r="N19" s="281"/>
      <c r="O19" s="136">
        <f>ROW()</f>
        <v>19</v>
      </c>
      <c r="P19" s="902"/>
      <c r="Q19" s="113"/>
      <c r="R19" s="113"/>
      <c r="S19" s="113"/>
      <c r="T19" s="113"/>
      <c r="U19" s="113"/>
    </row>
    <row r="20" spans="2:68">
      <c r="M20" s="281"/>
      <c r="N20" s="281"/>
      <c r="O20" s="136">
        <f>ROW()</f>
        <v>20</v>
      </c>
      <c r="P20" s="902"/>
      <c r="Q20" s="113"/>
      <c r="R20" s="113"/>
      <c r="S20" s="113"/>
      <c r="T20" s="113"/>
      <c r="U20" s="113"/>
    </row>
    <row r="21" spans="2:68" ht="12">
      <c r="B21" s="836" t="str">
        <f>CONCATENATE("Trips added to 'merged cell' (autos-thru trips-taxis) in Row ",O28, " to estimate delay impact per trip:")</f>
        <v>Trips added to 'merged cell' (autos-thru trips-taxis) in Row 28 to estimate delay impact per trip:</v>
      </c>
      <c r="C21" s="173"/>
      <c r="D21" s="173"/>
      <c r="E21" s="173"/>
      <c r="F21" s="173"/>
      <c r="G21" s="173"/>
      <c r="H21" s="173"/>
      <c r="I21" s="173"/>
      <c r="J21" s="1074">
        <v>100</v>
      </c>
      <c r="M21" s="281"/>
      <c r="O21" s="136">
        <f>ROW()</f>
        <v>21</v>
      </c>
      <c r="P21" s="902"/>
    </row>
    <row r="22" spans="2:68" ht="12">
      <c r="B22" s="275" t="str">
        <f>CONCATENATE("Note: this figure could be virtually any number, since delay costs in Row ",O135, " are calculated per trip, and the ratio is nearly constant over a fairly wide range.")</f>
        <v>Note: this figure could be virtually any number, since delay costs in Row 135 are calculated per trip, and the ratio is nearly constant over a fairly wide range.</v>
      </c>
      <c r="C22" s="902"/>
      <c r="D22" s="902"/>
      <c r="E22" s="902"/>
      <c r="F22" s="902"/>
      <c r="G22" s="902"/>
      <c r="H22" s="902"/>
      <c r="I22" s="902"/>
      <c r="J22" s="964"/>
      <c r="K22" s="86"/>
      <c r="L22" s="86"/>
      <c r="M22" s="1025"/>
      <c r="O22" s="136">
        <f>ROW()</f>
        <v>22</v>
      </c>
      <c r="P22" s="902"/>
    </row>
    <row r="23" spans="2:68">
      <c r="M23" s="217"/>
      <c r="O23" s="136">
        <f>ROW()</f>
        <v>23</v>
      </c>
      <c r="P23" s="902"/>
    </row>
    <row r="24" spans="2:68" ht="13.2">
      <c r="B24" s="24" t="s">
        <v>1559</v>
      </c>
      <c r="C24" s="217"/>
      <c r="D24" s="217"/>
      <c r="E24" s="217"/>
      <c r="F24" s="217"/>
      <c r="O24" s="136">
        <f>ROW()</f>
        <v>24</v>
      </c>
      <c r="P24" s="902"/>
      <c r="Y24" s="43"/>
      <c r="AH24" s="43"/>
      <c r="AQ24" s="43"/>
      <c r="AZ24" s="43"/>
      <c r="BI24" s="43"/>
    </row>
    <row r="25" spans="2:68">
      <c r="L25" s="23"/>
      <c r="O25" s="136">
        <f>ROW()</f>
        <v>25</v>
      </c>
      <c r="P25" s="902"/>
    </row>
    <row r="26" spans="2:68" ht="12">
      <c r="B26" s="6" t="s">
        <v>1234</v>
      </c>
      <c r="H26" s="20" t="s">
        <v>367</v>
      </c>
      <c r="I26" s="20" t="s">
        <v>368</v>
      </c>
      <c r="J26" s="20" t="s">
        <v>2473</v>
      </c>
      <c r="K26" s="20" t="s">
        <v>1241</v>
      </c>
      <c r="L26" s="20" t="s">
        <v>2212</v>
      </c>
      <c r="M26" s="20" t="s">
        <v>967</v>
      </c>
      <c r="N26" s="20" t="s">
        <v>228</v>
      </c>
      <c r="O26" s="136">
        <f>ROW()</f>
        <v>26</v>
      </c>
      <c r="P26" s="902"/>
      <c r="Y26" s="608"/>
      <c r="AH26" s="608"/>
      <c r="AQ26" s="608"/>
      <c r="AZ26" s="608"/>
      <c r="BI26" s="608"/>
    </row>
    <row r="27" spans="2:68" ht="12">
      <c r="B27" s="6"/>
      <c r="H27" s="7" t="str">
        <f>CONCATENATE("Figure = corresponding figure in Motor Vs worksheet + increment number in Row ",O21, ".")</f>
        <v>Figure = corresponding figure in Motor Vs worksheet + increment number in Row 21.</v>
      </c>
      <c r="I27" s="8"/>
      <c r="J27" s="8"/>
      <c r="K27" s="8"/>
      <c r="L27" s="8"/>
      <c r="O27" s="136">
        <f>ROW()</f>
        <v>27</v>
      </c>
      <c r="P27" s="902"/>
      <c r="Y27" s="627"/>
      <c r="AH27" s="627"/>
      <c r="AQ27" s="627"/>
      <c r="AZ27" s="627"/>
      <c r="BI27" s="627"/>
    </row>
    <row r="28" spans="2:68" ht="12">
      <c r="B28" s="1056" t="str">
        <f>'Motor Vs'!B27</f>
        <v>Daily motor vehicle trips into cordon</v>
      </c>
      <c r="C28" s="281"/>
      <c r="D28" s="281"/>
      <c r="E28" s="281"/>
      <c r="F28" s="281"/>
      <c r="G28" s="281"/>
      <c r="H28" s="4960">
        <f>'Motor Vs Weekends'!I30+J21</f>
        <v>590100</v>
      </c>
      <c r="I28" s="4961"/>
      <c r="J28" s="10">
        <v>0</v>
      </c>
      <c r="K28" s="10">
        <f>'Motor Vs Weekends'!L30</f>
        <v>65000</v>
      </c>
      <c r="L28" s="10">
        <f>'Motor Vs Weekends'!M30</f>
        <v>15000</v>
      </c>
      <c r="M28" s="10">
        <f>'Motor Vs Weekends'!N30</f>
        <v>6000</v>
      </c>
      <c r="N28" s="186">
        <f>SUM(H28:M28)</f>
        <v>676100</v>
      </c>
      <c r="O28" s="136">
        <f>ROW()</f>
        <v>28</v>
      </c>
      <c r="P28" s="902"/>
      <c r="Y28" s="628"/>
      <c r="AH28" s="628"/>
      <c r="AQ28" s="628"/>
      <c r="AZ28" s="628"/>
      <c r="BI28" s="628"/>
    </row>
    <row r="29" spans="2:68" ht="12" customHeight="1">
      <c r="B29" s="4962" t="s">
        <v>2556</v>
      </c>
      <c r="C29" s="4962"/>
      <c r="D29" s="4962"/>
      <c r="E29" s="4962"/>
      <c r="F29" s="4962"/>
      <c r="G29" s="4962"/>
      <c r="H29" s="4962"/>
      <c r="I29" s="4962"/>
      <c r="J29" s="4962"/>
      <c r="K29" s="4962"/>
      <c r="L29" s="214"/>
      <c r="M29" s="214"/>
      <c r="N29" s="45"/>
      <c r="O29" s="136">
        <f>ROW()</f>
        <v>29</v>
      </c>
      <c r="P29" s="903"/>
      <c r="Y29" s="628"/>
      <c r="AH29" s="628"/>
      <c r="AQ29" s="628"/>
      <c r="AZ29" s="628"/>
      <c r="BI29" s="628"/>
    </row>
    <row r="30" spans="2:68" ht="12" customHeight="1">
      <c r="B30" s="4962"/>
      <c r="C30" s="4962"/>
      <c r="D30" s="4962"/>
      <c r="E30" s="4962"/>
      <c r="F30" s="4962"/>
      <c r="G30" s="4962"/>
      <c r="H30" s="4962"/>
      <c r="I30" s="4962"/>
      <c r="J30" s="4962"/>
      <c r="K30" s="4962"/>
      <c r="L30" s="214"/>
      <c r="M30" s="214"/>
      <c r="N30" s="45"/>
      <c r="O30" s="136">
        <f>ROW()</f>
        <v>30</v>
      </c>
      <c r="P30" s="903"/>
      <c r="Y30" s="628"/>
      <c r="AH30" s="628"/>
      <c r="AQ30" s="628"/>
      <c r="AZ30" s="628"/>
      <c r="BI30" s="628"/>
    </row>
    <row r="31" spans="2:68" ht="12">
      <c r="B31" s="280" t="s">
        <v>2557</v>
      </c>
      <c r="H31" s="4287">
        <f>'Motor Vs Weekends'!I32</f>
        <v>0.37400000000000005</v>
      </c>
      <c r="I31" s="4287"/>
      <c r="J31" s="446" t="str">
        <f>'Motor Vs'!K32</f>
        <v>N.A.</v>
      </c>
      <c r="K31" s="446">
        <f>'Motor Vs Weekends'!L32</f>
        <v>0</v>
      </c>
      <c r="L31" s="446">
        <f>'Motor Vs Weekends'!M32</f>
        <v>0.37400000000000005</v>
      </c>
      <c r="M31" s="446">
        <f>'Motor Vs Weekends'!N32</f>
        <v>0.11000000000000001</v>
      </c>
      <c r="N31" s="631"/>
      <c r="O31" s="136">
        <f>ROW()</f>
        <v>31</v>
      </c>
      <c r="P31" s="4147" t="str">
        <f>'Motor Vs'!P34:W34</f>
        <v>AUTO TRIPS FOR WORK</v>
      </c>
      <c r="Q31" s="4147"/>
      <c r="R31" s="4147"/>
      <c r="S31" s="4147"/>
      <c r="T31" s="4147"/>
      <c r="U31" s="4147"/>
      <c r="V31" s="4147"/>
      <c r="W31" s="4147"/>
      <c r="Y31" s="4147" t="str">
        <f>'Motor Vs'!Y34:AF34</f>
        <v>AUTO TRIPS FOR NON-WORK</v>
      </c>
      <c r="Z31" s="4147"/>
      <c r="AA31" s="4147"/>
      <c r="AB31" s="4147"/>
      <c r="AC31" s="4147"/>
      <c r="AD31" s="4147"/>
      <c r="AE31" s="4147"/>
      <c r="AF31" s="4147"/>
      <c r="AH31" s="4147" t="str">
        <f>'Motor Vs'!AH34:AO34</f>
        <v>THROUGH-TRIPS (AUTOS ONLY)</v>
      </c>
      <c r="AI31" s="4147"/>
      <c r="AJ31" s="4147"/>
      <c r="AK31" s="4147"/>
      <c r="AL31" s="4147"/>
      <c r="AM31" s="4147"/>
      <c r="AN31" s="4147"/>
      <c r="AO31" s="4147"/>
      <c r="AQ31" s="4147" t="str">
        <f>'Motor Vs'!AQ34:AX34</f>
        <v>TAXICABS (MEDALLION TAXIS ONLY)</v>
      </c>
      <c r="AR31" s="4147"/>
      <c r="AS31" s="4147"/>
      <c r="AT31" s="4147"/>
      <c r="AU31" s="4147"/>
      <c r="AV31" s="4147"/>
      <c r="AW31" s="4147"/>
      <c r="AX31" s="4147"/>
      <c r="AZ31" s="4147" t="str">
        <f>'Motor Vs'!AZ34:BG34</f>
        <v>TRUCKS</v>
      </c>
      <c r="BA31" s="4147"/>
      <c r="BB31" s="4147"/>
      <c r="BC31" s="4147"/>
      <c r="BD31" s="4147"/>
      <c r="BE31" s="4147"/>
      <c r="BF31" s="4147"/>
      <c r="BG31" s="4147"/>
      <c r="BI31" s="4147" t="str">
        <f>'Motor Vs'!BI34:BP34</f>
        <v>BUSES</v>
      </c>
      <c r="BJ31" s="4147"/>
      <c r="BK31" s="4147"/>
      <c r="BL31" s="4147"/>
      <c r="BM31" s="4147"/>
      <c r="BN31" s="4147"/>
      <c r="BO31" s="4147"/>
      <c r="BP31" s="4147"/>
    </row>
    <row r="32" spans="2:68">
      <c r="B32" s="215" t="s">
        <v>2698</v>
      </c>
      <c r="I32" s="342"/>
      <c r="J32" s="113"/>
      <c r="K32" s="629"/>
      <c r="L32" s="630"/>
      <c r="M32" s="10"/>
      <c r="N32" s="631"/>
      <c r="O32" s="136">
        <f>ROW()</f>
        <v>32</v>
      </c>
    </row>
    <row r="33" spans="2:68" ht="13.2">
      <c r="B33" s="281" t="s">
        <v>1832</v>
      </c>
      <c r="H33" s="4963">
        <f>H28*(1-H31)</f>
        <v>369402.59999999992</v>
      </c>
      <c r="I33" s="4963"/>
      <c r="J33" s="632">
        <f>N28-(H33+SUM(K33:M33))</f>
        <v>226967.40000000008</v>
      </c>
      <c r="K33" s="10">
        <f>K28*(1-K31)</f>
        <v>65000</v>
      </c>
      <c r="L33" s="10">
        <f>L28*(1-L31)</f>
        <v>9389.9999999999982</v>
      </c>
      <c r="M33" s="10">
        <f>M28*(1-M31)</f>
        <v>5340</v>
      </c>
      <c r="N33" s="10">
        <f>SUM(H33:M33)</f>
        <v>676100</v>
      </c>
      <c r="O33" s="136">
        <f>ROW()</f>
        <v>33</v>
      </c>
      <c r="P33" s="4954" t="str">
        <f>CONCATENATE("Data will appear in this 'column block' after Row ",$O$59,)</f>
        <v>Data will appear in this 'column block' after Row 59</v>
      </c>
      <c r="Q33" s="4954"/>
      <c r="R33" s="4954"/>
      <c r="S33" s="4954"/>
      <c r="T33" s="4954"/>
      <c r="U33" s="4954"/>
      <c r="V33" s="4954"/>
      <c r="W33" s="4954"/>
      <c r="Y33" s="4954" t="str">
        <f>CONCATENATE("Data will appear in this 'column block' after Row ",$O$59,)</f>
        <v>Data will appear in this 'column block' after Row 59</v>
      </c>
      <c r="Z33" s="4954"/>
      <c r="AA33" s="4954"/>
      <c r="AB33" s="4954"/>
      <c r="AC33" s="4954"/>
      <c r="AD33" s="4954"/>
      <c r="AE33" s="4954"/>
      <c r="AF33" s="4954"/>
      <c r="AH33" s="4954" t="str">
        <f>CONCATENATE("Data will appear in this 'column block' after Row ",$O$59,)</f>
        <v>Data will appear in this 'column block' after Row 59</v>
      </c>
      <c r="AI33" s="4954"/>
      <c r="AJ33" s="4954"/>
      <c r="AK33" s="4954"/>
      <c r="AL33" s="4954"/>
      <c r="AM33" s="4954"/>
      <c r="AN33" s="4954"/>
      <c r="AO33" s="4954"/>
      <c r="AQ33" s="4954" t="str">
        <f>CONCATENATE("Data will appear in this 'column block' after Row ",$O$59,)</f>
        <v>Data will appear in this 'column block' after Row 59</v>
      </c>
      <c r="AR33" s="4954"/>
      <c r="AS33" s="4954"/>
      <c r="AT33" s="4954"/>
      <c r="AU33" s="4954"/>
      <c r="AV33" s="4954"/>
      <c r="AW33" s="4954"/>
      <c r="AX33" s="4954"/>
      <c r="AZ33" s="4954" t="str">
        <f>CONCATENATE("Data will appear in this 'column block' after Row ",$O$59,)</f>
        <v>Data will appear in this 'column block' after Row 59</v>
      </c>
      <c r="BA33" s="4954"/>
      <c r="BB33" s="4954"/>
      <c r="BC33" s="4954"/>
      <c r="BD33" s="4954"/>
      <c r="BE33" s="4954"/>
      <c r="BF33" s="4954"/>
      <c r="BG33" s="4954"/>
      <c r="BI33" s="4954" t="str">
        <f>CONCATENATE("Data will appear in this 'column block' after Row ",$O$59,)</f>
        <v>Data will appear in this 'column block' after Row 59</v>
      </c>
      <c r="BJ33" s="4954"/>
      <c r="BK33" s="4954"/>
      <c r="BL33" s="4954"/>
      <c r="BM33" s="4954"/>
      <c r="BN33" s="4954"/>
      <c r="BO33" s="4954"/>
      <c r="BP33" s="4954"/>
    </row>
    <row r="34" spans="2:68">
      <c r="B34" s="281" t="s">
        <v>2848</v>
      </c>
      <c r="H34" s="209">
        <f>'Motor Vs Weekends'!I39</f>
        <v>0.25</v>
      </c>
      <c r="I34" s="209">
        <f>1-H34</f>
        <v>0.75</v>
      </c>
      <c r="M34" s="23"/>
      <c r="O34" s="136">
        <f>ROW()</f>
        <v>34</v>
      </c>
    </row>
    <row r="35" spans="2:68" s="86" customFormat="1">
      <c r="B35" s="275" t="s">
        <v>2363</v>
      </c>
      <c r="G35" s="816"/>
      <c r="H35" s="1077">
        <f>'Motor Vs Weekends'!I76</f>
        <v>92334.999999999985</v>
      </c>
      <c r="I35" s="1077">
        <f>'Motor Vs Weekends'!J76</f>
        <v>277004.99999999994</v>
      </c>
      <c r="J35" s="1077">
        <f>'Motor Vs Weekends'!K76</f>
        <v>129800.00000000004</v>
      </c>
      <c r="K35" s="1077">
        <f>'Motor Vs Weekends'!L76</f>
        <v>65000</v>
      </c>
      <c r="L35" s="1077">
        <f>'Motor Vs Weekends'!M76</f>
        <v>12689.999999999998</v>
      </c>
      <c r="M35" s="1077">
        <f>'Motor Vs Weekends'!N76</f>
        <v>5706.666666666667</v>
      </c>
      <c r="N35" s="817"/>
      <c r="O35" s="136">
        <f>ROW()</f>
        <v>35</v>
      </c>
    </row>
    <row r="36" spans="2:68" s="86" customFormat="1" ht="12">
      <c r="B36" s="1049" t="s">
        <v>1118</v>
      </c>
      <c r="C36" s="1050"/>
      <c r="D36" s="1050"/>
      <c r="E36" s="1050"/>
      <c r="F36" s="1050"/>
      <c r="G36" s="1075">
        <f>'User Inputs'!J151</f>
        <v>0</v>
      </c>
      <c r="H36" s="1076">
        <f>H35+H34*($J$21-$J$37)</f>
        <v>92355.324999999983</v>
      </c>
      <c r="I36" s="1076">
        <f>I35+I34*($J$21-$J$37)</f>
        <v>277065.97499999992</v>
      </c>
      <c r="J36" s="1076">
        <f>J35+0.5*H31*J21</f>
        <v>129818.70000000004</v>
      </c>
      <c r="K36" s="1076">
        <f>K33*(1-$G$36)</f>
        <v>65000</v>
      </c>
      <c r="L36" s="1076">
        <f>L35</f>
        <v>12689.999999999998</v>
      </c>
      <c r="M36" s="1076">
        <f>M35</f>
        <v>5706.666666666667</v>
      </c>
      <c r="N36" s="1051">
        <f>SUM(H36:M36)</f>
        <v>582636.66666666663</v>
      </c>
      <c r="O36" s="136">
        <f>ROW()</f>
        <v>36</v>
      </c>
    </row>
    <row r="37" spans="2:68" ht="12" customHeight="1">
      <c r="B37" s="215"/>
      <c r="G37" s="49" t="s">
        <v>1880</v>
      </c>
      <c r="H37" s="10">
        <f t="shared" ref="H37:M37" si="0">H36-H35</f>
        <v>20.32499999999709</v>
      </c>
      <c r="I37" s="10">
        <f t="shared" si="0"/>
        <v>60.974999999976717</v>
      </c>
      <c r="J37" s="10">
        <f t="shared" si="0"/>
        <v>18.69999999999709</v>
      </c>
      <c r="K37" s="10">
        <f t="shared" si="0"/>
        <v>0</v>
      </c>
      <c r="L37" s="10">
        <f t="shared" si="0"/>
        <v>0</v>
      </c>
      <c r="M37" s="10">
        <f t="shared" si="0"/>
        <v>0</v>
      </c>
      <c r="N37" s="1078">
        <f>SUM(H37:M37)</f>
        <v>99.999999999970896</v>
      </c>
      <c r="O37" s="136">
        <f>ROW()</f>
        <v>37</v>
      </c>
    </row>
    <row r="38" spans="2:68" ht="12">
      <c r="B38" s="172" t="s">
        <v>1518</v>
      </c>
      <c r="H38" s="113"/>
      <c r="O38" s="136">
        <f>ROW()</f>
        <v>38</v>
      </c>
    </row>
    <row r="39" spans="2:68">
      <c r="B39" s="281" t="s">
        <v>208</v>
      </c>
      <c r="H39" s="3214">
        <f>'Motor Vs Weekends'!I85</f>
        <v>1.5</v>
      </c>
      <c r="I39" s="117">
        <f>'Motor Vs Weekends'!J85</f>
        <v>1.5</v>
      </c>
      <c r="J39" s="21">
        <f>'Motor Vs Weekends'!K85</f>
        <v>1.4000000000000001</v>
      </c>
      <c r="K39" s="21">
        <f>'Motor Vs Weekends'!L85</f>
        <v>2</v>
      </c>
      <c r="L39" s="21">
        <f>'Motor Vs Weekends'!M85</f>
        <v>3</v>
      </c>
      <c r="M39" s="21">
        <f>'Motor Vs Weekends'!N85</f>
        <v>2</v>
      </c>
      <c r="O39" s="136">
        <f>ROW()</f>
        <v>39</v>
      </c>
    </row>
    <row r="40" spans="2:68">
      <c r="B40" s="281" t="s">
        <v>1184</v>
      </c>
      <c r="H40" s="3214">
        <f>'Motor Vs Weekends'!I79</f>
        <v>16.900058730389546</v>
      </c>
      <c r="I40" s="21">
        <f>'Motor Vs Weekends'!J79</f>
        <v>16.900058730389546</v>
      </c>
      <c r="J40" s="21">
        <f>'Motor Vs Weekends'!K79</f>
        <v>25.350088095584319</v>
      </c>
      <c r="K40" s="21">
        <f>'Motor Vs Weekends'!L79</f>
        <v>6</v>
      </c>
      <c r="L40" s="21">
        <f>'Motor Vs Weekends'!M79</f>
        <v>12.731643929276915</v>
      </c>
      <c r="M40" s="21">
        <f>'Motor Vs Weekends'!N79</f>
        <v>17.442992860162573</v>
      </c>
      <c r="O40" s="136">
        <f>ROW()</f>
        <v>40</v>
      </c>
    </row>
    <row r="41" spans="2:68" ht="13.2">
      <c r="B41" s="215" t="s">
        <v>1172</v>
      </c>
      <c r="O41" s="136">
        <f>ROW()</f>
        <v>41</v>
      </c>
      <c r="P41" s="4363"/>
      <c r="Q41" s="4363"/>
      <c r="R41" s="4363"/>
      <c r="S41" s="4363"/>
      <c r="T41" s="4363"/>
      <c r="U41" s="4363"/>
      <c r="V41" s="4363"/>
      <c r="W41" s="4363"/>
      <c r="Y41" s="4363"/>
      <c r="Z41" s="4363"/>
      <c r="AA41" s="4363"/>
      <c r="AB41" s="4363"/>
      <c r="AC41" s="4363"/>
      <c r="AD41" s="4363"/>
      <c r="AE41" s="4363"/>
      <c r="AF41" s="4363"/>
      <c r="AH41" s="4363"/>
      <c r="AI41" s="4363"/>
      <c r="AJ41" s="4363"/>
      <c r="AK41" s="4363"/>
      <c r="AL41" s="4363"/>
      <c r="AM41" s="4363"/>
      <c r="AN41" s="4363"/>
      <c r="AO41" s="4363"/>
      <c r="AQ41" s="4363"/>
      <c r="AR41" s="4363"/>
      <c r="AS41" s="4363"/>
      <c r="AT41" s="4363"/>
      <c r="AU41" s="4363"/>
      <c r="AV41" s="4363"/>
      <c r="AW41" s="4363"/>
      <c r="AX41" s="4363"/>
      <c r="AZ41" s="4363"/>
      <c r="BA41" s="4363"/>
      <c r="BB41" s="4363"/>
      <c r="BC41" s="4363"/>
      <c r="BD41" s="4363"/>
      <c r="BE41" s="4363"/>
      <c r="BF41" s="4363"/>
      <c r="BG41" s="4363"/>
      <c r="BI41" s="4363"/>
      <c r="BJ41" s="4363"/>
      <c r="BK41" s="4363"/>
      <c r="BL41" s="4363"/>
      <c r="BM41" s="4363"/>
      <c r="BN41" s="4363"/>
      <c r="BO41" s="4363"/>
      <c r="BP41" s="4363"/>
    </row>
    <row r="42" spans="2:68" ht="13.2">
      <c r="B42" s="215"/>
      <c r="O42" s="136">
        <f>ROW()</f>
        <v>42</v>
      </c>
      <c r="P42" s="1048"/>
      <c r="Q42" s="1048"/>
      <c r="R42" s="1048"/>
      <c r="S42" s="1048"/>
      <c r="T42" s="1048"/>
      <c r="U42" s="1048"/>
      <c r="V42" s="1048"/>
      <c r="W42" s="1048"/>
      <c r="Y42" s="1048"/>
      <c r="Z42" s="1048"/>
      <c r="AA42" s="1048"/>
      <c r="AB42" s="1048"/>
      <c r="AC42" s="1048"/>
      <c r="AD42" s="1048"/>
      <c r="AE42" s="1048"/>
      <c r="AF42" s="1048"/>
      <c r="AH42" s="1048"/>
      <c r="AI42" s="1048"/>
      <c r="AJ42" s="1048"/>
      <c r="AK42" s="1048"/>
      <c r="AL42" s="1048"/>
      <c r="AM42" s="1048"/>
      <c r="AN42" s="1048"/>
      <c r="AO42" s="1048"/>
      <c r="AQ42" s="1048"/>
      <c r="AR42" s="1048"/>
      <c r="AS42" s="1048"/>
      <c r="AT42" s="1048"/>
      <c r="AU42" s="1048"/>
      <c r="AV42" s="1048"/>
      <c r="AW42" s="1048"/>
      <c r="AX42" s="1048"/>
      <c r="AZ42" s="1048"/>
      <c r="BA42" s="1048"/>
      <c r="BB42" s="1048"/>
      <c r="BC42" s="1048"/>
      <c r="BD42" s="1048"/>
      <c r="BE42" s="1048"/>
      <c r="BF42" s="1048"/>
      <c r="BG42" s="1048"/>
      <c r="BI42" s="1048"/>
      <c r="BJ42" s="1048"/>
      <c r="BK42" s="1048"/>
      <c r="BL42" s="1048"/>
      <c r="BM42" s="1048"/>
      <c r="BN42" s="1048"/>
      <c r="BO42" s="1048"/>
      <c r="BP42" s="1048"/>
    </row>
    <row r="43" spans="2:68" ht="12">
      <c r="B43" s="6" t="s">
        <v>1235</v>
      </c>
      <c r="H43" s="20" t="s">
        <v>367</v>
      </c>
      <c r="I43" s="20" t="s">
        <v>368</v>
      </c>
      <c r="J43" s="20" t="s">
        <v>2473</v>
      </c>
      <c r="K43" s="20" t="s">
        <v>1241</v>
      </c>
      <c r="L43" s="20" t="s">
        <v>2212</v>
      </c>
      <c r="M43" s="20" t="s">
        <v>967</v>
      </c>
      <c r="N43" s="20" t="s">
        <v>228</v>
      </c>
      <c r="O43" s="136">
        <f>ROW()</f>
        <v>43</v>
      </c>
    </row>
    <row r="44" spans="2:68" ht="12">
      <c r="B44" s="1052" t="s">
        <v>1879</v>
      </c>
      <c r="C44" s="1053"/>
      <c r="D44" s="1053"/>
      <c r="E44" s="1053"/>
      <c r="F44" s="1053"/>
      <c r="G44" s="1053"/>
      <c r="H44" s="1209">
        <f>2*H36*H39</f>
        <v>277065.97499999998</v>
      </c>
      <c r="I44" s="1209">
        <f>2*I36*I39</f>
        <v>831197.92499999981</v>
      </c>
      <c r="J44" s="1209">
        <f>2*J36*J39</f>
        <v>363492.36000000016</v>
      </c>
      <c r="K44" s="1209">
        <f>(1+Taxis!L130)*K36*K39</f>
        <v>227500</v>
      </c>
      <c r="L44" s="1209">
        <f>2*L36*L39</f>
        <v>76139.999999999985</v>
      </c>
      <c r="M44" s="1209">
        <f>2*M36*M39</f>
        <v>22826.666666666668</v>
      </c>
      <c r="N44" s="1054">
        <f>SUM(H44:M44)</f>
        <v>1798222.9266666668</v>
      </c>
      <c r="O44" s="136">
        <f>ROW()</f>
        <v>44</v>
      </c>
    </row>
    <row r="45" spans="2:68" ht="12">
      <c r="B45" s="215" t="s">
        <v>1173</v>
      </c>
      <c r="H45" s="575"/>
      <c r="I45" s="575"/>
      <c r="J45" s="575"/>
      <c r="K45" s="575"/>
      <c r="L45" s="575"/>
      <c r="N45" s="607"/>
      <c r="O45" s="136">
        <f>ROW()</f>
        <v>45</v>
      </c>
    </row>
    <row r="46" spans="2:68" ht="12" customHeight="1">
      <c r="B46" s="312" t="s">
        <v>1267</v>
      </c>
      <c r="H46" s="927">
        <f t="shared" ref="H46:M46" si="1">H44/$N$44</f>
        <v>0.1540776568306757</v>
      </c>
      <c r="I46" s="927">
        <f t="shared" si="1"/>
        <v>0.462232970492027</v>
      </c>
      <c r="J46" s="927">
        <f t="shared" si="1"/>
        <v>0.20213976510342874</v>
      </c>
      <c r="K46" s="927">
        <f t="shared" si="1"/>
        <v>0.12651379126931311</v>
      </c>
      <c r="L46" s="927">
        <f t="shared" si="1"/>
        <v>4.2341802493386801E-2</v>
      </c>
      <c r="M46" s="927">
        <f t="shared" si="1"/>
        <v>1.2694013811168589E-2</v>
      </c>
      <c r="N46" s="53">
        <f>SUM(H46:M46)</f>
        <v>1</v>
      </c>
      <c r="O46" s="136">
        <f>ROW()</f>
        <v>46</v>
      </c>
    </row>
    <row r="47" spans="2:68" ht="12">
      <c r="H47" s="927"/>
      <c r="I47" s="927"/>
      <c r="J47" s="927"/>
      <c r="K47" s="927"/>
      <c r="L47" s="927"/>
      <c r="M47" s="927"/>
      <c r="N47" s="607"/>
      <c r="O47" s="136">
        <f>ROW()</f>
        <v>47</v>
      </c>
    </row>
    <row r="48" spans="2:68" ht="12">
      <c r="B48" s="172" t="s">
        <v>1236</v>
      </c>
      <c r="H48" s="575"/>
      <c r="I48" s="575"/>
      <c r="J48" s="575"/>
      <c r="K48" s="575"/>
      <c r="N48" s="607"/>
      <c r="O48" s="136">
        <f>ROW()</f>
        <v>48</v>
      </c>
    </row>
    <row r="49" spans="2:68" ht="12">
      <c r="B49" s="281" t="s">
        <v>518</v>
      </c>
      <c r="H49" s="927">
        <f>'Motor Vs Weekends'!I96</f>
        <v>0.14285714285714285</v>
      </c>
      <c r="I49" s="927">
        <f>'Motor Vs Weekends'!J96</f>
        <v>0.14285714285714285</v>
      </c>
      <c r="J49" s="927">
        <f>'Motor Vs Weekends'!K96</f>
        <v>0</v>
      </c>
      <c r="K49" s="1223" t="str">
        <f>'Motor Vs Weekends'!L96</f>
        <v>N.A.</v>
      </c>
      <c r="L49" s="927">
        <f>'Motor Vs Weekends'!M96</f>
        <v>0.2</v>
      </c>
      <c r="M49" s="927">
        <f>'Motor Vs Weekends'!N96</f>
        <v>0.5</v>
      </c>
      <c r="N49" s="6"/>
      <c r="O49" s="136">
        <f>ROW()</f>
        <v>49</v>
      </c>
    </row>
    <row r="50" spans="2:68" ht="13.2">
      <c r="B50" s="215" t="s">
        <v>2163</v>
      </c>
      <c r="H50" s="23"/>
      <c r="I50" s="23"/>
      <c r="J50" s="23"/>
      <c r="K50" s="598"/>
      <c r="L50" s="23"/>
      <c r="M50" s="23"/>
      <c r="N50" s="6"/>
      <c r="O50" s="136">
        <f>ROW()</f>
        <v>50</v>
      </c>
      <c r="P50" s="4954"/>
      <c r="Q50" s="4954"/>
      <c r="R50" s="4954"/>
      <c r="S50" s="4954"/>
      <c r="T50" s="4954"/>
      <c r="U50" s="4954"/>
      <c r="V50" s="4954"/>
      <c r="W50" s="4954"/>
    </row>
    <row r="51" spans="2:68" ht="12">
      <c r="B51" s="1052" t="s">
        <v>1453</v>
      </c>
      <c r="C51" s="1053"/>
      <c r="D51" s="1053"/>
      <c r="E51" s="1053"/>
      <c r="F51" s="1053"/>
      <c r="G51" s="1053"/>
      <c r="H51" s="1121">
        <f>H$49*H44</f>
        <v>39580.853571428568</v>
      </c>
      <c r="I51" s="1121">
        <f>I$49*I44</f>
        <v>118742.56071428568</v>
      </c>
      <c r="J51" s="1121">
        <f>J$49*J44</f>
        <v>0</v>
      </c>
      <c r="K51" s="1121">
        <f>Taxis!N368</f>
        <v>1187061.5384615383</v>
      </c>
      <c r="L51" s="1121">
        <f>L$49*L44</f>
        <v>15227.999999999998</v>
      </c>
      <c r="M51" s="1121">
        <f>M$49*M44</f>
        <v>11413.333333333334</v>
      </c>
      <c r="N51" s="1054">
        <f>SUM(H51:M51)</f>
        <v>1372026.2860805858</v>
      </c>
      <c r="O51" s="136">
        <f>ROW()</f>
        <v>51</v>
      </c>
    </row>
    <row r="52" spans="2:68" ht="12">
      <c r="B52" s="215" t="str">
        <f>CONCATENATE("Products of percentages in row ",O49, " and miles in row ",O44, ", except taxi figure is from Taxis worksheet.")</f>
        <v>Products of percentages in row 49 and miles in row 44, except taxi figure is from Taxis worksheet.</v>
      </c>
      <c r="H52" s="575"/>
      <c r="I52" s="575"/>
      <c r="J52" s="575"/>
      <c r="K52" s="575"/>
      <c r="L52" s="575"/>
      <c r="M52" s="575"/>
      <c r="N52" s="607"/>
      <c r="O52" s="136">
        <f>ROW()</f>
        <v>52</v>
      </c>
    </row>
    <row r="53" spans="2:68" ht="12">
      <c r="B53" s="281"/>
      <c r="H53" s="575"/>
      <c r="I53" s="575"/>
      <c r="K53" s="575"/>
      <c r="L53" s="575"/>
      <c r="N53" s="607"/>
      <c r="O53" s="136">
        <f>ROW()</f>
        <v>53</v>
      </c>
    </row>
    <row r="54" spans="2:68" ht="12">
      <c r="B54" s="1080" t="s">
        <v>1237</v>
      </c>
      <c r="C54" s="1050"/>
      <c r="D54" s="1050"/>
      <c r="E54" s="1050" t="str">
        <f>CONCATENATE("(sum of VMT's in rows ",O44," and ",O51,")")</f>
        <v>(sum of VMT's in rows 44 and 51)</v>
      </c>
      <c r="F54" s="1050"/>
      <c r="G54" s="1050"/>
      <c r="H54" s="1076">
        <f t="shared" ref="H54:M54" si="2">H44+H51</f>
        <v>316646.82857142854</v>
      </c>
      <c r="I54" s="1076">
        <f t="shared" si="2"/>
        <v>949940.48571428552</v>
      </c>
      <c r="J54" s="1076">
        <f t="shared" si="2"/>
        <v>363492.36000000016</v>
      </c>
      <c r="K54" s="1076">
        <f t="shared" si="2"/>
        <v>1414561.5384615383</v>
      </c>
      <c r="L54" s="1076">
        <f t="shared" si="2"/>
        <v>91367.999999999985</v>
      </c>
      <c r="M54" s="1076">
        <f t="shared" si="2"/>
        <v>34240</v>
      </c>
      <c r="N54" s="1051">
        <f>SUM(H54:M54)</f>
        <v>3170249.2127472525</v>
      </c>
      <c r="O54" s="136">
        <f>ROW()</f>
        <v>54</v>
      </c>
    </row>
    <row r="55" spans="2:68" ht="12">
      <c r="B55" s="6"/>
      <c r="H55" s="575"/>
      <c r="M55" s="118" t="s">
        <v>673</v>
      </c>
      <c r="N55" s="10">
        <f>'Motor Vs Weekends'!H101</f>
        <v>3169918.1098901099</v>
      </c>
      <c r="O55" s="136">
        <f>ROW()</f>
        <v>55</v>
      </c>
    </row>
    <row r="56" spans="2:68" ht="12">
      <c r="B56" s="6"/>
      <c r="H56" s="575"/>
      <c r="M56" s="118" t="s">
        <v>674</v>
      </c>
      <c r="N56" s="10">
        <f>N54-N55</f>
        <v>331.10285714268684</v>
      </c>
      <c r="O56" s="136">
        <f>ROW()</f>
        <v>56</v>
      </c>
    </row>
    <row r="57" spans="2:68" ht="13.2">
      <c r="B57" s="24" t="s">
        <v>1653</v>
      </c>
      <c r="H57" s="575"/>
      <c r="O57" s="136">
        <f>ROW()</f>
        <v>57</v>
      </c>
    </row>
    <row r="58" spans="2:68" ht="11.7" customHeight="1">
      <c r="F58" s="4957" t="s">
        <v>1174</v>
      </c>
      <c r="G58" s="5005" t="s">
        <v>459</v>
      </c>
      <c r="H58" s="4147"/>
      <c r="I58" s="4147"/>
      <c r="J58" s="4147"/>
      <c r="K58" s="4147"/>
      <c r="L58" s="4147"/>
      <c r="M58" s="4147"/>
      <c r="N58" s="4147"/>
      <c r="O58" s="136">
        <f>ROW()</f>
        <v>58</v>
      </c>
    </row>
    <row r="59" spans="2:68">
      <c r="F59" s="4958"/>
      <c r="G59" s="20" t="str">
        <f>'Motor Vs Weekends'!G115</f>
        <v>Graveyard</v>
      </c>
      <c r="H59" s="20" t="str">
        <f>'Motor Vs Weekends'!H115</f>
        <v>Early Shoulder</v>
      </c>
      <c r="I59" s="20" t="str">
        <f>'Motor Vs Weekends'!I115</f>
        <v>Shoulder 1</v>
      </c>
      <c r="J59" s="20" t="str">
        <f>'Motor Vs Weekends'!J115</f>
        <v>Peak</v>
      </c>
      <c r="K59" s="20" t="str">
        <f>'Motor Vs Weekends'!K115</f>
        <v>Shoulder 2</v>
      </c>
      <c r="L59" s="20" t="str">
        <f>'Motor Vs Weekends'!L115</f>
        <v>Late Shoulder</v>
      </c>
      <c r="M59" s="880"/>
      <c r="N59" s="20" t="str">
        <f>'Motor Vs Weekends'!N115</f>
        <v>Totals</v>
      </c>
      <c r="O59" s="136">
        <f>ROW()</f>
        <v>59</v>
      </c>
      <c r="P59" s="20" t="str">
        <f t="shared" ref="P59:U61" si="3">G59</f>
        <v>Graveyard</v>
      </c>
      <c r="Q59" s="20" t="str">
        <f t="shared" si="3"/>
        <v>Early Shoulder</v>
      </c>
      <c r="R59" s="20" t="str">
        <f t="shared" si="3"/>
        <v>Shoulder 1</v>
      </c>
      <c r="S59" s="20" t="str">
        <f t="shared" si="3"/>
        <v>Peak</v>
      </c>
      <c r="T59" s="20" t="str">
        <f t="shared" si="3"/>
        <v>Shoulder 2</v>
      </c>
      <c r="U59" s="20" t="str">
        <f t="shared" si="3"/>
        <v>Late Shoulder</v>
      </c>
      <c r="V59" s="880"/>
      <c r="W59" s="20" t="s">
        <v>2684</v>
      </c>
      <c r="Y59" s="20" t="str">
        <f t="shared" ref="Y59:AD61" si="4">P59</f>
        <v>Graveyard</v>
      </c>
      <c r="Z59" s="20" t="str">
        <f t="shared" si="4"/>
        <v>Early Shoulder</v>
      </c>
      <c r="AA59" s="20" t="str">
        <f t="shared" si="4"/>
        <v>Shoulder 1</v>
      </c>
      <c r="AB59" s="20" t="str">
        <f t="shared" si="4"/>
        <v>Peak</v>
      </c>
      <c r="AC59" s="20" t="str">
        <f t="shared" si="4"/>
        <v>Shoulder 2</v>
      </c>
      <c r="AD59" s="20" t="str">
        <f t="shared" si="4"/>
        <v>Late Shoulder</v>
      </c>
      <c r="AE59" s="880"/>
      <c r="AF59" s="20" t="s">
        <v>2684</v>
      </c>
      <c r="AH59" s="20" t="str">
        <f t="shared" ref="AH59:AM61" si="5">Y59</f>
        <v>Graveyard</v>
      </c>
      <c r="AI59" s="20" t="str">
        <f t="shared" si="5"/>
        <v>Early Shoulder</v>
      </c>
      <c r="AJ59" s="20" t="str">
        <f t="shared" si="5"/>
        <v>Shoulder 1</v>
      </c>
      <c r="AK59" s="20" t="str">
        <f t="shared" si="5"/>
        <v>Peak</v>
      </c>
      <c r="AL59" s="20" t="str">
        <f t="shared" si="5"/>
        <v>Shoulder 2</v>
      </c>
      <c r="AM59" s="20" t="str">
        <f t="shared" si="5"/>
        <v>Late Shoulder</v>
      </c>
      <c r="AN59" s="880"/>
      <c r="AO59" s="20" t="s">
        <v>2684</v>
      </c>
      <c r="AQ59" s="20" t="str">
        <f t="shared" ref="AQ59:AV61" si="6">AH59</f>
        <v>Graveyard</v>
      </c>
      <c r="AR59" s="20" t="str">
        <f t="shared" si="6"/>
        <v>Early Shoulder</v>
      </c>
      <c r="AS59" s="20" t="str">
        <f t="shared" si="6"/>
        <v>Shoulder 1</v>
      </c>
      <c r="AT59" s="20" t="str">
        <f t="shared" si="6"/>
        <v>Peak</v>
      </c>
      <c r="AU59" s="20" t="str">
        <f t="shared" si="6"/>
        <v>Shoulder 2</v>
      </c>
      <c r="AV59" s="20" t="str">
        <f t="shared" si="6"/>
        <v>Late Shoulder</v>
      </c>
      <c r="AW59" s="880"/>
      <c r="AX59" s="20" t="s">
        <v>2684</v>
      </c>
      <c r="AZ59" s="20" t="str">
        <f t="shared" ref="AZ59:BE61" si="7">AQ59</f>
        <v>Graveyard</v>
      </c>
      <c r="BA59" s="20" t="str">
        <f t="shared" si="7"/>
        <v>Early Shoulder</v>
      </c>
      <c r="BB59" s="20" t="str">
        <f t="shared" si="7"/>
        <v>Shoulder 1</v>
      </c>
      <c r="BC59" s="20" t="str">
        <f t="shared" si="7"/>
        <v>Peak</v>
      </c>
      <c r="BD59" s="20" t="str">
        <f t="shared" si="7"/>
        <v>Shoulder 2</v>
      </c>
      <c r="BE59" s="20" t="str">
        <f t="shared" si="7"/>
        <v>Late Shoulder</v>
      </c>
      <c r="BF59" s="880"/>
      <c r="BG59" s="20" t="s">
        <v>2684</v>
      </c>
      <c r="BI59" s="20" t="str">
        <f t="shared" ref="BI59:BN61" si="8">AZ59</f>
        <v>Graveyard</v>
      </c>
      <c r="BJ59" s="20" t="str">
        <f t="shared" si="8"/>
        <v>Early Shoulder</v>
      </c>
      <c r="BK59" s="20" t="str">
        <f t="shared" si="8"/>
        <v>Shoulder 1</v>
      </c>
      <c r="BL59" s="20" t="str">
        <f t="shared" si="8"/>
        <v>Peak</v>
      </c>
      <c r="BM59" s="20" t="str">
        <f t="shared" si="8"/>
        <v>Shoulder 2</v>
      </c>
      <c r="BN59" s="20" t="str">
        <f t="shared" si="8"/>
        <v>Late Shoulder</v>
      </c>
      <c r="BO59" s="880"/>
      <c r="BP59" s="20" t="s">
        <v>2684</v>
      </c>
    </row>
    <row r="60" spans="2:68" s="7" customFormat="1">
      <c r="B60"/>
      <c r="C60"/>
      <c r="D60"/>
      <c r="E60"/>
      <c r="F60" s="4958"/>
      <c r="G60" s="298" t="str">
        <f>'Motor Vs Weekends'!G116</f>
        <v>Midnight-10 am</v>
      </c>
      <c r="H60" s="298" t="str">
        <f>'Motor Vs Weekends'!H116</f>
        <v>10 am-Noon</v>
      </c>
      <c r="I60" s="298" t="str">
        <f>'Motor Vs Weekends'!I116</f>
        <v>Noon-5 pm</v>
      </c>
      <c r="J60" s="298" t="str">
        <f>'Motor Vs Weekends'!J116</f>
        <v>5 pm-8 pm</v>
      </c>
      <c r="K60" s="298" t="str">
        <f>'Motor Vs Weekends'!K116</f>
        <v>8 pm-10 pm</v>
      </c>
      <c r="L60" s="298" t="str">
        <f>'Motor Vs Weekends'!L116</f>
        <v>10 pm-Midnight</v>
      </c>
      <c r="M60" s="298"/>
      <c r="N60" s="298"/>
      <c r="O60" s="136">
        <f>ROW()</f>
        <v>60</v>
      </c>
      <c r="P60" s="298" t="str">
        <f t="shared" si="3"/>
        <v>Midnight-10 am</v>
      </c>
      <c r="Q60" s="298" t="str">
        <f t="shared" si="3"/>
        <v>10 am-Noon</v>
      </c>
      <c r="R60" s="298" t="str">
        <f t="shared" si="3"/>
        <v>Noon-5 pm</v>
      </c>
      <c r="S60" s="298" t="str">
        <f t="shared" si="3"/>
        <v>5 pm-8 pm</v>
      </c>
      <c r="T60" s="298" t="str">
        <f t="shared" si="3"/>
        <v>8 pm-10 pm</v>
      </c>
      <c r="U60" s="298" t="str">
        <f t="shared" si="3"/>
        <v>10 pm-Midnight</v>
      </c>
      <c r="V60" s="298"/>
      <c r="W60" s="298"/>
      <c r="Y60" s="298" t="str">
        <f t="shared" si="4"/>
        <v>Midnight-10 am</v>
      </c>
      <c r="Z60" s="298" t="str">
        <f t="shared" si="4"/>
        <v>10 am-Noon</v>
      </c>
      <c r="AA60" s="298" t="str">
        <f t="shared" si="4"/>
        <v>Noon-5 pm</v>
      </c>
      <c r="AB60" s="298" t="str">
        <f t="shared" si="4"/>
        <v>5 pm-8 pm</v>
      </c>
      <c r="AC60" s="298" t="str">
        <f t="shared" si="4"/>
        <v>8 pm-10 pm</v>
      </c>
      <c r="AD60" s="298" t="str">
        <f t="shared" si="4"/>
        <v>10 pm-Midnight</v>
      </c>
      <c r="AE60" s="298"/>
      <c r="AF60" s="298"/>
      <c r="AH60" s="298" t="str">
        <f t="shared" si="5"/>
        <v>Midnight-10 am</v>
      </c>
      <c r="AI60" s="298" t="str">
        <f t="shared" si="5"/>
        <v>10 am-Noon</v>
      </c>
      <c r="AJ60" s="298" t="str">
        <f t="shared" si="5"/>
        <v>Noon-5 pm</v>
      </c>
      <c r="AK60" s="298" t="str">
        <f t="shared" si="5"/>
        <v>5 pm-8 pm</v>
      </c>
      <c r="AL60" s="298" t="str">
        <f t="shared" si="5"/>
        <v>8 pm-10 pm</v>
      </c>
      <c r="AM60" s="298" t="str">
        <f t="shared" si="5"/>
        <v>10 pm-Midnight</v>
      </c>
      <c r="AN60" s="298"/>
      <c r="AO60" s="298"/>
      <c r="AQ60" s="298" t="str">
        <f t="shared" si="6"/>
        <v>Midnight-10 am</v>
      </c>
      <c r="AR60" s="298" t="str">
        <f t="shared" si="6"/>
        <v>10 am-Noon</v>
      </c>
      <c r="AS60" s="298" t="str">
        <f t="shared" si="6"/>
        <v>Noon-5 pm</v>
      </c>
      <c r="AT60" s="298" t="str">
        <f t="shared" si="6"/>
        <v>5 pm-8 pm</v>
      </c>
      <c r="AU60" s="298" t="str">
        <f t="shared" si="6"/>
        <v>8 pm-10 pm</v>
      </c>
      <c r="AV60" s="298" t="str">
        <f t="shared" si="6"/>
        <v>10 pm-Midnight</v>
      </c>
      <c r="AW60" s="298"/>
      <c r="AX60" s="298"/>
      <c r="AZ60" s="298" t="str">
        <f t="shared" si="7"/>
        <v>Midnight-10 am</v>
      </c>
      <c r="BA60" s="298" t="str">
        <f t="shared" si="7"/>
        <v>10 am-Noon</v>
      </c>
      <c r="BB60" s="298" t="str">
        <f t="shared" si="7"/>
        <v>Noon-5 pm</v>
      </c>
      <c r="BC60" s="298" t="str">
        <f t="shared" si="7"/>
        <v>5 pm-8 pm</v>
      </c>
      <c r="BD60" s="298" t="str">
        <f t="shared" si="7"/>
        <v>8 pm-10 pm</v>
      </c>
      <c r="BE60" s="298" t="str">
        <f t="shared" si="7"/>
        <v>10 pm-Midnight</v>
      </c>
      <c r="BF60" s="298"/>
      <c r="BG60" s="298"/>
      <c r="BI60" s="298" t="str">
        <f t="shared" si="8"/>
        <v>Midnight-10 am</v>
      </c>
      <c r="BJ60" s="298" t="str">
        <f t="shared" si="8"/>
        <v>10 am-Noon</v>
      </c>
      <c r="BK60" s="298" t="str">
        <f t="shared" si="8"/>
        <v>Noon-5 pm</v>
      </c>
      <c r="BL60" s="298" t="str">
        <f t="shared" si="8"/>
        <v>5 pm-8 pm</v>
      </c>
      <c r="BM60" s="298" t="str">
        <f t="shared" si="8"/>
        <v>8 pm-10 pm</v>
      </c>
      <c r="BN60" s="298" t="str">
        <f t="shared" si="8"/>
        <v>10 pm-Midnight</v>
      </c>
      <c r="BO60" s="298"/>
      <c r="BP60" s="298"/>
    </row>
    <row r="61" spans="2:68" ht="12">
      <c r="B61" s="6" t="s">
        <v>2677</v>
      </c>
      <c r="D61" s="282" t="s">
        <v>1567</v>
      </c>
      <c r="F61" s="4959"/>
      <c r="G61" s="1210">
        <v>10</v>
      </c>
      <c r="H61" s="1210">
        <v>2</v>
      </c>
      <c r="I61" s="1210">
        <v>5</v>
      </c>
      <c r="J61" s="1210">
        <v>3</v>
      </c>
      <c r="K61" s="1210">
        <v>2</v>
      </c>
      <c r="L61" s="1210">
        <v>2</v>
      </c>
      <c r="M61" s="1210"/>
      <c r="N61" s="1082">
        <f>SUM(G61:M61)</f>
        <v>24</v>
      </c>
      <c r="O61" s="136">
        <f>ROW()</f>
        <v>61</v>
      </c>
      <c r="P61" s="1210">
        <f t="shared" si="3"/>
        <v>10</v>
      </c>
      <c r="Q61" s="1210">
        <f t="shared" si="3"/>
        <v>2</v>
      </c>
      <c r="R61" s="1210">
        <f t="shared" si="3"/>
        <v>5</v>
      </c>
      <c r="S61" s="1210">
        <f t="shared" si="3"/>
        <v>3</v>
      </c>
      <c r="T61" s="1210">
        <f t="shared" si="3"/>
        <v>2</v>
      </c>
      <c r="U61" s="1210">
        <f t="shared" si="3"/>
        <v>2</v>
      </c>
      <c r="V61" s="1210"/>
      <c r="W61" s="1082">
        <f>SUM(P61:V61)</f>
        <v>24</v>
      </c>
      <c r="Y61" s="1210">
        <f t="shared" si="4"/>
        <v>10</v>
      </c>
      <c r="Z61" s="1210">
        <f t="shared" si="4"/>
        <v>2</v>
      </c>
      <c r="AA61" s="1210">
        <f t="shared" si="4"/>
        <v>5</v>
      </c>
      <c r="AB61" s="1210">
        <f t="shared" si="4"/>
        <v>3</v>
      </c>
      <c r="AC61" s="1210">
        <f t="shared" si="4"/>
        <v>2</v>
      </c>
      <c r="AD61" s="1210">
        <f t="shared" si="4"/>
        <v>2</v>
      </c>
      <c r="AE61" s="1210"/>
      <c r="AF61" s="1082">
        <f>SUM(Y61:AE61)</f>
        <v>24</v>
      </c>
      <c r="AH61" s="1210">
        <f t="shared" si="5"/>
        <v>10</v>
      </c>
      <c r="AI61" s="1210">
        <f t="shared" si="5"/>
        <v>2</v>
      </c>
      <c r="AJ61" s="1210">
        <f t="shared" si="5"/>
        <v>5</v>
      </c>
      <c r="AK61" s="1210">
        <f t="shared" si="5"/>
        <v>3</v>
      </c>
      <c r="AL61" s="1210">
        <f t="shared" si="5"/>
        <v>2</v>
      </c>
      <c r="AM61" s="1210">
        <f t="shared" si="5"/>
        <v>2</v>
      </c>
      <c r="AN61" s="1210"/>
      <c r="AO61" s="1082">
        <f>SUM(AH61:AN61)</f>
        <v>24</v>
      </c>
      <c r="AQ61" s="1210">
        <f t="shared" si="6"/>
        <v>10</v>
      </c>
      <c r="AR61" s="1210">
        <f t="shared" si="6"/>
        <v>2</v>
      </c>
      <c r="AS61" s="1210">
        <f t="shared" si="6"/>
        <v>5</v>
      </c>
      <c r="AT61" s="1210">
        <f t="shared" si="6"/>
        <v>3</v>
      </c>
      <c r="AU61" s="1210">
        <f t="shared" si="6"/>
        <v>2</v>
      </c>
      <c r="AV61" s="1210">
        <f t="shared" si="6"/>
        <v>2</v>
      </c>
      <c r="AW61" s="1210"/>
      <c r="AX61" s="1082">
        <f>SUM(AQ61:AW61)</f>
        <v>24</v>
      </c>
      <c r="AZ61" s="1210">
        <f t="shared" si="7"/>
        <v>10</v>
      </c>
      <c r="BA61" s="1210">
        <f t="shared" si="7"/>
        <v>2</v>
      </c>
      <c r="BB61" s="1210">
        <f t="shared" si="7"/>
        <v>5</v>
      </c>
      <c r="BC61" s="1210">
        <f t="shared" si="7"/>
        <v>3</v>
      </c>
      <c r="BD61" s="1210">
        <f t="shared" si="7"/>
        <v>2</v>
      </c>
      <c r="BE61" s="1210">
        <f t="shared" si="7"/>
        <v>2</v>
      </c>
      <c r="BF61" s="1210"/>
      <c r="BG61" s="1082">
        <f>SUM(AZ61:BF61)</f>
        <v>24</v>
      </c>
      <c r="BI61" s="1210">
        <f t="shared" si="8"/>
        <v>10</v>
      </c>
      <c r="BJ61" s="1210">
        <f t="shared" si="8"/>
        <v>2</v>
      </c>
      <c r="BK61" s="1210">
        <f t="shared" si="8"/>
        <v>5</v>
      </c>
      <c r="BL61" s="1210">
        <f t="shared" si="8"/>
        <v>3</v>
      </c>
      <c r="BM61" s="1210">
        <f t="shared" si="8"/>
        <v>2</v>
      </c>
      <c r="BN61" s="1210">
        <f t="shared" si="8"/>
        <v>2</v>
      </c>
      <c r="BO61" s="1210"/>
      <c r="BP61" s="1082">
        <f>SUM(BI61:BO61)</f>
        <v>24</v>
      </c>
    </row>
    <row r="62" spans="2:68">
      <c r="B62" s="281" t="s">
        <v>1566</v>
      </c>
      <c r="F62" s="1097" t="s">
        <v>988</v>
      </c>
      <c r="G62" s="34">
        <f t="shared" ref="G62:L62" si="9">IF($F$62 = G59, 1, 0)</f>
        <v>0</v>
      </c>
      <c r="H62" s="34">
        <f t="shared" si="9"/>
        <v>0</v>
      </c>
      <c r="I62" s="34">
        <f t="shared" si="9"/>
        <v>0</v>
      </c>
      <c r="J62" s="34">
        <f t="shared" si="9"/>
        <v>0</v>
      </c>
      <c r="K62" s="34">
        <f t="shared" si="9"/>
        <v>1</v>
      </c>
      <c r="L62" s="34">
        <f t="shared" si="9"/>
        <v>0</v>
      </c>
      <c r="M62" s="1210"/>
      <c r="O62" s="136">
        <f>ROW()</f>
        <v>62</v>
      </c>
    </row>
    <row r="63" spans="2:68" ht="12">
      <c r="B63" s="282"/>
      <c r="C63" s="1197"/>
      <c r="D63" s="1197"/>
      <c r="E63" s="1198" t="s">
        <v>2099</v>
      </c>
      <c r="F63" s="1197">
        <v>0</v>
      </c>
      <c r="G63" s="34">
        <f t="shared" ref="G63:L63" si="10">1-G62+(1-$F63)*G62</f>
        <v>1</v>
      </c>
      <c r="H63" s="34">
        <f t="shared" si="10"/>
        <v>1</v>
      </c>
      <c r="I63" s="34">
        <f t="shared" si="10"/>
        <v>1</v>
      </c>
      <c r="J63" s="34">
        <f t="shared" si="10"/>
        <v>1</v>
      </c>
      <c r="K63" s="34">
        <f t="shared" si="10"/>
        <v>1</v>
      </c>
      <c r="L63" s="34">
        <f t="shared" si="10"/>
        <v>1</v>
      </c>
      <c r="M63" s="34"/>
      <c r="O63" s="136">
        <f>ROW()</f>
        <v>63</v>
      </c>
      <c r="P63" s="4147" t="s">
        <v>1599</v>
      </c>
      <c r="Q63" s="4147"/>
      <c r="R63" s="4147"/>
      <c r="S63" s="4147"/>
      <c r="T63" s="4147"/>
      <c r="U63" s="4147"/>
      <c r="V63" s="4147"/>
      <c r="W63" s="4147"/>
      <c r="Y63" s="4147" t="s">
        <v>1600</v>
      </c>
      <c r="Z63" s="4147"/>
      <c r="AA63" s="4147"/>
      <c r="AB63" s="4147"/>
      <c r="AC63" s="4147"/>
      <c r="AD63" s="4147"/>
      <c r="AE63" s="4147"/>
      <c r="AF63" s="4147"/>
      <c r="AH63" s="4147" t="s">
        <v>1408</v>
      </c>
      <c r="AI63" s="4147"/>
      <c r="AJ63" s="4147"/>
      <c r="AK63" s="4147"/>
      <c r="AL63" s="4147"/>
      <c r="AM63" s="4147"/>
      <c r="AN63" s="4147"/>
      <c r="AO63" s="4147"/>
      <c r="AQ63" s="4147" t="s">
        <v>372</v>
      </c>
      <c r="AR63" s="4147"/>
      <c r="AS63" s="4147"/>
      <c r="AT63" s="4147"/>
      <c r="AU63" s="4147"/>
      <c r="AV63" s="4147"/>
      <c r="AW63" s="4147"/>
      <c r="AX63" s="4147"/>
      <c r="AZ63" s="4147" t="s">
        <v>372</v>
      </c>
      <c r="BA63" s="4147"/>
      <c r="BB63" s="4147"/>
      <c r="BC63" s="4147"/>
      <c r="BD63" s="4147"/>
      <c r="BE63" s="4147"/>
      <c r="BF63" s="4147"/>
      <c r="BG63" s="4147"/>
      <c r="BI63" s="4147" t="s">
        <v>372</v>
      </c>
      <c r="BJ63" s="4147"/>
      <c r="BK63" s="4147"/>
      <c r="BL63" s="4147"/>
      <c r="BM63" s="4147"/>
      <c r="BN63" s="4147"/>
      <c r="BO63" s="4147"/>
      <c r="BP63" s="4147"/>
    </row>
    <row r="64" spans="2:68" ht="12">
      <c r="B64" s="282"/>
      <c r="G64" s="34"/>
      <c r="H64" s="34"/>
      <c r="I64" s="34"/>
      <c r="J64" s="34"/>
      <c r="K64" s="34"/>
      <c r="L64" s="34"/>
      <c r="M64" s="34"/>
      <c r="O64" s="136">
        <f>ROW()</f>
        <v>64</v>
      </c>
      <c r="P64" s="6"/>
      <c r="Y64" s="6"/>
      <c r="AH64" s="6"/>
      <c r="AQ64" s="6"/>
      <c r="AZ64" s="6"/>
    </row>
    <row r="65" spans="2:68" ht="12">
      <c r="B65" s="172" t="s">
        <v>1181</v>
      </c>
      <c r="O65" s="136">
        <f>ROW()</f>
        <v>65</v>
      </c>
      <c r="AW65" s="1133"/>
    </row>
    <row r="66" spans="2:68" ht="12">
      <c r="B66" s="281" t="s">
        <v>664</v>
      </c>
      <c r="G66" s="1133">
        <f t="shared" ref="G66:L66" si="11">P66+Y66+AH66+AQ66+AZ66+BI66</f>
        <v>138094.94622810269</v>
      </c>
      <c r="H66" s="1133">
        <f t="shared" si="11"/>
        <v>53594.813024996743</v>
      </c>
      <c r="I66" s="1133">
        <f t="shared" si="11"/>
        <v>168482.99354880312</v>
      </c>
      <c r="J66" s="1133">
        <f t="shared" si="11"/>
        <v>108615.6084364071</v>
      </c>
      <c r="K66" s="1133">
        <f t="shared" si="11"/>
        <v>64222.891767235815</v>
      </c>
      <c r="L66" s="1133">
        <f t="shared" si="11"/>
        <v>49625.413661121056</v>
      </c>
      <c r="M66" s="1133"/>
      <c r="N66" s="186">
        <f>SUM(G66:M66)</f>
        <v>582636.66666666651</v>
      </c>
      <c r="O66" s="136">
        <f>ROW()</f>
        <v>66</v>
      </c>
      <c r="P66" s="10">
        <f>'Motor Vs Weekends'!P122+G62*$H37</f>
        <v>28522.13209248865</v>
      </c>
      <c r="Q66" s="10">
        <f>'Motor Vs Weekends'!Q122+H62*$H37</f>
        <v>10217.017014387875</v>
      </c>
      <c r="R66" s="10">
        <f>'Motor Vs Weekends'!R122+I62*$H37</f>
        <v>26757.609886307222</v>
      </c>
      <c r="S66" s="10">
        <f>'Motor Vs Weekends'!S122+J62*$H37</f>
        <v>10349.37255152519</v>
      </c>
      <c r="T66" s="10">
        <f>'Motor Vs Weekends'!T122+K62*$H37</f>
        <v>10203.995687169994</v>
      </c>
      <c r="U66" s="10">
        <f>'Motor Vs Weekends'!U122+L62*$H37</f>
        <v>6305.1977681210501</v>
      </c>
      <c r="V66" s="10"/>
      <c r="W66" s="10">
        <f>SUM(P66:V66)</f>
        <v>92355.324999999983</v>
      </c>
      <c r="Y66" s="10">
        <f>'Motor Vs Weekends'!Y122+G62*$I37</f>
        <v>49937.245707653819</v>
      </c>
      <c r="Z66" s="10">
        <f>'Motor Vs Weekends'!Z122+H62*$I37</f>
        <v>21425.205704382835</v>
      </c>
      <c r="AA66" s="10">
        <f>'Motor Vs Weekends'!AA122+I62*$I37</f>
        <v>83953.025060198139</v>
      </c>
      <c r="AB66" s="10">
        <f>'Motor Vs Weekends'!AB122+J62*$I37</f>
        <v>63434.592652564301</v>
      </c>
      <c r="AC66" s="10">
        <f>'Motor Vs Weekends'!AC122+K62*$I37</f>
        <v>32012.631520797626</v>
      </c>
      <c r="AD66" s="10">
        <f>'Motor Vs Weekends'!AD122+L62*$I37</f>
        <v>26303.274354403158</v>
      </c>
      <c r="AE66" s="10"/>
      <c r="AF66" s="10">
        <f>SUM(Y66:AE66)</f>
        <v>277065.97499999986</v>
      </c>
      <c r="AH66" s="10">
        <f>'Motor Vs Weekends'!AH122+G62*$J37</f>
        <v>39860.250636171477</v>
      </c>
      <c r="AI66" s="10">
        <f>'Motor Vs Weekends'!AI122+H62*$J37</f>
        <v>14278.485830825384</v>
      </c>
      <c r="AJ66" s="10">
        <f>'Motor Vs Weekends'!AJ122+I62*$J37</f>
        <v>33654.865973241489</v>
      </c>
      <c r="AK66" s="10">
        <f>'Motor Vs Weekends'!AK122+J62*$J37</f>
        <v>19284.607125124319</v>
      </c>
      <c r="AL66" s="10">
        <f>'Motor Vs Weekends'!AL122+K62*$J37</f>
        <v>12827.395303825355</v>
      </c>
      <c r="AM66" s="10">
        <f>'Motor Vs Weekends'!AM122+L62*$J37</f>
        <v>9913.0951308119984</v>
      </c>
      <c r="AN66" s="10"/>
      <c r="AO66" s="10">
        <f>SUM(AH66:AN66)</f>
        <v>129818.70000000001</v>
      </c>
      <c r="AQ66" s="1133">
        <f>'Motor Vs Weekends'!AQ122</f>
        <v>15413.033971776687</v>
      </c>
      <c r="AR66" s="1133">
        <f>'Motor Vs Weekends'!AR122</f>
        <v>5981.2557364528075</v>
      </c>
      <c r="AS66" s="1133">
        <f>'Motor Vs Weekends'!AS122</f>
        <v>18797.358258387518</v>
      </c>
      <c r="AT66" s="1133">
        <f>'Motor Vs Weekends'!AT122</f>
        <v>12117.478879662214</v>
      </c>
      <c r="AU66" s="1133">
        <f>'Motor Vs Weekends'!AU122</f>
        <v>7154.0809177479296</v>
      </c>
      <c r="AV66" s="1133">
        <f>'Motor Vs Weekends'!AV122</f>
        <v>5536.7922359728418</v>
      </c>
      <c r="AW66" s="10"/>
      <c r="AX66" s="10">
        <f>SUM(AQ66:AW66)</f>
        <v>65000</v>
      </c>
      <c r="AZ66" s="10">
        <f>'Motor Vs Weekends'!AZ122</f>
        <v>3009.0984784899406</v>
      </c>
      <c r="BA66" s="10">
        <f>'Motor Vs Weekends'!BA122</f>
        <v>1167.7251583936327</v>
      </c>
      <c r="BB66" s="10">
        <f>'Motor Vs Weekends'!BB122</f>
        <v>3669.8227122913472</v>
      </c>
      <c r="BC66" s="10">
        <f>'Motor Vs Weekends'!BC122</f>
        <v>2365.7047228140536</v>
      </c>
      <c r="BD66" s="10">
        <f>'Motor Vs Weekends'!BD122</f>
        <v>1396.6967207110956</v>
      </c>
      <c r="BE66" s="10">
        <f>'Motor Vs Weekends'!BE122</f>
        <v>1080.9522072999284</v>
      </c>
      <c r="BF66" s="10"/>
      <c r="BG66" s="10">
        <f>SUM(AZ66:BF66)</f>
        <v>12689.999999999998</v>
      </c>
      <c r="BI66" s="10">
        <f>'Motor Vs Weekends'!BI122</f>
        <v>1353.1853415221378</v>
      </c>
      <c r="BJ66" s="10">
        <f>'Motor Vs Weekends'!BJ122</f>
        <v>525.12358055421578</v>
      </c>
      <c r="BK66" s="10">
        <f>'Motor Vs Weekends'!BK122</f>
        <v>1650.3116583774067</v>
      </c>
      <c r="BL66" s="10">
        <f>'Motor Vs Weekends'!BL122</f>
        <v>1063.8525047170108</v>
      </c>
      <c r="BM66" s="10">
        <f>'Motor Vs Weekends'!BM122</f>
        <v>628.09161698381831</v>
      </c>
      <c r="BN66" s="10">
        <f>'Motor Vs Weekends'!BN122</f>
        <v>486.10196451207725</v>
      </c>
      <c r="BO66" s="10"/>
      <c r="BP66" s="10">
        <f>SUM(BI66:BO66)</f>
        <v>5706.6666666666661</v>
      </c>
    </row>
    <row r="67" spans="2:68">
      <c r="B67" s="309" t="s">
        <v>1557</v>
      </c>
      <c r="O67" s="136">
        <f>ROW()</f>
        <v>67</v>
      </c>
      <c r="P67" s="282" t="s">
        <v>100</v>
      </c>
      <c r="Y67" s="282" t="s">
        <v>101</v>
      </c>
      <c r="AH67" s="282" t="s">
        <v>1601</v>
      </c>
      <c r="AW67" s="10"/>
      <c r="AZ67" s="282" t="s">
        <v>1762</v>
      </c>
      <c r="BI67" s="282" t="s">
        <v>1763</v>
      </c>
    </row>
    <row r="68" spans="2:68" ht="12">
      <c r="B68" s="1052" t="s">
        <v>979</v>
      </c>
      <c r="C68" s="1053"/>
      <c r="D68" s="1053"/>
      <c r="E68" s="1053"/>
      <c r="F68" s="1053"/>
      <c r="G68" s="1178">
        <f t="shared" ref="G68:L68" si="12">P68+Y68+AH68+AQ68+AZ68+BI68</f>
        <v>216053.15165292128</v>
      </c>
      <c r="H68" s="1178">
        <f t="shared" si="12"/>
        <v>83969.148350506526</v>
      </c>
      <c r="I68" s="1178">
        <f t="shared" si="12"/>
        <v>265087.57275270001</v>
      </c>
      <c r="J68" s="1178">
        <f t="shared" si="12"/>
        <v>171134.1747185089</v>
      </c>
      <c r="K68" s="1178">
        <f t="shared" si="12"/>
        <v>101037.72946890371</v>
      </c>
      <c r="L68" s="1178">
        <f t="shared" si="12"/>
        <v>78079.68638979274</v>
      </c>
      <c r="M68" s="1178"/>
      <c r="N68" s="1054">
        <f>SUM(G68:M68)</f>
        <v>915361.46333333314</v>
      </c>
      <c r="O68" s="136">
        <f>ROW()</f>
        <v>68</v>
      </c>
      <c r="P68" s="10">
        <f t="shared" ref="P68:U68" si="13">P66*$H$39</f>
        <v>42783.198138732972</v>
      </c>
      <c r="Q68" s="10">
        <f t="shared" si="13"/>
        <v>15325.525521581812</v>
      </c>
      <c r="R68" s="10">
        <f t="shared" si="13"/>
        <v>40136.414829460831</v>
      </c>
      <c r="S68" s="10">
        <f t="shared" si="13"/>
        <v>15524.058827287785</v>
      </c>
      <c r="T68" s="10">
        <f t="shared" si="13"/>
        <v>15305.993530754991</v>
      </c>
      <c r="U68" s="10">
        <f t="shared" si="13"/>
        <v>9457.7966521815761</v>
      </c>
      <c r="V68" s="10"/>
      <c r="W68" s="10">
        <f>SUM(P68:V68)</f>
        <v>138532.98749999996</v>
      </c>
      <c r="Y68" s="10">
        <f t="shared" ref="Y68:AD68" si="14">Y66*$I$39</f>
        <v>74905.868561480733</v>
      </c>
      <c r="Z68" s="10">
        <f t="shared" si="14"/>
        <v>32137.808556574251</v>
      </c>
      <c r="AA68" s="10">
        <f t="shared" si="14"/>
        <v>125929.5375902972</v>
      </c>
      <c r="AB68" s="10">
        <f t="shared" si="14"/>
        <v>95151.888978846458</v>
      </c>
      <c r="AC68" s="10">
        <f t="shared" si="14"/>
        <v>48018.947281196437</v>
      </c>
      <c r="AD68" s="10">
        <f t="shared" si="14"/>
        <v>39454.911531604739</v>
      </c>
      <c r="AE68" s="10"/>
      <c r="AF68" s="10">
        <f>SUM(Y68:AE68)</f>
        <v>415598.96249999979</v>
      </c>
      <c r="AH68" s="10">
        <f t="shared" ref="AH68:AM68" si="15">AH66*$J$39</f>
        <v>55804.350890640075</v>
      </c>
      <c r="AI68" s="10">
        <f t="shared" si="15"/>
        <v>19989.88016315554</v>
      </c>
      <c r="AJ68" s="10">
        <f t="shared" si="15"/>
        <v>47116.81236253809</v>
      </c>
      <c r="AK68" s="10">
        <f t="shared" si="15"/>
        <v>26998.449975174051</v>
      </c>
      <c r="AL68" s="10">
        <f t="shared" si="15"/>
        <v>17958.353425355497</v>
      </c>
      <c r="AM68" s="10">
        <f t="shared" si="15"/>
        <v>13878.3331831368</v>
      </c>
      <c r="AN68" s="10"/>
      <c r="AO68" s="10">
        <f>SUM(AH68:AN68)</f>
        <v>181746.18000000008</v>
      </c>
      <c r="AQ68" s="10">
        <f>AQ66*$K$39</f>
        <v>30826.067943553375</v>
      </c>
      <c r="AR68" s="10">
        <f t="shared" ref="AR68:AV68" si="16">AR66*$K$39</f>
        <v>11962.511472905615</v>
      </c>
      <c r="AS68" s="10">
        <f t="shared" si="16"/>
        <v>37594.716516775035</v>
      </c>
      <c r="AT68" s="10">
        <f t="shared" si="16"/>
        <v>24234.957759324428</v>
      </c>
      <c r="AU68" s="10">
        <f t="shared" si="16"/>
        <v>14308.161835495859</v>
      </c>
      <c r="AV68" s="10">
        <f t="shared" si="16"/>
        <v>11073.584471945684</v>
      </c>
      <c r="AW68" s="10"/>
      <c r="AX68" s="10">
        <f>SUM(AQ68:AW68)</f>
        <v>130000</v>
      </c>
      <c r="AZ68" s="10">
        <f t="shared" ref="AZ68:BE68" si="17">AZ66*$L$39</f>
        <v>9027.2954354698213</v>
      </c>
      <c r="BA68" s="10">
        <f t="shared" si="17"/>
        <v>3503.175475180898</v>
      </c>
      <c r="BB68" s="10">
        <f t="shared" si="17"/>
        <v>11009.468136874042</v>
      </c>
      <c r="BC68" s="10">
        <f t="shared" si="17"/>
        <v>7097.1141684421609</v>
      </c>
      <c r="BD68" s="10">
        <f t="shared" si="17"/>
        <v>4190.0901621332869</v>
      </c>
      <c r="BE68" s="10">
        <f t="shared" si="17"/>
        <v>3242.8566218997853</v>
      </c>
      <c r="BF68" s="10"/>
      <c r="BG68" s="10">
        <f>SUM(AZ68:BF68)</f>
        <v>38070</v>
      </c>
      <c r="BI68" s="10">
        <f t="shared" ref="BI68:BN68" si="18">BI66*$M$39</f>
        <v>2706.3706830442757</v>
      </c>
      <c r="BJ68" s="10">
        <f t="shared" si="18"/>
        <v>1050.2471611084316</v>
      </c>
      <c r="BK68" s="10">
        <f t="shared" si="18"/>
        <v>3300.6233167548135</v>
      </c>
      <c r="BL68" s="10">
        <f t="shared" si="18"/>
        <v>2127.7050094340216</v>
      </c>
      <c r="BM68" s="10">
        <f t="shared" si="18"/>
        <v>1256.1832339676366</v>
      </c>
      <c r="BN68" s="10">
        <f t="shared" si="18"/>
        <v>972.20392902415449</v>
      </c>
      <c r="BO68" s="10"/>
      <c r="BP68" s="10">
        <f>SUM(BI68:BO68)</f>
        <v>11413.333333333332</v>
      </c>
    </row>
    <row r="69" spans="2:68">
      <c r="B69" s="309" t="str">
        <f>CONCATENATE("Daily cordon entries in Row ",O66," times Cordon VMT per entry in Row ",O$39,".")</f>
        <v>Daily cordon entries in Row 66 times Cordon VMT per entry in Row 39.</v>
      </c>
      <c r="N69" s="138"/>
      <c r="O69" s="136">
        <f>ROW()</f>
        <v>69</v>
      </c>
      <c r="P69" s="10"/>
      <c r="Q69" s="10"/>
      <c r="R69" s="10"/>
      <c r="S69" s="10"/>
      <c r="T69" s="10"/>
      <c r="U69" s="10"/>
      <c r="V69" s="10"/>
      <c r="W69" s="10"/>
      <c r="Y69" s="10"/>
      <c r="Z69" s="10"/>
      <c r="AA69" s="10"/>
      <c r="AB69" s="10"/>
      <c r="AC69" s="10"/>
      <c r="AD69" s="10"/>
      <c r="AE69" s="10"/>
      <c r="AF69" s="10"/>
      <c r="AH69" s="10"/>
      <c r="AI69" s="10"/>
      <c r="AJ69" s="10"/>
      <c r="AK69" s="10"/>
      <c r="AL69" s="10"/>
      <c r="AM69" s="10"/>
      <c r="AN69" s="10"/>
      <c r="AO69" s="10"/>
      <c r="AQ69" s="282"/>
      <c r="AR69" s="10"/>
      <c r="AS69" s="10"/>
      <c r="AT69" s="10"/>
      <c r="AU69" s="10"/>
      <c r="AV69" s="10"/>
      <c r="AW69" s="10"/>
      <c r="AX69" s="10"/>
      <c r="AZ69" s="10"/>
      <c r="BA69" s="10"/>
      <c r="BB69" s="10"/>
      <c r="BC69" s="10"/>
      <c r="BD69" s="10"/>
      <c r="BE69" s="10"/>
      <c r="BF69" s="10"/>
      <c r="BG69" s="10"/>
      <c r="BI69" s="10"/>
      <c r="BJ69" s="10"/>
      <c r="BK69" s="10"/>
      <c r="BL69" s="10"/>
      <c r="BM69" s="10"/>
      <c r="BN69" s="10"/>
      <c r="BO69" s="10"/>
      <c r="BP69" s="10"/>
    </row>
    <row r="70" spans="2:68">
      <c r="B70" s="281"/>
      <c r="G70" s="138"/>
      <c r="H70" s="138"/>
      <c r="I70" s="138"/>
      <c r="J70" s="138"/>
      <c r="K70" s="138"/>
      <c r="L70" s="138"/>
      <c r="M70" s="138"/>
      <c r="N70" s="138"/>
      <c r="O70" s="136">
        <f>ROW()</f>
        <v>70</v>
      </c>
      <c r="P70" s="10"/>
      <c r="Q70" s="10"/>
      <c r="R70" s="10"/>
      <c r="S70" s="10"/>
      <c r="T70" s="10"/>
      <c r="U70" s="10"/>
      <c r="V70" s="10"/>
      <c r="W70" s="10"/>
      <c r="Y70" s="10"/>
      <c r="Z70" s="10"/>
      <c r="AA70" s="10"/>
      <c r="AB70" s="10"/>
      <c r="AC70" s="10"/>
      <c r="AD70" s="10"/>
      <c r="AE70" s="10"/>
      <c r="AF70" s="10"/>
      <c r="AH70" s="10"/>
      <c r="AI70" s="10"/>
      <c r="AJ70" s="10"/>
      <c r="AK70" s="10"/>
      <c r="AL70" s="10"/>
      <c r="AM70" s="10"/>
      <c r="AN70" s="10"/>
      <c r="AO70" s="10"/>
      <c r="AQ70" s="282"/>
      <c r="AR70" s="10"/>
      <c r="AS70" s="10"/>
      <c r="AT70" s="10"/>
      <c r="AU70" s="10"/>
      <c r="AV70" s="10"/>
      <c r="AW70" s="10"/>
      <c r="AX70" s="10"/>
      <c r="AZ70" s="10"/>
      <c r="BA70" s="10"/>
      <c r="BB70" s="10"/>
      <c r="BC70" s="10"/>
      <c r="BD70" s="10"/>
      <c r="BE70" s="10"/>
      <c r="BF70" s="10"/>
      <c r="BG70" s="10"/>
      <c r="BI70" s="10"/>
      <c r="BJ70" s="10"/>
      <c r="BK70" s="10"/>
      <c r="BL70" s="10"/>
      <c r="BM70" s="10"/>
      <c r="BN70" s="10"/>
      <c r="BO70" s="10"/>
      <c r="BP70" s="10"/>
    </row>
    <row r="71" spans="2:68" ht="12">
      <c r="B71" s="172" t="s">
        <v>907</v>
      </c>
      <c r="G71" s="138"/>
      <c r="H71" s="138"/>
      <c r="I71" s="138"/>
      <c r="J71" s="138"/>
      <c r="K71" s="138"/>
      <c r="L71" s="138"/>
      <c r="M71" s="138"/>
      <c r="N71" s="138"/>
      <c r="O71" s="136">
        <f>ROW()</f>
        <v>71</v>
      </c>
      <c r="P71" s="10"/>
      <c r="Q71" s="10"/>
      <c r="R71" s="10"/>
      <c r="S71" s="10"/>
      <c r="T71" s="10"/>
      <c r="U71" s="10"/>
      <c r="V71" s="10"/>
      <c r="W71" s="10"/>
      <c r="Y71" s="10"/>
      <c r="Z71" s="10"/>
      <c r="AA71" s="10"/>
      <c r="AB71" s="10"/>
      <c r="AC71" s="10"/>
      <c r="AD71" s="10"/>
      <c r="AE71" s="10"/>
      <c r="AF71" s="10"/>
      <c r="AH71" s="10"/>
      <c r="AI71" s="10"/>
      <c r="AJ71" s="10"/>
      <c r="AK71" s="10"/>
      <c r="AL71" s="10"/>
      <c r="AM71" s="10"/>
      <c r="AN71" s="10"/>
      <c r="AO71" s="10"/>
      <c r="AQ71" s="10"/>
      <c r="AR71" s="10"/>
      <c r="AS71" s="10"/>
      <c r="AT71" s="10"/>
      <c r="AU71" s="10"/>
      <c r="AV71" s="10"/>
      <c r="AW71" s="10"/>
      <c r="AX71" s="10"/>
      <c r="AZ71" s="10"/>
      <c r="BA71" s="10"/>
      <c r="BB71" s="10"/>
      <c r="BC71" s="10"/>
      <c r="BD71" s="10"/>
      <c r="BE71" s="10"/>
      <c r="BF71" s="10"/>
      <c r="BG71" s="10"/>
      <c r="BI71" s="10"/>
      <c r="BJ71" s="10"/>
      <c r="BK71" s="10"/>
      <c r="BL71" s="10"/>
      <c r="BM71" s="10"/>
      <c r="BN71" s="10"/>
      <c r="BO71" s="10"/>
      <c r="BP71" s="10"/>
    </row>
    <row r="72" spans="2:68" ht="12">
      <c r="B72" s="281" t="s">
        <v>2515</v>
      </c>
      <c r="G72" s="138">
        <f t="shared" ref="G72:L72" si="19">P72+Y72+AH72+AQ72+AZ72+BI72</f>
        <v>172644.74257383111</v>
      </c>
      <c r="H72" s="138">
        <f t="shared" si="19"/>
        <v>51437.901913192945</v>
      </c>
      <c r="I72" s="138">
        <f t="shared" si="19"/>
        <v>152685.00397471158</v>
      </c>
      <c r="J72" s="138">
        <f t="shared" si="19"/>
        <v>97058.393820157697</v>
      </c>
      <c r="K72" s="138">
        <f t="shared" si="19"/>
        <v>55012.534692158442</v>
      </c>
      <c r="L72" s="138">
        <f t="shared" si="19"/>
        <v>53798.089692614863</v>
      </c>
      <c r="M72" s="138"/>
      <c r="N72" s="186">
        <f>SUM(G72:M72)</f>
        <v>582636.66666666663</v>
      </c>
      <c r="O72" s="136">
        <f>ROW()</f>
        <v>72</v>
      </c>
      <c r="P72" s="10">
        <f>'Motor Vs Weekends'!P133+G63*$H$37*'Weekend Hours'!D86</f>
        <v>28052.780236608585</v>
      </c>
      <c r="Q72" s="10">
        <f>'Motor Vs Weekends'!Q133+H63*$H$37*'Weekend Hours'!E86</f>
        <v>8109.9264015873359</v>
      </c>
      <c r="R72" s="10">
        <f>'Motor Vs Weekends'!R133+I63*$H$37*'Weekend Hours'!F86</f>
        <v>23887.42660388806</v>
      </c>
      <c r="S72" s="10">
        <f>'Motor Vs Weekends'!S133+J63*$H$37*'Weekend Hours'!G86</f>
        <v>15155.666262181947</v>
      </c>
      <c r="T72" s="10">
        <f>'Motor Vs Weekends'!T133+K63*$H$37*'Weekend Hours'!H86</f>
        <v>8538.5214786424222</v>
      </c>
      <c r="U72" s="10">
        <f>'Motor Vs Weekends'!U133+L63*$H$37*'Weekend Hours'!I86</f>
        <v>8611.0040170916436</v>
      </c>
      <c r="V72" s="10"/>
      <c r="W72" s="10">
        <f>SUM(P72:V72)</f>
        <v>92355.324999999997</v>
      </c>
      <c r="Y72" s="10">
        <f>'Motor Vs Weekends'!Y133+G63*$I$37*'Weekend Hours'!D87</f>
        <v>84158.654731268369</v>
      </c>
      <c r="Z72" s="10">
        <f>'Motor Vs Weekends'!Z133+H63*$I$37*'Weekend Hours'!E87</f>
        <v>24331.171836778958</v>
      </c>
      <c r="AA72" s="10">
        <f>'Motor Vs Weekends'!AA133+I63*$I$37*'Weekend Hours'!F87</f>
        <v>71664.178657943718</v>
      </c>
      <c r="AB72" s="10">
        <f>'Motor Vs Weekends'!AB133+J63*$I$37*'Weekend Hours'!G87</f>
        <v>45463.827070674335</v>
      </c>
      <c r="AC72" s="10">
        <f>'Motor Vs Weekends'!AC133+K63*$I$37*'Weekend Hours'!H87</f>
        <v>25616.65207930714</v>
      </c>
      <c r="AD72" s="10">
        <f>'Motor Vs Weekends'!AD133+L63*$I$37*'Weekend Hours'!I87</f>
        <v>25831.490624027443</v>
      </c>
      <c r="AE72" s="10"/>
      <c r="AF72" s="10">
        <f>SUM(Y72:AE72)</f>
        <v>277065.97499999998</v>
      </c>
      <c r="AH72" s="10">
        <f>'Motor Vs Weekends'!AH133+G63*$J37*'Weekend Hours'!D87</f>
        <v>39432.315959986612</v>
      </c>
      <c r="AI72" s="10">
        <f>'Motor Vs Weekends'!AI133+H63*$J37*'Weekend Hours'!E87</f>
        <v>11400.095741099884</v>
      </c>
      <c r="AJ72" s="10">
        <f>'Motor Vs Weekends'!AJ133+I63*$J37*'Weekend Hours'!F87</f>
        <v>33577.79803851687</v>
      </c>
      <c r="AK72" s="10">
        <f>'Motor Vs Weekends'!AK133+J63*$J37*'Weekend Hours'!G87</f>
        <v>21302.497248522861</v>
      </c>
      <c r="AL72" s="10">
        <f>'Motor Vs Weekends'!AL133+K63*$J37*'Weekend Hours'!H87</f>
        <v>12002.454265507307</v>
      </c>
      <c r="AM72" s="10">
        <f>'Motor Vs Weekends'!AM133+L63*$J37*'Weekend Hours'!I87</f>
        <v>12103.538746366523</v>
      </c>
      <c r="AN72" s="10"/>
      <c r="AO72" s="10">
        <f>SUM(AH72:AN72)</f>
        <v>129818.70000000006</v>
      </c>
      <c r="AQ72" s="10">
        <f>'Motor Vs Weekends'!AQ133</f>
        <v>15413.033971776687</v>
      </c>
      <c r="AR72" s="10">
        <f>'Motor Vs Weekends'!AR133</f>
        <v>5981.2557364528075</v>
      </c>
      <c r="AS72" s="10">
        <f>'Motor Vs Weekends'!AS133</f>
        <v>18797.358258387518</v>
      </c>
      <c r="AT72" s="10">
        <f>'Motor Vs Weekends'!AT133</f>
        <v>12117.478879662214</v>
      </c>
      <c r="AU72" s="10">
        <f>'Motor Vs Weekends'!AU133</f>
        <v>7154.0809177479296</v>
      </c>
      <c r="AV72" s="10">
        <f>'Motor Vs Weekends'!AV133</f>
        <v>5536.7922359728418</v>
      </c>
      <c r="AW72" s="10"/>
      <c r="AX72" s="10">
        <f>SUM(AQ72:AW72)</f>
        <v>65000</v>
      </c>
      <c r="AZ72" s="10">
        <f>'Motor Vs Weekends'!AZ133</f>
        <v>3854.5669261903736</v>
      </c>
      <c r="BA72" s="10">
        <f>'Motor Vs Weekends'!BA133</f>
        <v>1114.3371108936415</v>
      </c>
      <c r="BB72" s="10">
        <f>'Motor Vs Weekends'!BB133</f>
        <v>3282.2302731687587</v>
      </c>
      <c r="BC72" s="10">
        <f>'Motor Vs Weekends'!BC133</f>
        <v>2082.4506314832297</v>
      </c>
      <c r="BD72" s="10">
        <f>'Motor Vs Weekends'!BD133</f>
        <v>1173.2278302736993</v>
      </c>
      <c r="BE72" s="10">
        <f>'Motor Vs Weekends'!BE133</f>
        <v>1183.1872279902968</v>
      </c>
      <c r="BF72" s="10"/>
      <c r="BG72" s="10">
        <f>SUM(AZ72:BF72)</f>
        <v>12690</v>
      </c>
      <c r="BI72" s="10">
        <f>'Motor Vs Weekends'!BI133</f>
        <v>1733.3907480005046</v>
      </c>
      <c r="BJ72" s="10">
        <f>'Motor Vs Weekends'!BJ133</f>
        <v>501.11508638032956</v>
      </c>
      <c r="BK72" s="10">
        <f>'Motor Vs Weekends'!BK133</f>
        <v>1476.01214280665</v>
      </c>
      <c r="BL72" s="10">
        <f>'Motor Vs Weekends'!BL133</f>
        <v>936.47372763312057</v>
      </c>
      <c r="BM72" s="10">
        <f>'Motor Vs Weekends'!BM133</f>
        <v>527.59812067995108</v>
      </c>
      <c r="BN72" s="10">
        <f>'Motor Vs Weekends'!BN133</f>
        <v>532.07684116611199</v>
      </c>
      <c r="BO72" s="10"/>
      <c r="BP72" s="10">
        <f>SUM(BI72:BO72)</f>
        <v>5706.6666666666679</v>
      </c>
    </row>
    <row r="73" spans="2:68">
      <c r="B73" s="309" t="s">
        <v>1557</v>
      </c>
      <c r="N73" s="138"/>
      <c r="O73" s="136">
        <f>ROW()</f>
        <v>73</v>
      </c>
      <c r="P73" s="282" t="s">
        <v>1062</v>
      </c>
      <c r="Q73" s="10"/>
      <c r="R73" s="10"/>
      <c r="S73" s="10"/>
      <c r="T73" s="10"/>
      <c r="U73" s="10"/>
      <c r="V73" s="10"/>
      <c r="W73" s="10"/>
      <c r="Y73" s="282" t="s">
        <v>779</v>
      </c>
      <c r="Z73" s="10"/>
      <c r="AA73" s="10"/>
      <c r="AB73" s="10"/>
      <c r="AC73" s="10"/>
      <c r="AD73" s="10"/>
      <c r="AE73" s="10"/>
      <c r="AF73" s="10"/>
      <c r="AH73" s="282" t="str">
        <f>CONCATENATE("Figures in preceding row are made equal to corresponding figues in row ",O66,", since thru-trips leave cordon shortly after entering.")</f>
        <v>Figures in preceding row are made equal to corresponding figues in row 66, since thru-trips leave cordon shortly after entering.</v>
      </c>
      <c r="AI73" s="10"/>
      <c r="AJ73" s="10"/>
      <c r="AK73" s="10"/>
      <c r="AL73" s="10"/>
      <c r="AM73" s="10"/>
      <c r="AN73" s="10"/>
      <c r="AO73" s="10"/>
      <c r="AQ73" s="282" t="s">
        <v>2299</v>
      </c>
      <c r="AR73" s="10"/>
      <c r="AS73" s="10"/>
      <c r="AT73" s="10"/>
      <c r="AU73" s="10"/>
      <c r="AV73" s="10"/>
      <c r="AW73" s="10"/>
      <c r="AX73" s="10"/>
      <c r="AZ73" s="282" t="s">
        <v>763</v>
      </c>
      <c r="BA73" s="10"/>
      <c r="BB73" s="10"/>
      <c r="BC73" s="10"/>
      <c r="BD73" s="10"/>
      <c r="BE73" s="10"/>
      <c r="BF73" s="10"/>
      <c r="BG73" s="10"/>
      <c r="BI73" s="282" t="s">
        <v>763</v>
      </c>
      <c r="BJ73" s="10"/>
      <c r="BK73" s="10"/>
      <c r="BL73" s="10"/>
      <c r="BM73" s="10"/>
      <c r="BN73" s="10"/>
      <c r="BO73" s="10"/>
      <c r="BP73" s="10"/>
    </row>
    <row r="74" spans="2:68" ht="12">
      <c r="B74" s="1052" t="s">
        <v>2484</v>
      </c>
      <c r="C74" s="1053"/>
      <c r="D74" s="1053"/>
      <c r="E74" s="1053"/>
      <c r="F74" s="1053"/>
      <c r="G74" s="1178">
        <f t="shared" ref="G74:L74" si="20">P74+Y74+AH74+AQ74+AZ74+BI74</f>
        <v>261672.42802803384</v>
      </c>
      <c r="H74" s="1178">
        <f t="shared" si="20"/>
        <v>77938.906505210063</v>
      </c>
      <c r="I74" s="1178">
        <f t="shared" si="20"/>
        <v>231331.07763937215</v>
      </c>
      <c r="J74" s="1178">
        <f t="shared" si="20"/>
        <v>147049.25381642565</v>
      </c>
      <c r="K74" s="1178">
        <f t="shared" si="20"/>
        <v>83342.197417437477</v>
      </c>
      <c r="L74" s="1178">
        <f t="shared" si="20"/>
        <v>81527.599926854149</v>
      </c>
      <c r="M74" s="1178"/>
      <c r="N74" s="1054">
        <f>SUM(G74:M74)</f>
        <v>882861.46333333326</v>
      </c>
      <c r="O74" s="136">
        <f>ROW()</f>
        <v>74</v>
      </c>
      <c r="P74" s="10">
        <f t="shared" ref="P74:U74" si="21">P72*$H$39</f>
        <v>42079.17035491288</v>
      </c>
      <c r="Q74" s="10">
        <f t="shared" si="21"/>
        <v>12164.889602381005</v>
      </c>
      <c r="R74" s="10">
        <f t="shared" si="21"/>
        <v>35831.139905832089</v>
      </c>
      <c r="S74" s="10">
        <f t="shared" si="21"/>
        <v>22733.499393272919</v>
      </c>
      <c r="T74" s="10">
        <f t="shared" si="21"/>
        <v>12807.782217963633</v>
      </c>
      <c r="U74" s="10">
        <f t="shared" si="21"/>
        <v>12916.506025637465</v>
      </c>
      <c r="V74" s="10"/>
      <c r="W74" s="10">
        <f>SUM(P74:V74)</f>
        <v>138532.98749999999</v>
      </c>
      <c r="Y74" s="10">
        <f t="shared" ref="Y74:AD74" si="22">Y72*$I$39</f>
        <v>126237.98209690256</v>
      </c>
      <c r="Z74" s="10">
        <f t="shared" si="22"/>
        <v>36496.757755168437</v>
      </c>
      <c r="AA74" s="10">
        <f t="shared" si="22"/>
        <v>107496.26798691557</v>
      </c>
      <c r="AB74" s="10">
        <f t="shared" si="22"/>
        <v>68195.740606011503</v>
      </c>
      <c r="AC74" s="10">
        <f t="shared" si="22"/>
        <v>38424.978118960709</v>
      </c>
      <c r="AD74" s="10">
        <f t="shared" si="22"/>
        <v>38747.235936041165</v>
      </c>
      <c r="AE74" s="10"/>
      <c r="AF74" s="10">
        <f>SUM(Y74:AE74)</f>
        <v>415598.96249999991</v>
      </c>
      <c r="AH74" s="10">
        <f t="shared" ref="AH74:AM74" si="23">AH72*$J$39</f>
        <v>55205.242343981263</v>
      </c>
      <c r="AI74" s="10">
        <f t="shared" si="23"/>
        <v>15960.134037539838</v>
      </c>
      <c r="AJ74" s="10">
        <f t="shared" si="23"/>
        <v>47008.917253923624</v>
      </c>
      <c r="AK74" s="10">
        <f t="shared" si="23"/>
        <v>29823.496147932008</v>
      </c>
      <c r="AL74" s="10">
        <f t="shared" si="23"/>
        <v>16803.435971710231</v>
      </c>
      <c r="AM74" s="10">
        <f t="shared" si="23"/>
        <v>16944.954244913133</v>
      </c>
      <c r="AN74" s="10"/>
      <c r="AO74" s="10">
        <f>SUM(AH74:AN74)</f>
        <v>181746.18000000008</v>
      </c>
      <c r="AQ74" s="10">
        <f>AQ72*$K$39*Taxis!$L$130</f>
        <v>23119.550957665029</v>
      </c>
      <c r="AR74" s="10">
        <f>AR72*$K$39*Taxis!$L$130</f>
        <v>8971.8836046792112</v>
      </c>
      <c r="AS74" s="10">
        <f>AS72*$K$39*Taxis!$L$130</f>
        <v>28196.037387581277</v>
      </c>
      <c r="AT74" s="10">
        <f>AT72*$K$39*Taxis!$L$130</f>
        <v>18176.21831949332</v>
      </c>
      <c r="AU74" s="10">
        <f>AU72*$K$39*Taxis!$L$130</f>
        <v>10731.121376621893</v>
      </c>
      <c r="AV74" s="10">
        <f>AV72*$K$39*Taxis!$L$130</f>
        <v>8305.1883539592636</v>
      </c>
      <c r="AW74" s="10"/>
      <c r="AX74" s="10">
        <f>SUM(AQ74:AW74)</f>
        <v>97500</v>
      </c>
      <c r="AZ74" s="10">
        <f t="shared" ref="AZ74:BE74" si="24">AZ72*$L$39</f>
        <v>11563.700778571121</v>
      </c>
      <c r="BA74" s="10">
        <f t="shared" si="24"/>
        <v>3343.0113326809242</v>
      </c>
      <c r="BB74" s="10">
        <f t="shared" si="24"/>
        <v>9846.6908195062751</v>
      </c>
      <c r="BC74" s="10">
        <f t="shared" si="24"/>
        <v>6247.3518944496891</v>
      </c>
      <c r="BD74" s="10">
        <f t="shared" si="24"/>
        <v>3519.6834908210976</v>
      </c>
      <c r="BE74" s="10">
        <f t="shared" si="24"/>
        <v>3549.5616839708905</v>
      </c>
      <c r="BF74" s="10"/>
      <c r="BG74" s="10">
        <f>SUM(AZ74:BF74)</f>
        <v>38069.999999999993</v>
      </c>
      <c r="BI74" s="10">
        <f t="shared" ref="BI74:BN74" si="25">BI72*$M$39</f>
        <v>3466.7814960010091</v>
      </c>
      <c r="BJ74" s="10">
        <f t="shared" si="25"/>
        <v>1002.2301727606591</v>
      </c>
      <c r="BK74" s="10">
        <f t="shared" si="25"/>
        <v>2952.0242856133</v>
      </c>
      <c r="BL74" s="10">
        <f t="shared" si="25"/>
        <v>1872.9474552662411</v>
      </c>
      <c r="BM74" s="10">
        <f t="shared" si="25"/>
        <v>1055.1962413599022</v>
      </c>
      <c r="BN74" s="10">
        <f t="shared" si="25"/>
        <v>1064.153682332224</v>
      </c>
      <c r="BO74" s="10"/>
      <c r="BP74" s="10">
        <f>SUM(BI74:BO74)</f>
        <v>11413.333333333336</v>
      </c>
    </row>
    <row r="75" spans="2:68">
      <c r="B75" s="309" t="str">
        <f>CONCATENATE("Daily cordon return trips in Row ",O72," times Cordon VMT per entry [which is same as per return] in Row ",O$39,".")</f>
        <v>Daily cordon return trips in Row 72 times Cordon VMT per entry [which is same as per return] in Row 39.</v>
      </c>
      <c r="O75" s="136">
        <f>ROW()</f>
        <v>75</v>
      </c>
      <c r="P75" s="10"/>
      <c r="Q75" s="10"/>
      <c r="R75" s="10"/>
      <c r="S75" s="10"/>
      <c r="T75" s="10"/>
      <c r="U75" s="10"/>
      <c r="V75" s="10"/>
      <c r="Y75" s="10"/>
      <c r="Z75" s="10"/>
      <c r="AA75" s="10"/>
      <c r="AB75" s="10"/>
      <c r="AC75" s="10"/>
      <c r="AD75" s="10"/>
      <c r="AE75" s="10"/>
      <c r="AH75" s="10"/>
      <c r="AI75" s="10"/>
      <c r="AJ75" s="10"/>
      <c r="AK75" s="10"/>
      <c r="AL75" s="10"/>
      <c r="AM75" s="10"/>
      <c r="AN75" s="10"/>
      <c r="AQ75" s="282"/>
      <c r="AR75" s="929"/>
      <c r="AS75" s="929"/>
      <c r="AT75" s="929"/>
      <c r="AU75" s="929"/>
      <c r="AV75" s="929"/>
      <c r="AW75" s="929"/>
      <c r="AZ75" s="10"/>
      <c r="BA75" s="10"/>
      <c r="BB75" s="10"/>
      <c r="BC75" s="10"/>
      <c r="BD75" s="10"/>
      <c r="BE75" s="10"/>
      <c r="BF75" s="10"/>
      <c r="BI75" s="10"/>
      <c r="BJ75" s="10"/>
      <c r="BK75" s="10"/>
      <c r="BL75" s="10"/>
      <c r="BM75" s="10"/>
      <c r="BN75" s="10"/>
      <c r="BO75" s="10"/>
    </row>
    <row r="76" spans="2:68">
      <c r="B76" s="281"/>
      <c r="O76" s="136">
        <f>ROW()</f>
        <v>76</v>
      </c>
      <c r="P76" s="10"/>
      <c r="Q76" s="10"/>
      <c r="R76" s="10"/>
      <c r="S76" s="10"/>
      <c r="T76" s="10"/>
      <c r="U76" s="10"/>
      <c r="V76" s="10"/>
      <c r="Y76" s="10"/>
      <c r="Z76" s="10"/>
      <c r="AA76" s="10"/>
      <c r="AB76" s="10"/>
      <c r="AC76" s="10"/>
      <c r="AD76" s="10"/>
      <c r="AE76" s="10"/>
      <c r="AH76" s="10"/>
      <c r="AI76" s="10"/>
      <c r="AJ76" s="10"/>
      <c r="AK76" s="10"/>
      <c r="AL76" s="10"/>
      <c r="AM76" s="10"/>
      <c r="AN76" s="10"/>
      <c r="AQ76" s="282"/>
      <c r="AR76" s="929"/>
      <c r="AS76" s="929"/>
      <c r="AT76" s="929"/>
      <c r="AU76" s="929"/>
      <c r="AV76" s="929"/>
      <c r="AW76" s="929"/>
      <c r="AZ76" s="10"/>
      <c r="BA76" s="10"/>
      <c r="BB76" s="10"/>
      <c r="BC76" s="10"/>
      <c r="BD76" s="10"/>
      <c r="BE76" s="10"/>
      <c r="BF76" s="10"/>
      <c r="BI76" s="10"/>
      <c r="BJ76" s="10"/>
      <c r="BK76" s="10"/>
      <c r="BL76" s="10"/>
      <c r="BM76" s="10"/>
      <c r="BN76" s="10"/>
      <c r="BO76" s="10"/>
    </row>
    <row r="77" spans="2:68" ht="12">
      <c r="B77" s="172" t="s">
        <v>269</v>
      </c>
      <c r="O77" s="136">
        <f>ROW()</f>
        <v>77</v>
      </c>
      <c r="P77" s="10"/>
      <c r="Q77" s="10"/>
      <c r="R77" s="10"/>
      <c r="S77" s="10"/>
      <c r="T77" s="10"/>
      <c r="U77" s="10"/>
      <c r="V77" s="10"/>
      <c r="Y77" s="10"/>
      <c r="Z77" s="10"/>
      <c r="AA77" s="10"/>
      <c r="AB77" s="10"/>
      <c r="AC77" s="10"/>
      <c r="AD77" s="10"/>
      <c r="AE77" s="10"/>
      <c r="AH77" s="10"/>
      <c r="AI77" s="10"/>
      <c r="AJ77" s="10"/>
      <c r="AK77" s="10"/>
      <c r="AL77" s="10"/>
      <c r="AM77" s="10"/>
      <c r="AN77" s="10"/>
      <c r="AQ77" s="929"/>
      <c r="AR77" s="929"/>
      <c r="AS77" s="929"/>
      <c r="AT77" s="929"/>
      <c r="AU77" s="929"/>
      <c r="AV77" s="929"/>
      <c r="AW77" s="929"/>
      <c r="AZ77" s="10"/>
      <c r="BA77" s="10"/>
      <c r="BB77" s="10"/>
      <c r="BC77" s="10"/>
      <c r="BD77" s="10"/>
      <c r="BE77" s="10"/>
      <c r="BF77" s="10"/>
      <c r="BI77" s="10"/>
      <c r="BJ77" s="10"/>
      <c r="BK77" s="10"/>
      <c r="BL77" s="10"/>
      <c r="BM77" s="10"/>
      <c r="BN77" s="10"/>
      <c r="BO77" s="10"/>
    </row>
    <row r="78" spans="2:68">
      <c r="B78" s="281" t="s">
        <v>1202</v>
      </c>
      <c r="G78" s="22">
        <f>'Motor Vs Weekends'!G141</f>
        <v>0.27043598915210065</v>
      </c>
      <c r="H78" s="22">
        <f>'Motor Vs Weekends'!H141</f>
        <v>8.9915771051508053E-2</v>
      </c>
      <c r="I78" s="22">
        <f>'Motor Vs Weekends'!I141</f>
        <v>0.27391855734673393</v>
      </c>
      <c r="J78" s="22">
        <f>'Motor Vs Weekends'!J141</f>
        <v>0.17526222830170543</v>
      </c>
      <c r="K78" s="22">
        <f>'Motor Vs Weekends'!K141</f>
        <v>0.10125786252895175</v>
      </c>
      <c r="L78" s="22">
        <f>'Motor Vs Weekends'!L141</f>
        <v>8.9209591619000217E-2</v>
      </c>
      <c r="M78" s="22"/>
      <c r="N78" s="927">
        <f>SUM(G78:M78)</f>
        <v>1</v>
      </c>
      <c r="O78" s="136">
        <f>ROW()</f>
        <v>78</v>
      </c>
      <c r="P78" s="930">
        <f>'Motor Vs Weekends'!P141</f>
        <v>0.27043598915210065</v>
      </c>
      <c r="Q78" s="930">
        <f>'Motor Vs Weekends'!Q141</f>
        <v>8.9915771051508053E-2</v>
      </c>
      <c r="R78" s="930">
        <f>'Motor Vs Weekends'!R141</f>
        <v>0.27391855734673393</v>
      </c>
      <c r="S78" s="930">
        <f>'Motor Vs Weekends'!S141</f>
        <v>0.17526222830170543</v>
      </c>
      <c r="T78" s="930">
        <f>'Motor Vs Weekends'!T141</f>
        <v>0.10125786252895175</v>
      </c>
      <c r="U78" s="930">
        <f>'Motor Vs Weekends'!U141</f>
        <v>8.9209591619000217E-2</v>
      </c>
      <c r="V78" s="930"/>
      <c r="W78" s="930">
        <f>SUM(P78:V78)</f>
        <v>1</v>
      </c>
      <c r="Y78" s="930">
        <f>'Motor Vs Weekends'!Y141</f>
        <v>0.27043598915210065</v>
      </c>
      <c r="Z78" s="930">
        <f>'Motor Vs Weekends'!Z141</f>
        <v>8.9915771051508053E-2</v>
      </c>
      <c r="AA78" s="930">
        <f>'Motor Vs Weekends'!AA141</f>
        <v>0.27391855734673393</v>
      </c>
      <c r="AB78" s="930">
        <f>'Motor Vs Weekends'!AB141</f>
        <v>0.17526222830170543</v>
      </c>
      <c r="AC78" s="930">
        <f>'Motor Vs Weekends'!AC141</f>
        <v>0.10125786252895175</v>
      </c>
      <c r="AD78" s="930">
        <f>'Motor Vs Weekends'!AD141</f>
        <v>8.9209591619000217E-2</v>
      </c>
      <c r="AE78" s="22"/>
      <c r="AF78" s="930">
        <f>SUM(Y78:AE78)</f>
        <v>1</v>
      </c>
      <c r="AH78" s="930">
        <f>'Motor Vs Weekends'!AH141</f>
        <v>0.27043598915210065</v>
      </c>
      <c r="AI78" s="930">
        <f>'Motor Vs Weekends'!AI141</f>
        <v>8.9915771051508053E-2</v>
      </c>
      <c r="AJ78" s="930">
        <f>'Motor Vs Weekends'!AJ141</f>
        <v>0.27391855734673393</v>
      </c>
      <c r="AK78" s="930">
        <f>'Motor Vs Weekends'!AK141</f>
        <v>0.17526222830170543</v>
      </c>
      <c r="AL78" s="930">
        <f>'Motor Vs Weekends'!AL141</f>
        <v>0.10125786252895175</v>
      </c>
      <c r="AM78" s="930">
        <f>'Motor Vs Weekends'!AM141</f>
        <v>8.9209591619000217E-2</v>
      </c>
      <c r="AN78" s="22"/>
      <c r="AO78" s="930">
        <f>SUM(AH78:AN78)</f>
        <v>1</v>
      </c>
      <c r="AQ78" s="930">
        <f>'Motor Vs Weekends'!AQ141</f>
        <v>0.36953157668684072</v>
      </c>
      <c r="AR78" s="930">
        <f>'Motor Vs Weekends'!AR141</f>
        <v>8.2189138249234114E-2</v>
      </c>
      <c r="AS78" s="930">
        <f>'Motor Vs Weekends'!AS141</f>
        <v>0.2253067770767434</v>
      </c>
      <c r="AT78" s="930">
        <f>'Motor Vs Weekends'!AT141</f>
        <v>0.14237862385493333</v>
      </c>
      <c r="AU78" s="930">
        <f>'Motor Vs Weekends'!AU141</f>
        <v>9.1919622052858474E-2</v>
      </c>
      <c r="AV78" s="930">
        <f>'Motor Vs Weekends'!AV141</f>
        <v>8.8674262079389971E-2</v>
      </c>
      <c r="AW78" s="22"/>
      <c r="AX78" s="930">
        <f>SUM(AQ78:AW78)</f>
        <v>1</v>
      </c>
      <c r="AZ78" s="930">
        <f>'Motor Vs Weekends'!AZ141</f>
        <v>0.27043598915210065</v>
      </c>
      <c r="BA78" s="930">
        <f>'Motor Vs Weekends'!BA141</f>
        <v>8.9915771051508053E-2</v>
      </c>
      <c r="BB78" s="930">
        <f>'Motor Vs Weekends'!BB141</f>
        <v>0.27391855734673393</v>
      </c>
      <c r="BC78" s="930">
        <f>'Motor Vs Weekends'!BC141</f>
        <v>0.17526222830170543</v>
      </c>
      <c r="BD78" s="930">
        <f>'Motor Vs Weekends'!BD141</f>
        <v>0.10125786252895175</v>
      </c>
      <c r="BE78" s="930">
        <f>'Motor Vs Weekends'!BE141</f>
        <v>8.9209591619000217E-2</v>
      </c>
      <c r="BF78" s="22"/>
      <c r="BG78" s="930">
        <f>SUM(AZ78:BF78)</f>
        <v>1</v>
      </c>
      <c r="BI78" s="930">
        <f>'Motor Vs Weekends'!BI141</f>
        <v>0.27043598915210065</v>
      </c>
      <c r="BJ78" s="930">
        <f>'Motor Vs Weekends'!BJ141</f>
        <v>8.9915771051508053E-2</v>
      </c>
      <c r="BK78" s="930">
        <f>'Motor Vs Weekends'!BK141</f>
        <v>0.27391855734673393</v>
      </c>
      <c r="BL78" s="930">
        <f>'Motor Vs Weekends'!BL141</f>
        <v>0.17526222830170543</v>
      </c>
      <c r="BM78" s="930">
        <f>'Motor Vs Weekends'!BM141</f>
        <v>0.10125786252895175</v>
      </c>
      <c r="BN78" s="930">
        <f>'Motor Vs Weekends'!BN141</f>
        <v>8.9209591619000217E-2</v>
      </c>
      <c r="BO78" s="22"/>
      <c r="BP78" s="930">
        <f>SUM(BI78:BO78)</f>
        <v>1</v>
      </c>
    </row>
    <row r="79" spans="2:68">
      <c r="B79" s="309" t="s">
        <v>2899</v>
      </c>
      <c r="O79" s="136">
        <f>ROW()</f>
        <v>79</v>
      </c>
      <c r="P79" s="265" t="str">
        <f>CONCATENATE("Same as for this column block in 'Motor Vs Weekends' tab, Row ",'Motor Vs Weekends'!O141, ".")</f>
        <v>Same as for this column block in 'Motor Vs Weekends' tab, Row 141.</v>
      </c>
      <c r="Y79" s="265" t="str">
        <f>CONCATENATE("Same as for this column block in 'Motor Vs Weekends' tab, Row ",'Motor Vs Weekends'!X141, ".")</f>
        <v>Same as for this column block in 'Motor Vs Weekends' tab, Row .</v>
      </c>
      <c r="AH79" s="265" t="str">
        <f>CONCATENATE("Same as for this column block in 'Motor Vs Weekends' tab, Row ",'Motor Vs Weekends'!AG141, ".")</f>
        <v>Same as for this column block in 'Motor Vs Weekends' tab, Row .</v>
      </c>
      <c r="AQ79" s="265" t="str">
        <f>CONCATENATE("Same as for this column block in 'Motor Vs Weekends' tab, Row ",'Motor Vs Weekends'!AP141, ".")</f>
        <v>Same as for this column block in 'Motor Vs Weekends' tab, Row .</v>
      </c>
      <c r="AZ79" s="265" t="str">
        <f>CONCATENATE("Same as for this column block in 'Motor Vs Weekends' tab, Row ",'Motor Vs Weekends'!AY141, ".")</f>
        <v>Same as for this column block in 'Motor Vs Weekends' tab, Row .</v>
      </c>
      <c r="BI79" s="265" t="str">
        <f>CONCATENATE("Same as for this column block in 'Motor Vs Weekends' tab, Row ",'Motor Vs Weekends'!BH141, ".")</f>
        <v>Same as for this column block in 'Motor Vs Weekends' tab, Row .</v>
      </c>
    </row>
    <row r="80" spans="2:68" ht="12">
      <c r="B80" s="1052" t="s">
        <v>1834</v>
      </c>
      <c r="C80" s="1053"/>
      <c r="D80" s="1053"/>
      <c r="E80" s="1053"/>
      <c r="F80" s="1053"/>
      <c r="G80" s="1178">
        <f t="shared" ref="G80:L80" si="26">P80+Y80+AH80+AQ80+AZ80+BI80</f>
        <v>488677.84641262487</v>
      </c>
      <c r="H80" s="1178">
        <f t="shared" si="26"/>
        <v>114194.81279447816</v>
      </c>
      <c r="I80" s="1178">
        <f t="shared" si="26"/>
        <v>318118.28625034209</v>
      </c>
      <c r="J80" s="1178">
        <f t="shared" si="26"/>
        <v>201429.52210225066</v>
      </c>
      <c r="K80" s="1178">
        <f t="shared" si="26"/>
        <v>127843.3829559811</v>
      </c>
      <c r="L80" s="1178">
        <f t="shared" si="26"/>
        <v>121762.43556490898</v>
      </c>
      <c r="M80" s="1178"/>
      <c r="N80" s="1054">
        <f>SUM(G80:M80)</f>
        <v>1372026.286080586</v>
      </c>
      <c r="O80" s="136">
        <f>ROW()</f>
        <v>80</v>
      </c>
      <c r="P80" s="10">
        <f t="shared" ref="P80:U80" si="27">P78*$H$51</f>
        <v>10704.08728707374</v>
      </c>
      <c r="Q80" s="10">
        <f t="shared" si="27"/>
        <v>3558.942967751836</v>
      </c>
      <c r="R80" s="10">
        <f t="shared" si="27"/>
        <v>10841.930308838035</v>
      </c>
      <c r="S80" s="10">
        <f t="shared" si="27"/>
        <v>6937.028595012086</v>
      </c>
      <c r="T80" s="10">
        <f t="shared" si="27"/>
        <v>4007.8726297142825</v>
      </c>
      <c r="U80" s="10">
        <f t="shared" si="27"/>
        <v>3530.9917830385889</v>
      </c>
      <c r="V80" s="10"/>
      <c r="W80" s="10">
        <f>SUM(P80:V80)</f>
        <v>39580.853571428568</v>
      </c>
      <c r="X80" s="10"/>
      <c r="Y80" s="10">
        <f t="shared" ref="Y80:AD80" si="28">Y78*$I$51</f>
        <v>32112.261861221214</v>
      </c>
      <c r="Z80" s="10">
        <f t="shared" si="28"/>
        <v>10676.828903255506</v>
      </c>
      <c r="AA80" s="10">
        <f t="shared" si="28"/>
        <v>32525.790926514095</v>
      </c>
      <c r="AB80" s="10">
        <f t="shared" si="28"/>
        <v>20811.085785036255</v>
      </c>
      <c r="AC80" s="10">
        <f t="shared" si="28"/>
        <v>12023.617889142844</v>
      </c>
      <c r="AD80" s="10">
        <f t="shared" si="28"/>
        <v>10592.975349115764</v>
      </c>
      <c r="AE80" s="10"/>
      <c r="AF80" s="10">
        <f>SUM(Y80:AE80)</f>
        <v>118742.56071428568</v>
      </c>
      <c r="AG80" s="10"/>
      <c r="AH80" s="10">
        <f t="shared" ref="AH80:AM80" si="29">AH78*$J$51</f>
        <v>0</v>
      </c>
      <c r="AI80" s="10">
        <f t="shared" si="29"/>
        <v>0</v>
      </c>
      <c r="AJ80" s="10">
        <f t="shared" si="29"/>
        <v>0</v>
      </c>
      <c r="AK80" s="10">
        <f t="shared" si="29"/>
        <v>0</v>
      </c>
      <c r="AL80" s="10">
        <f t="shared" si="29"/>
        <v>0</v>
      </c>
      <c r="AM80" s="10">
        <f t="shared" si="29"/>
        <v>0</v>
      </c>
      <c r="AN80" s="10"/>
      <c r="AO80" s="10">
        <f>SUM(AH80:AN80)</f>
        <v>0</v>
      </c>
      <c r="AP80" s="10"/>
      <c r="AQ80" s="10">
        <f t="shared" ref="AQ80:AV80" si="30">AQ78*$K$51</f>
        <v>438656.72193199908</v>
      </c>
      <c r="AR80" s="10">
        <f t="shared" si="30"/>
        <v>97563.564894963914</v>
      </c>
      <c r="AS80" s="10">
        <f t="shared" si="30"/>
        <v>267453.00942252984</v>
      </c>
      <c r="AT80" s="10">
        <f t="shared" si="30"/>
        <v>169012.18827727382</v>
      </c>
      <c r="AU80" s="10">
        <f t="shared" si="30"/>
        <v>109114.24796886933</v>
      </c>
      <c r="AV80" s="10">
        <f t="shared" si="30"/>
        <v>105261.8059659023</v>
      </c>
      <c r="AW80" s="10"/>
      <c r="AX80" s="10">
        <f>SUM(AQ80:AW80)</f>
        <v>1187061.5384615383</v>
      </c>
      <c r="AY80" s="10"/>
      <c r="AZ80" s="10">
        <f t="shared" ref="AZ80:BE80" si="31">AZ78*$L$51</f>
        <v>4118.1992428081885</v>
      </c>
      <c r="BA80" s="10">
        <f t="shared" si="31"/>
        <v>1369.2373615723645</v>
      </c>
      <c r="BB80" s="10">
        <f t="shared" si="31"/>
        <v>4171.2317912760636</v>
      </c>
      <c r="BC80" s="10">
        <f t="shared" si="31"/>
        <v>2668.8932125783699</v>
      </c>
      <c r="BD80" s="10">
        <f t="shared" si="31"/>
        <v>1541.954730590877</v>
      </c>
      <c r="BE80" s="10">
        <f t="shared" si="31"/>
        <v>1358.4836611741352</v>
      </c>
      <c r="BF80" s="10"/>
      <c r="BG80" s="10">
        <f>SUM(AZ80:BF80)</f>
        <v>15227.999999999998</v>
      </c>
      <c r="BH80" s="10"/>
      <c r="BI80" s="10">
        <f t="shared" ref="BI80:BN80" si="32">BI78*$M$51</f>
        <v>3086.5760895226422</v>
      </c>
      <c r="BJ80" s="10">
        <f t="shared" si="32"/>
        <v>1026.2386669345453</v>
      </c>
      <c r="BK80" s="10">
        <f t="shared" si="32"/>
        <v>3126.3238011840567</v>
      </c>
      <c r="BL80" s="10">
        <f t="shared" si="32"/>
        <v>2000.3262323501315</v>
      </c>
      <c r="BM80" s="10">
        <f t="shared" si="32"/>
        <v>1155.6897376637694</v>
      </c>
      <c r="BN80" s="10">
        <f t="shared" si="32"/>
        <v>1018.1788056781892</v>
      </c>
      <c r="BO80" s="10"/>
      <c r="BP80" s="10">
        <f>SUM(BI80:BO80)</f>
        <v>11413.333333333336</v>
      </c>
    </row>
    <row r="81" spans="2:68">
      <c r="B81" s="309" t="s">
        <v>2805</v>
      </c>
      <c r="O81" s="136">
        <f>ROW()</f>
        <v>81</v>
      </c>
      <c r="P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Y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AH81" s="282" t="s">
        <v>2441</v>
      </c>
      <c r="AQ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AZ81" s="282" t="str">
        <f>CONCATENATE("Each entry is product of %'s in row ",$O78," times est'd VMT of m.v. trips within cordon (trips that don't cross cordon) shown in row ",$O51, ".")</f>
        <v>Each entry is product of %'s in row 78 times est'd VMT of m.v. trips within cordon (trips that don't cross cordon) shown in row 51.</v>
      </c>
      <c r="BI81" s="282" t="str">
        <f>CONCATENATE("Each entry is product of %'s in row ",$O78," times est'd VMT of m.v. trips within cordon (trips that don't cross cordon) shown in row ",$O51, ".")</f>
        <v>Each entry is product of %'s in row 78 times est'd VMT of m.v. trips within cordon (trips that don't cross cordon) shown in row 51.</v>
      </c>
    </row>
    <row r="82" spans="2:68">
      <c r="O82" s="136">
        <f>ROW()</f>
        <v>82</v>
      </c>
    </row>
    <row r="83" spans="2:68" ht="12">
      <c r="B83" s="172" t="s">
        <v>908</v>
      </c>
      <c r="O83" s="136">
        <f>ROW()</f>
        <v>83</v>
      </c>
    </row>
    <row r="84" spans="2:68" ht="12">
      <c r="B84" s="1049" t="s">
        <v>2901</v>
      </c>
      <c r="C84" s="1050"/>
      <c r="D84" s="1050"/>
      <c r="E84" s="1050"/>
      <c r="F84" s="1050"/>
      <c r="G84" s="1180">
        <f t="shared" ref="G84:L84" si="33">P84+Y84+AH84+AQ84+AZ84+BI84</f>
        <v>966403.42609357997</v>
      </c>
      <c r="H84" s="1180">
        <f t="shared" si="33"/>
        <v>276102.86765019473</v>
      </c>
      <c r="I84" s="1180">
        <f t="shared" si="33"/>
        <v>814536.93664241419</v>
      </c>
      <c r="J84" s="1180">
        <f t="shared" si="33"/>
        <v>519612.95063718525</v>
      </c>
      <c r="K84" s="1180">
        <f t="shared" si="33"/>
        <v>312223.30984232225</v>
      </c>
      <c r="L84" s="1180">
        <f t="shared" si="33"/>
        <v>281369.72188155586</v>
      </c>
      <c r="M84" s="1180"/>
      <c r="N84" s="1051">
        <f>SUM(G84:M84)</f>
        <v>3170249.2127472521</v>
      </c>
      <c r="O84" s="136">
        <f>ROW()</f>
        <v>84</v>
      </c>
      <c r="P84" s="10">
        <f t="shared" ref="P84:U84" si="34">P68+P74+P80</f>
        <v>95566.455780719596</v>
      </c>
      <c r="Q84" s="10">
        <f t="shared" si="34"/>
        <v>31049.358091714654</v>
      </c>
      <c r="R84" s="10">
        <f t="shared" si="34"/>
        <v>86809.485044130954</v>
      </c>
      <c r="S84" s="10">
        <f t="shared" si="34"/>
        <v>45194.586815572795</v>
      </c>
      <c r="T84" s="10">
        <f t="shared" si="34"/>
        <v>32121.648378432907</v>
      </c>
      <c r="U84" s="10">
        <f t="shared" si="34"/>
        <v>25905.294460857629</v>
      </c>
      <c r="V84" s="10"/>
      <c r="W84" s="10">
        <f>SUM(P84:V84)</f>
        <v>316646.82857142854</v>
      </c>
      <c r="X84" s="10"/>
      <c r="Y84" s="10">
        <f t="shared" ref="Y84:AD84" si="35">Y68+Y74+Y80</f>
        <v>233256.1125196045</v>
      </c>
      <c r="Z84" s="10">
        <f t="shared" si="35"/>
        <v>79311.395214998192</v>
      </c>
      <c r="AA84" s="10">
        <f t="shared" si="35"/>
        <v>265951.59650372685</v>
      </c>
      <c r="AB84" s="10">
        <f t="shared" si="35"/>
        <v>184158.71536989423</v>
      </c>
      <c r="AC84" s="10">
        <f t="shared" si="35"/>
        <v>98467.543289299982</v>
      </c>
      <c r="AD84" s="10">
        <f t="shared" si="35"/>
        <v>88795.122816761665</v>
      </c>
      <c r="AE84" s="10"/>
      <c r="AF84" s="10">
        <f>SUM(Y84:AE84)</f>
        <v>949940.48571428517</v>
      </c>
      <c r="AG84" s="10"/>
      <c r="AH84" s="10">
        <f t="shared" ref="AH84:AM84" si="36">AH68+AH74+AH80</f>
        <v>111009.59323462134</v>
      </c>
      <c r="AI84" s="10">
        <f t="shared" si="36"/>
        <v>35950.014200695376</v>
      </c>
      <c r="AJ84" s="10">
        <f t="shared" si="36"/>
        <v>94125.729616461715</v>
      </c>
      <c r="AK84" s="10">
        <f t="shared" si="36"/>
        <v>56821.946123106056</v>
      </c>
      <c r="AL84" s="10">
        <f t="shared" si="36"/>
        <v>34761.789397065731</v>
      </c>
      <c r="AM84" s="10">
        <f t="shared" si="36"/>
        <v>30823.287428049931</v>
      </c>
      <c r="AN84" s="10"/>
      <c r="AO84" s="10">
        <f>SUM(AH84:AN84)</f>
        <v>363492.36000000022</v>
      </c>
      <c r="AP84" s="10"/>
      <c r="AQ84" s="10">
        <f t="shared" ref="AQ84:AV84" si="37">AQ68+AQ74+AQ80</f>
        <v>492602.34083321749</v>
      </c>
      <c r="AR84" s="10">
        <f t="shared" si="37"/>
        <v>118497.95997254874</v>
      </c>
      <c r="AS84" s="10">
        <f t="shared" si="37"/>
        <v>333243.76332688617</v>
      </c>
      <c r="AT84" s="10">
        <f t="shared" si="37"/>
        <v>211423.36435609157</v>
      </c>
      <c r="AU84" s="10">
        <f t="shared" si="37"/>
        <v>134153.53118098708</v>
      </c>
      <c r="AV84" s="10">
        <f t="shared" si="37"/>
        <v>124640.57879180725</v>
      </c>
      <c r="AW84" s="10"/>
      <c r="AX84" s="10">
        <f>SUM(AQ84:AW84)</f>
        <v>1414561.5384615383</v>
      </c>
      <c r="AY84" s="10"/>
      <c r="AZ84" s="10">
        <f t="shared" ref="AZ84:BE84" si="38">AZ68+AZ74+AZ80</f>
        <v>24709.195456849127</v>
      </c>
      <c r="BA84" s="10">
        <f t="shared" si="38"/>
        <v>8215.4241694341872</v>
      </c>
      <c r="BB84" s="10">
        <f t="shared" si="38"/>
        <v>25027.39074765638</v>
      </c>
      <c r="BC84" s="10">
        <f t="shared" si="38"/>
        <v>16013.35927547022</v>
      </c>
      <c r="BD84" s="10">
        <f t="shared" si="38"/>
        <v>9251.7283835452617</v>
      </c>
      <c r="BE84" s="10">
        <f t="shared" si="38"/>
        <v>8150.9019670448106</v>
      </c>
      <c r="BF84" s="10"/>
      <c r="BG84" s="10">
        <f>SUM(AZ84:BF84)</f>
        <v>91367.999999999971</v>
      </c>
      <c r="BH84" s="10"/>
      <c r="BI84" s="10">
        <f t="shared" ref="BI84:BN84" si="39">BI68+BI74+BI80</f>
        <v>9259.7282685679274</v>
      </c>
      <c r="BJ84" s="10">
        <f t="shared" si="39"/>
        <v>3078.7160008036362</v>
      </c>
      <c r="BK84" s="10">
        <f t="shared" si="39"/>
        <v>9378.9714035521702</v>
      </c>
      <c r="BL84" s="10">
        <f t="shared" si="39"/>
        <v>6000.9786970503937</v>
      </c>
      <c r="BM84" s="10">
        <f t="shared" si="39"/>
        <v>3467.0692129913082</v>
      </c>
      <c r="BN84" s="10">
        <f t="shared" si="39"/>
        <v>3054.5364170345679</v>
      </c>
      <c r="BO84" s="10"/>
      <c r="BP84" s="10">
        <f>SUM(BI84:BO84)</f>
        <v>34240.000000000007</v>
      </c>
    </row>
    <row r="85" spans="2:68">
      <c r="B85" s="309" t="str">
        <f>CONCATENATE("Each entry is sum of respective VMT's in Rows ",O68, ", ",O74, " and ",103, ".")</f>
        <v>Each entry is sum of respective VMT's in Rows 68, 74 and 103.</v>
      </c>
      <c r="G85" s="1133"/>
      <c r="H85" s="1133"/>
      <c r="I85" s="1133"/>
      <c r="J85" s="1133"/>
      <c r="K85" s="1133"/>
      <c r="L85" s="1133"/>
      <c r="M85" s="118" t="s">
        <v>673</v>
      </c>
      <c r="N85" s="10">
        <f>'Motor Vs Weekends'!N147</f>
        <v>3169918.1098901094</v>
      </c>
      <c r="O85" s="136">
        <f>ROW()</f>
        <v>85</v>
      </c>
      <c r="W85" s="10"/>
      <c r="AF85" s="10"/>
      <c r="AO85" s="10"/>
      <c r="AX85" s="10"/>
      <c r="BG85" s="10"/>
      <c r="BP85" s="10"/>
    </row>
    <row r="86" spans="2:68">
      <c r="B86" s="281" t="s">
        <v>2900</v>
      </c>
      <c r="G86" s="1133">
        <f t="shared" ref="G86:L86" si="40">G84/G61</f>
        <v>96640.342609357991</v>
      </c>
      <c r="H86" s="1133">
        <f t="shared" si="40"/>
        <v>138051.43382509737</v>
      </c>
      <c r="I86" s="1133">
        <f t="shared" si="40"/>
        <v>162907.38732848284</v>
      </c>
      <c r="J86" s="1133">
        <f t="shared" si="40"/>
        <v>173204.31687906175</v>
      </c>
      <c r="K86" s="1133">
        <f t="shared" si="40"/>
        <v>156111.65492116113</v>
      </c>
      <c r="L86" s="1133">
        <f t="shared" si="40"/>
        <v>140684.86094077793</v>
      </c>
      <c r="M86" s="118" t="s">
        <v>674</v>
      </c>
      <c r="N86" s="10">
        <f>N84-N85</f>
        <v>331.10285714268684</v>
      </c>
      <c r="O86" s="136">
        <f>ROW()</f>
        <v>86</v>
      </c>
      <c r="AW86" s="3"/>
      <c r="AX86" s="927">
        <f>AX84/$N84</f>
        <v>0.44619884543263322</v>
      </c>
    </row>
    <row r="87" spans="2:68">
      <c r="B87" s="309" t="str">
        <f>CONCATENATE("Period VMT in Row ",O84, " divided by hours in period in Row ",O61, ".")</f>
        <v>Period VMT in Row 84 divided by hours in period in Row 61.</v>
      </c>
      <c r="O87" s="136">
        <f>ROW()</f>
        <v>87</v>
      </c>
      <c r="AW87" s="3"/>
      <c r="AX87" s="927"/>
    </row>
    <row r="88" spans="2:68">
      <c r="I88" s="509"/>
      <c r="O88" s="136">
        <f>ROW()</f>
        <v>88</v>
      </c>
    </row>
    <row r="89" spans="2:68" ht="12">
      <c r="B89" s="172" t="s">
        <v>2619</v>
      </c>
      <c r="O89" s="136">
        <f>ROW()</f>
        <v>89</v>
      </c>
    </row>
    <row r="90" spans="2:68">
      <c r="B90" s="280" t="s">
        <v>2620</v>
      </c>
      <c r="O90" s="136">
        <f>ROW()</f>
        <v>90</v>
      </c>
      <c r="V90" s="113"/>
    </row>
    <row r="91" spans="2:68">
      <c r="B91" s="214" t="s">
        <v>831</v>
      </c>
      <c r="G91" s="1133">
        <f t="shared" ref="G91:L93" si="41">P91+Y91+AH91+AQ91+AZ91+BI91</f>
        <v>2490821.5343688177</v>
      </c>
      <c r="H91" s="1133">
        <f t="shared" si="41"/>
        <v>956630.61819922051</v>
      </c>
      <c r="I91" s="1133">
        <f t="shared" si="41"/>
        <v>2912463.4500223249</v>
      </c>
      <c r="J91" s="1133">
        <f t="shared" si="41"/>
        <v>1857200.7899154611</v>
      </c>
      <c r="K91" s="1133">
        <f t="shared" si="41"/>
        <v>1110301.6086248183</v>
      </c>
      <c r="L91" s="1133">
        <f t="shared" si="41"/>
        <v>857845.05396496225</v>
      </c>
      <c r="M91" s="1133"/>
      <c r="N91" s="10">
        <f>SUM(G91:M91)</f>
        <v>10185263.055095606</v>
      </c>
      <c r="O91" s="136">
        <f>ROW()</f>
        <v>91</v>
      </c>
      <c r="P91" s="10">
        <f t="shared" ref="P91:U91" si="42">P66*$H$40</f>
        <v>482025.70747898665</v>
      </c>
      <c r="Q91" s="10">
        <f t="shared" si="42"/>
        <v>172668.18759254433</v>
      </c>
      <c r="R91" s="10">
        <f t="shared" si="42"/>
        <v>452205.178563444</v>
      </c>
      <c r="S91" s="10">
        <f t="shared" si="42"/>
        <v>174905.00394345721</v>
      </c>
      <c r="T91" s="10">
        <f t="shared" si="42"/>
        <v>172448.12639781454</v>
      </c>
      <c r="U91" s="10">
        <f t="shared" si="42"/>
        <v>106558.21258796683</v>
      </c>
      <c r="V91" s="10"/>
      <c r="W91" s="10">
        <f>SUM(P91:V91)</f>
        <v>1560810.4165642136</v>
      </c>
      <c r="X91" s="10"/>
      <c r="Y91" s="10">
        <f t="shared" ref="Y91:AD91" si="43">Y66*$I$40</f>
        <v>843942.38529324275</v>
      </c>
      <c r="Z91" s="10">
        <f t="shared" si="43"/>
        <v>362087.23471474706</v>
      </c>
      <c r="AA91" s="10">
        <f t="shared" si="43"/>
        <v>1418811.0541112139</v>
      </c>
      <c r="AB91" s="10">
        <f t="shared" si="43"/>
        <v>1072048.3413666738</v>
      </c>
      <c r="AC91" s="10">
        <f t="shared" si="43"/>
        <v>541015.35281579953</v>
      </c>
      <c r="AD91" s="10">
        <f t="shared" si="43"/>
        <v>444526.88139096252</v>
      </c>
      <c r="AE91" s="10"/>
      <c r="AF91" s="10">
        <f>SUM(Y91:AE91)</f>
        <v>4682431.2496926403</v>
      </c>
      <c r="AG91" s="10"/>
      <c r="AH91" s="10">
        <f t="shared" ref="AH91:AM91" si="44">AH66*$J$40</f>
        <v>1010460.8651390178</v>
      </c>
      <c r="AI91" s="10">
        <f t="shared" si="44"/>
        <v>361960.87368297594</v>
      </c>
      <c r="AJ91" s="10">
        <f t="shared" si="44"/>
        <v>853153.81726675481</v>
      </c>
      <c r="AK91" s="10">
        <f t="shared" si="44"/>
        <v>488866.48951063456</v>
      </c>
      <c r="AL91" s="10">
        <f t="shared" si="44"/>
        <v>325175.60098885733</v>
      </c>
      <c r="AM91" s="10">
        <f t="shared" si="44"/>
        <v>251297.8348659921</v>
      </c>
      <c r="AN91" s="10"/>
      <c r="AO91" s="10">
        <f>SUM(AH91:AN91)</f>
        <v>3290915.4814542322</v>
      </c>
      <c r="AP91" s="10"/>
      <c r="AQ91" s="10">
        <f t="shared" ref="AQ91:AV91" si="45">AQ66*$K$40</f>
        <v>92478.203830660117</v>
      </c>
      <c r="AR91" s="10">
        <f t="shared" si="45"/>
        <v>35887.534418716845</v>
      </c>
      <c r="AS91" s="10">
        <f t="shared" si="45"/>
        <v>112784.14955032511</v>
      </c>
      <c r="AT91" s="10">
        <f t="shared" si="45"/>
        <v>72704.873277973282</v>
      </c>
      <c r="AU91" s="10">
        <f t="shared" si="45"/>
        <v>42924.485506487574</v>
      </c>
      <c r="AV91" s="10">
        <f t="shared" si="45"/>
        <v>33220.753415837054</v>
      </c>
      <c r="AW91" s="10"/>
      <c r="AX91" s="10">
        <f>SUM(AQ91:AW91)</f>
        <v>390000</v>
      </c>
      <c r="AY91" s="10"/>
      <c r="AZ91" s="10">
        <f t="shared" ref="AZ91:BE91" si="46">AZ66*$L$40</f>
        <v>38310.770376262852</v>
      </c>
      <c r="BA91" s="10">
        <f t="shared" si="46"/>
        <v>14867.060923926218</v>
      </c>
      <c r="BB91" s="10">
        <f t="shared" si="46"/>
        <v>46722.876056466674</v>
      </c>
      <c r="BC91" s="10">
        <f t="shared" si="46"/>
        <v>30119.310172677273</v>
      </c>
      <c r="BD91" s="10">
        <f t="shared" si="46"/>
        <v>17782.245325282394</v>
      </c>
      <c r="BE91" s="10">
        <f t="shared" si="46"/>
        <v>13762.298607908615</v>
      </c>
      <c r="BF91" s="10"/>
      <c r="BG91" s="10">
        <f>SUM(AZ91:BF91)</f>
        <v>161564.56146252403</v>
      </c>
      <c r="BH91" s="10"/>
      <c r="BI91" s="10">
        <f t="shared" ref="BI91:BN91" si="47">BI66*$M$40</f>
        <v>23603.602250647302</v>
      </c>
      <c r="BJ91" s="10">
        <f t="shared" si="47"/>
        <v>9159.7268663101913</v>
      </c>
      <c r="BK91" s="10">
        <f t="shared" si="47"/>
        <v>28786.374474120159</v>
      </c>
      <c r="BL91" s="10">
        <f t="shared" si="47"/>
        <v>18556.771644044889</v>
      </c>
      <c r="BM91" s="10">
        <f t="shared" si="47"/>
        <v>10955.797590576709</v>
      </c>
      <c r="BN91" s="10">
        <f t="shared" si="47"/>
        <v>8479.0730962951639</v>
      </c>
      <c r="BO91" s="10"/>
      <c r="BP91" s="10">
        <f>SUM(BI91:BO91)</f>
        <v>99541.34592199442</v>
      </c>
    </row>
    <row r="92" spans="2:68">
      <c r="B92" s="214" t="s">
        <v>1098</v>
      </c>
      <c r="G92" s="1133">
        <f t="shared" si="41"/>
        <v>3067781.2244547121</v>
      </c>
      <c r="H92" s="1133">
        <f t="shared" si="41"/>
        <v>896065.72144735046</v>
      </c>
      <c r="I92" s="1133">
        <f t="shared" si="41"/>
        <v>2646346.2849907898</v>
      </c>
      <c r="J92" s="1133">
        <f t="shared" si="41"/>
        <v>1680045.9772008758</v>
      </c>
      <c r="K92" s="1133">
        <f t="shared" si="41"/>
        <v>948552.20681133377</v>
      </c>
      <c r="L92" s="1133">
        <f t="shared" si="41"/>
        <v>946471.64019054524</v>
      </c>
      <c r="M92" s="1133"/>
      <c r="N92" s="10">
        <f>SUM(G92:M92)</f>
        <v>10185263.055095607</v>
      </c>
      <c r="O92" s="136">
        <f>ROW()</f>
        <v>92</v>
      </c>
      <c r="P92" s="10">
        <f t="shared" ref="P92:U92" si="48">P72*$H$40</f>
        <v>474093.63354939624</v>
      </c>
      <c r="Q92" s="10">
        <f t="shared" si="48"/>
        <v>137058.23248596274</v>
      </c>
      <c r="R92" s="10">
        <f t="shared" si="48"/>
        <v>403698.91252357792</v>
      </c>
      <c r="S92" s="10">
        <f t="shared" si="48"/>
        <v>256131.6499290583</v>
      </c>
      <c r="T92" s="10">
        <f t="shared" si="48"/>
        <v>144301.51445974951</v>
      </c>
      <c r="U92" s="10">
        <f t="shared" si="48"/>
        <v>145526.47361646907</v>
      </c>
      <c r="V92" s="10"/>
      <c r="W92" s="10">
        <f>SUM(P92:V92)</f>
        <v>1560810.4165642136</v>
      </c>
      <c r="X92" s="10"/>
      <c r="Y92" s="10">
        <f t="shared" ref="Y92:AD92" si="49">Y72*$I$40</f>
        <v>1422286.2076290115</v>
      </c>
      <c r="Z92" s="10">
        <f t="shared" si="49"/>
        <v>411198.23302076448</v>
      </c>
      <c r="AA92" s="10">
        <f t="shared" si="49"/>
        <v>1211128.8281843779</v>
      </c>
      <c r="AB92" s="10">
        <f t="shared" si="49"/>
        <v>768341.34760267031</v>
      </c>
      <c r="AC92" s="10">
        <f t="shared" si="49"/>
        <v>432922.92461624613</v>
      </c>
      <c r="AD92" s="10">
        <f t="shared" si="49"/>
        <v>436553.70863957069</v>
      </c>
      <c r="AE92" s="10"/>
      <c r="AF92" s="10">
        <f>SUM(Y92:AE92)</f>
        <v>4682431.2496926412</v>
      </c>
      <c r="AG92" s="10"/>
      <c r="AH92" s="10">
        <f t="shared" ref="AH92:AM92" si="50">AH72*$J$40</f>
        <v>999612.6833985761</v>
      </c>
      <c r="AI92" s="10">
        <f t="shared" si="50"/>
        <v>288993.43133497762</v>
      </c>
      <c r="AJ92" s="10">
        <f t="shared" si="50"/>
        <v>851200.13833214098</v>
      </c>
      <c r="AK92" s="10">
        <f t="shared" si="50"/>
        <v>540020.1819059971</v>
      </c>
      <c r="AL92" s="10">
        <f t="shared" si="50"/>
        <v>304263.27299383201</v>
      </c>
      <c r="AM92" s="10">
        <f t="shared" si="50"/>
        <v>306825.77348870953</v>
      </c>
      <c r="AN92" s="10"/>
      <c r="AO92" s="10">
        <f>SUM(AH92:AN92)</f>
        <v>3290915.4814542332</v>
      </c>
      <c r="AP92" s="10"/>
      <c r="AQ92" s="10">
        <f t="shared" ref="AQ92:AV92" si="51">AQ72*$K$40</f>
        <v>92478.203830660117</v>
      </c>
      <c r="AR92" s="10">
        <f t="shared" si="51"/>
        <v>35887.534418716845</v>
      </c>
      <c r="AS92" s="10">
        <f t="shared" si="51"/>
        <v>112784.14955032511</v>
      </c>
      <c r="AT92" s="10">
        <f t="shared" si="51"/>
        <v>72704.873277973282</v>
      </c>
      <c r="AU92" s="10">
        <f t="shared" si="51"/>
        <v>42924.485506487574</v>
      </c>
      <c r="AV92" s="10">
        <f t="shared" si="51"/>
        <v>33220.753415837054</v>
      </c>
      <c r="AW92" s="10"/>
      <c r="AX92" s="10">
        <f>SUM(AQ92:AW92)</f>
        <v>390000</v>
      </c>
      <c r="AY92" s="10"/>
      <c r="AZ92" s="10">
        <f t="shared" ref="AZ92:BE92" si="52">AZ72*$L$40</f>
        <v>49074.973605823245</v>
      </c>
      <c r="BA92" s="10">
        <f t="shared" si="52"/>
        <v>14187.343313077006</v>
      </c>
      <c r="BB92" s="10">
        <f t="shared" si="52"/>
        <v>41788.187131877938</v>
      </c>
      <c r="BC92" s="10">
        <f t="shared" si="52"/>
        <v>26513.019940342339</v>
      </c>
      <c r="BD92" s="10">
        <f t="shared" si="52"/>
        <v>14937.118982962871</v>
      </c>
      <c r="BE92" s="10">
        <f t="shared" si="52"/>
        <v>15063.918488440644</v>
      </c>
      <c r="BF92" s="10"/>
      <c r="BG92" s="10">
        <f>SUM(AZ92:BF92)</f>
        <v>161564.56146252409</v>
      </c>
      <c r="BH92" s="10"/>
      <c r="BI92" s="10">
        <f t="shared" ref="BI92:BN92" si="53">BI72*$M$40</f>
        <v>30235.522441244662</v>
      </c>
      <c r="BJ92" s="10">
        <f t="shared" si="53"/>
        <v>8740.946873851839</v>
      </c>
      <c r="BK92" s="10">
        <f t="shared" si="53"/>
        <v>25746.069268489657</v>
      </c>
      <c r="BL92" s="10">
        <f t="shared" si="53"/>
        <v>16334.904544834351</v>
      </c>
      <c r="BM92" s="10">
        <f t="shared" si="53"/>
        <v>9202.8902520555785</v>
      </c>
      <c r="BN92" s="10">
        <f t="shared" si="53"/>
        <v>9281.0125415183466</v>
      </c>
      <c r="BO92" s="10"/>
      <c r="BP92" s="10">
        <f>SUM(BI92:BO92)</f>
        <v>99541.34592199442</v>
      </c>
    </row>
    <row r="93" spans="2:68" ht="12">
      <c r="B93" s="1055" t="s">
        <v>1119</v>
      </c>
      <c r="C93" s="1053"/>
      <c r="D93" s="1053"/>
      <c r="E93" s="1053"/>
      <c r="F93" s="1053"/>
      <c r="G93" s="1178">
        <f t="shared" si="41"/>
        <v>5558602.7588235307</v>
      </c>
      <c r="H93" s="1178">
        <f t="shared" si="41"/>
        <v>1852696.3396465709</v>
      </c>
      <c r="I93" s="1178">
        <f t="shared" si="41"/>
        <v>5558809.7350131134</v>
      </c>
      <c r="J93" s="1178">
        <f t="shared" si="41"/>
        <v>3537246.7671163375</v>
      </c>
      <c r="K93" s="1178">
        <f t="shared" si="41"/>
        <v>2058853.8154361516</v>
      </c>
      <c r="L93" s="1178">
        <f t="shared" si="41"/>
        <v>1804316.6941555075</v>
      </c>
      <c r="M93" s="1178"/>
      <c r="N93" s="1054">
        <f>SUM(G93:M93)</f>
        <v>20370526.110191211</v>
      </c>
      <c r="O93" s="136">
        <f>ROW()</f>
        <v>93</v>
      </c>
      <c r="P93" s="10">
        <f t="shared" ref="P93:U93" si="54">P91+P92</f>
        <v>956119.34102838289</v>
      </c>
      <c r="Q93" s="10">
        <f t="shared" si="54"/>
        <v>309726.42007850704</v>
      </c>
      <c r="R93" s="10">
        <f t="shared" si="54"/>
        <v>855904.09108702186</v>
      </c>
      <c r="S93" s="10">
        <f t="shared" si="54"/>
        <v>431036.65387251554</v>
      </c>
      <c r="T93" s="10">
        <f t="shared" si="54"/>
        <v>316749.64085756405</v>
      </c>
      <c r="U93" s="10">
        <f t="shared" si="54"/>
        <v>252084.68620443589</v>
      </c>
      <c r="V93" s="10"/>
      <c r="W93" s="10">
        <f>SUM(P93:V93)</f>
        <v>3121620.8331284267</v>
      </c>
      <c r="X93" s="10"/>
      <c r="Y93" s="10">
        <f t="shared" ref="Y93:AD93" si="55">Y91+Y92</f>
        <v>2266228.5929222545</v>
      </c>
      <c r="Z93" s="10">
        <f t="shared" si="55"/>
        <v>773285.46773551148</v>
      </c>
      <c r="AA93" s="10">
        <f t="shared" si="55"/>
        <v>2629939.8822955918</v>
      </c>
      <c r="AB93" s="10">
        <f t="shared" si="55"/>
        <v>1840389.6889693441</v>
      </c>
      <c r="AC93" s="10">
        <f t="shared" si="55"/>
        <v>973938.27743204567</v>
      </c>
      <c r="AD93" s="10">
        <f t="shared" si="55"/>
        <v>881080.59003053326</v>
      </c>
      <c r="AE93" s="10"/>
      <c r="AF93" s="10">
        <f>SUM(Y93:AE93)</f>
        <v>9364862.4993852787</v>
      </c>
      <c r="AG93" s="10"/>
      <c r="AH93" s="10">
        <f t="shared" ref="AH93:AM93" si="56">AH91+AH92</f>
        <v>2010073.5485375938</v>
      </c>
      <c r="AI93" s="10">
        <f t="shared" si="56"/>
        <v>650954.30501795351</v>
      </c>
      <c r="AJ93" s="10">
        <f t="shared" si="56"/>
        <v>1704353.9555988959</v>
      </c>
      <c r="AK93" s="10">
        <f t="shared" si="56"/>
        <v>1028886.6714166317</v>
      </c>
      <c r="AL93" s="10">
        <f t="shared" si="56"/>
        <v>629438.87398268934</v>
      </c>
      <c r="AM93" s="10">
        <f t="shared" si="56"/>
        <v>558123.60835470166</v>
      </c>
      <c r="AN93" s="10"/>
      <c r="AO93" s="10">
        <f>SUM(AH93:AN93)</f>
        <v>6581830.9629084663</v>
      </c>
      <c r="AP93" s="10"/>
      <c r="AQ93" s="10">
        <f t="shared" ref="AQ93:AV93" si="57">AQ91+AQ92</f>
        <v>184956.40766132023</v>
      </c>
      <c r="AR93" s="10">
        <f t="shared" si="57"/>
        <v>71775.06883743369</v>
      </c>
      <c r="AS93" s="10">
        <f t="shared" si="57"/>
        <v>225568.29910065021</v>
      </c>
      <c r="AT93" s="10">
        <f t="shared" si="57"/>
        <v>145409.74655594656</v>
      </c>
      <c r="AU93" s="10">
        <f t="shared" si="57"/>
        <v>85848.971012975147</v>
      </c>
      <c r="AV93" s="10">
        <f t="shared" si="57"/>
        <v>66441.506831674109</v>
      </c>
      <c r="AW93" s="10"/>
      <c r="AX93" s="10">
        <f>SUM(AQ93:AW93)</f>
        <v>780000</v>
      </c>
      <c r="AY93" s="10"/>
      <c r="AZ93" s="10">
        <f t="shared" ref="AZ93:BE93" si="58">AZ91+AZ92</f>
        <v>87385.743982086104</v>
      </c>
      <c r="BA93" s="10">
        <f t="shared" si="58"/>
        <v>29054.404237003226</v>
      </c>
      <c r="BB93" s="10">
        <f t="shared" si="58"/>
        <v>88511.063188344619</v>
      </c>
      <c r="BC93" s="10">
        <f t="shared" si="58"/>
        <v>56632.330113019612</v>
      </c>
      <c r="BD93" s="10">
        <f t="shared" si="58"/>
        <v>32719.364308245265</v>
      </c>
      <c r="BE93" s="10">
        <f t="shared" si="58"/>
        <v>28826.217096349261</v>
      </c>
      <c r="BF93" s="10"/>
      <c r="BG93" s="10">
        <f>SUM(AZ93:BF93)</f>
        <v>323129.12292504811</v>
      </c>
      <c r="BH93" s="10"/>
      <c r="BI93" s="10">
        <f t="shared" ref="BI93:BN93" si="59">BI91+BI92</f>
        <v>53839.124691891964</v>
      </c>
      <c r="BJ93" s="10">
        <f t="shared" si="59"/>
        <v>17900.67374016203</v>
      </c>
      <c r="BK93" s="10">
        <f t="shared" si="59"/>
        <v>54532.443742609816</v>
      </c>
      <c r="BL93" s="10">
        <f t="shared" si="59"/>
        <v>34891.676188879239</v>
      </c>
      <c r="BM93" s="10">
        <f t="shared" si="59"/>
        <v>20158.687842632287</v>
      </c>
      <c r="BN93" s="10">
        <f t="shared" si="59"/>
        <v>17760.08563781351</v>
      </c>
      <c r="BO93" s="10"/>
      <c r="BP93" s="10">
        <f>SUM(BI93:BO93)</f>
        <v>199082.69184398887</v>
      </c>
    </row>
    <row r="94" spans="2:68">
      <c r="G94" s="1133"/>
      <c r="H94" s="1133"/>
      <c r="I94" s="1133"/>
      <c r="J94" s="1133"/>
      <c r="K94" s="1133"/>
      <c r="L94" s="1133"/>
      <c r="M94" s="1133"/>
      <c r="O94" s="136">
        <f>ROW()</f>
        <v>94</v>
      </c>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row>
    <row r="95" spans="2:68" ht="12">
      <c r="B95" s="1052" t="s">
        <v>123</v>
      </c>
      <c r="C95" s="1053"/>
      <c r="D95" s="1053"/>
      <c r="E95" s="1053"/>
      <c r="F95" s="1053"/>
      <c r="G95" s="1178">
        <f>'Motor Vs Weekends'!G166</f>
        <v>10511658.542792561</v>
      </c>
      <c r="H95" s="1178">
        <f>'Motor Vs Weekends'!H166</f>
        <v>3484781.2493454632</v>
      </c>
      <c r="I95" s="1178">
        <f>'Motor Vs Weekends'!I166</f>
        <v>10436898.773015032</v>
      </c>
      <c r="J95" s="1178">
        <f>'Motor Vs Weekends'!J166</f>
        <v>6638070.7728085062</v>
      </c>
      <c r="K95" s="1178">
        <f>'Motor Vs Weekends'!K166</f>
        <v>3857700.4406464947</v>
      </c>
      <c r="L95" s="1178">
        <f>'Motor Vs Weekends'!L166</f>
        <v>3400303.3927968838</v>
      </c>
      <c r="M95" s="1178"/>
      <c r="N95" s="1054">
        <f>SUM(G95:M95)</f>
        <v>38329413.171404935</v>
      </c>
      <c r="O95" s="136">
        <f>ROW()</f>
        <v>95</v>
      </c>
      <c r="P95" s="10">
        <f>'Motor Vs Weekends'!P166</f>
        <v>1867015.9920189006</v>
      </c>
      <c r="Q95" s="10">
        <f>'Motor Vs Weekends'!Q166</f>
        <v>604810.44908873958</v>
      </c>
      <c r="R95" s="10">
        <f>'Motor Vs Weekends'!R166</f>
        <v>1671334.3872951968</v>
      </c>
      <c r="S95" s="10">
        <f>'Motor Vs Weekends'!S166</f>
        <v>841667.84164441575</v>
      </c>
      <c r="T95" s="10">
        <f>'Motor Vs Weekends'!T166</f>
        <v>617852.2748860158</v>
      </c>
      <c r="U95" s="10">
        <f>'Motor Vs Weekends'!U166</f>
        <v>492237.40599888738</v>
      </c>
      <c r="V95" s="10"/>
      <c r="W95" s="10">
        <f>SUM(P95:V95)</f>
        <v>6094918.3509321557</v>
      </c>
      <c r="X95" s="10"/>
      <c r="Y95" s="10">
        <f>'Motor Vs Weekends'!Y166</f>
        <v>4425130.0487481356</v>
      </c>
      <c r="Z95" s="10">
        <f>'Motor Vs Weekends'!Z166</f>
        <v>1509938.0670463841</v>
      </c>
      <c r="AA95" s="10">
        <f>'Motor Vs Weekends'!AA166</f>
        <v>5135465.7193462281</v>
      </c>
      <c r="AB95" s="10">
        <f>'Motor Vs Weekends'!AB166</f>
        <v>3593898.9642966902</v>
      </c>
      <c r="AC95" s="10">
        <f>'Motor Vs Weekends'!AC166</f>
        <v>1899784.2228171625</v>
      </c>
      <c r="AD95" s="10">
        <f>'Motor Vs Weekends'!AD166</f>
        <v>1720538.0305418647</v>
      </c>
      <c r="AE95" s="10"/>
      <c r="AF95" s="10">
        <f>SUM(Y95:AE95)</f>
        <v>18284755.052796464</v>
      </c>
      <c r="AG95" s="10"/>
      <c r="AH95" s="10">
        <f>'Motor Vs Weekends'!AH166</f>
        <v>3925216.7045647427</v>
      </c>
      <c r="AI95" s="10">
        <f>'Motor Vs Weekends'!AI166</f>
        <v>1271155.9527828719</v>
      </c>
      <c r="AJ95" s="10">
        <f>'Motor Vs Weekends'!AJ166</f>
        <v>3328190.0339365797</v>
      </c>
      <c r="AK95" s="10">
        <f>'Motor Vs Weekends'!AK166</f>
        <v>2009224.3924425368</v>
      </c>
      <c r="AL95" s="10">
        <f>'Motor Vs Weekends'!AL166</f>
        <v>1228212.7075132725</v>
      </c>
      <c r="AM95" s="10">
        <f>'Motor Vs Weekends'!AM166</f>
        <v>1089904.7187127902</v>
      </c>
      <c r="AN95" s="10"/>
      <c r="AO95" s="10">
        <f>SUM(AH95:AN95)</f>
        <v>12851904.509952795</v>
      </c>
      <c r="AP95" s="10"/>
      <c r="AQ95" s="10">
        <f>'Motor Vs Weekends'!AQ166</f>
        <v>18495.640766132023</v>
      </c>
      <c r="AR95" s="10">
        <f>'Motor Vs Weekends'!AR166</f>
        <v>7177.5068837433691</v>
      </c>
      <c r="AS95" s="10">
        <f>'Motor Vs Weekends'!AS166</f>
        <v>22556.829910065022</v>
      </c>
      <c r="AT95" s="10">
        <f>'Motor Vs Weekends'!AT166</f>
        <v>14540.974655594657</v>
      </c>
      <c r="AU95" s="10">
        <f>'Motor Vs Weekends'!AU166</f>
        <v>8584.8971012975144</v>
      </c>
      <c r="AV95" s="10">
        <f>'Motor Vs Weekends'!AV166</f>
        <v>6644.1506831674114</v>
      </c>
      <c r="AW95" s="10"/>
      <c r="AX95" s="10">
        <f>SUM(AQ95:AW95)</f>
        <v>77999.999999999985</v>
      </c>
      <c r="AY95" s="10"/>
      <c r="AZ95" s="10">
        <f>'Motor Vs Weekends'!AZ166</f>
        <v>170656.92543694808</v>
      </c>
      <c r="BA95" s="10">
        <f>'Motor Vs Weekends'!BA166</f>
        <v>56740.780263948509</v>
      </c>
      <c r="BB95" s="10">
        <f>'Motor Vs Weekends'!BB166</f>
        <v>172854.57813318871</v>
      </c>
      <c r="BC95" s="10">
        <f>'Motor Vs Weekends'!BC166</f>
        <v>110598.12387017568</v>
      </c>
      <c r="BD95" s="10">
        <f>'Motor Vs Weekends'!BD166</f>
        <v>63898.135561347597</v>
      </c>
      <c r="BE95" s="10">
        <f>'Motor Vs Weekends'!BE166</f>
        <v>56295.150186618761</v>
      </c>
      <c r="BF95" s="10"/>
      <c r="BG95" s="10">
        <f>SUM(AZ95:BF95)</f>
        <v>631043.6934522274</v>
      </c>
      <c r="BH95" s="10"/>
      <c r="BI95" s="10">
        <f>'Motor Vs Weekends'!BI166</f>
        <v>105143.23125770129</v>
      </c>
      <c r="BJ95" s="10">
        <f>'Motor Vs Weekends'!BJ166</f>
        <v>34958.493279775808</v>
      </c>
      <c r="BK95" s="10">
        <f>'Motor Vs Weekends'!BK166</f>
        <v>106497.22439377423</v>
      </c>
      <c r="BL95" s="10">
        <f>'Motor Vs Weekends'!BL166</f>
        <v>68140.475899093595</v>
      </c>
      <c r="BM95" s="10">
        <f>'Motor Vs Weekends'!BM166</f>
        <v>39368.202767399314</v>
      </c>
      <c r="BN95" s="10">
        <f>'Motor Vs Weekends'!BN166</f>
        <v>34683.936673554868</v>
      </c>
      <c r="BO95" s="10"/>
      <c r="BP95" s="10">
        <f>SUM(BI95:BO95)</f>
        <v>388791.56427129911</v>
      </c>
    </row>
    <row r="96" spans="2:68">
      <c r="B96" s="280"/>
      <c r="G96" s="1133"/>
      <c r="H96" s="1133"/>
      <c r="I96" s="1133"/>
      <c r="J96" s="1133"/>
      <c r="K96" s="1133"/>
      <c r="L96" s="1133"/>
      <c r="M96" s="1133"/>
      <c r="N96" s="138"/>
      <c r="O96" s="136">
        <f>ROW()</f>
        <v>96</v>
      </c>
      <c r="W96" s="138"/>
      <c r="AF96" s="138"/>
      <c r="AO96" s="138"/>
      <c r="AX96" s="138"/>
      <c r="BG96" s="138"/>
      <c r="BP96" s="138"/>
    </row>
    <row r="97" spans="1:20" ht="12">
      <c r="B97" s="1049" t="s">
        <v>1954</v>
      </c>
      <c r="C97" s="1050"/>
      <c r="D97" s="1050"/>
      <c r="E97" s="1050"/>
      <c r="F97" s="1050"/>
      <c r="G97" s="1180">
        <f t="shared" ref="G97:L97" si="60">G93+G95</f>
        <v>16070261.301616091</v>
      </c>
      <c r="H97" s="1180">
        <f t="shared" si="60"/>
        <v>5337477.5889920341</v>
      </c>
      <c r="I97" s="1180">
        <f t="shared" si="60"/>
        <v>15995708.508028146</v>
      </c>
      <c r="J97" s="1180">
        <f t="shared" si="60"/>
        <v>10175317.539924843</v>
      </c>
      <c r="K97" s="1180">
        <f t="shared" si="60"/>
        <v>5916554.2560826465</v>
      </c>
      <c r="L97" s="1180">
        <f t="shared" si="60"/>
        <v>5204620.0869523911</v>
      </c>
      <c r="M97" s="1180"/>
      <c r="N97" s="1051">
        <f>SUM(G97:M97)</f>
        <v>58699939.281596147</v>
      </c>
      <c r="O97" s="136">
        <f>ROW()</f>
        <v>97</v>
      </c>
    </row>
    <row r="98" spans="1:20">
      <c r="B98" s="281" t="s">
        <v>2900</v>
      </c>
      <c r="G98" s="1133">
        <f t="shared" ref="G98:L98" si="61">G97/G61</f>
        <v>1607026.130161609</v>
      </c>
      <c r="H98" s="1133">
        <f t="shared" si="61"/>
        <v>2668738.794496017</v>
      </c>
      <c r="I98" s="1133">
        <f t="shared" si="61"/>
        <v>3199141.7016056292</v>
      </c>
      <c r="J98" s="1133">
        <f t="shared" si="61"/>
        <v>3391772.5133082811</v>
      </c>
      <c r="K98" s="1133">
        <f t="shared" si="61"/>
        <v>2958277.1280413233</v>
      </c>
      <c r="L98" s="1133">
        <f t="shared" si="61"/>
        <v>2602310.0434761955</v>
      </c>
      <c r="M98" s="3" t="s">
        <v>673</v>
      </c>
      <c r="N98" s="10">
        <f>'Motor Vs Weekends'!N167</f>
        <v>58696243.238751821</v>
      </c>
      <c r="O98" s="136">
        <f>ROW()</f>
        <v>98</v>
      </c>
    </row>
    <row r="99" spans="1:20">
      <c r="B99" s="608"/>
      <c r="G99" s="930"/>
      <c r="H99" s="930"/>
      <c r="I99" s="930"/>
      <c r="J99" s="930"/>
      <c r="K99" s="930"/>
      <c r="L99" s="930"/>
      <c r="M99" s="118" t="s">
        <v>674</v>
      </c>
      <c r="N99" s="10">
        <f>N97-N98</f>
        <v>3696.042844325304</v>
      </c>
      <c r="O99" s="136">
        <f>ROW()</f>
        <v>99</v>
      </c>
    </row>
    <row r="100" spans="1:20" ht="12">
      <c r="B100" s="309"/>
      <c r="N100" s="186"/>
      <c r="O100" s="136">
        <f>ROW()</f>
        <v>100</v>
      </c>
    </row>
    <row r="101" spans="1:20" ht="12">
      <c r="B101" s="6" t="s">
        <v>1934</v>
      </c>
      <c r="N101" s="880"/>
      <c r="O101" s="136">
        <f>ROW()</f>
        <v>101</v>
      </c>
    </row>
    <row r="102" spans="1:20" ht="12" customHeight="1">
      <c r="B102" s="1049" t="s">
        <v>1935</v>
      </c>
      <c r="C102" s="1050"/>
      <c r="D102" s="1050"/>
      <c r="E102" s="1050"/>
      <c r="F102" s="1050"/>
      <c r="G102" s="1083">
        <f t="shared" ref="G102:L102" si="62">KSC/(1+0.1*(G86/V_sub_k)^KSE)</f>
        <v>19.552530033426773</v>
      </c>
      <c r="H102" s="1083">
        <f t="shared" si="62"/>
        <v>14.461812005894059</v>
      </c>
      <c r="I102" s="1083">
        <f t="shared" si="62"/>
        <v>10.941191981232999</v>
      </c>
      <c r="J102" s="1083">
        <f t="shared" si="62"/>
        <v>9.600436547409295</v>
      </c>
      <c r="K102" s="1083">
        <f t="shared" si="62"/>
        <v>11.876755925539229</v>
      </c>
      <c r="L102" s="1083">
        <f t="shared" si="62"/>
        <v>14.082946756216582</v>
      </c>
      <c r="M102" s="1133"/>
      <c r="O102" s="136">
        <f>ROW()</f>
        <v>102</v>
      </c>
    </row>
    <row r="103" spans="1:20" ht="12" customHeight="1">
      <c r="B103" s="309" t="s">
        <v>1182</v>
      </c>
      <c r="D103" s="86"/>
      <c r="E103" s="86"/>
      <c r="F103" s="86"/>
      <c r="G103" s="117">
        <f t="shared" ref="G103:L103" si="63">1/G102</f>
        <v>5.1144276382156781E-2</v>
      </c>
      <c r="H103" s="117">
        <f t="shared" si="63"/>
        <v>6.9147628221998728E-2</v>
      </c>
      <c r="I103" s="117">
        <f t="shared" si="63"/>
        <v>9.1397719893340792E-2</v>
      </c>
      <c r="J103" s="117">
        <f t="shared" si="63"/>
        <v>0.1041619300395098</v>
      </c>
      <c r="K103" s="117">
        <f t="shared" si="63"/>
        <v>8.4198076164017657E-2</v>
      </c>
      <c r="L103" s="117">
        <f t="shared" si="63"/>
        <v>7.1007866273340395E-2</v>
      </c>
      <c r="M103" s="117"/>
      <c r="O103" s="136">
        <f>ROW()</f>
        <v>103</v>
      </c>
    </row>
    <row r="104" spans="1:20">
      <c r="B104" s="309" t="str">
        <f>CONCATENATE("Are calculated using speed-vol. relationship in Speed-Volume Cordon wksheet, operating on Vk value derived there and shown in Motor Vs wksheet in Row ",'Motor Vs'!O181, ", and on hourly VMT figs in Row ",O86, ".")</f>
        <v>Are calculated using speed-vol. relationship in Speed-Volume Cordon wksheet, operating on Vk value derived there and shown in Motor Vs wksheet in Row 181, and on hourly VMT figs in Row 86.</v>
      </c>
      <c r="G104" s="282"/>
      <c r="O104" s="136">
        <f>ROW()</f>
        <v>104</v>
      </c>
    </row>
    <row r="105" spans="1:20" ht="12">
      <c r="H105" s="19" t="s">
        <v>1534</v>
      </c>
      <c r="I105" s="113"/>
      <c r="J105" s="113"/>
      <c r="K105" s="956">
        <f>$N$84/SUMPRODUCT(G103:L103,G84:L84)</f>
        <v>13.027173960002235</v>
      </c>
      <c r="M105" s="118" t="s">
        <v>672</v>
      </c>
      <c r="N105" s="1222">
        <f>K105-'Motor Vs Weekends'!K188</f>
        <v>-2.494428106450286E-3</v>
      </c>
      <c r="O105" s="136">
        <f>ROW()</f>
        <v>105</v>
      </c>
      <c r="S105" s="113"/>
    </row>
    <row r="106" spans="1:20">
      <c r="G106" s="282"/>
      <c r="O106" s="136">
        <f>ROW()</f>
        <v>106</v>
      </c>
      <c r="R106" s="113"/>
      <c r="T106" s="113"/>
    </row>
    <row r="107" spans="1:20">
      <c r="B107" s="280" t="s">
        <v>113</v>
      </c>
      <c r="C107" s="297"/>
      <c r="D107" s="297"/>
      <c r="E107" s="297"/>
      <c r="F107" s="297"/>
      <c r="G107" s="21"/>
      <c r="H107" s="21"/>
      <c r="I107" s="615"/>
      <c r="J107" s="21"/>
      <c r="K107" s="21"/>
      <c r="L107" s="21"/>
      <c r="M107" s="21"/>
      <c r="O107" s="136">
        <f>ROW()</f>
        <v>107</v>
      </c>
      <c r="T107" s="113"/>
    </row>
    <row r="108" spans="1:20" ht="11.7" customHeight="1">
      <c r="A108" s="281"/>
      <c r="B108" s="4187" t="str">
        <f>'Motor Vs Weekends'!B195</f>
        <v>Baseline non-cordon speeds, i.e., on approaches to (and from) CBD in NJ, Bklyn, Queens, Bronx and Upper Manhattan, are derived differently than cordon speeds. Whereas our cordon equation is derived from observations made on urban streets, our non-cordon equation is based on data for freeways and expressways. See Speed-Volume, non-Cordon, for details.</v>
      </c>
      <c r="C108" s="4187"/>
      <c r="D108" s="4187"/>
      <c r="E108" s="4187"/>
      <c r="F108" s="4187"/>
      <c r="G108" s="4187"/>
      <c r="H108" s="4187"/>
      <c r="I108" s="4187"/>
      <c r="J108" s="4187"/>
      <c r="K108" s="4187"/>
      <c r="L108" s="4187"/>
      <c r="M108" s="21"/>
      <c r="O108" s="136">
        <f>ROW()</f>
        <v>108</v>
      </c>
    </row>
    <row r="109" spans="1:20">
      <c r="A109" s="281"/>
      <c r="B109" s="4187"/>
      <c r="C109" s="4187"/>
      <c r="D109" s="4187"/>
      <c r="E109" s="4187"/>
      <c r="F109" s="4187"/>
      <c r="G109" s="4187"/>
      <c r="H109" s="4187"/>
      <c r="I109" s="4187"/>
      <c r="J109" s="4187"/>
      <c r="K109" s="4187"/>
      <c r="L109" s="4187"/>
      <c r="M109" s="21"/>
      <c r="O109" s="136">
        <f>ROW()</f>
        <v>109</v>
      </c>
      <c r="Q109" s="113"/>
      <c r="S109" s="113"/>
    </row>
    <row r="110" spans="1:20">
      <c r="A110" s="281"/>
      <c r="B110" s="4187"/>
      <c r="C110" s="4187"/>
      <c r="D110" s="4187"/>
      <c r="E110" s="4187"/>
      <c r="F110" s="4187"/>
      <c r="G110" s="4187"/>
      <c r="H110" s="4187"/>
      <c r="I110" s="4187"/>
      <c r="J110" s="4187"/>
      <c r="K110" s="4187"/>
      <c r="L110" s="4187"/>
      <c r="M110" s="21"/>
      <c r="O110" s="136">
        <f>ROW()</f>
        <v>110</v>
      </c>
      <c r="Q110" s="113"/>
      <c r="R110" s="113"/>
    </row>
    <row r="111" spans="1:20">
      <c r="A111" s="281"/>
      <c r="B111" s="886" t="s">
        <v>562</v>
      </c>
      <c r="C111" s="886"/>
      <c r="D111" s="886"/>
      <c r="E111" s="886"/>
      <c r="F111" s="886"/>
      <c r="G111" s="1086">
        <f t="shared" ref="G111:L111" si="64">Alpha*EXP(Beta*G98/SVConstant)</f>
        <v>53.891129670040101</v>
      </c>
      <c r="H111" s="1086">
        <f t="shared" si="64"/>
        <v>30.024310424410452</v>
      </c>
      <c r="I111" s="1086">
        <f t="shared" si="64"/>
        <v>22.416066859766627</v>
      </c>
      <c r="J111" s="1086">
        <f t="shared" si="64"/>
        <v>20.158914410786853</v>
      </c>
      <c r="K111" s="1086">
        <f t="shared" si="64"/>
        <v>25.597228950188423</v>
      </c>
      <c r="L111" s="1086">
        <f t="shared" si="64"/>
        <v>31.143539240092057</v>
      </c>
      <c r="M111" s="1086"/>
      <c r="O111" s="136">
        <f>ROW()</f>
        <v>111</v>
      </c>
      <c r="Q111" s="113"/>
      <c r="R111" s="113"/>
    </row>
    <row r="112" spans="1:20" ht="12">
      <c r="A112" s="281"/>
      <c r="B112" s="1211" t="s">
        <v>563</v>
      </c>
      <c r="C112" s="1088"/>
      <c r="D112" s="1088"/>
      <c r="E112" s="1088"/>
      <c r="F112" s="1088"/>
      <c r="G112" s="1083">
        <f>MIN(G111,'Speed-Vol., non-Cordon'!$X$32)</f>
        <v>53.891129670040101</v>
      </c>
      <c r="H112" s="1083">
        <f>MIN(H111,'Speed-Vol., non-Cordon'!$X$32)</f>
        <v>30.024310424410452</v>
      </c>
      <c r="I112" s="1083">
        <f>MIN(I111,'Speed-Vol., non-Cordon'!$X$32)</f>
        <v>22.416066859766627</v>
      </c>
      <c r="J112" s="1083">
        <f>MIN(J111,'Speed-Vol., non-Cordon'!$X$32)</f>
        <v>20.158914410786853</v>
      </c>
      <c r="K112" s="1083">
        <f>MIN(K111,'Speed-Vol., non-Cordon'!$X$32)</f>
        <v>25.597228950188423</v>
      </c>
      <c r="L112" s="1083">
        <f>MIN(L111,'Speed-Vol., non-Cordon'!$X$32)</f>
        <v>31.143539240092057</v>
      </c>
      <c r="M112" s="1133"/>
      <c r="N112" s="163"/>
      <c r="O112" s="136">
        <f>ROW()</f>
        <v>112</v>
      </c>
      <c r="P112" s="902"/>
    </row>
    <row r="113" spans="2:16">
      <c r="B113" s="309" t="str">
        <f>CONCATENATE("Reciprocal of Cordon Speeds (needed to calc avgs in Rows ",O114, " &amp; ",O116,")")</f>
        <v>Reciprocal of Cordon Speeds (needed to calc avgs in Rows 114 &amp; 116)</v>
      </c>
      <c r="G113" s="117">
        <f t="shared" ref="G113:L113" si="65">1/G112</f>
        <v>1.8555929447438058E-2</v>
      </c>
      <c r="H113" s="117">
        <f t="shared" si="65"/>
        <v>3.3306343621699874E-2</v>
      </c>
      <c r="I113" s="117">
        <f t="shared" si="65"/>
        <v>4.4610859088524815E-2</v>
      </c>
      <c r="J113" s="117">
        <f t="shared" si="65"/>
        <v>4.9605845812059651E-2</v>
      </c>
      <c r="K113" s="117">
        <f t="shared" si="65"/>
        <v>3.9066728744192404E-2</v>
      </c>
      <c r="L113" s="117">
        <f t="shared" si="65"/>
        <v>3.2109388476717141E-2</v>
      </c>
      <c r="M113" s="117"/>
      <c r="N113" s="91"/>
      <c r="O113" s="136">
        <f>ROW()</f>
        <v>113</v>
      </c>
      <c r="P113" s="902"/>
    </row>
    <row r="114" spans="2:16" ht="12">
      <c r="F114" s="113"/>
      <c r="H114" s="19" t="s">
        <v>1534</v>
      </c>
      <c r="K114" s="956">
        <f>N84/SUMPRODUCT(G113:L113,G84:L84)</f>
        <v>28.696874408056349</v>
      </c>
      <c r="M114" s="118" t="s">
        <v>672</v>
      </c>
      <c r="N114" s="1222">
        <f>K114-'Motor Vs Weekends'!K204</f>
        <v>-3.1268765342957749E-3</v>
      </c>
      <c r="O114" s="136">
        <f>ROW()</f>
        <v>114</v>
      </c>
    </row>
    <row r="115" spans="2:16" ht="12">
      <c r="F115" s="113"/>
      <c r="H115" s="19"/>
      <c r="K115" s="956"/>
      <c r="M115" s="1225"/>
      <c r="N115" s="1226"/>
      <c r="O115" s="136">
        <f>ROW()</f>
        <v>115</v>
      </c>
    </row>
    <row r="116" spans="2:16">
      <c r="H116" s="113"/>
      <c r="I116" s="113"/>
      <c r="J116" s="113"/>
      <c r="K116" s="955"/>
      <c r="O116" s="136">
        <f>ROW()</f>
        <v>116</v>
      </c>
    </row>
    <row r="117" spans="2:16" ht="13.2">
      <c r="B117" s="24" t="s">
        <v>270</v>
      </c>
      <c r="C117" s="297"/>
      <c r="D117" s="297"/>
      <c r="E117" s="297"/>
      <c r="F117" s="297"/>
      <c r="O117" s="136">
        <f>ROW()</f>
        <v>117</v>
      </c>
    </row>
    <row r="118" spans="2:16" ht="12">
      <c r="B118" s="6"/>
      <c r="C118" s="297"/>
      <c r="D118" s="297"/>
      <c r="E118" s="297"/>
      <c r="F118" s="297"/>
      <c r="G118" s="282"/>
      <c r="H118" s="282"/>
      <c r="I118" s="282"/>
      <c r="J118" s="282"/>
      <c r="K118" s="282"/>
      <c r="L118" s="282"/>
      <c r="M118" s="282"/>
      <c r="N118" s="186"/>
      <c r="O118" s="136">
        <f>ROW()</f>
        <v>118</v>
      </c>
    </row>
    <row r="119" spans="2:16" ht="12">
      <c r="B119" s="172" t="s">
        <v>782</v>
      </c>
      <c r="C119" s="297"/>
      <c r="D119" s="297"/>
      <c r="E119" s="297"/>
      <c r="F119" s="297"/>
      <c r="G119" s="1532">
        <f>'Motor Vs Weekends'!G147/G102</f>
        <v>49423.18981596738</v>
      </c>
      <c r="H119" s="1532">
        <f>'Motor Vs Weekends'!H147/H102</f>
        <v>19090.556571151443</v>
      </c>
      <c r="I119" s="1532">
        <f>'Motor Vs Weekends'!I147/I102</f>
        <v>74442.109872946909</v>
      </c>
      <c r="J119" s="1532">
        <f>'Motor Vs Weekends'!J147/J102</f>
        <v>54121.357129857694</v>
      </c>
      <c r="K119" s="1532">
        <f>'Motor Vs Weekends'!K147/K102</f>
        <v>26274.502918107279</v>
      </c>
      <c r="L119" s="1532">
        <f>'Motor Vs Weekends'!L147/L102</f>
        <v>19978.470592848214</v>
      </c>
      <c r="M119" s="1123"/>
      <c r="N119" s="1182">
        <f>SUM(G119:M119)</f>
        <v>243330.18690087897</v>
      </c>
      <c r="O119" s="136">
        <f>ROW()</f>
        <v>119</v>
      </c>
    </row>
    <row r="120" spans="2:16" ht="12" customHeight="1">
      <c r="B120" s="4101" t="str">
        <f>CONCATENATE("Calculated as quotient of Row ",'Motor Vs'!O147, " VMT figures in Motor Vs worksheet by Row ",123, " speeds in this worksheet. Numerator uses Motor Vs VMT figures to ensure that delays are calculated on 'baseline' vehicle volumes only and do not [spuriously] reflect delays experienced by the hypothesized additional vehicles.")</f>
        <v>Calculated as quotient of Row 147 VMT figures in Motor Vs worksheet by Row 123 speeds in this worksheet. Numerator uses Motor Vs VMT figures to ensure that delays are calculated on 'baseline' vehicle volumes only and do not [spuriously] reflect delays experienced by the hypothesized additional vehicles.</v>
      </c>
      <c r="C120" s="3659"/>
      <c r="D120" s="3659"/>
      <c r="E120" s="3659"/>
      <c r="F120" s="3659"/>
      <c r="G120" s="3659"/>
      <c r="H120" s="3659"/>
      <c r="I120" s="3659"/>
      <c r="J120" s="3659"/>
      <c r="K120" s="3659"/>
      <c r="L120" s="3659"/>
      <c r="M120" s="282"/>
      <c r="N120" s="186"/>
      <c r="O120" s="136">
        <f>ROW()</f>
        <v>120</v>
      </c>
    </row>
    <row r="121" spans="2:16">
      <c r="B121" s="3659"/>
      <c r="C121" s="3659"/>
      <c r="D121" s="3659"/>
      <c r="E121" s="3659"/>
      <c r="F121" s="3659"/>
      <c r="G121" s="3659"/>
      <c r="H121" s="3659"/>
      <c r="I121" s="3659"/>
      <c r="J121" s="3659"/>
      <c r="K121" s="3659"/>
      <c r="L121" s="3659"/>
      <c r="O121" s="136">
        <f>ROW()</f>
        <v>121</v>
      </c>
    </row>
    <row r="122" spans="2:16">
      <c r="B122" s="281" t="s">
        <v>783</v>
      </c>
      <c r="C122" s="568"/>
      <c r="D122" s="568"/>
      <c r="E122" s="568"/>
      <c r="G122" s="1532">
        <f>'Motor Vs Weekends'!G190</f>
        <v>49421.937732922459</v>
      </c>
      <c r="H122" s="1532">
        <f>'Motor Vs Weekends'!H190</f>
        <v>19088.772555852971</v>
      </c>
      <c r="I122" s="1532">
        <f>'Motor Vs Weekends'!I190</f>
        <v>74432.643210556475</v>
      </c>
      <c r="J122" s="1532">
        <f>'Motor Vs Weekends'!J190</f>
        <v>54115.652459925266</v>
      </c>
      <c r="K122" s="1532">
        <f>'Motor Vs Weekends'!K190</f>
        <v>26248.587026322533</v>
      </c>
      <c r="L122" s="1532">
        <f>'Motor Vs Weekends'!L190</f>
        <v>19977.041394147356</v>
      </c>
      <c r="M122" s="1123"/>
      <c r="N122" s="1182">
        <f>SUM(G122:M122)</f>
        <v>243284.63437972707</v>
      </c>
      <c r="O122" s="136">
        <f>ROW()</f>
        <v>122</v>
      </c>
    </row>
    <row r="123" spans="2:16" ht="12">
      <c r="B123" s="215" t="str">
        <f>CONCATENATE("Taken from corresponding entry in Motor Vs Weekends, Row ",'Motor Vs Weekends'!O190)</f>
        <v>Taken from corresponding entry in Motor Vs Weekends, Row 190</v>
      </c>
      <c r="C123" s="568"/>
      <c r="D123" s="568"/>
      <c r="E123" s="568"/>
      <c r="N123" s="186"/>
      <c r="O123" s="136">
        <f>ROW()</f>
        <v>123</v>
      </c>
    </row>
    <row r="124" spans="2:16" ht="12">
      <c r="B124" s="1049" t="s">
        <v>1114</v>
      </c>
      <c r="C124" s="1089"/>
      <c r="D124" s="1089"/>
      <c r="E124" s="1089"/>
      <c r="F124" s="1089"/>
      <c r="G124" s="1090"/>
      <c r="H124" s="1050"/>
      <c r="I124" s="1050"/>
      <c r="J124" s="1050"/>
      <c r="K124" s="1050"/>
      <c r="L124" s="1050"/>
      <c r="M124" s="1050"/>
      <c r="N124" s="1051">
        <f>N119-N122</f>
        <v>45.552521151897963</v>
      </c>
      <c r="O124" s="136">
        <f>ROW()</f>
        <v>124</v>
      </c>
    </row>
    <row r="125" spans="2:16" ht="12">
      <c r="B125" s="281"/>
      <c r="C125" s="568"/>
      <c r="D125" s="568"/>
      <c r="E125" s="568"/>
      <c r="F125" s="568"/>
      <c r="G125" s="282"/>
      <c r="N125" s="186"/>
      <c r="O125" s="136">
        <f>ROW()</f>
        <v>125</v>
      </c>
    </row>
    <row r="126" spans="2:16" ht="12">
      <c r="B126" s="172" t="s">
        <v>1120</v>
      </c>
      <c r="C126" s="568"/>
      <c r="D126" s="568"/>
      <c r="E126" s="568"/>
      <c r="F126" s="568"/>
      <c r="G126" s="1123">
        <f>'Motor Vs Weekends'!G167/G112</f>
        <v>298188.07507233165</v>
      </c>
      <c r="H126" s="1123">
        <f>'Motor Vs Weekends'!H167/H112</f>
        <v>177765.313247046</v>
      </c>
      <c r="I126" s="1123">
        <f>'Motor Vs Weekends'!I167/I112</f>
        <v>713558.88478713133</v>
      </c>
      <c r="J126" s="1123">
        <f>'Motor Vs Weekends'!J167/J112</f>
        <v>504744.07151223952</v>
      </c>
      <c r="K126" s="1123">
        <f>'Motor Vs Weekends'!K167/K112</f>
        <v>231060.50088839492</v>
      </c>
      <c r="L126" s="1123">
        <f>'Motor Vs Weekends'!L167/L112</f>
        <v>167112.84102629358</v>
      </c>
      <c r="M126" s="1123"/>
      <c r="N126" s="1182">
        <f>SUM(G126:M126)</f>
        <v>2092429.6865334369</v>
      </c>
      <c r="O126" s="136">
        <f>ROW()</f>
        <v>126</v>
      </c>
    </row>
    <row r="127" spans="2:16" ht="12">
      <c r="B127" s="4101" t="str">
        <f>CONCATENATE("Calculated as quotient of Row ",'Motor Vs'!O167, " VMT figures in Motor Vs worksheet by Row ",O112, " speeds in this worksheet. Numerator uses Motor Vs VMT figures to ensure that delays are calculated on 'baseline' vehicle volumes only and do not [spuriously] reflect delays experienced by the hypothesized additional vehicles.")</f>
        <v>Calculated as quotient of Row 167 VMT figures in Motor Vs worksheet by Row 112 speeds in this worksheet. Numerator uses Motor Vs VMT figures to ensure that delays are calculated on 'baseline' vehicle volumes only and do not [spuriously] reflect delays experienced by the hypothesized additional vehicles.</v>
      </c>
      <c r="C127" s="3659"/>
      <c r="D127" s="3659"/>
      <c r="E127" s="3659"/>
      <c r="F127" s="3659"/>
      <c r="G127" s="3659"/>
      <c r="H127" s="3659"/>
      <c r="I127" s="3659"/>
      <c r="J127" s="3659"/>
      <c r="K127" s="3659"/>
      <c r="L127" s="3659"/>
      <c r="N127" s="186"/>
      <c r="O127" s="136">
        <f>ROW()</f>
        <v>127</v>
      </c>
    </row>
    <row r="128" spans="2:16" ht="12">
      <c r="B128" s="3659"/>
      <c r="C128" s="3659"/>
      <c r="D128" s="3659"/>
      <c r="E128" s="3659"/>
      <c r="F128" s="3659"/>
      <c r="G128" s="3659"/>
      <c r="H128" s="3659"/>
      <c r="I128" s="3659"/>
      <c r="J128" s="3659"/>
      <c r="K128" s="3659"/>
      <c r="L128" s="3659"/>
      <c r="N128" s="186"/>
      <c r="O128" s="136">
        <f>ROW()</f>
        <v>128</v>
      </c>
    </row>
    <row r="129" spans="2:77">
      <c r="B129" s="281" t="s">
        <v>250</v>
      </c>
      <c r="C129" s="568"/>
      <c r="D129" s="568"/>
      <c r="E129" s="568"/>
      <c r="F129" s="568"/>
      <c r="G129" s="1123">
        <f>'Motor Vs Weekends'!G966</f>
        <v>298178.72583384137</v>
      </c>
      <c r="H129" s="1123">
        <f>'Motor Vs Weekends'!H966</f>
        <v>177755.68386963112</v>
      </c>
      <c r="I129" s="1123">
        <f>'Motor Vs Weekends'!I966</f>
        <v>713517.61893712031</v>
      </c>
      <c r="J129" s="1123">
        <f>'Motor Vs Weekends'!J966</f>
        <v>504723.21473134006</v>
      </c>
      <c r="K129" s="1123">
        <f>'Motor Vs Weekends'!K966</f>
        <v>230930.32330323366</v>
      </c>
      <c r="L129" s="1123">
        <f>'Motor Vs Weekends'!L966</f>
        <v>167106.63709901768</v>
      </c>
      <c r="M129" s="1123"/>
      <c r="N129" s="1182">
        <f>SUM(G129:M129)</f>
        <v>2092212.2037741842</v>
      </c>
      <c r="O129" s="136">
        <f>ROW()</f>
        <v>129</v>
      </c>
    </row>
    <row r="130" spans="2:77" ht="12">
      <c r="B130" s="215" t="str">
        <f>CONCATENATE("Taken from corresponding entry in Motor Vs Weekends, Row ",'Motor Vs Weekends'!O966)</f>
        <v>Taken from corresponding entry in Motor Vs Weekends, Row 966</v>
      </c>
      <c r="C130" s="568"/>
      <c r="D130" s="568"/>
      <c r="E130" s="568"/>
      <c r="F130" s="568"/>
      <c r="G130" s="282"/>
      <c r="N130" s="186"/>
      <c r="O130" s="136">
        <f>ROW()</f>
        <v>130</v>
      </c>
    </row>
    <row r="131" spans="2:77" ht="12">
      <c r="B131" s="1049" t="s">
        <v>1115</v>
      </c>
      <c r="C131" s="1089"/>
      <c r="D131" s="1089"/>
      <c r="E131" s="1089"/>
      <c r="F131" s="1089"/>
      <c r="G131" s="1090"/>
      <c r="H131" s="1050"/>
      <c r="I131" s="1050"/>
      <c r="J131" s="1050"/>
      <c r="K131" s="1050"/>
      <c r="L131" s="1050"/>
      <c r="M131" s="1050"/>
      <c r="N131" s="1051">
        <f>N126-N129</f>
        <v>217.48275925265625</v>
      </c>
      <c r="O131" s="136">
        <f>ROW()</f>
        <v>131</v>
      </c>
    </row>
    <row r="132" spans="2:77">
      <c r="B132" s="281"/>
      <c r="C132" s="568"/>
      <c r="D132" s="568"/>
      <c r="E132" s="568"/>
      <c r="O132" s="136">
        <f>ROW()</f>
        <v>132</v>
      </c>
    </row>
    <row r="133" spans="2:77" ht="12">
      <c r="B133" s="172" t="s">
        <v>1116</v>
      </c>
      <c r="C133" s="568"/>
      <c r="D133" s="568"/>
      <c r="E133" s="568"/>
      <c r="G133" s="1200" t="str">
        <f>CONCATENATE("Note: figures in next row apply to trips whose inbound leg is taken in the period 'selected' in Row ",O62, ".")</f>
        <v>Note: figures in next row apply to trips whose inbound leg is taken in the period 'selected' in Row 62.</v>
      </c>
      <c r="H133" s="50"/>
      <c r="I133" s="50"/>
      <c r="J133" s="50"/>
      <c r="K133" s="50"/>
      <c r="L133" s="50"/>
      <c r="M133" s="50"/>
      <c r="O133" s="136">
        <f>ROW()</f>
        <v>133</v>
      </c>
    </row>
    <row r="134" spans="2:77" ht="12">
      <c r="B134" s="280" t="s">
        <v>2923</v>
      </c>
      <c r="C134" s="568"/>
      <c r="D134" s="568"/>
      <c r="E134" s="568"/>
      <c r="F134" s="568"/>
      <c r="G134" s="1617">
        <f t="shared" ref="G134:L134" si="66">(G119-G122+G126-G129)/CarsAdded</f>
        <v>0.10601321535188064</v>
      </c>
      <c r="H134" s="1617">
        <f t="shared" si="66"/>
        <v>0.11413392713354963</v>
      </c>
      <c r="I134" s="1617">
        <f t="shared" si="66"/>
        <v>0.50732512401431662</v>
      </c>
      <c r="J134" s="1617">
        <f t="shared" si="66"/>
        <v>0.26561450831890854</v>
      </c>
      <c r="K134" s="1617">
        <f t="shared" si="66"/>
        <v>1.5609347694604543</v>
      </c>
      <c r="L134" s="1617">
        <f t="shared" si="66"/>
        <v>7.6331259767488904E-2</v>
      </c>
      <c r="M134" s="1201"/>
      <c r="N134" s="186">
        <f>N124+N131</f>
        <v>263.03528040455421</v>
      </c>
      <c r="O134" s="136">
        <f>ROW()</f>
        <v>134</v>
      </c>
    </row>
    <row r="135" spans="2:77" s="24" customFormat="1" ht="13.2">
      <c r="B135" s="1091" t="str">
        <f>CONCATENATE("Delay time attributable to each additional vehicle trip into the cordon (whose inbound leg is taken in the period selected in Row ",O62, ").")</f>
        <v>Delay time attributable to each additional vehicle trip into the cordon (whose inbound leg is taken in the period selected in Row 62).</v>
      </c>
      <c r="C135" s="1092"/>
      <c r="D135" s="1092"/>
      <c r="E135" s="1092"/>
      <c r="F135" s="1092"/>
      <c r="G135" s="1093"/>
      <c r="H135" s="1094"/>
      <c r="I135" s="1094"/>
      <c r="J135" s="1094"/>
      <c r="K135" s="1094"/>
      <c r="L135" s="1094"/>
      <c r="M135" s="4964">
        <f>N134/CarsAdded</f>
        <v>2.6303528040463076</v>
      </c>
      <c r="N135" s="4965"/>
      <c r="O135" s="136">
        <f>ROW()</f>
        <v>135</v>
      </c>
      <c r="P135"/>
      <c r="Q135"/>
      <c r="R135"/>
      <c r="S135"/>
      <c r="T135"/>
      <c r="U135"/>
      <c r="V135"/>
      <c r="W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row>
    <row r="136" spans="2:77">
      <c r="B136" s="316" t="s">
        <v>1183</v>
      </c>
      <c r="C136" s="568"/>
      <c r="D136" s="568"/>
      <c r="E136" s="568"/>
      <c r="F136" s="568"/>
      <c r="G136" s="282"/>
      <c r="M136" s="117"/>
      <c r="O136" s="136">
        <f>ROW()</f>
        <v>136</v>
      </c>
    </row>
    <row r="137" spans="2:77">
      <c r="F137" s="8" t="s">
        <v>1650</v>
      </c>
      <c r="G137" s="8" t="s">
        <v>1687</v>
      </c>
      <c r="M137" s="509"/>
      <c r="O137" s="136">
        <f>ROW()</f>
        <v>137</v>
      </c>
    </row>
    <row r="138" spans="2:77">
      <c r="B138" s="340" t="s">
        <v>1117</v>
      </c>
      <c r="C138" s="9"/>
      <c r="D138" s="9"/>
      <c r="E138" s="9"/>
      <c r="F138" s="53">
        <f>L184/L156</f>
        <v>0.31198726282707856</v>
      </c>
      <c r="G138" s="53">
        <f>L197/L156</f>
        <v>0.68801273717292133</v>
      </c>
      <c r="H138" s="52">
        <f>SUM(F138:G138)</f>
        <v>0.99999999999999989</v>
      </c>
      <c r="M138" s="118"/>
      <c r="O138" s="136">
        <f>ROW()</f>
        <v>138</v>
      </c>
    </row>
    <row r="139" spans="2:77">
      <c r="B139" s="340"/>
      <c r="F139" s="927"/>
      <c r="G139" s="927"/>
      <c r="H139" s="1095"/>
      <c r="M139" s="118"/>
      <c r="O139" s="136">
        <f>ROW()</f>
        <v>139</v>
      </c>
    </row>
    <row r="140" spans="2:77" ht="13.2">
      <c r="B140" s="1091" t="s">
        <v>268</v>
      </c>
      <c r="C140" s="1092"/>
      <c r="D140" s="1092"/>
      <c r="E140" s="1092"/>
      <c r="F140" s="1092"/>
      <c r="G140" s="1096"/>
      <c r="H140" s="1096"/>
      <c r="I140" s="1096"/>
      <c r="J140" s="1096"/>
      <c r="K140" s="1096"/>
      <c r="L140" s="1096"/>
      <c r="M140" s="4964">
        <f>SUMPRODUCT(TotalResults, 'Motor Vs Weekends'!G122:L122)/'Motor Vs Weekends'!N122</f>
        <v>2.5247293416570256</v>
      </c>
      <c r="N140" s="4965"/>
      <c r="O140" s="136">
        <f>ROW()</f>
        <v>140</v>
      </c>
    </row>
    <row r="141" spans="2:77" ht="13.2">
      <c r="G141" s="117"/>
      <c r="M141" s="5002">
        <f>60*M140</f>
        <v>151.48376049942152</v>
      </c>
      <c r="N141" s="5003"/>
      <c r="O141" s="136">
        <f>ROW()</f>
        <v>141</v>
      </c>
    </row>
    <row r="142" spans="2:77">
      <c r="G142" s="117"/>
      <c r="O142" s="136">
        <f>ROW()</f>
        <v>142</v>
      </c>
    </row>
    <row r="143" spans="2:77" ht="13.2">
      <c r="B143" s="6" t="s">
        <v>2171</v>
      </c>
      <c r="C143" s="6"/>
      <c r="G143" s="117"/>
      <c r="M143" s="1208"/>
      <c r="N143" s="1208"/>
      <c r="O143" s="136">
        <f>ROW()</f>
        <v>143</v>
      </c>
    </row>
    <row r="144" spans="2:77" ht="13.2">
      <c r="C144" s="6"/>
      <c r="M144" s="1208"/>
      <c r="N144" s="1208"/>
      <c r="O144" s="136">
        <f>ROW()</f>
        <v>144</v>
      </c>
    </row>
    <row r="145" spans="2:15">
      <c r="D145" s="4412" t="s">
        <v>1853</v>
      </c>
      <c r="E145" s="4412"/>
      <c r="F145" s="4412"/>
      <c r="G145" s="4412"/>
      <c r="H145" s="4412"/>
      <c r="I145" s="4412"/>
      <c r="J145" s="4412"/>
      <c r="K145" s="4412"/>
      <c r="O145" s="136">
        <f>ROW()</f>
        <v>145</v>
      </c>
    </row>
    <row r="146" spans="2:15" ht="12" customHeight="1">
      <c r="B146" s="5004" t="str">
        <f>CONCATENATE("Array shows Row ",O134, " results when all addit'l trips are assigned to respective periods chosen successively via Switch in Row ",O62, ".")</f>
        <v>Array shows Row 134 results when all addit'l trips are assigned to respective periods chosen successively via Switch in Row 62.</v>
      </c>
      <c r="C146" s="3810"/>
      <c r="E146" s="298" t="str">
        <f t="shared" ref="E146:J146" si="67">G59</f>
        <v>Graveyard</v>
      </c>
      <c r="F146" s="298" t="str">
        <f t="shared" si="67"/>
        <v>Early Shoulder</v>
      </c>
      <c r="G146" s="298" t="str">
        <f t="shared" si="67"/>
        <v>Shoulder 1</v>
      </c>
      <c r="H146" s="298" t="str">
        <f t="shared" si="67"/>
        <v>Peak</v>
      </c>
      <c r="I146" s="298" t="str">
        <f t="shared" si="67"/>
        <v>Shoulder 2</v>
      </c>
      <c r="J146" s="298" t="str">
        <f t="shared" si="67"/>
        <v>Late Shoulder</v>
      </c>
      <c r="K146" s="34"/>
      <c r="L146" s="159" t="s">
        <v>837</v>
      </c>
      <c r="N146" t="s">
        <v>2365</v>
      </c>
      <c r="O146" s="136">
        <f>ROW()</f>
        <v>146</v>
      </c>
    </row>
    <row r="147" spans="2:15">
      <c r="B147" s="3810"/>
      <c r="C147" s="3810"/>
      <c r="E147" s="1231">
        <f t="shared" ref="E147:J147" si="68">G61</f>
        <v>10</v>
      </c>
      <c r="F147" s="1231">
        <f t="shared" si="68"/>
        <v>2</v>
      </c>
      <c r="G147" s="1231">
        <f t="shared" si="68"/>
        <v>5</v>
      </c>
      <c r="H147" s="1231">
        <f t="shared" si="68"/>
        <v>3</v>
      </c>
      <c r="I147" s="1231">
        <f t="shared" si="68"/>
        <v>2</v>
      </c>
      <c r="J147" s="1231">
        <f t="shared" si="68"/>
        <v>2</v>
      </c>
      <c r="K147" s="34"/>
      <c r="L147" s="4995" t="s">
        <v>859</v>
      </c>
      <c r="M147" s="4996"/>
      <c r="N147" s="3805" t="s">
        <v>2222</v>
      </c>
      <c r="O147" s="136">
        <f>ROW()</f>
        <v>147</v>
      </c>
    </row>
    <row r="148" spans="2:15">
      <c r="B148" s="3810"/>
      <c r="C148" s="3810"/>
      <c r="E148" s="1231"/>
      <c r="F148" s="1231"/>
      <c r="G148" s="1231"/>
      <c r="H148" s="1231"/>
      <c r="I148" s="1231"/>
      <c r="J148" s="1231"/>
      <c r="K148" s="34"/>
      <c r="L148" s="4996"/>
      <c r="M148" s="4996"/>
      <c r="N148" s="3805"/>
      <c r="O148" s="136">
        <f>ROW()</f>
        <v>148</v>
      </c>
    </row>
    <row r="149" spans="2:15" ht="12">
      <c r="B149" s="3810"/>
      <c r="C149" s="3810"/>
      <c r="D149" s="7" t="str">
        <f>E146</f>
        <v>Graveyard</v>
      </c>
      <c r="E149" s="597">
        <v>0.443</v>
      </c>
      <c r="F149" s="621">
        <v>0.114</v>
      </c>
      <c r="G149" s="621">
        <v>0.50700000000000001</v>
      </c>
      <c r="H149" s="621">
        <v>0.26600000000000001</v>
      </c>
      <c r="I149" s="621">
        <v>0.156</v>
      </c>
      <c r="J149" s="621">
        <v>7.5999999999999998E-2</v>
      </c>
      <c r="K149" s="621"/>
      <c r="L149" s="1240">
        <f t="shared" ref="L149:L154" si="69">SUM(E149:K149)</f>
        <v>1.5620000000000001</v>
      </c>
      <c r="N149" s="1133">
        <f>'Motor Vs Weekends'!G122</f>
        <v>138094.94622810269</v>
      </c>
      <c r="O149" s="136">
        <f>ROW()</f>
        <v>149</v>
      </c>
    </row>
    <row r="150" spans="2:15" ht="12">
      <c r="B150" s="3810"/>
      <c r="C150" s="3810"/>
      <c r="D150" s="7" t="str">
        <f>F146</f>
        <v>Early Shoulder</v>
      </c>
      <c r="E150" s="621">
        <v>0.106</v>
      </c>
      <c r="F150" s="597">
        <v>1.1599999999999999</v>
      </c>
      <c r="G150" s="621">
        <v>0.50700000000000001</v>
      </c>
      <c r="H150" s="621">
        <v>0.26600000000000001</v>
      </c>
      <c r="I150" s="621">
        <v>0.156</v>
      </c>
      <c r="J150" s="621">
        <v>7.5999999999999998E-2</v>
      </c>
      <c r="K150" s="621"/>
      <c r="L150" s="1240">
        <f t="shared" si="69"/>
        <v>2.2710000000000004</v>
      </c>
      <c r="N150" s="1133">
        <f>'Motor Vs Weekends'!H122</f>
        <v>53594.813024996743</v>
      </c>
      <c r="O150" s="136">
        <f>ROW()</f>
        <v>150</v>
      </c>
    </row>
    <row r="151" spans="2:15" ht="12">
      <c r="B151" s="4967" t="str">
        <f>CONCATENATE("Example: Highlighted fig. in Shoulder 1 column in Row ",O152, " is delay hours experienced in Shoulder 1 per extra trip in Peak.")</f>
        <v>Example: Highlighted fig. in Shoulder 1 column in Row 152 is delay hours experienced in Shoulder 1 per extra trip in Peak.</v>
      </c>
      <c r="C151" s="4968"/>
      <c r="D151" s="7" t="str">
        <f>G146</f>
        <v>Shoulder 1</v>
      </c>
      <c r="E151" s="621">
        <v>0.106</v>
      </c>
      <c r="F151" s="621">
        <v>0.114</v>
      </c>
      <c r="G151" s="2228">
        <v>2.2330000000000001</v>
      </c>
      <c r="H151" s="621">
        <v>0.26600000000000001</v>
      </c>
      <c r="I151" s="621">
        <v>0.156</v>
      </c>
      <c r="J151" s="621">
        <v>7.5999999999999998E-2</v>
      </c>
      <c r="K151" s="621"/>
      <c r="L151" s="1240">
        <f t="shared" si="69"/>
        <v>2.9510000000000005</v>
      </c>
      <c r="N151" s="1133">
        <f>'Motor Vs Weekends'!I122</f>
        <v>168482.99354880312</v>
      </c>
      <c r="O151" s="136">
        <f>ROW()</f>
        <v>151</v>
      </c>
    </row>
    <row r="152" spans="2:15" ht="12">
      <c r="B152" s="4968"/>
      <c r="C152" s="4968"/>
      <c r="D152" s="7" t="str">
        <f>H146</f>
        <v>Peak</v>
      </c>
      <c r="E152" s="621">
        <v>0.106</v>
      </c>
      <c r="F152" s="621">
        <v>0.114</v>
      </c>
      <c r="G152" s="1228">
        <v>0.50700000000000001</v>
      </c>
      <c r="H152" s="597">
        <v>2.327</v>
      </c>
      <c r="I152" s="621">
        <v>0.156</v>
      </c>
      <c r="J152" s="621">
        <v>7.5999999999999998E-2</v>
      </c>
      <c r="K152" s="621"/>
      <c r="L152" s="1240">
        <f t="shared" si="69"/>
        <v>3.286</v>
      </c>
      <c r="N152" s="1133">
        <f>'Motor Vs Weekends'!J122</f>
        <v>108615.6084364071</v>
      </c>
      <c r="O152" s="136">
        <f>ROW()</f>
        <v>152</v>
      </c>
    </row>
    <row r="153" spans="2:15" ht="12">
      <c r="B153" s="4968"/>
      <c r="C153" s="4968"/>
      <c r="D153" s="7" t="str">
        <f>I146</f>
        <v>Shoulder 2</v>
      </c>
      <c r="E153" s="621">
        <v>0.106</v>
      </c>
      <c r="F153" s="621">
        <v>0.114</v>
      </c>
      <c r="G153" s="621">
        <v>0.50700000000000001</v>
      </c>
      <c r="H153" s="621">
        <v>0.26600000000000001</v>
      </c>
      <c r="I153" s="597">
        <v>1.5609999999999999</v>
      </c>
      <c r="J153" s="621">
        <v>7.5999999999999998E-2</v>
      </c>
      <c r="K153" s="621"/>
      <c r="L153" s="1240">
        <f t="shared" si="69"/>
        <v>2.63</v>
      </c>
      <c r="N153" s="1133">
        <f>'Motor Vs Weekends'!K122</f>
        <v>64122.891767235844</v>
      </c>
      <c r="O153" s="136">
        <f>ROW()</f>
        <v>153</v>
      </c>
    </row>
    <row r="154" spans="2:15" ht="12">
      <c r="B154" s="4968"/>
      <c r="C154" s="4968"/>
      <c r="D154" s="7" t="str">
        <f>J146</f>
        <v>Late Shoulder</v>
      </c>
      <c r="E154" s="621">
        <v>0.106</v>
      </c>
      <c r="F154" s="621">
        <v>0.114</v>
      </c>
      <c r="G154" s="621">
        <v>0.50700000000000001</v>
      </c>
      <c r="H154" s="621">
        <v>0.26600000000000001</v>
      </c>
      <c r="I154" s="621">
        <v>0.156</v>
      </c>
      <c r="J154" s="597">
        <v>1.079</v>
      </c>
      <c r="K154" s="621"/>
      <c r="L154" s="1240">
        <f t="shared" si="69"/>
        <v>2.2279999999999998</v>
      </c>
      <c r="N154" s="1133">
        <f>'Motor Vs Weekends'!L122</f>
        <v>49625.413661121056</v>
      </c>
      <c r="O154" s="136">
        <f>ROW()</f>
        <v>154</v>
      </c>
    </row>
    <row r="155" spans="2:15" ht="12">
      <c r="B155" s="4968"/>
      <c r="C155" s="4968"/>
      <c r="E155" s="621"/>
      <c r="F155" s="621"/>
      <c r="G155" s="621"/>
      <c r="H155" s="621"/>
      <c r="I155" s="621"/>
      <c r="J155" s="621"/>
      <c r="K155" s="597"/>
      <c r="L155" s="117"/>
      <c r="N155" s="1133"/>
      <c r="O155" s="136">
        <f>ROW()</f>
        <v>155</v>
      </c>
    </row>
    <row r="156" spans="2:15" ht="12">
      <c r="D156" s="1237" t="s">
        <v>837</v>
      </c>
      <c r="E156" s="1238">
        <f>SUMPRODUCT(E149:E154,$N149:$N154)/N149</f>
        <v>0.78414805540146981</v>
      </c>
      <c r="F156" s="1238">
        <f>SUMPRODUCT(F149:F154,$N149:$N154)/N150</f>
        <v>2.2850971486182181</v>
      </c>
      <c r="G156" s="1238">
        <f>SUMPRODUCT(G149:G154,$N149:$N154)/N151</f>
        <v>3.4789727112454787</v>
      </c>
      <c r="H156" s="1238">
        <f>SUMPRODUCT(H149:H154,$N149:$N154)/N152</f>
        <v>3.487634307573364</v>
      </c>
      <c r="I156" s="1238">
        <f>SUMPRODUCT(I149:I154,$N149:$N154)/N153</f>
        <v>2.8222118177370432</v>
      </c>
      <c r="J156" s="1238">
        <f>SUMPRODUCT(J149:J154,$N149:$N154)/N154</f>
        <v>1.8951393979502906</v>
      </c>
      <c r="K156" s="597"/>
      <c r="L156" s="1242">
        <f>SUMPRODUCT(L149:L154,$N149:$N154)/N156</f>
        <v>2.5247010888998527</v>
      </c>
      <c r="N156" s="1133">
        <f>SUM(N149:N155)</f>
        <v>582536.66666666663</v>
      </c>
      <c r="O156" s="136">
        <f>ROW()</f>
        <v>156</v>
      </c>
    </row>
    <row r="157" spans="2:15" ht="11.7" customHeight="1">
      <c r="D157" s="1333" t="s">
        <v>2173</v>
      </c>
      <c r="E157" s="1334"/>
      <c r="F157" s="1335"/>
      <c r="G157" s="1334"/>
      <c r="H157" s="1334"/>
      <c r="I157" s="1335"/>
      <c r="O157" s="136">
        <f>ROW()</f>
        <v>157</v>
      </c>
    </row>
    <row r="158" spans="2:15">
      <c r="B158" s="45"/>
      <c r="C158" s="45"/>
      <c r="D158" s="621"/>
      <c r="E158" s="621"/>
      <c r="F158" s="621"/>
      <c r="G158" s="621"/>
      <c r="H158" s="621"/>
      <c r="I158" s="621"/>
      <c r="O158" s="136">
        <f>ROW()</f>
        <v>158</v>
      </c>
    </row>
    <row r="159" spans="2:15">
      <c r="B159" s="45"/>
      <c r="C159" s="45"/>
      <c r="D159" s="621"/>
      <c r="E159" s="621"/>
      <c r="F159" s="621"/>
      <c r="G159" s="117"/>
      <c r="O159" s="136">
        <f>ROW()</f>
        <v>159</v>
      </c>
    </row>
    <row r="160" spans="2:15">
      <c r="B160" s="45"/>
      <c r="C160" s="45"/>
      <c r="D160" s="45"/>
      <c r="E160" s="45"/>
      <c r="F160" s="45"/>
      <c r="G160" s="117"/>
      <c r="O160" s="136">
        <f>ROW()</f>
        <v>160</v>
      </c>
    </row>
    <row r="161" spans="2:16" ht="12">
      <c r="B161" s="6" t="s">
        <v>2566</v>
      </c>
      <c r="G161" s="117"/>
      <c r="O161" s="136">
        <f>ROW()</f>
        <v>161</v>
      </c>
    </row>
    <row r="162" spans="2:16">
      <c r="G162" s="117"/>
      <c r="O162" s="136">
        <f>ROW()</f>
        <v>162</v>
      </c>
    </row>
    <row r="163" spans="2:16" ht="12">
      <c r="E163" s="298" t="str">
        <f t="shared" ref="E163:J163" si="70">G59</f>
        <v>Graveyard</v>
      </c>
      <c r="F163" s="298" t="str">
        <f t="shared" si="70"/>
        <v>Early Shoulder</v>
      </c>
      <c r="G163" s="298" t="str">
        <f t="shared" si="70"/>
        <v>Shoulder 1</v>
      </c>
      <c r="H163" s="298" t="str">
        <f t="shared" si="70"/>
        <v>Peak</v>
      </c>
      <c r="I163" s="298" t="str">
        <f t="shared" si="70"/>
        <v>Shoulder 2</v>
      </c>
      <c r="J163" s="298" t="str">
        <f t="shared" si="70"/>
        <v>Late Shoulder</v>
      </c>
      <c r="K163" s="34"/>
      <c r="L163" s="159"/>
      <c r="M163" s="159"/>
      <c r="N163" s="159" t="s">
        <v>2684</v>
      </c>
      <c r="O163" s="136">
        <f>ROW()</f>
        <v>163</v>
      </c>
    </row>
    <row r="164" spans="2:16" ht="12">
      <c r="B164" s="9" t="s">
        <v>1604</v>
      </c>
      <c r="C164" s="6"/>
      <c r="E164" s="1207">
        <v>1.5624116815264459</v>
      </c>
      <c r="F164" s="1207">
        <v>2.2707746690925767</v>
      </c>
      <c r="G164" s="1207">
        <v>2.9505600386761799</v>
      </c>
      <c r="H164" s="1207">
        <v>3.2864140269833402</v>
      </c>
      <c r="I164" s="1207">
        <v>2.6303528040463076</v>
      </c>
      <c r="J164" s="1207">
        <v>2.2275610533130319</v>
      </c>
      <c r="K164" s="1212"/>
      <c r="L164" s="1212"/>
      <c r="M164" s="1212"/>
      <c r="O164" s="136">
        <f>ROW()</f>
        <v>164</v>
      </c>
    </row>
    <row r="165" spans="2:16" ht="12">
      <c r="B165" s="280" t="s">
        <v>1771</v>
      </c>
      <c r="C165" s="6"/>
      <c r="E165" s="1207">
        <f t="shared" ref="E165:J165" si="71">E164-E166</f>
        <v>0.33947333157479842</v>
      </c>
      <c r="F165" s="1207">
        <f t="shared" si="71"/>
        <v>1.0486019487926526</v>
      </c>
      <c r="G165" s="1207">
        <f t="shared" si="71"/>
        <v>1.7429011187946137</v>
      </c>
      <c r="H165" s="1207">
        <f t="shared" si="71"/>
        <v>2.0755763290135878</v>
      </c>
      <c r="I165" s="1207">
        <f t="shared" si="71"/>
        <v>1.4106418754726211</v>
      </c>
      <c r="J165" s="1207">
        <f t="shared" si="71"/>
        <v>1.005620310430533</v>
      </c>
      <c r="K165" s="1212"/>
      <c r="L165" s="1212"/>
      <c r="M165" s="1212"/>
      <c r="O165" s="136">
        <f>ROW()</f>
        <v>165</v>
      </c>
    </row>
    <row r="166" spans="2:16" ht="12">
      <c r="B166" s="280" t="s">
        <v>1772</v>
      </c>
      <c r="C166" s="6"/>
      <c r="E166" s="1207">
        <v>1.2229383499516475</v>
      </c>
      <c r="F166" s="1207">
        <v>1.2221727202999242</v>
      </c>
      <c r="G166" s="1207">
        <v>1.2076589198815662</v>
      </c>
      <c r="H166" s="1207">
        <v>1.2108376979697526</v>
      </c>
      <c r="I166" s="1207">
        <v>1.2197109285736865</v>
      </c>
      <c r="J166" s="1207">
        <v>1.2219407428824989</v>
      </c>
      <c r="K166" s="1212"/>
      <c r="L166" s="1212"/>
      <c r="M166" s="1212"/>
      <c r="O166" s="136">
        <f>ROW()</f>
        <v>166</v>
      </c>
    </row>
    <row r="167" spans="2:16" ht="12">
      <c r="B167" s="308"/>
      <c r="F167" s="4969" t="s">
        <v>1605</v>
      </c>
      <c r="G167" s="4970"/>
      <c r="H167" s="4971" t="s">
        <v>1606</v>
      </c>
      <c r="I167" s="4970"/>
      <c r="J167" s="125"/>
      <c r="K167" s="125"/>
      <c r="L167" s="125"/>
      <c r="M167" s="125"/>
      <c r="O167" s="136">
        <f>ROW()</f>
        <v>167</v>
      </c>
    </row>
    <row r="168" spans="2:16" ht="12">
      <c r="B168" s="308"/>
      <c r="F168" s="4972">
        <f>SUMPRODUCT(E165:J165, 'Motor Vs Weekends'!G122:L122)/'Motor Vs'!N122</f>
        <v>1.1116628449176684</v>
      </c>
      <c r="G168" s="4973"/>
      <c r="H168" s="4990">
        <f>SUMPRODUCT(E166:J166, 'Motor Vs Weekends'!G122:L122)/'Motor Vs'!N122</f>
        <v>1.0324907343586838</v>
      </c>
      <c r="I168" s="4973"/>
      <c r="J168" s="125"/>
      <c r="K168" s="125"/>
      <c r="L168" s="125"/>
      <c r="M168" s="125"/>
      <c r="O168" s="136">
        <f>ROW()</f>
        <v>168</v>
      </c>
    </row>
    <row r="169" spans="2:16" ht="12">
      <c r="B169" s="308"/>
      <c r="G169" s="125"/>
      <c r="H169" s="597"/>
      <c r="I169" s="125"/>
      <c r="J169" s="125"/>
      <c r="K169" s="125"/>
      <c r="L169" s="125"/>
      <c r="M169" s="125"/>
      <c r="O169" s="136">
        <f>ROW()</f>
        <v>169</v>
      </c>
    </row>
    <row r="170" spans="2:16" ht="12">
      <c r="B170" s="6" t="s">
        <v>2928</v>
      </c>
      <c r="O170" s="136">
        <f>ROW()</f>
        <v>170</v>
      </c>
    </row>
    <row r="171" spans="2:16">
      <c r="B171" s="4321" t="s">
        <v>1770</v>
      </c>
      <c r="C171" s="3776"/>
      <c r="O171" s="136">
        <f>ROW()</f>
        <v>171</v>
      </c>
    </row>
    <row r="172" spans="2:16" ht="12">
      <c r="B172" s="3741"/>
      <c r="C172" s="3777"/>
      <c r="L172" s="4974" t="s">
        <v>2416</v>
      </c>
      <c r="M172" s="4974"/>
      <c r="O172" s="136">
        <f>ROW()</f>
        <v>172</v>
      </c>
    </row>
    <row r="173" spans="2:16" ht="13.35" customHeight="1">
      <c r="B173" s="4988" t="s">
        <v>1594</v>
      </c>
      <c r="C173" s="4173" t="s">
        <v>577</v>
      </c>
      <c r="D173" s="4412" t="s">
        <v>1853</v>
      </c>
      <c r="E173" s="4412"/>
      <c r="F173" s="4412"/>
      <c r="G173" s="4412"/>
      <c r="H173" s="4412"/>
      <c r="I173" s="4412"/>
      <c r="J173" s="4412"/>
      <c r="K173" s="4412"/>
      <c r="L173" s="4994" t="s">
        <v>1247</v>
      </c>
      <c r="M173" s="5000" t="s">
        <v>1248</v>
      </c>
      <c r="N173" s="1208"/>
      <c r="O173" s="136">
        <f>ROW()</f>
        <v>173</v>
      </c>
      <c r="P173" s="4997" t="s">
        <v>1595</v>
      </c>
    </row>
    <row r="174" spans="2:16">
      <c r="B174" s="4876"/>
      <c r="C174" s="4986"/>
      <c r="E174" s="298" t="str">
        <f t="shared" ref="E174:J175" si="72">E146</f>
        <v>Graveyard</v>
      </c>
      <c r="F174" s="298" t="str">
        <f t="shared" si="72"/>
        <v>Early Shoulder</v>
      </c>
      <c r="G174" s="298" t="str">
        <f t="shared" si="72"/>
        <v>Shoulder 1</v>
      </c>
      <c r="H174" s="298" t="str">
        <f t="shared" si="72"/>
        <v>Peak</v>
      </c>
      <c r="I174" s="298" t="str">
        <f t="shared" si="72"/>
        <v>Shoulder 2</v>
      </c>
      <c r="J174" s="298" t="str">
        <f t="shared" si="72"/>
        <v>Late Shoulder</v>
      </c>
      <c r="L174" s="3833"/>
      <c r="M174" s="5001"/>
      <c r="O174" s="136">
        <f>ROW()</f>
        <v>174</v>
      </c>
      <c r="P174" s="4998"/>
    </row>
    <row r="175" spans="2:16">
      <c r="B175" s="4876"/>
      <c r="C175" s="4986"/>
      <c r="E175" s="34">
        <f t="shared" si="72"/>
        <v>10</v>
      </c>
      <c r="F175" s="34">
        <f t="shared" si="72"/>
        <v>2</v>
      </c>
      <c r="G175" s="34">
        <f t="shared" si="72"/>
        <v>5</v>
      </c>
      <c r="H175" s="34">
        <f t="shared" si="72"/>
        <v>3</v>
      </c>
      <c r="I175" s="34">
        <f t="shared" si="72"/>
        <v>2</v>
      </c>
      <c r="J175" s="34">
        <f t="shared" si="72"/>
        <v>2</v>
      </c>
      <c r="L175" s="3833"/>
      <c r="M175" s="5001"/>
      <c r="N175" t="s">
        <v>2365</v>
      </c>
      <c r="O175" s="136">
        <f>ROW()</f>
        <v>175</v>
      </c>
      <c r="P175" s="4998"/>
    </row>
    <row r="176" spans="2:16">
      <c r="B176" s="4877"/>
      <c r="C176" s="4987"/>
      <c r="D176" s="1227"/>
      <c r="E176" s="4989" t="s">
        <v>2924</v>
      </c>
      <c r="F176" s="4976"/>
      <c r="G176" s="4976"/>
      <c r="H176" s="4976"/>
      <c r="I176" s="4976"/>
      <c r="J176" s="4977"/>
      <c r="L176" s="3833"/>
      <c r="M176" s="5001"/>
      <c r="N176" s="7" t="s">
        <v>2366</v>
      </c>
      <c r="O176" s="136">
        <f>ROW()</f>
        <v>176</v>
      </c>
      <c r="P176" s="4999"/>
    </row>
    <row r="177" spans="2:21" ht="12" customHeight="1">
      <c r="B177" s="1611">
        <f t="shared" ref="B177:B182" si="73">P177*60/(2*$L$200)</f>
        <v>1.6803697498579564</v>
      </c>
      <c r="C177" s="1744">
        <f ca="1">B177*'Cost-Benefit'!$J$205/60</f>
        <v>0.69652294684161864</v>
      </c>
      <c r="D177" s="7" t="str">
        <f>E174</f>
        <v>Graveyard</v>
      </c>
      <c r="E177" s="1755">
        <f t="shared" ref="E177:J182" si="74">E149-E190</f>
        <v>0.11799999999999999</v>
      </c>
      <c r="F177" s="604">
        <f t="shared" si="74"/>
        <v>3.1E-2</v>
      </c>
      <c r="G177" s="604">
        <f t="shared" si="74"/>
        <v>0.16100000000000003</v>
      </c>
      <c r="H177" s="604">
        <f t="shared" si="74"/>
        <v>9.9000000000000005E-2</v>
      </c>
      <c r="I177" s="604">
        <f t="shared" si="74"/>
        <v>5.1000000000000004E-2</v>
      </c>
      <c r="J177" s="1757">
        <f t="shared" si="74"/>
        <v>2.5999999999999995E-2</v>
      </c>
      <c r="L177" s="1762">
        <f t="shared" ref="L177:L182" si="75">SUM(E177:K177)</f>
        <v>0.48599999999999999</v>
      </c>
      <c r="M177" s="1611">
        <f t="shared" ref="M177:M182" si="76">L177*60/(2*$L$200)</f>
        <v>9.2802238458064412</v>
      </c>
      <c r="N177" s="1179">
        <f t="shared" ref="N177:N182" si="77">N149</f>
        <v>138094.94622810269</v>
      </c>
      <c r="O177" s="136">
        <f>ROW()</f>
        <v>177</v>
      </c>
      <c r="P177" s="34">
        <v>8.7999999999999995E-2</v>
      </c>
      <c r="Q177" s="4297" t="str">
        <f>CONCATENATE("Derivation of Col. P figures to left: To eliminate non-cordon delays, non-cordon baseline hours in Row ",O126, " were temporarily set equal to 'incremented' non-cordon hours in Row ", O129, ". The array in Rows ",O149, "-",O156, " was then recalculated (reflecting cordon delays only) via the 'usual' procedure of consecutively selecting the respective periods via the switch in Row ",O62, ", and inputting the vector in Row ",O134, " into the array. The column sums in Row ",O156, " were then manually inputted into the column at left.")</f>
        <v>Derivation of Col. P figures to left: To eliminate non-cordon delays, non-cordon baseline hours in Row 126 were temporarily set equal to 'incremented' non-cordon hours in Row 129. The array in Rows 149-156 was then recalculated (reflecting cordon delays only) via the 'usual' procedure of consecutively selecting the respective periods via the switch in Row 62, and inputting the vector in Row 134 into the array. The column sums in Row 156 were then manually inputted into the column at left.</v>
      </c>
      <c r="R177" s="4298"/>
      <c r="S177" s="4298"/>
      <c r="T177" s="4298"/>
      <c r="U177" s="4299"/>
    </row>
    <row r="178" spans="2:21" ht="12">
      <c r="B178" s="1611">
        <f t="shared" si="73"/>
        <v>6.415957226730379</v>
      </c>
      <c r="C178" s="1744">
        <f ca="1">B178*'Cost-Benefit'!$J$205/60</f>
        <v>2.6594512515770892</v>
      </c>
      <c r="D178" s="7" t="str">
        <f>F174</f>
        <v>Early Shoulder</v>
      </c>
      <c r="E178" s="1758">
        <f t="shared" si="74"/>
        <v>2.8999999999999998E-2</v>
      </c>
      <c r="F178" s="1759">
        <f t="shared" si="74"/>
        <v>0.30499999999999994</v>
      </c>
      <c r="G178" s="604">
        <f t="shared" si="74"/>
        <v>0.16100000000000003</v>
      </c>
      <c r="H178" s="604">
        <f t="shared" si="74"/>
        <v>9.9000000000000005E-2</v>
      </c>
      <c r="I178" s="604">
        <f t="shared" si="74"/>
        <v>5.1000000000000004E-2</v>
      </c>
      <c r="J178" s="1757">
        <f t="shared" si="74"/>
        <v>2.5999999999999995E-2</v>
      </c>
      <c r="L178" s="1762">
        <f t="shared" si="75"/>
        <v>0.67100000000000004</v>
      </c>
      <c r="M178" s="1611">
        <f t="shared" si="76"/>
        <v>12.81281934266692</v>
      </c>
      <c r="N178" s="1179">
        <f t="shared" si="77"/>
        <v>53594.813024996743</v>
      </c>
      <c r="O178" s="136">
        <f>ROW()</f>
        <v>178</v>
      </c>
      <c r="P178" s="34">
        <v>0.33600000000000002</v>
      </c>
      <c r="Q178" s="4300"/>
      <c r="R178" s="3796"/>
      <c r="S178" s="3796"/>
      <c r="T178" s="3796"/>
      <c r="U178" s="4301"/>
    </row>
    <row r="179" spans="2:21" ht="12">
      <c r="B179" s="1611">
        <f t="shared" si="73"/>
        <v>11.457066476304249</v>
      </c>
      <c r="C179" s="1744">
        <f ca="1">B179*'Cost-Benefit'!$J$205/60</f>
        <v>4.7490200921019454</v>
      </c>
      <c r="D179" s="7" t="str">
        <f>G174</f>
        <v>Shoulder 1</v>
      </c>
      <c r="E179" s="1758">
        <f t="shared" si="74"/>
        <v>2.8999999999999998E-2</v>
      </c>
      <c r="F179" s="604">
        <f t="shared" si="74"/>
        <v>3.1E-2</v>
      </c>
      <c r="G179" s="1760">
        <f t="shared" si="74"/>
        <v>0.67700000000000005</v>
      </c>
      <c r="H179" s="604">
        <f t="shared" si="74"/>
        <v>9.9000000000000005E-2</v>
      </c>
      <c r="I179" s="604">
        <f t="shared" si="74"/>
        <v>5.1000000000000004E-2</v>
      </c>
      <c r="J179" s="1757">
        <f t="shared" si="74"/>
        <v>2.5999999999999995E-2</v>
      </c>
      <c r="L179" s="1762">
        <f t="shared" si="75"/>
        <v>0.91300000000000014</v>
      </c>
      <c r="M179" s="1611">
        <f t="shared" si="76"/>
        <v>17.433836154776301</v>
      </c>
      <c r="N179" s="1179">
        <f t="shared" si="77"/>
        <v>168482.99354880312</v>
      </c>
      <c r="O179" s="136">
        <f>ROW()</f>
        <v>179</v>
      </c>
      <c r="P179" s="34">
        <v>0.6</v>
      </c>
      <c r="Q179" s="4300"/>
      <c r="R179" s="3796"/>
      <c r="S179" s="3796"/>
      <c r="T179" s="3796"/>
      <c r="U179" s="4301"/>
    </row>
    <row r="180" spans="2:21" ht="12">
      <c r="B180" s="1611">
        <f t="shared" si="73"/>
        <v>12.488202459171632</v>
      </c>
      <c r="C180" s="1744">
        <f ca="1">B180*'Cost-Benefit'!$J$205/60</f>
        <v>5.1764319003911208</v>
      </c>
      <c r="D180" s="7" t="str">
        <f>H174</f>
        <v>Peak</v>
      </c>
      <c r="E180" s="1758">
        <f t="shared" si="74"/>
        <v>2.8999999999999998E-2</v>
      </c>
      <c r="F180" s="604">
        <f t="shared" si="74"/>
        <v>3.1E-2</v>
      </c>
      <c r="G180" s="604">
        <f t="shared" si="74"/>
        <v>0.16100000000000003</v>
      </c>
      <c r="H180" s="1759">
        <f t="shared" si="74"/>
        <v>0.748</v>
      </c>
      <c r="I180" s="604">
        <f t="shared" si="74"/>
        <v>5.1000000000000004E-2</v>
      </c>
      <c r="J180" s="1757">
        <f t="shared" si="74"/>
        <v>2.5999999999999995E-2</v>
      </c>
      <c r="L180" s="1762">
        <f t="shared" si="75"/>
        <v>1.046</v>
      </c>
      <c r="M180" s="1611">
        <f t="shared" si="76"/>
        <v>19.973485890357075</v>
      </c>
      <c r="N180" s="1179">
        <f t="shared" si="77"/>
        <v>108615.6084364071</v>
      </c>
      <c r="O180" s="136">
        <f>ROW()</f>
        <v>180</v>
      </c>
      <c r="P180" s="34">
        <v>0.65400000000000003</v>
      </c>
      <c r="Q180" s="4300"/>
      <c r="R180" s="3796"/>
      <c r="S180" s="3796"/>
      <c r="T180" s="3796"/>
      <c r="U180" s="4301"/>
    </row>
    <row r="181" spans="2:21" ht="12">
      <c r="B181" s="1611">
        <f t="shared" si="73"/>
        <v>9.5857456185078878</v>
      </c>
      <c r="C181" s="1744">
        <f ca="1">B181*'Cost-Benefit'!$J$205/60</f>
        <v>3.9733468103919609</v>
      </c>
      <c r="D181" s="7" t="str">
        <f>I174</f>
        <v>Shoulder 2</v>
      </c>
      <c r="E181" s="1758">
        <f t="shared" si="74"/>
        <v>2.8999999999999998E-2</v>
      </c>
      <c r="F181" s="604">
        <f t="shared" si="74"/>
        <v>3.1E-2</v>
      </c>
      <c r="G181" s="604">
        <f t="shared" si="74"/>
        <v>0.16100000000000003</v>
      </c>
      <c r="H181" s="604">
        <f t="shared" si="74"/>
        <v>9.9000000000000005E-2</v>
      </c>
      <c r="I181" s="1759">
        <f t="shared" si="74"/>
        <v>0.48599999999999999</v>
      </c>
      <c r="J181" s="1757">
        <f t="shared" si="74"/>
        <v>2.5999999999999995E-2</v>
      </c>
      <c r="L181" s="1762">
        <f t="shared" si="75"/>
        <v>0.83200000000000007</v>
      </c>
      <c r="M181" s="1611">
        <f t="shared" si="76"/>
        <v>15.887132180475225</v>
      </c>
      <c r="N181" s="1179">
        <f t="shared" si="77"/>
        <v>64122.891767235844</v>
      </c>
      <c r="O181" s="136">
        <f>ROW()</f>
        <v>181</v>
      </c>
      <c r="P181" s="34">
        <v>0.502</v>
      </c>
      <c r="Q181" s="4300"/>
      <c r="R181" s="3796"/>
      <c r="S181" s="3796"/>
      <c r="T181" s="3796"/>
      <c r="U181" s="4301"/>
    </row>
    <row r="182" spans="2:21" ht="12">
      <c r="B182" s="1611">
        <f t="shared" si="73"/>
        <v>6.0340550108535718</v>
      </c>
      <c r="C182" s="1744">
        <f ca="1">B182*'Cost-Benefit'!$J$205/60</f>
        <v>2.5011505818403581</v>
      </c>
      <c r="D182" s="7" t="str">
        <f>J174</f>
        <v>Late Shoulder</v>
      </c>
      <c r="E182" s="1758">
        <f t="shared" si="74"/>
        <v>2.8999999999999998E-2</v>
      </c>
      <c r="F182" s="604">
        <f t="shared" si="74"/>
        <v>3.1E-2</v>
      </c>
      <c r="G182" s="604">
        <f t="shared" si="74"/>
        <v>0.16100000000000003</v>
      </c>
      <c r="H182" s="604">
        <f t="shared" si="74"/>
        <v>9.9000000000000005E-2</v>
      </c>
      <c r="I182" s="604">
        <f t="shared" si="74"/>
        <v>5.1000000000000004E-2</v>
      </c>
      <c r="J182" s="1027">
        <f t="shared" si="74"/>
        <v>0.33399999999999996</v>
      </c>
      <c r="L182" s="1762">
        <f t="shared" si="75"/>
        <v>0.70500000000000007</v>
      </c>
      <c r="M182" s="1611">
        <f t="shared" si="76"/>
        <v>13.462053109657493</v>
      </c>
      <c r="N182" s="1179">
        <f t="shared" si="77"/>
        <v>49625.413661121056</v>
      </c>
      <c r="O182" s="136">
        <f>ROW()</f>
        <v>182</v>
      </c>
      <c r="P182" s="34">
        <v>0.316</v>
      </c>
      <c r="Q182" s="4302"/>
      <c r="R182" s="4303"/>
      <c r="S182" s="4303"/>
      <c r="T182" s="4303"/>
      <c r="U182" s="4304"/>
    </row>
    <row r="183" spans="2:21" ht="12" thickBot="1">
      <c r="E183" s="212"/>
      <c r="F183" s="113"/>
      <c r="G183" s="113"/>
      <c r="H183" s="113"/>
      <c r="I183" s="113"/>
      <c r="J183" s="140"/>
      <c r="N183" s="1179"/>
      <c r="O183" s="136">
        <f>ROW()</f>
        <v>183</v>
      </c>
      <c r="P183" s="34"/>
    </row>
    <row r="184" spans="2:21" ht="12.6" thickBot="1">
      <c r="B184" s="1610">
        <f>SUMPRODUCT(B177:B183,$N177:$N183)/$N184</f>
        <v>8.1999222399042715</v>
      </c>
      <c r="C184" s="1745">
        <f ca="1">SUMPRODUCT(C177:C183,$N177:$N183)/$N184</f>
        <v>3.3989150321785093</v>
      </c>
      <c r="D184" s="1237" t="s">
        <v>837</v>
      </c>
      <c r="E184" s="1533">
        <f>SUMPRODUCT(E177:E183,$N177:$N183)/N177</f>
        <v>0.21133295855323231</v>
      </c>
      <c r="F184" s="1534">
        <f>SUMPRODUCT(F177:F183,$N177:$N183)/N178</f>
        <v>0.61094747023828722</v>
      </c>
      <c r="G184" s="1534">
        <f>SUMPRODUCT(G177:G183,$N177:$N183)/N179</f>
        <v>1.0726639181667104</v>
      </c>
      <c r="H184" s="1534">
        <f>SUMPRODUCT(H177:H183,$N177:$N183)/N180</f>
        <v>1.1799654001870792</v>
      </c>
      <c r="I184" s="1534">
        <f>SUMPRODUCT(I177:I183,$N177:$N183)/N181</f>
        <v>0.89831924810634101</v>
      </c>
      <c r="J184" s="1535">
        <f>SUMPRODUCT(J177:J183,$N177:$N183)/N182</f>
        <v>0.61320558350930987</v>
      </c>
      <c r="L184" s="3006">
        <f>SUMPRODUCT(L177:L182,$N177:$N182)/N184</f>
        <v>0.78767458218240982</v>
      </c>
      <c r="M184" s="1765">
        <f>SUMPRODUCT(M177:M182,$N177:$N182)/N184</f>
        <v>15.040733416265072</v>
      </c>
      <c r="N184" s="1236">
        <f>SUM(N177:N183)</f>
        <v>582536.66666666663</v>
      </c>
      <c r="O184" s="136">
        <f>ROW()</f>
        <v>184</v>
      </c>
    </row>
    <row r="185" spans="2:21" ht="12" thickBot="1">
      <c r="D185" s="1333" t="s">
        <v>2173</v>
      </c>
      <c r="E185" s="1334"/>
      <c r="F185" s="1335"/>
      <c r="G185" s="1334"/>
      <c r="H185" s="1334"/>
      <c r="I185" s="1335"/>
      <c r="O185" s="136">
        <f>ROW()</f>
        <v>185</v>
      </c>
    </row>
    <row r="186" spans="2:21">
      <c r="B186" s="4991" t="s">
        <v>1249</v>
      </c>
      <c r="C186" s="4992"/>
      <c r="D186" s="4992"/>
      <c r="E186" s="4993"/>
      <c r="F186" s="1029"/>
      <c r="G186" s="1746"/>
      <c r="H186" s="1746"/>
      <c r="I186" s="1029"/>
      <c r="O186" s="136">
        <f>ROW()</f>
        <v>186</v>
      </c>
      <c r="P186" s="4997" t="s">
        <v>1040</v>
      </c>
    </row>
    <row r="187" spans="2:21">
      <c r="B187" s="1747" t="s">
        <v>1135</v>
      </c>
      <c r="C187" s="1748"/>
      <c r="D187" s="1749"/>
      <c r="E187" s="1750">
        <f>'Delay Costs'!E83</f>
        <v>2.2567055269843665</v>
      </c>
      <c r="G187" s="1746"/>
      <c r="H187" s="1746"/>
      <c r="I187" s="1029"/>
      <c r="O187" s="136">
        <f>ROW()</f>
        <v>187</v>
      </c>
      <c r="P187" s="4998"/>
    </row>
    <row r="188" spans="2:21">
      <c r="B188" s="1751" t="s">
        <v>1136</v>
      </c>
      <c r="C188" s="1752"/>
      <c r="D188" s="1752"/>
      <c r="E188" s="1750">
        <f>'Delay Costs'!E82</f>
        <v>0.90268221079374666</v>
      </c>
      <c r="O188" s="136">
        <f>ROW()</f>
        <v>188</v>
      </c>
      <c r="P188" s="4998"/>
    </row>
    <row r="189" spans="2:21" ht="12">
      <c r="E189" s="4989" t="s">
        <v>2925</v>
      </c>
      <c r="F189" s="4976"/>
      <c r="G189" s="4976"/>
      <c r="H189" s="4976"/>
      <c r="I189" s="4976"/>
      <c r="J189" s="4977"/>
      <c r="K189" s="1764"/>
      <c r="L189" s="4974" t="s">
        <v>1962</v>
      </c>
      <c r="M189" s="4974"/>
      <c r="O189" s="136">
        <f>ROW()</f>
        <v>189</v>
      </c>
      <c r="P189" s="4999"/>
    </row>
    <row r="190" spans="2:21" ht="12" customHeight="1">
      <c r="B190" s="1611">
        <f t="shared" ref="B190:B195" si="78">P190*60/(2*$L$201)</f>
        <v>1.1944289376186152</v>
      </c>
      <c r="C190" s="1744">
        <f>B190*'Cost-Benefit'!$J$219/60</f>
        <v>0.35493082912141466</v>
      </c>
      <c r="D190" s="7" t="str">
        <f t="shared" ref="D190:D195" si="79">D177</f>
        <v>Graveyard</v>
      </c>
      <c r="E190" s="1755">
        <v>0.32500000000000001</v>
      </c>
      <c r="F190" s="604">
        <v>8.3000000000000004E-2</v>
      </c>
      <c r="G190" s="604">
        <v>0.34599999999999997</v>
      </c>
      <c r="H190" s="604">
        <v>0.16700000000000001</v>
      </c>
      <c r="I190" s="604">
        <v>0.105</v>
      </c>
      <c r="J190" s="1757">
        <v>0.05</v>
      </c>
      <c r="L190" s="1762">
        <f t="shared" ref="L190:L195" si="80">SUM(E190:K190)</f>
        <v>1.0760000000000001</v>
      </c>
      <c r="M190" s="1611">
        <f t="shared" ref="M190:M195" si="81">L190*60/(2*$L$201)</f>
        <v>1.8465596794218824</v>
      </c>
      <c r="N190" s="1179">
        <f t="shared" ref="N190:N195" si="82">N177</f>
        <v>138094.94622810269</v>
      </c>
      <c r="O190" s="136">
        <f>ROW()</f>
        <v>190</v>
      </c>
      <c r="P190" s="849">
        <v>0.69599999999999995</v>
      </c>
      <c r="Q190" s="4297" t="str">
        <f>CONCATENATE("The figures in column of figures to left were calculated through the same procedure as described above (for Rows ",O177, "-",O182, ") except that cordon hours rather than non-cordon hours zeroed out by equating Row ",O119, " to Row ",O122, ".")</f>
        <v>The figures in column of figures to left were calculated through the same procedure as described above (for Rows 177-182) except that cordon hours rather than non-cordon hours zeroed out by equating Row 119 to Row 122.</v>
      </c>
      <c r="R190" s="4298"/>
      <c r="S190" s="4298"/>
      <c r="T190" s="4298"/>
      <c r="U190" s="4299"/>
    </row>
    <row r="191" spans="2:21" ht="12">
      <c r="B191" s="1611">
        <f t="shared" si="78"/>
        <v>3.344744252038335</v>
      </c>
      <c r="C191" s="1744">
        <f>B191*'Cost-Benefit'!$J$219/60</f>
        <v>0.9939083131575247</v>
      </c>
      <c r="D191" s="7" t="str">
        <f t="shared" si="79"/>
        <v>Early Shoulder</v>
      </c>
      <c r="E191" s="1758">
        <v>7.6999999999999999E-2</v>
      </c>
      <c r="F191" s="1759">
        <v>0.85499999999999998</v>
      </c>
      <c r="G191" s="604">
        <v>0.34599999999999997</v>
      </c>
      <c r="H191" s="604">
        <v>0.16700000000000001</v>
      </c>
      <c r="I191" s="604">
        <v>0.105</v>
      </c>
      <c r="J191" s="1757">
        <v>0.05</v>
      </c>
      <c r="L191" s="1762">
        <f t="shared" si="80"/>
        <v>1.6</v>
      </c>
      <c r="M191" s="1611">
        <f t="shared" si="81"/>
        <v>2.7458136496979662</v>
      </c>
      <c r="N191" s="1179">
        <f t="shared" si="82"/>
        <v>53594.813024996743</v>
      </c>
      <c r="O191" s="136">
        <f>ROW()</f>
        <v>191</v>
      </c>
      <c r="P191" s="849">
        <v>1.9490000000000001</v>
      </c>
      <c r="Q191" s="4300"/>
      <c r="R191" s="3796"/>
      <c r="S191" s="3796"/>
      <c r="T191" s="3796"/>
      <c r="U191" s="4301"/>
    </row>
    <row r="192" spans="2:21" ht="12">
      <c r="B192" s="1611">
        <f t="shared" si="78"/>
        <v>4.9441807029874001</v>
      </c>
      <c r="C192" s="1744">
        <f>B192*'Cost-Benefit'!$J$219/60</f>
        <v>1.4691892510040168</v>
      </c>
      <c r="D192" s="7" t="str">
        <f t="shared" si="79"/>
        <v>Shoulder 1</v>
      </c>
      <c r="E192" s="1758">
        <v>7.6999999999999999E-2</v>
      </c>
      <c r="F192" s="604">
        <v>8.3000000000000004E-2</v>
      </c>
      <c r="G192" s="1760">
        <v>1.556</v>
      </c>
      <c r="H192" s="604">
        <v>0.16700000000000001</v>
      </c>
      <c r="I192" s="604">
        <v>0.105</v>
      </c>
      <c r="J192" s="1757">
        <v>0.05</v>
      </c>
      <c r="L192" s="1762">
        <f t="shared" si="80"/>
        <v>2.0379999999999998</v>
      </c>
      <c r="M192" s="1611">
        <f t="shared" si="81"/>
        <v>3.4974801363027841</v>
      </c>
      <c r="N192" s="1179">
        <f t="shared" si="82"/>
        <v>168482.99354880312</v>
      </c>
      <c r="O192" s="136">
        <f>ROW()</f>
        <v>192</v>
      </c>
      <c r="P192" s="34">
        <v>2.8809999999999998</v>
      </c>
      <c r="Q192" s="4300"/>
      <c r="R192" s="3796"/>
      <c r="S192" s="3796"/>
      <c r="T192" s="3796"/>
      <c r="U192" s="4301"/>
    </row>
    <row r="193" spans="2:21" ht="12">
      <c r="B193" s="1611">
        <f t="shared" si="78"/>
        <v>4.8635224270275224</v>
      </c>
      <c r="C193" s="1744">
        <f>B193*'Cost-Benefit'!$J$219/60</f>
        <v>1.4452212208765649</v>
      </c>
      <c r="D193" s="7" t="str">
        <f t="shared" si="79"/>
        <v>Peak</v>
      </c>
      <c r="E193" s="1758">
        <v>7.6999999999999999E-2</v>
      </c>
      <c r="F193" s="604">
        <v>8.3000000000000004E-2</v>
      </c>
      <c r="G193" s="604">
        <v>0.34599999999999997</v>
      </c>
      <c r="H193" s="1759">
        <v>1.579</v>
      </c>
      <c r="I193" s="604">
        <v>0.105</v>
      </c>
      <c r="J193" s="1757">
        <v>0.05</v>
      </c>
      <c r="L193" s="1762">
        <f t="shared" si="80"/>
        <v>2.2399999999999998</v>
      </c>
      <c r="M193" s="1611">
        <f t="shared" si="81"/>
        <v>3.844139109577152</v>
      </c>
      <c r="N193" s="1179">
        <f t="shared" si="82"/>
        <v>108615.6084364071</v>
      </c>
      <c r="O193" s="136">
        <f>ROW()</f>
        <v>193</v>
      </c>
      <c r="P193" s="34">
        <v>2.8340000000000001</v>
      </c>
      <c r="Q193" s="4300"/>
      <c r="R193" s="3796"/>
      <c r="S193" s="3796"/>
      <c r="T193" s="3796"/>
      <c r="U193" s="4301"/>
    </row>
    <row r="194" spans="2:21" ht="12">
      <c r="B194" s="1611">
        <f t="shared" si="78"/>
        <v>3.9831459255931128</v>
      </c>
      <c r="C194" s="1744">
        <f>B194*'Cost-Benefit'!$J$219/60</f>
        <v>1.1836127218258672</v>
      </c>
      <c r="D194" s="7" t="str">
        <f t="shared" si="79"/>
        <v>Shoulder 2</v>
      </c>
      <c r="E194" s="1758">
        <v>7.6999999999999999E-2</v>
      </c>
      <c r="F194" s="604">
        <v>8.3000000000000004E-2</v>
      </c>
      <c r="G194" s="604">
        <v>0.34599999999999997</v>
      </c>
      <c r="H194" s="604">
        <v>0.16700000000000001</v>
      </c>
      <c r="I194" s="1759">
        <v>1.075</v>
      </c>
      <c r="J194" s="1757">
        <v>0.05</v>
      </c>
      <c r="L194" s="1762">
        <f t="shared" si="80"/>
        <v>1.798</v>
      </c>
      <c r="M194" s="1611">
        <f t="shared" si="81"/>
        <v>3.0856080888480895</v>
      </c>
      <c r="N194" s="1179">
        <f t="shared" si="82"/>
        <v>64122.891767235844</v>
      </c>
      <c r="O194" s="136">
        <f>ROW()</f>
        <v>194</v>
      </c>
      <c r="P194" s="34">
        <v>2.3210000000000002</v>
      </c>
      <c r="Q194" s="4300"/>
      <c r="R194" s="3796"/>
      <c r="S194" s="3796"/>
      <c r="T194" s="3796"/>
      <c r="U194" s="4301"/>
    </row>
    <row r="195" spans="2:21" ht="12">
      <c r="B195" s="1611">
        <f t="shared" si="78"/>
        <v>2.7097748455456805</v>
      </c>
      <c r="C195" s="1744">
        <f>B195*'Cost-Benefit'!$J$219/60</f>
        <v>0.80522382066481879</v>
      </c>
      <c r="D195" s="7" t="str">
        <f t="shared" si="79"/>
        <v>Late Shoulder</v>
      </c>
      <c r="E195" s="1758">
        <v>7.6999999999999999E-2</v>
      </c>
      <c r="F195" s="604">
        <v>8.3000000000000004E-2</v>
      </c>
      <c r="G195" s="604">
        <v>0.34599999999999997</v>
      </c>
      <c r="H195" s="604">
        <v>0.16700000000000001</v>
      </c>
      <c r="I195" s="604">
        <v>0.105</v>
      </c>
      <c r="J195" s="1027">
        <v>0.745</v>
      </c>
      <c r="L195" s="1762">
        <f t="shared" si="80"/>
        <v>1.5230000000000001</v>
      </c>
      <c r="M195" s="1611">
        <f t="shared" si="81"/>
        <v>2.6136713678062518</v>
      </c>
      <c r="N195" s="1179">
        <f t="shared" si="82"/>
        <v>49625.413661121056</v>
      </c>
      <c r="O195" s="136">
        <f>ROW()</f>
        <v>195</v>
      </c>
      <c r="P195" s="34">
        <v>1.579</v>
      </c>
      <c r="Q195" s="4302"/>
      <c r="R195" s="4303"/>
      <c r="S195" s="4303"/>
      <c r="T195" s="4303"/>
      <c r="U195" s="4304"/>
    </row>
    <row r="196" spans="2:21" ht="12" thickBot="1">
      <c r="E196" s="212"/>
      <c r="F196" s="113"/>
      <c r="G196" s="113"/>
      <c r="H196" s="113"/>
      <c r="I196" s="113"/>
      <c r="J196" s="140"/>
      <c r="N196" s="1179"/>
      <c r="O196" s="136">
        <f>ROW()</f>
        <v>196</v>
      </c>
      <c r="P196" s="34"/>
    </row>
    <row r="197" spans="2:21" ht="12.6" thickBot="1">
      <c r="B197" s="1610">
        <f>SUMPRODUCT(B190:B196,$N190:$N196)/N197</f>
        <v>3.5969493567981874</v>
      </c>
      <c r="C197" s="1745">
        <f>SUMPRODUCT(C190:C196,$N190:$N196)/$N197</f>
        <v>1.0688523840199891</v>
      </c>
      <c r="D197" s="1237" t="s">
        <v>837</v>
      </c>
      <c r="E197" s="1533">
        <f>SUMPRODUCT(E190:E196,$N190:$N196)/N190</f>
        <v>0.5728150968482375</v>
      </c>
      <c r="F197" s="1534">
        <f>SUMPRODUCT(F190:F196,$N190:$N196)/N191</f>
        <v>1.6741496783799308</v>
      </c>
      <c r="G197" s="1534">
        <f>SUMPRODUCT(G190:G196,$N190:$N196)/N192</f>
        <v>2.4063087930787685</v>
      </c>
      <c r="H197" s="1534">
        <f>SUMPRODUCT(H190:H196,$N190:$N196)/N193</f>
        <v>2.3076689073862853</v>
      </c>
      <c r="I197" s="1534">
        <f>SUMPRODUCT(I190:I196,$N190:$N196)/N194</f>
        <v>1.9238925696307019</v>
      </c>
      <c r="J197" s="1535">
        <f>SUMPRODUCT(J190:J196,$N190:$N196)/N195</f>
        <v>1.2819338144409806</v>
      </c>
      <c r="L197" s="3006">
        <f>SUMPRODUCT(L190:L195,$N190:$N195)/N197</f>
        <v>1.7370265067174426</v>
      </c>
      <c r="M197" s="1765">
        <f>SUMPRODUCT(M190:M195,$N190:$N195)/N197</f>
        <v>2.9809694325199567</v>
      </c>
      <c r="N197" s="1236">
        <f>SUM(N190:N196)</f>
        <v>582536.66666666663</v>
      </c>
      <c r="O197" s="136">
        <f>ROW()</f>
        <v>197</v>
      </c>
    </row>
    <row r="198" spans="2:21">
      <c r="D198" s="1333" t="s">
        <v>2173</v>
      </c>
      <c r="E198" s="1334"/>
      <c r="F198" s="1335"/>
      <c r="G198" s="1334"/>
      <c r="H198" s="1334"/>
      <c r="I198" s="1335"/>
      <c r="O198" s="136">
        <f>ROW()</f>
        <v>198</v>
      </c>
    </row>
    <row r="199" spans="2:21">
      <c r="O199" s="136">
        <f>ROW()</f>
        <v>199</v>
      </c>
    </row>
    <row r="200" spans="2:21">
      <c r="B200" s="4978" t="s">
        <v>1961</v>
      </c>
      <c r="C200" s="4979"/>
      <c r="D200" s="4979"/>
      <c r="E200" s="4979"/>
      <c r="F200" s="4979"/>
      <c r="G200" s="4980"/>
      <c r="K200" s="118" t="s">
        <v>2926</v>
      </c>
      <c r="L200" s="91">
        <f>SUMPRODUCT(H35:M35,H39:M39)/N184</f>
        <v>1.5710827930716809</v>
      </c>
      <c r="O200" s="136">
        <f>ROW()</f>
        <v>200</v>
      </c>
    </row>
    <row r="201" spans="2:21">
      <c r="B201" s="4981"/>
      <c r="C201" s="4956"/>
      <c r="D201" s="4956"/>
      <c r="E201" s="4956"/>
      <c r="F201" s="4956"/>
      <c r="G201" s="4982"/>
      <c r="K201" s="118" t="s">
        <v>2927</v>
      </c>
      <c r="L201" s="91">
        <f>SUMPRODUCT(H35:M35,H40:M40)/N184</f>
        <v>17.481157180961606</v>
      </c>
      <c r="O201" s="136">
        <f>ROW()</f>
        <v>201</v>
      </c>
    </row>
    <row r="202" spans="2:21">
      <c r="B202" s="4983"/>
      <c r="C202" s="4984"/>
      <c r="D202" s="4984"/>
      <c r="E202" s="4984"/>
      <c r="F202" s="4984"/>
      <c r="G202" s="4985"/>
      <c r="O202" s="136">
        <f>ROW()</f>
        <v>202</v>
      </c>
    </row>
    <row r="203" spans="2:21" ht="12">
      <c r="B203" s="308"/>
      <c r="G203" s="125"/>
      <c r="H203" s="597"/>
      <c r="I203" s="125"/>
      <c r="J203" s="125"/>
      <c r="K203" s="125"/>
      <c r="L203" s="125"/>
      <c r="M203" s="125"/>
      <c r="O203" s="136"/>
    </row>
    <row r="204" spans="2:21" ht="12">
      <c r="B204" s="308"/>
      <c r="G204" s="125"/>
      <c r="H204" s="597"/>
      <c r="I204" s="125"/>
      <c r="J204" s="125"/>
      <c r="K204" s="125"/>
      <c r="L204" s="125"/>
      <c r="M204" s="125"/>
      <c r="O204" s="136"/>
    </row>
    <row r="205" spans="2:21" ht="12">
      <c r="B205" s="308"/>
      <c r="G205" s="125"/>
      <c r="H205" s="597"/>
      <c r="I205" s="125"/>
      <c r="J205" s="125"/>
      <c r="K205" s="125"/>
      <c r="L205" s="125"/>
      <c r="M205" s="125"/>
      <c r="O205" s="136"/>
    </row>
    <row r="206" spans="2:21" ht="12">
      <c r="B206" s="308"/>
      <c r="G206" s="125"/>
      <c r="H206" s="597"/>
      <c r="I206" s="125"/>
      <c r="J206" s="125"/>
      <c r="K206" s="125"/>
      <c r="L206" s="125"/>
      <c r="M206" s="125"/>
      <c r="O206" s="136"/>
    </row>
    <row r="207" spans="2:21" ht="13.2">
      <c r="B207" s="4966" t="s">
        <v>767</v>
      </c>
      <c r="C207" s="4966"/>
      <c r="D207" s="4966"/>
      <c r="E207" s="4966"/>
      <c r="F207" s="4966"/>
      <c r="G207" s="4966"/>
      <c r="H207" s="4966"/>
      <c r="I207" s="4966"/>
      <c r="J207" s="4966"/>
      <c r="K207" s="4966"/>
      <c r="L207" s="4966"/>
      <c r="M207" s="4966"/>
      <c r="O207" s="136">
        <f>ROW()</f>
        <v>207</v>
      </c>
    </row>
    <row r="208" spans="2:21">
      <c r="O208" s="136">
        <f>ROW()</f>
        <v>208</v>
      </c>
    </row>
    <row r="209" spans="2:15">
      <c r="O209" s="136">
        <f>ROW()</f>
        <v>209</v>
      </c>
    </row>
    <row r="210" spans="2:15" ht="12" customHeight="1">
      <c r="B210" s="1117"/>
      <c r="C210" s="90"/>
      <c r="D210" s="90"/>
      <c r="E210" s="90"/>
      <c r="F210" s="90"/>
      <c r="O210" s="136">
        <f>ROW()</f>
        <v>210</v>
      </c>
    </row>
    <row r="211" spans="2:15">
      <c r="B211" s="90"/>
      <c r="C211" s="90"/>
      <c r="D211" s="90"/>
      <c r="E211" s="90"/>
      <c r="F211" s="90"/>
      <c r="O211" s="136">
        <f>ROW()</f>
        <v>211</v>
      </c>
    </row>
    <row r="212" spans="2:15">
      <c r="O212" s="136">
        <f>ROW()</f>
        <v>212</v>
      </c>
    </row>
    <row r="213" spans="2:15">
      <c r="O213" s="136">
        <f>ROW()</f>
        <v>213</v>
      </c>
    </row>
    <row r="214" spans="2:15">
      <c r="O214" s="136">
        <f>ROW()</f>
        <v>214</v>
      </c>
    </row>
    <row r="215" spans="2:15">
      <c r="O215" s="136">
        <f>ROW()</f>
        <v>215</v>
      </c>
    </row>
    <row r="216" spans="2:15">
      <c r="F216" s="1116"/>
      <c r="O216" s="136">
        <f>ROW()</f>
        <v>216</v>
      </c>
    </row>
    <row r="217" spans="2:15">
      <c r="F217" s="1116"/>
      <c r="O217" s="136">
        <f>ROW()</f>
        <v>217</v>
      </c>
    </row>
    <row r="218" spans="2:15">
      <c r="F218" s="1116"/>
      <c r="O218" s="136">
        <f>ROW()</f>
        <v>218</v>
      </c>
    </row>
    <row r="219" spans="2:15">
      <c r="F219" s="1116"/>
      <c r="O219" s="136">
        <f>ROW()</f>
        <v>219</v>
      </c>
    </row>
    <row r="220" spans="2:15">
      <c r="F220" s="1116"/>
      <c r="O220" s="136">
        <f>ROW()</f>
        <v>220</v>
      </c>
    </row>
    <row r="221" spans="2:15">
      <c r="F221" s="1116"/>
      <c r="O221" s="136">
        <f>ROW()</f>
        <v>221</v>
      </c>
    </row>
    <row r="222" spans="2:15">
      <c r="O222" s="136">
        <f>ROW()</f>
        <v>222</v>
      </c>
    </row>
    <row r="223" spans="2:15">
      <c r="O223" s="136">
        <f>ROW()</f>
        <v>223</v>
      </c>
    </row>
    <row r="224" spans="2:15">
      <c r="O224" s="136">
        <f>ROW()</f>
        <v>224</v>
      </c>
    </row>
    <row r="225" spans="8:15">
      <c r="O225" s="136">
        <f>ROW()</f>
        <v>225</v>
      </c>
    </row>
    <row r="226" spans="8:15">
      <c r="O226" s="136">
        <f>ROW()</f>
        <v>226</v>
      </c>
    </row>
    <row r="227" spans="8:15">
      <c r="O227" s="136">
        <f>ROW()</f>
        <v>227</v>
      </c>
    </row>
    <row r="228" spans="8:15">
      <c r="O228" s="136">
        <f>ROW()</f>
        <v>228</v>
      </c>
    </row>
    <row r="229" spans="8:15">
      <c r="O229" s="136">
        <f>ROW()</f>
        <v>229</v>
      </c>
    </row>
    <row r="230" spans="8:15">
      <c r="O230" s="136">
        <f>ROW()</f>
        <v>230</v>
      </c>
    </row>
    <row r="231" spans="8:15">
      <c r="O231" s="136">
        <f>ROW()</f>
        <v>231</v>
      </c>
    </row>
    <row r="232" spans="8:15">
      <c r="O232" s="136">
        <f>ROW()</f>
        <v>232</v>
      </c>
    </row>
    <row r="236" spans="8:15">
      <c r="H236" s="4606" t="s">
        <v>230</v>
      </c>
      <c r="I236" s="4606" t="s">
        <v>231</v>
      </c>
      <c r="J236" s="4606" t="s">
        <v>937</v>
      </c>
    </row>
    <row r="237" spans="8:15">
      <c r="H237" s="3781"/>
      <c r="I237" s="3781"/>
      <c r="J237" s="3781"/>
    </row>
    <row r="238" spans="8:15">
      <c r="H238" s="3781"/>
      <c r="I238" s="3781"/>
      <c r="J238" s="3781"/>
    </row>
    <row r="239" spans="8:15">
      <c r="H239" s="22">
        <v>0.1</v>
      </c>
      <c r="I239" s="117">
        <v>2.7134718320861184</v>
      </c>
      <c r="J239" s="39">
        <f t="shared" ref="J239:J270" si="83">I239/I$258-1</f>
        <v>0.30643004584598277</v>
      </c>
    </row>
    <row r="240" spans="8:15">
      <c r="H240" s="22">
        <v>9.5000000000000001E-2</v>
      </c>
      <c r="I240" s="117">
        <v>2.6762190126510634</v>
      </c>
      <c r="J240" s="39">
        <f t="shared" si="83"/>
        <v>0.28849427734934974</v>
      </c>
    </row>
    <row r="241" spans="8:10">
      <c r="H241" s="22">
        <v>0.09</v>
      </c>
      <c r="I241" s="117">
        <v>2.6394090907281149</v>
      </c>
      <c r="J241" s="39">
        <f t="shared" si="83"/>
        <v>0.27077174659862036</v>
      </c>
    </row>
    <row r="242" spans="8:10">
      <c r="H242" s="22">
        <v>8.5000000000000006E-2</v>
      </c>
      <c r="I242" s="117">
        <v>2.6030373523917794</v>
      </c>
      <c r="J242" s="39">
        <f t="shared" si="83"/>
        <v>0.25326018402392947</v>
      </c>
    </row>
    <row r="243" spans="8:10">
      <c r="H243" s="22">
        <v>0.08</v>
      </c>
      <c r="I243" s="117">
        <v>2.5670991306874424</v>
      </c>
      <c r="J243" s="39">
        <f t="shared" si="83"/>
        <v>0.2359573426700452</v>
      </c>
    </row>
    <row r="244" spans="8:10">
      <c r="H244" s="22">
        <v>7.4999999999999997E-2</v>
      </c>
      <c r="I244" s="117">
        <v>2.5315898052159982</v>
      </c>
      <c r="J244" s="39">
        <f t="shared" si="83"/>
        <v>0.21886099799638248</v>
      </c>
    </row>
    <row r="245" spans="8:10">
      <c r="H245" s="22">
        <v>7.0000000000000007E-2</v>
      </c>
      <c r="I245" s="117">
        <v>2.4965048016539098</v>
      </c>
      <c r="J245" s="39">
        <f t="shared" si="83"/>
        <v>0.20196894764593298</v>
      </c>
    </row>
    <row r="246" spans="8:10">
      <c r="H246" s="22">
        <v>6.5000000000000002E-2</v>
      </c>
      <c r="I246" s="117">
        <v>2.4618395912591873</v>
      </c>
      <c r="J246" s="39">
        <f t="shared" si="83"/>
        <v>0.18527901120741053</v>
      </c>
    </row>
    <row r="247" spans="8:10">
      <c r="H247" s="22">
        <v>0.06</v>
      </c>
      <c r="I247" s="117">
        <v>2.427589690400703</v>
      </c>
      <c r="J247" s="39">
        <f t="shared" si="83"/>
        <v>0.16878902998863743</v>
      </c>
    </row>
    <row r="248" spans="8:10">
      <c r="H248" s="22">
        <v>5.5E-2</v>
      </c>
      <c r="I248" s="117">
        <v>2.3937506601635334</v>
      </c>
      <c r="J248" s="39">
        <f t="shared" si="83"/>
        <v>0.1524968668265303</v>
      </c>
    </row>
    <row r="249" spans="8:10">
      <c r="H249" s="22">
        <v>0.05</v>
      </c>
      <c r="I249" s="117">
        <v>2.3603181058212104</v>
      </c>
      <c r="J249" s="39">
        <f t="shared" si="83"/>
        <v>0.13640040583301039</v>
      </c>
    </row>
    <row r="250" spans="8:10">
      <c r="H250" s="22">
        <v>4.4999999999999998E-2</v>
      </c>
      <c r="I250" s="117">
        <v>2.3272876764686186</v>
      </c>
      <c r="J250" s="39">
        <f t="shared" si="83"/>
        <v>0.12049755221825809</v>
      </c>
    </row>
    <row r="251" spans="8:10">
      <c r="H251" s="22">
        <v>0.04</v>
      </c>
      <c r="I251" s="117">
        <v>2.2946550644663049</v>
      </c>
      <c r="J251" s="39">
        <f t="shared" si="83"/>
        <v>0.10478623202317028</v>
      </c>
    </row>
    <row r="252" spans="8:10">
      <c r="H252" s="22">
        <v>3.5000000000000003E-2</v>
      </c>
      <c r="I252" s="117">
        <v>2.2624160050989341</v>
      </c>
      <c r="J252" s="39">
        <f t="shared" si="83"/>
        <v>8.9264391954918976E-2</v>
      </c>
    </row>
    <row r="253" spans="8:10">
      <c r="H253" s="22">
        <v>0.03</v>
      </c>
      <c r="I253" s="117">
        <v>2.2305662761460749</v>
      </c>
      <c r="J253" s="39">
        <f t="shared" si="83"/>
        <v>7.392999918030263E-2</v>
      </c>
    </row>
    <row r="254" spans="8:10">
      <c r="H254" s="22">
        <v>2.5000000000000001E-2</v>
      </c>
      <c r="I254" s="117">
        <v>2.1991016973609461</v>
      </c>
      <c r="J254" s="39">
        <f t="shared" si="83"/>
        <v>5.878104107478288E-2</v>
      </c>
    </row>
    <row r="255" spans="8:10">
      <c r="H255" s="22">
        <v>0.02</v>
      </c>
      <c r="I255" s="117">
        <v>2.1680181301227885</v>
      </c>
      <c r="J255" s="39">
        <f t="shared" si="83"/>
        <v>4.3815525055114879E-2</v>
      </c>
    </row>
    <row r="256" spans="8:10">
      <c r="H256" s="22">
        <v>1.4999999999999999E-2</v>
      </c>
      <c r="I256" s="117">
        <v>2.1373114770184043</v>
      </c>
      <c r="J256" s="39">
        <f t="shared" si="83"/>
        <v>2.9031478377874897E-2</v>
      </c>
    </row>
    <row r="257" spans="8:10">
      <c r="H257" s="22">
        <v>0.01</v>
      </c>
      <c r="I257" s="117">
        <v>2.1069776813963852</v>
      </c>
      <c r="J257" s="39">
        <f t="shared" si="83"/>
        <v>1.4426947924838895E-2</v>
      </c>
    </row>
    <row r="258" spans="8:10">
      <c r="H258" s="22">
        <v>5.0000000000000001E-3</v>
      </c>
      <c r="I258" s="117">
        <v>2.0770127269455148</v>
      </c>
      <c r="J258" s="39">
        <f t="shared" si="83"/>
        <v>0</v>
      </c>
    </row>
    <row r="259" spans="8:10">
      <c r="H259" s="22">
        <v>0</v>
      </c>
      <c r="I259" s="117">
        <v>2.0474126373471644</v>
      </c>
      <c r="J259" s="39">
        <f t="shared" si="83"/>
        <v>-1.4251279837789288E-2</v>
      </c>
    </row>
    <row r="260" spans="8:10">
      <c r="H260" s="22">
        <v>-5.0000000000000001E-3</v>
      </c>
      <c r="I260" s="117">
        <v>2.0181734757638559</v>
      </c>
      <c r="J260" s="39">
        <f t="shared" si="83"/>
        <v>-2.8328787021054347E-2</v>
      </c>
    </row>
    <row r="261" spans="8:10">
      <c r="H261" s="22">
        <v>-0.01</v>
      </c>
      <c r="I261" s="117">
        <v>1.9892913446095812</v>
      </c>
      <c r="J261" s="39">
        <f t="shared" si="83"/>
        <v>-4.2234398084280311E-2</v>
      </c>
    </row>
    <row r="262" spans="8:10">
      <c r="H262" s="22">
        <v>-1.4999999999999999E-2</v>
      </c>
      <c r="I262" s="117">
        <v>1.9607623849980931</v>
      </c>
      <c r="J262" s="39">
        <f t="shared" si="83"/>
        <v>-5.5969970929538371E-2</v>
      </c>
    </row>
    <row r="263" spans="8:10">
      <c r="H263" s="22">
        <v>-0.02</v>
      </c>
      <c r="I263" s="638">
        <v>1.93258277639096</v>
      </c>
      <c r="J263" s="136">
        <f t="shared" si="83"/>
        <v>-6.9537344995933448E-2</v>
      </c>
    </row>
    <row r="264" spans="8:10">
      <c r="H264" s="22">
        <v>-2.5000000000000001E-2</v>
      </c>
      <c r="I264" s="638">
        <v>1.9047487363043443</v>
      </c>
      <c r="J264" s="136">
        <f t="shared" si="83"/>
        <v>-8.2938341400779159E-2</v>
      </c>
    </row>
    <row r="265" spans="8:10">
      <c r="H265" s="22">
        <v>-0.03</v>
      </c>
      <c r="I265" s="638">
        <v>1.8772565197827096</v>
      </c>
      <c r="J265" s="136">
        <f t="shared" si="83"/>
        <v>-9.6174763192987012E-2</v>
      </c>
    </row>
    <row r="266" spans="8:10">
      <c r="H266" s="22">
        <v>-3.5000000000000003E-2</v>
      </c>
      <c r="I266" s="638">
        <v>1.8501024191676778</v>
      </c>
      <c r="J266" s="136">
        <f t="shared" si="83"/>
        <v>-0.10924839546435261</v>
      </c>
    </row>
    <row r="267" spans="8:10">
      <c r="H267" s="22">
        <v>-0.04</v>
      </c>
      <c r="I267" s="638">
        <v>1.8232827636054887</v>
      </c>
      <c r="J267" s="136">
        <f t="shared" si="83"/>
        <v>-0.12216100558669429</v>
      </c>
    </row>
    <row r="268" spans="8:10">
      <c r="H268" s="22">
        <v>-4.4999999999999998E-2</v>
      </c>
      <c r="I268" s="638">
        <v>1.796793918757859</v>
      </c>
      <c r="J268" s="136">
        <f t="shared" si="83"/>
        <v>-0.13491434335106345</v>
      </c>
    </row>
    <row r="269" spans="8:10">
      <c r="H269" s="22">
        <v>-0.05</v>
      </c>
      <c r="I269" s="638">
        <v>1.6548667198778133</v>
      </c>
      <c r="J269" s="136">
        <f t="shared" si="83"/>
        <v>-0.20324671177557763</v>
      </c>
    </row>
    <row r="270" spans="8:10">
      <c r="H270" s="22">
        <v>-5.5E-2</v>
      </c>
      <c r="I270" s="638">
        <v>1.6301861503606638</v>
      </c>
      <c r="J270" s="136">
        <f t="shared" si="83"/>
        <v>-0.21512943603478085</v>
      </c>
    </row>
    <row r="271" spans="8:10">
      <c r="H271" s="22">
        <v>-0.06</v>
      </c>
      <c r="I271" s="638">
        <v>1.6058173084113294</v>
      </c>
      <c r="J271" s="136">
        <f t="shared" ref="J271:J302" si="84">I271/I$258-1</f>
        <v>-0.22686207572118844</v>
      </c>
    </row>
    <row r="272" spans="8:10">
      <c r="H272" s="22">
        <v>-6.5000000000000002E-2</v>
      </c>
      <c r="I272" s="638">
        <v>1.5817567556707879</v>
      </c>
      <c r="J272" s="136">
        <f t="shared" si="84"/>
        <v>-0.23844628626953934</v>
      </c>
    </row>
    <row r="273" spans="8:10">
      <c r="H273" s="22">
        <v>-7.0000000000000007E-2</v>
      </c>
      <c r="I273" s="117">
        <v>1.5580010881932509</v>
      </c>
      <c r="J273" s="39">
        <f t="shared" si="84"/>
        <v>-0.2498837065459536</v>
      </c>
    </row>
    <row r="274" spans="8:10">
      <c r="H274" s="22">
        <v>-7.4999999999999997E-2</v>
      </c>
      <c r="I274" s="117">
        <v>1.5345469360410267</v>
      </c>
      <c r="J274" s="39">
        <f t="shared" si="84"/>
        <v>-0.26117595904298874</v>
      </c>
    </row>
    <row r="275" spans="8:10">
      <c r="H275" s="22">
        <v>-0.08</v>
      </c>
      <c r="I275" s="117">
        <v>1.5113909630070983</v>
      </c>
      <c r="J275" s="39">
        <f t="shared" si="84"/>
        <v>-0.27232465001320816</v>
      </c>
    </row>
    <row r="276" spans="8:10">
      <c r="H276" s="22">
        <v>-8.5000000000000006E-2</v>
      </c>
      <c r="I276" s="117">
        <v>1.4885298661466242</v>
      </c>
      <c r="J276" s="39">
        <f t="shared" si="84"/>
        <v>-0.28333136969474526</v>
      </c>
    </row>
    <row r="277" spans="8:10">
      <c r="H277" s="22">
        <v>-0.09</v>
      </c>
      <c r="I277" s="117">
        <v>1.4659603756502109</v>
      </c>
      <c r="J277" s="39">
        <f t="shared" si="84"/>
        <v>-0.29419769237231708</v>
      </c>
    </row>
    <row r="278" spans="8:10">
      <c r="H278" s="22">
        <v>-9.5000000000000001E-2</v>
      </c>
      <c r="I278" s="117">
        <v>1.4436792542983388</v>
      </c>
      <c r="J278" s="39">
        <f t="shared" si="84"/>
        <v>-0.30492517663989738</v>
      </c>
    </row>
    <row r="279" spans="8:10" ht="12">
      <c r="H279" s="838">
        <v>-0.1</v>
      </c>
      <c r="I279" s="635">
        <v>1.4216832972980986</v>
      </c>
      <c r="J279" s="47">
        <f t="shared" si="84"/>
        <v>-0.31551536547932146</v>
      </c>
    </row>
    <row r="280" spans="8:10">
      <c r="H280" s="22">
        <v>-0.105</v>
      </c>
      <c r="I280" s="117">
        <v>1.3999693318443376</v>
      </c>
      <c r="J280" s="39">
        <f t="shared" si="84"/>
        <v>-0.32596978647157693</v>
      </c>
    </row>
    <row r="281" spans="8:10">
      <c r="H281" s="22">
        <v>-0.11</v>
      </c>
      <c r="I281" s="117">
        <v>1.3785342169194545</v>
      </c>
      <c r="J281" s="39">
        <f t="shared" si="84"/>
        <v>-0.33628995189319466</v>
      </c>
    </row>
    <row r="282" spans="8:10">
      <c r="H282" s="22">
        <v>-0.115</v>
      </c>
      <c r="I282" s="117">
        <v>1.3573748428640224</v>
      </c>
      <c r="J282" s="39">
        <f t="shared" si="84"/>
        <v>-0.34647735892297704</v>
      </c>
    </row>
    <row r="283" spans="8:10">
      <c r="H283" s="22">
        <v>-0.12</v>
      </c>
      <c r="I283" s="117">
        <v>1.3364881310873189</v>
      </c>
      <c r="J283" s="39">
        <f t="shared" si="84"/>
        <v>-0.35653348978136601</v>
      </c>
    </row>
    <row r="284" spans="8:10">
      <c r="H284" s="22">
        <v>-0.125</v>
      </c>
      <c r="I284" s="117">
        <v>1.3158710338429971</v>
      </c>
      <c r="J284" s="39">
        <f t="shared" si="84"/>
        <v>-0.36645981183844922</v>
      </c>
    </row>
    <row r="285" spans="8:10">
      <c r="H285" s="22">
        <v>-0.13</v>
      </c>
      <c r="I285" s="117">
        <v>1.2955205338148394</v>
      </c>
      <c r="J285" s="39">
        <f t="shared" si="84"/>
        <v>-0.37625777781340275</v>
      </c>
    </row>
    <row r="286" spans="8:10">
      <c r="H286" s="22">
        <v>-0.13500000000000001</v>
      </c>
      <c r="I286" s="117">
        <v>1.2754336438834026</v>
      </c>
      <c r="J286" s="39">
        <f t="shared" si="84"/>
        <v>-0.38592882588684274</v>
      </c>
    </row>
    <row r="287" spans="8:10">
      <c r="H287" s="22">
        <v>-0.14000000000000001</v>
      </c>
      <c r="I287" s="117">
        <v>1.2556074067971037</v>
      </c>
      <c r="J287" s="39">
        <f t="shared" si="84"/>
        <v>-0.39547437985918443</v>
      </c>
    </row>
    <row r="288" spans="8:10">
      <c r="H288" s="22">
        <v>-0.14499999999999999</v>
      </c>
      <c r="I288" s="117">
        <v>1.2360388948657994</v>
      </c>
      <c r="J288" s="39">
        <f t="shared" si="84"/>
        <v>-0.40489584929817146</v>
      </c>
    </row>
    <row r="289" spans="8:10">
      <c r="H289" s="22">
        <v>-0.15</v>
      </c>
      <c r="I289" s="117">
        <v>1.2167252096910777</v>
      </c>
      <c r="J289" s="39">
        <f t="shared" si="84"/>
        <v>-0.41419462966873033</v>
      </c>
    </row>
    <row r="290" spans="8:10">
      <c r="H290" s="22">
        <v>-0.155</v>
      </c>
      <c r="I290" s="117">
        <v>1.1976634819151117</v>
      </c>
      <c r="J290" s="39">
        <f t="shared" si="84"/>
        <v>-0.42337210245388668</v>
      </c>
    </row>
    <row r="291" spans="8:10">
      <c r="H291" s="22">
        <v>-0.16</v>
      </c>
      <c r="I291" s="117">
        <v>1.1788508708023371</v>
      </c>
      <c r="J291" s="39">
        <f t="shared" si="84"/>
        <v>-0.43242963535617218</v>
      </c>
    </row>
    <row r="292" spans="8:10">
      <c r="H292" s="22">
        <v>-0.16500000000000001</v>
      </c>
      <c r="I292" s="117">
        <v>1.1602845641119179</v>
      </c>
      <c r="J292" s="39">
        <f t="shared" si="84"/>
        <v>-0.4413685823590261</v>
      </c>
    </row>
    <row r="293" spans="8:10">
      <c r="H293" s="22">
        <v>-0.17</v>
      </c>
      <c r="I293" s="117">
        <v>1.1419617777164284</v>
      </c>
      <c r="J293" s="39">
        <f t="shared" si="84"/>
        <v>-0.45019028391038607</v>
      </c>
    </row>
    <row r="294" spans="8:10">
      <c r="H294" s="22">
        <v>-0.17499999999999999</v>
      </c>
      <c r="I294" s="117">
        <v>1.1238797553538888</v>
      </c>
      <c r="J294" s="39">
        <f t="shared" si="84"/>
        <v>-0.45889606704207209</v>
      </c>
    </row>
    <row r="295" spans="8:10">
      <c r="H295" s="22">
        <v>-0.18</v>
      </c>
      <c r="I295" s="117">
        <v>1.1060357683475861</v>
      </c>
      <c r="J295" s="39">
        <f t="shared" si="84"/>
        <v>-0.46748724550468279</v>
      </c>
    </row>
    <row r="296" spans="8:10">
      <c r="H296" s="22">
        <v>-0.185</v>
      </c>
      <c r="I296" s="117">
        <v>1.0884271153703373</v>
      </c>
      <c r="J296" s="39">
        <f t="shared" si="84"/>
        <v>-0.4759651198810928</v>
      </c>
    </row>
    <row r="297" spans="8:10">
      <c r="H297" s="22">
        <v>-0.19</v>
      </c>
      <c r="I297" s="117">
        <v>1.0710511220901362</v>
      </c>
      <c r="J297" s="39">
        <f t="shared" si="84"/>
        <v>-0.48433097775705991</v>
      </c>
    </row>
    <row r="298" spans="8:10">
      <c r="H298" s="22">
        <v>-0.19500000000000001</v>
      </c>
      <c r="I298" s="117">
        <v>1.0539051410089935</v>
      </c>
      <c r="J298" s="39">
        <f t="shared" si="84"/>
        <v>-0.49258609379881757</v>
      </c>
    </row>
    <row r="299" spans="8:10">
      <c r="H299" s="22">
        <v>-0.2</v>
      </c>
      <c r="I299" s="117">
        <v>1.0369865511260405</v>
      </c>
      <c r="J299" s="39">
        <f t="shared" si="84"/>
        <v>-0.50073172991527692</v>
      </c>
    </row>
    <row r="300" spans="8:10">
      <c r="H300" s="22">
        <v>-0.20499999999999999</v>
      </c>
      <c r="I300" s="117">
        <v>1.0202927577059977</v>
      </c>
      <c r="J300" s="39">
        <f t="shared" si="84"/>
        <v>-0.50876913536950008</v>
      </c>
    </row>
    <row r="301" spans="8:10">
      <c r="H301" s="22">
        <v>-0.21</v>
      </c>
      <c r="I301" s="117">
        <v>1.0038211920025504</v>
      </c>
      <c r="J301" s="39">
        <f t="shared" si="84"/>
        <v>-0.51669954691188413</v>
      </c>
    </row>
    <row r="302" spans="8:10">
      <c r="H302" s="22">
        <v>-0.215</v>
      </c>
      <c r="I302" s="117">
        <v>0.9875693110297209</v>
      </c>
      <c r="J302" s="39">
        <f t="shared" si="84"/>
        <v>-0.52452418889023622</v>
      </c>
    </row>
    <row r="303" spans="8:10">
      <c r="H303" s="22">
        <v>-0.22</v>
      </c>
      <c r="I303" s="117">
        <v>0.97153459728878977</v>
      </c>
      <c r="J303" s="39">
        <f t="shared" ref="J303:J309" si="85">I303/I$258-1</f>
        <v>-0.53224427338125047</v>
      </c>
    </row>
    <row r="304" spans="8:10">
      <c r="H304" s="22">
        <v>-0.22500000000000001</v>
      </c>
      <c r="I304" s="117">
        <v>0.95571455854013543</v>
      </c>
      <c r="J304" s="39">
        <f t="shared" si="85"/>
        <v>-0.53986100030035766</v>
      </c>
    </row>
    <row r="305" spans="8:10">
      <c r="H305" s="22">
        <v>-0.23</v>
      </c>
      <c r="I305" s="117">
        <v>0.94010672752599256</v>
      </c>
      <c r="J305" s="39">
        <f t="shared" si="85"/>
        <v>-0.54737555753520717</v>
      </c>
    </row>
    <row r="306" spans="8:10">
      <c r="H306" s="22">
        <v>-0.23499999999999999</v>
      </c>
      <c r="I306" s="117">
        <v>0.92470866174609712</v>
      </c>
      <c r="J306" s="39">
        <f t="shared" si="85"/>
        <v>-0.55478912105368405</v>
      </c>
    </row>
    <row r="307" spans="8:10">
      <c r="H307" s="22">
        <v>-0.24</v>
      </c>
      <c r="I307" s="117">
        <v>0.90951794321944002</v>
      </c>
      <c r="J307" s="39">
        <f t="shared" si="85"/>
        <v>-0.5621028550186159</v>
      </c>
    </row>
    <row r="308" spans="8:10">
      <c r="H308" s="22">
        <v>-0.245</v>
      </c>
      <c r="I308" s="117">
        <v>0.89453217822186548</v>
      </c>
      <c r="J308" s="39">
        <f t="shared" si="85"/>
        <v>-0.56931791191410874</v>
      </c>
    </row>
    <row r="309" spans="8:10">
      <c r="H309" s="22">
        <v>-0.25</v>
      </c>
      <c r="I309" s="117">
        <v>0.87974899709672838</v>
      </c>
      <c r="J309" s="39">
        <f t="shared" si="85"/>
        <v>-0.57643543263670793</v>
      </c>
    </row>
  </sheetData>
  <mergeCells count="69">
    <mergeCell ref="J236:J238"/>
    <mergeCell ref="B207:M207"/>
    <mergeCell ref="H236:H238"/>
    <mergeCell ref="I236:I238"/>
    <mergeCell ref="B171:C172"/>
    <mergeCell ref="L172:M172"/>
    <mergeCell ref="B173:B176"/>
    <mergeCell ref="M173:M176"/>
    <mergeCell ref="L189:M189"/>
    <mergeCell ref="B200:G202"/>
    <mergeCell ref="C173:C176"/>
    <mergeCell ref="D173:K173"/>
    <mergeCell ref="L173:L176"/>
    <mergeCell ref="B10:L11"/>
    <mergeCell ref="B151:C155"/>
    <mergeCell ref="F58:F61"/>
    <mergeCell ref="G58:N58"/>
    <mergeCell ref="M141:N141"/>
    <mergeCell ref="B120:L121"/>
    <mergeCell ref="B29:K30"/>
    <mergeCell ref="B146:C150"/>
    <mergeCell ref="M135:N135"/>
    <mergeCell ref="B108:L110"/>
    <mergeCell ref="M140:N140"/>
    <mergeCell ref="L147:M148"/>
    <mergeCell ref="N147:N148"/>
    <mergeCell ref="D145:K145"/>
    <mergeCell ref="B127:L128"/>
    <mergeCell ref="F168:G168"/>
    <mergeCell ref="H168:I168"/>
    <mergeCell ref="Y63:AF63"/>
    <mergeCell ref="AZ33:BG33"/>
    <mergeCell ref="Y41:AF41"/>
    <mergeCell ref="Y33:AF33"/>
    <mergeCell ref="H33:I33"/>
    <mergeCell ref="AQ63:AX63"/>
    <mergeCell ref="AH41:AO41"/>
    <mergeCell ref="AQ41:AX41"/>
    <mergeCell ref="P41:W41"/>
    <mergeCell ref="F167:G167"/>
    <mergeCell ref="P50:W50"/>
    <mergeCell ref="P63:W63"/>
    <mergeCell ref="H167:I167"/>
    <mergeCell ref="P31:W31"/>
    <mergeCell ref="BI63:BP63"/>
    <mergeCell ref="BI41:BP41"/>
    <mergeCell ref="AZ41:BG41"/>
    <mergeCell ref="AZ63:BG63"/>
    <mergeCell ref="BI31:BP31"/>
    <mergeCell ref="BI33:BP33"/>
    <mergeCell ref="AQ31:AX31"/>
    <mergeCell ref="AQ33:AX33"/>
    <mergeCell ref="AZ31:BG31"/>
    <mergeCell ref="Q190:U195"/>
    <mergeCell ref="AH63:AO63"/>
    <mergeCell ref="Y31:AF31"/>
    <mergeCell ref="B13:L16"/>
    <mergeCell ref="B18:L19"/>
    <mergeCell ref="H28:I28"/>
    <mergeCell ref="H31:I31"/>
    <mergeCell ref="AH31:AO31"/>
    <mergeCell ref="AH33:AO33"/>
    <mergeCell ref="P33:W33"/>
    <mergeCell ref="P186:P189"/>
    <mergeCell ref="E189:J189"/>
    <mergeCell ref="P173:P176"/>
    <mergeCell ref="Q177:U182"/>
    <mergeCell ref="B186:E186"/>
    <mergeCell ref="E176:J176"/>
  </mergeCells>
  <phoneticPr fontId="6" type="noConversion"/>
  <conditionalFormatting sqref="G62:L62">
    <cfRule type="cellIs" dxfId="3" priority="1" stopIfTrue="1" operator="equal">
      <formula>1</formula>
    </cfRule>
    <cfRule type="cellIs" dxfId="2" priority="2" stopIfTrue="1" operator="equal">
      <formula>0</formula>
    </cfRule>
  </conditionalFormatting>
  <dataValidations count="1">
    <dataValidation type="list" showErrorMessage="1" sqref="F62">
      <formula1>Times</formula1>
    </dataValidation>
  </dataValidations>
  <pageMargins left="0.75" right="0.75" top="1" bottom="1" header="0.5" footer="0.5"/>
  <pageSetup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sheetPr codeName="Sheet13"/>
  <dimension ref="B1:N165"/>
  <sheetViews>
    <sheetView workbookViewId="0"/>
  </sheetViews>
  <sheetFormatPr defaultRowHeight="11.4"/>
  <cols>
    <col min="1" max="1" width="3.125" customWidth="1"/>
    <col min="2" max="9" width="15.875" customWidth="1"/>
    <col min="11" max="11" width="1.75" customWidth="1"/>
    <col min="14" max="14" width="10" bestFit="1" customWidth="1"/>
  </cols>
  <sheetData>
    <row r="1" spans="2:11" ht="13.8">
      <c r="B1" s="115" t="s">
        <v>2232</v>
      </c>
      <c r="I1" s="181">
        <f>'Title Page'!K1</f>
        <v>40914</v>
      </c>
      <c r="K1" s="621">
        <f>ROW()</f>
        <v>1</v>
      </c>
    </row>
    <row r="2" spans="2:11">
      <c r="K2" s="621">
        <f>ROW()</f>
        <v>2</v>
      </c>
    </row>
    <row r="3" spans="2:11" ht="12" customHeight="1">
      <c r="B3" s="5007" t="s">
        <v>1688</v>
      </c>
      <c r="C3" s="3659"/>
      <c r="D3" s="3659"/>
      <c r="E3" s="3659"/>
      <c r="F3" s="3659"/>
      <c r="G3" s="3659"/>
      <c r="H3" s="3659"/>
      <c r="I3" s="3659"/>
      <c r="J3" s="1693"/>
      <c r="K3" s="621">
        <f>ROW()</f>
        <v>3</v>
      </c>
    </row>
    <row r="4" spans="2:11">
      <c r="B4" s="3659"/>
      <c r="C4" s="3659"/>
      <c r="D4" s="3659"/>
      <c r="E4" s="3659"/>
      <c r="F4" s="3659"/>
      <c r="G4" s="3659"/>
      <c r="H4" s="3659"/>
      <c r="I4" s="3659"/>
      <c r="J4" s="1693"/>
      <c r="K4" s="621">
        <f>ROW()</f>
        <v>4</v>
      </c>
    </row>
    <row r="5" spans="2:11">
      <c r="B5" s="3659"/>
      <c r="C5" s="3659"/>
      <c r="D5" s="3659"/>
      <c r="E5" s="3659"/>
      <c r="F5" s="3659"/>
      <c r="G5" s="3659"/>
      <c r="H5" s="3659"/>
      <c r="I5" s="3659"/>
      <c r="J5" s="1693"/>
      <c r="K5" s="621">
        <f>ROW()</f>
        <v>5</v>
      </c>
    </row>
    <row r="6" spans="2:11">
      <c r="B6" s="3659"/>
      <c r="C6" s="3659"/>
      <c r="D6" s="3659"/>
      <c r="E6" s="3659"/>
      <c r="F6" s="3659"/>
      <c r="G6" s="3659"/>
      <c r="H6" s="3659"/>
      <c r="I6" s="3659"/>
      <c r="J6" s="1693"/>
      <c r="K6" s="621">
        <f>ROW()</f>
        <v>6</v>
      </c>
    </row>
    <row r="7" spans="2:11">
      <c r="B7" s="3659"/>
      <c r="C7" s="3659"/>
      <c r="D7" s="3659"/>
      <c r="E7" s="3659"/>
      <c r="F7" s="3659"/>
      <c r="G7" s="3659"/>
      <c r="H7" s="3659"/>
      <c r="I7" s="3659"/>
      <c r="J7" s="1693"/>
      <c r="K7" s="621">
        <f>ROW()</f>
        <v>7</v>
      </c>
    </row>
    <row r="8" spans="2:11">
      <c r="K8" s="621">
        <f>ROW()</f>
        <v>8</v>
      </c>
    </row>
    <row r="9" spans="2:11" ht="11.7" customHeight="1">
      <c r="B9" s="3781" t="s">
        <v>961</v>
      </c>
      <c r="C9" s="3781"/>
      <c r="D9" s="3781"/>
      <c r="E9" s="3781"/>
      <c r="F9" s="3781"/>
      <c r="G9" s="3781"/>
      <c r="H9" s="3781"/>
      <c r="K9" s="621">
        <f>ROW()</f>
        <v>9</v>
      </c>
    </row>
    <row r="10" spans="2:11">
      <c r="B10" s="3781"/>
      <c r="C10" s="3781"/>
      <c r="D10" s="3781"/>
      <c r="E10" s="3781"/>
      <c r="F10" s="3781"/>
      <c r="G10" s="3781"/>
      <c r="H10" s="3781"/>
      <c r="K10" s="621">
        <f>ROW()</f>
        <v>10</v>
      </c>
    </row>
    <row r="11" spans="2:11">
      <c r="B11" s="3781"/>
      <c r="C11" s="3781"/>
      <c r="D11" s="3781"/>
      <c r="E11" s="3781"/>
      <c r="F11" s="3781"/>
      <c r="G11" s="3781"/>
      <c r="H11" s="3781"/>
      <c r="K11" s="621">
        <f>ROW()</f>
        <v>11</v>
      </c>
    </row>
    <row r="12" spans="2:11">
      <c r="K12" s="621">
        <f>ROW()</f>
        <v>12</v>
      </c>
    </row>
    <row r="13" spans="2:11">
      <c r="B13" t="s">
        <v>1037</v>
      </c>
      <c r="K13" s="621">
        <f>ROW()</f>
        <v>13</v>
      </c>
    </row>
    <row r="14" spans="2:11">
      <c r="B14" t="s">
        <v>1038</v>
      </c>
      <c r="K14" s="621">
        <f>ROW()</f>
        <v>14</v>
      </c>
    </row>
    <row r="15" spans="2:11">
      <c r="B15" t="s">
        <v>1609</v>
      </c>
      <c r="K15" s="621">
        <f>ROW()</f>
        <v>15</v>
      </c>
    </row>
    <row r="16" spans="2:11">
      <c r="K16" s="621">
        <f>ROW()</f>
        <v>16</v>
      </c>
    </row>
    <row r="17" spans="2:14" ht="13.2">
      <c r="B17" s="24" t="s">
        <v>2475</v>
      </c>
      <c r="K17" s="621">
        <f>ROW()</f>
        <v>17</v>
      </c>
    </row>
    <row r="18" spans="2:14">
      <c r="K18" s="621">
        <f>ROW()</f>
        <v>18</v>
      </c>
    </row>
    <row r="19" spans="2:14" ht="13.8" thickBot="1">
      <c r="B19" s="24" t="s">
        <v>781</v>
      </c>
      <c r="K19" s="621">
        <f>ROW()</f>
        <v>19</v>
      </c>
    </row>
    <row r="20" spans="2:14" ht="12" customHeight="1">
      <c r="D20" s="5006" t="s">
        <v>2761</v>
      </c>
      <c r="E20" s="5006" t="s">
        <v>2474</v>
      </c>
      <c r="F20" s="5006" t="s">
        <v>962</v>
      </c>
      <c r="G20" s="4232" t="s">
        <v>5625</v>
      </c>
      <c r="H20" s="5012" t="s">
        <v>5626</v>
      </c>
      <c r="K20" s="621">
        <f>ROW()</f>
        <v>20</v>
      </c>
    </row>
    <row r="21" spans="2:14" ht="12">
      <c r="B21" s="6" t="s">
        <v>2233</v>
      </c>
      <c r="D21" s="5006"/>
      <c r="E21" s="5006"/>
      <c r="F21" s="5006"/>
      <c r="G21" s="5006"/>
      <c r="H21" s="5013"/>
      <c r="K21" s="621">
        <f>ROW()</f>
        <v>21</v>
      </c>
    </row>
    <row r="22" spans="2:14" ht="12">
      <c r="B22" t="str">
        <f>Delays!D149</f>
        <v>Graveyard</v>
      </c>
      <c r="C22" s="3" t="str">
        <f>Delays!G60</f>
        <v>11 pm - 5 am</v>
      </c>
      <c r="D22" s="915">
        <f>Delays!E164</f>
        <v>1.9562611187889707</v>
      </c>
      <c r="E22" s="1350">
        <f t="shared" ref="E22:E29" ca="1" si="0">$E$31*$E$33+$E$32*$E$34</f>
        <v>34.527137047929187</v>
      </c>
      <c r="F22" s="1347">
        <f t="shared" ref="F22:F29" ca="1" si="1">ROUND(D22*E22,0)</f>
        <v>68</v>
      </c>
      <c r="G22" s="1353">
        <f>'Motor Vs'!P291</f>
        <v>2.7710734517037401</v>
      </c>
      <c r="H22" s="1346">
        <f t="shared" ref="H22:H29" ca="1" si="2">G22/F22</f>
        <v>4.0751080172113825E-2</v>
      </c>
      <c r="I22" s="5014" t="s">
        <v>155</v>
      </c>
      <c r="K22" s="621">
        <f>ROW()</f>
        <v>22</v>
      </c>
      <c r="N22" s="1122">
        <f ca="1">'Motor Vs'!G846</f>
        <v>54285.021769163592</v>
      </c>
    </row>
    <row r="23" spans="2:14" ht="12">
      <c r="B23" t="str">
        <f>Delays!D150</f>
        <v>A.M. Pre-pk</v>
      </c>
      <c r="C23" s="3" t="str">
        <f>Delays!H60</f>
        <v>5 am - 6 am</v>
      </c>
      <c r="D23" s="915">
        <f>Delays!F164</f>
        <v>2.4166108329070268</v>
      </c>
      <c r="E23" s="1350">
        <f t="shared" ca="1" si="0"/>
        <v>34.527137047929187</v>
      </c>
      <c r="F23" s="1347">
        <f t="shared" ca="1" si="1"/>
        <v>83</v>
      </c>
      <c r="G23" s="1353">
        <f>'Motor Vs'!Q291</f>
        <v>5.6732971689734546</v>
      </c>
      <c r="H23" s="1346">
        <f t="shared" ca="1" si="2"/>
        <v>6.8352977939439216E-2</v>
      </c>
      <c r="I23" s="5015"/>
      <c r="K23" s="621">
        <f>ROW()</f>
        <v>23</v>
      </c>
      <c r="N23" s="1122">
        <f ca="1">'Motor Vs'!H846</f>
        <v>17441.848159594691</v>
      </c>
    </row>
    <row r="24" spans="2:14" ht="12">
      <c r="B24" t="str">
        <f>Delays!D151</f>
        <v>A.M. Peak</v>
      </c>
      <c r="C24" s="3" t="str">
        <f>Delays!I60</f>
        <v>6 am - 9 am</v>
      </c>
      <c r="D24" s="915">
        <f>Delays!G164</f>
        <v>4.4643032198213044</v>
      </c>
      <c r="E24" s="1350">
        <f t="shared" ca="1" si="0"/>
        <v>34.527137047929187</v>
      </c>
      <c r="F24" s="1347">
        <f t="shared" ca="1" si="1"/>
        <v>154</v>
      </c>
      <c r="G24" s="1353">
        <f>'Motor Vs'!R291</f>
        <v>7.3881009949408369</v>
      </c>
      <c r="H24" s="1346">
        <f t="shared" ca="1" si="2"/>
        <v>4.7974681785330112E-2</v>
      </c>
      <c r="I24" s="5015"/>
      <c r="K24" s="621">
        <f>ROW()</f>
        <v>24</v>
      </c>
      <c r="N24" s="1122">
        <f ca="1">'Motor Vs'!I846</f>
        <v>115492.69744236495</v>
      </c>
    </row>
    <row r="25" spans="2:14" ht="12">
      <c r="B25" t="str">
        <f>Delays!D152</f>
        <v>A.M. Post-pk</v>
      </c>
      <c r="C25" s="3" t="str">
        <f>Delays!J60</f>
        <v>9 am - 10 am</v>
      </c>
      <c r="D25" s="915">
        <f>Delays!H164</f>
        <v>3.9252260308637053</v>
      </c>
      <c r="E25" s="1350">
        <f t="shared" ca="1" si="0"/>
        <v>34.527137047929187</v>
      </c>
      <c r="F25" s="1347">
        <f t="shared" ca="1" si="1"/>
        <v>136</v>
      </c>
      <c r="G25" s="1353">
        <f>'Motor Vs'!S291</f>
        <v>7.3881009949408369</v>
      </c>
      <c r="H25" s="1346">
        <f t="shared" ca="1" si="2"/>
        <v>5.43242720216238E-2</v>
      </c>
      <c r="I25" s="5015"/>
      <c r="K25" s="621">
        <f>ROW()</f>
        <v>25</v>
      </c>
      <c r="N25" s="1122">
        <f ca="1">'Motor Vs'!J846</f>
        <v>34090.048227208521</v>
      </c>
    </row>
    <row r="26" spans="2:14" ht="12">
      <c r="B26" t="str">
        <f>Delays!D153</f>
        <v>Midday Pk</v>
      </c>
      <c r="C26" s="3" t="str">
        <f>Delays!K60</f>
        <v>10 am - 2 pm</v>
      </c>
      <c r="D26" s="915">
        <f>Delays!I164</f>
        <v>3.4349999462079723</v>
      </c>
      <c r="E26" s="1350">
        <f t="shared" ca="1" si="0"/>
        <v>34.527137047929187</v>
      </c>
      <c r="F26" s="1347">
        <f t="shared" ca="1" si="1"/>
        <v>119</v>
      </c>
      <c r="G26" s="1353">
        <f>'Motor Vs'!T291</f>
        <v>5.6732971689734546</v>
      </c>
      <c r="H26" s="1346">
        <f t="shared" ca="1" si="2"/>
        <v>4.7674766125827349E-2</v>
      </c>
      <c r="I26" s="5015"/>
      <c r="K26" s="621">
        <f>ROW()</f>
        <v>26</v>
      </c>
      <c r="N26" s="1122">
        <f ca="1">'Motor Vs'!K846</f>
        <v>117362.64285728213</v>
      </c>
    </row>
    <row r="27" spans="2:14" ht="12">
      <c r="B27" t="str">
        <f>Delays!D154</f>
        <v>P.M. Peak</v>
      </c>
      <c r="C27" s="3" t="str">
        <f>Delays!L60</f>
        <v xml:space="preserve">2 pm - 8 pm </v>
      </c>
      <c r="D27" s="915">
        <f>Delays!J164</f>
        <v>4.8744763956242245</v>
      </c>
      <c r="E27" s="1350">
        <f t="shared" ca="1" si="0"/>
        <v>34.527137047929187</v>
      </c>
      <c r="F27" s="1347">
        <f t="shared" ca="1" si="1"/>
        <v>168</v>
      </c>
      <c r="G27" s="1353">
        <f>'Motor Vs'!U291</f>
        <v>7.4708750590906732</v>
      </c>
      <c r="H27" s="1346">
        <f t="shared" ca="1" si="2"/>
        <v>4.4469494399349246E-2</v>
      </c>
      <c r="I27" s="5015"/>
      <c r="K27" s="621">
        <f>ROW()</f>
        <v>27</v>
      </c>
      <c r="N27" s="1122">
        <f ca="1">'Motor Vs'!L846</f>
        <v>178307.21930326946</v>
      </c>
    </row>
    <row r="28" spans="2:14" ht="12">
      <c r="B28" t="str">
        <f>Delays!D155</f>
        <v>P.M. Post-pk</v>
      </c>
      <c r="C28" s="3" t="str">
        <f>Delays!M60</f>
        <v>8 pm - 11 pm</v>
      </c>
      <c r="D28" s="915">
        <f>Delays!K164</f>
        <v>3.2943526781856782</v>
      </c>
      <c r="E28" s="1350">
        <f t="shared" ca="1" si="0"/>
        <v>34.527137047929187</v>
      </c>
      <c r="F28" s="1347">
        <f t="shared" ca="1" si="1"/>
        <v>114</v>
      </c>
      <c r="G28" s="1353">
        <f>'Motor Vs'!V291</f>
        <v>5.6732971689734546</v>
      </c>
      <c r="H28" s="1346">
        <f t="shared" ca="1" si="2"/>
        <v>4.9765764640118025E-2</v>
      </c>
      <c r="I28" s="5015"/>
      <c r="K28" s="621">
        <f>ROW()</f>
        <v>28</v>
      </c>
      <c r="N28" s="1122">
        <f ca="1">'Motor Vs'!M846</f>
        <v>59799.755390526763</v>
      </c>
    </row>
    <row r="29" spans="2:14" ht="12">
      <c r="B29" s="86" t="str">
        <f>Delays!D156</f>
        <v>T O T A L</v>
      </c>
      <c r="C29" s="86"/>
      <c r="D29" s="915">
        <f>SUMPRODUCT('Motor Vs'!G122:M122,Delays!TotalResults)/Delays!N156</f>
        <v>3.9438021015941152</v>
      </c>
      <c r="E29" s="1350">
        <f t="shared" ca="1" si="0"/>
        <v>34.527137047929187</v>
      </c>
      <c r="F29" s="1347">
        <f t="shared" ca="1" si="1"/>
        <v>136</v>
      </c>
      <c r="G29" s="1353">
        <f ca="1">SUMPRODUCT(G22:G28,N22:N28/'Motor Vs'!N846)</f>
        <v>6.4005752640589231</v>
      </c>
      <c r="H29" s="1348">
        <f t="shared" ca="1" si="2"/>
        <v>4.7063053412197964E-2</v>
      </c>
      <c r="I29" s="5015"/>
      <c r="K29" s="621">
        <f>ROW()</f>
        <v>29</v>
      </c>
    </row>
    <row r="30" spans="2:14">
      <c r="D30" s="1349" t="s">
        <v>2724</v>
      </c>
      <c r="E30" s="1364" t="s">
        <v>2725</v>
      </c>
      <c r="F30" s="3" t="s">
        <v>497</v>
      </c>
      <c r="G30" s="1354" t="s">
        <v>498</v>
      </c>
      <c r="H30" s="3" t="s">
        <v>499</v>
      </c>
      <c r="I30" s="5015"/>
      <c r="K30" s="621">
        <f>ROW()</f>
        <v>30</v>
      </c>
    </row>
    <row r="31" spans="2:14" ht="11.7" customHeight="1">
      <c r="B31" t="s">
        <v>2722</v>
      </c>
      <c r="E31" s="1355">
        <f ca="1">'Value of Time'!M91</f>
        <v>41.450576392516979</v>
      </c>
      <c r="F31" s="5008" t="str">
        <f>CONCATENATE("Figs are from 'Value of Time' worksheet, Rows ",'Value of Time'!O91, " and ",'Value of Time'!O127, ".")</f>
        <v>Figs are from 'Value of Time' worksheet, Rows 91 and 127.</v>
      </c>
      <c r="G31" s="5009"/>
      <c r="I31" s="5015"/>
      <c r="K31" s="621">
        <f>ROW()</f>
        <v>31</v>
      </c>
    </row>
    <row r="32" spans="2:14" ht="12">
      <c r="B32" t="s">
        <v>2723</v>
      </c>
      <c r="E32" s="1356">
        <f>'Value of Time'!M127</f>
        <v>29.715524962837527</v>
      </c>
      <c r="F32" s="5010"/>
      <c r="G32" s="5011"/>
      <c r="I32" s="5015"/>
      <c r="K32" s="621">
        <f>ROW()</f>
        <v>32</v>
      </c>
    </row>
    <row r="33" spans="2:14" ht="11.7" customHeight="1">
      <c r="B33" t="s">
        <v>2235</v>
      </c>
      <c r="E33" s="1351">
        <f>Delays!F138</f>
        <v>0.41002053667378691</v>
      </c>
      <c r="F33" s="5008" t="s">
        <v>2169</v>
      </c>
      <c r="G33" s="5009"/>
      <c r="I33" s="5015"/>
      <c r="K33" s="621">
        <f>ROW()</f>
        <v>33</v>
      </c>
    </row>
    <row r="34" spans="2:14">
      <c r="B34" t="s">
        <v>2234</v>
      </c>
      <c r="E34" s="1352">
        <f>Delays!G138</f>
        <v>0.58997946332621309</v>
      </c>
      <c r="F34" s="5010"/>
      <c r="G34" s="5011"/>
      <c r="I34" s="5015"/>
      <c r="K34" s="621">
        <f>ROW()</f>
        <v>34</v>
      </c>
    </row>
    <row r="35" spans="2:14">
      <c r="I35" s="5015"/>
      <c r="J35" s="1345"/>
      <c r="K35" s="621">
        <f>ROW()</f>
        <v>35</v>
      </c>
      <c r="L35" s="1345"/>
    </row>
    <row r="36" spans="2:14" ht="13.2">
      <c r="B36" s="24" t="s">
        <v>1975</v>
      </c>
      <c r="I36" s="5015"/>
      <c r="K36" s="621">
        <f>ROW()</f>
        <v>36</v>
      </c>
    </row>
    <row r="37" spans="2:14" ht="13.2">
      <c r="B37" s="24"/>
      <c r="I37" s="5015"/>
      <c r="K37" s="621">
        <f>ROW()</f>
        <v>37</v>
      </c>
    </row>
    <row r="38" spans="2:14" ht="12">
      <c r="B38" s="6" t="s">
        <v>2233</v>
      </c>
      <c r="I38" s="5015"/>
      <c r="K38" s="621">
        <f>ROW()</f>
        <v>38</v>
      </c>
    </row>
    <row r="39" spans="2:14" ht="12">
      <c r="B39" t="str">
        <f>'Delays Weekends'!D149</f>
        <v>Graveyard</v>
      </c>
      <c r="C39" s="3" t="str">
        <f>'Delays Weekends'!G60</f>
        <v>Midnight-10 am</v>
      </c>
      <c r="D39" s="915">
        <f>'Delays Weekends'!E164</f>
        <v>1.5624116815264459</v>
      </c>
      <c r="E39" s="1350">
        <f t="shared" ref="E39:E45" ca="1" si="3">$E$47*$E$49+$E$48*$E$50</f>
        <v>20.026026922510926</v>
      </c>
      <c r="F39" s="1347">
        <f t="shared" ref="F39:F45" ca="1" si="4">ROUND(D39*E39,0)</f>
        <v>31</v>
      </c>
      <c r="G39" s="1353">
        <f>'Motor Vs Weekends'!P291</f>
        <v>4.3014541081995468</v>
      </c>
      <c r="H39" s="1346">
        <f t="shared" ref="H39:H45" ca="1" si="5">G39/F39</f>
        <v>0.13875658413546926</v>
      </c>
      <c r="I39" s="5015"/>
      <c r="K39" s="621">
        <f>ROW()</f>
        <v>39</v>
      </c>
      <c r="N39" s="1122">
        <f ca="1">'Motor Vs Weekends'!G846</f>
        <v>108801.91046435013</v>
      </c>
    </row>
    <row r="40" spans="2:14" ht="12">
      <c r="B40" t="str">
        <f>'Delays Weekends'!D150</f>
        <v>Early Shoulder</v>
      </c>
      <c r="C40" s="3" t="str">
        <f>'Delays Weekends'!H60</f>
        <v>10 am-Noon</v>
      </c>
      <c r="D40" s="915">
        <f>'Delays Weekends'!F164</f>
        <v>2.2707746690925767</v>
      </c>
      <c r="E40" s="1350">
        <f t="shared" ca="1" si="3"/>
        <v>20.026026922510926</v>
      </c>
      <c r="F40" s="1347">
        <f t="shared" ca="1" si="4"/>
        <v>45</v>
      </c>
      <c r="G40" s="1353">
        <f>'Motor Vs Weekends'!Q291</f>
        <v>4.3014541081995468</v>
      </c>
      <c r="H40" s="1346">
        <f t="shared" ca="1" si="5"/>
        <v>9.5587869071101034E-2</v>
      </c>
      <c r="I40" s="5015"/>
      <c r="K40" s="621">
        <f>ROW()</f>
        <v>40</v>
      </c>
      <c r="N40" s="1122">
        <f ca="1">'Motor Vs Weekends'!H846</f>
        <v>46462.87317630231</v>
      </c>
    </row>
    <row r="41" spans="2:14" ht="12">
      <c r="B41" t="str">
        <f>'Delays Weekends'!D151</f>
        <v>Shoulder 1</v>
      </c>
      <c r="C41" s="3" t="str">
        <f>'Delays Weekends'!I60</f>
        <v>Noon-5 pm</v>
      </c>
      <c r="D41" s="915">
        <f>'Delays Weekends'!G164</f>
        <v>2.9505600386761799</v>
      </c>
      <c r="E41" s="1350">
        <f t="shared" ca="1" si="3"/>
        <v>20.026026922510926</v>
      </c>
      <c r="F41" s="1347">
        <f t="shared" ca="1" si="4"/>
        <v>59</v>
      </c>
      <c r="G41" s="1353">
        <f>'Motor Vs Weekends'!R291</f>
        <v>4.3014541081995468</v>
      </c>
      <c r="H41" s="1346">
        <f t="shared" ca="1" si="5"/>
        <v>7.2906001833890621E-2</v>
      </c>
      <c r="I41" s="5015"/>
      <c r="K41" s="621">
        <f>ROW()</f>
        <v>41</v>
      </c>
      <c r="N41" s="1122">
        <f ca="1">'Motor Vs Weekends'!I846</f>
        <v>151119.16384475183</v>
      </c>
    </row>
    <row r="42" spans="2:14" ht="12">
      <c r="B42" t="str">
        <f>'Delays Weekends'!D152</f>
        <v>Peak</v>
      </c>
      <c r="C42" s="3" t="str">
        <f>'Delays Weekends'!J60</f>
        <v>5 pm-8 pm</v>
      </c>
      <c r="D42" s="915">
        <f>'Delays Weekends'!H164</f>
        <v>3.2864140269833402</v>
      </c>
      <c r="E42" s="1350">
        <f t="shared" ca="1" si="3"/>
        <v>20.026026922510926</v>
      </c>
      <c r="F42" s="1347">
        <f t="shared" ca="1" si="4"/>
        <v>66</v>
      </c>
      <c r="G42" s="1353">
        <f>'Motor Vs Weekends'!S291</f>
        <v>4.3014541081995468</v>
      </c>
      <c r="H42" s="1346">
        <f t="shared" ca="1" si="5"/>
        <v>6.5173547093932527E-2</v>
      </c>
      <c r="I42" s="5015"/>
      <c r="K42" s="621">
        <f>ROW()</f>
        <v>42</v>
      </c>
      <c r="N42" s="1122">
        <f ca="1">'Motor Vs Weekends'!J846</f>
        <v>99626.237723664861</v>
      </c>
    </row>
    <row r="43" spans="2:14" ht="12">
      <c r="B43" t="str">
        <f>'Delays Weekends'!D153</f>
        <v>Shoulder 2</v>
      </c>
      <c r="C43" s="3" t="str">
        <f>'Delays Weekends'!K60</f>
        <v>8 pm-10 pm</v>
      </c>
      <c r="D43" s="915">
        <f>'Delays Weekends'!I164</f>
        <v>2.6303528040463076</v>
      </c>
      <c r="E43" s="1350">
        <f t="shared" ca="1" si="3"/>
        <v>20.026026922510926</v>
      </c>
      <c r="F43" s="1347">
        <f t="shared" ca="1" si="4"/>
        <v>53</v>
      </c>
      <c r="G43" s="1353">
        <f>'Motor Vs Weekends'!T291</f>
        <v>4.3014541081995468</v>
      </c>
      <c r="H43" s="1346">
        <f t="shared" ca="1" si="5"/>
        <v>8.1159511475463145E-2</v>
      </c>
      <c r="I43" s="5015"/>
      <c r="K43" s="621">
        <f>ROW()</f>
        <v>43</v>
      </c>
      <c r="N43" s="1122">
        <f ca="1">'Motor Vs Weekends'!K846</f>
        <v>54812.833570448624</v>
      </c>
    </row>
    <row r="44" spans="2:14" ht="12">
      <c r="B44" t="str">
        <f>'Delays Weekends'!D154</f>
        <v>Late Shoulder</v>
      </c>
      <c r="C44" s="3" t="str">
        <f>'Delays Weekends'!L60</f>
        <v>10 pm-Midnight</v>
      </c>
      <c r="D44" s="915">
        <f>'Delays Weekends'!J164</f>
        <v>2.2275610533130319</v>
      </c>
      <c r="E44" s="1350">
        <f t="shared" ca="1" si="3"/>
        <v>20.026026922510926</v>
      </c>
      <c r="F44" s="1347">
        <f t="shared" ca="1" si="4"/>
        <v>45</v>
      </c>
      <c r="G44" s="1353">
        <f>'Motor Vs Weekends'!U291</f>
        <v>4.3014541081995468</v>
      </c>
      <c r="H44" s="1346">
        <f t="shared" ca="1" si="5"/>
        <v>9.5587869071101034E-2</v>
      </c>
      <c r="I44" s="5015"/>
      <c r="K44" s="621">
        <f>ROW()</f>
        <v>44</v>
      </c>
      <c r="N44" s="1122">
        <f ca="1">'Motor Vs Weekends'!L846</f>
        <v>36562.935076575261</v>
      </c>
    </row>
    <row r="45" spans="2:14" ht="12">
      <c r="B45" s="86" t="str">
        <f>'Delays Weekends'!D156</f>
        <v>T O T A L</v>
      </c>
      <c r="C45" s="86"/>
      <c r="D45" s="915">
        <f>SUMPRODUCT('Motor Vs Weekends'!G122:L122,'Delays Weekends'!E164:J164)/'Delays Weekends'!N156</f>
        <v>2.5247293416570256</v>
      </c>
      <c r="E45" s="1350">
        <f t="shared" ca="1" si="3"/>
        <v>20.026026922510926</v>
      </c>
      <c r="F45" s="1347">
        <f t="shared" ca="1" si="4"/>
        <v>51</v>
      </c>
      <c r="G45" s="1353">
        <f ca="1">SUMPRODUCT(G39:G44,N39:N44/'Motor Vs Weekends'!N846)</f>
        <v>4.3014541081995468</v>
      </c>
      <c r="H45" s="1348">
        <f t="shared" ca="1" si="5"/>
        <v>8.4342237415677382E-2</v>
      </c>
      <c r="I45" s="5016"/>
      <c r="K45" s="621">
        <f>ROW()</f>
        <v>45</v>
      </c>
      <c r="N45" s="1122"/>
    </row>
    <row r="46" spans="2:14">
      <c r="D46" s="1349" t="s">
        <v>2726</v>
      </c>
      <c r="E46" s="1364" t="s">
        <v>2725</v>
      </c>
      <c r="F46" s="3" t="s">
        <v>497</v>
      </c>
      <c r="G46" s="1354" t="s">
        <v>498</v>
      </c>
      <c r="H46" s="3" t="s">
        <v>499</v>
      </c>
      <c r="K46" s="621">
        <f>ROW()</f>
        <v>46</v>
      </c>
    </row>
    <row r="47" spans="2:14" ht="11.7" customHeight="1">
      <c r="B47" t="s">
        <v>2722</v>
      </c>
      <c r="E47" s="1355">
        <f ca="1">'Cost-Benefit'!$M$103*E31</f>
        <v>24.870345835510186</v>
      </c>
      <c r="F47" s="5008" t="str">
        <f>CONCATENATE("Figs apply wknd/wkday ratio from 'Cost-Benefit' tab, Row ",'Cost-Benefit'!O103, ", to Rows ",K31, " and ",K32, ".")</f>
        <v>Figs apply wknd/wkday ratio from 'Cost-Benefit' tab, Row 103, to Rows 31 and 32.</v>
      </c>
      <c r="G47" s="5009"/>
      <c r="K47" s="621">
        <f>ROW()</f>
        <v>47</v>
      </c>
    </row>
    <row r="48" spans="2:14" ht="12">
      <c r="B48" t="s">
        <v>2723</v>
      </c>
      <c r="E48" s="1356">
        <f>'Cost-Benefit'!$M$103*E32</f>
        <v>17.829314977702516</v>
      </c>
      <c r="F48" s="5010"/>
      <c r="G48" s="5011"/>
      <c r="K48" s="621">
        <f>ROW()</f>
        <v>48</v>
      </c>
    </row>
    <row r="49" spans="2:11" ht="11.7" customHeight="1">
      <c r="B49" t="s">
        <v>2235</v>
      </c>
      <c r="E49" s="1351">
        <f>'Delays Weekends'!F138</f>
        <v>0.31198726282707856</v>
      </c>
      <c r="F49" s="5008" t="s">
        <v>2170</v>
      </c>
      <c r="G49" s="5009"/>
      <c r="K49" s="621">
        <f>ROW()</f>
        <v>49</v>
      </c>
    </row>
    <row r="50" spans="2:11">
      <c r="B50" t="s">
        <v>2234</v>
      </c>
      <c r="E50" s="1352">
        <f>'Delays Weekends'!G138</f>
        <v>0.68801273717292133</v>
      </c>
      <c r="F50" s="5010"/>
      <c r="G50" s="5011"/>
      <c r="K50" s="621">
        <f>ROW()</f>
        <v>50</v>
      </c>
    </row>
    <row r="51" spans="2:11">
      <c r="K51" s="621">
        <f>ROW()</f>
        <v>51</v>
      </c>
    </row>
    <row r="52" spans="2:11">
      <c r="K52" s="621">
        <f>ROW()</f>
        <v>52</v>
      </c>
    </row>
    <row r="53" spans="2:11">
      <c r="K53" s="621">
        <f>ROW()</f>
        <v>53</v>
      </c>
    </row>
    <row r="54" spans="2:11" ht="13.2">
      <c r="B54" s="24" t="s">
        <v>1610</v>
      </c>
      <c r="K54" s="621">
        <f>ROW()</f>
        <v>54</v>
      </c>
    </row>
    <row r="55" spans="2:11">
      <c r="K55" s="621">
        <f>ROW()</f>
        <v>55</v>
      </c>
    </row>
    <row r="56" spans="2:11">
      <c r="B56" s="3780" t="s">
        <v>156</v>
      </c>
      <c r="C56" s="3781"/>
      <c r="D56" s="3781"/>
      <c r="E56" s="3781"/>
      <c r="F56" s="3781"/>
      <c r="G56" s="3781"/>
      <c r="K56" s="621">
        <f>ROW()</f>
        <v>56</v>
      </c>
    </row>
    <row r="57" spans="2:11">
      <c r="B57" s="3781"/>
      <c r="C57" s="3781"/>
      <c r="D57" s="3781"/>
      <c r="E57" s="3781"/>
      <c r="F57" s="3781"/>
      <c r="G57" s="3781"/>
      <c r="K57" s="621">
        <f>ROW()</f>
        <v>57</v>
      </c>
    </row>
    <row r="58" spans="2:11">
      <c r="K58" s="621">
        <f>ROW()</f>
        <v>58</v>
      </c>
    </row>
    <row r="59" spans="2:11" ht="12">
      <c r="B59" s="6" t="s">
        <v>2479</v>
      </c>
      <c r="K59" s="621">
        <f>ROW()</f>
        <v>59</v>
      </c>
    </row>
    <row r="60" spans="2:11">
      <c r="B60" t="s">
        <v>2476</v>
      </c>
      <c r="K60" s="621">
        <f>ROW()</f>
        <v>60</v>
      </c>
    </row>
    <row r="61" spans="2:11">
      <c r="B61" t="s">
        <v>2477</v>
      </c>
      <c r="K61" s="621">
        <f>ROW()</f>
        <v>61</v>
      </c>
    </row>
    <row r="62" spans="2:11">
      <c r="B62" t="s">
        <v>2478</v>
      </c>
      <c r="K62" s="621">
        <f>ROW()</f>
        <v>62</v>
      </c>
    </row>
    <row r="63" spans="2:11">
      <c r="B63" t="s">
        <v>1720</v>
      </c>
      <c r="K63" s="621">
        <f>ROW()</f>
        <v>63</v>
      </c>
    </row>
    <row r="64" spans="2:11">
      <c r="B64" t="s">
        <v>1218</v>
      </c>
      <c r="K64" s="621">
        <f>ROW()</f>
        <v>64</v>
      </c>
    </row>
    <row r="65" spans="2:11">
      <c r="K65" s="621">
        <f>ROW()</f>
        <v>65</v>
      </c>
    </row>
    <row r="66" spans="2:11">
      <c r="B66" t="s">
        <v>1489</v>
      </c>
      <c r="K66" s="621">
        <f>ROW()</f>
        <v>66</v>
      </c>
    </row>
    <row r="67" spans="2:11">
      <c r="B67" t="s">
        <v>1490</v>
      </c>
      <c r="E67" s="1357">
        <f>D29</f>
        <v>3.9438021015941152</v>
      </c>
      <c r="F67" s="7" t="s">
        <v>496</v>
      </c>
      <c r="K67" s="621">
        <f>ROW()</f>
        <v>67</v>
      </c>
    </row>
    <row r="68" spans="2:11">
      <c r="B68" t="s">
        <v>1491</v>
      </c>
      <c r="C68" t="s">
        <v>1492</v>
      </c>
      <c r="E68" s="1357">
        <f>E67</f>
        <v>3.9438021015941152</v>
      </c>
      <c r="K68" s="621">
        <f>ROW()</f>
        <v>68</v>
      </c>
    </row>
    <row r="69" spans="2:11">
      <c r="B69" t="s">
        <v>1494</v>
      </c>
      <c r="C69" t="s">
        <v>1493</v>
      </c>
      <c r="E69" s="1358" t="str">
        <f>TEXT(E68,"0.00")&amp;"/C"</f>
        <v>3.94/C</v>
      </c>
      <c r="K69" s="621">
        <f>ROW()</f>
        <v>69</v>
      </c>
    </row>
    <row r="70" spans="2:11">
      <c r="B70" t="s">
        <v>1496</v>
      </c>
      <c r="C70" t="s">
        <v>1495</v>
      </c>
      <c r="E70" s="123" t="str">
        <f>E69</f>
        <v>3.94/C</v>
      </c>
      <c r="K70" s="621">
        <f>ROW()</f>
        <v>70</v>
      </c>
    </row>
    <row r="71" spans="2:11">
      <c r="B71" t="s">
        <v>1498</v>
      </c>
      <c r="C71" t="s">
        <v>1497</v>
      </c>
      <c r="E71" s="123" t="str">
        <f>E70</f>
        <v>3.94/C</v>
      </c>
      <c r="K71" s="621">
        <f>ROW()</f>
        <v>71</v>
      </c>
    </row>
    <row r="72" spans="2:11">
      <c r="B72" t="s">
        <v>1499</v>
      </c>
      <c r="C72" t="str">
        <f>"C / "&amp;TEXT(E68,"0.00")&amp; " ="</f>
        <v>C / 3.94 =</v>
      </c>
      <c r="D72" s="1359" t="s">
        <v>1500</v>
      </c>
      <c r="K72" s="621">
        <f>ROW()</f>
        <v>72</v>
      </c>
    </row>
    <row r="73" spans="2:11">
      <c r="B73" t="s">
        <v>1501</v>
      </c>
      <c r="C73" t="s">
        <v>1502</v>
      </c>
      <c r="D73" t="str">
        <f>TEXT(E68,"0.00")&amp;" / (Tshare x F + 1 - Tshare)"</f>
        <v>3.94 / (Tshare x F + 1 - Tshare)</v>
      </c>
      <c r="K73" s="621">
        <f>ROW()</f>
        <v>73</v>
      </c>
    </row>
    <row r="74" spans="2:11">
      <c r="K74" s="621">
        <f>ROW()</f>
        <v>74</v>
      </c>
    </row>
    <row r="75" spans="2:11">
      <c r="B75" t="s">
        <v>1503</v>
      </c>
      <c r="K75" s="621">
        <f>ROW()</f>
        <v>75</v>
      </c>
    </row>
    <row r="76" spans="2:11">
      <c r="B76" t="s">
        <v>1504</v>
      </c>
      <c r="C76" s="12">
        <f>('Motor Vs'!M30+'Motor Vs'!N30)/'Motor Vs'!H27</f>
        <v>7.1698113207547168E-2</v>
      </c>
      <c r="K76" s="621">
        <f>ROW()</f>
        <v>76</v>
      </c>
    </row>
    <row r="77" spans="2:11">
      <c r="B77" t="s">
        <v>1505</v>
      </c>
      <c r="C77" s="22">
        <f>1-C76</f>
        <v>0.92830188679245285</v>
      </c>
      <c r="K77" s="621">
        <f>ROW()</f>
        <v>77</v>
      </c>
    </row>
    <row r="78" spans="2:11">
      <c r="B78" s="50" t="s">
        <v>1506</v>
      </c>
      <c r="C78" s="50">
        <v>2.5</v>
      </c>
      <c r="D78" s="265" t="s">
        <v>157</v>
      </c>
      <c r="K78" s="621">
        <f>ROW()</f>
        <v>78</v>
      </c>
    </row>
    <row r="79" spans="2:11">
      <c r="C79" s="118" t="s">
        <v>1507</v>
      </c>
      <c r="D79" s="118" t="s">
        <v>1502</v>
      </c>
      <c r="E79" s="1357" t="str">
        <f>TEXT(E68/(C76*C78+1-C76),"0.00")</f>
        <v>3.56</v>
      </c>
      <c r="F79" t="s">
        <v>2384</v>
      </c>
      <c r="K79" s="621">
        <f>ROW()</f>
        <v>79</v>
      </c>
    </row>
    <row r="80" spans="2:11">
      <c r="C80" s="118" t="s">
        <v>1154</v>
      </c>
      <c r="D80" s="118" t="s">
        <v>1155</v>
      </c>
      <c r="E80" s="1357">
        <f>E79*C78</f>
        <v>8.9</v>
      </c>
      <c r="F80" t="s">
        <v>2384</v>
      </c>
      <c r="K80" s="621">
        <f>ROW()</f>
        <v>80</v>
      </c>
    </row>
    <row r="81" spans="2:11" ht="12">
      <c r="C81" s="118" t="s">
        <v>1157</v>
      </c>
      <c r="D81" s="1342" t="str">
        <f>TEXT(E79,"0.00")&amp;", equals"</f>
        <v>3.56, equals</v>
      </c>
      <c r="E81" s="1360" t="str">
        <f>TEXT(E79/E68,"0%")&amp;" of the value of"</f>
        <v>90% of the value of</v>
      </c>
      <c r="F81" t="str">
        <f>TEXT(E68,"0.00")&amp;" for all vehicles"</f>
        <v>3.94 for all vehicles</v>
      </c>
      <c r="G81" t="s">
        <v>1156</v>
      </c>
      <c r="K81" s="621">
        <f>ROW()</f>
        <v>81</v>
      </c>
    </row>
    <row r="82" spans="2:11" s="6" customFormat="1" ht="12">
      <c r="B82" s="1361" t="s">
        <v>1158</v>
      </c>
      <c r="C82" s="51"/>
      <c r="D82" s="51"/>
      <c r="E82" s="1362">
        <f>E79/E68</f>
        <v>0.90268221079374666</v>
      </c>
      <c r="F82" s="51" t="s">
        <v>500</v>
      </c>
      <c r="G82" s="51"/>
      <c r="H82" s="1363" t="str">
        <f>CONCATENATE("(based on value of 'F' in Row ",K78, ").")</f>
        <v>(based on value of 'F' in Row 78).</v>
      </c>
      <c r="I82" s="51"/>
      <c r="K82" s="621">
        <f>ROW()</f>
        <v>82</v>
      </c>
    </row>
    <row r="83" spans="2:11" s="6" customFormat="1" ht="12">
      <c r="B83" s="1361" t="s">
        <v>1017</v>
      </c>
      <c r="C83" s="51"/>
      <c r="D83" s="51"/>
      <c r="E83" s="1362">
        <f>E80/E67</f>
        <v>2.2567055269843665</v>
      </c>
      <c r="F83" s="51" t="s">
        <v>1587</v>
      </c>
      <c r="G83" s="51"/>
      <c r="H83" s="1363" t="str">
        <f>CONCATENATE("(based on value of 'F' in Row ",K79, ").")</f>
        <v>(based on value of 'F' in Row 79).</v>
      </c>
      <c r="I83" s="51"/>
      <c r="K83" s="621">
        <f>ROW()</f>
        <v>83</v>
      </c>
    </row>
    <row r="84" spans="2:11">
      <c r="B84" t="s">
        <v>1159</v>
      </c>
      <c r="K84" s="621">
        <f>ROW()</f>
        <v>84</v>
      </c>
    </row>
    <row r="85" spans="2:11">
      <c r="K85" s="621">
        <f>ROW()</f>
        <v>85</v>
      </c>
    </row>
    <row r="86" spans="2:11" ht="13.8" thickBot="1">
      <c r="B86" s="24" t="s">
        <v>781</v>
      </c>
      <c r="K86" s="621">
        <f>ROW()</f>
        <v>86</v>
      </c>
    </row>
    <row r="87" spans="2:11" ht="11.4" customHeight="1">
      <c r="D87" s="5006" t="s">
        <v>2761</v>
      </c>
      <c r="E87" s="5006" t="s">
        <v>2474</v>
      </c>
      <c r="F87" s="5006" t="s">
        <v>962</v>
      </c>
      <c r="G87" s="4232" t="s">
        <v>5625</v>
      </c>
      <c r="H87" s="5012" t="s">
        <v>5626</v>
      </c>
      <c r="K87" s="621">
        <f>ROW()</f>
        <v>87</v>
      </c>
    </row>
    <row r="88" spans="2:11" ht="12">
      <c r="B88" s="6" t="s">
        <v>2233</v>
      </c>
      <c r="D88" s="5006"/>
      <c r="E88" s="5006"/>
      <c r="F88" s="5006"/>
      <c r="G88" s="5006"/>
      <c r="H88" s="5013"/>
      <c r="K88" s="621">
        <f>ROW()</f>
        <v>88</v>
      </c>
    </row>
    <row r="89" spans="2:11" ht="12">
      <c r="B89" t="str">
        <f t="shared" ref="B89:C95" si="6">B22</f>
        <v>Graveyard</v>
      </c>
      <c r="C89" s="3" t="str">
        <f t="shared" si="6"/>
        <v>11 pm - 5 am</v>
      </c>
      <c r="D89" s="915">
        <f t="shared" ref="D89:D96" si="7">$E$82*D22</f>
        <v>1.7658821115982763</v>
      </c>
      <c r="E89" s="1350">
        <f t="shared" ref="E89:E96" ca="1" si="8">$E$31*$E$33+$E$32*$E$34</f>
        <v>34.527137047929187</v>
      </c>
      <c r="F89" s="1347">
        <f t="shared" ref="F89:F96" ca="1" si="9">ROUND(D89*E89,0)</f>
        <v>61</v>
      </c>
      <c r="G89" s="1353">
        <f t="shared" ref="G89:G96" si="10">G22</f>
        <v>2.7710734517037401</v>
      </c>
      <c r="H89" s="1365">
        <f t="shared" ref="H89:H96" ca="1" si="11">G89/F89</f>
        <v>4.5427433634487542E-2</v>
      </c>
      <c r="K89" s="621">
        <f>ROW()</f>
        <v>89</v>
      </c>
    </row>
    <row r="90" spans="2:11" ht="12">
      <c r="B90" t="str">
        <f t="shared" si="6"/>
        <v>A.M. Pre-pk</v>
      </c>
      <c r="C90" s="3" t="str">
        <f t="shared" si="6"/>
        <v>5 am - 6 am</v>
      </c>
      <c r="D90" s="915">
        <f t="shared" si="7"/>
        <v>2.1814316092766326</v>
      </c>
      <c r="E90" s="1350">
        <f t="shared" ca="1" si="8"/>
        <v>34.527137047929187</v>
      </c>
      <c r="F90" s="1347">
        <f t="shared" ca="1" si="9"/>
        <v>75</v>
      </c>
      <c r="G90" s="1353">
        <f t="shared" si="10"/>
        <v>5.6732971689734546</v>
      </c>
      <c r="H90" s="1365">
        <f t="shared" ca="1" si="11"/>
        <v>7.5643962252979396E-2</v>
      </c>
      <c r="K90" s="621">
        <f>ROW()</f>
        <v>90</v>
      </c>
    </row>
    <row r="91" spans="2:11" ht="12">
      <c r="B91" t="str">
        <f t="shared" si="6"/>
        <v>A.M. Peak</v>
      </c>
      <c r="C91" s="3" t="str">
        <f t="shared" si="6"/>
        <v>6 am - 9 am</v>
      </c>
      <c r="D91" s="915">
        <f t="shared" si="7"/>
        <v>4.0298471001219367</v>
      </c>
      <c r="E91" s="1350">
        <f t="shared" ca="1" si="8"/>
        <v>34.527137047929187</v>
      </c>
      <c r="F91" s="1347">
        <f t="shared" ca="1" si="9"/>
        <v>139</v>
      </c>
      <c r="G91" s="1353">
        <f t="shared" si="10"/>
        <v>7.3881009949408369</v>
      </c>
      <c r="H91" s="1365">
        <f t="shared" ca="1" si="11"/>
        <v>5.3151805718998829E-2</v>
      </c>
      <c r="K91" s="621">
        <f>ROW()</f>
        <v>91</v>
      </c>
    </row>
    <row r="92" spans="2:11" ht="12">
      <c r="B92" t="str">
        <f t="shared" si="6"/>
        <v>A.M. Post-pk</v>
      </c>
      <c r="C92" s="3" t="str">
        <f t="shared" si="6"/>
        <v>9 am - 10 am</v>
      </c>
      <c r="D92" s="915">
        <f t="shared" si="7"/>
        <v>3.5432317114052125</v>
      </c>
      <c r="E92" s="1350">
        <f t="shared" ca="1" si="8"/>
        <v>34.527137047929187</v>
      </c>
      <c r="F92" s="1347">
        <f t="shared" ca="1" si="9"/>
        <v>122</v>
      </c>
      <c r="G92" s="1353">
        <f t="shared" si="10"/>
        <v>7.3881009949408369</v>
      </c>
      <c r="H92" s="1365">
        <f t="shared" ca="1" si="11"/>
        <v>6.0558204876564235E-2</v>
      </c>
      <c r="K92" s="621">
        <f>ROW()</f>
        <v>92</v>
      </c>
    </row>
    <row r="93" spans="2:11" ht="12">
      <c r="B93" t="str">
        <f t="shared" si="6"/>
        <v>Midday Pk</v>
      </c>
      <c r="C93" s="3" t="str">
        <f t="shared" si="6"/>
        <v>10 am - 2 pm</v>
      </c>
      <c r="D93" s="915">
        <f t="shared" si="7"/>
        <v>3.1007133455194134</v>
      </c>
      <c r="E93" s="1350">
        <f t="shared" ca="1" si="8"/>
        <v>34.527137047929187</v>
      </c>
      <c r="F93" s="1347">
        <f t="shared" ca="1" si="9"/>
        <v>107</v>
      </c>
      <c r="G93" s="1353">
        <f t="shared" si="10"/>
        <v>5.6732971689734546</v>
      </c>
      <c r="H93" s="1365">
        <f t="shared" ca="1" si="11"/>
        <v>5.3021468868910793E-2</v>
      </c>
      <c r="K93" s="621">
        <f>ROW()</f>
        <v>93</v>
      </c>
    </row>
    <row r="94" spans="2:11" ht="12">
      <c r="B94" t="str">
        <f t="shared" si="6"/>
        <v>P.M. Peak</v>
      </c>
      <c r="C94" s="3" t="str">
        <f t="shared" si="6"/>
        <v xml:space="preserve">2 pm - 8 pm </v>
      </c>
      <c r="D94" s="915">
        <f t="shared" si="7"/>
        <v>4.4001031292640089</v>
      </c>
      <c r="E94" s="1350">
        <f t="shared" ca="1" si="8"/>
        <v>34.527137047929187</v>
      </c>
      <c r="F94" s="1347">
        <f t="shared" ca="1" si="9"/>
        <v>152</v>
      </c>
      <c r="G94" s="1353">
        <f t="shared" si="10"/>
        <v>7.4708750590906732</v>
      </c>
      <c r="H94" s="1365">
        <f t="shared" ca="1" si="11"/>
        <v>4.9150493809807058E-2</v>
      </c>
      <c r="K94" s="621">
        <f>ROW()</f>
        <v>94</v>
      </c>
    </row>
    <row r="95" spans="2:11" ht="12">
      <c r="B95" t="str">
        <f t="shared" si="6"/>
        <v>P.M. Post-pk</v>
      </c>
      <c r="C95" s="3" t="str">
        <f t="shared" si="6"/>
        <v>8 pm - 11 pm</v>
      </c>
      <c r="D95" s="915">
        <f t="shared" si="7"/>
        <v>2.9737535586789483</v>
      </c>
      <c r="E95" s="1350">
        <f t="shared" ca="1" si="8"/>
        <v>34.527137047929187</v>
      </c>
      <c r="F95" s="1347">
        <f t="shared" ca="1" si="9"/>
        <v>103</v>
      </c>
      <c r="G95" s="1353">
        <f t="shared" si="10"/>
        <v>5.6732971689734546</v>
      </c>
      <c r="H95" s="1365">
        <f t="shared" ca="1" si="11"/>
        <v>5.5080555038577228E-2</v>
      </c>
      <c r="K95" s="621">
        <f>ROW()</f>
        <v>95</v>
      </c>
    </row>
    <row r="96" spans="2:11" ht="12">
      <c r="B96" t="str">
        <f>B29</f>
        <v>T O T A L</v>
      </c>
      <c r="C96" s="3"/>
      <c r="D96" s="915">
        <f t="shared" si="7"/>
        <v>3.56</v>
      </c>
      <c r="E96" s="1350">
        <f t="shared" ca="1" si="8"/>
        <v>34.527137047929187</v>
      </c>
      <c r="F96" s="1347">
        <f t="shared" ca="1" si="9"/>
        <v>123</v>
      </c>
      <c r="G96" s="1353">
        <f t="shared" ca="1" si="10"/>
        <v>6.4005752640589231</v>
      </c>
      <c r="H96" s="1366">
        <f t="shared" ca="1" si="11"/>
        <v>5.2037197268771734E-2</v>
      </c>
      <c r="K96" s="621">
        <f>ROW()</f>
        <v>96</v>
      </c>
    </row>
    <row r="97" spans="2:11">
      <c r="D97" s="1349" t="s">
        <v>2724</v>
      </c>
      <c r="E97" s="1364" t="s">
        <v>2725</v>
      </c>
      <c r="F97" s="3" t="s">
        <v>497</v>
      </c>
      <c r="G97" s="1354" t="s">
        <v>498</v>
      </c>
      <c r="H97" s="1367" t="s">
        <v>603</v>
      </c>
      <c r="K97" s="621">
        <f>ROW()</f>
        <v>97</v>
      </c>
    </row>
    <row r="98" spans="2:11" ht="13.2">
      <c r="B98" s="24" t="s">
        <v>1975</v>
      </c>
      <c r="D98" s="3"/>
      <c r="E98" s="3"/>
      <c r="F98" s="3"/>
      <c r="G98" s="3"/>
      <c r="H98" s="1367"/>
      <c r="K98" s="621">
        <f>ROW()</f>
        <v>98</v>
      </c>
    </row>
    <row r="99" spans="2:11">
      <c r="D99" s="3"/>
      <c r="E99" s="3"/>
      <c r="F99" s="3"/>
      <c r="G99" s="3"/>
      <c r="H99" s="1367"/>
      <c r="K99" s="621">
        <f>ROW()</f>
        <v>99</v>
      </c>
    </row>
    <row r="100" spans="2:11" ht="12">
      <c r="B100" s="6" t="s">
        <v>2233</v>
      </c>
      <c r="H100" s="1368"/>
      <c r="K100" s="621">
        <f>ROW()</f>
        <v>100</v>
      </c>
    </row>
    <row r="101" spans="2:11" ht="12">
      <c r="B101" t="str">
        <f t="shared" ref="B101:C106" si="12">B39</f>
        <v>Graveyard</v>
      </c>
      <c r="C101" s="3" t="str">
        <f t="shared" si="12"/>
        <v>Midnight-10 am</v>
      </c>
      <c r="D101" s="915">
        <f t="shared" ref="D101:D107" si="13">$E$82*D39</f>
        <v>1.4103612308502675</v>
      </c>
      <c r="E101" s="1350">
        <f t="shared" ref="E101:E107" ca="1" si="14">$E$47*$E$49+$E$48*$E$50</f>
        <v>20.026026922510926</v>
      </c>
      <c r="F101" s="1347">
        <f t="shared" ref="F101:F107" ca="1" si="15">ROUND(D101*E101,0)</f>
        <v>28</v>
      </c>
      <c r="G101" s="1353">
        <f t="shared" ref="G101:G107" si="16">G39</f>
        <v>4.3014541081995468</v>
      </c>
      <c r="H101" s="1365">
        <f t="shared" ref="H101:H107" ca="1" si="17">G101/F101</f>
        <v>0.15362336100712667</v>
      </c>
      <c r="K101" s="621">
        <f>ROW()</f>
        <v>101</v>
      </c>
    </row>
    <row r="102" spans="2:11" ht="12">
      <c r="B102" t="str">
        <f t="shared" si="12"/>
        <v>Early Shoulder</v>
      </c>
      <c r="C102" s="3" t="str">
        <f t="shared" si="12"/>
        <v>10 am-Noon</v>
      </c>
      <c r="D102" s="915">
        <f t="shared" si="13"/>
        <v>2.0497878985109259</v>
      </c>
      <c r="E102" s="1350">
        <f t="shared" ca="1" si="14"/>
        <v>20.026026922510926</v>
      </c>
      <c r="F102" s="1347">
        <f t="shared" ca="1" si="15"/>
        <v>41</v>
      </c>
      <c r="G102" s="1353">
        <f t="shared" si="16"/>
        <v>4.3014541081995468</v>
      </c>
      <c r="H102" s="1365">
        <f t="shared" ca="1" si="17"/>
        <v>0.10491351483413529</v>
      </c>
      <c r="K102" s="621">
        <f>ROW()</f>
        <v>102</v>
      </c>
    </row>
    <row r="103" spans="2:11" ht="12">
      <c r="B103" t="str">
        <f t="shared" si="12"/>
        <v>Shoulder 1</v>
      </c>
      <c r="C103" s="3" t="str">
        <f t="shared" si="12"/>
        <v>Noon-5 pm</v>
      </c>
      <c r="D103" s="915">
        <f t="shared" si="13"/>
        <v>2.6634180587918967</v>
      </c>
      <c r="E103" s="1350">
        <f t="shared" ca="1" si="14"/>
        <v>20.026026922510926</v>
      </c>
      <c r="F103" s="1347">
        <f t="shared" ca="1" si="15"/>
        <v>53</v>
      </c>
      <c r="G103" s="1353">
        <f t="shared" si="16"/>
        <v>4.3014541081995468</v>
      </c>
      <c r="H103" s="1365">
        <f t="shared" ca="1" si="17"/>
        <v>8.1159511475463145E-2</v>
      </c>
      <c r="K103" s="621">
        <f>ROW()</f>
        <v>103</v>
      </c>
    </row>
    <row r="104" spans="2:11" ht="12">
      <c r="B104" t="str">
        <f t="shared" si="12"/>
        <v>Peak</v>
      </c>
      <c r="C104" s="3" t="str">
        <f t="shared" si="12"/>
        <v>5 pm-8 pm</v>
      </c>
      <c r="D104" s="915">
        <f t="shared" si="13"/>
        <v>2.9665874794609013</v>
      </c>
      <c r="E104" s="1350">
        <f t="shared" ca="1" si="14"/>
        <v>20.026026922510926</v>
      </c>
      <c r="F104" s="1347">
        <f t="shared" ca="1" si="15"/>
        <v>59</v>
      </c>
      <c r="G104" s="1353">
        <f t="shared" si="16"/>
        <v>4.3014541081995468</v>
      </c>
      <c r="H104" s="1365">
        <f t="shared" ca="1" si="17"/>
        <v>7.2906001833890621E-2</v>
      </c>
      <c r="K104" s="621">
        <f>ROW()</f>
        <v>104</v>
      </c>
    </row>
    <row r="105" spans="2:11" ht="12">
      <c r="B105" t="str">
        <f t="shared" si="12"/>
        <v>Shoulder 2</v>
      </c>
      <c r="C105" s="3" t="str">
        <f t="shared" si="12"/>
        <v>8 pm-10 pm</v>
      </c>
      <c r="D105" s="915">
        <f t="shared" si="13"/>
        <v>2.3743726843240518</v>
      </c>
      <c r="E105" s="1350">
        <f t="shared" ca="1" si="14"/>
        <v>20.026026922510926</v>
      </c>
      <c r="F105" s="1347">
        <f t="shared" ca="1" si="15"/>
        <v>48</v>
      </c>
      <c r="G105" s="1353">
        <f t="shared" si="16"/>
        <v>4.3014541081995468</v>
      </c>
      <c r="H105" s="1365">
        <f t="shared" ca="1" si="17"/>
        <v>8.9613627254157224E-2</v>
      </c>
      <c r="K105" s="621">
        <f>ROW()</f>
        <v>105</v>
      </c>
    </row>
    <row r="106" spans="2:11" ht="12">
      <c r="B106" t="str">
        <f t="shared" si="12"/>
        <v>Late Shoulder</v>
      </c>
      <c r="C106" s="3" t="str">
        <f t="shared" si="12"/>
        <v>10 pm-Midnight</v>
      </c>
      <c r="D106" s="915">
        <f t="shared" si="13"/>
        <v>2.0107797362826547</v>
      </c>
      <c r="E106" s="1350">
        <f t="shared" ca="1" si="14"/>
        <v>20.026026922510926</v>
      </c>
      <c r="F106" s="1347">
        <f t="shared" ca="1" si="15"/>
        <v>40</v>
      </c>
      <c r="G106" s="1353">
        <f t="shared" si="16"/>
        <v>4.3014541081995468</v>
      </c>
      <c r="H106" s="1365">
        <f t="shared" ca="1" si="17"/>
        <v>0.10753635270498867</v>
      </c>
      <c r="K106" s="621">
        <f>ROW()</f>
        <v>106</v>
      </c>
    </row>
    <row r="107" spans="2:11" ht="12">
      <c r="B107" t="str">
        <f>B45</f>
        <v>T O T A L</v>
      </c>
      <c r="D107" s="915">
        <f t="shared" si="13"/>
        <v>2.2790282637828043</v>
      </c>
      <c r="E107" s="1350">
        <f t="shared" ca="1" si="14"/>
        <v>20.026026922510926</v>
      </c>
      <c r="F107" s="1347">
        <f t="shared" ca="1" si="15"/>
        <v>46</v>
      </c>
      <c r="G107" s="1353">
        <f t="shared" ca="1" si="16"/>
        <v>4.3014541081995468</v>
      </c>
      <c r="H107" s="1366">
        <f t="shared" ca="1" si="17"/>
        <v>9.3509871917381457E-2</v>
      </c>
      <c r="K107" s="621">
        <f>ROW()</f>
        <v>107</v>
      </c>
    </row>
    <row r="108" spans="2:11" ht="12" thickBot="1">
      <c r="D108" s="1349" t="s">
        <v>2724</v>
      </c>
      <c r="E108" s="1364" t="s">
        <v>2725</v>
      </c>
      <c r="F108" s="3" t="s">
        <v>497</v>
      </c>
      <c r="G108" s="1354" t="s">
        <v>498</v>
      </c>
      <c r="H108" s="1369" t="s">
        <v>603</v>
      </c>
      <c r="K108" s="621">
        <f>ROW()</f>
        <v>108</v>
      </c>
    </row>
    <row r="109" spans="2:11">
      <c r="K109" s="621">
        <f>ROW()</f>
        <v>109</v>
      </c>
    </row>
    <row r="110" spans="2:11">
      <c r="K110" s="621">
        <f>ROW()</f>
        <v>110</v>
      </c>
    </row>
    <row r="111" spans="2:11">
      <c r="K111" s="621">
        <f>ROW()</f>
        <v>111</v>
      </c>
    </row>
    <row r="112" spans="2:11">
      <c r="K112" s="621">
        <f>ROW()</f>
        <v>112</v>
      </c>
    </row>
    <row r="113" spans="11:11">
      <c r="K113" s="621">
        <f>ROW()</f>
        <v>113</v>
      </c>
    </row>
    <row r="114" spans="11:11">
      <c r="K114" s="621">
        <f>ROW()</f>
        <v>114</v>
      </c>
    </row>
    <row r="115" spans="11:11">
      <c r="K115" s="621">
        <f>ROW()</f>
        <v>115</v>
      </c>
    </row>
    <row r="116" spans="11:11">
      <c r="K116" s="621">
        <f>ROW()</f>
        <v>116</v>
      </c>
    </row>
    <row r="117" spans="11:11">
      <c r="K117" s="621">
        <f>ROW()</f>
        <v>117</v>
      </c>
    </row>
    <row r="118" spans="11:11">
      <c r="K118" s="621">
        <f>ROW()</f>
        <v>118</v>
      </c>
    </row>
    <row r="119" spans="11:11">
      <c r="K119" s="621">
        <f>ROW()</f>
        <v>119</v>
      </c>
    </row>
    <row r="120" spans="11:11">
      <c r="K120" s="621">
        <f>ROW()</f>
        <v>120</v>
      </c>
    </row>
    <row r="121" spans="11:11">
      <c r="K121" s="621">
        <f>ROW()</f>
        <v>121</v>
      </c>
    </row>
    <row r="122" spans="11:11">
      <c r="K122" s="621">
        <f>ROW()</f>
        <v>122</v>
      </c>
    </row>
    <row r="123" spans="11:11">
      <c r="K123" s="621">
        <f>ROW()</f>
        <v>123</v>
      </c>
    </row>
    <row r="124" spans="11:11">
      <c r="K124" s="621">
        <f>ROW()</f>
        <v>124</v>
      </c>
    </row>
    <row r="125" spans="11:11">
      <c r="K125" s="621">
        <f>ROW()</f>
        <v>125</v>
      </c>
    </row>
    <row r="126" spans="11:11">
      <c r="K126" s="621">
        <f>ROW()</f>
        <v>126</v>
      </c>
    </row>
    <row r="127" spans="11:11">
      <c r="K127" s="621">
        <f>ROW()</f>
        <v>127</v>
      </c>
    </row>
    <row r="128" spans="11:11">
      <c r="K128" s="621">
        <f>ROW()</f>
        <v>128</v>
      </c>
    </row>
    <row r="129" spans="2:11">
      <c r="K129" s="621">
        <f>ROW()</f>
        <v>129</v>
      </c>
    </row>
    <row r="130" spans="2:11">
      <c r="K130" s="621">
        <f>ROW()</f>
        <v>130</v>
      </c>
    </row>
    <row r="131" spans="2:11">
      <c r="K131" s="621">
        <f>ROW()</f>
        <v>131</v>
      </c>
    </row>
    <row r="132" spans="2:11">
      <c r="K132" s="621">
        <f>ROW()</f>
        <v>132</v>
      </c>
    </row>
    <row r="133" spans="2:11">
      <c r="K133" s="621">
        <f>ROW()</f>
        <v>133</v>
      </c>
    </row>
    <row r="134" spans="2:11">
      <c r="K134" s="621">
        <f>ROW()</f>
        <v>134</v>
      </c>
    </row>
    <row r="135" spans="2:11">
      <c r="K135" s="621">
        <f>ROW()</f>
        <v>135</v>
      </c>
    </row>
    <row r="136" spans="2:11">
      <c r="K136" s="621">
        <f>ROW()</f>
        <v>136</v>
      </c>
    </row>
    <row r="137" spans="2:11">
      <c r="K137" s="621">
        <f>ROW()</f>
        <v>137</v>
      </c>
    </row>
    <row r="138" spans="2:11">
      <c r="K138" s="621">
        <f>ROW()</f>
        <v>138</v>
      </c>
    </row>
    <row r="139" spans="2:11">
      <c r="K139" s="621">
        <f>ROW()</f>
        <v>139</v>
      </c>
    </row>
    <row r="140" spans="2:11">
      <c r="K140" s="621">
        <f>ROW()</f>
        <v>140</v>
      </c>
    </row>
    <row r="141" spans="2:11">
      <c r="K141" s="621">
        <f>ROW()</f>
        <v>141</v>
      </c>
    </row>
    <row r="142" spans="2:11">
      <c r="B142" s="3779" t="s">
        <v>2605</v>
      </c>
      <c r="K142" s="621">
        <f>ROW()</f>
        <v>142</v>
      </c>
    </row>
    <row r="143" spans="2:11">
      <c r="B143" s="3779"/>
      <c r="K143" s="621">
        <f>ROW()</f>
        <v>143</v>
      </c>
    </row>
    <row r="144" spans="2:11">
      <c r="B144" s="3779"/>
      <c r="K144" s="621">
        <f>ROW()</f>
        <v>144</v>
      </c>
    </row>
    <row r="145" spans="2:11">
      <c r="B145" s="3779"/>
      <c r="K145" s="621">
        <f>ROW()</f>
        <v>145</v>
      </c>
    </row>
    <row r="146" spans="2:11">
      <c r="B146" s="3779"/>
      <c r="K146" s="621">
        <f>ROW()</f>
        <v>146</v>
      </c>
    </row>
    <row r="147" spans="2:11">
      <c r="B147" s="3779"/>
      <c r="K147" s="621">
        <f>ROW()</f>
        <v>147</v>
      </c>
    </row>
    <row r="148" spans="2:11">
      <c r="B148" s="3779"/>
      <c r="K148" s="621">
        <f>ROW()</f>
        <v>148</v>
      </c>
    </row>
    <row r="149" spans="2:11">
      <c r="B149" s="3779"/>
      <c r="K149" s="621">
        <f>ROW()</f>
        <v>149</v>
      </c>
    </row>
    <row r="150" spans="2:11">
      <c r="B150" s="3779"/>
      <c r="K150" s="621">
        <f>ROW()</f>
        <v>150</v>
      </c>
    </row>
    <row r="151" spans="2:11">
      <c r="B151" s="3779"/>
      <c r="K151" s="621">
        <f>ROW()</f>
        <v>151</v>
      </c>
    </row>
    <row r="152" spans="2:11">
      <c r="B152" s="128">
        <f t="shared" ref="B152:B158" ca="1" si="18">F89-G89</f>
        <v>58.228926548296258</v>
      </c>
      <c r="K152" s="621">
        <f>ROW()</f>
        <v>152</v>
      </c>
    </row>
    <row r="153" spans="2:11">
      <c r="B153" s="128">
        <f t="shared" ca="1" si="18"/>
        <v>69.326702831026552</v>
      </c>
      <c r="K153" s="621">
        <f>ROW()</f>
        <v>153</v>
      </c>
    </row>
    <row r="154" spans="2:11">
      <c r="B154" s="128">
        <f t="shared" ca="1" si="18"/>
        <v>131.61189900505917</v>
      </c>
      <c r="K154" s="621">
        <f>ROW()</f>
        <v>154</v>
      </c>
    </row>
    <row r="155" spans="2:11">
      <c r="B155" s="128">
        <f t="shared" ca="1" si="18"/>
        <v>114.61189900505916</v>
      </c>
      <c r="K155" s="621">
        <f>ROW()</f>
        <v>155</v>
      </c>
    </row>
    <row r="156" spans="2:11">
      <c r="B156" s="128">
        <f t="shared" ca="1" si="18"/>
        <v>101.32670283102655</v>
      </c>
      <c r="K156" s="621">
        <f>ROW()</f>
        <v>156</v>
      </c>
    </row>
    <row r="157" spans="2:11">
      <c r="B157" s="128">
        <f t="shared" ca="1" si="18"/>
        <v>144.52912494090933</v>
      </c>
      <c r="K157" s="621">
        <f>ROW()</f>
        <v>157</v>
      </c>
    </row>
    <row r="158" spans="2:11">
      <c r="B158" s="128">
        <f t="shared" ca="1" si="18"/>
        <v>97.326702831026552</v>
      </c>
      <c r="K158" s="621">
        <f>ROW()</f>
        <v>158</v>
      </c>
    </row>
    <row r="159" spans="2:11">
      <c r="K159" s="621">
        <f>ROW()</f>
        <v>159</v>
      </c>
    </row>
    <row r="160" spans="2:11">
      <c r="K160" s="621">
        <f>ROW()</f>
        <v>160</v>
      </c>
    </row>
    <row r="161" spans="11:11">
      <c r="K161" s="621">
        <f>ROW()</f>
        <v>161</v>
      </c>
    </row>
    <row r="162" spans="11:11">
      <c r="K162" s="621">
        <f>ROW()</f>
        <v>162</v>
      </c>
    </row>
    <row r="163" spans="11:11">
      <c r="K163" s="621">
        <f>ROW()</f>
        <v>163</v>
      </c>
    </row>
    <row r="164" spans="11:11">
      <c r="K164" s="621">
        <f>ROW()</f>
        <v>164</v>
      </c>
    </row>
    <row r="165" spans="11:11">
      <c r="K165" s="621">
        <f>ROW()</f>
        <v>165</v>
      </c>
    </row>
  </sheetData>
  <mergeCells count="19">
    <mergeCell ref="I22:I45"/>
    <mergeCell ref="B56:G57"/>
    <mergeCell ref="D87:D88"/>
    <mergeCell ref="E87:E88"/>
    <mergeCell ref="F87:F88"/>
    <mergeCell ref="G87:G88"/>
    <mergeCell ref="B3:I7"/>
    <mergeCell ref="B142:B151"/>
    <mergeCell ref="B9:H11"/>
    <mergeCell ref="F47:G48"/>
    <mergeCell ref="F49:G50"/>
    <mergeCell ref="D20:D21"/>
    <mergeCell ref="E20:E21"/>
    <mergeCell ref="F20:F21"/>
    <mergeCell ref="G20:G21"/>
    <mergeCell ref="H20:H21"/>
    <mergeCell ref="F31:G32"/>
    <mergeCell ref="F33:G34"/>
    <mergeCell ref="H87:H88"/>
  </mergeCells>
  <phoneticPr fontId="6" type="noConversion"/>
  <pageMargins left="0.75" right="0.75" top="1" bottom="1"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sheetPr codeName="Sheet28"/>
  <dimension ref="B1:X224"/>
  <sheetViews>
    <sheetView showRuler="0" workbookViewId="0"/>
  </sheetViews>
  <sheetFormatPr defaultRowHeight="11.4"/>
  <cols>
    <col min="1" max="1" width="2.375" customWidth="1"/>
    <col min="6" max="7" width="10.75" customWidth="1"/>
    <col min="8" max="9" width="11" bestFit="1" customWidth="1"/>
    <col min="11" max="11" width="10.125" bestFit="1" customWidth="1"/>
    <col min="12" max="12" width="2.375" customWidth="1"/>
    <col min="13" max="13" width="13.625" bestFit="1" customWidth="1"/>
    <col min="14" max="32" width="6.625" customWidth="1"/>
  </cols>
  <sheetData>
    <row r="1" spans="2:12" ht="13.8">
      <c r="B1" s="115" t="s">
        <v>2071</v>
      </c>
      <c r="K1" s="181">
        <f>'Title Page'!K1</f>
        <v>40914</v>
      </c>
      <c r="L1" s="117">
        <f>ROW()</f>
        <v>1</v>
      </c>
    </row>
    <row r="2" spans="2:12" ht="13.8">
      <c r="B2" s="115"/>
      <c r="G2" s="786"/>
      <c r="L2" s="117">
        <f>ROW()</f>
        <v>2</v>
      </c>
    </row>
    <row r="3" spans="2:12" ht="13.8">
      <c r="B3" s="115"/>
      <c r="G3" s="786"/>
      <c r="L3" s="117">
        <f>ROW()</f>
        <v>3</v>
      </c>
    </row>
    <row r="4" spans="2:12" ht="12">
      <c r="B4" s="6" t="s">
        <v>2640</v>
      </c>
      <c r="G4" s="786"/>
      <c r="L4" s="117">
        <f>ROW()</f>
        <v>4</v>
      </c>
    </row>
    <row r="5" spans="2:12">
      <c r="L5" s="117">
        <f>ROW()</f>
        <v>5</v>
      </c>
    </row>
    <row r="6" spans="2:12">
      <c r="B6" s="3779" t="s">
        <v>889</v>
      </c>
      <c r="C6" s="3779"/>
      <c r="D6" s="3779"/>
      <c r="E6" s="3779"/>
      <c r="F6" s="3779"/>
      <c r="G6" s="3779"/>
      <c r="H6" s="3779"/>
      <c r="I6" s="3779"/>
      <c r="J6" s="3779"/>
      <c r="K6" s="3779"/>
      <c r="L6" s="117">
        <f>ROW()</f>
        <v>6</v>
      </c>
    </row>
    <row r="7" spans="2:12">
      <c r="B7" s="3779"/>
      <c r="C7" s="3779"/>
      <c r="D7" s="3779"/>
      <c r="E7" s="3779"/>
      <c r="F7" s="3779"/>
      <c r="G7" s="3779"/>
      <c r="H7" s="3779"/>
      <c r="I7" s="3779"/>
      <c r="J7" s="3779"/>
      <c r="K7" s="3779"/>
      <c r="L7" s="117">
        <f>ROW()</f>
        <v>7</v>
      </c>
    </row>
    <row r="8" spans="2:12">
      <c r="B8" s="3779"/>
      <c r="C8" s="3779"/>
      <c r="D8" s="3779"/>
      <c r="E8" s="3779"/>
      <c r="F8" s="3779"/>
      <c r="G8" s="3779"/>
      <c r="H8" s="3779"/>
      <c r="I8" s="3779"/>
      <c r="J8" s="3779"/>
      <c r="K8" s="3779"/>
      <c r="L8" s="117">
        <f>ROW()</f>
        <v>8</v>
      </c>
    </row>
    <row r="9" spans="2:12">
      <c r="B9" s="3779"/>
      <c r="C9" s="3779"/>
      <c r="D9" s="3779"/>
      <c r="E9" s="3779"/>
      <c r="F9" s="3779"/>
      <c r="G9" s="3779"/>
      <c r="H9" s="3779"/>
      <c r="I9" s="3779"/>
      <c r="J9" s="3779"/>
      <c r="K9" s="3779"/>
      <c r="L9" s="117">
        <f>ROW()</f>
        <v>9</v>
      </c>
    </row>
    <row r="10" spans="2:12">
      <c r="L10" s="117">
        <f>ROW()</f>
        <v>10</v>
      </c>
    </row>
    <row r="11" spans="2:12" ht="11.7" customHeight="1">
      <c r="B11" s="3787" t="s">
        <v>5279</v>
      </c>
      <c r="C11" s="3779"/>
      <c r="D11" s="3779"/>
      <c r="E11" s="3779"/>
      <c r="F11" s="3779"/>
      <c r="G11" s="3779"/>
      <c r="H11" s="3779"/>
      <c r="I11" s="3779"/>
      <c r="J11" s="3779"/>
      <c r="K11" s="3779"/>
      <c r="L11" s="117">
        <f>ROW()</f>
        <v>11</v>
      </c>
    </row>
    <row r="12" spans="2:12">
      <c r="B12" s="3779"/>
      <c r="C12" s="3779"/>
      <c r="D12" s="3779"/>
      <c r="E12" s="3779"/>
      <c r="F12" s="3779"/>
      <c r="G12" s="3779"/>
      <c r="H12" s="3779"/>
      <c r="I12" s="3779"/>
      <c r="J12" s="3779"/>
      <c r="K12" s="3779"/>
      <c r="L12" s="117">
        <f>ROW()</f>
        <v>12</v>
      </c>
    </row>
    <row r="13" spans="2:12">
      <c r="B13" s="3779"/>
      <c r="C13" s="3779"/>
      <c r="D13" s="3779"/>
      <c r="E13" s="3779"/>
      <c r="F13" s="3779"/>
      <c r="G13" s="3779"/>
      <c r="H13" s="3779"/>
      <c r="I13" s="3779"/>
      <c r="J13" s="3779"/>
      <c r="K13" s="3779"/>
      <c r="L13" s="117">
        <f>ROW()</f>
        <v>13</v>
      </c>
    </row>
    <row r="14" spans="2:12">
      <c r="B14" s="3779"/>
      <c r="C14" s="3779"/>
      <c r="D14" s="3779"/>
      <c r="E14" s="3779"/>
      <c r="F14" s="3779"/>
      <c r="G14" s="3779"/>
      <c r="H14" s="3779"/>
      <c r="I14" s="3779"/>
      <c r="J14" s="3779"/>
      <c r="K14" s="3779"/>
      <c r="L14" s="117">
        <f>ROW()</f>
        <v>14</v>
      </c>
    </row>
    <row r="15" spans="2:12">
      <c r="L15" s="117">
        <f>ROW()</f>
        <v>15</v>
      </c>
    </row>
    <row r="16" spans="2:12">
      <c r="B16" s="3781" t="s">
        <v>2261</v>
      </c>
      <c r="C16" s="3781"/>
      <c r="D16" s="3781"/>
      <c r="E16" s="3781"/>
      <c r="F16" s="3781"/>
      <c r="G16" s="3781"/>
      <c r="H16" s="3781"/>
      <c r="I16" s="3781"/>
      <c r="J16" s="3781"/>
      <c r="K16" s="3781"/>
      <c r="L16" s="117">
        <f>ROW()</f>
        <v>16</v>
      </c>
    </row>
    <row r="17" spans="2:12">
      <c r="B17" s="3781"/>
      <c r="C17" s="3781"/>
      <c r="D17" s="3781"/>
      <c r="E17" s="3781"/>
      <c r="F17" s="3781"/>
      <c r="G17" s="3781"/>
      <c r="H17" s="3781"/>
      <c r="I17" s="3781"/>
      <c r="J17" s="3781"/>
      <c r="K17" s="3781"/>
      <c r="L17" s="117">
        <f>ROW()</f>
        <v>17</v>
      </c>
    </row>
    <row r="18" spans="2:12">
      <c r="B18" s="3781"/>
      <c r="C18" s="3781"/>
      <c r="D18" s="3781"/>
      <c r="E18" s="3781"/>
      <c r="F18" s="3781"/>
      <c r="G18" s="3781"/>
      <c r="H18" s="3781"/>
      <c r="I18" s="3781"/>
      <c r="J18" s="3781"/>
      <c r="K18" s="3781"/>
      <c r="L18" s="117">
        <f>ROW()</f>
        <v>18</v>
      </c>
    </row>
    <row r="19" spans="2:12">
      <c r="B19" s="3781"/>
      <c r="C19" s="3781"/>
      <c r="D19" s="3781"/>
      <c r="E19" s="3781"/>
      <c r="F19" s="3781"/>
      <c r="G19" s="3781"/>
      <c r="H19" s="3781"/>
      <c r="I19" s="3781"/>
      <c r="J19" s="3781"/>
      <c r="K19" s="3781"/>
      <c r="L19" s="117">
        <f>ROW()</f>
        <v>19</v>
      </c>
    </row>
    <row r="20" spans="2:12">
      <c r="B20" s="3781"/>
      <c r="C20" s="3781"/>
      <c r="D20" s="3781"/>
      <c r="E20" s="3781"/>
      <c r="F20" s="3781"/>
      <c r="G20" s="3781"/>
      <c r="H20" s="3781"/>
      <c r="I20" s="3781"/>
      <c r="J20" s="3781"/>
      <c r="K20" s="3781"/>
      <c r="L20" s="117">
        <f>ROW()</f>
        <v>20</v>
      </c>
    </row>
    <row r="21" spans="2:12">
      <c r="L21" s="117">
        <f>ROW()</f>
        <v>21</v>
      </c>
    </row>
    <row r="22" spans="2:12">
      <c r="B22" t="s">
        <v>1636</v>
      </c>
      <c r="L22" s="117">
        <f>ROW()</f>
        <v>22</v>
      </c>
    </row>
    <row r="23" spans="2:12">
      <c r="L23" s="117">
        <f>ROW()</f>
        <v>23</v>
      </c>
    </row>
    <row r="24" spans="2:12" ht="16.8">
      <c r="B24" s="788" t="s">
        <v>1705</v>
      </c>
      <c r="L24" s="117">
        <f>ROW()</f>
        <v>24</v>
      </c>
    </row>
    <row r="25" spans="2:12">
      <c r="L25" s="117">
        <f>ROW()</f>
        <v>25</v>
      </c>
    </row>
    <row r="26" spans="2:12">
      <c r="B26" s="3781" t="s">
        <v>3701</v>
      </c>
      <c r="C26" s="3781"/>
      <c r="D26" s="3781"/>
      <c r="E26" s="3781"/>
      <c r="F26" s="3781"/>
      <c r="G26" s="3781"/>
      <c r="H26" s="3781"/>
      <c r="I26" s="3781"/>
      <c r="J26" s="3781"/>
      <c r="K26" s="3781"/>
      <c r="L26" s="117">
        <f>ROW()</f>
        <v>26</v>
      </c>
    </row>
    <row r="27" spans="2:12">
      <c r="B27" s="3781"/>
      <c r="C27" s="3781"/>
      <c r="D27" s="3781"/>
      <c r="E27" s="3781"/>
      <c r="F27" s="3781"/>
      <c r="G27" s="3781"/>
      <c r="H27" s="3781"/>
      <c r="I27" s="3781"/>
      <c r="J27" s="3781"/>
      <c r="K27" s="3781"/>
      <c r="L27" s="117">
        <f>ROW()</f>
        <v>27</v>
      </c>
    </row>
    <row r="28" spans="2:12">
      <c r="L28" s="117">
        <f>ROW()</f>
        <v>28</v>
      </c>
    </row>
    <row r="29" spans="2:12">
      <c r="B29" t="s">
        <v>2715</v>
      </c>
      <c r="L29" s="117">
        <f>ROW()</f>
        <v>29</v>
      </c>
    </row>
    <row r="30" spans="2:12">
      <c r="L30" s="117">
        <f>ROW()</f>
        <v>30</v>
      </c>
    </row>
    <row r="31" spans="2:12" ht="16.8">
      <c r="B31" s="788" t="s">
        <v>2806</v>
      </c>
      <c r="L31" s="117">
        <f>ROW()</f>
        <v>31</v>
      </c>
    </row>
    <row r="32" spans="2:12">
      <c r="L32" s="117">
        <f>ROW()</f>
        <v>32</v>
      </c>
    </row>
    <row r="33" spans="2:12">
      <c r="B33" s="1" t="s">
        <v>5280</v>
      </c>
      <c r="L33" s="117">
        <f>ROW()</f>
        <v>33</v>
      </c>
    </row>
    <row r="34" spans="2:12">
      <c r="L34" s="117">
        <f>ROW()</f>
        <v>34</v>
      </c>
    </row>
    <row r="35" spans="2:12" ht="16.8">
      <c r="B35" s="788" t="s">
        <v>1704</v>
      </c>
      <c r="L35" s="117">
        <f>ROW()</f>
        <v>35</v>
      </c>
    </row>
    <row r="36" spans="2:12" ht="13.2">
      <c r="B36" s="788"/>
      <c r="L36" s="117">
        <f>ROW()</f>
        <v>36</v>
      </c>
    </row>
    <row r="37" spans="2:12">
      <c r="B37" s="5017" t="s">
        <v>5281</v>
      </c>
      <c r="C37" s="3781"/>
      <c r="D37" s="3781"/>
      <c r="E37" s="3781"/>
      <c r="F37" s="3781"/>
      <c r="G37" s="3781"/>
      <c r="H37" s="3781"/>
      <c r="I37" s="3781"/>
      <c r="J37" s="3781"/>
      <c r="K37" s="3781"/>
      <c r="L37" s="117">
        <f>ROW()</f>
        <v>37</v>
      </c>
    </row>
    <row r="38" spans="2:12">
      <c r="B38" s="3781"/>
      <c r="C38" s="3781"/>
      <c r="D38" s="3781"/>
      <c r="E38" s="3781"/>
      <c r="F38" s="3781"/>
      <c r="G38" s="3781"/>
      <c r="H38" s="3781"/>
      <c r="I38" s="3781"/>
      <c r="J38" s="3781"/>
      <c r="K38" s="3781"/>
      <c r="L38" s="117">
        <f>ROW()</f>
        <v>38</v>
      </c>
    </row>
    <row r="39" spans="2:12">
      <c r="B39" s="45"/>
      <c r="C39" s="45"/>
      <c r="D39" s="45"/>
      <c r="E39" s="45"/>
      <c r="F39" s="45"/>
      <c r="G39" s="45"/>
      <c r="H39" s="45"/>
      <c r="I39" s="45"/>
      <c r="J39" s="45"/>
      <c r="K39" s="45"/>
      <c r="L39" s="117">
        <f>ROW()</f>
        <v>39</v>
      </c>
    </row>
    <row r="40" spans="2:12" ht="11.7" customHeight="1">
      <c r="B40" s="5017" t="str">
        <f>CONCATENATE("Once we estimated V_sub_k, we could calculate the traffic speed S associated with any vehicle volume V. And we did so (estimated V_sub_k), taking advantage of (i) the estimate in PlaNYC that the average ") &amp; CONCATENATE("weekday 6 a.m. 6 p.m. traffic speed in the CBD was 8 mph, and (ii) our estimates in the Motor Vs worksheet of CBD traffic volumes during those hours. The estimated value of V_sub_k was ",K63, ".")</f>
        <v>Once we estimated V_sub_k, we could calculate the traffic speed S associated with any vehicle volume V. And we did so (estimated V_sub_k), taking advantage of (i) the estimate in PlaNYC that the average weekday 6 a.m. 6 p.m. traffic speed in the CBD was 8 mph, and (ii) our estimates in the Motor Vs worksheet of CBD traffic volumes during those hours. The estimated value of V_sub_k was 83263.9057518586.</v>
      </c>
      <c r="C40" s="3781"/>
      <c r="D40" s="3781"/>
      <c r="E40" s="3781"/>
      <c r="F40" s="3781"/>
      <c r="G40" s="3781"/>
      <c r="H40" s="3781"/>
      <c r="I40" s="3781"/>
      <c r="J40" s="3781"/>
      <c r="K40" s="3781"/>
      <c r="L40" s="117">
        <f>ROW()</f>
        <v>40</v>
      </c>
    </row>
    <row r="41" spans="2:12">
      <c r="B41" s="3781"/>
      <c r="C41" s="3781"/>
      <c r="D41" s="3781"/>
      <c r="E41" s="3781"/>
      <c r="F41" s="3781"/>
      <c r="G41" s="3781"/>
      <c r="H41" s="3781"/>
      <c r="I41" s="3781"/>
      <c r="J41" s="3781"/>
      <c r="K41" s="3781"/>
      <c r="L41" s="117">
        <f>ROW()</f>
        <v>41</v>
      </c>
    </row>
    <row r="42" spans="2:12">
      <c r="B42" s="3781"/>
      <c r="C42" s="3781"/>
      <c r="D42" s="3781"/>
      <c r="E42" s="3781"/>
      <c r="F42" s="3781"/>
      <c r="G42" s="3781"/>
      <c r="H42" s="3781"/>
      <c r="I42" s="3781"/>
      <c r="J42" s="3781"/>
      <c r="K42" s="3781"/>
      <c r="L42" s="117">
        <f>ROW()</f>
        <v>42</v>
      </c>
    </row>
    <row r="43" spans="2:12">
      <c r="B43" s="3781"/>
      <c r="C43" s="3781"/>
      <c r="D43" s="3781"/>
      <c r="E43" s="3781"/>
      <c r="F43" s="3781"/>
      <c r="G43" s="3781"/>
      <c r="H43" s="3781"/>
      <c r="I43" s="3781"/>
      <c r="J43" s="3781"/>
      <c r="K43" s="3781"/>
      <c r="L43" s="117">
        <f>ROW()</f>
        <v>43</v>
      </c>
    </row>
    <row r="44" spans="2:12">
      <c r="L44" s="117">
        <f>ROW()</f>
        <v>44</v>
      </c>
    </row>
    <row r="45" spans="2:12" ht="12">
      <c r="B45" s="3137" t="s">
        <v>5283</v>
      </c>
      <c r="C45" s="3138"/>
      <c r="D45" s="3138"/>
      <c r="E45" s="3138"/>
      <c r="F45" s="3138"/>
      <c r="G45" s="3138"/>
      <c r="H45" s="3138"/>
      <c r="I45" s="3138"/>
      <c r="J45" s="3138"/>
      <c r="K45" s="3138"/>
      <c r="L45" s="117">
        <f>ROW()</f>
        <v>45</v>
      </c>
    </row>
    <row r="46" spans="2:12">
      <c r="B46" s="3138"/>
      <c r="C46" s="3138"/>
      <c r="D46" s="3138"/>
      <c r="E46" s="3138"/>
      <c r="F46" s="3138"/>
      <c r="G46" s="3138"/>
      <c r="H46" s="3138"/>
      <c r="I46" s="3138"/>
      <c r="J46" s="3138"/>
      <c r="K46" s="3138"/>
      <c r="L46" s="117">
        <f>ROW()</f>
        <v>46</v>
      </c>
    </row>
    <row r="47" spans="2:12">
      <c r="B47" s="3139" t="s">
        <v>5282</v>
      </c>
      <c r="C47" s="3138"/>
      <c r="D47" s="3138"/>
      <c r="E47" s="3138"/>
      <c r="F47" s="3138"/>
      <c r="G47" s="3138"/>
      <c r="H47" s="3138"/>
      <c r="I47" s="3138"/>
      <c r="J47" s="3138"/>
      <c r="K47" s="3138"/>
      <c r="L47" s="117">
        <f>ROW()</f>
        <v>47</v>
      </c>
    </row>
    <row r="48" spans="2:12">
      <c r="B48" s="3138"/>
      <c r="C48" s="3138"/>
      <c r="D48" s="3138"/>
      <c r="E48" s="3138"/>
      <c r="F48" s="3138"/>
      <c r="G48" s="3138"/>
      <c r="H48" s="3138"/>
      <c r="I48" s="3138"/>
      <c r="J48" s="3138"/>
      <c r="K48" s="3138"/>
      <c r="L48" s="117">
        <f>ROW()</f>
        <v>48</v>
      </c>
    </row>
    <row r="49" spans="2:24">
      <c r="B49" s="3138" t="s">
        <v>543</v>
      </c>
      <c r="C49" s="3138"/>
      <c r="D49" s="3138"/>
      <c r="E49" s="3138"/>
      <c r="F49" s="3138"/>
      <c r="G49" s="3138"/>
      <c r="H49" s="3138"/>
      <c r="I49" s="3138"/>
      <c r="J49" s="3138"/>
      <c r="K49" s="3140">
        <v>8</v>
      </c>
      <c r="L49" s="117">
        <f>ROW()</f>
        <v>49</v>
      </c>
    </row>
    <row r="50" spans="2:24">
      <c r="B50" s="5023" t="s">
        <v>3356</v>
      </c>
      <c r="C50" s="5024"/>
      <c r="D50" s="5024"/>
      <c r="E50" s="5024"/>
      <c r="F50" s="5024"/>
      <c r="G50" s="5024"/>
      <c r="H50" s="5024"/>
      <c r="I50" s="5024"/>
      <c r="J50" s="5024"/>
      <c r="K50" s="5024"/>
      <c r="L50" s="117">
        <f>ROW()</f>
        <v>50</v>
      </c>
    </row>
    <row r="51" spans="2:24">
      <c r="B51" s="5024"/>
      <c r="C51" s="5024"/>
      <c r="D51" s="5024"/>
      <c r="E51" s="5024"/>
      <c r="F51" s="5024"/>
      <c r="G51" s="5024"/>
      <c r="H51" s="5024"/>
      <c r="I51" s="5024"/>
      <c r="J51" s="5024"/>
      <c r="K51" s="5024"/>
      <c r="L51" s="117">
        <f>ROW()</f>
        <v>51</v>
      </c>
    </row>
    <row r="52" spans="2:24">
      <c r="B52" s="5024"/>
      <c r="C52" s="5024"/>
      <c r="D52" s="5024"/>
      <c r="E52" s="5024"/>
      <c r="F52" s="5024"/>
      <c r="G52" s="5024"/>
      <c r="H52" s="5024"/>
      <c r="I52" s="5024"/>
      <c r="J52" s="5024"/>
      <c r="K52" s="5024"/>
      <c r="L52" s="117">
        <f>ROW()</f>
        <v>52</v>
      </c>
    </row>
    <row r="53" spans="2:24">
      <c r="B53" s="5024"/>
      <c r="C53" s="5024"/>
      <c r="D53" s="5024"/>
      <c r="E53" s="5024"/>
      <c r="F53" s="5024"/>
      <c r="G53" s="5024"/>
      <c r="H53" s="5024"/>
      <c r="I53" s="5024"/>
      <c r="J53" s="5024"/>
      <c r="K53" s="5024"/>
      <c r="L53" s="117">
        <f>ROW()</f>
        <v>53</v>
      </c>
    </row>
    <row r="54" spans="2:24">
      <c r="B54" s="3138"/>
      <c r="C54" s="3138"/>
      <c r="D54" s="3138"/>
      <c r="E54" s="3138"/>
      <c r="F54" s="3138"/>
      <c r="G54" s="3138"/>
      <c r="H54" s="3138"/>
      <c r="I54" s="3138"/>
      <c r="J54" s="3138"/>
      <c r="K54" s="3138"/>
      <c r="L54" s="117">
        <f>ROW()</f>
        <v>54</v>
      </c>
    </row>
    <row r="55" spans="2:24">
      <c r="B55" s="3138" t="s">
        <v>209</v>
      </c>
      <c r="C55" s="3138"/>
      <c r="D55" s="3138"/>
      <c r="E55" s="3138"/>
      <c r="F55" s="3138"/>
      <c r="G55" s="3138"/>
      <c r="H55" s="3138"/>
      <c r="I55" s="3138"/>
      <c r="J55" s="3138"/>
      <c r="K55" s="3138"/>
      <c r="L55" s="117">
        <f>ROW()</f>
        <v>55</v>
      </c>
    </row>
    <row r="56" spans="2:24">
      <c r="B56" s="3138"/>
      <c r="C56" s="3138"/>
      <c r="D56" s="3138"/>
      <c r="E56" s="3138"/>
      <c r="F56" s="3141" t="s">
        <v>210</v>
      </c>
      <c r="G56" s="3141" t="s">
        <v>211</v>
      </c>
      <c r="H56" s="3141" t="s">
        <v>212</v>
      </c>
      <c r="I56" s="3141" t="s">
        <v>2095</v>
      </c>
      <c r="J56" s="3138"/>
      <c r="K56" s="3138"/>
      <c r="L56" s="117">
        <f>ROW()</f>
        <v>56</v>
      </c>
      <c r="S56" s="86"/>
      <c r="T56" s="86"/>
      <c r="U56" s="86"/>
      <c r="V56" s="86"/>
      <c r="W56" s="86"/>
      <c r="X56" s="86"/>
    </row>
    <row r="57" spans="2:24">
      <c r="B57" s="3138" t="s">
        <v>213</v>
      </c>
      <c r="C57" s="3138"/>
      <c r="D57" s="3138"/>
      <c r="E57" s="3138"/>
      <c r="F57" s="3142">
        <f>'Motor Vs'!I149</f>
        <v>176582.16272114028</v>
      </c>
      <c r="G57" s="3142">
        <f>'Motor Vs'!J149</f>
        <v>171660.21926752295</v>
      </c>
      <c r="H57" s="3142">
        <f>'Motor Vs'!K149</f>
        <v>154591.44714293882</v>
      </c>
      <c r="I57" s="3142">
        <f>'Motor Vs'!L149</f>
        <v>185223.71205129349</v>
      </c>
      <c r="J57" s="3138"/>
      <c r="K57" s="3138"/>
      <c r="L57" s="117">
        <f>ROW()</f>
        <v>57</v>
      </c>
      <c r="M57" s="86"/>
      <c r="N57" s="86"/>
      <c r="O57" s="86"/>
      <c r="P57" s="86"/>
      <c r="Q57" s="86"/>
      <c r="R57" s="86"/>
      <c r="S57" s="86"/>
      <c r="T57" s="86"/>
      <c r="U57" s="86"/>
      <c r="V57" s="86"/>
      <c r="W57" s="86"/>
      <c r="X57" s="86"/>
    </row>
    <row r="58" spans="2:24">
      <c r="B58" s="3143" t="str">
        <f>CONCATENATE("From Motor Vs worksheet, Row ",'Motor Vs'!O149, ". Note that figures are total VMT rather than merely entries into cordon.")</f>
        <v>From Motor Vs worksheet, Row 149. Note that figures are total VMT rather than merely entries into cordon.</v>
      </c>
      <c r="C58" s="3138"/>
      <c r="D58" s="3138"/>
      <c r="E58" s="3138"/>
      <c r="F58" s="3138"/>
      <c r="G58" s="3138"/>
      <c r="H58" s="3138"/>
      <c r="I58" s="3138"/>
      <c r="J58" s="3138"/>
      <c r="K58" s="3138"/>
      <c r="L58" s="117">
        <f>ROW()</f>
        <v>58</v>
      </c>
      <c r="S58" s="86"/>
      <c r="T58" s="86"/>
      <c r="U58" s="86"/>
      <c r="V58" s="86"/>
      <c r="W58" s="86"/>
    </row>
    <row r="59" spans="2:24">
      <c r="B59" s="3138" t="s">
        <v>554</v>
      </c>
      <c r="C59" s="3138"/>
      <c r="D59" s="3138"/>
      <c r="E59" s="3138"/>
      <c r="F59" s="3138">
        <f>'Motor Vs'!I118</f>
        <v>3</v>
      </c>
      <c r="G59" s="3138">
        <f>'Motor Vs'!J118</f>
        <v>1</v>
      </c>
      <c r="H59" s="3138">
        <f>'Motor Vs'!K118</f>
        <v>4</v>
      </c>
      <c r="I59" s="3138">
        <v>4</v>
      </c>
      <c r="J59" s="3138"/>
      <c r="K59" s="3138"/>
      <c r="L59" s="117">
        <f>ROW()</f>
        <v>59</v>
      </c>
    </row>
    <row r="60" spans="2:24">
      <c r="B60" s="3143" t="str">
        <f>CONCATENATE("From Motor Vs worksheet, Row ",'Motor Vs'!O118, " except that 2-8 p.m. value has been changed to 4 (hours) to match PlaNYC datum.")</f>
        <v>From Motor Vs worksheet, Row 118 except that 2-8 p.m. value has been changed to 4 (hours) to match PlaNYC datum.</v>
      </c>
      <c r="C60" s="3138"/>
      <c r="D60" s="3138"/>
      <c r="E60" s="3138"/>
      <c r="F60" s="3138"/>
      <c r="G60" s="3138"/>
      <c r="H60" s="3138"/>
      <c r="I60" s="3138"/>
      <c r="J60" s="3138"/>
      <c r="K60" s="3138"/>
      <c r="L60" s="117">
        <f>ROW()</f>
        <v>60</v>
      </c>
    </row>
    <row r="61" spans="2:24">
      <c r="B61" s="3138" t="s">
        <v>2670</v>
      </c>
      <c r="C61" s="3138"/>
      <c r="D61" s="3138"/>
      <c r="E61" s="3138"/>
      <c r="F61" s="3142">
        <f>F57*F59</f>
        <v>529746.48816342081</v>
      </c>
      <c r="G61" s="3142">
        <f>G57*G59</f>
        <v>171660.21926752295</v>
      </c>
      <c r="H61" s="3142">
        <f>H57*H59</f>
        <v>618365.78857175529</v>
      </c>
      <c r="I61" s="3142">
        <f>I57*I59</f>
        <v>740894.84820517397</v>
      </c>
      <c r="J61" s="3142"/>
      <c r="K61" s="3142">
        <f>SUM(F61:I61)</f>
        <v>2060667.3442078731</v>
      </c>
      <c r="L61" s="117">
        <f>ROW()</f>
        <v>61</v>
      </c>
    </row>
    <row r="62" spans="2:24" ht="12" thickBot="1">
      <c r="B62" s="3138"/>
      <c r="C62" s="3138"/>
      <c r="D62" s="3138"/>
      <c r="E62" s="3138"/>
      <c r="F62" s="3144"/>
      <c r="G62" s="3144"/>
      <c r="H62" s="3144"/>
      <c r="I62" s="3144"/>
      <c r="J62" s="3138"/>
      <c r="K62" s="3138"/>
      <c r="L62" s="117">
        <f>ROW()</f>
        <v>62</v>
      </c>
    </row>
    <row r="63" spans="2:24" ht="12.6" thickBot="1">
      <c r="B63" s="3145" t="s">
        <v>3698</v>
      </c>
      <c r="C63" s="3146"/>
      <c r="D63" s="3146"/>
      <c r="E63" s="3146"/>
      <c r="F63" s="3146"/>
      <c r="G63" s="3146"/>
      <c r="H63" s="3146"/>
      <c r="I63" s="3146"/>
      <c r="J63" s="3146"/>
      <c r="K63" s="3147">
        <f>M63</f>
        <v>83263.905751858605</v>
      </c>
      <c r="L63" s="117">
        <f>ROW()</f>
        <v>63</v>
      </c>
      <c r="M63" s="1122">
        <f>POWER(SUMPRODUCT(F61:I61,F67:I67), 1/4.08)</f>
        <v>83263.905751858605</v>
      </c>
    </row>
    <row r="64" spans="2:24" ht="12">
      <c r="B64" s="3148"/>
      <c r="C64" s="3149"/>
      <c r="D64" s="3149"/>
      <c r="E64" s="3149"/>
      <c r="F64" s="3149"/>
      <c r="G64" s="3149"/>
      <c r="H64" s="3149"/>
      <c r="I64" s="3149"/>
      <c r="J64" s="3149"/>
      <c r="K64" s="3150"/>
      <c r="L64" s="117">
        <f>ROW()</f>
        <v>64</v>
      </c>
    </row>
    <row r="65" spans="2:12">
      <c r="B65" s="3138" t="s">
        <v>2532</v>
      </c>
      <c r="C65" s="3138"/>
      <c r="D65" s="3138"/>
      <c r="E65" s="3138"/>
      <c r="F65" s="3151">
        <f>24.2/(1+0.1*(F57/$K$63)^4.08)</f>
        <v>7.6868754193360367</v>
      </c>
      <c r="G65" s="3151">
        <f>24.2/(1+0.1*(G57/$K$63)^4.08)</f>
        <v>8.3041500500971832</v>
      </c>
      <c r="H65" s="3151">
        <f>24.2/(1+0.1*(H57/$K$63)^4.08)</f>
        <v>10.762393814670224</v>
      </c>
      <c r="I65" s="3151">
        <f>24.2/(1+0.1*(I57/$K$63)^4.08)</f>
        <v>6.7025086653916253</v>
      </c>
      <c r="J65" s="3138"/>
      <c r="K65" s="3152"/>
      <c r="L65" s="117">
        <f>ROW()</f>
        <v>65</v>
      </c>
    </row>
    <row r="66" spans="2:12" ht="12">
      <c r="B66" s="3138" t="s">
        <v>2669</v>
      </c>
      <c r="C66" s="3138"/>
      <c r="D66" s="3138"/>
      <c r="E66" s="3138"/>
      <c r="F66" s="3151">
        <f>1/F65</f>
        <v>0.13009187029160624</v>
      </c>
      <c r="G66" s="3151">
        <f>1/G65</f>
        <v>0.12042171612593838</v>
      </c>
      <c r="H66" s="3151">
        <f>1/H65</f>
        <v>9.2916131598613269E-2</v>
      </c>
      <c r="I66" s="3151">
        <f>1/I65</f>
        <v>0.14919786753331565</v>
      </c>
      <c r="J66" s="3138"/>
      <c r="K66" s="3153">
        <f>K61/SUMPRODUCT(F61:I61,F66:I66)</f>
        <v>7.9999999999999822</v>
      </c>
      <c r="L66" s="117">
        <f>ROW()</f>
        <v>66</v>
      </c>
    </row>
    <row r="67" spans="2:12" ht="12">
      <c r="B67" s="3138" t="s">
        <v>3699</v>
      </c>
      <c r="C67" s="3138"/>
      <c r="D67" s="3138"/>
      <c r="E67" s="3138"/>
      <c r="F67" s="3154">
        <f>F57^4.08/$J$67</f>
        <v>61250573105108.664</v>
      </c>
      <c r="G67" s="3154">
        <f>G57^4.08/$J$67</f>
        <v>54578212560159.242</v>
      </c>
      <c r="H67" s="3154">
        <f>H57^4.08/$J$67</f>
        <v>35599489592383.633</v>
      </c>
      <c r="I67" s="3154">
        <f>I57^4.08/$J$67</f>
        <v>74433620653625.984</v>
      </c>
      <c r="J67" s="3155">
        <f>10*(24.2/K49-1)*K61</f>
        <v>41728513.720209427</v>
      </c>
      <c r="K67" s="3156"/>
      <c r="L67" s="117">
        <f>ROW()</f>
        <v>67</v>
      </c>
    </row>
    <row r="68" spans="2:12">
      <c r="B68" s="5023" t="s">
        <v>3700</v>
      </c>
      <c r="C68" s="5024"/>
      <c r="D68" s="5024"/>
      <c r="E68" s="5024"/>
      <c r="F68" s="5024"/>
      <c r="G68" s="5024"/>
      <c r="H68" s="5024"/>
      <c r="I68" s="5024"/>
      <c r="J68" s="5024"/>
      <c r="K68" s="5024"/>
      <c r="L68" s="117">
        <f>ROW()</f>
        <v>68</v>
      </c>
    </row>
    <row r="69" spans="2:12">
      <c r="B69" s="5024"/>
      <c r="C69" s="5024"/>
      <c r="D69" s="5024"/>
      <c r="E69" s="5024"/>
      <c r="F69" s="5024"/>
      <c r="G69" s="5024"/>
      <c r="H69" s="5024"/>
      <c r="I69" s="5024"/>
      <c r="J69" s="5024"/>
      <c r="K69" s="5024"/>
      <c r="L69" s="117">
        <f>ROW()</f>
        <v>69</v>
      </c>
    </row>
    <row r="70" spans="2:12">
      <c r="B70" s="3010"/>
      <c r="C70" s="3010"/>
      <c r="D70" s="3010"/>
      <c r="E70" s="3010"/>
      <c r="F70" s="3010"/>
      <c r="G70" s="3010"/>
      <c r="H70" s="3010"/>
      <c r="I70" s="3010"/>
      <c r="J70" s="3010"/>
      <c r="K70" s="3010"/>
      <c r="L70" s="117">
        <f>ROW()</f>
        <v>70</v>
      </c>
    </row>
    <row r="71" spans="2:12" ht="12">
      <c r="B71" s="2" t="s">
        <v>5284</v>
      </c>
      <c r="C71" s="3010"/>
      <c r="D71" s="3010"/>
      <c r="E71" s="3010"/>
      <c r="F71" s="3010"/>
      <c r="G71" s="3010"/>
      <c r="H71" s="3010"/>
      <c r="I71" s="3010"/>
      <c r="J71" s="3010"/>
      <c r="K71" s="3010"/>
      <c r="L71" s="117">
        <f>ROW()</f>
        <v>71</v>
      </c>
    </row>
    <row r="72" spans="2:12">
      <c r="C72" s="3010"/>
      <c r="D72" s="3010"/>
      <c r="E72" s="3010"/>
      <c r="F72" s="3010"/>
      <c r="G72" s="3010"/>
      <c r="H72" s="3010"/>
      <c r="I72" s="3010"/>
      <c r="J72" s="3010"/>
      <c r="K72" s="3010"/>
      <c r="L72" s="117">
        <f>ROW()</f>
        <v>72</v>
      </c>
    </row>
    <row r="73" spans="2:12">
      <c r="B73" s="1" t="s">
        <v>5635</v>
      </c>
      <c r="C73" s="3010"/>
      <c r="D73" s="3010"/>
      <c r="E73" s="3010"/>
      <c r="F73" s="3010"/>
      <c r="G73" s="3010"/>
      <c r="H73" s="3010"/>
      <c r="I73" s="3010"/>
      <c r="J73" s="3010"/>
      <c r="K73" s="3010"/>
      <c r="L73" s="117">
        <f>ROW()</f>
        <v>73</v>
      </c>
    </row>
    <row r="74" spans="2:12">
      <c r="B74" s="3010"/>
      <c r="C74" s="3010"/>
      <c r="D74" s="3010"/>
      <c r="E74" s="3010"/>
      <c r="F74" s="3010"/>
      <c r="G74" s="3010"/>
      <c r="H74" s="3010"/>
      <c r="I74" s="3010"/>
      <c r="J74" s="3010"/>
      <c r="K74" s="3010"/>
      <c r="L74" s="117">
        <f>ROW()</f>
        <v>74</v>
      </c>
    </row>
    <row r="75" spans="2:12" ht="11.7" customHeight="1">
      <c r="B75" s="5025" t="str">
        <f>CONCATENATE("In early 2011, NYC DOT advised us that new data available since 2007 indicated that Manhattan CBD travel speeds were higher than the figures published in PlaNYC documents in 2007 and adopted by the ") &amp; CONCATENATE("Traffic Congestion &amp; Mitigation Commission in its Jan. 2008 report. (See citations in Rows ",L50, "-",L53, ", above.)")</f>
        <v>In early 2011, NYC DOT advised us that new data available since 2007 indicated that Manhattan CBD travel speeds were higher than the figures published in PlaNYC documents in 2007 and adopted by the Traffic Congestion &amp; Mitigation Commission in its Jan. 2008 report. (See citations in Rows 50-53, above.)</v>
      </c>
      <c r="C75" s="5026"/>
      <c r="D75" s="5026"/>
      <c r="E75" s="5026"/>
      <c r="F75" s="5026"/>
      <c r="G75" s="5026"/>
      <c r="H75" s="5026"/>
      <c r="I75" s="5026"/>
      <c r="J75" s="5026"/>
      <c r="K75" s="5026"/>
      <c r="L75" s="117">
        <f>ROW()</f>
        <v>75</v>
      </c>
    </row>
    <row r="76" spans="2:12">
      <c r="B76" s="5026"/>
      <c r="C76" s="5026"/>
      <c r="D76" s="5026"/>
      <c r="E76" s="5026"/>
      <c r="F76" s="5026"/>
      <c r="G76" s="5026"/>
      <c r="H76" s="5026"/>
      <c r="I76" s="5026"/>
      <c r="J76" s="5026"/>
      <c r="K76" s="5026"/>
      <c r="L76" s="117">
        <f>ROW()</f>
        <v>76</v>
      </c>
    </row>
    <row r="77" spans="2:12">
      <c r="B77" s="5026"/>
      <c r="C77" s="5026"/>
      <c r="D77" s="5026"/>
      <c r="E77" s="5026"/>
      <c r="F77" s="5026"/>
      <c r="G77" s="5026"/>
      <c r="H77" s="5026"/>
      <c r="I77" s="5026"/>
      <c r="J77" s="5026"/>
      <c r="K77" s="5026"/>
      <c r="L77" s="117">
        <f>ROW()</f>
        <v>77</v>
      </c>
    </row>
    <row r="78" spans="2:12">
      <c r="B78" s="3010"/>
      <c r="C78" s="3010"/>
      <c r="D78" s="3010"/>
      <c r="E78" s="3010"/>
      <c r="F78" s="3010"/>
      <c r="G78" s="3010"/>
      <c r="H78" s="3010"/>
      <c r="I78" s="3010"/>
      <c r="J78" s="3010"/>
      <c r="K78" s="3010"/>
      <c r="L78" s="117">
        <f>ROW()</f>
        <v>78</v>
      </c>
    </row>
    <row r="79" spans="2:12">
      <c r="B79" s="5025" t="s">
        <v>5285</v>
      </c>
      <c r="C79" s="5026"/>
      <c r="D79" s="5026"/>
      <c r="E79" s="5026"/>
      <c r="F79" s="5026"/>
      <c r="G79" s="5026"/>
      <c r="H79" s="5026"/>
      <c r="I79" s="5026"/>
      <c r="J79" s="5026"/>
      <c r="K79" s="5026"/>
      <c r="L79" s="117">
        <f>ROW()</f>
        <v>79</v>
      </c>
    </row>
    <row r="80" spans="2:12">
      <c r="B80" s="5026"/>
      <c r="C80" s="5026"/>
      <c r="D80" s="5026"/>
      <c r="E80" s="5026"/>
      <c r="F80" s="5026"/>
      <c r="G80" s="5026"/>
      <c r="H80" s="5026"/>
      <c r="I80" s="5026"/>
      <c r="J80" s="5026"/>
      <c r="K80" s="5026"/>
      <c r="L80" s="117">
        <f>ROW()</f>
        <v>80</v>
      </c>
    </row>
    <row r="81" spans="2:12">
      <c r="B81" s="5026"/>
      <c r="C81" s="5026"/>
      <c r="D81" s="5026"/>
      <c r="E81" s="5026"/>
      <c r="F81" s="5026"/>
      <c r="G81" s="5026"/>
      <c r="H81" s="5026"/>
      <c r="I81" s="5026"/>
      <c r="J81" s="5026"/>
      <c r="K81" s="5026"/>
      <c r="L81" s="117">
        <f>ROW()</f>
        <v>81</v>
      </c>
    </row>
    <row r="82" spans="2:12">
      <c r="B82" s="3754" t="s">
        <v>5286</v>
      </c>
      <c r="C82" s="3659"/>
      <c r="D82" s="3659"/>
      <c r="E82" s="3659"/>
      <c r="F82" s="3659"/>
      <c r="G82" s="3659"/>
      <c r="H82" s="3659"/>
      <c r="I82" s="3659"/>
      <c r="J82" s="3659"/>
      <c r="K82" s="3659"/>
      <c r="L82" s="117">
        <f>ROW()</f>
        <v>82</v>
      </c>
    </row>
    <row r="83" spans="2:12">
      <c r="B83" s="3659"/>
      <c r="C83" s="3659"/>
      <c r="D83" s="3659"/>
      <c r="E83" s="3659"/>
      <c r="F83" s="3659"/>
      <c r="G83" s="3659"/>
      <c r="H83" s="3659"/>
      <c r="I83" s="3659"/>
      <c r="J83" s="3659"/>
      <c r="K83" s="3659"/>
      <c r="L83" s="117">
        <f>ROW()</f>
        <v>83</v>
      </c>
    </row>
    <row r="84" spans="2:12">
      <c r="B84" s="3659"/>
      <c r="C84" s="3659"/>
      <c r="D84" s="3659"/>
      <c r="E84" s="3659"/>
      <c r="F84" s="3659"/>
      <c r="G84" s="3659"/>
      <c r="H84" s="3659"/>
      <c r="I84" s="3659"/>
      <c r="J84" s="3659"/>
      <c r="K84" s="3659"/>
      <c r="L84" s="117">
        <f>ROW()</f>
        <v>84</v>
      </c>
    </row>
    <row r="85" spans="2:12">
      <c r="L85" s="117">
        <f>ROW()</f>
        <v>85</v>
      </c>
    </row>
    <row r="86" spans="2:12">
      <c r="B86" s="1" t="s">
        <v>5287</v>
      </c>
      <c r="L86" s="117">
        <f>ROW()</f>
        <v>86</v>
      </c>
    </row>
    <row r="87" spans="2:12">
      <c r="L87" s="117">
        <f>ROW()</f>
        <v>87</v>
      </c>
    </row>
    <row r="88" spans="2:12">
      <c r="B88" s="1" t="s">
        <v>5288</v>
      </c>
      <c r="L88" s="117">
        <f>ROW()</f>
        <v>88</v>
      </c>
    </row>
    <row r="89" spans="2:12">
      <c r="B89" s="3787" t="s">
        <v>5289</v>
      </c>
      <c r="C89" s="3779"/>
      <c r="D89" s="3779"/>
      <c r="E89" s="3779"/>
      <c r="F89" s="3779"/>
      <c r="G89" s="3779"/>
      <c r="H89" s="3779"/>
      <c r="I89" s="3779"/>
      <c r="J89" s="3779"/>
      <c r="K89" s="3779"/>
      <c r="L89" s="117">
        <f>ROW()</f>
        <v>89</v>
      </c>
    </row>
    <row r="90" spans="2:12">
      <c r="B90" s="3779"/>
      <c r="C90" s="3779"/>
      <c r="D90" s="3779"/>
      <c r="E90" s="3779"/>
      <c r="F90" s="3779"/>
      <c r="G90" s="3779"/>
      <c r="H90" s="3779"/>
      <c r="I90" s="3779"/>
      <c r="J90" s="3779"/>
      <c r="K90" s="3779"/>
      <c r="L90" s="117">
        <f>ROW()</f>
        <v>90</v>
      </c>
    </row>
    <row r="91" spans="2:12">
      <c r="B91" s="1" t="s">
        <v>5293</v>
      </c>
      <c r="L91" s="117">
        <f>ROW()</f>
        <v>91</v>
      </c>
    </row>
    <row r="92" spans="2:12">
      <c r="L92" s="117">
        <f>ROW()</f>
        <v>92</v>
      </c>
    </row>
    <row r="93" spans="2:12">
      <c r="B93" s="1" t="s">
        <v>5290</v>
      </c>
      <c r="L93" s="117">
        <f>ROW()</f>
        <v>93</v>
      </c>
    </row>
    <row r="94" spans="2:12">
      <c r="L94" s="117">
        <f>ROW()</f>
        <v>94</v>
      </c>
    </row>
    <row r="95" spans="2:12">
      <c r="B95" s="3015" t="s">
        <v>5292</v>
      </c>
      <c r="C95" s="2718"/>
      <c r="D95" s="2718"/>
      <c r="E95" s="2718"/>
      <c r="F95" s="2718"/>
      <c r="G95" s="2718"/>
      <c r="H95" s="2718"/>
      <c r="I95" s="2718"/>
      <c r="J95" s="2718"/>
      <c r="K95" s="3225">
        <v>9.5</v>
      </c>
      <c r="L95" s="117">
        <f>ROW()</f>
        <v>95</v>
      </c>
    </row>
    <row r="96" spans="2:12">
      <c r="B96" s="3754" t="s">
        <v>5291</v>
      </c>
      <c r="C96" s="3659"/>
      <c r="D96" s="3659"/>
      <c r="E96" s="3659"/>
      <c r="F96" s="3659"/>
      <c r="G96" s="3659"/>
      <c r="H96" s="3659"/>
      <c r="I96" s="3659"/>
      <c r="J96" s="3659"/>
      <c r="K96" s="3659"/>
      <c r="L96" s="117">
        <f>ROW()</f>
        <v>96</v>
      </c>
    </row>
    <row r="97" spans="2:13">
      <c r="B97" s="3659"/>
      <c r="C97" s="3659"/>
      <c r="D97" s="3659"/>
      <c r="E97" s="3659"/>
      <c r="F97" s="3659"/>
      <c r="G97" s="3659"/>
      <c r="H97" s="3659"/>
      <c r="I97" s="3659"/>
      <c r="J97" s="3659"/>
      <c r="K97" s="3659"/>
      <c r="L97" s="117">
        <f>ROW()</f>
        <v>97</v>
      </c>
    </row>
    <row r="98" spans="2:13">
      <c r="B98" s="3659"/>
      <c r="C98" s="3659"/>
      <c r="D98" s="3659"/>
      <c r="E98" s="3659"/>
      <c r="F98" s="3659"/>
      <c r="G98" s="3659"/>
      <c r="H98" s="3659"/>
      <c r="I98" s="3659"/>
      <c r="J98" s="3659"/>
      <c r="K98" s="3659"/>
      <c r="L98" s="117">
        <f>ROW()</f>
        <v>98</v>
      </c>
    </row>
    <row r="99" spans="2:13" s="3219" customFormat="1">
      <c r="B99" s="3218"/>
      <c r="C99" s="3218"/>
      <c r="D99" s="3218"/>
      <c r="E99" s="3218"/>
      <c r="F99" s="3218"/>
      <c r="G99" s="3218"/>
      <c r="H99" s="3218"/>
      <c r="I99" s="3218"/>
      <c r="J99" s="3218"/>
      <c r="K99" s="3218"/>
      <c r="L99" s="117">
        <f>ROW()</f>
        <v>99</v>
      </c>
    </row>
    <row r="100" spans="2:13" s="3219" customFormat="1">
      <c r="B100" s="3787" t="s">
        <v>5636</v>
      </c>
      <c r="C100" s="3779"/>
      <c r="D100" s="3779"/>
      <c r="E100" s="3779"/>
      <c r="F100" s="3779"/>
      <c r="G100" s="3779"/>
      <c r="H100" s="3779"/>
      <c r="I100" s="3779"/>
      <c r="J100" s="3779"/>
      <c r="K100" s="3779"/>
      <c r="L100" s="117">
        <f>ROW()</f>
        <v>100</v>
      </c>
    </row>
    <row r="101" spans="2:13" s="3219" customFormat="1">
      <c r="B101" s="3779"/>
      <c r="C101" s="3779"/>
      <c r="D101" s="3779"/>
      <c r="E101" s="3779"/>
      <c r="F101" s="3779"/>
      <c r="G101" s="3779"/>
      <c r="H101" s="3779"/>
      <c r="I101" s="3779"/>
      <c r="J101" s="3779"/>
      <c r="K101" s="3779"/>
      <c r="L101" s="117">
        <f>ROW()</f>
        <v>101</v>
      </c>
    </row>
    <row r="102" spans="2:13">
      <c r="L102" s="117">
        <f>ROW()</f>
        <v>102</v>
      </c>
      <c r="M102" s="1122"/>
    </row>
    <row r="103" spans="2:13">
      <c r="B103" s="3787" t="str">
        <f>CONCATENATE("We now modify the Ken Small equation so that the CBD traffic volumes for the various time periods 'yield' the average speed shown in Cell K",L95, ". This is done by trial-and-error, so we go directly to the results:")</f>
        <v>We now modify the Ken Small equation so that the CBD traffic volumes for the various time periods 'yield' the average speed shown in Cell K95. This is done by trial-and-error, so we go directly to the results:</v>
      </c>
      <c r="C103" s="3779"/>
      <c r="D103" s="3779"/>
      <c r="E103" s="3779"/>
      <c r="F103" s="3779"/>
      <c r="G103" s="3779"/>
      <c r="H103" s="3779"/>
      <c r="I103" s="3779"/>
      <c r="J103" s="3779"/>
      <c r="K103" s="3779"/>
      <c r="L103" s="117">
        <f>ROW()</f>
        <v>103</v>
      </c>
    </row>
    <row r="104" spans="2:13">
      <c r="B104" s="3779"/>
      <c r="C104" s="3779"/>
      <c r="D104" s="3779"/>
      <c r="E104" s="3779"/>
      <c r="F104" s="3779"/>
      <c r="G104" s="3779"/>
      <c r="H104" s="3779"/>
      <c r="I104" s="3779"/>
      <c r="J104" s="3779"/>
      <c r="K104" s="3779"/>
      <c r="L104" s="117">
        <f>ROW()</f>
        <v>104</v>
      </c>
    </row>
    <row r="105" spans="2:13">
      <c r="L105" s="117">
        <f>ROW()</f>
        <v>105</v>
      </c>
    </row>
    <row r="106" spans="2:13" ht="16.8">
      <c r="B106" s="919" t="s">
        <v>5294</v>
      </c>
      <c r="L106" s="117">
        <f>ROW()</f>
        <v>106</v>
      </c>
    </row>
    <row r="107" spans="2:13">
      <c r="L107" s="117">
        <f>ROW()</f>
        <v>107</v>
      </c>
    </row>
    <row r="108" spans="2:13">
      <c r="B108" s="312" t="s">
        <v>5295</v>
      </c>
      <c r="L108" s="117">
        <f>ROW()</f>
        <v>108</v>
      </c>
    </row>
    <row r="109" spans="2:13">
      <c r="B109" s="312" t="s">
        <v>5296</v>
      </c>
      <c r="L109" s="117">
        <f>ROW()</f>
        <v>109</v>
      </c>
    </row>
    <row r="110" spans="2:13">
      <c r="B110" s="1"/>
      <c r="L110" s="117">
        <f>ROW()</f>
        <v>110</v>
      </c>
    </row>
    <row r="111" spans="2:13" ht="16.8">
      <c r="B111" s="919" t="s">
        <v>5300</v>
      </c>
      <c r="L111" s="117">
        <f>ROW()</f>
        <v>111</v>
      </c>
    </row>
    <row r="112" spans="2:13">
      <c r="B112" s="1"/>
      <c r="L112" s="117">
        <f>ROW()</f>
        <v>112</v>
      </c>
    </row>
    <row r="113" spans="2:13">
      <c r="B113" s="312" t="str">
        <f>CONCATENATE("Value of KSC which (in conjunction with revised KSE) yields speed in Cells K",$L$95, ":")</f>
        <v>Value of KSC which (in conjunction with revised KSE) yields speed in Cells K95:</v>
      </c>
      <c r="J113">
        <v>22</v>
      </c>
      <c r="L113" s="117">
        <f>ROW()</f>
        <v>113</v>
      </c>
    </row>
    <row r="114" spans="2:13">
      <c r="B114" s="312" t="str">
        <f>CONCATENATE("Value of KSE which (in conjunction with revised KSC) yields speed in Cells K",$L$95, " (rounded):")</f>
        <v>Value of KSE which (in conjunction with revised KSC) yields speed in Cells K95 (rounded):</v>
      </c>
      <c r="J114" s="117">
        <v>4</v>
      </c>
      <c r="L114" s="117">
        <f>ROW()</f>
        <v>114</v>
      </c>
    </row>
    <row r="115" spans="2:13">
      <c r="B115" s="312"/>
      <c r="L115" s="117">
        <f>ROW()</f>
        <v>115</v>
      </c>
    </row>
    <row r="116" spans="2:13">
      <c r="B116" t="s">
        <v>209</v>
      </c>
      <c r="L116" s="117">
        <f>ROW()</f>
        <v>116</v>
      </c>
    </row>
    <row r="117" spans="2:13">
      <c r="E117" s="3012" t="s">
        <v>5297</v>
      </c>
      <c r="F117" s="3220" t="s">
        <v>5633</v>
      </c>
      <c r="G117" s="3011" t="s">
        <v>210</v>
      </c>
      <c r="H117" s="3011" t="s">
        <v>211</v>
      </c>
      <c r="I117" s="3011" t="s">
        <v>212</v>
      </c>
      <c r="J117" s="3011" t="s">
        <v>2095</v>
      </c>
      <c r="L117" s="117">
        <f>ROW()</f>
        <v>117</v>
      </c>
    </row>
    <row r="118" spans="2:13">
      <c r="B118" s="86" t="s">
        <v>213</v>
      </c>
      <c r="C118" s="86"/>
      <c r="D118" s="86"/>
      <c r="E118" s="1134">
        <f>'Motor Vs'!G149</f>
        <v>74471.375725727543</v>
      </c>
      <c r="F118" s="1134">
        <f>'Motor Vs'!H149</f>
        <v>88784.918344910053</v>
      </c>
      <c r="G118" s="1134">
        <f>'Motor Vs'!I149</f>
        <v>176582.16272114028</v>
      </c>
      <c r="H118" s="1134">
        <f>'Motor Vs'!J149</f>
        <v>171660.21926752295</v>
      </c>
      <c r="I118" s="1134">
        <f>'Motor Vs'!K149</f>
        <v>154591.44714293882</v>
      </c>
      <c r="J118" s="1134">
        <f>'Motor Vs'!L149</f>
        <v>185223.71205129349</v>
      </c>
      <c r="K118" s="86"/>
      <c r="L118" s="117">
        <f>ROW()</f>
        <v>118</v>
      </c>
    </row>
    <row r="119" spans="2:13">
      <c r="B119" s="265" t="str">
        <f>CONCATENATE("From Motor Vs worksheet, Row ",'Motor Vs'!O209, ". Note that figures are total VMT rather than merely entries into cordon.")</f>
        <v>From Motor Vs worksheet, Row 209. Note that figures are total VMT rather than merely entries into cordon.</v>
      </c>
      <c r="L119" s="117">
        <f>ROW()</f>
        <v>119</v>
      </c>
    </row>
    <row r="120" spans="2:13">
      <c r="B120" t="s">
        <v>554</v>
      </c>
      <c r="E120">
        <f>'Motor Vs'!G118</f>
        <v>6</v>
      </c>
      <c r="F120" s="3219">
        <f>'Motor Vs'!H118</f>
        <v>1</v>
      </c>
      <c r="G120">
        <f>'Motor Vs'!I118</f>
        <v>3</v>
      </c>
      <c r="H120">
        <f>'Motor Vs'!J118</f>
        <v>1</v>
      </c>
      <c r="I120">
        <f>'Motor Vs'!K118</f>
        <v>4</v>
      </c>
      <c r="J120">
        <v>4</v>
      </c>
      <c r="L120" s="117">
        <f>ROW()</f>
        <v>120</v>
      </c>
    </row>
    <row r="121" spans="2:13">
      <c r="B121" s="265" t="str">
        <f>CONCATENATE("From Motor Vs worksheet, Row ",'Motor Vs'!O178, " except that 2-8 p.m. value has been changed to 4 (hours) to match PlaNYC datum.")</f>
        <v>From Motor Vs worksheet, Row 178 except that 2-8 p.m. value has been changed to 4 (hours) to match PlaNYC datum.</v>
      </c>
      <c r="L121" s="117">
        <f>ROW()</f>
        <v>121</v>
      </c>
    </row>
    <row r="122" spans="2:13">
      <c r="B122" s="86" t="s">
        <v>2670</v>
      </c>
      <c r="E122" s="1134">
        <f t="shared" ref="E122:J122" si="0">E118*E120</f>
        <v>446828.25435436529</v>
      </c>
      <c r="F122" s="1134">
        <f t="shared" si="0"/>
        <v>88784.918344910053</v>
      </c>
      <c r="G122" s="1134">
        <f t="shared" si="0"/>
        <v>529746.48816342081</v>
      </c>
      <c r="H122" s="1134">
        <f t="shared" si="0"/>
        <v>171660.21926752295</v>
      </c>
      <c r="I122" s="1134">
        <f t="shared" si="0"/>
        <v>618365.78857175529</v>
      </c>
      <c r="J122" s="1134">
        <f t="shared" si="0"/>
        <v>740894.84820517397</v>
      </c>
      <c r="K122" s="1134">
        <f>SUM(G122:J122)</f>
        <v>2060667.3442078731</v>
      </c>
      <c r="L122" s="117">
        <f>ROW()</f>
        <v>122</v>
      </c>
    </row>
    <row r="123" spans="2:13" ht="12" thickBot="1">
      <c r="B123" s="1"/>
      <c r="L123" s="117">
        <f>ROW()</f>
        <v>123</v>
      </c>
    </row>
    <row r="124" spans="2:13" ht="12.6" thickBot="1">
      <c r="B124" s="909" t="str">
        <f>CONCATENATE("V_sub_k required to yield average traffic speed shown in Cell K",L95, ".")</f>
        <v>V_sub_k required to yield average traffic speed shown in Cell K95.</v>
      </c>
      <c r="C124" s="910"/>
      <c r="D124" s="910"/>
      <c r="E124" s="910"/>
      <c r="F124" s="910"/>
      <c r="G124" s="910"/>
      <c r="H124" s="910"/>
      <c r="I124" s="910"/>
      <c r="J124" s="910"/>
      <c r="K124" s="1175">
        <v>91365</v>
      </c>
      <c r="L124" s="117">
        <f>ROW()</f>
        <v>124</v>
      </c>
      <c r="M124" s="3219"/>
    </row>
    <row r="125" spans="2:13" ht="12">
      <c r="B125" s="657"/>
      <c r="C125" s="3009"/>
      <c r="D125" s="3009"/>
      <c r="E125" s="3009"/>
      <c r="F125" s="3009"/>
      <c r="G125" s="3009"/>
      <c r="H125" s="3009"/>
      <c r="I125" s="3009"/>
      <c r="J125" s="3009"/>
      <c r="K125" s="157"/>
      <c r="L125" s="117">
        <f>ROW()</f>
        <v>125</v>
      </c>
      <c r="M125" s="3219"/>
    </row>
    <row r="126" spans="2:13">
      <c r="B126" t="s">
        <v>2532</v>
      </c>
      <c r="E126" s="117">
        <f t="shared" ref="E126:J126" si="1">KSC/(1+0.1*(E118/$K$124)^KSE)</f>
        <v>21.069959679339988</v>
      </c>
      <c r="F126" s="117">
        <f t="shared" si="1"/>
        <v>20.198796211465559</v>
      </c>
      <c r="G126" s="117">
        <f t="shared" si="1"/>
        <v>9.18464960823135</v>
      </c>
      <c r="H126" s="117">
        <f t="shared" si="1"/>
        <v>9.7946762584405249</v>
      </c>
      <c r="I126" s="117">
        <f t="shared" si="1"/>
        <v>12.090312708203816</v>
      </c>
      <c r="J126" s="117">
        <f t="shared" si="1"/>
        <v>8.1810393307876197</v>
      </c>
      <c r="K126" s="509"/>
      <c r="L126" s="117">
        <f>ROW()</f>
        <v>126</v>
      </c>
      <c r="M126" s="3219"/>
    </row>
    <row r="127" spans="2:13" ht="12">
      <c r="B127" t="s">
        <v>2669</v>
      </c>
      <c r="E127" s="117">
        <f t="shared" ref="E127:J127" si="2">1/E126</f>
        <v>4.7460935626779749E-2</v>
      </c>
      <c r="F127" s="117">
        <f t="shared" si="2"/>
        <v>4.9507900843732668E-2</v>
      </c>
      <c r="G127" s="117">
        <f t="shared" si="2"/>
        <v>0.10887731624555309</v>
      </c>
      <c r="H127" s="117">
        <f t="shared" si="2"/>
        <v>0.10209627900036551</v>
      </c>
      <c r="I127" s="117">
        <f t="shared" si="2"/>
        <v>8.2710846620324005E-2</v>
      </c>
      <c r="J127" s="117">
        <f t="shared" si="2"/>
        <v>0.12223385801810174</v>
      </c>
      <c r="K127" s="1220">
        <f>K122/SUMPRODUCT(G122:J122,G127:J127)</f>
        <v>9.5000487407030025</v>
      </c>
      <c r="L127" s="117">
        <f>ROW()</f>
        <v>127</v>
      </c>
      <c r="M127" s="3219"/>
    </row>
    <row r="128" spans="2:13">
      <c r="B128" t="s">
        <v>3699</v>
      </c>
      <c r="E128" s="1118"/>
      <c r="G128" s="1118">
        <f>G118^KSE/$J$67</f>
        <v>23299918938764.633</v>
      </c>
      <c r="H128" s="1118">
        <f>H118^KSE/$J$67</f>
        <v>20808737677475.187</v>
      </c>
      <c r="I128" s="1118">
        <f>I118^KSE/$J$67</f>
        <v>13687021022486.16</v>
      </c>
      <c r="J128" s="1118">
        <f>J118^KSE/$J$67</f>
        <v>28206773948743.676</v>
      </c>
      <c r="K128" s="1119"/>
      <c r="L128" s="117">
        <f>ROW()</f>
        <v>128</v>
      </c>
      <c r="M128" s="3219"/>
    </row>
    <row r="129" spans="2:13">
      <c r="B129" s="1"/>
      <c r="L129" s="117">
        <f>ROW()</f>
        <v>129</v>
      </c>
      <c r="M129" s="3219"/>
    </row>
    <row r="130" spans="2:13">
      <c r="L130" s="117">
        <f>ROW()</f>
        <v>130</v>
      </c>
      <c r="M130" s="3219"/>
    </row>
    <row r="131" spans="2:13" ht="12" thickBot="1">
      <c r="L131" s="117">
        <f>ROW()</f>
        <v>131</v>
      </c>
      <c r="M131" s="3219"/>
    </row>
    <row r="132" spans="2:13" ht="13.2">
      <c r="B132" s="917" t="s">
        <v>1011</v>
      </c>
      <c r="C132" s="490"/>
      <c r="D132" s="490"/>
      <c r="E132" s="490"/>
      <c r="F132" s="490"/>
      <c r="G132" s="490"/>
      <c r="H132" s="490"/>
      <c r="I132" s="490"/>
      <c r="J132" s="490"/>
      <c r="K132" s="491"/>
      <c r="L132" s="117">
        <f>ROW()</f>
        <v>132</v>
      </c>
      <c r="M132" s="3219"/>
    </row>
    <row r="133" spans="2:13" ht="9" customHeight="1">
      <c r="B133" s="885"/>
      <c r="C133" s="113"/>
      <c r="D133" s="113"/>
      <c r="E133" s="113"/>
      <c r="F133" s="113"/>
      <c r="G133" s="113"/>
      <c r="H133" s="113"/>
      <c r="I133" s="113"/>
      <c r="J133" s="113"/>
      <c r="K133" s="185"/>
      <c r="L133" s="117">
        <f>ROW()</f>
        <v>133</v>
      </c>
      <c r="M133" s="3219"/>
    </row>
    <row r="134" spans="2:13">
      <c r="B134" s="5018" t="str">
        <f>CONCATENATE("The worksheet that 'drives' the BTA, Motor Vs, operates properly if and only if the average motor vehicle speed shown in Row ",'Motor Vs'!O187, " of that worksheet matches the value shown directly above in Row ",L127,  " when the Baseline Traffic Reduction 'switch' in the 'Summary' and 'User Inputs' worksheets is set to zero.")</f>
        <v>The worksheet that 'drives' the BTA, Motor Vs, operates properly if and only if the average motor vehicle speed shown in Row 187 of that worksheet matches the value shown directly above in Row 127 when the Baseline Traffic Reduction 'switch' in the 'Summary' and 'User Inputs' worksheets is set to zero.</v>
      </c>
      <c r="C134" s="3796"/>
      <c r="D134" s="3796"/>
      <c r="E134" s="3796"/>
      <c r="F134" s="3796"/>
      <c r="G134" s="3796"/>
      <c r="H134" s="3796"/>
      <c r="I134" s="3796"/>
      <c r="J134" s="3796"/>
      <c r="K134" s="5019"/>
      <c r="L134" s="117">
        <f>ROW()</f>
        <v>134</v>
      </c>
      <c r="M134" s="3219"/>
    </row>
    <row r="135" spans="2:13">
      <c r="B135" s="5018"/>
      <c r="C135" s="3796"/>
      <c r="D135" s="3796"/>
      <c r="E135" s="3796"/>
      <c r="F135" s="3796"/>
      <c r="G135" s="3796"/>
      <c r="H135" s="3796"/>
      <c r="I135" s="3796"/>
      <c r="J135" s="3796"/>
      <c r="K135" s="5019"/>
      <c r="L135" s="117">
        <f>ROW()</f>
        <v>135</v>
      </c>
      <c r="M135" s="3219"/>
    </row>
    <row r="136" spans="2:13">
      <c r="B136" s="5018"/>
      <c r="C136" s="3796"/>
      <c r="D136" s="3796"/>
      <c r="E136" s="3796"/>
      <c r="F136" s="3796"/>
      <c r="G136" s="3796"/>
      <c r="H136" s="3796"/>
      <c r="I136" s="3796"/>
      <c r="J136" s="3796"/>
      <c r="K136" s="5019"/>
      <c r="L136" s="117">
        <f>ROW()</f>
        <v>136</v>
      </c>
      <c r="M136" s="3219"/>
    </row>
    <row r="137" spans="2:13">
      <c r="B137" s="5018" t="str">
        <f>CONCATENATE("If, for some reason, the two values are different, then the value of V_sub_k shown directly above in Row ",L124, " must be re-set, by trial and error, to equate the two -- again, with the Baseline Traffic Reduction set to zero.")</f>
        <v>If, for some reason, the two values are different, then the value of V_sub_k shown directly above in Row 124 must be re-set, by trial and error, to equate the two -- again, with the Baseline Traffic Reduction set to zero.</v>
      </c>
      <c r="C137" s="3796"/>
      <c r="D137" s="3796"/>
      <c r="E137" s="3796"/>
      <c r="F137" s="3796"/>
      <c r="G137" s="3796"/>
      <c r="H137" s="3796"/>
      <c r="I137" s="3796"/>
      <c r="J137" s="3796"/>
      <c r="K137" s="5019"/>
      <c r="L137" s="117">
        <f>ROW()</f>
        <v>137</v>
      </c>
      <c r="M137" s="3219"/>
    </row>
    <row r="138" spans="2:13">
      <c r="B138" s="5018"/>
      <c r="C138" s="3796"/>
      <c r="D138" s="3796"/>
      <c r="E138" s="3796"/>
      <c r="F138" s="3796"/>
      <c r="G138" s="3796"/>
      <c r="H138" s="3796"/>
      <c r="I138" s="3796"/>
      <c r="J138" s="3796"/>
      <c r="K138" s="5019"/>
      <c r="L138" s="117">
        <f>ROW()</f>
        <v>138</v>
      </c>
    </row>
    <row r="139" spans="2:13" ht="12" thickBot="1">
      <c r="B139" s="5020"/>
      <c r="C139" s="5021"/>
      <c r="D139" s="5021"/>
      <c r="E139" s="5021"/>
      <c r="F139" s="5021"/>
      <c r="G139" s="5021"/>
      <c r="H139" s="5021"/>
      <c r="I139" s="5021"/>
      <c r="J139" s="5021"/>
      <c r="K139" s="5022"/>
      <c r="L139" s="117">
        <f>ROW()</f>
        <v>139</v>
      </c>
    </row>
    <row r="141" spans="2:13" ht="13.2">
      <c r="B141" s="24" t="s">
        <v>1874</v>
      </c>
    </row>
    <row r="143" spans="2:13" ht="16.8">
      <c r="B143" s="788" t="s">
        <v>1704</v>
      </c>
    </row>
    <row r="145" spans="2:11" ht="15.6">
      <c r="B145" s="788" t="s">
        <v>1871</v>
      </c>
      <c r="H145">
        <v>24.2</v>
      </c>
      <c r="I145">
        <v>0.1</v>
      </c>
      <c r="J145">
        <v>4.08</v>
      </c>
      <c r="K145" s="1122">
        <f>V_sub_k</f>
        <v>91365</v>
      </c>
    </row>
    <row r="147" spans="2:11">
      <c r="B147" s="118" t="s">
        <v>1872</v>
      </c>
      <c r="C147" s="118" t="s">
        <v>1965</v>
      </c>
      <c r="D147" s="118" t="s">
        <v>1873</v>
      </c>
    </row>
    <row r="148" spans="2:11">
      <c r="B148" s="1342">
        <v>0.2</v>
      </c>
      <c r="C148" s="1122">
        <f>B148*$K$145/1000</f>
        <v>18.273</v>
      </c>
      <c r="D148" s="117">
        <f t="shared" ref="D148:D179" si="3">$H$145/(1+B148^$J$145*$I$145)</f>
        <v>24.196596257791114</v>
      </c>
    </row>
    <row r="149" spans="2:11">
      <c r="B149" s="1342">
        <v>0.25</v>
      </c>
      <c r="C149" s="1122">
        <f t="shared" ref="C149:C212" si="4">B149*$K$145/1000</f>
        <v>22.841249999999999</v>
      </c>
      <c r="D149" s="117">
        <f t="shared" si="3"/>
        <v>24.191542173144775</v>
      </c>
    </row>
    <row r="150" spans="2:11">
      <c r="B150" s="1342">
        <v>0.3</v>
      </c>
      <c r="C150" s="1122">
        <f t="shared" si="4"/>
        <v>27.409500000000001</v>
      </c>
      <c r="D150" s="117">
        <f t="shared" si="3"/>
        <v>24.182211033137715</v>
      </c>
    </row>
    <row r="151" spans="2:11">
      <c r="B151" s="1342">
        <v>0.35</v>
      </c>
      <c r="C151" s="1122">
        <f t="shared" si="4"/>
        <v>31.977749999999997</v>
      </c>
      <c r="D151" s="117">
        <f t="shared" si="3"/>
        <v>24.166656269589446</v>
      </c>
    </row>
    <row r="152" spans="2:11">
      <c r="B152" s="1342">
        <v>0.4</v>
      </c>
      <c r="C152" s="1122">
        <f t="shared" si="4"/>
        <v>36.545999999999999</v>
      </c>
      <c r="D152" s="117">
        <f t="shared" si="3"/>
        <v>24.142563476319111</v>
      </c>
    </row>
    <row r="153" spans="2:11">
      <c r="B153" s="1342">
        <v>0.45</v>
      </c>
      <c r="C153" s="1122">
        <f t="shared" si="4"/>
        <v>41.114249999999998</v>
      </c>
      <c r="D153" s="117">
        <f t="shared" si="3"/>
        <v>24.10726259168441</v>
      </c>
    </row>
    <row r="154" spans="2:11">
      <c r="B154" s="1342">
        <v>0.5</v>
      </c>
      <c r="C154" s="1122">
        <f t="shared" si="4"/>
        <v>45.682499999999997</v>
      </c>
      <c r="D154" s="117">
        <f t="shared" si="3"/>
        <v>24.057749885983455</v>
      </c>
    </row>
    <row r="155" spans="2:11">
      <c r="B155" s="1342">
        <v>0.55000000000000004</v>
      </c>
      <c r="C155" s="1122">
        <f t="shared" si="4"/>
        <v>50.250750000000011</v>
      </c>
      <c r="D155" s="117">
        <f t="shared" si="3"/>
        <v>23.990722231632109</v>
      </c>
    </row>
    <row r="156" spans="2:11">
      <c r="B156" s="1342">
        <v>0.6</v>
      </c>
      <c r="C156" s="1122">
        <f t="shared" si="4"/>
        <v>54.819000000000003</v>
      </c>
      <c r="D156" s="117">
        <f t="shared" si="3"/>
        <v>23.902626187234123</v>
      </c>
    </row>
    <row r="157" spans="2:11">
      <c r="B157" s="1342">
        <v>0.65</v>
      </c>
      <c r="C157" s="1122">
        <f t="shared" si="4"/>
        <v>59.387250000000002</v>
      </c>
      <c r="D157" s="117">
        <f t="shared" si="3"/>
        <v>23.789724198791344</v>
      </c>
    </row>
    <row r="158" spans="2:11">
      <c r="B158" s="1342">
        <v>0.7</v>
      </c>
      <c r="C158" s="1122">
        <f t="shared" si="4"/>
        <v>63.955499999999994</v>
      </c>
      <c r="D158" s="117">
        <f t="shared" si="3"/>
        <v>23.648179641434382</v>
      </c>
    </row>
    <row r="159" spans="2:11">
      <c r="B159" s="1342">
        <v>0.75</v>
      </c>
      <c r="C159" s="1122">
        <f t="shared" si="4"/>
        <v>68.523750000000007</v>
      </c>
      <c r="D159" s="117">
        <f t="shared" si="3"/>
        <v>23.474161431210224</v>
      </c>
    </row>
    <row r="160" spans="2:11">
      <c r="B160" s="1342">
        <v>0.8</v>
      </c>
      <c r="C160" s="1122">
        <f t="shared" si="4"/>
        <v>73.091999999999999</v>
      </c>
      <c r="D160" s="117">
        <f t="shared" si="3"/>
        <v>23.263967497416608</v>
      </c>
    </row>
    <row r="161" spans="2:4">
      <c r="B161" s="1342">
        <v>0.85</v>
      </c>
      <c r="C161" s="1122">
        <f t="shared" si="4"/>
        <v>77.660250000000005</v>
      </c>
      <c r="D161" s="117">
        <f t="shared" si="3"/>
        <v>23.014164545767777</v>
      </c>
    </row>
    <row r="162" spans="2:4">
      <c r="B162" s="1342">
        <v>0.9</v>
      </c>
      <c r="C162" s="1122">
        <f t="shared" si="4"/>
        <v>82.228499999999997</v>
      </c>
      <c r="D162" s="117">
        <f t="shared" si="3"/>
        <v>22.721739364177996</v>
      </c>
    </row>
    <row r="163" spans="2:4">
      <c r="B163" s="1342">
        <v>0.95</v>
      </c>
      <c r="C163" s="1122">
        <f t="shared" si="4"/>
        <v>86.796750000000003</v>
      </c>
      <c r="D163" s="117">
        <f t="shared" si="3"/>
        <v>22.384254623770893</v>
      </c>
    </row>
    <row r="164" spans="2:4">
      <c r="B164" s="1342">
        <v>1</v>
      </c>
      <c r="C164" s="1122">
        <f t="shared" si="4"/>
        <v>91.364999999999995</v>
      </c>
      <c r="D164" s="117">
        <f t="shared" si="3"/>
        <v>21.999999999999996</v>
      </c>
    </row>
    <row r="165" spans="2:4">
      <c r="B165" s="1342">
        <v>1.05</v>
      </c>
      <c r="C165" s="1122">
        <f t="shared" si="4"/>
        <v>95.933250000000001</v>
      </c>
      <c r="D165" s="117">
        <f t="shared" si="3"/>
        <v>21.568127844751331</v>
      </c>
    </row>
    <row r="166" spans="2:4">
      <c r="B166" s="1342">
        <v>1.1000000000000001</v>
      </c>
      <c r="C166" s="1122">
        <f t="shared" si="4"/>
        <v>100.50150000000002</v>
      </c>
      <c r="D166" s="117">
        <f t="shared" si="3"/>
        <v>21.088761959744232</v>
      </c>
    </row>
    <row r="167" spans="2:4">
      <c r="B167" s="1342">
        <v>1.1499999999999999</v>
      </c>
      <c r="C167" s="1122">
        <f t="shared" si="4"/>
        <v>105.06974999999998</v>
      </c>
      <c r="D167" s="117">
        <f t="shared" si="3"/>
        <v>20.563068574684639</v>
      </c>
    </row>
    <row r="168" spans="2:4">
      <c r="B168" s="1342">
        <v>1.2</v>
      </c>
      <c r="C168" s="1122">
        <f t="shared" si="4"/>
        <v>109.63800000000001</v>
      </c>
      <c r="D168" s="117">
        <f t="shared" si="3"/>
        <v>19.993280593728034</v>
      </c>
    </row>
    <row r="169" spans="2:4">
      <c r="B169" s="1342">
        <v>1.25</v>
      </c>
      <c r="C169" s="1122">
        <f t="shared" si="4"/>
        <v>114.20625</v>
      </c>
      <c r="D169" s="117">
        <f t="shared" si="3"/>
        <v>19.382669492362798</v>
      </c>
    </row>
    <row r="170" spans="2:4">
      <c r="B170" s="1342">
        <v>1.3</v>
      </c>
      <c r="C170" s="1122">
        <f t="shared" si="4"/>
        <v>118.7745</v>
      </c>
      <c r="D170" s="117">
        <f t="shared" si="3"/>
        <v>18.73546361771287</v>
      </c>
    </row>
    <row r="171" spans="2:4">
      <c r="B171" s="1342">
        <v>1.35</v>
      </c>
      <c r="C171" s="1122">
        <f t="shared" si="4"/>
        <v>123.34275000000001</v>
      </c>
      <c r="D171" s="117">
        <f t="shared" si="3"/>
        <v>18.056716528305095</v>
      </c>
    </row>
    <row r="172" spans="2:4">
      <c r="B172" s="1342">
        <v>1.4</v>
      </c>
      <c r="C172" s="1122">
        <f t="shared" si="4"/>
        <v>127.91099999999999</v>
      </c>
      <c r="D172" s="117">
        <f t="shared" si="3"/>
        <v>17.35213371778049</v>
      </c>
    </row>
    <row r="173" spans="2:4">
      <c r="B173" s="1342">
        <v>1.45</v>
      </c>
      <c r="C173" s="1122">
        <f t="shared" si="4"/>
        <v>132.47925000000001</v>
      </c>
      <c r="D173" s="117">
        <f t="shared" si="3"/>
        <v>16.627869902410843</v>
      </c>
    </row>
    <row r="174" spans="2:4">
      <c r="B174" s="1342">
        <v>1.5</v>
      </c>
      <c r="C174" s="1122">
        <f t="shared" si="4"/>
        <v>137.04750000000001</v>
      </c>
      <c r="D174" s="117">
        <f t="shared" si="3"/>
        <v>15.890311452196549</v>
      </c>
    </row>
    <row r="175" spans="2:4">
      <c r="B175" s="1342">
        <v>1.55</v>
      </c>
      <c r="C175" s="1122">
        <f t="shared" si="4"/>
        <v>141.61574999999999</v>
      </c>
      <c r="D175" s="117">
        <f t="shared" si="3"/>
        <v>15.145859202044466</v>
      </c>
    </row>
    <row r="176" spans="2:4">
      <c r="B176" s="1342">
        <v>1.6</v>
      </c>
      <c r="C176" s="1122">
        <f t="shared" si="4"/>
        <v>146.184</v>
      </c>
      <c r="D176" s="117">
        <f t="shared" si="3"/>
        <v>14.400725795867132</v>
      </c>
    </row>
    <row r="177" spans="2:4">
      <c r="B177" s="1342">
        <v>1.65</v>
      </c>
      <c r="C177" s="1122">
        <f t="shared" si="4"/>
        <v>150.75225</v>
      </c>
      <c r="D177" s="117">
        <f t="shared" si="3"/>
        <v>13.660759185366674</v>
      </c>
    </row>
    <row r="178" spans="2:4">
      <c r="B178" s="1342">
        <v>1.7</v>
      </c>
      <c r="C178" s="1122">
        <f t="shared" si="4"/>
        <v>155.32050000000001</v>
      </c>
      <c r="D178" s="117">
        <f t="shared" si="3"/>
        <v>12.931300424296284</v>
      </c>
    </row>
    <row r="179" spans="2:4">
      <c r="B179" s="1342">
        <v>1.75</v>
      </c>
      <c r="C179" s="1122">
        <f t="shared" si="4"/>
        <v>159.88874999999999</v>
      </c>
      <c r="D179" s="117">
        <f t="shared" si="3"/>
        <v>12.217080049110436</v>
      </c>
    </row>
    <row r="180" spans="2:4">
      <c r="B180" s="1342">
        <v>1.8</v>
      </c>
      <c r="C180" s="1122">
        <f t="shared" si="4"/>
        <v>164.45699999999999</v>
      </c>
      <c r="D180" s="117">
        <f t="shared" ref="D180:D211" si="5">$H$145/(1+B180^$J$145*$I$145)</f>
        <v>11.522153661968256</v>
      </c>
    </row>
    <row r="181" spans="2:4">
      <c r="B181" s="1342">
        <v>1.85</v>
      </c>
      <c r="C181" s="1122">
        <f t="shared" si="4"/>
        <v>169.02525</v>
      </c>
      <c r="D181" s="117">
        <f t="shared" si="5"/>
        <v>10.849874248359335</v>
      </c>
    </row>
    <row r="182" spans="2:4">
      <c r="B182" s="1342">
        <v>1.9</v>
      </c>
      <c r="C182" s="1122">
        <f t="shared" si="4"/>
        <v>173.59350000000001</v>
      </c>
      <c r="D182" s="117">
        <f t="shared" si="5"/>
        <v>10.202896512965509</v>
      </c>
    </row>
    <row r="183" spans="2:4">
      <c r="B183" s="1342">
        <v>1.95</v>
      </c>
      <c r="C183" s="1122">
        <f t="shared" si="4"/>
        <v>178.16175000000001</v>
      </c>
      <c r="D183" s="117">
        <f t="shared" si="5"/>
        <v>9.5832071749205916</v>
      </c>
    </row>
    <row r="184" spans="2:4">
      <c r="B184" s="1342">
        <v>2</v>
      </c>
      <c r="C184" s="1122">
        <f t="shared" si="4"/>
        <v>182.73</v>
      </c>
      <c r="D184" s="117">
        <f t="shared" si="5"/>
        <v>8.9921746588116065</v>
      </c>
    </row>
    <row r="185" spans="2:4">
      <c r="B185" s="1342">
        <v>2.0499999999999998</v>
      </c>
      <c r="C185" s="1122">
        <f t="shared" si="4"/>
        <v>187.29824999999997</v>
      </c>
      <c r="D185" s="117">
        <f t="shared" si="5"/>
        <v>8.4306117915511418</v>
      </c>
    </row>
    <row r="186" spans="2:4">
      <c r="B186" s="1342">
        <v>2.1</v>
      </c>
      <c r="C186" s="1122">
        <f t="shared" si="4"/>
        <v>191.8665</v>
      </c>
      <c r="D186" s="117">
        <f t="shared" si="5"/>
        <v>7.8988457685369067</v>
      </c>
    </row>
    <row r="187" spans="2:4">
      <c r="B187" s="1342">
        <v>2.15</v>
      </c>
      <c r="C187" s="1122">
        <f t="shared" si="4"/>
        <v>196.43475000000001</v>
      </c>
      <c r="D187" s="117">
        <f t="shared" si="5"/>
        <v>7.3967905872212194</v>
      </c>
    </row>
    <row r="188" spans="2:4">
      <c r="B188" s="1342">
        <v>2.2000000000000002</v>
      </c>
      <c r="C188" s="1122">
        <f t="shared" si="4"/>
        <v>201.00300000000004</v>
      </c>
      <c r="D188" s="117">
        <f t="shared" si="5"/>
        <v>6.9240181924481448</v>
      </c>
    </row>
    <row r="189" spans="2:4">
      <c r="B189" s="1342">
        <v>2.25</v>
      </c>
      <c r="C189" s="1122">
        <f t="shared" si="4"/>
        <v>205.57124999999999</v>
      </c>
      <c r="D189" s="117">
        <f t="shared" si="5"/>
        <v>6.4798256072340017</v>
      </c>
    </row>
    <row r="190" spans="2:4">
      <c r="B190" s="1342">
        <v>2.2999999999999998</v>
      </c>
      <c r="C190" s="1122">
        <f t="shared" si="4"/>
        <v>210.13949999999997</v>
      </c>
      <c r="D190" s="117">
        <f t="shared" si="5"/>
        <v>6.0632962502814918</v>
      </c>
    </row>
    <row r="191" spans="2:4">
      <c r="B191" s="1342">
        <v>2.35</v>
      </c>
      <c r="C191" s="1122">
        <f t="shared" si="4"/>
        <v>214.70775</v>
      </c>
      <c r="D191" s="117">
        <f t="shared" si="5"/>
        <v>5.6733544213452012</v>
      </c>
    </row>
    <row r="192" spans="2:4">
      <c r="B192" s="1342">
        <v>2.4</v>
      </c>
      <c r="C192" s="1122">
        <f t="shared" si="4"/>
        <v>219.27600000000001</v>
      </c>
      <c r="D192" s="117">
        <f t="shared" si="5"/>
        <v>5.3088125517386953</v>
      </c>
    </row>
    <row r="193" spans="2:4">
      <c r="B193" s="1342">
        <v>2.4500000000000002</v>
      </c>
      <c r="C193" s="1122">
        <f t="shared" si="4"/>
        <v>223.84425000000002</v>
      </c>
      <c r="D193" s="117">
        <f t="shared" si="5"/>
        <v>4.9684112748743399</v>
      </c>
    </row>
    <row r="194" spans="2:4">
      <c r="B194" s="1342">
        <v>2.5</v>
      </c>
      <c r="C194" s="1122">
        <f t="shared" si="4"/>
        <v>228.41249999999999</v>
      </c>
      <c r="D194" s="117">
        <f t="shared" si="5"/>
        <v>4.650852688456121</v>
      </c>
    </row>
    <row r="195" spans="2:4">
      <c r="B195" s="1342">
        <v>2.5499999999999998</v>
      </c>
      <c r="C195" s="1122">
        <f t="shared" si="4"/>
        <v>232.98074999999997</v>
      </c>
      <c r="D195" s="117">
        <f t="shared" si="5"/>
        <v>4.3548273795311285</v>
      </c>
    </row>
    <row r="196" spans="2:4">
      <c r="B196" s="1342">
        <v>2.6</v>
      </c>
      <c r="C196" s="1122">
        <f t="shared" si="4"/>
        <v>237.54900000000001</v>
      </c>
      <c r="D196" s="117">
        <f t="shared" si="5"/>
        <v>4.0790358911387639</v>
      </c>
    </row>
    <row r="197" spans="2:4">
      <c r="B197" s="1342">
        <v>2.65</v>
      </c>
      <c r="C197" s="1122">
        <f t="shared" si="4"/>
        <v>242.11725000000001</v>
      </c>
      <c r="D197" s="117">
        <f t="shared" si="5"/>
        <v>3.822205348293918</v>
      </c>
    </row>
    <row r="198" spans="2:4">
      <c r="B198" s="1342">
        <v>2.7</v>
      </c>
      <c r="C198" s="1122">
        <f t="shared" si="4"/>
        <v>246.68550000000002</v>
      </c>
      <c r="D198" s="117">
        <f t="shared" si="5"/>
        <v>3.5831019518690299</v>
      </c>
    </row>
    <row r="199" spans="2:4">
      <c r="B199" s="1342">
        <v>2.75</v>
      </c>
      <c r="C199" s="1122">
        <f t="shared" si="4"/>
        <v>251.25375</v>
      </c>
      <c r="D199" s="117">
        <f t="shared" si="5"/>
        <v>3.3605400082168084</v>
      </c>
    </row>
    <row r="200" spans="2:4">
      <c r="B200" s="1342">
        <v>2.8</v>
      </c>
      <c r="C200" s="1122">
        <f t="shared" si="4"/>
        <v>255.82199999999997</v>
      </c>
      <c r="D200" s="117">
        <f t="shared" si="5"/>
        <v>3.1533881029886937</v>
      </c>
    </row>
    <row r="201" spans="2:4">
      <c r="B201" s="1342">
        <v>2.85</v>
      </c>
      <c r="C201" s="1122">
        <f t="shared" si="4"/>
        <v>260.39024999999998</v>
      </c>
      <c r="D201" s="117">
        <f t="shared" si="5"/>
        <v>2.9605729590895615</v>
      </c>
    </row>
    <row r="202" spans="2:4">
      <c r="B202" s="1342">
        <v>2.9</v>
      </c>
      <c r="C202" s="1122">
        <f t="shared" si="4"/>
        <v>264.95850000000002</v>
      </c>
      <c r="D202" s="117">
        <f t="shared" si="5"/>
        <v>2.7810814477830532</v>
      </c>
    </row>
    <row r="203" spans="2:4">
      <c r="B203" s="1342">
        <v>2.95</v>
      </c>
      <c r="C203" s="1122">
        <f t="shared" si="4"/>
        <v>269.52674999999999</v>
      </c>
      <c r="D203" s="117">
        <f t="shared" si="5"/>
        <v>2.6139611530931379</v>
      </c>
    </row>
    <row r="204" spans="2:4">
      <c r="B204" s="1342">
        <v>3</v>
      </c>
      <c r="C204" s="1122">
        <f t="shared" si="4"/>
        <v>274.09500000000003</v>
      </c>
      <c r="D204" s="117">
        <f t="shared" si="5"/>
        <v>2.4583198255876444</v>
      </c>
    </row>
    <row r="205" spans="2:4">
      <c r="B205" s="1342">
        <v>3.05</v>
      </c>
      <c r="C205" s="1122">
        <f t="shared" si="4"/>
        <v>278.66325000000001</v>
      </c>
      <c r="D205" s="117">
        <f t="shared" si="5"/>
        <v>2.3133240038734066</v>
      </c>
    </row>
    <row r="206" spans="2:4">
      <c r="B206" s="1342">
        <v>3.1</v>
      </c>
      <c r="C206" s="1122">
        <f t="shared" si="4"/>
        <v>283.23149999999998</v>
      </c>
      <c r="D206" s="117">
        <f t="shared" si="5"/>
        <v>2.1781970312928287</v>
      </c>
    </row>
    <row r="207" spans="2:4">
      <c r="B207" s="1342">
        <v>3.15</v>
      </c>
      <c r="C207" s="1122">
        <f t="shared" si="4"/>
        <v>287.79975000000002</v>
      </c>
      <c r="D207" s="117">
        <f t="shared" si="5"/>
        <v>2.0522166514100499</v>
      </c>
    </row>
    <row r="208" spans="2:4">
      <c r="B208" s="1342">
        <v>3.2</v>
      </c>
      <c r="C208" s="1122">
        <f t="shared" si="4"/>
        <v>292.36799999999999</v>
      </c>
      <c r="D208" s="117">
        <f t="shared" si="5"/>
        <v>1.9347123285625074</v>
      </c>
    </row>
    <row r="209" spans="2:4">
      <c r="B209" s="1342">
        <v>3.25</v>
      </c>
      <c r="C209" s="1122">
        <f t="shared" si="4"/>
        <v>296.93624999999997</v>
      </c>
      <c r="D209" s="117">
        <f t="shared" si="5"/>
        <v>1.8250624084701808</v>
      </c>
    </row>
    <row r="210" spans="2:4">
      <c r="B210" s="1342">
        <v>3.3</v>
      </c>
      <c r="C210" s="1122">
        <f t="shared" si="4"/>
        <v>301.50450000000001</v>
      </c>
      <c r="D210" s="117">
        <f t="shared" si="5"/>
        <v>1.7226912079782426</v>
      </c>
    </row>
    <row r="211" spans="2:4">
      <c r="B211" s="1342">
        <v>3.35</v>
      </c>
      <c r="C211" s="1122">
        <f t="shared" si="4"/>
        <v>306.07274999999998</v>
      </c>
      <c r="D211" s="117">
        <f t="shared" si="5"/>
        <v>1.627066101770869</v>
      </c>
    </row>
    <row r="212" spans="2:4">
      <c r="B212" s="1342">
        <v>3.4</v>
      </c>
      <c r="C212" s="1122">
        <f t="shared" si="4"/>
        <v>310.64100000000002</v>
      </c>
      <c r="D212" s="117">
        <f t="shared" ref="D212:D224" si="6">$H$145/(1+B212^$J$145*$I$145)</f>
        <v>1.5376946566668255</v>
      </c>
    </row>
    <row r="213" spans="2:4">
      <c r="B213" s="1342">
        <v>3.45</v>
      </c>
      <c r="C213" s="1122">
        <f t="shared" ref="C213:C224" si="7">B213*$K$145/1000</f>
        <v>315.20925</v>
      </c>
      <c r="D213" s="117">
        <f t="shared" si="6"/>
        <v>1.4541218502710338</v>
      </c>
    </row>
    <row r="214" spans="2:4">
      <c r="B214" s="1342">
        <v>3.5</v>
      </c>
      <c r="C214" s="1122">
        <f t="shared" si="7"/>
        <v>319.77749999999997</v>
      </c>
      <c r="D214" s="117">
        <f t="shared" si="6"/>
        <v>1.37592739975348</v>
      </c>
    </row>
    <row r="215" spans="2:4">
      <c r="B215" s="1342">
        <v>3.55</v>
      </c>
      <c r="C215" s="1122">
        <f t="shared" si="7"/>
        <v>324.34575000000001</v>
      </c>
      <c r="D215" s="117">
        <f t="shared" si="6"/>
        <v>1.3027232178674826</v>
      </c>
    </row>
    <row r="216" spans="2:4">
      <c r="B216" s="1342">
        <v>3.6</v>
      </c>
      <c r="C216" s="1122">
        <f t="shared" si="7"/>
        <v>328.91399999999999</v>
      </c>
      <c r="D216" s="117">
        <f t="shared" si="6"/>
        <v>1.2341510065808023</v>
      </c>
    </row>
    <row r="217" spans="2:4">
      <c r="B217" s="1342">
        <v>3.65</v>
      </c>
      <c r="C217" s="1122">
        <f t="shared" si="7"/>
        <v>333.48225000000002</v>
      </c>
      <c r="D217" s="117">
        <f t="shared" si="6"/>
        <v>1.169879993515708</v>
      </c>
    </row>
    <row r="218" spans="2:4">
      <c r="B218" s="1342">
        <v>3.7</v>
      </c>
      <c r="C218" s="1122">
        <f t="shared" si="7"/>
        <v>338.0505</v>
      </c>
      <c r="D218" s="117">
        <f t="shared" si="6"/>
        <v>1.1096048124754061</v>
      </c>
    </row>
    <row r="219" spans="2:4">
      <c r="B219" s="1342">
        <v>3.75</v>
      </c>
      <c r="C219" s="1122">
        <f t="shared" si="7"/>
        <v>342.61874999999998</v>
      </c>
      <c r="D219" s="117">
        <f t="shared" si="6"/>
        <v>1.0530435264226978</v>
      </c>
    </row>
    <row r="220" spans="2:4">
      <c r="B220" s="1342">
        <v>3.8</v>
      </c>
      <c r="C220" s="1122">
        <f t="shared" si="7"/>
        <v>347.18700000000001</v>
      </c>
      <c r="D220" s="117">
        <f t="shared" si="6"/>
        <v>0.99993578916456038</v>
      </c>
    </row>
    <row r="221" spans="2:4">
      <c r="B221" s="1342">
        <v>3.85</v>
      </c>
      <c r="C221" s="1122">
        <f t="shared" si="7"/>
        <v>351.75524999999999</v>
      </c>
      <c r="D221" s="117">
        <f t="shared" si="6"/>
        <v>0.95004114051366706</v>
      </c>
    </row>
    <row r="222" spans="2:4">
      <c r="B222" s="1342">
        <v>3.9</v>
      </c>
      <c r="C222" s="1122">
        <f t="shared" si="7"/>
        <v>356.32350000000002</v>
      </c>
      <c r="D222" s="117">
        <f t="shared" si="6"/>
        <v>0.90313742870630065</v>
      </c>
    </row>
    <row r="223" spans="2:4">
      <c r="B223" s="1342">
        <v>3.95</v>
      </c>
      <c r="C223" s="1122">
        <f t="shared" si="7"/>
        <v>360.89175</v>
      </c>
      <c r="D223" s="117">
        <f t="shared" si="6"/>
        <v>0.8590193532441861</v>
      </c>
    </row>
    <row r="224" spans="2:4">
      <c r="B224" s="1342">
        <v>4</v>
      </c>
      <c r="C224" s="1122">
        <f t="shared" si="7"/>
        <v>365.46</v>
      </c>
      <c r="D224" s="117">
        <f t="shared" si="6"/>
        <v>0.81749712100568028</v>
      </c>
    </row>
  </sheetData>
  <customSheetViews>
    <customSheetView guid="{BD5E6263-A0AD-4076-921A-D4EBD62848EF}" showRuler="0" topLeftCell="A40">
      <selection activeCell="M53" sqref="M53"/>
      <pageMargins left="0.75" right="0.75" top="1" bottom="1" header="0.5" footer="0.5"/>
      <pageSetup orientation="portrait" r:id="rId1"/>
      <headerFooter alignWithMargins="0"/>
    </customSheetView>
    <customSheetView guid="{1D5AE30A-CA7C-4B32-AEA4-9F37A560AAA8}" showRuler="0" topLeftCell="A40">
      <selection activeCell="M53" sqref="M53"/>
      <pageMargins left="0.75" right="0.75" top="1" bottom="1" header="0.5" footer="0.5"/>
      <pageSetup orientation="portrait" r:id="rId2"/>
      <headerFooter alignWithMargins="0"/>
    </customSheetView>
  </customSheetViews>
  <mergeCells count="17">
    <mergeCell ref="B137:K139"/>
    <mergeCell ref="B68:K69"/>
    <mergeCell ref="B40:K43"/>
    <mergeCell ref="B134:K136"/>
    <mergeCell ref="B50:K53"/>
    <mergeCell ref="B75:K77"/>
    <mergeCell ref="B79:K81"/>
    <mergeCell ref="B82:K84"/>
    <mergeCell ref="B89:K90"/>
    <mergeCell ref="B96:K98"/>
    <mergeCell ref="B100:K101"/>
    <mergeCell ref="B103:K104"/>
    <mergeCell ref="B6:K9"/>
    <mergeCell ref="B16:K20"/>
    <mergeCell ref="B26:K27"/>
    <mergeCell ref="B37:K38"/>
    <mergeCell ref="B11:K14"/>
  </mergeCells>
  <phoneticPr fontId="6" type="noConversion"/>
  <pageMargins left="0.75" right="0.75" top="1" bottom="1" header="0.5" footer="0.5"/>
  <pageSetup orientation="portrait" r:id="rId3"/>
  <headerFooter alignWithMargins="0"/>
  <drawing r:id="rId4"/>
</worksheet>
</file>

<file path=xl/worksheets/sheet35.xml><?xml version="1.0" encoding="utf-8"?>
<worksheet xmlns="http://schemas.openxmlformats.org/spreadsheetml/2006/main" xmlns:r="http://schemas.openxmlformats.org/officeDocument/2006/relationships">
  <sheetPr codeName="Sheet29"/>
  <dimension ref="A1:AP490"/>
  <sheetViews>
    <sheetView showRuler="0" workbookViewId="0"/>
  </sheetViews>
  <sheetFormatPr defaultRowHeight="13.95" customHeight="1"/>
  <cols>
    <col min="1" max="4" width="9.75" customWidth="1"/>
    <col min="5" max="5" width="1.75" customWidth="1"/>
    <col min="6" max="7" width="9.75" customWidth="1"/>
    <col min="8" max="8" width="1.75" customWidth="1"/>
    <col min="11" max="11" width="1.75" customWidth="1"/>
    <col min="12" max="12" width="11" customWidth="1"/>
    <col min="14" max="15" width="10.625" customWidth="1"/>
    <col min="17" max="17" width="23" customWidth="1"/>
    <col min="18" max="25" width="9.375" customWidth="1"/>
    <col min="26" max="26" width="11.125" customWidth="1"/>
    <col min="44" max="44" width="9.625" bestFit="1" customWidth="1"/>
  </cols>
  <sheetData>
    <row r="1" spans="1:15" ht="13.95" customHeight="1">
      <c r="A1" s="115" t="s">
        <v>2070</v>
      </c>
      <c r="L1" s="181">
        <f>'Title Page'!K1</f>
        <v>40914</v>
      </c>
    </row>
    <row r="2" spans="1:15" ht="13.95" customHeight="1">
      <c r="A2" s="115"/>
    </row>
    <row r="3" spans="1:15" ht="13.95" customHeight="1">
      <c r="A3" s="3778" t="s">
        <v>2481</v>
      </c>
      <c r="B3" s="3779"/>
      <c r="C3" s="3779"/>
      <c r="D3" s="3779"/>
      <c r="E3" s="3779"/>
      <c r="F3" s="3779"/>
      <c r="G3" s="3779"/>
      <c r="H3" s="3779"/>
      <c r="I3" s="3779"/>
      <c r="J3" s="3779"/>
      <c r="K3" s="3779"/>
      <c r="L3" s="3779"/>
      <c r="M3" s="3779"/>
      <c r="N3" s="45"/>
      <c r="O3" s="45"/>
    </row>
    <row r="4" spans="1:15" ht="13.95" customHeight="1">
      <c r="A4" s="3779"/>
      <c r="B4" s="3779"/>
      <c r="C4" s="3779"/>
      <c r="D4" s="3779"/>
      <c r="E4" s="3779"/>
      <c r="F4" s="3779"/>
      <c r="G4" s="3779"/>
      <c r="H4" s="3779"/>
      <c r="I4" s="3779"/>
      <c r="J4" s="3779"/>
      <c r="K4" s="3779"/>
      <c r="L4" s="3779"/>
      <c r="M4" s="3779"/>
      <c r="N4" s="45"/>
      <c r="O4" s="45"/>
    </row>
    <row r="5" spans="1:15" ht="13.95" customHeight="1">
      <c r="A5" s="3779"/>
      <c r="B5" s="3779"/>
      <c r="C5" s="3779"/>
      <c r="D5" s="3779"/>
      <c r="E5" s="3779"/>
      <c r="F5" s="3779"/>
      <c r="G5" s="3779"/>
      <c r="H5" s="3779"/>
      <c r="I5" s="3779"/>
      <c r="J5" s="3779"/>
      <c r="K5" s="3779"/>
      <c r="L5" s="3779"/>
      <c r="M5" s="3779"/>
      <c r="N5" s="45"/>
      <c r="O5" s="45"/>
    </row>
    <row r="6" spans="1:15" ht="13.95" customHeight="1">
      <c r="A6" s="3779"/>
      <c r="B6" s="3779"/>
      <c r="C6" s="3779"/>
      <c r="D6" s="3779"/>
      <c r="E6" s="3779"/>
      <c r="F6" s="3779"/>
      <c r="G6" s="3779"/>
      <c r="H6" s="3779"/>
      <c r="I6" s="3779"/>
      <c r="J6" s="3779"/>
      <c r="K6" s="3779"/>
      <c r="L6" s="3779"/>
      <c r="M6" s="3779"/>
      <c r="N6" s="45"/>
      <c r="O6" s="45"/>
    </row>
    <row r="7" spans="1:15" ht="13.95" customHeight="1">
      <c r="A7" s="115"/>
    </row>
    <row r="8" spans="1:15" ht="13.95" customHeight="1">
      <c r="A8" s="3778" t="s">
        <v>1468</v>
      </c>
      <c r="B8" s="3779"/>
      <c r="C8" s="3779"/>
      <c r="D8" s="3779"/>
      <c r="E8" s="3779"/>
      <c r="F8" s="3779"/>
      <c r="G8" s="3779"/>
      <c r="H8" s="3779"/>
      <c r="I8" s="3779"/>
      <c r="J8" s="3779"/>
      <c r="K8" s="3779"/>
      <c r="L8" s="3779"/>
      <c r="M8" s="3779"/>
      <c r="N8" s="45"/>
      <c r="O8" s="45"/>
    </row>
    <row r="9" spans="1:15" ht="13.95" customHeight="1">
      <c r="A9" s="3779"/>
      <c r="B9" s="3779"/>
      <c r="C9" s="3779"/>
      <c r="D9" s="3779"/>
      <c r="E9" s="3779"/>
      <c r="F9" s="3779"/>
      <c r="G9" s="3779"/>
      <c r="H9" s="3779"/>
      <c r="I9" s="3779"/>
      <c r="J9" s="3779"/>
      <c r="K9" s="3779"/>
      <c r="L9" s="3779"/>
      <c r="M9" s="3779"/>
      <c r="N9" s="45"/>
      <c r="O9" s="45"/>
    </row>
    <row r="10" spans="1:15" ht="13.95" customHeight="1">
      <c r="A10" s="3779"/>
      <c r="B10" s="3779"/>
      <c r="C10" s="3779"/>
      <c r="D10" s="3779"/>
      <c r="E10" s="3779"/>
      <c r="F10" s="3779"/>
      <c r="G10" s="3779"/>
      <c r="H10" s="3779"/>
      <c r="I10" s="3779"/>
      <c r="J10" s="3779"/>
      <c r="K10" s="3779"/>
      <c r="L10" s="3779"/>
      <c r="M10" s="3779"/>
      <c r="N10" s="45"/>
      <c r="O10" s="45"/>
    </row>
    <row r="11" spans="1:15" ht="13.95" customHeight="1">
      <c r="A11" s="3779"/>
      <c r="B11" s="3779"/>
      <c r="C11" s="3779"/>
      <c r="D11" s="3779"/>
      <c r="E11" s="3779"/>
      <c r="F11" s="3779"/>
      <c r="G11" s="3779"/>
      <c r="H11" s="3779"/>
      <c r="I11" s="3779"/>
      <c r="J11" s="3779"/>
      <c r="K11" s="3779"/>
      <c r="L11" s="3779"/>
      <c r="M11" s="3779"/>
      <c r="N11" s="45"/>
      <c r="O11" s="45"/>
    </row>
    <row r="12" spans="1:15" ht="13.95" customHeight="1">
      <c r="A12" s="3779"/>
      <c r="B12" s="3779"/>
      <c r="C12" s="3779"/>
      <c r="D12" s="3779"/>
      <c r="E12" s="3779"/>
      <c r="F12" s="3779"/>
      <c r="G12" s="3779"/>
      <c r="H12" s="3779"/>
      <c r="I12" s="3779"/>
      <c r="J12" s="3779"/>
      <c r="K12" s="3779"/>
      <c r="L12" s="3779"/>
      <c r="M12" s="3779"/>
      <c r="N12" s="45"/>
      <c r="O12" s="45"/>
    </row>
    <row r="13" spans="1:15" ht="13.95" customHeight="1">
      <c r="A13" s="3779"/>
      <c r="B13" s="3779"/>
      <c r="C13" s="3779"/>
      <c r="D13" s="3779"/>
      <c r="E13" s="3779"/>
      <c r="F13" s="3779"/>
      <c r="G13" s="3779"/>
      <c r="H13" s="3779"/>
      <c r="I13" s="3779"/>
      <c r="J13" s="3779"/>
      <c r="K13" s="3779"/>
      <c r="L13" s="3779"/>
      <c r="M13" s="3779"/>
      <c r="N13" s="45"/>
      <c r="O13" s="45"/>
    </row>
    <row r="14" spans="1:15" ht="13.95" customHeight="1">
      <c r="A14" s="3779"/>
      <c r="B14" s="3779"/>
      <c r="C14" s="3779"/>
      <c r="D14" s="3779"/>
      <c r="E14" s="3779"/>
      <c r="F14" s="3779"/>
      <c r="G14" s="3779"/>
      <c r="H14" s="3779"/>
      <c r="I14" s="3779"/>
      <c r="J14" s="3779"/>
      <c r="K14" s="3779"/>
      <c r="L14" s="3779"/>
      <c r="M14" s="3779"/>
      <c r="N14" s="45"/>
      <c r="O14" s="45"/>
    </row>
    <row r="16" spans="1:15" ht="13.95" customHeight="1">
      <c r="A16" s="3779" t="s">
        <v>1814</v>
      </c>
      <c r="B16" s="3779"/>
      <c r="C16" s="3779"/>
      <c r="D16" s="3779"/>
      <c r="E16" s="3779"/>
      <c r="F16" s="3779"/>
      <c r="G16" s="3779"/>
      <c r="H16" s="3779"/>
      <c r="I16" s="3779"/>
      <c r="J16" s="3779"/>
      <c r="K16" s="3779"/>
      <c r="L16" s="3779"/>
      <c r="M16" s="3779"/>
      <c r="N16" s="45"/>
      <c r="O16" s="45"/>
    </row>
    <row r="17" spans="1:42" ht="13.95" customHeight="1">
      <c r="A17" s="3779"/>
      <c r="B17" s="3779"/>
      <c r="C17" s="3779"/>
      <c r="D17" s="3779"/>
      <c r="E17" s="3779"/>
      <c r="F17" s="3779"/>
      <c r="G17" s="3779"/>
      <c r="H17" s="3779"/>
      <c r="I17" s="3779"/>
      <c r="J17" s="3779"/>
      <c r="K17" s="3779"/>
      <c r="L17" s="3779"/>
      <c r="M17" s="3779"/>
      <c r="N17" s="45"/>
      <c r="O17" s="45"/>
    </row>
    <row r="18" spans="1:42" ht="13.95" customHeight="1">
      <c r="A18" s="3779"/>
      <c r="B18" s="3779"/>
      <c r="C18" s="3779"/>
      <c r="D18" s="3779"/>
      <c r="E18" s="3779"/>
      <c r="F18" s="3779"/>
      <c r="G18" s="3779"/>
      <c r="H18" s="3779"/>
      <c r="I18" s="3779"/>
      <c r="J18" s="3779"/>
      <c r="K18" s="3779"/>
      <c r="L18" s="3779"/>
      <c r="M18" s="3779"/>
      <c r="N18" s="45"/>
      <c r="O18" s="45"/>
    </row>
    <row r="19" spans="1:42" ht="13.95" customHeight="1">
      <c r="A19" s="3779"/>
      <c r="B19" s="3779"/>
      <c r="C19" s="3779"/>
      <c r="D19" s="3779"/>
      <c r="E19" s="3779"/>
      <c r="F19" s="3779"/>
      <c r="G19" s="3779"/>
      <c r="H19" s="3779"/>
      <c r="I19" s="3779"/>
      <c r="J19" s="3779"/>
      <c r="K19" s="3779"/>
      <c r="L19" s="3779"/>
      <c r="M19" s="3779"/>
      <c r="N19" s="45"/>
      <c r="O19" s="45"/>
    </row>
    <row r="21" spans="1:42" ht="13.95" customHeight="1" thickBot="1">
      <c r="A21" s="648" t="s">
        <v>38</v>
      </c>
      <c r="B21" s="113"/>
      <c r="C21" s="113"/>
      <c r="D21" s="113"/>
      <c r="E21" s="113"/>
      <c r="F21" s="5034" t="s">
        <v>41</v>
      </c>
      <c r="G21" s="5034"/>
      <c r="H21" s="113"/>
      <c r="I21" s="5034" t="s">
        <v>416</v>
      </c>
      <c r="J21" s="5034"/>
      <c r="K21" s="113"/>
      <c r="L21" s="5034" t="s">
        <v>417</v>
      </c>
      <c r="M21" s="5034"/>
      <c r="N21" s="5036" t="s">
        <v>618</v>
      </c>
      <c r="O21" s="5036" t="s">
        <v>2399</v>
      </c>
    </row>
    <row r="22" spans="1:42" ht="13.95" customHeight="1">
      <c r="A22" s="113"/>
      <c r="B22" s="113"/>
      <c r="C22" s="113"/>
      <c r="D22" s="113"/>
      <c r="E22" s="113"/>
      <c r="F22" s="5034"/>
      <c r="G22" s="5034"/>
      <c r="H22" s="113"/>
      <c r="I22" s="5034"/>
      <c r="J22" s="5034"/>
      <c r="K22" s="113"/>
      <c r="L22" s="5034"/>
      <c r="M22" s="5034"/>
      <c r="N22" s="5036"/>
      <c r="O22" s="5036"/>
      <c r="AO22" s="976">
        <v>5.4E-8</v>
      </c>
      <c r="AP22" s="577" t="s">
        <v>418</v>
      </c>
    </row>
    <row r="23" spans="1:42" ht="13.95" customHeight="1">
      <c r="A23" s="5033" t="s">
        <v>2592</v>
      </c>
      <c r="B23" s="5033"/>
      <c r="C23" s="5033" t="s">
        <v>2571</v>
      </c>
      <c r="D23" s="5033"/>
      <c r="E23" s="113"/>
      <c r="F23" s="649" t="s">
        <v>39</v>
      </c>
      <c r="G23" s="649" t="s">
        <v>2571</v>
      </c>
      <c r="H23" s="113"/>
      <c r="I23" s="649" t="s">
        <v>39</v>
      </c>
      <c r="J23" s="649" t="s">
        <v>2571</v>
      </c>
      <c r="K23" s="113"/>
      <c r="L23" s="649" t="s">
        <v>39</v>
      </c>
      <c r="M23" s="649" t="s">
        <v>2571</v>
      </c>
      <c r="N23" s="975" t="s">
        <v>2571</v>
      </c>
      <c r="O23" s="975" t="s">
        <v>2571</v>
      </c>
      <c r="AO23" s="977">
        <v>-2.0966299999999999E-5</v>
      </c>
      <c r="AP23" s="578" t="s">
        <v>2567</v>
      </c>
    </row>
    <row r="24" spans="1:42" ht="13.95" customHeight="1">
      <c r="A24" s="579" t="s">
        <v>2593</v>
      </c>
      <c r="B24" s="579" t="s">
        <v>2594</v>
      </c>
      <c r="C24" s="579" t="s">
        <v>2593</v>
      </c>
      <c r="D24" s="579" t="s">
        <v>2594</v>
      </c>
      <c r="E24" s="113"/>
      <c r="F24" s="579" t="s">
        <v>40</v>
      </c>
      <c r="G24" s="579" t="s">
        <v>40</v>
      </c>
      <c r="H24" s="113"/>
      <c r="I24" s="113"/>
      <c r="J24" s="113"/>
      <c r="K24" s="113"/>
      <c r="L24" s="113"/>
      <c r="M24" s="113"/>
      <c r="N24" s="86"/>
      <c r="O24" s="86"/>
      <c r="AO24" s="977">
        <v>3.0537954999999999E-3</v>
      </c>
      <c r="AP24" s="578" t="s">
        <v>2568</v>
      </c>
    </row>
    <row r="25" spans="1:42" ht="13.95" customHeight="1">
      <c r="A25" s="650">
        <v>72</v>
      </c>
      <c r="B25" s="650"/>
      <c r="C25" s="651">
        <v>25</v>
      </c>
      <c r="D25" s="652" t="s">
        <v>2595</v>
      </c>
      <c r="E25" s="113"/>
      <c r="F25" s="650">
        <v>72</v>
      </c>
      <c r="G25" s="651">
        <v>25</v>
      </c>
      <c r="H25" s="113"/>
      <c r="I25" s="650">
        <v>0</v>
      </c>
      <c r="J25" s="652">
        <v>67</v>
      </c>
      <c r="K25" s="113"/>
      <c r="L25" s="650">
        <v>31</v>
      </c>
      <c r="M25" s="651">
        <v>65</v>
      </c>
      <c r="N25" s="5035" t="s">
        <v>1684</v>
      </c>
      <c r="O25" s="5035"/>
      <c r="AO25" s="977">
        <v>-0.198766833</v>
      </c>
      <c r="AP25" s="578" t="s">
        <v>2569</v>
      </c>
    </row>
    <row r="26" spans="1:42" ht="13.95" customHeight="1">
      <c r="A26" s="650">
        <v>94</v>
      </c>
      <c r="B26" s="650"/>
      <c r="C26" s="651">
        <v>16</v>
      </c>
      <c r="D26" s="652" t="s">
        <v>2595</v>
      </c>
      <c r="E26" s="113"/>
      <c r="F26" s="650">
        <v>94</v>
      </c>
      <c r="G26" s="651">
        <v>16</v>
      </c>
      <c r="H26" s="113"/>
      <c r="I26" s="650">
        <v>0</v>
      </c>
      <c r="J26" s="652">
        <v>67</v>
      </c>
      <c r="K26" s="113"/>
      <c r="L26" s="650">
        <v>31</v>
      </c>
      <c r="M26" s="652">
        <v>65</v>
      </c>
      <c r="N26" s="824"/>
      <c r="O26" s="824"/>
      <c r="Q26" s="979" t="s">
        <v>564</v>
      </c>
      <c r="R26" s="980"/>
      <c r="S26" s="980"/>
      <c r="T26" s="980"/>
      <c r="U26" s="980"/>
      <c r="V26" s="980"/>
      <c r="W26" s="980"/>
      <c r="X26" s="981"/>
      <c r="AO26" s="977">
        <v>4.6458648178999997</v>
      </c>
      <c r="AP26" s="578" t="s">
        <v>2570</v>
      </c>
    </row>
    <row r="27" spans="1:42" ht="13.95" customHeight="1" thickBot="1">
      <c r="A27" s="650">
        <v>70</v>
      </c>
      <c r="B27" s="650"/>
      <c r="C27" s="651">
        <v>26</v>
      </c>
      <c r="D27" s="652" t="s">
        <v>2595</v>
      </c>
      <c r="E27" s="113"/>
      <c r="F27" s="650">
        <v>70</v>
      </c>
      <c r="G27" s="651">
        <v>26</v>
      </c>
      <c r="H27" s="113"/>
      <c r="I27" s="650">
        <v>1</v>
      </c>
      <c r="J27" s="652">
        <v>67</v>
      </c>
      <c r="K27" s="113"/>
      <c r="L27" s="650">
        <v>32</v>
      </c>
      <c r="M27" s="651">
        <v>64</v>
      </c>
      <c r="N27" s="824"/>
      <c r="O27" s="824"/>
      <c r="Q27" s="982" t="s">
        <v>976</v>
      </c>
      <c r="R27" s="902"/>
      <c r="S27" s="902"/>
      <c r="T27" s="902"/>
      <c r="U27" s="902"/>
      <c r="V27" s="902"/>
      <c r="W27" s="902"/>
      <c r="X27" s="1172">
        <v>51621</v>
      </c>
      <c r="AO27" s="978">
        <v>39.828448629</v>
      </c>
      <c r="AP27" s="580" t="s">
        <v>746</v>
      </c>
    </row>
    <row r="28" spans="1:42" ht="13.95" customHeight="1">
      <c r="A28" s="650">
        <v>63</v>
      </c>
      <c r="B28" s="650"/>
      <c r="C28" s="651">
        <v>31</v>
      </c>
      <c r="D28" s="652" t="s">
        <v>2595</v>
      </c>
      <c r="E28" s="113"/>
      <c r="F28" s="650">
        <v>63</v>
      </c>
      <c r="G28" s="651">
        <v>31</v>
      </c>
      <c r="H28" s="113"/>
      <c r="I28" s="650">
        <v>1</v>
      </c>
      <c r="J28" s="652">
        <v>67</v>
      </c>
      <c r="K28" s="113"/>
      <c r="L28" s="650">
        <v>32</v>
      </c>
      <c r="M28" s="651">
        <v>64</v>
      </c>
      <c r="N28" s="824"/>
      <c r="O28" s="824"/>
      <c r="Q28" s="212" t="s">
        <v>1659</v>
      </c>
      <c r="R28" s="113"/>
      <c r="S28" s="113"/>
      <c r="T28" s="113"/>
      <c r="U28" s="113"/>
      <c r="V28" s="113"/>
      <c r="W28" s="113"/>
      <c r="X28" s="140">
        <v>-1.7865</v>
      </c>
    </row>
    <row r="29" spans="1:42" ht="13.95" customHeight="1">
      <c r="A29" s="650">
        <v>44</v>
      </c>
      <c r="B29" s="650"/>
      <c r="C29" s="651">
        <v>50</v>
      </c>
      <c r="D29" s="652" t="s">
        <v>2595</v>
      </c>
      <c r="E29" s="113"/>
      <c r="F29" s="650">
        <v>44</v>
      </c>
      <c r="G29" s="651">
        <v>50</v>
      </c>
      <c r="H29" s="113"/>
      <c r="I29" s="650">
        <v>1</v>
      </c>
      <c r="J29" s="652">
        <v>67</v>
      </c>
      <c r="K29" s="113"/>
      <c r="L29" s="650">
        <v>32</v>
      </c>
      <c r="M29" s="651">
        <v>64</v>
      </c>
      <c r="N29" s="824"/>
      <c r="O29" s="824"/>
      <c r="Q29" s="212" t="s">
        <v>1469</v>
      </c>
      <c r="R29" s="113"/>
      <c r="S29" s="113"/>
      <c r="T29" s="113"/>
      <c r="U29" s="113"/>
      <c r="V29" s="113"/>
      <c r="W29" s="113"/>
      <c r="X29" s="140">
        <f>ROUND(40*X28,-1)/40</f>
        <v>-1.75</v>
      </c>
    </row>
    <row r="30" spans="1:42" ht="13.95" customHeight="1">
      <c r="A30" s="650">
        <v>78</v>
      </c>
      <c r="B30" s="650"/>
      <c r="C30" s="651">
        <v>22</v>
      </c>
      <c r="D30" s="652" t="s">
        <v>2595</v>
      </c>
      <c r="E30" s="113"/>
      <c r="F30" s="650">
        <v>78</v>
      </c>
      <c r="G30" s="651">
        <v>22</v>
      </c>
      <c r="H30" s="113"/>
      <c r="I30" s="650">
        <v>1</v>
      </c>
      <c r="J30" s="652">
        <v>67</v>
      </c>
      <c r="K30" s="113"/>
      <c r="L30" s="650">
        <v>32</v>
      </c>
      <c r="M30" s="651">
        <v>64</v>
      </c>
      <c r="N30" s="824"/>
      <c r="O30" s="824"/>
      <c r="Q30" s="844" t="s">
        <v>1470</v>
      </c>
      <c r="R30" s="113"/>
      <c r="S30" s="113"/>
      <c r="T30" s="113"/>
      <c r="U30" s="113"/>
      <c r="V30" s="113"/>
      <c r="W30" s="113"/>
      <c r="X30" s="140"/>
    </row>
    <row r="31" spans="1:42" ht="13.95" customHeight="1">
      <c r="A31" s="650">
        <v>100</v>
      </c>
      <c r="B31" s="650"/>
      <c r="C31" s="651">
        <v>14</v>
      </c>
      <c r="D31" s="652" t="s">
        <v>2595</v>
      </c>
      <c r="E31" s="113"/>
      <c r="F31" s="650">
        <v>100</v>
      </c>
      <c r="G31" s="651">
        <v>14</v>
      </c>
      <c r="H31" s="113"/>
      <c r="I31" s="650">
        <v>2</v>
      </c>
      <c r="J31" s="652">
        <v>67</v>
      </c>
      <c r="K31" s="113"/>
      <c r="L31" s="650">
        <v>32</v>
      </c>
      <c r="M31" s="651">
        <v>64</v>
      </c>
      <c r="N31" s="824"/>
      <c r="O31" s="824"/>
      <c r="Q31" s="212" t="s">
        <v>1662</v>
      </c>
      <c r="R31" s="113"/>
      <c r="S31" s="113"/>
      <c r="T31" s="113"/>
      <c r="U31" s="113"/>
      <c r="V31" s="113"/>
      <c r="W31" s="113"/>
      <c r="X31" s="140">
        <v>25</v>
      </c>
    </row>
    <row r="32" spans="1:42" ht="13.95" customHeight="1">
      <c r="A32" s="650">
        <v>17</v>
      </c>
      <c r="B32" s="650">
        <v>8</v>
      </c>
      <c r="C32" s="651">
        <v>67</v>
      </c>
      <c r="D32" s="652">
        <v>67</v>
      </c>
      <c r="E32" s="113"/>
      <c r="F32" s="650">
        <v>17</v>
      </c>
      <c r="G32" s="651">
        <v>67</v>
      </c>
      <c r="H32" s="113"/>
      <c r="I32" s="650">
        <v>2</v>
      </c>
      <c r="J32" s="652">
        <v>67</v>
      </c>
      <c r="K32" s="113"/>
      <c r="L32" s="650">
        <v>32</v>
      </c>
      <c r="M32" s="651">
        <v>64</v>
      </c>
      <c r="N32" s="824"/>
      <c r="O32" s="824"/>
      <c r="Q32" s="610" t="s">
        <v>1649</v>
      </c>
      <c r="R32" s="141"/>
      <c r="S32" s="141"/>
      <c r="T32" s="141"/>
      <c r="U32" s="141"/>
      <c r="V32" s="141"/>
      <c r="W32" s="141"/>
      <c r="X32" s="481">
        <v>55</v>
      </c>
    </row>
    <row r="33" spans="1:15" ht="13.95" customHeight="1">
      <c r="A33" s="650">
        <v>26</v>
      </c>
      <c r="B33" s="650">
        <v>17</v>
      </c>
      <c r="C33" s="651">
        <v>66</v>
      </c>
      <c r="D33" s="652">
        <v>67</v>
      </c>
      <c r="E33" s="113"/>
      <c r="F33" s="650">
        <v>26</v>
      </c>
      <c r="G33" s="651">
        <v>66</v>
      </c>
      <c r="H33" s="113"/>
      <c r="I33" s="650">
        <v>3</v>
      </c>
      <c r="J33" s="652">
        <v>67</v>
      </c>
      <c r="K33" s="113"/>
      <c r="L33" s="650">
        <v>32</v>
      </c>
      <c r="M33" s="651">
        <v>64</v>
      </c>
      <c r="N33" s="824"/>
      <c r="O33" s="824"/>
    </row>
    <row r="34" spans="1:15" ht="13.95" customHeight="1">
      <c r="A34" s="650">
        <v>34</v>
      </c>
      <c r="B34" s="650">
        <v>30</v>
      </c>
      <c r="C34" s="651">
        <v>63</v>
      </c>
      <c r="D34" s="652">
        <v>65</v>
      </c>
      <c r="E34" s="113"/>
      <c r="F34" s="650">
        <v>34</v>
      </c>
      <c r="G34" s="651">
        <v>63</v>
      </c>
      <c r="H34" s="113"/>
      <c r="I34" s="650">
        <v>3</v>
      </c>
      <c r="J34" s="652">
        <v>67</v>
      </c>
      <c r="K34" s="113"/>
      <c r="L34" s="650">
        <v>32</v>
      </c>
      <c r="M34" s="651">
        <v>64</v>
      </c>
      <c r="N34" s="824"/>
      <c r="O34" s="824"/>
    </row>
    <row r="35" spans="1:15" ht="13.95" customHeight="1">
      <c r="A35" s="650">
        <v>106</v>
      </c>
      <c r="B35" s="650">
        <v>88</v>
      </c>
      <c r="C35" s="651">
        <v>12</v>
      </c>
      <c r="D35" s="652">
        <v>18</v>
      </c>
      <c r="E35" s="113"/>
      <c r="F35" s="650">
        <v>106</v>
      </c>
      <c r="G35" s="651">
        <v>12</v>
      </c>
      <c r="H35" s="113"/>
      <c r="I35" s="650">
        <v>4</v>
      </c>
      <c r="J35" s="652">
        <v>67</v>
      </c>
      <c r="K35" s="113"/>
      <c r="L35" s="650">
        <v>32</v>
      </c>
      <c r="M35" s="651">
        <v>64</v>
      </c>
      <c r="N35" s="824"/>
      <c r="O35" s="824"/>
    </row>
    <row r="36" spans="1:15" ht="13.95" customHeight="1">
      <c r="A36" s="650">
        <v>68</v>
      </c>
      <c r="B36" s="650">
        <v>49</v>
      </c>
      <c r="C36" s="651">
        <v>27</v>
      </c>
      <c r="D36" s="652">
        <v>43</v>
      </c>
      <c r="E36" s="113"/>
      <c r="F36" s="650">
        <v>68</v>
      </c>
      <c r="G36" s="651">
        <v>27</v>
      </c>
      <c r="H36" s="113"/>
      <c r="I36" s="650">
        <v>4</v>
      </c>
      <c r="J36" s="652">
        <v>67</v>
      </c>
      <c r="K36" s="113"/>
      <c r="L36" s="650">
        <v>32</v>
      </c>
      <c r="M36" s="651">
        <v>64</v>
      </c>
      <c r="N36" s="824"/>
      <c r="O36" s="824"/>
    </row>
    <row r="37" spans="1:15" ht="13.95" customHeight="1">
      <c r="A37" s="650">
        <v>73</v>
      </c>
      <c r="B37" s="650">
        <v>40</v>
      </c>
      <c r="C37" s="651">
        <v>25</v>
      </c>
      <c r="D37" s="652">
        <v>55</v>
      </c>
      <c r="E37" s="113"/>
      <c r="F37" s="650">
        <v>73</v>
      </c>
      <c r="G37" s="651">
        <v>25</v>
      </c>
      <c r="H37" s="113"/>
      <c r="I37" s="650">
        <v>4</v>
      </c>
      <c r="J37" s="652">
        <v>67</v>
      </c>
      <c r="K37" s="113"/>
      <c r="L37" s="650">
        <v>32</v>
      </c>
      <c r="M37" s="651">
        <v>64</v>
      </c>
      <c r="N37" s="824"/>
      <c r="O37" s="824"/>
    </row>
    <row r="38" spans="1:15" ht="13.95" customHeight="1">
      <c r="A38" s="650">
        <v>53</v>
      </c>
      <c r="B38" s="650">
        <v>30</v>
      </c>
      <c r="C38" s="651">
        <v>39</v>
      </c>
      <c r="D38" s="652">
        <v>65</v>
      </c>
      <c r="E38" s="113"/>
      <c r="F38" s="650">
        <v>53</v>
      </c>
      <c r="G38" s="651">
        <v>39</v>
      </c>
      <c r="H38" s="113"/>
      <c r="I38" s="650">
        <v>4</v>
      </c>
      <c r="J38" s="652">
        <v>67</v>
      </c>
      <c r="K38" s="113"/>
      <c r="L38" s="650">
        <v>32</v>
      </c>
      <c r="M38" s="651">
        <v>64</v>
      </c>
      <c r="N38" s="824"/>
      <c r="O38" s="824"/>
    </row>
    <row r="39" spans="1:15" ht="13.95" customHeight="1">
      <c r="A39" s="650">
        <v>55</v>
      </c>
      <c r="B39" s="650">
        <v>44</v>
      </c>
      <c r="C39" s="651">
        <v>37</v>
      </c>
      <c r="D39" s="652">
        <v>50</v>
      </c>
      <c r="E39" s="113"/>
      <c r="F39" s="650">
        <v>55</v>
      </c>
      <c r="G39" s="651">
        <v>37</v>
      </c>
      <c r="H39" s="113"/>
      <c r="I39" s="650">
        <v>4</v>
      </c>
      <c r="J39" s="652">
        <v>67</v>
      </c>
      <c r="K39" s="113"/>
      <c r="L39" s="650">
        <v>32</v>
      </c>
      <c r="M39" s="651">
        <v>64</v>
      </c>
      <c r="N39" s="824"/>
      <c r="O39" s="824"/>
    </row>
    <row r="40" spans="1:15" ht="13.95" customHeight="1">
      <c r="A40" s="650">
        <v>81</v>
      </c>
      <c r="B40" s="650">
        <v>92</v>
      </c>
      <c r="C40" s="651">
        <v>21</v>
      </c>
      <c r="D40" s="652">
        <v>16</v>
      </c>
      <c r="E40" s="113"/>
      <c r="F40" s="650">
        <v>81</v>
      </c>
      <c r="G40" s="651">
        <v>21</v>
      </c>
      <c r="H40" s="113"/>
      <c r="I40" s="650">
        <v>4</v>
      </c>
      <c r="J40" s="652">
        <v>67</v>
      </c>
      <c r="K40" s="113"/>
      <c r="L40" s="650">
        <v>32</v>
      </c>
      <c r="M40" s="652">
        <v>64</v>
      </c>
      <c r="N40" s="824"/>
      <c r="O40" s="824"/>
    </row>
    <row r="41" spans="1:15" ht="13.95" customHeight="1">
      <c r="A41" s="650">
        <v>70</v>
      </c>
      <c r="B41" s="650">
        <v>44</v>
      </c>
      <c r="C41" s="651">
        <v>26</v>
      </c>
      <c r="D41" s="652">
        <v>50</v>
      </c>
      <c r="E41" s="113"/>
      <c r="F41" s="650">
        <v>70</v>
      </c>
      <c r="G41" s="651">
        <v>26</v>
      </c>
      <c r="H41" s="113"/>
      <c r="I41" s="650">
        <v>5</v>
      </c>
      <c r="J41" s="652">
        <v>67</v>
      </c>
      <c r="K41" s="113"/>
      <c r="L41" s="650">
        <v>33</v>
      </c>
      <c r="M41" s="651">
        <v>64</v>
      </c>
      <c r="N41" s="824"/>
      <c r="O41" s="824"/>
    </row>
    <row r="42" spans="1:15" ht="13.95" customHeight="1">
      <c r="A42" s="650">
        <v>35</v>
      </c>
      <c r="B42" s="650">
        <v>21</v>
      </c>
      <c r="C42" s="651">
        <v>62</v>
      </c>
      <c r="D42" s="652">
        <v>66</v>
      </c>
      <c r="E42" s="113"/>
      <c r="F42" s="650">
        <v>35</v>
      </c>
      <c r="G42" s="651">
        <v>62</v>
      </c>
      <c r="H42" s="113"/>
      <c r="I42" s="650">
        <v>5</v>
      </c>
      <c r="J42" s="652">
        <v>67</v>
      </c>
      <c r="K42" s="113"/>
      <c r="L42" s="650">
        <v>33</v>
      </c>
      <c r="M42" s="651">
        <v>64</v>
      </c>
      <c r="N42" s="824"/>
      <c r="O42" s="824"/>
    </row>
    <row r="43" spans="1:15" ht="13.95" customHeight="1">
      <c r="A43" s="650">
        <v>46</v>
      </c>
      <c r="B43" s="650">
        <v>20</v>
      </c>
      <c r="C43" s="651">
        <v>47</v>
      </c>
      <c r="D43" s="652">
        <v>66</v>
      </c>
      <c r="E43" s="113"/>
      <c r="F43" s="650">
        <v>46</v>
      </c>
      <c r="G43" s="651">
        <v>47</v>
      </c>
      <c r="H43" s="113"/>
      <c r="I43" s="650">
        <v>5</v>
      </c>
      <c r="J43" s="652">
        <v>67</v>
      </c>
      <c r="K43" s="113"/>
      <c r="L43" s="650">
        <v>33</v>
      </c>
      <c r="M43" s="651">
        <v>64</v>
      </c>
      <c r="N43" s="824"/>
      <c r="O43" s="824"/>
    </row>
    <row r="44" spans="1:15" ht="13.95" customHeight="1">
      <c r="A44" s="650">
        <v>109</v>
      </c>
      <c r="B44" s="650">
        <v>36</v>
      </c>
      <c r="C44" s="651">
        <v>12</v>
      </c>
      <c r="D44" s="652">
        <v>61</v>
      </c>
      <c r="E44" s="113"/>
      <c r="F44" s="650">
        <v>109</v>
      </c>
      <c r="G44" s="651">
        <v>12</v>
      </c>
      <c r="H44" s="113"/>
      <c r="I44" s="650">
        <v>5</v>
      </c>
      <c r="J44" s="652">
        <v>67</v>
      </c>
      <c r="K44" s="113"/>
      <c r="L44" s="650">
        <v>33</v>
      </c>
      <c r="M44" s="651">
        <v>64</v>
      </c>
      <c r="N44" s="824"/>
      <c r="O44" s="824"/>
    </row>
    <row r="45" spans="1:15" ht="13.95" customHeight="1">
      <c r="A45" s="650">
        <v>99</v>
      </c>
      <c r="B45" s="650">
        <v>95</v>
      </c>
      <c r="C45" s="651">
        <v>14</v>
      </c>
      <c r="D45" s="652">
        <v>15</v>
      </c>
      <c r="E45" s="113"/>
      <c r="F45" s="650">
        <v>99</v>
      </c>
      <c r="G45" s="651">
        <v>14</v>
      </c>
      <c r="H45" s="113"/>
      <c r="I45" s="650">
        <v>6</v>
      </c>
      <c r="J45" s="652">
        <v>67</v>
      </c>
      <c r="K45" s="113"/>
      <c r="L45" s="650">
        <v>33</v>
      </c>
      <c r="M45" s="651">
        <v>64</v>
      </c>
      <c r="N45" s="824"/>
      <c r="O45" s="824"/>
    </row>
    <row r="46" spans="1:15" ht="13.95" customHeight="1">
      <c r="A46" s="650">
        <v>100</v>
      </c>
      <c r="B46" s="650">
        <v>74</v>
      </c>
      <c r="C46" s="651">
        <v>14</v>
      </c>
      <c r="D46" s="652">
        <v>24</v>
      </c>
      <c r="E46" s="113"/>
      <c r="F46" s="650">
        <v>100</v>
      </c>
      <c r="G46" s="651">
        <v>14</v>
      </c>
      <c r="H46" s="113"/>
      <c r="I46" s="650">
        <v>6</v>
      </c>
      <c r="J46" s="652">
        <v>67</v>
      </c>
      <c r="K46" s="113"/>
      <c r="L46" s="650">
        <v>33</v>
      </c>
      <c r="M46" s="651">
        <v>64</v>
      </c>
      <c r="N46" s="824"/>
      <c r="O46" s="824"/>
    </row>
    <row r="47" spans="1:15" ht="13.95" customHeight="1">
      <c r="A47" s="650">
        <v>56</v>
      </c>
      <c r="B47" s="650">
        <v>52</v>
      </c>
      <c r="C47" s="651">
        <v>36</v>
      </c>
      <c r="D47" s="652">
        <v>40</v>
      </c>
      <c r="E47" s="113"/>
      <c r="F47" s="650">
        <v>56</v>
      </c>
      <c r="G47" s="651">
        <v>36</v>
      </c>
      <c r="H47" s="113"/>
      <c r="I47" s="650">
        <v>6</v>
      </c>
      <c r="J47" s="652">
        <v>67</v>
      </c>
      <c r="K47" s="113"/>
      <c r="L47" s="650">
        <v>33</v>
      </c>
      <c r="M47" s="651">
        <v>64</v>
      </c>
      <c r="N47" s="824"/>
      <c r="O47" s="824"/>
    </row>
    <row r="48" spans="1:15" ht="13.95" customHeight="1">
      <c r="A48" s="650">
        <v>37</v>
      </c>
      <c r="B48" s="650">
        <v>29</v>
      </c>
      <c r="C48" s="651">
        <v>59</v>
      </c>
      <c r="D48" s="652">
        <v>65</v>
      </c>
      <c r="E48" s="113"/>
      <c r="F48" s="650">
        <v>37</v>
      </c>
      <c r="G48" s="651">
        <v>59</v>
      </c>
      <c r="H48" s="113"/>
      <c r="I48" s="650">
        <v>6</v>
      </c>
      <c r="J48" s="652">
        <v>67</v>
      </c>
      <c r="K48" s="113"/>
      <c r="L48" s="650">
        <v>33</v>
      </c>
      <c r="M48" s="652">
        <v>64</v>
      </c>
      <c r="N48" s="824"/>
      <c r="O48" s="824"/>
    </row>
    <row r="49" spans="1:33" ht="13.95" customHeight="1">
      <c r="A49" s="650">
        <v>33</v>
      </c>
      <c r="B49" s="650">
        <v>25</v>
      </c>
      <c r="C49" s="651">
        <v>64</v>
      </c>
      <c r="D49" s="652">
        <v>66</v>
      </c>
      <c r="E49" s="113"/>
      <c r="F49" s="650">
        <v>33</v>
      </c>
      <c r="G49" s="651">
        <v>64</v>
      </c>
      <c r="H49" s="113"/>
      <c r="I49" s="650">
        <v>6</v>
      </c>
      <c r="J49" s="652">
        <v>67</v>
      </c>
      <c r="K49" s="113"/>
      <c r="L49" s="650">
        <v>34</v>
      </c>
      <c r="M49" s="651">
        <v>63</v>
      </c>
      <c r="N49" s="5035" t="s">
        <v>1684</v>
      </c>
      <c r="O49" s="5035"/>
    </row>
    <row r="50" spans="1:33" ht="13.95" customHeight="1">
      <c r="A50" s="650">
        <v>31</v>
      </c>
      <c r="B50" s="650">
        <v>22</v>
      </c>
      <c r="C50" s="651">
        <v>65</v>
      </c>
      <c r="D50" s="652">
        <v>66</v>
      </c>
      <c r="E50" s="113"/>
      <c r="F50" s="650">
        <v>31</v>
      </c>
      <c r="G50" s="651">
        <v>65</v>
      </c>
      <c r="H50" s="113"/>
      <c r="I50" s="650">
        <v>6</v>
      </c>
      <c r="J50" s="652">
        <v>67</v>
      </c>
      <c r="K50" s="113"/>
      <c r="L50" s="650">
        <v>34</v>
      </c>
      <c r="M50" s="651">
        <v>63</v>
      </c>
      <c r="N50" s="824"/>
      <c r="O50" s="824"/>
    </row>
    <row r="51" spans="1:33" ht="13.95" customHeight="1">
      <c r="A51" s="650">
        <v>68</v>
      </c>
      <c r="B51" s="650">
        <v>6</v>
      </c>
      <c r="C51" s="651">
        <v>27</v>
      </c>
      <c r="D51" s="652">
        <v>67</v>
      </c>
      <c r="E51" s="113"/>
      <c r="F51" s="650">
        <v>68</v>
      </c>
      <c r="G51" s="651">
        <v>27</v>
      </c>
      <c r="H51" s="113"/>
      <c r="I51" s="650">
        <v>6</v>
      </c>
      <c r="J51" s="652">
        <v>67</v>
      </c>
      <c r="K51" s="113"/>
      <c r="L51" s="650">
        <v>34</v>
      </c>
      <c r="M51" s="651">
        <v>63</v>
      </c>
      <c r="N51" s="824"/>
      <c r="O51" s="824"/>
      <c r="AG51" s="581"/>
    </row>
    <row r="52" spans="1:33" ht="13.95" customHeight="1">
      <c r="A52" s="650">
        <v>84</v>
      </c>
      <c r="B52" s="650">
        <v>25</v>
      </c>
      <c r="C52" s="651">
        <v>19</v>
      </c>
      <c r="D52" s="652">
        <v>66</v>
      </c>
      <c r="E52" s="113"/>
      <c r="F52" s="650">
        <v>84</v>
      </c>
      <c r="G52" s="651">
        <v>19</v>
      </c>
      <c r="H52" s="113"/>
      <c r="I52" s="650">
        <v>7</v>
      </c>
      <c r="J52" s="652">
        <v>67</v>
      </c>
      <c r="K52" s="113"/>
      <c r="L52" s="650">
        <v>34</v>
      </c>
      <c r="M52" s="651">
        <v>63</v>
      </c>
      <c r="N52" s="824"/>
      <c r="O52" s="824"/>
      <c r="AG52" s="581"/>
    </row>
    <row r="53" spans="1:33" ht="13.95" customHeight="1">
      <c r="A53" s="650">
        <v>87</v>
      </c>
      <c r="B53" s="650">
        <v>5</v>
      </c>
      <c r="C53" s="651">
        <v>18</v>
      </c>
      <c r="D53" s="652">
        <v>67</v>
      </c>
      <c r="E53" s="113"/>
      <c r="F53" s="650">
        <v>87</v>
      </c>
      <c r="G53" s="651">
        <v>18</v>
      </c>
      <c r="H53" s="113"/>
      <c r="I53" s="650">
        <v>7</v>
      </c>
      <c r="J53" s="652">
        <v>67</v>
      </c>
      <c r="K53" s="113"/>
      <c r="L53" s="650">
        <v>34</v>
      </c>
      <c r="M53" s="651">
        <v>63</v>
      </c>
      <c r="N53" s="824"/>
      <c r="O53" s="824"/>
      <c r="AG53" s="581"/>
    </row>
    <row r="54" spans="1:33" ht="13.95" customHeight="1">
      <c r="A54" s="650">
        <v>73</v>
      </c>
      <c r="B54" s="650">
        <v>9</v>
      </c>
      <c r="C54" s="651">
        <v>25</v>
      </c>
      <c r="D54" s="652">
        <v>67</v>
      </c>
      <c r="E54" s="113"/>
      <c r="F54" s="650">
        <v>73</v>
      </c>
      <c r="G54" s="651">
        <v>25</v>
      </c>
      <c r="H54" s="113"/>
      <c r="I54" s="650">
        <v>7</v>
      </c>
      <c r="J54" s="652">
        <v>67</v>
      </c>
      <c r="K54" s="113"/>
      <c r="L54" s="650">
        <v>34</v>
      </c>
      <c r="M54" s="651">
        <v>63</v>
      </c>
      <c r="N54" s="824"/>
      <c r="O54" s="824"/>
      <c r="AG54" s="581"/>
    </row>
    <row r="55" spans="1:33" ht="13.95" customHeight="1">
      <c r="A55" s="650">
        <v>52</v>
      </c>
      <c r="B55" s="650">
        <v>3</v>
      </c>
      <c r="C55" s="651">
        <v>40</v>
      </c>
      <c r="D55" s="652">
        <v>67</v>
      </c>
      <c r="E55" s="113"/>
      <c r="F55" s="650">
        <v>52</v>
      </c>
      <c r="G55" s="651">
        <v>40</v>
      </c>
      <c r="H55" s="113"/>
      <c r="I55" s="650">
        <v>7</v>
      </c>
      <c r="J55" s="652">
        <v>67</v>
      </c>
      <c r="K55" s="113"/>
      <c r="L55" s="650">
        <v>34</v>
      </c>
      <c r="M55" s="651">
        <v>63</v>
      </c>
      <c r="N55" s="824"/>
      <c r="O55" s="824"/>
      <c r="AG55" s="581"/>
    </row>
    <row r="56" spans="1:33" ht="13.95" customHeight="1">
      <c r="A56" s="650">
        <v>106</v>
      </c>
      <c r="B56" s="650">
        <v>16</v>
      </c>
      <c r="C56" s="651">
        <v>12</v>
      </c>
      <c r="D56" s="652">
        <v>67</v>
      </c>
      <c r="E56" s="113"/>
      <c r="F56" s="650">
        <v>106</v>
      </c>
      <c r="G56" s="651">
        <v>12</v>
      </c>
      <c r="H56" s="113"/>
      <c r="I56" s="650">
        <v>7</v>
      </c>
      <c r="J56" s="652">
        <v>67</v>
      </c>
      <c r="K56" s="113"/>
      <c r="L56" s="650">
        <v>34</v>
      </c>
      <c r="M56" s="652">
        <v>63</v>
      </c>
      <c r="N56" s="824"/>
      <c r="O56" s="824"/>
      <c r="Q56" s="812" t="s">
        <v>927</v>
      </c>
      <c r="R56" s="86"/>
      <c r="S56" s="86"/>
      <c r="T56" s="86"/>
      <c r="U56" s="86"/>
      <c r="V56" s="86"/>
      <c r="W56" s="86"/>
      <c r="X56" s="86"/>
      <c r="AG56" s="581"/>
    </row>
    <row r="57" spans="1:33" ht="13.95" customHeight="1">
      <c r="A57" s="650">
        <v>88</v>
      </c>
      <c r="B57" s="650">
        <v>13</v>
      </c>
      <c r="C57" s="651">
        <v>18</v>
      </c>
      <c r="D57" s="652">
        <v>67</v>
      </c>
      <c r="E57" s="113"/>
      <c r="F57" s="650">
        <v>88</v>
      </c>
      <c r="G57" s="651">
        <v>18</v>
      </c>
      <c r="H57" s="113"/>
      <c r="I57" s="650">
        <v>8</v>
      </c>
      <c r="J57" s="652">
        <v>67</v>
      </c>
      <c r="K57" s="113"/>
      <c r="L57" s="650">
        <v>34</v>
      </c>
      <c r="M57" s="652">
        <v>63</v>
      </c>
      <c r="N57" s="824"/>
      <c r="O57" s="824"/>
      <c r="Q57" s="86" t="s">
        <v>1459</v>
      </c>
      <c r="R57" s="86"/>
      <c r="S57" s="86"/>
      <c r="T57" s="86"/>
      <c r="U57" s="86"/>
      <c r="V57" s="86"/>
      <c r="W57" s="86"/>
      <c r="X57" s="86">
        <v>130.63</v>
      </c>
    </row>
    <row r="58" spans="1:33" ht="13.95" customHeight="1">
      <c r="A58" s="650">
        <v>70</v>
      </c>
      <c r="B58" s="650">
        <v>29</v>
      </c>
      <c r="C58" s="651">
        <v>26</v>
      </c>
      <c r="D58" s="652">
        <v>65</v>
      </c>
      <c r="E58" s="113"/>
      <c r="F58" s="650">
        <v>70</v>
      </c>
      <c r="G58" s="651">
        <v>26</v>
      </c>
      <c r="H58" s="113"/>
      <c r="I58" s="650">
        <v>8</v>
      </c>
      <c r="J58" s="652">
        <v>67</v>
      </c>
      <c r="K58" s="113"/>
      <c r="L58" s="650">
        <v>35</v>
      </c>
      <c r="M58" s="651">
        <v>62</v>
      </c>
      <c r="N58" s="824"/>
      <c r="O58" s="824"/>
      <c r="Q58" s="86" t="s">
        <v>1458</v>
      </c>
      <c r="R58" s="86"/>
      <c r="S58" s="86"/>
      <c r="T58" s="86"/>
      <c r="U58" s="86"/>
      <c r="V58" s="86"/>
      <c r="W58" s="86"/>
      <c r="X58" s="86">
        <v>-2.2499999999999999E-2</v>
      </c>
    </row>
    <row r="59" spans="1:33" ht="13.95" customHeight="1">
      <c r="A59" s="650">
        <v>43</v>
      </c>
      <c r="B59" s="650">
        <v>17</v>
      </c>
      <c r="C59" s="651">
        <v>51</v>
      </c>
      <c r="D59" s="652">
        <v>67</v>
      </c>
      <c r="E59" s="113"/>
      <c r="F59" s="650">
        <v>43</v>
      </c>
      <c r="G59" s="651">
        <v>51</v>
      </c>
      <c r="H59" s="113"/>
      <c r="I59" s="650">
        <v>8</v>
      </c>
      <c r="J59" s="652">
        <v>67</v>
      </c>
      <c r="K59" s="113"/>
      <c r="L59" s="650">
        <v>35</v>
      </c>
      <c r="M59" s="651">
        <v>62</v>
      </c>
      <c r="N59" s="824"/>
      <c r="O59" s="824"/>
    </row>
    <row r="60" spans="1:33" ht="13.95" customHeight="1">
      <c r="A60" s="650">
        <v>56</v>
      </c>
      <c r="B60" s="650">
        <v>7</v>
      </c>
      <c r="C60" s="651">
        <v>36</v>
      </c>
      <c r="D60" s="652">
        <v>67</v>
      </c>
      <c r="E60" s="113"/>
      <c r="F60" s="650">
        <v>56</v>
      </c>
      <c r="G60" s="651">
        <v>36</v>
      </c>
      <c r="H60" s="113"/>
      <c r="I60" s="650">
        <v>8</v>
      </c>
      <c r="J60" s="652">
        <v>67</v>
      </c>
      <c r="K60" s="113"/>
      <c r="L60" s="650">
        <v>35</v>
      </c>
      <c r="M60" s="651">
        <v>62</v>
      </c>
      <c r="N60" s="824"/>
      <c r="O60" s="824"/>
    </row>
    <row r="61" spans="1:33" ht="13.95" customHeight="1">
      <c r="A61" s="650">
        <v>15</v>
      </c>
      <c r="B61" s="650"/>
      <c r="C61" s="651">
        <v>67</v>
      </c>
      <c r="D61" s="652" t="s">
        <v>2595</v>
      </c>
      <c r="E61" s="113"/>
      <c r="F61" s="650">
        <v>15</v>
      </c>
      <c r="G61" s="651">
        <v>67</v>
      </c>
      <c r="H61" s="113"/>
      <c r="I61" s="650">
        <v>8</v>
      </c>
      <c r="J61" s="652">
        <v>67</v>
      </c>
      <c r="K61" s="113"/>
      <c r="L61" s="650">
        <v>35</v>
      </c>
      <c r="M61" s="652">
        <v>62</v>
      </c>
      <c r="N61" s="824"/>
      <c r="O61" s="824"/>
    </row>
    <row r="62" spans="1:33" ht="13.95" customHeight="1">
      <c r="A62" s="650">
        <v>18</v>
      </c>
      <c r="B62" s="650"/>
      <c r="C62" s="651">
        <v>67</v>
      </c>
      <c r="D62" s="652" t="s">
        <v>2595</v>
      </c>
      <c r="E62" s="113"/>
      <c r="F62" s="650">
        <v>18</v>
      </c>
      <c r="G62" s="651">
        <v>67</v>
      </c>
      <c r="H62" s="113"/>
      <c r="I62" s="650">
        <v>8</v>
      </c>
      <c r="J62" s="652">
        <v>67</v>
      </c>
      <c r="K62" s="113"/>
      <c r="L62" s="650">
        <v>36</v>
      </c>
      <c r="M62" s="651">
        <v>61</v>
      </c>
      <c r="N62" s="824"/>
      <c r="O62" s="824"/>
    </row>
    <row r="63" spans="1:33" ht="13.95" customHeight="1">
      <c r="A63" s="650">
        <v>17</v>
      </c>
      <c r="B63" s="650"/>
      <c r="C63" s="651">
        <v>67</v>
      </c>
      <c r="D63" s="652" t="s">
        <v>2595</v>
      </c>
      <c r="E63" s="113"/>
      <c r="F63" s="650">
        <v>17</v>
      </c>
      <c r="G63" s="651">
        <v>67</v>
      </c>
      <c r="H63" s="113"/>
      <c r="I63" s="650">
        <v>9</v>
      </c>
      <c r="J63" s="652">
        <v>67</v>
      </c>
      <c r="K63" s="113"/>
      <c r="L63" s="650">
        <v>36</v>
      </c>
      <c r="M63" s="651">
        <v>61</v>
      </c>
      <c r="N63" s="824"/>
      <c r="O63" s="824"/>
    </row>
    <row r="64" spans="1:33" ht="13.95" customHeight="1">
      <c r="A64" s="650">
        <v>18</v>
      </c>
      <c r="B64" s="650"/>
      <c r="C64" s="651">
        <v>67</v>
      </c>
      <c r="D64" s="652" t="s">
        <v>2595</v>
      </c>
      <c r="E64" s="113"/>
      <c r="F64" s="650">
        <v>18</v>
      </c>
      <c r="G64" s="651">
        <v>67</v>
      </c>
      <c r="H64" s="113"/>
      <c r="I64" s="650">
        <v>9</v>
      </c>
      <c r="J64" s="652">
        <v>67</v>
      </c>
      <c r="K64" s="113"/>
      <c r="L64" s="650">
        <v>36</v>
      </c>
      <c r="M64" s="651">
        <v>61</v>
      </c>
      <c r="N64" s="824"/>
      <c r="O64" s="824"/>
    </row>
    <row r="65" spans="1:15" ht="13.95" customHeight="1">
      <c r="A65" s="650">
        <v>13</v>
      </c>
      <c r="B65" s="650"/>
      <c r="C65" s="651">
        <v>67</v>
      </c>
      <c r="D65" s="652" t="s">
        <v>2595</v>
      </c>
      <c r="E65" s="113"/>
      <c r="F65" s="650">
        <v>13</v>
      </c>
      <c r="G65" s="651">
        <v>67</v>
      </c>
      <c r="H65" s="113"/>
      <c r="I65" s="650">
        <v>10</v>
      </c>
      <c r="J65" s="651">
        <v>67</v>
      </c>
      <c r="K65" s="113"/>
      <c r="L65" s="650">
        <v>36</v>
      </c>
      <c r="M65" s="651">
        <v>61</v>
      </c>
      <c r="N65" s="824"/>
      <c r="O65" s="824"/>
    </row>
    <row r="66" spans="1:15" ht="13.95" customHeight="1">
      <c r="A66" s="650">
        <v>19</v>
      </c>
      <c r="B66" s="650"/>
      <c r="C66" s="651">
        <v>66</v>
      </c>
      <c r="D66" s="652" t="s">
        <v>2595</v>
      </c>
      <c r="E66" s="113"/>
      <c r="F66" s="650">
        <v>19</v>
      </c>
      <c r="G66" s="651">
        <v>66</v>
      </c>
      <c r="H66" s="113"/>
      <c r="I66" s="650">
        <v>10</v>
      </c>
      <c r="J66" s="651">
        <v>67</v>
      </c>
      <c r="K66" s="113"/>
      <c r="L66" s="650">
        <v>36</v>
      </c>
      <c r="M66" s="652">
        <v>61</v>
      </c>
      <c r="N66" s="824"/>
      <c r="O66" s="824"/>
    </row>
    <row r="67" spans="1:15" ht="13.95" customHeight="1">
      <c r="A67" s="650">
        <v>20</v>
      </c>
      <c r="B67" s="650"/>
      <c r="C67" s="651">
        <v>66</v>
      </c>
      <c r="D67" s="652" t="s">
        <v>2595</v>
      </c>
      <c r="E67" s="113"/>
      <c r="F67" s="650">
        <v>20</v>
      </c>
      <c r="G67" s="651">
        <v>66</v>
      </c>
      <c r="H67" s="113"/>
      <c r="I67" s="650">
        <v>10</v>
      </c>
      <c r="J67" s="652">
        <v>67</v>
      </c>
      <c r="K67" s="113"/>
      <c r="L67" s="650">
        <v>36</v>
      </c>
      <c r="M67" s="652">
        <v>61</v>
      </c>
      <c r="N67" s="824"/>
      <c r="O67" s="824"/>
    </row>
    <row r="68" spans="1:15" ht="13.95" customHeight="1">
      <c r="A68" s="650">
        <v>30</v>
      </c>
      <c r="B68" s="650"/>
      <c r="C68" s="651">
        <v>65</v>
      </c>
      <c r="D68" s="652" t="s">
        <v>2595</v>
      </c>
      <c r="E68" s="113"/>
      <c r="F68" s="650">
        <v>30</v>
      </c>
      <c r="G68" s="651">
        <v>65</v>
      </c>
      <c r="H68" s="113"/>
      <c r="I68" s="650">
        <v>10</v>
      </c>
      <c r="J68" s="652">
        <v>67</v>
      </c>
      <c r="K68" s="113"/>
      <c r="L68" s="650">
        <v>37</v>
      </c>
      <c r="M68" s="651">
        <v>59</v>
      </c>
      <c r="N68" s="824"/>
      <c r="O68" s="824"/>
    </row>
    <row r="69" spans="1:15" ht="13.95" customHeight="1">
      <c r="A69" s="650">
        <v>37</v>
      </c>
      <c r="B69" s="650"/>
      <c r="C69" s="651">
        <v>59</v>
      </c>
      <c r="D69" s="652" t="s">
        <v>2595</v>
      </c>
      <c r="E69" s="113"/>
      <c r="F69" s="650">
        <v>37</v>
      </c>
      <c r="G69" s="651">
        <v>59</v>
      </c>
      <c r="H69" s="113"/>
      <c r="I69" s="650">
        <v>10</v>
      </c>
      <c r="J69" s="652">
        <v>67</v>
      </c>
      <c r="K69" s="113"/>
      <c r="L69" s="650">
        <v>37</v>
      </c>
      <c r="M69" s="651">
        <v>59</v>
      </c>
      <c r="N69" s="824"/>
      <c r="O69" s="824"/>
    </row>
    <row r="70" spans="1:15" ht="13.95" customHeight="1">
      <c r="A70" s="650">
        <v>59</v>
      </c>
      <c r="B70" s="650"/>
      <c r="C70" s="651">
        <v>34</v>
      </c>
      <c r="D70" s="652" t="s">
        <v>2595</v>
      </c>
      <c r="E70" s="113"/>
      <c r="F70" s="650">
        <v>59</v>
      </c>
      <c r="G70" s="651">
        <v>34</v>
      </c>
      <c r="H70" s="113"/>
      <c r="I70" s="650">
        <v>10</v>
      </c>
      <c r="J70" s="652">
        <v>67</v>
      </c>
      <c r="K70" s="113"/>
      <c r="L70" s="650">
        <v>37</v>
      </c>
      <c r="M70" s="651">
        <v>59</v>
      </c>
      <c r="N70" s="824"/>
      <c r="O70" s="824"/>
    </row>
    <row r="71" spans="1:15" ht="13.95" customHeight="1">
      <c r="A71" s="650">
        <v>71</v>
      </c>
      <c r="B71" s="650"/>
      <c r="C71" s="651">
        <v>26</v>
      </c>
      <c r="D71" s="652" t="s">
        <v>2595</v>
      </c>
      <c r="E71" s="113"/>
      <c r="F71" s="650">
        <v>71</v>
      </c>
      <c r="G71" s="651">
        <v>26</v>
      </c>
      <c r="H71" s="113"/>
      <c r="I71" s="650">
        <v>10</v>
      </c>
      <c r="J71" s="652">
        <v>67</v>
      </c>
      <c r="K71" s="113"/>
      <c r="L71" s="650">
        <v>37</v>
      </c>
      <c r="M71" s="651">
        <v>59</v>
      </c>
      <c r="N71" s="824"/>
      <c r="O71" s="824"/>
    </row>
    <row r="72" spans="1:15" ht="13.95" customHeight="1">
      <c r="A72" s="650">
        <v>47</v>
      </c>
      <c r="B72" s="650"/>
      <c r="C72" s="651">
        <v>46</v>
      </c>
      <c r="D72" s="652" t="s">
        <v>2595</v>
      </c>
      <c r="E72" s="113"/>
      <c r="F72" s="650">
        <v>47</v>
      </c>
      <c r="G72" s="651">
        <v>46</v>
      </c>
      <c r="H72" s="113"/>
      <c r="I72" s="650">
        <v>10</v>
      </c>
      <c r="J72" s="652">
        <v>67</v>
      </c>
      <c r="K72" s="113"/>
      <c r="L72" s="650">
        <v>37</v>
      </c>
      <c r="M72" s="651">
        <v>59</v>
      </c>
      <c r="N72" s="5035" t="s">
        <v>1684</v>
      </c>
      <c r="O72" s="5035"/>
    </row>
    <row r="73" spans="1:15" ht="13.95" customHeight="1">
      <c r="A73" s="650">
        <v>34</v>
      </c>
      <c r="B73" s="650">
        <v>18</v>
      </c>
      <c r="C73" s="651">
        <v>63</v>
      </c>
      <c r="D73" s="652">
        <v>67</v>
      </c>
      <c r="E73" s="113"/>
      <c r="F73" s="650">
        <v>34</v>
      </c>
      <c r="G73" s="651">
        <v>63</v>
      </c>
      <c r="H73" s="113"/>
      <c r="I73" s="650">
        <v>10</v>
      </c>
      <c r="J73" s="652">
        <v>67</v>
      </c>
      <c r="K73" s="113"/>
      <c r="L73" s="650">
        <v>37</v>
      </c>
      <c r="M73" s="652">
        <v>59</v>
      </c>
      <c r="N73" s="824"/>
      <c r="O73" s="824"/>
    </row>
    <row r="74" spans="1:15" ht="13.95" customHeight="1">
      <c r="A74" s="650">
        <v>26</v>
      </c>
      <c r="B74" s="650">
        <v>22</v>
      </c>
      <c r="C74" s="651">
        <v>66</v>
      </c>
      <c r="D74" s="652">
        <v>66</v>
      </c>
      <c r="E74" s="113"/>
      <c r="F74" s="650">
        <v>26</v>
      </c>
      <c r="G74" s="651">
        <v>66</v>
      </c>
      <c r="H74" s="113"/>
      <c r="I74" s="650">
        <v>11</v>
      </c>
      <c r="J74" s="651">
        <v>67</v>
      </c>
      <c r="K74" s="113"/>
      <c r="L74" s="650">
        <v>37</v>
      </c>
      <c r="M74" s="652">
        <v>59</v>
      </c>
      <c r="N74" s="824"/>
      <c r="O74" s="824"/>
    </row>
    <row r="75" spans="1:15" ht="13.95" customHeight="1">
      <c r="A75" s="650">
        <v>28</v>
      </c>
      <c r="B75" s="650">
        <v>26</v>
      </c>
      <c r="C75" s="651">
        <v>66</v>
      </c>
      <c r="D75" s="652">
        <v>66</v>
      </c>
      <c r="E75" s="113"/>
      <c r="F75" s="650">
        <v>28</v>
      </c>
      <c r="G75" s="651">
        <v>66</v>
      </c>
      <c r="H75" s="113"/>
      <c r="I75" s="650">
        <v>11</v>
      </c>
      <c r="J75" s="651">
        <v>67</v>
      </c>
      <c r="K75" s="113"/>
      <c r="L75" s="650">
        <v>38</v>
      </c>
      <c r="M75" s="651">
        <v>58</v>
      </c>
      <c r="N75" s="824"/>
      <c r="O75" s="824"/>
    </row>
    <row r="76" spans="1:15" ht="13.95" customHeight="1">
      <c r="A76" s="650">
        <v>27</v>
      </c>
      <c r="B76" s="650">
        <v>17</v>
      </c>
      <c r="C76" s="651">
        <v>66</v>
      </c>
      <c r="D76" s="652">
        <v>67</v>
      </c>
      <c r="E76" s="113"/>
      <c r="F76" s="650">
        <v>27</v>
      </c>
      <c r="G76" s="651">
        <v>66</v>
      </c>
      <c r="H76" s="113"/>
      <c r="I76" s="650">
        <v>11</v>
      </c>
      <c r="J76" s="651">
        <v>67</v>
      </c>
      <c r="K76" s="113"/>
      <c r="L76" s="650">
        <v>38</v>
      </c>
      <c r="M76" s="651">
        <v>58</v>
      </c>
      <c r="N76" s="824"/>
      <c r="O76" s="824"/>
    </row>
    <row r="77" spans="1:15" ht="13.95" customHeight="1">
      <c r="A77" s="650">
        <v>36</v>
      </c>
      <c r="B77" s="650">
        <v>10</v>
      </c>
      <c r="C77" s="651">
        <v>61</v>
      </c>
      <c r="D77" s="652">
        <v>67</v>
      </c>
      <c r="E77" s="113"/>
      <c r="F77" s="650">
        <v>36</v>
      </c>
      <c r="G77" s="651">
        <v>61</v>
      </c>
      <c r="H77" s="113"/>
      <c r="I77" s="650">
        <v>11</v>
      </c>
      <c r="J77" s="652">
        <v>67</v>
      </c>
      <c r="K77" s="113"/>
      <c r="L77" s="650">
        <v>38</v>
      </c>
      <c r="M77" s="652">
        <v>58</v>
      </c>
      <c r="N77" s="824"/>
      <c r="O77" s="824"/>
    </row>
    <row r="78" spans="1:15" ht="13.95" customHeight="1">
      <c r="A78" s="650">
        <v>68</v>
      </c>
      <c r="B78" s="650">
        <v>15</v>
      </c>
      <c r="C78" s="651">
        <v>27</v>
      </c>
      <c r="D78" s="652">
        <v>67</v>
      </c>
      <c r="E78" s="113"/>
      <c r="F78" s="650">
        <v>68</v>
      </c>
      <c r="G78" s="651">
        <v>27</v>
      </c>
      <c r="H78" s="113"/>
      <c r="I78" s="650">
        <v>11</v>
      </c>
      <c r="J78" s="652">
        <v>67</v>
      </c>
      <c r="K78" s="113"/>
      <c r="L78" s="650">
        <v>38</v>
      </c>
      <c r="M78" s="652">
        <v>58</v>
      </c>
      <c r="N78" s="824"/>
      <c r="O78" s="824"/>
    </row>
    <row r="79" spans="1:15" ht="13.95" customHeight="1">
      <c r="A79" s="650">
        <v>75</v>
      </c>
      <c r="B79" s="650">
        <v>23</v>
      </c>
      <c r="C79" s="651">
        <v>24</v>
      </c>
      <c r="D79" s="652">
        <v>66</v>
      </c>
      <c r="E79" s="113"/>
      <c r="F79" s="650">
        <v>75</v>
      </c>
      <c r="G79" s="651">
        <v>24</v>
      </c>
      <c r="H79" s="113"/>
      <c r="I79" s="650">
        <v>11</v>
      </c>
      <c r="J79" s="652">
        <v>67</v>
      </c>
      <c r="K79" s="113"/>
      <c r="L79" s="650">
        <v>38</v>
      </c>
      <c r="M79" s="652">
        <v>58</v>
      </c>
      <c r="N79" s="824"/>
      <c r="O79" s="824"/>
    </row>
    <row r="80" spans="1:15" ht="13.95" customHeight="1">
      <c r="A80" s="650">
        <v>75</v>
      </c>
      <c r="B80" s="650">
        <v>48</v>
      </c>
      <c r="C80" s="651">
        <v>24</v>
      </c>
      <c r="D80" s="652">
        <v>45</v>
      </c>
      <c r="E80" s="113"/>
      <c r="F80" s="650">
        <v>75</v>
      </c>
      <c r="G80" s="651">
        <v>24</v>
      </c>
      <c r="H80" s="113"/>
      <c r="I80" s="650">
        <v>11</v>
      </c>
      <c r="J80" s="652">
        <v>67</v>
      </c>
      <c r="K80" s="113"/>
      <c r="L80" s="650">
        <v>39</v>
      </c>
      <c r="M80" s="651">
        <v>57</v>
      </c>
      <c r="N80" s="824"/>
      <c r="O80" s="824"/>
    </row>
    <row r="81" spans="1:24" ht="13.95" customHeight="1">
      <c r="A81" s="650">
        <v>73</v>
      </c>
      <c r="B81" s="650">
        <v>35</v>
      </c>
      <c r="C81" s="651">
        <v>25</v>
      </c>
      <c r="D81" s="652">
        <v>62</v>
      </c>
      <c r="E81" s="113"/>
      <c r="F81" s="650">
        <v>73</v>
      </c>
      <c r="G81" s="651">
        <v>25</v>
      </c>
      <c r="H81" s="113"/>
      <c r="I81" s="650">
        <v>12</v>
      </c>
      <c r="J81" s="651">
        <v>67</v>
      </c>
      <c r="K81" s="113"/>
      <c r="L81" s="650">
        <v>39</v>
      </c>
      <c r="M81" s="651">
        <v>57</v>
      </c>
      <c r="N81" s="824"/>
      <c r="O81" s="824"/>
    </row>
    <row r="82" spans="1:24" ht="13.95" customHeight="1">
      <c r="A82" s="650">
        <v>87</v>
      </c>
      <c r="B82" s="650">
        <v>73</v>
      </c>
      <c r="C82" s="651">
        <v>18</v>
      </c>
      <c r="D82" s="652">
        <v>25</v>
      </c>
      <c r="E82" s="113"/>
      <c r="F82" s="650">
        <v>87</v>
      </c>
      <c r="G82" s="651">
        <v>18</v>
      </c>
      <c r="H82" s="113"/>
      <c r="I82" s="650">
        <v>12</v>
      </c>
      <c r="J82" s="651">
        <v>67</v>
      </c>
      <c r="K82" s="113"/>
      <c r="L82" s="650">
        <v>39</v>
      </c>
      <c r="M82" s="651">
        <v>57</v>
      </c>
      <c r="N82" s="824"/>
      <c r="O82" s="824"/>
    </row>
    <row r="83" spans="1:24" ht="13.95" customHeight="1">
      <c r="A83" s="650">
        <v>43</v>
      </c>
      <c r="B83" s="650">
        <v>34</v>
      </c>
      <c r="C83" s="651">
        <v>51</v>
      </c>
      <c r="D83" s="652">
        <v>63</v>
      </c>
      <c r="E83" s="113"/>
      <c r="F83" s="650">
        <v>43</v>
      </c>
      <c r="G83" s="651">
        <v>51</v>
      </c>
      <c r="H83" s="113"/>
      <c r="I83" s="650">
        <v>12</v>
      </c>
      <c r="J83" s="651">
        <v>67</v>
      </c>
      <c r="K83" s="113"/>
      <c r="L83" s="650">
        <v>39</v>
      </c>
      <c r="M83" s="652">
        <v>57</v>
      </c>
    </row>
    <row r="84" spans="1:24" ht="13.95" customHeight="1">
      <c r="A84" s="650">
        <v>68</v>
      </c>
      <c r="B84" s="650">
        <v>21</v>
      </c>
      <c r="C84" s="651">
        <v>27</v>
      </c>
      <c r="D84" s="652">
        <v>66</v>
      </c>
      <c r="E84" s="113"/>
      <c r="F84" s="650">
        <v>68</v>
      </c>
      <c r="G84" s="651">
        <v>27</v>
      </c>
      <c r="H84" s="113"/>
      <c r="I84" s="650">
        <v>12</v>
      </c>
      <c r="J84" s="651">
        <v>67</v>
      </c>
      <c r="K84" s="113"/>
      <c r="L84" s="650">
        <v>40</v>
      </c>
      <c r="M84" s="651">
        <v>55</v>
      </c>
      <c r="N84" s="824"/>
      <c r="O84" s="824"/>
    </row>
    <row r="85" spans="1:24" ht="13.95" customHeight="1">
      <c r="A85" s="650">
        <v>97</v>
      </c>
      <c r="B85" s="650">
        <v>65</v>
      </c>
      <c r="C85" s="651">
        <v>15</v>
      </c>
      <c r="D85" s="652">
        <v>29</v>
      </c>
      <c r="E85" s="113"/>
      <c r="F85" s="650">
        <v>97</v>
      </c>
      <c r="G85" s="651">
        <v>15</v>
      </c>
      <c r="H85" s="113"/>
      <c r="I85" s="650">
        <v>12</v>
      </c>
      <c r="J85" s="651">
        <v>67</v>
      </c>
      <c r="K85" s="113"/>
      <c r="L85" s="650">
        <v>40</v>
      </c>
      <c r="M85" s="651">
        <v>55</v>
      </c>
      <c r="N85" s="824"/>
      <c r="O85" s="824"/>
    </row>
    <row r="86" spans="1:24" ht="13.95" customHeight="1">
      <c r="A86" s="650">
        <v>73</v>
      </c>
      <c r="B86" s="650">
        <v>69</v>
      </c>
      <c r="C86" s="651">
        <v>25</v>
      </c>
      <c r="D86" s="652">
        <v>27</v>
      </c>
      <c r="E86" s="113"/>
      <c r="F86" s="650">
        <v>73</v>
      </c>
      <c r="G86" s="651">
        <v>25</v>
      </c>
      <c r="H86" s="113"/>
      <c r="I86" s="650">
        <v>12</v>
      </c>
      <c r="J86" s="651">
        <v>67</v>
      </c>
      <c r="K86" s="113"/>
      <c r="L86" s="650">
        <v>40</v>
      </c>
      <c r="M86" s="651">
        <v>55</v>
      </c>
      <c r="N86" s="824"/>
      <c r="O86" s="824"/>
      <c r="S86" s="86"/>
      <c r="T86" s="86"/>
      <c r="U86" s="86"/>
      <c r="V86" s="86"/>
      <c r="W86" s="86"/>
      <c r="X86" s="86"/>
    </row>
    <row r="87" spans="1:24" ht="13.95" customHeight="1">
      <c r="A87" s="650">
        <v>85</v>
      </c>
      <c r="B87" s="650">
        <v>59</v>
      </c>
      <c r="C87" s="651">
        <v>19</v>
      </c>
      <c r="D87" s="652">
        <v>34</v>
      </c>
      <c r="E87" s="113"/>
      <c r="F87" s="650">
        <v>85</v>
      </c>
      <c r="G87" s="651">
        <v>19</v>
      </c>
      <c r="H87" s="113"/>
      <c r="I87" s="650">
        <v>12</v>
      </c>
      <c r="J87" s="652">
        <v>67</v>
      </c>
      <c r="K87" s="113"/>
      <c r="L87" s="650">
        <v>40</v>
      </c>
      <c r="M87" s="652">
        <v>55</v>
      </c>
      <c r="N87" s="824"/>
      <c r="O87" s="824"/>
    </row>
    <row r="88" spans="1:24" ht="13.95" customHeight="1">
      <c r="A88" s="650">
        <v>97</v>
      </c>
      <c r="B88" s="650">
        <v>46</v>
      </c>
      <c r="C88" s="651">
        <v>15</v>
      </c>
      <c r="D88" s="652">
        <v>47</v>
      </c>
      <c r="E88" s="113"/>
      <c r="F88" s="650">
        <v>97</v>
      </c>
      <c r="G88" s="651">
        <v>15</v>
      </c>
      <c r="H88" s="113"/>
      <c r="I88" s="650">
        <v>13</v>
      </c>
      <c r="J88" s="651">
        <v>67</v>
      </c>
      <c r="K88" s="113"/>
      <c r="L88" s="650">
        <v>40</v>
      </c>
      <c r="M88" s="652">
        <v>55</v>
      </c>
      <c r="N88" s="824"/>
      <c r="O88" s="824"/>
      <c r="Q88" s="4147" t="s">
        <v>578</v>
      </c>
      <c r="R88" s="4147"/>
      <c r="S88" s="4147"/>
      <c r="T88" s="4147"/>
      <c r="U88" s="4147"/>
      <c r="V88" s="4147"/>
      <c r="W88" s="4147"/>
      <c r="X88" s="4147"/>
    </row>
    <row r="89" spans="1:24" ht="13.95" customHeight="1">
      <c r="A89" s="650">
        <v>105</v>
      </c>
      <c r="B89" s="650">
        <v>44</v>
      </c>
      <c r="C89" s="651">
        <v>13</v>
      </c>
      <c r="D89" s="652">
        <v>50</v>
      </c>
      <c r="E89" s="113"/>
      <c r="F89" s="650">
        <v>105</v>
      </c>
      <c r="G89" s="651">
        <v>13</v>
      </c>
      <c r="H89" s="113"/>
      <c r="I89" s="650">
        <v>13</v>
      </c>
      <c r="J89" s="651">
        <v>67</v>
      </c>
      <c r="K89" s="113"/>
      <c r="L89" s="650">
        <v>40</v>
      </c>
      <c r="M89" s="652">
        <v>55</v>
      </c>
      <c r="N89" s="824">
        <f t="shared" ref="N89:N120" si="0">$X$27*L89^$X$29</f>
        <v>81.137463842078546</v>
      </c>
      <c r="O89" s="824">
        <f t="shared" ref="O89:O120" si="1">$X$57*EXP($X$58*L89)</f>
        <v>53.110194651914469</v>
      </c>
      <c r="R89" s="298" t="str">
        <f>'Motor Vs'!G173</f>
        <v>Graveyard</v>
      </c>
      <c r="S89" s="298" t="str">
        <f>'Motor Vs'!H173</f>
        <v>A.M. Pre-pk</v>
      </c>
      <c r="T89" s="298" t="str">
        <f>'Motor Vs'!I173</f>
        <v>A.M. Peak</v>
      </c>
      <c r="U89" s="298" t="str">
        <f>'Motor Vs'!J173</f>
        <v>A.M. Post-pk</v>
      </c>
      <c r="V89" s="298" t="str">
        <f>'Motor Vs'!K173</f>
        <v>Midday Pk</v>
      </c>
      <c r="W89" s="298" t="str">
        <f>'Motor Vs'!L173</f>
        <v>P.M. Peak</v>
      </c>
      <c r="X89" s="298" t="str">
        <f>'Motor Vs'!M173</f>
        <v>P.M. Post-pk</v>
      </c>
    </row>
    <row r="90" spans="1:24" ht="13.95" customHeight="1">
      <c r="A90" s="650">
        <v>108</v>
      </c>
      <c r="B90" s="650">
        <v>97</v>
      </c>
      <c r="C90" s="651">
        <v>12</v>
      </c>
      <c r="D90" s="652">
        <v>15</v>
      </c>
      <c r="E90" s="113"/>
      <c r="F90" s="650">
        <v>108</v>
      </c>
      <c r="G90" s="651">
        <v>12</v>
      </c>
      <c r="H90" s="113"/>
      <c r="I90" s="650">
        <v>13</v>
      </c>
      <c r="J90" s="651">
        <v>67</v>
      </c>
      <c r="K90" s="113"/>
      <c r="L90" s="650">
        <v>41</v>
      </c>
      <c r="M90" s="651">
        <v>54</v>
      </c>
      <c r="N90" s="824">
        <f t="shared" si="0"/>
        <v>77.706019754361492</v>
      </c>
      <c r="O90" s="824">
        <f t="shared" si="1"/>
        <v>51.928558528488281</v>
      </c>
      <c r="Q90" t="s">
        <v>213</v>
      </c>
      <c r="R90" s="1125">
        <f>'Motor Vs'!G168</f>
        <v>1242509.0119909996</v>
      </c>
      <c r="S90" s="1125">
        <f>'Motor Vs'!H168</f>
        <v>1966402.5953567878</v>
      </c>
      <c r="T90" s="1125">
        <f>'Motor Vs'!I168</f>
        <v>3693480.4016932878</v>
      </c>
      <c r="U90" s="1125">
        <f>'Motor Vs'!J168</f>
        <v>3378991.5092657451</v>
      </c>
      <c r="V90" s="1125">
        <f>'Motor Vs'!K168</f>
        <v>3074608.0511694374</v>
      </c>
      <c r="W90" s="1125">
        <f>'Motor Vs'!L168</f>
        <v>3870955.8412910812</v>
      </c>
      <c r="X90" s="1125">
        <f>'Motor Vs'!M168</f>
        <v>2938339.7376015186</v>
      </c>
    </row>
    <row r="91" spans="1:24" ht="13.95" customHeight="1">
      <c r="A91" s="650">
        <v>77</v>
      </c>
      <c r="B91" s="650">
        <v>82</v>
      </c>
      <c r="C91" s="651">
        <v>23</v>
      </c>
      <c r="D91" s="652">
        <v>20</v>
      </c>
      <c r="E91" s="113"/>
      <c r="F91" s="650">
        <v>77</v>
      </c>
      <c r="G91" s="651">
        <v>23</v>
      </c>
      <c r="H91" s="113"/>
      <c r="I91" s="650">
        <v>13</v>
      </c>
      <c r="J91" s="651">
        <v>67</v>
      </c>
      <c r="K91" s="113"/>
      <c r="L91" s="650">
        <v>41</v>
      </c>
      <c r="M91" s="652">
        <v>54</v>
      </c>
      <c r="N91" s="824">
        <f t="shared" si="0"/>
        <v>77.706019754361492</v>
      </c>
      <c r="O91" s="824">
        <f t="shared" si="1"/>
        <v>51.928558528488281</v>
      </c>
      <c r="Q91" t="s">
        <v>2534</v>
      </c>
      <c r="R91" s="117">
        <f t="shared" ref="R91:X91" si="2">Alpha*EXP(Beta*R90/$S100)</f>
        <v>65.877655226233486</v>
      </c>
      <c r="S91" s="117">
        <f t="shared" si="2"/>
        <v>44.21060782845241</v>
      </c>
      <c r="T91" s="117">
        <f t="shared" si="2"/>
        <v>17.071636237590194</v>
      </c>
      <c r="U91" s="117">
        <f t="shared" si="2"/>
        <v>20.301370221590386</v>
      </c>
      <c r="V91" s="117">
        <f t="shared" si="2"/>
        <v>24.008086562678411</v>
      </c>
      <c r="W91" s="117">
        <f t="shared" si="2"/>
        <v>15.481363917407503</v>
      </c>
      <c r="X91" s="117">
        <f t="shared" si="2"/>
        <v>25.879955628508849</v>
      </c>
    </row>
    <row r="92" spans="1:24" ht="13.95" customHeight="1">
      <c r="A92" s="650">
        <v>103</v>
      </c>
      <c r="B92" s="650">
        <v>79</v>
      </c>
      <c r="C92" s="651">
        <v>13</v>
      </c>
      <c r="D92" s="652">
        <v>22</v>
      </c>
      <c r="E92" s="113"/>
      <c r="F92" s="650">
        <v>103</v>
      </c>
      <c r="G92" s="651">
        <v>13</v>
      </c>
      <c r="H92" s="113"/>
      <c r="I92" s="650">
        <v>13</v>
      </c>
      <c r="J92" s="652">
        <v>67</v>
      </c>
      <c r="K92" s="113"/>
      <c r="L92" s="650">
        <v>41</v>
      </c>
      <c r="M92" s="652">
        <v>54</v>
      </c>
      <c r="N92" s="824">
        <f t="shared" si="0"/>
        <v>77.706019754361492</v>
      </c>
      <c r="O92" s="824">
        <f t="shared" si="1"/>
        <v>51.928558528488281</v>
      </c>
      <c r="Q92" t="s">
        <v>579</v>
      </c>
      <c r="R92" s="117">
        <f t="shared" ref="R92:X92" si="3">MIN(R91,MaxSpeed)</f>
        <v>55</v>
      </c>
      <c r="S92" s="117">
        <f t="shared" si="3"/>
        <v>44.21060782845241</v>
      </c>
      <c r="T92" s="117">
        <f t="shared" si="3"/>
        <v>17.071636237590194</v>
      </c>
      <c r="U92" s="117">
        <f t="shared" si="3"/>
        <v>20.301370221590386</v>
      </c>
      <c r="V92" s="117">
        <f t="shared" si="3"/>
        <v>24.008086562678411</v>
      </c>
      <c r="W92" s="117">
        <f t="shared" si="3"/>
        <v>15.481363917407503</v>
      </c>
      <c r="X92" s="117">
        <f t="shared" si="3"/>
        <v>25.879955628508849</v>
      </c>
    </row>
    <row r="93" spans="1:24" ht="13.95" customHeight="1">
      <c r="A93" s="650">
        <v>50</v>
      </c>
      <c r="B93" s="650">
        <v>40</v>
      </c>
      <c r="C93" s="651">
        <v>42</v>
      </c>
      <c r="D93" s="652">
        <v>55</v>
      </c>
      <c r="E93" s="113"/>
      <c r="F93" s="650">
        <v>50</v>
      </c>
      <c r="G93" s="651">
        <v>42</v>
      </c>
      <c r="H93" s="113"/>
      <c r="I93" s="650">
        <v>13</v>
      </c>
      <c r="J93" s="652">
        <v>67</v>
      </c>
      <c r="K93" s="113"/>
      <c r="L93" s="650">
        <v>42</v>
      </c>
      <c r="M93" s="651">
        <v>52</v>
      </c>
      <c r="N93" s="824">
        <f t="shared" si="0"/>
        <v>74.497235210273203</v>
      </c>
      <c r="O93" s="824">
        <f t="shared" si="1"/>
        <v>50.773212346895995</v>
      </c>
      <c r="Q93" t="s">
        <v>581</v>
      </c>
      <c r="R93" s="1177">
        <f>1/R92</f>
        <v>1.8181818181818181E-2</v>
      </c>
      <c r="S93" s="1177">
        <f t="shared" ref="S93:X93" si="4">1/S92</f>
        <v>2.2619005915508694E-2</v>
      </c>
      <c r="T93" s="1177">
        <f t="shared" si="4"/>
        <v>5.8576693298917105E-2</v>
      </c>
      <c r="U93" s="1177">
        <f t="shared" si="4"/>
        <v>4.9257758914051326E-2</v>
      </c>
      <c r="V93" s="1177">
        <f t="shared" si="4"/>
        <v>4.1652632224116623E-2</v>
      </c>
      <c r="W93" s="1177">
        <f t="shared" si="4"/>
        <v>6.4593791951081475E-2</v>
      </c>
      <c r="X93" s="1177">
        <f t="shared" si="4"/>
        <v>3.8639942600922378E-2</v>
      </c>
    </row>
    <row r="94" spans="1:24" ht="13.95" customHeight="1">
      <c r="A94" s="650">
        <v>45</v>
      </c>
      <c r="B94" s="650">
        <v>32</v>
      </c>
      <c r="C94" s="651">
        <v>48</v>
      </c>
      <c r="D94" s="652">
        <v>64</v>
      </c>
      <c r="E94" s="113"/>
      <c r="F94" s="650">
        <v>45</v>
      </c>
      <c r="G94" s="651">
        <v>48</v>
      </c>
      <c r="H94" s="113"/>
      <c r="I94" s="650">
        <v>13</v>
      </c>
      <c r="J94" s="652">
        <v>67</v>
      </c>
      <c r="K94" s="113"/>
      <c r="L94" s="650">
        <v>42</v>
      </c>
      <c r="M94" s="651">
        <v>52</v>
      </c>
      <c r="N94" s="824">
        <f t="shared" si="0"/>
        <v>74.497235210273203</v>
      </c>
      <c r="O94" s="824">
        <f t="shared" si="1"/>
        <v>50.773212346895995</v>
      </c>
      <c r="Q94" s="1" t="s">
        <v>1461</v>
      </c>
      <c r="R94" s="1132">
        <f>'Motor Vs'!G149</f>
        <v>74471.375725727543</v>
      </c>
      <c r="S94" s="1132">
        <f>'Motor Vs'!H149</f>
        <v>88784.918344910053</v>
      </c>
      <c r="T94" s="1132">
        <f>'Motor Vs'!I149</f>
        <v>176582.16272114028</v>
      </c>
      <c r="U94" s="1132">
        <f>'Motor Vs'!J149</f>
        <v>171660.21926752295</v>
      </c>
      <c r="V94" s="1132">
        <f>'Motor Vs'!K149</f>
        <v>154591.44714293882</v>
      </c>
      <c r="W94" s="1132">
        <f>'Motor Vs'!L149</f>
        <v>185223.71205129349</v>
      </c>
      <c r="X94" s="1132">
        <f>'Motor Vs'!M149</f>
        <v>155779.96551094626</v>
      </c>
    </row>
    <row r="95" spans="1:24" ht="13.95" customHeight="1">
      <c r="A95" s="650">
        <v>32</v>
      </c>
      <c r="B95" s="650">
        <v>27</v>
      </c>
      <c r="C95" s="651">
        <v>64</v>
      </c>
      <c r="D95" s="652">
        <v>66</v>
      </c>
      <c r="E95" s="113"/>
      <c r="F95" s="650">
        <v>32</v>
      </c>
      <c r="G95" s="651">
        <v>64</v>
      </c>
      <c r="H95" s="113"/>
      <c r="I95" s="650">
        <v>14</v>
      </c>
      <c r="J95" s="651">
        <v>67</v>
      </c>
      <c r="K95" s="113"/>
      <c r="L95" s="650">
        <v>42</v>
      </c>
      <c r="M95" s="651">
        <v>52</v>
      </c>
      <c r="N95" s="824">
        <f t="shared" si="0"/>
        <v>74.497235210273203</v>
      </c>
      <c r="O95" s="824">
        <f t="shared" si="1"/>
        <v>50.773212346895995</v>
      </c>
    </row>
    <row r="96" spans="1:24" ht="13.95" customHeight="1">
      <c r="A96" s="650">
        <v>47</v>
      </c>
      <c r="B96" s="650">
        <v>30</v>
      </c>
      <c r="C96" s="651">
        <v>46</v>
      </c>
      <c r="D96" s="652">
        <v>65</v>
      </c>
      <c r="E96" s="113"/>
      <c r="F96" s="650">
        <v>47</v>
      </c>
      <c r="G96" s="651">
        <v>46</v>
      </c>
      <c r="H96" s="113"/>
      <c r="I96" s="650">
        <v>14</v>
      </c>
      <c r="J96" s="651">
        <v>67</v>
      </c>
      <c r="K96" s="113"/>
      <c r="L96" s="650">
        <v>42</v>
      </c>
      <c r="M96" s="652">
        <v>52</v>
      </c>
      <c r="N96" s="824">
        <f t="shared" si="0"/>
        <v>74.497235210273203</v>
      </c>
      <c r="O96" s="824">
        <f t="shared" si="1"/>
        <v>50.773212346895995</v>
      </c>
      <c r="Q96" t="s">
        <v>1462</v>
      </c>
      <c r="T96">
        <v>3</v>
      </c>
      <c r="U96">
        <v>1</v>
      </c>
      <c r="V96">
        <v>4</v>
      </c>
      <c r="W96">
        <v>4</v>
      </c>
    </row>
    <row r="97" spans="1:27" ht="13.95" customHeight="1">
      <c r="A97" s="650">
        <v>67</v>
      </c>
      <c r="B97" s="650">
        <v>30</v>
      </c>
      <c r="C97" s="651">
        <v>28</v>
      </c>
      <c r="D97" s="652">
        <v>65</v>
      </c>
      <c r="E97" s="113"/>
      <c r="F97" s="650">
        <v>67</v>
      </c>
      <c r="G97" s="651">
        <v>28</v>
      </c>
      <c r="H97" s="113"/>
      <c r="I97" s="650">
        <v>14</v>
      </c>
      <c r="J97" s="651">
        <v>67</v>
      </c>
      <c r="K97" s="113"/>
      <c r="L97" s="650">
        <v>42</v>
      </c>
      <c r="M97" s="652">
        <v>52</v>
      </c>
      <c r="N97" s="824">
        <f t="shared" si="0"/>
        <v>74.497235210273203</v>
      </c>
      <c r="O97" s="824">
        <f t="shared" si="1"/>
        <v>50.773212346895995</v>
      </c>
      <c r="Q97" t="s">
        <v>580</v>
      </c>
      <c r="V97" s="597">
        <f>SUMPRODUCT(T96:W96,T94:W94)/SUMPRODUCT(T96:W96,T94:W94,T93:W93)</f>
        <v>18.219843721850598</v>
      </c>
    </row>
    <row r="98" spans="1:27" ht="13.95" customHeight="1">
      <c r="A98" s="650">
        <v>75</v>
      </c>
      <c r="B98" s="650">
        <v>34</v>
      </c>
      <c r="C98" s="651">
        <v>24</v>
      </c>
      <c r="D98" s="652">
        <v>63</v>
      </c>
      <c r="E98" s="113"/>
      <c r="F98" s="650">
        <v>75</v>
      </c>
      <c r="G98" s="651">
        <v>24</v>
      </c>
      <c r="H98" s="113"/>
      <c r="I98" s="650">
        <v>14</v>
      </c>
      <c r="J98" s="651">
        <v>67</v>
      </c>
      <c r="K98" s="113"/>
      <c r="L98" s="650">
        <v>43</v>
      </c>
      <c r="M98" s="651">
        <v>51</v>
      </c>
      <c r="N98" s="824">
        <f t="shared" si="0"/>
        <v>71.491863280931852</v>
      </c>
      <c r="O98" s="824">
        <f t="shared" si="1"/>
        <v>49.643571188457543</v>
      </c>
    </row>
    <row r="99" spans="1:27" ht="13.95" customHeight="1">
      <c r="A99" s="650">
        <v>85</v>
      </c>
      <c r="B99" s="650">
        <v>30</v>
      </c>
      <c r="C99" s="651">
        <v>19</v>
      </c>
      <c r="D99" s="652">
        <v>65</v>
      </c>
      <c r="E99" s="113"/>
      <c r="F99" s="650">
        <v>85</v>
      </c>
      <c r="G99" s="651">
        <v>19</v>
      </c>
      <c r="H99" s="113"/>
      <c r="I99" s="650">
        <v>14</v>
      </c>
      <c r="J99" s="652">
        <v>67</v>
      </c>
      <c r="K99" s="113"/>
      <c r="L99" s="650">
        <v>43</v>
      </c>
      <c r="M99" s="651">
        <v>51</v>
      </c>
      <c r="N99" s="824">
        <f t="shared" si="0"/>
        <v>71.491863280931852</v>
      </c>
      <c r="O99" s="824">
        <f t="shared" si="1"/>
        <v>49.643571188457543</v>
      </c>
      <c r="S99" s="9" t="s">
        <v>746</v>
      </c>
    </row>
    <row r="100" spans="1:27" ht="13.95" customHeight="1">
      <c r="A100" s="650">
        <v>123</v>
      </c>
      <c r="B100" s="650">
        <v>28</v>
      </c>
      <c r="C100" s="651">
        <v>9</v>
      </c>
      <c r="D100" s="652">
        <v>66</v>
      </c>
      <c r="E100" s="113"/>
      <c r="F100" s="650">
        <v>123</v>
      </c>
      <c r="G100" s="651">
        <v>9</v>
      </c>
      <c r="H100" s="113"/>
      <c r="I100" s="650">
        <v>14</v>
      </c>
      <c r="J100" s="652">
        <v>67</v>
      </c>
      <c r="K100" s="113"/>
      <c r="L100" s="650">
        <v>43</v>
      </c>
      <c r="M100" s="651">
        <v>51</v>
      </c>
      <c r="N100" s="824">
        <f t="shared" si="0"/>
        <v>71.491863280931852</v>
      </c>
      <c r="O100" s="824">
        <f t="shared" si="1"/>
        <v>49.643571188457543</v>
      </c>
      <c r="S100" s="164">
        <v>40838</v>
      </c>
    </row>
    <row r="101" spans="1:27" ht="13.95" customHeight="1">
      <c r="A101" s="650">
        <v>73</v>
      </c>
      <c r="B101" s="650">
        <v>57</v>
      </c>
      <c r="C101" s="651">
        <v>25</v>
      </c>
      <c r="D101" s="652">
        <v>36</v>
      </c>
      <c r="E101" s="113"/>
      <c r="F101" s="650">
        <v>73</v>
      </c>
      <c r="G101" s="651">
        <v>25</v>
      </c>
      <c r="H101" s="113"/>
      <c r="I101" s="650">
        <v>15</v>
      </c>
      <c r="J101" s="651">
        <v>67</v>
      </c>
      <c r="K101" s="113"/>
      <c r="L101" s="650">
        <v>43</v>
      </c>
      <c r="M101" s="652">
        <v>51</v>
      </c>
      <c r="N101" s="824">
        <f t="shared" si="0"/>
        <v>71.491863280931852</v>
      </c>
      <c r="O101" s="824">
        <f t="shared" si="1"/>
        <v>49.643571188457543</v>
      </c>
    </row>
    <row r="102" spans="1:27" ht="13.95" customHeight="1">
      <c r="A102" s="650">
        <v>111</v>
      </c>
      <c r="B102" s="650">
        <v>74</v>
      </c>
      <c r="C102" s="651">
        <v>11</v>
      </c>
      <c r="D102" s="652">
        <v>24</v>
      </c>
      <c r="E102" s="113"/>
      <c r="F102" s="650">
        <v>111</v>
      </c>
      <c r="G102" s="651">
        <v>11</v>
      </c>
      <c r="H102" s="113"/>
      <c r="I102" s="650">
        <v>15</v>
      </c>
      <c r="J102" s="651">
        <v>67</v>
      </c>
      <c r="K102" s="113"/>
      <c r="L102" s="650">
        <v>44</v>
      </c>
      <c r="M102" s="651">
        <v>50</v>
      </c>
      <c r="N102" s="824">
        <f t="shared" si="0"/>
        <v>68.672716874600667</v>
      </c>
      <c r="O102" s="824">
        <f t="shared" si="1"/>
        <v>48.539063148209827</v>
      </c>
      <c r="T102" s="5027" t="s">
        <v>1967</v>
      </c>
      <c r="U102" s="5028"/>
      <c r="V102" s="5028"/>
      <c r="W102" s="5028"/>
      <c r="X102" s="5028"/>
      <c r="Y102" s="5028"/>
      <c r="Z102" s="5028"/>
      <c r="AA102" s="5029"/>
    </row>
    <row r="103" spans="1:27" ht="13.95" customHeight="1">
      <c r="A103" s="650">
        <v>72</v>
      </c>
      <c r="B103" s="650">
        <v>42</v>
      </c>
      <c r="C103" s="651">
        <v>25</v>
      </c>
      <c r="D103" s="652">
        <v>52</v>
      </c>
      <c r="E103" s="113"/>
      <c r="F103" s="650">
        <v>72</v>
      </c>
      <c r="G103" s="651">
        <v>25</v>
      </c>
      <c r="H103" s="113"/>
      <c r="I103" s="650">
        <v>15</v>
      </c>
      <c r="J103" s="651">
        <v>67</v>
      </c>
      <c r="K103" s="113"/>
      <c r="L103" s="650">
        <v>44</v>
      </c>
      <c r="M103" s="651">
        <v>50</v>
      </c>
      <c r="N103" s="824">
        <f t="shared" si="0"/>
        <v>68.672716874600667</v>
      </c>
      <c r="O103" s="824">
        <f t="shared" si="1"/>
        <v>48.539063148209827</v>
      </c>
      <c r="T103" s="5030"/>
      <c r="U103" s="5031"/>
      <c r="V103" s="5031"/>
      <c r="W103" s="5031"/>
      <c r="X103" s="5031"/>
      <c r="Y103" s="5031"/>
      <c r="Z103" s="5031"/>
      <c r="AA103" s="5032"/>
    </row>
    <row r="104" spans="1:27" ht="13.95" customHeight="1">
      <c r="A104" s="650">
        <v>45</v>
      </c>
      <c r="B104" s="650">
        <v>38</v>
      </c>
      <c r="C104" s="651">
        <v>48</v>
      </c>
      <c r="D104" s="652">
        <v>58</v>
      </c>
      <c r="E104" s="113"/>
      <c r="F104" s="650">
        <v>45</v>
      </c>
      <c r="G104" s="651">
        <v>48</v>
      </c>
      <c r="H104" s="113"/>
      <c r="I104" s="650">
        <v>15</v>
      </c>
      <c r="J104" s="651">
        <v>67</v>
      </c>
      <c r="K104" s="113"/>
      <c r="L104" s="650">
        <v>44</v>
      </c>
      <c r="M104" s="651">
        <v>50</v>
      </c>
      <c r="N104" s="824">
        <f t="shared" si="0"/>
        <v>68.672716874600667</v>
      </c>
      <c r="O104" s="824">
        <f t="shared" si="1"/>
        <v>48.539063148209827</v>
      </c>
      <c r="U104" s="86" t="s">
        <v>1459</v>
      </c>
      <c r="V104" s="86"/>
      <c r="W104" s="86"/>
      <c r="X104" s="86"/>
      <c r="Y104" s="86"/>
      <c r="Z104" s="86"/>
      <c r="AA104" s="86">
        <f>Alpha</f>
        <v>130.63</v>
      </c>
    </row>
    <row r="105" spans="1:27" ht="13.95" customHeight="1">
      <c r="A105" s="650">
        <v>41</v>
      </c>
      <c r="B105" s="650">
        <v>33</v>
      </c>
      <c r="C105" s="651">
        <v>54</v>
      </c>
      <c r="D105" s="652">
        <v>64</v>
      </c>
      <c r="E105" s="113"/>
      <c r="F105" s="650">
        <v>41</v>
      </c>
      <c r="G105" s="651">
        <v>54</v>
      </c>
      <c r="H105" s="113"/>
      <c r="I105" s="650">
        <v>15</v>
      </c>
      <c r="J105" s="651">
        <v>67</v>
      </c>
      <c r="K105" s="113"/>
      <c r="L105" s="650">
        <v>44</v>
      </c>
      <c r="M105" s="652">
        <v>50</v>
      </c>
      <c r="N105" s="824">
        <f t="shared" si="0"/>
        <v>68.672716874600667</v>
      </c>
      <c r="O105" s="824">
        <f t="shared" si="1"/>
        <v>48.539063148209827</v>
      </c>
      <c r="U105" s="86" t="s">
        <v>1458</v>
      </c>
      <c r="V105" s="86"/>
      <c r="W105" s="86"/>
      <c r="X105" s="86"/>
      <c r="Y105" s="86"/>
      <c r="Z105" s="86"/>
      <c r="AA105" s="86">
        <f>Beta</f>
        <v>-2.2499999999999999E-2</v>
      </c>
    </row>
    <row r="106" spans="1:27" ht="13.95" customHeight="1">
      <c r="A106" s="650">
        <v>21</v>
      </c>
      <c r="B106" s="650"/>
      <c r="C106" s="651">
        <v>66</v>
      </c>
      <c r="D106" s="652" t="s">
        <v>2595</v>
      </c>
      <c r="E106" s="113"/>
      <c r="F106" s="650">
        <v>21</v>
      </c>
      <c r="G106" s="651">
        <v>66</v>
      </c>
      <c r="H106" s="113"/>
      <c r="I106" s="650">
        <v>15</v>
      </c>
      <c r="J106" s="651">
        <v>67</v>
      </c>
      <c r="K106" s="113"/>
      <c r="L106" s="650">
        <v>44</v>
      </c>
      <c r="M106" s="652">
        <v>50</v>
      </c>
      <c r="N106" s="824">
        <f t="shared" si="0"/>
        <v>68.672716874600667</v>
      </c>
      <c r="O106" s="824">
        <f t="shared" si="1"/>
        <v>48.539063148209827</v>
      </c>
      <c r="R106" s="146" t="s">
        <v>2570</v>
      </c>
      <c r="S106" s="146" t="s">
        <v>1966</v>
      </c>
    </row>
    <row r="107" spans="1:27" ht="13.95" customHeight="1">
      <c r="A107" s="650">
        <v>60</v>
      </c>
      <c r="B107" s="650"/>
      <c r="C107" s="651">
        <v>33</v>
      </c>
      <c r="D107" s="652" t="s">
        <v>2595</v>
      </c>
      <c r="E107" s="113"/>
      <c r="F107" s="650">
        <v>60</v>
      </c>
      <c r="G107" s="651">
        <v>33</v>
      </c>
      <c r="H107" s="113"/>
      <c r="I107" s="650">
        <v>15</v>
      </c>
      <c r="J107" s="651">
        <v>67</v>
      </c>
      <c r="K107" s="113"/>
      <c r="L107" s="650">
        <v>44</v>
      </c>
      <c r="M107" s="652">
        <v>50</v>
      </c>
      <c r="N107" s="824">
        <f t="shared" si="0"/>
        <v>68.672716874600667</v>
      </c>
      <c r="O107" s="824">
        <f t="shared" si="1"/>
        <v>48.539063148209827</v>
      </c>
      <c r="R107">
        <v>30</v>
      </c>
      <c r="S107" s="21">
        <f t="shared" ref="S107:S138" si="5">$AA$104*EXP(R107*$AA$105)</f>
        <v>66.511103223964142</v>
      </c>
    </row>
    <row r="108" spans="1:27" ht="13.95" customHeight="1">
      <c r="A108" s="650">
        <v>40</v>
      </c>
      <c r="B108" s="650"/>
      <c r="C108" s="651">
        <v>55</v>
      </c>
      <c r="D108" s="652" t="s">
        <v>2595</v>
      </c>
      <c r="E108" s="113"/>
      <c r="F108" s="650">
        <v>40</v>
      </c>
      <c r="G108" s="651">
        <v>55</v>
      </c>
      <c r="H108" s="113"/>
      <c r="I108" s="650">
        <v>15</v>
      </c>
      <c r="J108" s="652">
        <v>67</v>
      </c>
      <c r="K108" s="113"/>
      <c r="L108" s="650">
        <v>45</v>
      </c>
      <c r="M108" s="651">
        <v>48</v>
      </c>
      <c r="N108" s="824">
        <f t="shared" si="0"/>
        <v>66.024407767650402</v>
      </c>
      <c r="O108" s="824">
        <f t="shared" si="1"/>
        <v>47.459129045367639</v>
      </c>
      <c r="R108">
        <v>31</v>
      </c>
      <c r="S108" s="21">
        <f t="shared" si="5"/>
        <v>65.03131346432464</v>
      </c>
    </row>
    <row r="109" spans="1:27" ht="13.95" customHeight="1">
      <c r="A109" s="650">
        <v>50</v>
      </c>
      <c r="B109" s="650"/>
      <c r="C109" s="651">
        <v>42</v>
      </c>
      <c r="D109" s="652" t="s">
        <v>2595</v>
      </c>
      <c r="E109" s="113"/>
      <c r="F109" s="650">
        <v>50</v>
      </c>
      <c r="G109" s="651">
        <v>42</v>
      </c>
      <c r="H109" s="113"/>
      <c r="I109" s="650">
        <v>15</v>
      </c>
      <c r="J109" s="652">
        <v>67</v>
      </c>
      <c r="K109" s="113"/>
      <c r="L109" s="650">
        <v>45</v>
      </c>
      <c r="M109" s="651">
        <v>48</v>
      </c>
      <c r="N109" s="824">
        <f t="shared" si="0"/>
        <v>66.024407767650402</v>
      </c>
      <c r="O109" s="824">
        <f t="shared" si="1"/>
        <v>47.459129045367639</v>
      </c>
      <c r="R109">
        <v>32</v>
      </c>
      <c r="S109" s="21">
        <f t="shared" si="5"/>
        <v>63.584447196051102</v>
      </c>
    </row>
    <row r="110" spans="1:27" ht="13.95" customHeight="1">
      <c r="A110" s="650">
        <v>64</v>
      </c>
      <c r="B110" s="650"/>
      <c r="C110" s="651">
        <v>30</v>
      </c>
      <c r="D110" s="652" t="s">
        <v>2595</v>
      </c>
      <c r="E110" s="113"/>
      <c r="F110" s="650">
        <v>64</v>
      </c>
      <c r="G110" s="651">
        <v>30</v>
      </c>
      <c r="H110" s="113"/>
      <c r="I110" s="650">
        <v>16</v>
      </c>
      <c r="J110" s="651">
        <v>67</v>
      </c>
      <c r="K110" s="113"/>
      <c r="L110" s="650">
        <v>45</v>
      </c>
      <c r="M110" s="651">
        <v>48</v>
      </c>
      <c r="N110" s="824">
        <f t="shared" si="0"/>
        <v>66.024407767650402</v>
      </c>
      <c r="O110" s="824">
        <f t="shared" si="1"/>
        <v>47.459129045367639</v>
      </c>
      <c r="R110">
        <v>33</v>
      </c>
      <c r="S110" s="21">
        <f t="shared" si="5"/>
        <v>62.169771912193326</v>
      </c>
    </row>
    <row r="111" spans="1:27" ht="13.95" customHeight="1">
      <c r="A111" s="650">
        <v>42</v>
      </c>
      <c r="B111" s="650">
        <v>20</v>
      </c>
      <c r="C111" s="651">
        <v>52</v>
      </c>
      <c r="D111" s="652">
        <v>66</v>
      </c>
      <c r="E111" s="113"/>
      <c r="F111" s="650">
        <v>42</v>
      </c>
      <c r="G111" s="651">
        <v>52</v>
      </c>
      <c r="H111" s="113"/>
      <c r="I111" s="650">
        <v>16</v>
      </c>
      <c r="J111" s="651">
        <v>67</v>
      </c>
      <c r="K111" s="113"/>
      <c r="L111" s="650">
        <v>45</v>
      </c>
      <c r="M111" s="651">
        <v>48</v>
      </c>
      <c r="N111" s="824">
        <f t="shared" si="0"/>
        <v>66.024407767650402</v>
      </c>
      <c r="O111" s="824">
        <f t="shared" si="1"/>
        <v>47.459129045367639</v>
      </c>
      <c r="R111">
        <v>34</v>
      </c>
      <c r="S111" s="21">
        <f t="shared" si="5"/>
        <v>60.786571403174563</v>
      </c>
    </row>
    <row r="112" spans="1:27" ht="13.95" customHeight="1">
      <c r="A112" s="650">
        <v>63</v>
      </c>
      <c r="B112" s="650">
        <v>23</v>
      </c>
      <c r="C112" s="651">
        <v>31</v>
      </c>
      <c r="D112" s="652">
        <v>66</v>
      </c>
      <c r="E112" s="113"/>
      <c r="F112" s="650">
        <v>63</v>
      </c>
      <c r="G112" s="651">
        <v>31</v>
      </c>
      <c r="H112" s="113"/>
      <c r="I112" s="650">
        <v>16</v>
      </c>
      <c r="J112" s="651">
        <v>67</v>
      </c>
      <c r="K112" s="113"/>
      <c r="L112" s="650">
        <v>45</v>
      </c>
      <c r="M112" s="651">
        <v>48</v>
      </c>
      <c r="N112" s="824">
        <f t="shared" si="0"/>
        <v>66.024407767650402</v>
      </c>
      <c r="O112" s="824">
        <f t="shared" si="1"/>
        <v>47.459129045367639</v>
      </c>
      <c r="R112">
        <v>35</v>
      </c>
      <c r="S112" s="21">
        <f t="shared" si="5"/>
        <v>59.434145394195006</v>
      </c>
    </row>
    <row r="113" spans="1:19" ht="13.95" customHeight="1">
      <c r="A113" s="650">
        <v>74</v>
      </c>
      <c r="B113" s="650">
        <v>37</v>
      </c>
      <c r="C113" s="651">
        <v>24</v>
      </c>
      <c r="D113" s="652">
        <v>59</v>
      </c>
      <c r="E113" s="113"/>
      <c r="F113" s="650">
        <v>74</v>
      </c>
      <c r="G113" s="651">
        <v>24</v>
      </c>
      <c r="H113" s="113"/>
      <c r="I113" s="650">
        <v>16</v>
      </c>
      <c r="J113" s="652">
        <v>67</v>
      </c>
      <c r="K113" s="113"/>
      <c r="L113" s="650">
        <v>46</v>
      </c>
      <c r="M113" s="651">
        <v>47</v>
      </c>
      <c r="N113" s="824">
        <f t="shared" si="0"/>
        <v>63.533123610994913</v>
      </c>
      <c r="O113" s="824">
        <f t="shared" si="1"/>
        <v>46.403222140226411</v>
      </c>
      <c r="R113">
        <v>36</v>
      </c>
      <c r="S113" s="21">
        <f t="shared" si="5"/>
        <v>58.1118091907028</v>
      </c>
    </row>
    <row r="114" spans="1:19" ht="13.95" customHeight="1">
      <c r="A114" s="650">
        <v>58</v>
      </c>
      <c r="B114" s="650">
        <v>30</v>
      </c>
      <c r="C114" s="651">
        <v>35</v>
      </c>
      <c r="D114" s="652">
        <v>65</v>
      </c>
      <c r="E114" s="113"/>
      <c r="F114" s="650">
        <v>58</v>
      </c>
      <c r="G114" s="651">
        <v>35</v>
      </c>
      <c r="H114" s="113"/>
      <c r="I114" s="650">
        <v>16</v>
      </c>
      <c r="J114" s="652">
        <v>67</v>
      </c>
      <c r="K114" s="113"/>
      <c r="L114" s="650">
        <v>46</v>
      </c>
      <c r="M114" s="651">
        <v>47</v>
      </c>
      <c r="N114" s="824">
        <f t="shared" si="0"/>
        <v>63.533123610994913</v>
      </c>
      <c r="O114" s="824">
        <f t="shared" si="1"/>
        <v>46.403222140226411</v>
      </c>
      <c r="R114">
        <v>37</v>
      </c>
      <c r="S114" s="21">
        <f t="shared" si="5"/>
        <v>56.818893331752754</v>
      </c>
    </row>
    <row r="115" spans="1:19" ht="13.95" customHeight="1">
      <c r="A115" s="650">
        <v>57</v>
      </c>
      <c r="B115" s="650">
        <v>30</v>
      </c>
      <c r="C115" s="651">
        <v>36</v>
      </c>
      <c r="D115" s="652">
        <v>65</v>
      </c>
      <c r="E115" s="113"/>
      <c r="F115" s="650">
        <v>57</v>
      </c>
      <c r="G115" s="651">
        <v>36</v>
      </c>
      <c r="H115" s="113"/>
      <c r="I115" s="650">
        <v>16</v>
      </c>
      <c r="J115" s="652">
        <v>67</v>
      </c>
      <c r="K115" s="113"/>
      <c r="L115" s="650">
        <v>46</v>
      </c>
      <c r="M115" s="652">
        <v>47</v>
      </c>
      <c r="N115" s="824">
        <f t="shared" si="0"/>
        <v>63.533123610994913</v>
      </c>
      <c r="O115" s="824">
        <f t="shared" si="1"/>
        <v>46.403222140226411</v>
      </c>
      <c r="R115">
        <v>38</v>
      </c>
      <c r="S115" s="21">
        <f t="shared" si="5"/>
        <v>55.554743251077468</v>
      </c>
    </row>
    <row r="116" spans="1:19" ht="13.95" customHeight="1">
      <c r="A116" s="650">
        <v>26</v>
      </c>
      <c r="B116" s="650">
        <v>38</v>
      </c>
      <c r="C116" s="651">
        <v>66</v>
      </c>
      <c r="D116" s="652">
        <v>58</v>
      </c>
      <c r="E116" s="113"/>
      <c r="F116" s="650">
        <v>26</v>
      </c>
      <c r="G116" s="651">
        <v>66</v>
      </c>
      <c r="H116" s="113"/>
      <c r="I116" s="650">
        <v>16</v>
      </c>
      <c r="J116" s="652">
        <v>67</v>
      </c>
      <c r="K116" s="113"/>
      <c r="L116" s="650">
        <v>47</v>
      </c>
      <c r="M116" s="651">
        <v>46</v>
      </c>
      <c r="N116" s="824">
        <f t="shared" si="0"/>
        <v>61.186436701303926</v>
      </c>
      <c r="O116" s="824">
        <f t="shared" si="1"/>
        <v>45.370807857363594</v>
      </c>
      <c r="R116">
        <v>39</v>
      </c>
      <c r="S116" s="21">
        <f t="shared" si="5"/>
        <v>54.318718945699153</v>
      </c>
    </row>
    <row r="117" spans="1:19" ht="13.95" customHeight="1">
      <c r="A117" s="650">
        <v>22</v>
      </c>
      <c r="B117" s="650"/>
      <c r="C117" s="651">
        <v>66</v>
      </c>
      <c r="D117" s="652" t="s">
        <v>2595</v>
      </c>
      <c r="E117" s="113"/>
      <c r="F117" s="650">
        <v>22</v>
      </c>
      <c r="G117" s="651">
        <v>66</v>
      </c>
      <c r="H117" s="113"/>
      <c r="I117" s="650">
        <v>17</v>
      </c>
      <c r="J117" s="651">
        <v>67</v>
      </c>
      <c r="K117" s="113"/>
      <c r="L117" s="650">
        <v>47</v>
      </c>
      <c r="M117" s="651">
        <v>46</v>
      </c>
      <c r="N117" s="824">
        <f t="shared" si="0"/>
        <v>61.186436701303926</v>
      </c>
      <c r="O117" s="824">
        <f t="shared" si="1"/>
        <v>45.370807857363594</v>
      </c>
      <c r="R117">
        <v>40</v>
      </c>
      <c r="S117" s="21">
        <f t="shared" si="5"/>
        <v>53.110194651914469</v>
      </c>
    </row>
    <row r="118" spans="1:19" ht="13.95" customHeight="1">
      <c r="A118" s="650">
        <v>27</v>
      </c>
      <c r="B118" s="650"/>
      <c r="C118" s="651">
        <v>66</v>
      </c>
      <c r="D118" s="652" t="s">
        <v>2595</v>
      </c>
      <c r="E118" s="113"/>
      <c r="F118" s="650">
        <v>27</v>
      </c>
      <c r="G118" s="651">
        <v>66</v>
      </c>
      <c r="H118" s="113"/>
      <c r="I118" s="650">
        <v>17</v>
      </c>
      <c r="J118" s="651">
        <v>67</v>
      </c>
      <c r="K118" s="113"/>
      <c r="L118" s="650">
        <v>48</v>
      </c>
      <c r="M118" s="651">
        <v>45</v>
      </c>
      <c r="N118" s="824">
        <f t="shared" si="0"/>
        <v>58.973139429358163</v>
      </c>
      <c r="O118" s="824">
        <f t="shared" si="1"/>
        <v>44.361363514998395</v>
      </c>
      <c r="R118">
        <v>41</v>
      </c>
      <c r="S118" s="21">
        <f t="shared" si="5"/>
        <v>51.928558528488281</v>
      </c>
    </row>
    <row r="119" spans="1:19" ht="13.95" customHeight="1">
      <c r="A119" s="650">
        <v>23</v>
      </c>
      <c r="B119" s="650"/>
      <c r="C119" s="651">
        <v>66</v>
      </c>
      <c r="D119" s="652" t="s">
        <v>2595</v>
      </c>
      <c r="E119" s="113"/>
      <c r="F119" s="650">
        <v>23</v>
      </c>
      <c r="G119" s="651">
        <v>66</v>
      </c>
      <c r="H119" s="113"/>
      <c r="I119" s="650">
        <v>17</v>
      </c>
      <c r="J119" s="651">
        <v>67</v>
      </c>
      <c r="K119" s="113"/>
      <c r="L119" s="650">
        <v>48</v>
      </c>
      <c r="M119" s="652">
        <v>45</v>
      </c>
      <c r="N119" s="824">
        <f t="shared" si="0"/>
        <v>58.973139429358163</v>
      </c>
      <c r="O119" s="824">
        <f t="shared" si="1"/>
        <v>44.361363514998395</v>
      </c>
      <c r="R119">
        <v>42</v>
      </c>
      <c r="S119" s="21">
        <f t="shared" si="5"/>
        <v>50.773212346895995</v>
      </c>
    </row>
    <row r="120" spans="1:19" ht="13.95" customHeight="1">
      <c r="A120" s="650">
        <v>32</v>
      </c>
      <c r="B120" s="650"/>
      <c r="C120" s="651">
        <v>64</v>
      </c>
      <c r="D120" s="652" t="s">
        <v>2595</v>
      </c>
      <c r="E120" s="113"/>
      <c r="F120" s="650">
        <v>32</v>
      </c>
      <c r="G120" s="651">
        <v>64</v>
      </c>
      <c r="H120" s="113"/>
      <c r="I120" s="650">
        <v>17</v>
      </c>
      <c r="J120" s="651">
        <v>67</v>
      </c>
      <c r="K120" s="113"/>
      <c r="L120" s="650">
        <v>48</v>
      </c>
      <c r="M120" s="652">
        <v>45</v>
      </c>
      <c r="N120" s="824">
        <f t="shared" si="0"/>
        <v>58.973139429358163</v>
      </c>
      <c r="O120" s="824">
        <f t="shared" si="1"/>
        <v>44.361363514998395</v>
      </c>
      <c r="R120">
        <v>43</v>
      </c>
      <c r="S120" s="21">
        <f t="shared" si="5"/>
        <v>49.643571188457543</v>
      </c>
    </row>
    <row r="121" spans="1:19" ht="13.95" customHeight="1">
      <c r="A121" s="650">
        <v>23</v>
      </c>
      <c r="B121" s="650"/>
      <c r="C121" s="651">
        <v>66</v>
      </c>
      <c r="D121" s="652" t="s">
        <v>2595</v>
      </c>
      <c r="E121" s="113"/>
      <c r="F121" s="650">
        <v>23</v>
      </c>
      <c r="G121" s="651">
        <v>66</v>
      </c>
      <c r="H121" s="113"/>
      <c r="I121" s="650">
        <v>17</v>
      </c>
      <c r="J121" s="651">
        <v>67</v>
      </c>
      <c r="K121" s="113"/>
      <c r="L121" s="650">
        <v>49</v>
      </c>
      <c r="M121" s="651">
        <v>43</v>
      </c>
      <c r="N121" s="824">
        <f t="shared" ref="N121:N152" si="6">$X$27*L121^$X$29</f>
        <v>56.883102219269176</v>
      </c>
      <c r="O121" s="824">
        <f t="shared" ref="O121:O152" si="7">$X$57*EXP($X$58*L121)</f>
        <v>43.374378060373019</v>
      </c>
      <c r="R121">
        <v>44</v>
      </c>
      <c r="S121" s="21">
        <f t="shared" si="5"/>
        <v>48.539063148209827</v>
      </c>
    </row>
    <row r="122" spans="1:19" ht="13.95" customHeight="1">
      <c r="A122" s="650">
        <v>25</v>
      </c>
      <c r="B122" s="650">
        <v>8</v>
      </c>
      <c r="C122" s="651">
        <v>66</v>
      </c>
      <c r="D122" s="652">
        <v>67</v>
      </c>
      <c r="E122" s="113"/>
      <c r="F122" s="650">
        <v>25</v>
      </c>
      <c r="G122" s="651">
        <v>66</v>
      </c>
      <c r="H122" s="113"/>
      <c r="I122" s="650">
        <v>17</v>
      </c>
      <c r="J122" s="651">
        <v>67</v>
      </c>
      <c r="K122" s="113"/>
      <c r="L122" s="650">
        <v>49</v>
      </c>
      <c r="M122" s="651">
        <v>43</v>
      </c>
      <c r="N122" s="824">
        <f t="shared" si="6"/>
        <v>56.883102219269176</v>
      </c>
      <c r="O122" s="824">
        <f t="shared" si="7"/>
        <v>43.374378060373019</v>
      </c>
      <c r="R122">
        <v>45</v>
      </c>
      <c r="S122" s="21">
        <f t="shared" si="5"/>
        <v>47.459129045367639</v>
      </c>
    </row>
    <row r="123" spans="1:19" ht="13.95" customHeight="1">
      <c r="A123" s="650">
        <v>42</v>
      </c>
      <c r="B123" s="650">
        <v>41</v>
      </c>
      <c r="C123" s="651">
        <v>52</v>
      </c>
      <c r="D123" s="652">
        <v>54</v>
      </c>
      <c r="E123" s="113"/>
      <c r="F123" s="650">
        <v>42</v>
      </c>
      <c r="G123" s="651">
        <v>52</v>
      </c>
      <c r="H123" s="113"/>
      <c r="I123" s="650">
        <v>17</v>
      </c>
      <c r="J123" s="652">
        <v>67</v>
      </c>
      <c r="K123" s="113"/>
      <c r="L123" s="650">
        <v>49</v>
      </c>
      <c r="M123" s="652">
        <v>43</v>
      </c>
      <c r="N123" s="824">
        <f t="shared" si="6"/>
        <v>56.883102219269176</v>
      </c>
      <c r="O123" s="824">
        <f t="shared" si="7"/>
        <v>43.374378060373019</v>
      </c>
      <c r="R123">
        <v>46</v>
      </c>
      <c r="S123" s="21">
        <f t="shared" si="5"/>
        <v>46.403222140226411</v>
      </c>
    </row>
    <row r="124" spans="1:19" ht="13.95" customHeight="1">
      <c r="A124" s="650">
        <v>27</v>
      </c>
      <c r="B124" s="650">
        <v>10</v>
      </c>
      <c r="C124" s="651">
        <v>66</v>
      </c>
      <c r="D124" s="652">
        <v>67</v>
      </c>
      <c r="E124" s="113"/>
      <c r="F124" s="650">
        <v>27</v>
      </c>
      <c r="G124" s="651">
        <v>66</v>
      </c>
      <c r="H124" s="113"/>
      <c r="I124" s="650">
        <v>17</v>
      </c>
      <c r="J124" s="652">
        <v>67</v>
      </c>
      <c r="K124" s="113"/>
      <c r="L124" s="650">
        <v>49</v>
      </c>
      <c r="M124" s="652">
        <v>43</v>
      </c>
      <c r="N124" s="824">
        <f t="shared" si="6"/>
        <v>56.883102219269176</v>
      </c>
      <c r="O124" s="824">
        <f t="shared" si="7"/>
        <v>43.374378060373019</v>
      </c>
      <c r="R124">
        <v>47</v>
      </c>
      <c r="S124" s="21">
        <f t="shared" si="5"/>
        <v>45.370807857363594</v>
      </c>
    </row>
    <row r="125" spans="1:19" ht="13.95" customHeight="1">
      <c r="A125" s="650">
        <v>32</v>
      </c>
      <c r="B125" s="650">
        <v>20</v>
      </c>
      <c r="C125" s="651">
        <v>64</v>
      </c>
      <c r="D125" s="652">
        <v>66</v>
      </c>
      <c r="E125" s="113"/>
      <c r="F125" s="650">
        <v>32</v>
      </c>
      <c r="G125" s="651">
        <v>64</v>
      </c>
      <c r="H125" s="113"/>
      <c r="I125" s="650">
        <v>17</v>
      </c>
      <c r="J125" s="652">
        <v>67</v>
      </c>
      <c r="K125" s="113"/>
      <c r="L125" s="650">
        <v>50</v>
      </c>
      <c r="M125" s="651">
        <v>42</v>
      </c>
      <c r="N125" s="824">
        <f t="shared" si="6"/>
        <v>54.907150499239464</v>
      </c>
      <c r="O125" s="824">
        <f t="shared" si="7"/>
        <v>42.409351811021224</v>
      </c>
      <c r="R125">
        <v>48</v>
      </c>
      <c r="S125" s="21">
        <f t="shared" si="5"/>
        <v>44.361363514998395</v>
      </c>
    </row>
    <row r="126" spans="1:19" ht="13.95" customHeight="1">
      <c r="A126" s="650">
        <v>22</v>
      </c>
      <c r="B126" s="650">
        <v>12</v>
      </c>
      <c r="C126" s="651">
        <v>66</v>
      </c>
      <c r="D126" s="652">
        <v>67</v>
      </c>
      <c r="E126" s="113"/>
      <c r="F126" s="650">
        <v>22</v>
      </c>
      <c r="G126" s="651">
        <v>66</v>
      </c>
      <c r="H126" s="113"/>
      <c r="I126" s="650">
        <v>18</v>
      </c>
      <c r="J126" s="651">
        <v>67</v>
      </c>
      <c r="K126" s="113"/>
      <c r="L126" s="650">
        <v>50</v>
      </c>
      <c r="M126" s="651">
        <v>42</v>
      </c>
      <c r="N126" s="824">
        <f t="shared" si="6"/>
        <v>54.907150499239464</v>
      </c>
      <c r="O126" s="824">
        <f t="shared" si="7"/>
        <v>42.409351811021224</v>
      </c>
      <c r="R126">
        <v>49</v>
      </c>
      <c r="S126" s="21">
        <f t="shared" si="5"/>
        <v>43.374378060373019</v>
      </c>
    </row>
    <row r="127" spans="1:19" ht="13.95" customHeight="1">
      <c r="A127" s="650">
        <v>38</v>
      </c>
      <c r="B127" s="650">
        <v>19</v>
      </c>
      <c r="C127" s="651">
        <v>58</v>
      </c>
      <c r="D127" s="652">
        <v>66</v>
      </c>
      <c r="E127" s="113"/>
      <c r="F127" s="650">
        <v>38</v>
      </c>
      <c r="G127" s="651">
        <v>58</v>
      </c>
      <c r="H127" s="113"/>
      <c r="I127" s="650">
        <v>18</v>
      </c>
      <c r="J127" s="651">
        <v>67</v>
      </c>
      <c r="K127" s="113"/>
      <c r="L127" s="650">
        <v>50</v>
      </c>
      <c r="M127" s="651">
        <v>42</v>
      </c>
      <c r="N127" s="824">
        <f t="shared" si="6"/>
        <v>54.907150499239464</v>
      </c>
      <c r="O127" s="824">
        <f t="shared" si="7"/>
        <v>42.409351811021224</v>
      </c>
      <c r="R127">
        <v>50</v>
      </c>
      <c r="S127" s="21">
        <f t="shared" si="5"/>
        <v>42.409351811021224</v>
      </c>
    </row>
    <row r="128" spans="1:19" ht="13.95" customHeight="1">
      <c r="A128" s="650">
        <v>43</v>
      </c>
      <c r="B128" s="650">
        <v>19</v>
      </c>
      <c r="C128" s="651">
        <v>51</v>
      </c>
      <c r="D128" s="652">
        <v>66</v>
      </c>
      <c r="E128" s="113"/>
      <c r="F128" s="650">
        <v>43</v>
      </c>
      <c r="G128" s="651">
        <v>51</v>
      </c>
      <c r="H128" s="113"/>
      <c r="I128" s="650">
        <v>18</v>
      </c>
      <c r="J128" s="651">
        <v>67</v>
      </c>
      <c r="K128" s="113"/>
      <c r="L128" s="650">
        <v>51</v>
      </c>
      <c r="M128" s="651">
        <v>41</v>
      </c>
      <c r="N128" s="824">
        <f t="shared" si="6"/>
        <v>53.036957833570533</v>
      </c>
      <c r="O128" s="824">
        <f t="shared" si="7"/>
        <v>41.465796201793459</v>
      </c>
      <c r="R128">
        <v>51</v>
      </c>
      <c r="S128" s="21">
        <f t="shared" si="5"/>
        <v>41.465796201793459</v>
      </c>
    </row>
    <row r="129" spans="1:19" ht="13.95" customHeight="1">
      <c r="A129" s="650">
        <v>27</v>
      </c>
      <c r="B129" s="650">
        <v>23</v>
      </c>
      <c r="C129" s="651">
        <v>66</v>
      </c>
      <c r="D129" s="652">
        <v>66</v>
      </c>
      <c r="E129" s="113"/>
      <c r="F129" s="650">
        <v>27</v>
      </c>
      <c r="G129" s="651">
        <v>66</v>
      </c>
      <c r="H129" s="113"/>
      <c r="I129" s="650">
        <v>18</v>
      </c>
      <c r="J129" s="651">
        <v>67</v>
      </c>
      <c r="K129" s="113"/>
      <c r="L129" s="650">
        <v>51</v>
      </c>
      <c r="M129" s="651">
        <v>41</v>
      </c>
      <c r="N129" s="824">
        <f t="shared" si="6"/>
        <v>53.036957833570533</v>
      </c>
      <c r="O129" s="824">
        <f t="shared" si="7"/>
        <v>41.465796201793459</v>
      </c>
      <c r="R129">
        <v>52</v>
      </c>
      <c r="S129" s="21">
        <f t="shared" si="5"/>
        <v>40.543233537510311</v>
      </c>
    </row>
    <row r="130" spans="1:19" ht="13.95" customHeight="1">
      <c r="A130" s="650">
        <v>23</v>
      </c>
      <c r="B130" s="650">
        <v>15</v>
      </c>
      <c r="C130" s="651">
        <v>66</v>
      </c>
      <c r="D130" s="652">
        <v>67</v>
      </c>
      <c r="E130" s="113"/>
      <c r="F130" s="650">
        <v>23</v>
      </c>
      <c r="G130" s="651">
        <v>66</v>
      </c>
      <c r="H130" s="113"/>
      <c r="I130" s="650">
        <v>18</v>
      </c>
      <c r="J130" s="651">
        <v>67</v>
      </c>
      <c r="K130" s="113"/>
      <c r="L130" s="650">
        <v>52</v>
      </c>
      <c r="M130" s="651">
        <v>40</v>
      </c>
      <c r="N130" s="824">
        <f t="shared" si="6"/>
        <v>51.264952825031294</v>
      </c>
      <c r="O130" s="824">
        <f t="shared" si="7"/>
        <v>40.543233537510311</v>
      </c>
      <c r="R130">
        <v>53</v>
      </c>
      <c r="S130" s="21">
        <f t="shared" si="5"/>
        <v>39.641196751119068</v>
      </c>
    </row>
    <row r="131" spans="1:19" ht="13.95" customHeight="1">
      <c r="A131" s="650">
        <v>44</v>
      </c>
      <c r="B131" s="650"/>
      <c r="C131" s="651">
        <v>50</v>
      </c>
      <c r="D131" s="652" t="s">
        <v>2595</v>
      </c>
      <c r="E131" s="113"/>
      <c r="F131" s="650">
        <v>44</v>
      </c>
      <c r="G131" s="651">
        <v>50</v>
      </c>
      <c r="H131" s="113"/>
      <c r="I131" s="650">
        <v>18</v>
      </c>
      <c r="J131" s="651">
        <v>67</v>
      </c>
      <c r="K131" s="113"/>
      <c r="L131" s="650">
        <v>52</v>
      </c>
      <c r="M131" s="652">
        <v>40</v>
      </c>
      <c r="N131" s="824">
        <f t="shared" si="6"/>
        <v>51.264952825031294</v>
      </c>
      <c r="O131" s="824">
        <f t="shared" si="7"/>
        <v>40.543233537510311</v>
      </c>
      <c r="R131">
        <v>54</v>
      </c>
      <c r="S131" s="21">
        <f t="shared" si="5"/>
        <v>38.75922916723114</v>
      </c>
    </row>
    <row r="132" spans="1:19" ht="13.95" customHeight="1">
      <c r="A132" s="650">
        <v>32</v>
      </c>
      <c r="B132" s="650"/>
      <c r="C132" s="651">
        <v>64</v>
      </c>
      <c r="D132" s="652" t="s">
        <v>2595</v>
      </c>
      <c r="E132" s="113"/>
      <c r="F132" s="650">
        <v>32</v>
      </c>
      <c r="G132" s="651">
        <v>64</v>
      </c>
      <c r="H132" s="113"/>
      <c r="I132" s="650">
        <v>18</v>
      </c>
      <c r="J132" s="652">
        <v>67</v>
      </c>
      <c r="K132" s="113"/>
      <c r="L132" s="650">
        <v>52</v>
      </c>
      <c r="M132" s="652">
        <v>40</v>
      </c>
      <c r="N132" s="824">
        <f t="shared" si="6"/>
        <v>51.264952825031294</v>
      </c>
      <c r="O132" s="824">
        <f t="shared" si="7"/>
        <v>40.543233537510311</v>
      </c>
      <c r="R132">
        <v>55</v>
      </c>
      <c r="S132" s="21">
        <f t="shared" si="5"/>
        <v>37.896884270920289</v>
      </c>
    </row>
    <row r="133" spans="1:19" ht="13.95" customHeight="1">
      <c r="A133" s="650">
        <v>21</v>
      </c>
      <c r="B133" s="650"/>
      <c r="C133" s="651">
        <v>66</v>
      </c>
      <c r="D133" s="652" t="s">
        <v>2595</v>
      </c>
      <c r="E133" s="113"/>
      <c r="F133" s="650">
        <v>21</v>
      </c>
      <c r="G133" s="651">
        <v>66</v>
      </c>
      <c r="H133" s="113"/>
      <c r="I133" s="650">
        <v>18</v>
      </c>
      <c r="J133" s="652">
        <v>67</v>
      </c>
      <c r="K133" s="113"/>
      <c r="L133" s="650">
        <v>53</v>
      </c>
      <c r="M133" s="651">
        <v>39</v>
      </c>
      <c r="N133" s="824">
        <f t="shared" si="6"/>
        <v>49.584237788558809</v>
      </c>
      <c r="O133" s="824">
        <f t="shared" si="7"/>
        <v>39.641196751119068</v>
      </c>
      <c r="R133">
        <v>56</v>
      </c>
      <c r="S133" s="21">
        <f t="shared" si="5"/>
        <v>37.053725481665005</v>
      </c>
    </row>
    <row r="134" spans="1:19" ht="13.95" customHeight="1">
      <c r="A134" s="650">
        <v>28</v>
      </c>
      <c r="B134" s="650"/>
      <c r="C134" s="651">
        <v>66</v>
      </c>
      <c r="D134" s="652" t="s">
        <v>2595</v>
      </c>
      <c r="E134" s="113"/>
      <c r="F134" s="650">
        <v>28</v>
      </c>
      <c r="G134" s="651">
        <v>66</v>
      </c>
      <c r="H134" s="113"/>
      <c r="I134" s="650">
        <v>19</v>
      </c>
      <c r="J134" s="651">
        <v>66</v>
      </c>
      <c r="K134" s="113"/>
      <c r="L134" s="650">
        <v>55</v>
      </c>
      <c r="M134" s="651">
        <v>37</v>
      </c>
      <c r="N134" s="824">
        <f t="shared" si="6"/>
        <v>46.472036739579288</v>
      </c>
      <c r="O134" s="824">
        <f t="shared" si="7"/>
        <v>37.896884270920289</v>
      </c>
      <c r="R134">
        <v>57</v>
      </c>
      <c r="S134" s="21">
        <f t="shared" si="5"/>
        <v>36.229325932320208</v>
      </c>
    </row>
    <row r="135" spans="1:19" ht="13.95" customHeight="1">
      <c r="A135" s="650">
        <v>25</v>
      </c>
      <c r="B135" s="650"/>
      <c r="C135" s="651">
        <v>66</v>
      </c>
      <c r="D135" s="652" t="s">
        <v>2595</v>
      </c>
      <c r="E135" s="113"/>
      <c r="F135" s="650">
        <v>25</v>
      </c>
      <c r="G135" s="651">
        <v>66</v>
      </c>
      <c r="H135" s="113"/>
      <c r="I135" s="650">
        <v>19</v>
      </c>
      <c r="J135" s="651">
        <v>66</v>
      </c>
      <c r="K135" s="113"/>
      <c r="L135" s="650">
        <v>56</v>
      </c>
      <c r="M135" s="651">
        <v>36</v>
      </c>
      <c r="N135" s="824">
        <f t="shared" si="6"/>
        <v>45.02952504053188</v>
      </c>
      <c r="O135" s="824">
        <f t="shared" si="7"/>
        <v>37.053725481665005</v>
      </c>
      <c r="R135">
        <v>58</v>
      </c>
      <c r="S135" s="21">
        <f t="shared" si="5"/>
        <v>35.423268253006711</v>
      </c>
    </row>
    <row r="136" spans="1:19" ht="13.95" customHeight="1">
      <c r="A136" s="650">
        <v>23</v>
      </c>
      <c r="B136" s="650"/>
      <c r="C136" s="651">
        <v>66</v>
      </c>
      <c r="D136" s="652" t="s">
        <v>2595</v>
      </c>
      <c r="E136" s="113"/>
      <c r="F136" s="650">
        <v>23</v>
      </c>
      <c r="G136" s="651">
        <v>66</v>
      </c>
      <c r="H136" s="113"/>
      <c r="I136" s="650">
        <v>19</v>
      </c>
      <c r="J136" s="651">
        <v>66</v>
      </c>
      <c r="K136" s="113"/>
      <c r="L136" s="650">
        <v>56</v>
      </c>
      <c r="M136" s="651">
        <v>36</v>
      </c>
      <c r="N136" s="824">
        <f t="shared" si="6"/>
        <v>45.02952504053188</v>
      </c>
      <c r="O136" s="824">
        <f t="shared" si="7"/>
        <v>37.053725481665005</v>
      </c>
      <c r="R136">
        <v>59</v>
      </c>
      <c r="S136" s="21">
        <f t="shared" si="5"/>
        <v>34.635144359808749</v>
      </c>
    </row>
    <row r="137" spans="1:19" ht="13.95" customHeight="1">
      <c r="A137" s="650">
        <v>32</v>
      </c>
      <c r="B137" s="650"/>
      <c r="C137" s="651">
        <v>64</v>
      </c>
      <c r="D137" s="652" t="s">
        <v>2595</v>
      </c>
      <c r="E137" s="113"/>
      <c r="F137" s="650">
        <v>32</v>
      </c>
      <c r="G137" s="651">
        <v>64</v>
      </c>
      <c r="H137" s="113"/>
      <c r="I137" s="650">
        <v>19</v>
      </c>
      <c r="J137" s="651">
        <v>66</v>
      </c>
      <c r="K137" s="113"/>
      <c r="L137" s="650">
        <v>56</v>
      </c>
      <c r="M137" s="651">
        <v>36</v>
      </c>
      <c r="N137" s="824">
        <f t="shared" si="6"/>
        <v>45.02952504053188</v>
      </c>
      <c r="O137" s="824">
        <f t="shared" si="7"/>
        <v>37.053725481665005</v>
      </c>
      <c r="R137">
        <v>60</v>
      </c>
      <c r="S137" s="21">
        <f t="shared" si="5"/>
        <v>33.864555248172813</v>
      </c>
    </row>
    <row r="138" spans="1:19" ht="13.95" customHeight="1">
      <c r="A138" s="650">
        <v>60</v>
      </c>
      <c r="B138" s="650"/>
      <c r="C138" s="651">
        <v>33</v>
      </c>
      <c r="D138" s="652" t="s">
        <v>2595</v>
      </c>
      <c r="E138" s="113"/>
      <c r="F138" s="650">
        <v>60</v>
      </c>
      <c r="G138" s="651">
        <v>33</v>
      </c>
      <c r="H138" s="113"/>
      <c r="I138" s="650">
        <v>19</v>
      </c>
      <c r="J138" s="651">
        <v>66</v>
      </c>
      <c r="K138" s="113"/>
      <c r="L138" s="650">
        <v>57</v>
      </c>
      <c r="M138" s="651">
        <v>36</v>
      </c>
      <c r="N138" s="824">
        <f t="shared" si="6"/>
        <v>43.656148292125842</v>
      </c>
      <c r="O138" s="824">
        <f t="shared" si="7"/>
        <v>36.229325932320208</v>
      </c>
      <c r="R138">
        <v>61</v>
      </c>
      <c r="S138" s="21">
        <f t="shared" si="5"/>
        <v>33.111110790903048</v>
      </c>
    </row>
    <row r="139" spans="1:19" ht="13.95" customHeight="1">
      <c r="A139" s="650">
        <v>64</v>
      </c>
      <c r="B139" s="650"/>
      <c r="C139" s="651">
        <v>30</v>
      </c>
      <c r="D139" s="652" t="s">
        <v>2595</v>
      </c>
      <c r="E139" s="113"/>
      <c r="F139" s="650">
        <v>64</v>
      </c>
      <c r="G139" s="651">
        <v>30</v>
      </c>
      <c r="H139" s="113"/>
      <c r="I139" s="650">
        <v>19</v>
      </c>
      <c r="J139" s="651">
        <v>66</v>
      </c>
      <c r="K139" s="113"/>
      <c r="L139" s="650">
        <v>57</v>
      </c>
      <c r="M139" s="652">
        <v>36</v>
      </c>
      <c r="N139" s="824">
        <f t="shared" si="6"/>
        <v>43.656148292125842</v>
      </c>
      <c r="O139" s="824">
        <f t="shared" si="7"/>
        <v>36.229325932320208</v>
      </c>
      <c r="R139">
        <v>62</v>
      </c>
      <c r="S139" s="21">
        <f t="shared" ref="S139:S170" si="8">$AA$104*EXP(R139*$AA$105)</f>
        <v>32.374429540651093</v>
      </c>
    </row>
    <row r="140" spans="1:19" ht="13.95" customHeight="1">
      <c r="A140" s="650">
        <v>51</v>
      </c>
      <c r="B140" s="650"/>
      <c r="C140" s="651">
        <v>41</v>
      </c>
      <c r="D140" s="652" t="s">
        <v>2595</v>
      </c>
      <c r="E140" s="113"/>
      <c r="F140" s="650">
        <v>51</v>
      </c>
      <c r="G140" s="651">
        <v>41</v>
      </c>
      <c r="H140" s="113"/>
      <c r="I140" s="650">
        <v>19</v>
      </c>
      <c r="J140" s="651">
        <v>66</v>
      </c>
      <c r="K140" s="113"/>
      <c r="L140" s="650">
        <v>58</v>
      </c>
      <c r="M140" s="651">
        <v>35</v>
      </c>
      <c r="N140" s="824">
        <f t="shared" si="6"/>
        <v>42.347465676799139</v>
      </c>
      <c r="O140" s="824">
        <f t="shared" si="7"/>
        <v>35.423268253006711</v>
      </c>
      <c r="R140">
        <v>63</v>
      </c>
      <c r="S140" s="21">
        <f t="shared" si="8"/>
        <v>31.654138536800101</v>
      </c>
    </row>
    <row r="141" spans="1:19" ht="13.95" customHeight="1">
      <c r="A141" s="650">
        <v>39</v>
      </c>
      <c r="B141" s="650"/>
      <c r="C141" s="651">
        <v>57</v>
      </c>
      <c r="D141" s="652" t="s">
        <v>2595</v>
      </c>
      <c r="E141" s="113"/>
      <c r="F141" s="650">
        <v>39</v>
      </c>
      <c r="G141" s="651">
        <v>57</v>
      </c>
      <c r="H141" s="113"/>
      <c r="I141" s="650">
        <v>19</v>
      </c>
      <c r="J141" s="652">
        <v>66</v>
      </c>
      <c r="K141" s="113"/>
      <c r="L141" s="650">
        <v>58</v>
      </c>
      <c r="M141" s="651">
        <v>35</v>
      </c>
      <c r="N141" s="824">
        <f t="shared" si="6"/>
        <v>42.347465676799139</v>
      </c>
      <c r="O141" s="824">
        <f t="shared" si="7"/>
        <v>35.423268253006711</v>
      </c>
      <c r="R141">
        <v>64</v>
      </c>
      <c r="S141" s="21">
        <f t="shared" si="8"/>
        <v>30.949873116645566</v>
      </c>
    </row>
    <row r="142" spans="1:19" ht="13.95" customHeight="1">
      <c r="A142" s="650">
        <v>35</v>
      </c>
      <c r="B142" s="650"/>
      <c r="C142" s="651">
        <v>62</v>
      </c>
      <c r="D142" s="652" t="s">
        <v>2595</v>
      </c>
      <c r="E142" s="113"/>
      <c r="F142" s="650">
        <v>35</v>
      </c>
      <c r="G142" s="651">
        <v>62</v>
      </c>
      <c r="H142" s="113"/>
      <c r="I142" s="650">
        <v>19</v>
      </c>
      <c r="J142" s="652">
        <v>66</v>
      </c>
      <c r="K142" s="113"/>
      <c r="L142" s="650">
        <v>59</v>
      </c>
      <c r="M142" s="651">
        <v>34</v>
      </c>
      <c r="N142" s="824">
        <f t="shared" si="6"/>
        <v>41.099391604658251</v>
      </c>
      <c r="O142" s="824">
        <f t="shared" si="7"/>
        <v>34.635144359808749</v>
      </c>
      <c r="R142">
        <v>65</v>
      </c>
      <c r="S142" s="21">
        <f t="shared" si="8"/>
        <v>30.261276730776984</v>
      </c>
    </row>
    <row r="143" spans="1:19" ht="13.95" customHeight="1">
      <c r="A143" s="650">
        <v>34</v>
      </c>
      <c r="B143" s="650"/>
      <c r="C143" s="651">
        <v>63</v>
      </c>
      <c r="D143" s="652" t="s">
        <v>2595</v>
      </c>
      <c r="E143" s="113"/>
      <c r="F143" s="650">
        <v>34</v>
      </c>
      <c r="G143" s="651">
        <v>63</v>
      </c>
      <c r="H143" s="113"/>
      <c r="I143" s="650">
        <v>20</v>
      </c>
      <c r="J143" s="651">
        <v>66</v>
      </c>
      <c r="K143" s="113"/>
      <c r="L143" s="650">
        <v>59</v>
      </c>
      <c r="M143" s="652">
        <v>34</v>
      </c>
      <c r="N143" s="824">
        <f t="shared" si="6"/>
        <v>41.099391604658251</v>
      </c>
      <c r="O143" s="824">
        <f t="shared" si="7"/>
        <v>34.635144359808749</v>
      </c>
      <c r="R143">
        <v>66</v>
      </c>
      <c r="S143" s="21">
        <f t="shared" si="8"/>
        <v>29.588000762567116</v>
      </c>
    </row>
    <row r="144" spans="1:19" ht="13.95" customHeight="1">
      <c r="A144" s="650">
        <v>28</v>
      </c>
      <c r="B144" s="650"/>
      <c r="C144" s="651">
        <v>66</v>
      </c>
      <c r="D144" s="652" t="s">
        <v>2595</v>
      </c>
      <c r="E144" s="113"/>
      <c r="F144" s="650">
        <v>28</v>
      </c>
      <c r="G144" s="651">
        <v>66</v>
      </c>
      <c r="H144" s="113"/>
      <c r="I144" s="650">
        <v>20</v>
      </c>
      <c r="J144" s="651">
        <v>66</v>
      </c>
      <c r="K144" s="113"/>
      <c r="L144" s="650">
        <v>60</v>
      </c>
      <c r="M144" s="651">
        <v>33</v>
      </c>
      <c r="N144" s="824">
        <f t="shared" si="6"/>
        <v>39.908161886385308</v>
      </c>
      <c r="O144" s="824">
        <f t="shared" si="7"/>
        <v>33.864555248172813</v>
      </c>
      <c r="R144">
        <v>67</v>
      </c>
      <c r="S144" s="21">
        <f t="shared" si="8"/>
        <v>28.92970435167738</v>
      </c>
    </row>
    <row r="145" spans="1:19" ht="13.95" customHeight="1">
      <c r="A145" s="650">
        <v>48</v>
      </c>
      <c r="B145" s="650"/>
      <c r="C145" s="651">
        <v>45</v>
      </c>
      <c r="D145" s="652" t="s">
        <v>2595</v>
      </c>
      <c r="E145" s="113"/>
      <c r="F145" s="650">
        <v>48</v>
      </c>
      <c r="G145" s="651">
        <v>45</v>
      </c>
      <c r="H145" s="113"/>
      <c r="I145" s="650">
        <v>20</v>
      </c>
      <c r="J145" s="651">
        <v>66</v>
      </c>
      <c r="K145" s="113"/>
      <c r="L145" s="650">
        <v>60</v>
      </c>
      <c r="M145" s="651">
        <v>33</v>
      </c>
      <c r="N145" s="824">
        <f t="shared" si="6"/>
        <v>39.908161886385308</v>
      </c>
      <c r="O145" s="824">
        <f t="shared" si="7"/>
        <v>33.864555248172813</v>
      </c>
      <c r="R145">
        <v>68</v>
      </c>
      <c r="S145" s="21">
        <f t="shared" si="8"/>
        <v>28.286054221490001</v>
      </c>
    </row>
    <row r="146" spans="1:19" ht="13.95" customHeight="1">
      <c r="A146" s="650">
        <v>32</v>
      </c>
      <c r="B146" s="650"/>
      <c r="C146" s="651">
        <v>64</v>
      </c>
      <c r="D146" s="652" t="s">
        <v>2595</v>
      </c>
      <c r="E146" s="113"/>
      <c r="F146" s="650">
        <v>32</v>
      </c>
      <c r="G146" s="651">
        <v>64</v>
      </c>
      <c r="H146" s="113"/>
      <c r="I146" s="650">
        <v>20</v>
      </c>
      <c r="J146" s="651">
        <v>66</v>
      </c>
      <c r="K146" s="113"/>
      <c r="L146" s="650">
        <v>60</v>
      </c>
      <c r="M146" s="651">
        <v>33</v>
      </c>
      <c r="N146" s="824">
        <f t="shared" si="6"/>
        <v>39.908161886385308</v>
      </c>
      <c r="O146" s="824">
        <f t="shared" si="7"/>
        <v>33.864555248172813</v>
      </c>
      <c r="R146">
        <v>69</v>
      </c>
      <c r="S146" s="21">
        <f t="shared" si="8"/>
        <v>27.656724510379643</v>
      </c>
    </row>
    <row r="147" spans="1:19" ht="13.95" customHeight="1">
      <c r="A147" s="650">
        <v>45</v>
      </c>
      <c r="B147" s="650"/>
      <c r="C147" s="651">
        <v>48</v>
      </c>
      <c r="D147" s="652" t="s">
        <v>2595</v>
      </c>
      <c r="E147" s="113"/>
      <c r="F147" s="650">
        <v>45</v>
      </c>
      <c r="G147" s="651">
        <v>48</v>
      </c>
      <c r="H147" s="113"/>
      <c r="I147" s="650">
        <v>20</v>
      </c>
      <c r="J147" s="652">
        <v>66</v>
      </c>
      <c r="K147" s="113"/>
      <c r="L147" s="650">
        <v>60</v>
      </c>
      <c r="M147" s="651">
        <v>33</v>
      </c>
      <c r="N147" s="824">
        <f t="shared" si="6"/>
        <v>39.908161886385308</v>
      </c>
      <c r="O147" s="824">
        <f t="shared" si="7"/>
        <v>33.864555248172813</v>
      </c>
      <c r="R147">
        <v>70</v>
      </c>
      <c r="S147" s="21">
        <f t="shared" si="8"/>
        <v>27.041396606738971</v>
      </c>
    </row>
    <row r="148" spans="1:19" ht="13.95" customHeight="1">
      <c r="A148" s="650">
        <v>96</v>
      </c>
      <c r="B148" s="650"/>
      <c r="C148" s="651">
        <v>15</v>
      </c>
      <c r="D148" s="652" t="s">
        <v>2595</v>
      </c>
      <c r="E148" s="113"/>
      <c r="F148" s="650">
        <v>96</v>
      </c>
      <c r="G148" s="651">
        <v>15</v>
      </c>
      <c r="H148" s="113"/>
      <c r="I148" s="650">
        <v>20</v>
      </c>
      <c r="J148" s="652">
        <v>66</v>
      </c>
      <c r="K148" s="113"/>
      <c r="L148" s="650">
        <v>60</v>
      </c>
      <c r="M148" s="652">
        <v>33</v>
      </c>
      <c r="N148" s="824">
        <f t="shared" si="6"/>
        <v>39.908161886385308</v>
      </c>
      <c r="O148" s="824">
        <f t="shared" si="7"/>
        <v>33.864555248172813</v>
      </c>
      <c r="R148">
        <v>71</v>
      </c>
      <c r="S148" s="21">
        <f t="shared" si="8"/>
        <v>26.439758987674715</v>
      </c>
    </row>
    <row r="149" spans="1:19" ht="13.95" customHeight="1">
      <c r="A149" s="650">
        <v>99</v>
      </c>
      <c r="B149" s="650"/>
      <c r="C149" s="651">
        <v>14</v>
      </c>
      <c r="D149" s="652" t="s">
        <v>2595</v>
      </c>
      <c r="E149" s="113"/>
      <c r="F149" s="650">
        <v>99</v>
      </c>
      <c r="G149" s="651">
        <v>14</v>
      </c>
      <c r="H149" s="113"/>
      <c r="I149" s="650">
        <v>20</v>
      </c>
      <c r="J149" s="652">
        <v>66</v>
      </c>
      <c r="K149" s="113"/>
      <c r="L149" s="650">
        <v>63</v>
      </c>
      <c r="M149" s="651">
        <v>31</v>
      </c>
      <c r="N149" s="824">
        <f t="shared" si="6"/>
        <v>36.642108122165133</v>
      </c>
      <c r="O149" s="824">
        <f t="shared" si="7"/>
        <v>31.654138536800101</v>
      </c>
      <c r="R149">
        <v>72</v>
      </c>
      <c r="S149" s="21">
        <f t="shared" si="8"/>
        <v>25.85150706129259</v>
      </c>
    </row>
    <row r="150" spans="1:19" ht="13.95" customHeight="1">
      <c r="A150" s="650">
        <v>83</v>
      </c>
      <c r="B150" s="650"/>
      <c r="C150" s="651">
        <v>20</v>
      </c>
      <c r="D150" s="652" t="s">
        <v>2595</v>
      </c>
      <c r="E150" s="113"/>
      <c r="F150" s="650">
        <v>83</v>
      </c>
      <c r="G150" s="651">
        <v>20</v>
      </c>
      <c r="H150" s="113"/>
      <c r="I150" s="650">
        <v>20</v>
      </c>
      <c r="J150" s="652">
        <v>66</v>
      </c>
      <c r="K150" s="113"/>
      <c r="L150" s="650">
        <v>63</v>
      </c>
      <c r="M150" s="651">
        <v>31</v>
      </c>
      <c r="N150" s="824">
        <f t="shared" si="6"/>
        <v>36.642108122165133</v>
      </c>
      <c r="O150" s="824">
        <f t="shared" si="7"/>
        <v>31.654138536800101</v>
      </c>
      <c r="R150">
        <v>73</v>
      </c>
      <c r="S150" s="21">
        <f t="shared" si="8"/>
        <v>25.2763430124911</v>
      </c>
    </row>
    <row r="151" spans="1:19" ht="13.95" customHeight="1">
      <c r="A151" s="650">
        <v>104</v>
      </c>
      <c r="B151" s="650"/>
      <c r="C151" s="651">
        <v>13</v>
      </c>
      <c r="D151" s="652" t="s">
        <v>2595</v>
      </c>
      <c r="E151" s="113"/>
      <c r="F151" s="650">
        <v>104</v>
      </c>
      <c r="G151" s="651">
        <v>13</v>
      </c>
      <c r="H151" s="113"/>
      <c r="I151" s="650">
        <v>20</v>
      </c>
      <c r="J151" s="652">
        <v>66</v>
      </c>
      <c r="K151" s="113"/>
      <c r="L151" s="650">
        <v>64</v>
      </c>
      <c r="M151" s="651">
        <v>30</v>
      </c>
      <c r="N151" s="824">
        <f t="shared" si="6"/>
        <v>35.646053859014451</v>
      </c>
      <c r="O151" s="824">
        <f t="shared" si="7"/>
        <v>30.949873116645566</v>
      </c>
      <c r="R151">
        <v>74</v>
      </c>
      <c r="S151" s="21">
        <f t="shared" si="8"/>
        <v>24.713975652186313</v>
      </c>
    </row>
    <row r="152" spans="1:19" ht="13.95" customHeight="1">
      <c r="A152" s="650">
        <v>92</v>
      </c>
      <c r="B152" s="650"/>
      <c r="C152" s="651">
        <v>16</v>
      </c>
      <c r="D152" s="652" t="s">
        <v>2595</v>
      </c>
      <c r="E152" s="113"/>
      <c r="F152" s="650">
        <v>92</v>
      </c>
      <c r="G152" s="651">
        <v>16</v>
      </c>
      <c r="H152" s="113"/>
      <c r="I152" s="650">
        <v>20</v>
      </c>
      <c r="J152" s="652">
        <v>66</v>
      </c>
      <c r="K152" s="113"/>
      <c r="L152" s="650">
        <v>64</v>
      </c>
      <c r="M152" s="651">
        <v>30</v>
      </c>
      <c r="N152" s="824">
        <f t="shared" si="6"/>
        <v>35.646053859014451</v>
      </c>
      <c r="O152" s="824">
        <f t="shared" si="7"/>
        <v>30.949873116645566</v>
      </c>
      <c r="R152">
        <v>75</v>
      </c>
      <c r="S152" s="21">
        <f t="shared" si="8"/>
        <v>24.164120269891157</v>
      </c>
    </row>
    <row r="153" spans="1:19" ht="13.95" customHeight="1">
      <c r="A153" s="650">
        <v>60</v>
      </c>
      <c r="B153" s="650"/>
      <c r="C153" s="651">
        <v>33</v>
      </c>
      <c r="D153" s="652" t="s">
        <v>2595</v>
      </c>
      <c r="E153" s="113"/>
      <c r="F153" s="650">
        <v>60</v>
      </c>
      <c r="G153" s="651">
        <v>33</v>
      </c>
      <c r="H153" s="113"/>
      <c r="I153" s="650">
        <v>21</v>
      </c>
      <c r="J153" s="651">
        <v>66</v>
      </c>
      <c r="K153" s="113"/>
      <c r="L153" s="650">
        <v>65</v>
      </c>
      <c r="M153" s="651">
        <v>29</v>
      </c>
      <c r="N153" s="824">
        <f t="shared" ref="N153:N184" si="9">$X$27*L153^$X$29</f>
        <v>34.691896280847551</v>
      </c>
      <c r="O153" s="824">
        <f t="shared" ref="O153:O184" si="10">$X$57*EXP($X$58*L153)</f>
        <v>30.261276730776984</v>
      </c>
      <c r="R153">
        <v>76</v>
      </c>
      <c r="S153" s="21">
        <f t="shared" si="8"/>
        <v>23.626498489574658</v>
      </c>
    </row>
    <row r="154" spans="1:19" ht="13.95" customHeight="1">
      <c r="A154" s="650">
        <v>76</v>
      </c>
      <c r="B154" s="650"/>
      <c r="C154" s="651">
        <v>23</v>
      </c>
      <c r="D154" s="652" t="s">
        <v>2595</v>
      </c>
      <c r="E154" s="113"/>
      <c r="F154" s="650">
        <v>76</v>
      </c>
      <c r="G154" s="651">
        <v>23</v>
      </c>
      <c r="H154" s="113"/>
      <c r="I154" s="650">
        <v>21</v>
      </c>
      <c r="J154" s="651">
        <v>66</v>
      </c>
      <c r="K154" s="113"/>
      <c r="L154" s="650">
        <v>65</v>
      </c>
      <c r="M154" s="652">
        <v>29</v>
      </c>
      <c r="N154" s="824">
        <f t="shared" si="9"/>
        <v>34.691896280847551</v>
      </c>
      <c r="O154" s="824">
        <f t="shared" si="10"/>
        <v>30.261276730776984</v>
      </c>
      <c r="R154">
        <v>77</v>
      </c>
      <c r="S154" s="21">
        <f t="shared" si="8"/>
        <v>23.100838128728117</v>
      </c>
    </row>
    <row r="155" spans="1:19" ht="13.95" customHeight="1">
      <c r="A155" s="650">
        <v>58</v>
      </c>
      <c r="B155" s="650"/>
      <c r="C155" s="651">
        <v>35</v>
      </c>
      <c r="D155" s="652" t="s">
        <v>2595</v>
      </c>
      <c r="E155" s="113"/>
      <c r="F155" s="650">
        <v>58</v>
      </c>
      <c r="G155" s="651">
        <v>35</v>
      </c>
      <c r="H155" s="113"/>
      <c r="I155" s="650">
        <v>21</v>
      </c>
      <c r="J155" s="651">
        <v>66</v>
      </c>
      <c r="K155" s="113"/>
      <c r="L155" s="650">
        <v>65</v>
      </c>
      <c r="M155" s="652">
        <v>29</v>
      </c>
      <c r="N155" s="824">
        <f t="shared" si="9"/>
        <v>34.691896280847551</v>
      </c>
      <c r="O155" s="824">
        <f t="shared" si="10"/>
        <v>30.261276730776984</v>
      </c>
      <c r="R155">
        <v>78</v>
      </c>
      <c r="S155" s="21">
        <f t="shared" si="8"/>
        <v>22.586873060566912</v>
      </c>
    </row>
    <row r="156" spans="1:19" ht="13.95" customHeight="1">
      <c r="A156" s="650">
        <v>34</v>
      </c>
      <c r="B156" s="650"/>
      <c r="C156" s="651">
        <v>63</v>
      </c>
      <c r="D156" s="652" t="s">
        <v>2595</v>
      </c>
      <c r="E156" s="113"/>
      <c r="F156" s="650">
        <v>34</v>
      </c>
      <c r="G156" s="651">
        <v>63</v>
      </c>
      <c r="H156" s="113"/>
      <c r="I156" s="650">
        <v>21</v>
      </c>
      <c r="J156" s="651">
        <v>66</v>
      </c>
      <c r="K156" s="113"/>
      <c r="L156" s="650">
        <v>67</v>
      </c>
      <c r="M156" s="651">
        <v>28</v>
      </c>
      <c r="N156" s="824">
        <f t="shared" si="9"/>
        <v>32.899970512261419</v>
      </c>
      <c r="O156" s="824">
        <f t="shared" si="10"/>
        <v>28.92970435167738</v>
      </c>
      <c r="R156">
        <v>79</v>
      </c>
      <c r="S156" s="21">
        <f t="shared" si="8"/>
        <v>22.08434307929814</v>
      </c>
    </row>
    <row r="157" spans="1:19" ht="13.95" customHeight="1">
      <c r="A157" s="650">
        <v>28</v>
      </c>
      <c r="B157" s="650"/>
      <c r="C157" s="651">
        <v>66</v>
      </c>
      <c r="D157" s="652" t="s">
        <v>2595</v>
      </c>
      <c r="E157" s="113"/>
      <c r="F157" s="650">
        <v>28</v>
      </c>
      <c r="G157" s="651">
        <v>66</v>
      </c>
      <c r="H157" s="113"/>
      <c r="I157" s="650">
        <v>21</v>
      </c>
      <c r="J157" s="651">
        <v>66</v>
      </c>
      <c r="K157" s="113"/>
      <c r="L157" s="650">
        <v>67</v>
      </c>
      <c r="M157" s="651">
        <v>28</v>
      </c>
      <c r="N157" s="824">
        <f t="shared" si="9"/>
        <v>32.899970512261419</v>
      </c>
      <c r="O157" s="824">
        <f t="shared" si="10"/>
        <v>28.92970435167738</v>
      </c>
      <c r="R157">
        <v>80</v>
      </c>
      <c r="S157" s="21">
        <f t="shared" si="8"/>
        <v>21.592993768385853</v>
      </c>
    </row>
    <row r="158" spans="1:19" ht="13.95" customHeight="1">
      <c r="A158" s="650">
        <v>29</v>
      </c>
      <c r="B158" s="650"/>
      <c r="C158" s="651">
        <v>65</v>
      </c>
      <c r="D158" s="652" t="s">
        <v>2595</v>
      </c>
      <c r="E158" s="113"/>
      <c r="F158" s="650">
        <v>29</v>
      </c>
      <c r="G158" s="651">
        <v>65</v>
      </c>
      <c r="H158" s="113"/>
      <c r="I158" s="650">
        <v>21</v>
      </c>
      <c r="J158" s="651">
        <v>66</v>
      </c>
      <c r="K158" s="113"/>
      <c r="L158" s="650">
        <v>67</v>
      </c>
      <c r="M158" s="652">
        <v>28</v>
      </c>
      <c r="N158" s="824">
        <f t="shared" si="9"/>
        <v>32.899970512261419</v>
      </c>
      <c r="O158" s="824">
        <f t="shared" si="10"/>
        <v>28.92970435167738</v>
      </c>
      <c r="R158">
        <v>81</v>
      </c>
      <c r="S158" s="21">
        <f t="shared" si="8"/>
        <v>21.112576371747267</v>
      </c>
    </row>
    <row r="159" spans="1:19" ht="13.95" customHeight="1">
      <c r="A159" s="650">
        <v>20</v>
      </c>
      <c r="B159" s="650">
        <v>11</v>
      </c>
      <c r="C159" s="651">
        <v>66</v>
      </c>
      <c r="D159" s="652">
        <v>67</v>
      </c>
      <c r="E159" s="113"/>
      <c r="F159" s="650">
        <v>20</v>
      </c>
      <c r="G159" s="651">
        <v>66</v>
      </c>
      <c r="H159" s="113"/>
      <c r="I159" s="650">
        <v>21</v>
      </c>
      <c r="J159" s="651">
        <v>66</v>
      </c>
      <c r="K159" s="113"/>
      <c r="L159" s="650">
        <v>68</v>
      </c>
      <c r="M159" s="651">
        <v>27</v>
      </c>
      <c r="N159" s="824">
        <f t="shared" si="9"/>
        <v>32.057955091883194</v>
      </c>
      <c r="O159" s="824">
        <f t="shared" si="10"/>
        <v>28.286054221490001</v>
      </c>
      <c r="R159">
        <v>82</v>
      </c>
      <c r="S159" s="21">
        <f t="shared" si="8"/>
        <v>20.642847667814692</v>
      </c>
    </row>
    <row r="160" spans="1:19" ht="13.95" customHeight="1">
      <c r="A160" s="650">
        <v>28</v>
      </c>
      <c r="B160" s="650"/>
      <c r="C160" s="651">
        <v>66</v>
      </c>
      <c r="D160" s="652" t="s">
        <v>2595</v>
      </c>
      <c r="E160" s="113"/>
      <c r="F160" s="650">
        <v>28</v>
      </c>
      <c r="G160" s="651">
        <v>66</v>
      </c>
      <c r="H160" s="113"/>
      <c r="I160" s="650">
        <v>21</v>
      </c>
      <c r="J160" s="651">
        <v>66</v>
      </c>
      <c r="K160" s="113"/>
      <c r="L160" s="650">
        <v>68</v>
      </c>
      <c r="M160" s="651">
        <v>27</v>
      </c>
      <c r="N160" s="824">
        <f t="shared" si="9"/>
        <v>32.057955091883194</v>
      </c>
      <c r="O160" s="824">
        <f t="shared" si="10"/>
        <v>28.286054221490001</v>
      </c>
      <c r="R160">
        <v>83</v>
      </c>
      <c r="S160" s="21">
        <f t="shared" si="8"/>
        <v>20.183569846399394</v>
      </c>
    </row>
    <row r="161" spans="1:19" ht="13.95" customHeight="1">
      <c r="A161" s="650">
        <v>19</v>
      </c>
      <c r="B161" s="650"/>
      <c r="C161" s="651">
        <v>66</v>
      </c>
      <c r="D161" s="652" t="s">
        <v>2595</v>
      </c>
      <c r="E161" s="113"/>
      <c r="F161" s="650">
        <v>19</v>
      </c>
      <c r="G161" s="651">
        <v>66</v>
      </c>
      <c r="H161" s="113"/>
      <c r="I161" s="650">
        <v>21</v>
      </c>
      <c r="J161" s="651">
        <v>66</v>
      </c>
      <c r="K161" s="113"/>
      <c r="L161" s="650">
        <v>68</v>
      </c>
      <c r="M161" s="651">
        <v>27</v>
      </c>
      <c r="N161" s="824">
        <f t="shared" si="9"/>
        <v>32.057955091883194</v>
      </c>
      <c r="O161" s="824">
        <f t="shared" si="10"/>
        <v>28.286054221490001</v>
      </c>
      <c r="R161">
        <v>84</v>
      </c>
      <c r="S161" s="21">
        <f t="shared" si="8"/>
        <v>19.734510388295124</v>
      </c>
    </row>
    <row r="162" spans="1:19" ht="13.95" customHeight="1">
      <c r="A162" s="650">
        <v>26</v>
      </c>
      <c r="B162" s="650"/>
      <c r="C162" s="651">
        <v>66</v>
      </c>
      <c r="D162" s="652" t="s">
        <v>2595</v>
      </c>
      <c r="E162" s="113"/>
      <c r="F162" s="650">
        <v>26</v>
      </c>
      <c r="G162" s="651">
        <v>66</v>
      </c>
      <c r="H162" s="113"/>
      <c r="I162" s="650">
        <v>21</v>
      </c>
      <c r="J162" s="652">
        <v>66</v>
      </c>
      <c r="K162" s="113"/>
      <c r="L162" s="650">
        <v>68</v>
      </c>
      <c r="M162" s="651">
        <v>27</v>
      </c>
      <c r="N162" s="824">
        <f t="shared" si="9"/>
        <v>32.057955091883194</v>
      </c>
      <c r="O162" s="824">
        <f t="shared" si="10"/>
        <v>28.286054221490001</v>
      </c>
      <c r="R162">
        <v>85</v>
      </c>
      <c r="S162" s="21">
        <f t="shared" si="8"/>
        <v>19.29544194756031</v>
      </c>
    </row>
    <row r="163" spans="1:19" ht="13.95" customHeight="1">
      <c r="A163" s="650">
        <v>21</v>
      </c>
      <c r="B163" s="650"/>
      <c r="C163" s="651">
        <v>66</v>
      </c>
      <c r="D163" s="652" t="s">
        <v>2595</v>
      </c>
      <c r="E163" s="113"/>
      <c r="F163" s="650">
        <v>21</v>
      </c>
      <c r="G163" s="651">
        <v>66</v>
      </c>
      <c r="H163" s="113"/>
      <c r="I163" s="650">
        <v>21</v>
      </c>
      <c r="J163" s="652">
        <v>66</v>
      </c>
      <c r="K163" s="113"/>
      <c r="L163" s="650">
        <v>68</v>
      </c>
      <c r="M163" s="651">
        <v>27</v>
      </c>
      <c r="N163" s="824">
        <f t="shared" si="9"/>
        <v>32.057955091883194</v>
      </c>
      <c r="O163" s="824">
        <f t="shared" si="10"/>
        <v>28.286054221490001</v>
      </c>
      <c r="R163">
        <v>86</v>
      </c>
      <c r="S163" s="21">
        <f t="shared" si="8"/>
        <v>18.866142236419293</v>
      </c>
    </row>
    <row r="164" spans="1:19" ht="13.95" customHeight="1">
      <c r="A164" s="650">
        <v>34</v>
      </c>
      <c r="B164" s="650"/>
      <c r="C164" s="651">
        <v>63</v>
      </c>
      <c r="D164" s="652" t="s">
        <v>2595</v>
      </c>
      <c r="E164" s="113"/>
      <c r="F164" s="650">
        <v>34</v>
      </c>
      <c r="G164" s="651">
        <v>63</v>
      </c>
      <c r="H164" s="113"/>
      <c r="I164" s="650">
        <v>21</v>
      </c>
      <c r="J164" s="652">
        <v>66</v>
      </c>
      <c r="K164" s="113"/>
      <c r="L164" s="650">
        <v>69</v>
      </c>
      <c r="M164" s="652">
        <v>27</v>
      </c>
      <c r="N164" s="824">
        <f t="shared" si="9"/>
        <v>31.249315201054944</v>
      </c>
      <c r="O164" s="824">
        <f t="shared" si="10"/>
        <v>27.656724510379643</v>
      </c>
      <c r="R164">
        <v>87</v>
      </c>
      <c r="S164" s="21">
        <f t="shared" si="8"/>
        <v>18.446393912724417</v>
      </c>
    </row>
    <row r="165" spans="1:19" ht="13.95" customHeight="1">
      <c r="A165" s="650">
        <v>24</v>
      </c>
      <c r="B165" s="650"/>
      <c r="C165" s="651">
        <v>66</v>
      </c>
      <c r="D165" s="652" t="s">
        <v>2595</v>
      </c>
      <c r="E165" s="113"/>
      <c r="F165" s="650">
        <v>24</v>
      </c>
      <c r="G165" s="651">
        <v>66</v>
      </c>
      <c r="H165" s="113"/>
      <c r="I165" s="650">
        <v>22</v>
      </c>
      <c r="J165" s="651">
        <v>66</v>
      </c>
      <c r="K165" s="113"/>
      <c r="L165" s="650">
        <v>70</v>
      </c>
      <c r="M165" s="651">
        <v>26</v>
      </c>
      <c r="N165" s="824">
        <f t="shared" si="9"/>
        <v>30.472272501910854</v>
      </c>
      <c r="O165" s="824">
        <f t="shared" si="10"/>
        <v>27.041396606738971</v>
      </c>
      <c r="R165">
        <v>88</v>
      </c>
      <c r="S165" s="21">
        <f t="shared" si="8"/>
        <v>18.035984469921928</v>
      </c>
    </row>
    <row r="166" spans="1:19" ht="13.95" customHeight="1">
      <c r="A166" s="650">
        <v>15</v>
      </c>
      <c r="B166" s="650"/>
      <c r="C166" s="651">
        <v>67</v>
      </c>
      <c r="D166" s="652" t="s">
        <v>2595</v>
      </c>
      <c r="E166" s="113"/>
      <c r="F166" s="650">
        <v>15</v>
      </c>
      <c r="G166" s="651">
        <v>67</v>
      </c>
      <c r="H166" s="113"/>
      <c r="I166" s="650">
        <v>22</v>
      </c>
      <c r="J166" s="651">
        <v>66</v>
      </c>
      <c r="K166" s="113"/>
      <c r="L166" s="650">
        <v>70</v>
      </c>
      <c r="M166" s="651">
        <v>26</v>
      </c>
      <c r="N166" s="824">
        <f t="shared" si="9"/>
        <v>30.472272501910854</v>
      </c>
      <c r="O166" s="824">
        <f t="shared" si="10"/>
        <v>27.041396606738971</v>
      </c>
      <c r="R166">
        <v>89</v>
      </c>
      <c r="S166" s="21">
        <f t="shared" si="8"/>
        <v>17.634706129465965</v>
      </c>
    </row>
    <row r="167" spans="1:19" ht="13.95" customHeight="1">
      <c r="A167" s="650">
        <v>37</v>
      </c>
      <c r="B167" s="650">
        <v>8</v>
      </c>
      <c r="C167" s="651">
        <v>59</v>
      </c>
      <c r="D167" s="652">
        <v>67</v>
      </c>
      <c r="E167" s="113"/>
      <c r="F167" s="650">
        <v>37</v>
      </c>
      <c r="G167" s="651">
        <v>59</v>
      </c>
      <c r="H167" s="113"/>
      <c r="I167" s="650">
        <v>22</v>
      </c>
      <c r="J167" s="651">
        <v>66</v>
      </c>
      <c r="K167" s="113"/>
      <c r="L167" s="650">
        <v>70</v>
      </c>
      <c r="M167" s="651">
        <v>26</v>
      </c>
      <c r="N167" s="824">
        <f t="shared" si="9"/>
        <v>30.472272501910854</v>
      </c>
      <c r="O167" s="824">
        <f t="shared" si="10"/>
        <v>27.041396606738971</v>
      </c>
      <c r="R167">
        <v>90</v>
      </c>
      <c r="S167" s="21">
        <f t="shared" si="8"/>
        <v>17.242355735626262</v>
      </c>
    </row>
    <row r="168" spans="1:19" ht="13.95" customHeight="1">
      <c r="A168" s="650">
        <v>12</v>
      </c>
      <c r="B168" s="650">
        <v>10</v>
      </c>
      <c r="C168" s="651">
        <v>67</v>
      </c>
      <c r="D168" s="652">
        <v>67</v>
      </c>
      <c r="E168" s="113"/>
      <c r="F168" s="650">
        <v>12</v>
      </c>
      <c r="G168" s="651">
        <v>67</v>
      </c>
      <c r="H168" s="113"/>
      <c r="I168" s="650">
        <v>22</v>
      </c>
      <c r="J168" s="651">
        <v>66</v>
      </c>
      <c r="K168" s="113"/>
      <c r="L168" s="650">
        <v>70</v>
      </c>
      <c r="M168" s="652">
        <v>26</v>
      </c>
      <c r="N168" s="824">
        <f t="shared" si="9"/>
        <v>30.472272501910854</v>
      </c>
      <c r="O168" s="824">
        <f t="shared" si="10"/>
        <v>27.041396606738971</v>
      </c>
      <c r="R168">
        <v>91</v>
      </c>
      <c r="S168" s="21">
        <f t="shared" si="8"/>
        <v>16.858734652636198</v>
      </c>
    </row>
    <row r="169" spans="1:19" ht="13.95" customHeight="1">
      <c r="A169" s="650">
        <v>18</v>
      </c>
      <c r="B169" s="650">
        <v>14</v>
      </c>
      <c r="C169" s="651">
        <v>67</v>
      </c>
      <c r="D169" s="652">
        <v>67</v>
      </c>
      <c r="E169" s="113"/>
      <c r="F169" s="650">
        <v>18</v>
      </c>
      <c r="G169" s="651">
        <v>67</v>
      </c>
      <c r="H169" s="113"/>
      <c r="I169" s="650">
        <v>22</v>
      </c>
      <c r="J169" s="652">
        <v>66</v>
      </c>
      <c r="K169" s="113"/>
      <c r="L169" s="650">
        <v>71</v>
      </c>
      <c r="M169" s="651">
        <v>26</v>
      </c>
      <c r="N169" s="824">
        <f t="shared" si="9"/>
        <v>29.725166996176601</v>
      </c>
      <c r="O169" s="824">
        <f t="shared" si="10"/>
        <v>26.439758987674715</v>
      </c>
      <c r="R169">
        <v>92</v>
      </c>
      <c r="S169" s="21">
        <f t="shared" si="8"/>
        <v>16.483648664129216</v>
      </c>
    </row>
    <row r="170" spans="1:19" ht="13.95" customHeight="1">
      <c r="A170" s="650">
        <v>28</v>
      </c>
      <c r="B170" s="650">
        <v>6</v>
      </c>
      <c r="C170" s="651">
        <v>66</v>
      </c>
      <c r="D170" s="652">
        <v>67</v>
      </c>
      <c r="E170" s="113"/>
      <c r="F170" s="650">
        <v>28</v>
      </c>
      <c r="G170" s="651">
        <v>66</v>
      </c>
      <c r="H170" s="113"/>
      <c r="I170" s="650">
        <v>22</v>
      </c>
      <c r="J170" s="652">
        <v>66</v>
      </c>
      <c r="K170" s="113"/>
      <c r="L170" s="650">
        <v>72</v>
      </c>
      <c r="M170" s="651">
        <v>25</v>
      </c>
      <c r="N170" s="824">
        <f t="shared" si="9"/>
        <v>29.006447624194152</v>
      </c>
      <c r="O170" s="824">
        <f t="shared" si="10"/>
        <v>25.85150706129259</v>
      </c>
      <c r="R170">
        <v>93</v>
      </c>
      <c r="S170" s="21">
        <f t="shared" si="8"/>
        <v>16.116907874812625</v>
      </c>
    </row>
    <row r="171" spans="1:19" ht="13.95" customHeight="1">
      <c r="A171" s="650">
        <v>32</v>
      </c>
      <c r="B171" s="650">
        <v>7</v>
      </c>
      <c r="C171" s="651">
        <v>64</v>
      </c>
      <c r="D171" s="652">
        <v>67</v>
      </c>
      <c r="E171" s="113"/>
      <c r="F171" s="650">
        <v>32</v>
      </c>
      <c r="G171" s="651">
        <v>64</v>
      </c>
      <c r="H171" s="113"/>
      <c r="I171" s="650">
        <v>22</v>
      </c>
      <c r="J171" s="652">
        <v>66</v>
      </c>
      <c r="K171" s="113"/>
      <c r="L171" s="650">
        <v>72</v>
      </c>
      <c r="M171" s="651">
        <v>25</v>
      </c>
      <c r="N171" s="824">
        <f t="shared" si="9"/>
        <v>29.006447624194152</v>
      </c>
      <c r="O171" s="824">
        <f t="shared" si="10"/>
        <v>25.85150706129259</v>
      </c>
      <c r="R171">
        <v>94</v>
      </c>
      <c r="S171" s="21">
        <f t="shared" ref="S171:S202" si="11">$AA$104*EXP(R171*$AA$105)</f>
        <v>15.75832661432907</v>
      </c>
    </row>
    <row r="172" spans="1:19" ht="13.95" customHeight="1">
      <c r="A172" s="650">
        <v>14</v>
      </c>
      <c r="B172" s="650">
        <v>4</v>
      </c>
      <c r="C172" s="651">
        <v>67</v>
      </c>
      <c r="D172" s="652">
        <v>67</v>
      </c>
      <c r="E172" s="113"/>
      <c r="F172" s="650">
        <v>14</v>
      </c>
      <c r="G172" s="651">
        <v>67</v>
      </c>
      <c r="H172" s="113"/>
      <c r="I172" s="650">
        <v>22</v>
      </c>
      <c r="J172" s="652">
        <v>66</v>
      </c>
      <c r="K172" s="113"/>
      <c r="L172" s="650">
        <v>73</v>
      </c>
      <c r="M172" s="651">
        <v>25</v>
      </c>
      <c r="N172" s="824">
        <f t="shared" si="9"/>
        <v>28.314663728691066</v>
      </c>
      <c r="O172" s="824">
        <f t="shared" si="10"/>
        <v>25.2763430124911</v>
      </c>
      <c r="R172">
        <v>95</v>
      </c>
      <c r="S172" s="21">
        <f t="shared" si="11"/>
        <v>15.407723343256928</v>
      </c>
    </row>
    <row r="173" spans="1:19" ht="13.95" customHeight="1">
      <c r="A173" s="650">
        <v>12</v>
      </c>
      <c r="B173" s="650">
        <v>6</v>
      </c>
      <c r="C173" s="651">
        <v>67</v>
      </c>
      <c r="D173" s="652">
        <v>67</v>
      </c>
      <c r="E173" s="113"/>
      <c r="F173" s="650">
        <v>12</v>
      </c>
      <c r="G173" s="651">
        <v>67</v>
      </c>
      <c r="H173" s="113"/>
      <c r="I173" s="650">
        <v>22</v>
      </c>
      <c r="J173" s="652">
        <v>66</v>
      </c>
      <c r="K173" s="113"/>
      <c r="L173" s="650">
        <v>73</v>
      </c>
      <c r="M173" s="651">
        <v>25</v>
      </c>
      <c r="N173" s="824">
        <f t="shared" si="9"/>
        <v>28.314663728691066</v>
      </c>
      <c r="O173" s="824">
        <f t="shared" si="10"/>
        <v>25.2763430124911</v>
      </c>
      <c r="R173">
        <v>96</v>
      </c>
      <c r="S173" s="21">
        <f t="shared" si="11"/>
        <v>15.064920561202106</v>
      </c>
    </row>
    <row r="174" spans="1:19" ht="13.95" customHeight="1">
      <c r="A174" s="650">
        <v>19</v>
      </c>
      <c r="B174" s="650">
        <v>3</v>
      </c>
      <c r="C174" s="651">
        <v>66</v>
      </c>
      <c r="D174" s="652">
        <v>67</v>
      </c>
      <c r="E174" s="113"/>
      <c r="F174" s="650">
        <v>19</v>
      </c>
      <c r="G174" s="651">
        <v>66</v>
      </c>
      <c r="H174" s="113"/>
      <c r="I174" s="650">
        <v>23</v>
      </c>
      <c r="J174" s="651">
        <v>66</v>
      </c>
      <c r="K174" s="113"/>
      <c r="L174" s="650">
        <v>73</v>
      </c>
      <c r="M174" s="651">
        <v>25</v>
      </c>
      <c r="N174" s="824">
        <f t="shared" si="9"/>
        <v>28.314663728691066</v>
      </c>
      <c r="O174" s="824">
        <f t="shared" si="10"/>
        <v>25.2763430124911</v>
      </c>
      <c r="R174">
        <v>97</v>
      </c>
      <c r="S174" s="21">
        <f t="shared" si="11"/>
        <v>14.72974471693469</v>
      </c>
    </row>
    <row r="175" spans="1:19" ht="13.95" customHeight="1">
      <c r="A175" s="650">
        <v>23</v>
      </c>
      <c r="B175" s="650">
        <v>7</v>
      </c>
      <c r="C175" s="651">
        <v>66</v>
      </c>
      <c r="D175" s="652">
        <v>67</v>
      </c>
      <c r="E175" s="113"/>
      <c r="F175" s="650">
        <v>23</v>
      </c>
      <c r="G175" s="651">
        <v>66</v>
      </c>
      <c r="H175" s="113"/>
      <c r="I175" s="650">
        <v>23</v>
      </c>
      <c r="J175" s="651">
        <v>66</v>
      </c>
      <c r="K175" s="113"/>
      <c r="L175" s="650">
        <v>73</v>
      </c>
      <c r="M175" s="651">
        <v>25</v>
      </c>
      <c r="N175" s="824">
        <f t="shared" si="9"/>
        <v>28.314663728691066</v>
      </c>
      <c r="O175" s="824">
        <f t="shared" si="10"/>
        <v>25.2763430124911</v>
      </c>
      <c r="R175">
        <v>98</v>
      </c>
      <c r="S175" s="21">
        <f t="shared" si="11"/>
        <v>14.402026120524903</v>
      </c>
    </row>
    <row r="176" spans="1:19" ht="13.95" customHeight="1">
      <c r="A176" s="650">
        <v>28</v>
      </c>
      <c r="B176" s="650">
        <v>6</v>
      </c>
      <c r="C176" s="651">
        <v>66</v>
      </c>
      <c r="D176" s="652">
        <v>67</v>
      </c>
      <c r="E176" s="113"/>
      <c r="F176" s="650">
        <v>28</v>
      </c>
      <c r="G176" s="651">
        <v>66</v>
      </c>
      <c r="H176" s="113"/>
      <c r="I176" s="650">
        <v>23</v>
      </c>
      <c r="J176" s="651">
        <v>66</v>
      </c>
      <c r="K176" s="113"/>
      <c r="L176" s="650">
        <v>73</v>
      </c>
      <c r="M176" s="651">
        <v>25</v>
      </c>
      <c r="N176" s="824">
        <f t="shared" si="9"/>
        <v>28.314663728691066</v>
      </c>
      <c r="O176" s="824">
        <f t="shared" si="10"/>
        <v>25.2763430124911</v>
      </c>
      <c r="R176">
        <v>99</v>
      </c>
      <c r="S176" s="21">
        <f t="shared" si="11"/>
        <v>14.081598857433972</v>
      </c>
    </row>
    <row r="177" spans="1:19" ht="13.95" customHeight="1">
      <c r="A177" s="650">
        <v>21</v>
      </c>
      <c r="B177" s="650">
        <v>6</v>
      </c>
      <c r="C177" s="651">
        <v>66</v>
      </c>
      <c r="D177" s="652">
        <v>67</v>
      </c>
      <c r="E177" s="113"/>
      <c r="F177" s="650">
        <v>21</v>
      </c>
      <c r="G177" s="651">
        <v>66</v>
      </c>
      <c r="H177" s="113"/>
      <c r="I177" s="650">
        <v>23</v>
      </c>
      <c r="J177" s="651">
        <v>66</v>
      </c>
      <c r="K177" s="113"/>
      <c r="L177" s="650">
        <v>73</v>
      </c>
      <c r="M177" s="652">
        <v>25</v>
      </c>
      <c r="N177" s="824">
        <f t="shared" si="9"/>
        <v>28.314663728691066</v>
      </c>
      <c r="O177" s="824">
        <f t="shared" si="10"/>
        <v>25.2763430124911</v>
      </c>
      <c r="R177">
        <v>100</v>
      </c>
      <c r="S177" s="21">
        <f t="shared" si="11"/>
        <v>13.768300704516337</v>
      </c>
    </row>
    <row r="178" spans="1:19" ht="13.95" customHeight="1">
      <c r="A178" s="650">
        <v>11</v>
      </c>
      <c r="B178" s="650">
        <v>11</v>
      </c>
      <c r="C178" s="651">
        <v>67</v>
      </c>
      <c r="D178" s="652">
        <v>67</v>
      </c>
      <c r="E178" s="113"/>
      <c r="F178" s="650">
        <v>11</v>
      </c>
      <c r="G178" s="651">
        <v>67</v>
      </c>
      <c r="H178" s="113"/>
      <c r="I178" s="650">
        <v>23</v>
      </c>
      <c r="J178" s="651">
        <v>66</v>
      </c>
      <c r="K178" s="113"/>
      <c r="L178" s="650">
        <v>74</v>
      </c>
      <c r="M178" s="651">
        <v>24</v>
      </c>
      <c r="N178" s="824">
        <f t="shared" si="9"/>
        <v>27.648457293195111</v>
      </c>
      <c r="O178" s="824">
        <f t="shared" si="10"/>
        <v>24.713975652186313</v>
      </c>
      <c r="R178">
        <v>101</v>
      </c>
      <c r="S178" s="21">
        <f t="shared" si="11"/>
        <v>13.461973047890735</v>
      </c>
    </row>
    <row r="179" spans="1:19" ht="13.95" customHeight="1">
      <c r="A179" s="650">
        <v>27</v>
      </c>
      <c r="B179" s="650">
        <v>8</v>
      </c>
      <c r="C179" s="651">
        <v>66</v>
      </c>
      <c r="D179" s="652">
        <v>67</v>
      </c>
      <c r="E179" s="113"/>
      <c r="F179" s="650">
        <v>27</v>
      </c>
      <c r="G179" s="651">
        <v>66</v>
      </c>
      <c r="H179" s="113"/>
      <c r="I179" s="650">
        <v>23</v>
      </c>
      <c r="J179" s="651">
        <v>66</v>
      </c>
      <c r="K179" s="113"/>
      <c r="L179" s="650">
        <v>74</v>
      </c>
      <c r="M179" s="651">
        <v>24</v>
      </c>
      <c r="N179" s="824">
        <f t="shared" si="9"/>
        <v>27.648457293195111</v>
      </c>
      <c r="O179" s="824">
        <f t="shared" si="10"/>
        <v>24.713975652186313</v>
      </c>
      <c r="R179">
        <v>102</v>
      </c>
      <c r="S179" s="21">
        <f t="shared" si="11"/>
        <v>13.162460802638517</v>
      </c>
    </row>
    <row r="180" spans="1:19" ht="13.95" customHeight="1">
      <c r="A180" s="650">
        <v>26</v>
      </c>
      <c r="B180" s="650">
        <v>7</v>
      </c>
      <c r="C180" s="651">
        <v>66</v>
      </c>
      <c r="D180" s="652">
        <v>67</v>
      </c>
      <c r="E180" s="113"/>
      <c r="F180" s="650">
        <v>26</v>
      </c>
      <c r="G180" s="651">
        <v>66</v>
      </c>
      <c r="H180" s="113"/>
      <c r="I180" s="650">
        <v>23</v>
      </c>
      <c r="J180" s="651">
        <v>66</v>
      </c>
      <c r="K180" s="113"/>
      <c r="L180" s="650">
        <v>74</v>
      </c>
      <c r="M180" s="652">
        <v>24</v>
      </c>
      <c r="N180" s="824">
        <f t="shared" si="9"/>
        <v>27.648457293195111</v>
      </c>
      <c r="O180" s="824">
        <f t="shared" si="10"/>
        <v>24.713975652186313</v>
      </c>
      <c r="R180">
        <v>103</v>
      </c>
      <c r="S180" s="21">
        <f t="shared" si="11"/>
        <v>12.869612334288604</v>
      </c>
    </row>
    <row r="181" spans="1:19" ht="13.95" customHeight="1">
      <c r="A181" s="650">
        <v>24</v>
      </c>
      <c r="B181" s="650">
        <v>9</v>
      </c>
      <c r="C181" s="651">
        <v>66</v>
      </c>
      <c r="D181" s="652">
        <v>67</v>
      </c>
      <c r="E181" s="113"/>
      <c r="F181" s="650">
        <v>24</v>
      </c>
      <c r="G181" s="651">
        <v>66</v>
      </c>
      <c r="H181" s="113"/>
      <c r="I181" s="650">
        <v>23</v>
      </c>
      <c r="J181" s="651">
        <v>66</v>
      </c>
      <c r="K181" s="113"/>
      <c r="L181" s="650">
        <v>74</v>
      </c>
      <c r="M181" s="652">
        <v>24</v>
      </c>
      <c r="N181" s="824">
        <f t="shared" si="9"/>
        <v>27.648457293195111</v>
      </c>
      <c r="O181" s="824">
        <f t="shared" si="10"/>
        <v>24.713975652186313</v>
      </c>
      <c r="R181">
        <v>104</v>
      </c>
      <c r="S181" s="21">
        <f t="shared" si="11"/>
        <v>12.583279382049305</v>
      </c>
    </row>
    <row r="182" spans="1:19" ht="13.95" customHeight="1">
      <c r="A182" s="650">
        <v>30</v>
      </c>
      <c r="B182" s="650">
        <v>20</v>
      </c>
      <c r="C182" s="651">
        <v>65</v>
      </c>
      <c r="D182" s="652">
        <v>66</v>
      </c>
      <c r="E182" s="113"/>
      <c r="F182" s="650">
        <v>30</v>
      </c>
      <c r="G182" s="651">
        <v>65</v>
      </c>
      <c r="H182" s="113"/>
      <c r="I182" s="650">
        <v>23</v>
      </c>
      <c r="J182" s="652">
        <v>66</v>
      </c>
      <c r="K182" s="113"/>
      <c r="L182" s="650">
        <v>75</v>
      </c>
      <c r="M182" s="651">
        <v>24</v>
      </c>
      <c r="N182" s="824">
        <f t="shared" si="9"/>
        <v>27.006555875454588</v>
      </c>
      <c r="O182" s="824">
        <f t="shared" si="10"/>
        <v>24.164120269891157</v>
      </c>
      <c r="R182">
        <v>105</v>
      </c>
      <c r="S182" s="21">
        <f t="shared" si="11"/>
        <v>12.303316983748108</v>
      </c>
    </row>
    <row r="183" spans="1:19" ht="13.95" customHeight="1">
      <c r="A183" s="650">
        <v>33</v>
      </c>
      <c r="B183" s="650">
        <v>4</v>
      </c>
      <c r="C183" s="651">
        <v>64</v>
      </c>
      <c r="D183" s="652">
        <v>67</v>
      </c>
      <c r="E183" s="113"/>
      <c r="F183" s="650">
        <v>33</v>
      </c>
      <c r="G183" s="651">
        <v>64</v>
      </c>
      <c r="H183" s="113"/>
      <c r="I183" s="650">
        <v>23</v>
      </c>
      <c r="J183" s="652">
        <v>66</v>
      </c>
      <c r="K183" s="113"/>
      <c r="L183" s="650">
        <v>75</v>
      </c>
      <c r="M183" s="651">
        <v>24</v>
      </c>
      <c r="N183" s="824">
        <f t="shared" si="9"/>
        <v>27.006555875454588</v>
      </c>
      <c r="O183" s="824">
        <f t="shared" si="10"/>
        <v>24.164120269891157</v>
      </c>
      <c r="R183">
        <v>106</v>
      </c>
      <c r="S183" s="21">
        <f t="shared" si="11"/>
        <v>12.029583402441501</v>
      </c>
    </row>
    <row r="184" spans="1:19" ht="13.95" customHeight="1">
      <c r="A184" s="650">
        <v>28</v>
      </c>
      <c r="B184" s="650">
        <v>8</v>
      </c>
      <c r="C184" s="651">
        <v>66</v>
      </c>
      <c r="D184" s="652">
        <v>67</v>
      </c>
      <c r="E184" s="113"/>
      <c r="F184" s="650">
        <v>28</v>
      </c>
      <c r="G184" s="651">
        <v>66</v>
      </c>
      <c r="H184" s="113"/>
      <c r="I184" s="650">
        <v>23</v>
      </c>
      <c r="J184" s="652">
        <v>66</v>
      </c>
      <c r="K184" s="113"/>
      <c r="L184" s="650">
        <v>75</v>
      </c>
      <c r="M184" s="651">
        <v>24</v>
      </c>
      <c r="N184" s="824">
        <f t="shared" si="9"/>
        <v>27.006555875454588</v>
      </c>
      <c r="O184" s="824">
        <f t="shared" si="10"/>
        <v>24.164120269891157</v>
      </c>
      <c r="R184">
        <v>107</v>
      </c>
      <c r="S184" s="21">
        <f t="shared" si="11"/>
        <v>11.761940054657602</v>
      </c>
    </row>
    <row r="185" spans="1:19" ht="13.95" customHeight="1">
      <c r="A185" s="650">
        <v>18</v>
      </c>
      <c r="B185" s="650">
        <v>4</v>
      </c>
      <c r="C185" s="651">
        <v>67</v>
      </c>
      <c r="D185" s="652">
        <v>67</v>
      </c>
      <c r="E185" s="113"/>
      <c r="F185" s="650">
        <v>18</v>
      </c>
      <c r="G185" s="651">
        <v>67</v>
      </c>
      <c r="H185" s="113"/>
      <c r="I185" s="650">
        <v>23</v>
      </c>
      <c r="J185" s="652">
        <v>66</v>
      </c>
      <c r="K185" s="113"/>
      <c r="L185" s="650">
        <v>76</v>
      </c>
      <c r="M185" s="651">
        <v>23</v>
      </c>
      <c r="N185" s="824">
        <f t="shared" ref="N185:N216" si="12">$X$27*L185^$X$29</f>
        <v>26.387766165345813</v>
      </c>
      <c r="O185" s="824">
        <f t="shared" ref="O185:O216" si="13">$X$57*EXP($X$58*L185)</f>
        <v>23.626498489574658</v>
      </c>
      <c r="R185">
        <v>108</v>
      </c>
      <c r="S185" s="21">
        <f t="shared" si="11"/>
        <v>11.500251440235331</v>
      </c>
    </row>
    <row r="186" spans="1:19" ht="13.95" customHeight="1">
      <c r="A186" s="650">
        <v>21</v>
      </c>
      <c r="B186" s="650">
        <v>2</v>
      </c>
      <c r="C186" s="651">
        <v>66</v>
      </c>
      <c r="D186" s="652">
        <v>67</v>
      </c>
      <c r="E186" s="113"/>
      <c r="F186" s="650">
        <v>21</v>
      </c>
      <c r="G186" s="651">
        <v>66</v>
      </c>
      <c r="H186" s="113"/>
      <c r="I186" s="650">
        <v>24</v>
      </c>
      <c r="J186" s="651">
        <v>66</v>
      </c>
      <c r="K186" s="113"/>
      <c r="L186" s="650">
        <v>77</v>
      </c>
      <c r="M186" s="651">
        <v>23</v>
      </c>
      <c r="N186" s="824">
        <f t="shared" si="12"/>
        <v>25.790968104725977</v>
      </c>
      <c r="O186" s="824">
        <f t="shared" si="13"/>
        <v>23.100838128728117</v>
      </c>
      <c r="R186">
        <v>109</v>
      </c>
      <c r="S186" s="21">
        <f t="shared" si="11"/>
        <v>11.244385073724539</v>
      </c>
    </row>
    <row r="187" spans="1:19" ht="13.95" customHeight="1">
      <c r="A187" s="650">
        <v>19</v>
      </c>
      <c r="B187" s="650">
        <v>1</v>
      </c>
      <c r="C187" s="651">
        <v>66</v>
      </c>
      <c r="D187" s="652">
        <v>67</v>
      </c>
      <c r="E187" s="113"/>
      <c r="F187" s="650">
        <v>19</v>
      </c>
      <c r="G187" s="651">
        <v>66</v>
      </c>
      <c r="H187" s="113"/>
      <c r="I187" s="650">
        <v>24</v>
      </c>
      <c r="J187" s="651">
        <v>66</v>
      </c>
      <c r="K187" s="113"/>
      <c r="L187" s="650">
        <v>78</v>
      </c>
      <c r="M187" s="651">
        <v>22</v>
      </c>
      <c r="N187" s="824">
        <f t="shared" si="12"/>
        <v>25.215109513667588</v>
      </c>
      <c r="O187" s="824">
        <f t="shared" si="13"/>
        <v>22.586873060566912</v>
      </c>
      <c r="R187">
        <v>110</v>
      </c>
      <c r="S187" s="21">
        <f t="shared" si="11"/>
        <v>10.994211417312451</v>
      </c>
    </row>
    <row r="188" spans="1:19" ht="13.95" customHeight="1">
      <c r="A188" s="650">
        <v>21</v>
      </c>
      <c r="B188" s="650">
        <v>2</v>
      </c>
      <c r="C188" s="651">
        <v>66</v>
      </c>
      <c r="D188" s="652">
        <v>67</v>
      </c>
      <c r="E188" s="113"/>
      <c r="F188" s="650">
        <v>21</v>
      </c>
      <c r="G188" s="651">
        <v>66</v>
      </c>
      <c r="H188" s="113"/>
      <c r="I188" s="650">
        <v>24</v>
      </c>
      <c r="J188" s="651">
        <v>66</v>
      </c>
      <c r="K188" s="113"/>
      <c r="L188" s="650">
        <v>79</v>
      </c>
      <c r="M188" s="652">
        <v>22</v>
      </c>
      <c r="N188" s="824">
        <f t="shared" si="12"/>
        <v>24.659201173638213</v>
      </c>
      <c r="O188" s="824">
        <f t="shared" si="13"/>
        <v>22.08434307929814</v>
      </c>
      <c r="R188">
        <v>111</v>
      </c>
      <c r="S188" s="21">
        <f t="shared" si="11"/>
        <v>10.749603815242356</v>
      </c>
    </row>
    <row r="189" spans="1:19" ht="13.95" customHeight="1">
      <c r="A189" s="650">
        <v>18</v>
      </c>
      <c r="B189" s="650">
        <v>0</v>
      </c>
      <c r="C189" s="651">
        <v>67</v>
      </c>
      <c r="D189" s="652">
        <v>67</v>
      </c>
      <c r="E189" s="113"/>
      <c r="F189" s="650">
        <v>18</v>
      </c>
      <c r="G189" s="651">
        <v>67</v>
      </c>
      <c r="H189" s="113"/>
      <c r="I189" s="650">
        <v>24</v>
      </c>
      <c r="J189" s="652">
        <v>66</v>
      </c>
      <c r="K189" s="113"/>
      <c r="L189" s="650">
        <v>81</v>
      </c>
      <c r="M189" s="651">
        <v>21</v>
      </c>
      <c r="N189" s="824">
        <f t="shared" si="12"/>
        <v>23.603566529492447</v>
      </c>
      <c r="O189" s="824">
        <f t="shared" si="13"/>
        <v>21.112576371747267</v>
      </c>
      <c r="R189">
        <v>112</v>
      </c>
      <c r="S189" s="21">
        <f t="shared" si="11"/>
        <v>10.510438429691423</v>
      </c>
    </row>
    <row r="190" spans="1:19" ht="13.95" customHeight="1">
      <c r="A190" s="650">
        <v>13</v>
      </c>
      <c r="B190" s="650">
        <v>1</v>
      </c>
      <c r="C190" s="651">
        <v>67</v>
      </c>
      <c r="D190" s="652">
        <v>67</v>
      </c>
      <c r="E190" s="113"/>
      <c r="F190" s="650">
        <v>13</v>
      </c>
      <c r="G190" s="651">
        <v>67</v>
      </c>
      <c r="H190" s="113"/>
      <c r="I190" s="650">
        <v>25</v>
      </c>
      <c r="J190" s="651">
        <v>66</v>
      </c>
      <c r="K190" s="113"/>
      <c r="L190" s="650">
        <v>81</v>
      </c>
      <c r="M190" s="651">
        <v>21</v>
      </c>
      <c r="N190" s="824">
        <f t="shared" si="12"/>
        <v>23.603566529492447</v>
      </c>
      <c r="O190" s="824">
        <f t="shared" si="13"/>
        <v>21.112576371747267</v>
      </c>
      <c r="R190">
        <v>113</v>
      </c>
      <c r="S190" s="21">
        <f t="shared" si="11"/>
        <v>10.276594178075174</v>
      </c>
    </row>
    <row r="191" spans="1:19" ht="13.95" customHeight="1">
      <c r="A191" s="650">
        <v>14</v>
      </c>
      <c r="B191" s="650">
        <v>1</v>
      </c>
      <c r="C191" s="651">
        <v>67</v>
      </c>
      <c r="D191" s="652">
        <v>67</v>
      </c>
      <c r="E191" s="113"/>
      <c r="F191" s="650">
        <v>14</v>
      </c>
      <c r="G191" s="651">
        <v>67</v>
      </c>
      <c r="H191" s="113"/>
      <c r="I191" s="650">
        <v>25</v>
      </c>
      <c r="J191" s="651">
        <v>66</v>
      </c>
      <c r="K191" s="113"/>
      <c r="L191" s="650">
        <v>82</v>
      </c>
      <c r="M191" s="652">
        <v>20</v>
      </c>
      <c r="N191" s="824">
        <f t="shared" si="12"/>
        <v>23.102137892607157</v>
      </c>
      <c r="O191" s="824">
        <f t="shared" si="13"/>
        <v>20.642847667814692</v>
      </c>
      <c r="R191">
        <v>114</v>
      </c>
      <c r="S191" s="21">
        <f t="shared" si="11"/>
        <v>10.04795267174684</v>
      </c>
    </row>
    <row r="192" spans="1:19" ht="13.95" customHeight="1">
      <c r="A192" s="650">
        <v>28</v>
      </c>
      <c r="B192" s="650">
        <v>0</v>
      </c>
      <c r="C192" s="651">
        <v>66</v>
      </c>
      <c r="D192" s="652">
        <v>67</v>
      </c>
      <c r="E192" s="113"/>
      <c r="F192" s="650">
        <v>28</v>
      </c>
      <c r="G192" s="651">
        <v>66</v>
      </c>
      <c r="H192" s="113"/>
      <c r="I192" s="650">
        <v>25</v>
      </c>
      <c r="J192" s="651">
        <v>66</v>
      </c>
      <c r="K192" s="113"/>
      <c r="L192" s="650">
        <v>83</v>
      </c>
      <c r="M192" s="651">
        <v>20</v>
      </c>
      <c r="N192" s="824">
        <f t="shared" si="12"/>
        <v>22.617247564312585</v>
      </c>
      <c r="O192" s="824">
        <f t="shared" si="13"/>
        <v>20.183569846399394</v>
      </c>
      <c r="R192">
        <v>115</v>
      </c>
      <c r="S192" s="21">
        <f t="shared" si="11"/>
        <v>9.8243981560605622</v>
      </c>
    </row>
    <row r="193" spans="1:19" ht="13.95" customHeight="1">
      <c r="A193" s="650">
        <v>21</v>
      </c>
      <c r="B193" s="650">
        <v>1</v>
      </c>
      <c r="C193" s="651">
        <v>66</v>
      </c>
      <c r="D193" s="652">
        <v>67</v>
      </c>
      <c r="E193" s="113"/>
      <c r="F193" s="650">
        <v>21</v>
      </c>
      <c r="G193" s="651">
        <v>66</v>
      </c>
      <c r="H193" s="113"/>
      <c r="I193" s="650">
        <v>25</v>
      </c>
      <c r="J193" s="651">
        <v>66</v>
      </c>
      <c r="K193" s="113"/>
      <c r="L193" s="650">
        <v>84</v>
      </c>
      <c r="M193" s="651">
        <v>19</v>
      </c>
      <c r="N193" s="824">
        <f t="shared" si="12"/>
        <v>22.14816054002204</v>
      </c>
      <c r="O193" s="824">
        <f t="shared" si="13"/>
        <v>19.734510388295124</v>
      </c>
      <c r="R193">
        <v>116</v>
      </c>
      <c r="S193" s="21">
        <f t="shared" si="11"/>
        <v>9.6058174517681483</v>
      </c>
    </row>
    <row r="194" spans="1:19" ht="13.95" customHeight="1">
      <c r="A194" s="650">
        <v>16</v>
      </c>
      <c r="B194" s="650">
        <v>4</v>
      </c>
      <c r="C194" s="651">
        <v>67</v>
      </c>
      <c r="D194" s="652">
        <v>67</v>
      </c>
      <c r="E194" s="113"/>
      <c r="F194" s="650">
        <v>16</v>
      </c>
      <c r="G194" s="651">
        <v>67</v>
      </c>
      <c r="H194" s="113"/>
      <c r="I194" s="650">
        <v>25</v>
      </c>
      <c r="J194" s="651">
        <v>66</v>
      </c>
      <c r="K194" s="113"/>
      <c r="L194" s="650">
        <v>84</v>
      </c>
      <c r="M194" s="651">
        <v>19</v>
      </c>
      <c r="N194" s="824">
        <f t="shared" si="12"/>
        <v>22.14816054002204</v>
      </c>
      <c r="O194" s="824">
        <f t="shared" si="13"/>
        <v>19.734510388295124</v>
      </c>
      <c r="R194">
        <v>117</v>
      </c>
      <c r="S194" s="21">
        <f t="shared" si="11"/>
        <v>9.3920998977196497</v>
      </c>
    </row>
    <row r="195" spans="1:19" ht="13.95" customHeight="1">
      <c r="A195" s="650">
        <v>27</v>
      </c>
      <c r="B195" s="650">
        <v>4</v>
      </c>
      <c r="C195" s="651">
        <v>66</v>
      </c>
      <c r="D195" s="652">
        <v>67</v>
      </c>
      <c r="E195" s="113"/>
      <c r="F195" s="650">
        <v>27</v>
      </c>
      <c r="G195" s="651">
        <v>66</v>
      </c>
      <c r="H195" s="113"/>
      <c r="I195" s="650">
        <v>25</v>
      </c>
      <c r="J195" s="651">
        <v>66</v>
      </c>
      <c r="K195" s="113"/>
      <c r="L195" s="650">
        <v>85</v>
      </c>
      <c r="M195" s="651">
        <v>19</v>
      </c>
      <c r="N195" s="824">
        <f t="shared" si="12"/>
        <v>21.694182706448256</v>
      </c>
      <c r="O195" s="824">
        <f t="shared" si="13"/>
        <v>19.29544194756031</v>
      </c>
      <c r="R195">
        <v>118</v>
      </c>
      <c r="S195" s="21">
        <f t="shared" si="11"/>
        <v>9.1831372948387955</v>
      </c>
    </row>
    <row r="196" spans="1:19" ht="13.95" customHeight="1">
      <c r="A196" s="650">
        <v>67</v>
      </c>
      <c r="B196" s="650">
        <v>38</v>
      </c>
      <c r="C196" s="651">
        <v>28</v>
      </c>
      <c r="D196" s="652">
        <v>58</v>
      </c>
      <c r="E196" s="113"/>
      <c r="F196" s="650">
        <v>67</v>
      </c>
      <c r="G196" s="651">
        <v>28</v>
      </c>
      <c r="H196" s="113"/>
      <c r="I196" s="650">
        <v>25</v>
      </c>
      <c r="J196" s="652">
        <v>66</v>
      </c>
      <c r="K196" s="113"/>
      <c r="L196" s="650">
        <v>85</v>
      </c>
      <c r="M196" s="651">
        <v>19</v>
      </c>
      <c r="N196" s="824">
        <f t="shared" si="12"/>
        <v>21.694182706448256</v>
      </c>
      <c r="O196" s="824">
        <f t="shared" si="13"/>
        <v>19.29544194756031</v>
      </c>
      <c r="R196">
        <v>119</v>
      </c>
      <c r="S196" s="21">
        <f t="shared" si="11"/>
        <v>8.9788238513449006</v>
      </c>
    </row>
    <row r="197" spans="1:19" ht="13.95" customHeight="1">
      <c r="A197" s="650">
        <v>51</v>
      </c>
      <c r="B197" s="650">
        <v>36</v>
      </c>
      <c r="C197" s="651">
        <v>41</v>
      </c>
      <c r="D197" s="652">
        <v>61</v>
      </c>
      <c r="E197" s="113"/>
      <c r="F197" s="650">
        <v>51</v>
      </c>
      <c r="G197" s="651">
        <v>41</v>
      </c>
      <c r="H197" s="113"/>
      <c r="I197" s="650">
        <v>25</v>
      </c>
      <c r="J197" s="652">
        <v>66</v>
      </c>
      <c r="K197" s="113"/>
      <c r="L197" s="650">
        <v>86</v>
      </c>
      <c r="M197" s="651">
        <v>19</v>
      </c>
      <c r="N197" s="824">
        <f t="shared" si="12"/>
        <v>21.25465811962151</v>
      </c>
      <c r="O197" s="824">
        <f t="shared" si="13"/>
        <v>18.866142236419293</v>
      </c>
      <c r="R197">
        <v>120</v>
      </c>
      <c r="S197" s="21">
        <f t="shared" si="11"/>
        <v>8.7790561291935134</v>
      </c>
    </row>
    <row r="198" spans="1:19" ht="13.95" customHeight="1">
      <c r="A198" s="650">
        <v>32</v>
      </c>
      <c r="B198" s="650">
        <v>39</v>
      </c>
      <c r="C198" s="651">
        <v>64</v>
      </c>
      <c r="D198" s="652">
        <v>57</v>
      </c>
      <c r="E198" s="113"/>
      <c r="F198" s="650">
        <v>32</v>
      </c>
      <c r="G198" s="651">
        <v>64</v>
      </c>
      <c r="H198" s="113"/>
      <c r="I198" s="650">
        <v>25</v>
      </c>
      <c r="J198" s="652">
        <v>66</v>
      </c>
      <c r="K198" s="113"/>
      <c r="L198" s="650">
        <v>87</v>
      </c>
      <c r="M198" s="651">
        <v>18</v>
      </c>
      <c r="N198" s="824">
        <f t="shared" si="12"/>
        <v>20.828966493174896</v>
      </c>
      <c r="O198" s="824">
        <f t="shared" si="13"/>
        <v>18.446393912724417</v>
      </c>
      <c r="R198">
        <v>121</v>
      </c>
      <c r="S198" s="21">
        <f t="shared" si="11"/>
        <v>8.5837329917087004</v>
      </c>
    </row>
    <row r="199" spans="1:19" ht="13.95" customHeight="1">
      <c r="A199" s="650">
        <v>40</v>
      </c>
      <c r="B199" s="650">
        <v>40</v>
      </c>
      <c r="C199" s="651">
        <v>55</v>
      </c>
      <c r="D199" s="652">
        <v>55</v>
      </c>
      <c r="E199" s="113"/>
      <c r="F199" s="650">
        <v>40</v>
      </c>
      <c r="G199" s="651">
        <v>55</v>
      </c>
      <c r="H199" s="113"/>
      <c r="I199" s="650">
        <v>26</v>
      </c>
      <c r="J199" s="651">
        <v>66</v>
      </c>
      <c r="K199" s="113"/>
      <c r="L199" s="650">
        <v>87</v>
      </c>
      <c r="M199" s="651">
        <v>18</v>
      </c>
      <c r="N199" s="824">
        <f t="shared" si="12"/>
        <v>20.828966493174896</v>
      </c>
      <c r="O199" s="824">
        <f t="shared" si="13"/>
        <v>18.446393912724417</v>
      </c>
      <c r="R199">
        <v>122</v>
      </c>
      <c r="S199" s="21">
        <f t="shared" si="11"/>
        <v>8.3927555523804376</v>
      </c>
    </row>
    <row r="200" spans="1:19" ht="13.95" customHeight="1">
      <c r="A200" s="650">
        <v>28</v>
      </c>
      <c r="B200" s="650">
        <v>20</v>
      </c>
      <c r="C200" s="651">
        <v>66</v>
      </c>
      <c r="D200" s="652">
        <v>66</v>
      </c>
      <c r="E200" s="113"/>
      <c r="F200" s="650">
        <v>28</v>
      </c>
      <c r="G200" s="651">
        <v>66</v>
      </c>
      <c r="H200" s="113"/>
      <c r="I200" s="650">
        <v>26</v>
      </c>
      <c r="J200" s="651">
        <v>66</v>
      </c>
      <c r="K200" s="113"/>
      <c r="L200" s="650">
        <v>88</v>
      </c>
      <c r="M200" s="651">
        <v>18</v>
      </c>
      <c r="N200" s="824">
        <f t="shared" si="12"/>
        <v>20.416520878460616</v>
      </c>
      <c r="O200" s="824">
        <f t="shared" si="13"/>
        <v>18.035984469921928</v>
      </c>
      <c r="R200">
        <v>123</v>
      </c>
      <c r="S200" s="21">
        <f t="shared" si="11"/>
        <v>8.2060271248012171</v>
      </c>
    </row>
    <row r="201" spans="1:19" ht="13.95" customHeight="1">
      <c r="A201" s="650">
        <v>42</v>
      </c>
      <c r="B201" s="650">
        <v>21</v>
      </c>
      <c r="C201" s="651">
        <v>52</v>
      </c>
      <c r="D201" s="652">
        <v>66</v>
      </c>
      <c r="E201" s="113"/>
      <c r="F201" s="650">
        <v>42</v>
      </c>
      <c r="G201" s="651">
        <v>52</v>
      </c>
      <c r="H201" s="113"/>
      <c r="I201" s="650">
        <v>26</v>
      </c>
      <c r="J201" s="651">
        <v>66</v>
      </c>
      <c r="K201" s="113"/>
      <c r="L201" s="650">
        <v>88</v>
      </c>
      <c r="M201" s="652">
        <v>18</v>
      </c>
      <c r="N201" s="824">
        <f t="shared" si="12"/>
        <v>20.416520878460616</v>
      </c>
      <c r="O201" s="824">
        <f t="shared" si="13"/>
        <v>18.035984469921928</v>
      </c>
      <c r="R201">
        <v>124</v>
      </c>
      <c r="S201" s="21">
        <f t="shared" si="11"/>
        <v>8.0234531737164669</v>
      </c>
    </row>
    <row r="202" spans="1:19" ht="13.95" customHeight="1">
      <c r="A202" s="650">
        <v>39</v>
      </c>
      <c r="B202" s="650">
        <v>23</v>
      </c>
      <c r="C202" s="651">
        <v>57</v>
      </c>
      <c r="D202" s="652">
        <v>66</v>
      </c>
      <c r="E202" s="113"/>
      <c r="F202" s="650">
        <v>39</v>
      </c>
      <c r="G202" s="651">
        <v>57</v>
      </c>
      <c r="H202" s="113"/>
      <c r="I202" s="650">
        <v>26</v>
      </c>
      <c r="J202" s="651">
        <v>66</v>
      </c>
      <c r="K202" s="113"/>
      <c r="L202" s="650">
        <v>90</v>
      </c>
      <c r="M202" s="651">
        <v>17</v>
      </c>
      <c r="N202" s="824">
        <f t="shared" si="12"/>
        <v>19.629173870282695</v>
      </c>
      <c r="O202" s="824">
        <f t="shared" si="13"/>
        <v>17.242355735626262</v>
      </c>
      <c r="R202">
        <v>125</v>
      </c>
      <c r="S202" s="21">
        <f t="shared" si="11"/>
        <v>7.8449412671640761</v>
      </c>
    </row>
    <row r="203" spans="1:19" ht="13.95" customHeight="1">
      <c r="A203" s="650">
        <v>25</v>
      </c>
      <c r="B203" s="650">
        <v>25</v>
      </c>
      <c r="C203" s="651">
        <v>66</v>
      </c>
      <c r="D203" s="652">
        <v>66</v>
      </c>
      <c r="E203" s="113"/>
      <c r="F203" s="650">
        <v>25</v>
      </c>
      <c r="G203" s="651">
        <v>66</v>
      </c>
      <c r="H203" s="113"/>
      <c r="I203" s="650">
        <v>26</v>
      </c>
      <c r="J203" s="651">
        <v>66</v>
      </c>
      <c r="K203" s="113"/>
      <c r="L203" s="650">
        <v>92</v>
      </c>
      <c r="M203" s="651">
        <v>16</v>
      </c>
      <c r="N203" s="824">
        <f t="shared" si="12"/>
        <v>18.888510659135616</v>
      </c>
      <c r="O203" s="824">
        <f t="shared" si="13"/>
        <v>16.483648664129216</v>
      </c>
    </row>
    <row r="204" spans="1:19" ht="13.95" customHeight="1">
      <c r="A204" s="650">
        <v>32</v>
      </c>
      <c r="B204" s="650">
        <v>18</v>
      </c>
      <c r="C204" s="651">
        <v>64</v>
      </c>
      <c r="D204" s="652">
        <v>67</v>
      </c>
      <c r="E204" s="113"/>
      <c r="F204" s="650">
        <v>32</v>
      </c>
      <c r="G204" s="651">
        <v>64</v>
      </c>
      <c r="H204" s="113"/>
      <c r="I204" s="650">
        <v>26</v>
      </c>
      <c r="J204" s="652">
        <v>66</v>
      </c>
      <c r="K204" s="113"/>
      <c r="L204" s="650">
        <v>92</v>
      </c>
      <c r="M204" s="652">
        <v>16</v>
      </c>
      <c r="N204" s="824">
        <f t="shared" si="12"/>
        <v>18.888510659135616</v>
      </c>
      <c r="O204" s="824">
        <f t="shared" si="13"/>
        <v>16.483648664129216</v>
      </c>
    </row>
    <row r="205" spans="1:19" ht="13.95" customHeight="1">
      <c r="A205" s="650">
        <v>32</v>
      </c>
      <c r="B205" s="650">
        <v>14</v>
      </c>
      <c r="C205" s="651">
        <v>64</v>
      </c>
      <c r="D205" s="652">
        <v>67</v>
      </c>
      <c r="E205" s="113"/>
      <c r="F205" s="650">
        <v>32</v>
      </c>
      <c r="G205" s="651">
        <v>64</v>
      </c>
      <c r="H205" s="113"/>
      <c r="I205" s="650">
        <v>26</v>
      </c>
      <c r="J205" s="652">
        <v>66</v>
      </c>
      <c r="K205" s="113"/>
      <c r="L205" s="650">
        <v>94</v>
      </c>
      <c r="M205" s="651">
        <v>16</v>
      </c>
      <c r="N205" s="824">
        <f t="shared" si="12"/>
        <v>18.190836466713552</v>
      </c>
      <c r="O205" s="824">
        <f t="shared" si="13"/>
        <v>15.75832661432907</v>
      </c>
    </row>
    <row r="206" spans="1:19" ht="13.95" customHeight="1">
      <c r="A206" s="650">
        <v>46</v>
      </c>
      <c r="B206" s="650">
        <v>27</v>
      </c>
      <c r="C206" s="651">
        <v>47</v>
      </c>
      <c r="D206" s="652">
        <v>66</v>
      </c>
      <c r="E206" s="113"/>
      <c r="F206" s="650">
        <v>46</v>
      </c>
      <c r="G206" s="651">
        <v>47</v>
      </c>
      <c r="H206" s="113"/>
      <c r="I206" s="650">
        <v>27</v>
      </c>
      <c r="J206" s="651">
        <v>66</v>
      </c>
      <c r="K206" s="113"/>
      <c r="L206" s="650">
        <v>94</v>
      </c>
      <c r="M206" s="651">
        <v>16</v>
      </c>
      <c r="N206" s="824">
        <f t="shared" si="12"/>
        <v>18.190836466713552</v>
      </c>
      <c r="O206" s="824">
        <f t="shared" si="13"/>
        <v>15.75832661432907</v>
      </c>
    </row>
    <row r="207" spans="1:19" ht="13.95" customHeight="1">
      <c r="A207" s="650">
        <v>28</v>
      </c>
      <c r="B207" s="650">
        <v>22</v>
      </c>
      <c r="C207" s="651">
        <v>66</v>
      </c>
      <c r="D207" s="652">
        <v>66</v>
      </c>
      <c r="E207" s="113"/>
      <c r="F207" s="650">
        <v>28</v>
      </c>
      <c r="G207" s="651">
        <v>66</v>
      </c>
      <c r="H207" s="113"/>
      <c r="I207" s="650">
        <v>27</v>
      </c>
      <c r="J207" s="651">
        <v>66</v>
      </c>
      <c r="K207" s="113"/>
      <c r="L207" s="650">
        <v>95</v>
      </c>
      <c r="M207" s="652">
        <v>15</v>
      </c>
      <c r="N207" s="824">
        <f t="shared" si="12"/>
        <v>17.857066015760566</v>
      </c>
      <c r="O207" s="824">
        <f t="shared" si="13"/>
        <v>15.407723343256928</v>
      </c>
    </row>
    <row r="208" spans="1:19" ht="13.95" customHeight="1">
      <c r="A208" s="650">
        <v>25</v>
      </c>
      <c r="B208" s="650">
        <v>11</v>
      </c>
      <c r="C208" s="651">
        <v>66</v>
      </c>
      <c r="D208" s="652">
        <v>67</v>
      </c>
      <c r="E208" s="113"/>
      <c r="F208" s="650">
        <v>25</v>
      </c>
      <c r="G208" s="651">
        <v>66</v>
      </c>
      <c r="H208" s="113"/>
      <c r="I208" s="650">
        <v>27</v>
      </c>
      <c r="J208" s="651">
        <v>66</v>
      </c>
      <c r="K208" s="113"/>
      <c r="L208" s="650">
        <v>96</v>
      </c>
      <c r="M208" s="651">
        <v>15</v>
      </c>
      <c r="N208" s="824">
        <f t="shared" si="12"/>
        <v>17.532819250860065</v>
      </c>
      <c r="O208" s="824">
        <f t="shared" si="13"/>
        <v>15.064920561202106</v>
      </c>
    </row>
    <row r="209" spans="1:15" ht="13.95" customHeight="1">
      <c r="A209" s="650">
        <v>25</v>
      </c>
      <c r="B209" s="650">
        <v>16</v>
      </c>
      <c r="C209" s="651">
        <v>66</v>
      </c>
      <c r="D209" s="652">
        <v>67</v>
      </c>
      <c r="E209" s="113"/>
      <c r="F209" s="650">
        <v>25</v>
      </c>
      <c r="G209" s="651">
        <v>66</v>
      </c>
      <c r="H209" s="113"/>
      <c r="I209" s="650">
        <v>27</v>
      </c>
      <c r="J209" s="651">
        <v>66</v>
      </c>
      <c r="K209" s="113"/>
      <c r="L209" s="650">
        <v>97</v>
      </c>
      <c r="M209" s="651">
        <v>15</v>
      </c>
      <c r="N209" s="824">
        <f t="shared" si="12"/>
        <v>17.217729417891469</v>
      </c>
      <c r="O209" s="824">
        <f t="shared" si="13"/>
        <v>14.72974471693469</v>
      </c>
    </row>
    <row r="210" spans="1:15" ht="13.95" customHeight="1">
      <c r="A210" s="650">
        <v>19</v>
      </c>
      <c r="B210" s="650">
        <v>4</v>
      </c>
      <c r="C210" s="651">
        <v>66</v>
      </c>
      <c r="D210" s="652">
        <v>67</v>
      </c>
      <c r="E210" s="113"/>
      <c r="F210" s="650">
        <v>19</v>
      </c>
      <c r="G210" s="651">
        <v>66</v>
      </c>
      <c r="H210" s="113"/>
      <c r="I210" s="650">
        <v>27</v>
      </c>
      <c r="J210" s="651">
        <v>66</v>
      </c>
      <c r="K210" s="113"/>
      <c r="L210" s="650">
        <v>97</v>
      </c>
      <c r="M210" s="651">
        <v>15</v>
      </c>
      <c r="N210" s="824">
        <f t="shared" si="12"/>
        <v>17.217729417891469</v>
      </c>
      <c r="O210" s="824">
        <f t="shared" si="13"/>
        <v>14.72974471693469</v>
      </c>
    </row>
    <row r="211" spans="1:15" ht="13.95" customHeight="1">
      <c r="A211" s="650">
        <v>21</v>
      </c>
      <c r="B211" s="650">
        <v>8</v>
      </c>
      <c r="C211" s="651">
        <v>66</v>
      </c>
      <c r="D211" s="652">
        <v>67</v>
      </c>
      <c r="E211" s="113"/>
      <c r="F211" s="650">
        <v>21</v>
      </c>
      <c r="G211" s="651">
        <v>66</v>
      </c>
      <c r="H211" s="113"/>
      <c r="I211" s="650">
        <v>27</v>
      </c>
      <c r="J211" s="651">
        <v>66</v>
      </c>
      <c r="K211" s="113"/>
      <c r="L211" s="650">
        <v>97</v>
      </c>
      <c r="M211" s="652">
        <v>15</v>
      </c>
      <c r="N211" s="824">
        <f t="shared" si="12"/>
        <v>17.217729417891469</v>
      </c>
      <c r="O211" s="824">
        <f t="shared" si="13"/>
        <v>14.72974471693469</v>
      </c>
    </row>
    <row r="212" spans="1:15" ht="13.95" customHeight="1">
      <c r="A212" s="650">
        <v>13</v>
      </c>
      <c r="B212" s="650">
        <v>6</v>
      </c>
      <c r="C212" s="651">
        <v>67</v>
      </c>
      <c r="D212" s="652">
        <v>67</v>
      </c>
      <c r="E212" s="113"/>
      <c r="F212" s="650">
        <v>13</v>
      </c>
      <c r="G212" s="651">
        <v>67</v>
      </c>
      <c r="H212" s="113"/>
      <c r="I212" s="650">
        <v>27</v>
      </c>
      <c r="J212" s="652">
        <v>66</v>
      </c>
      <c r="K212" s="113"/>
      <c r="L212" s="650">
        <v>99</v>
      </c>
      <c r="M212" s="651">
        <v>14</v>
      </c>
      <c r="N212" s="824">
        <f t="shared" si="12"/>
        <v>16.613641046260494</v>
      </c>
      <c r="O212" s="824">
        <f t="shared" si="13"/>
        <v>14.081598857433972</v>
      </c>
    </row>
    <row r="213" spans="1:15" ht="13.95" customHeight="1">
      <c r="A213" s="650">
        <v>16</v>
      </c>
      <c r="B213" s="650">
        <v>5</v>
      </c>
      <c r="C213" s="651">
        <v>67</v>
      </c>
      <c r="D213" s="652">
        <v>67</v>
      </c>
      <c r="E213" s="113"/>
      <c r="F213" s="650">
        <v>16</v>
      </c>
      <c r="G213" s="651">
        <v>67</v>
      </c>
      <c r="H213" s="113"/>
      <c r="I213" s="650">
        <v>27</v>
      </c>
      <c r="J213" s="652">
        <v>66</v>
      </c>
      <c r="K213" s="113"/>
      <c r="L213" s="650">
        <v>99</v>
      </c>
      <c r="M213" s="651">
        <v>14</v>
      </c>
      <c r="N213" s="824">
        <f t="shared" si="12"/>
        <v>16.613641046260494</v>
      </c>
      <c r="O213" s="824">
        <f t="shared" si="13"/>
        <v>14.081598857433972</v>
      </c>
    </row>
    <row r="214" spans="1:15" ht="13.95" customHeight="1">
      <c r="A214" s="650">
        <v>20</v>
      </c>
      <c r="B214" s="650">
        <v>10</v>
      </c>
      <c r="C214" s="651">
        <v>66</v>
      </c>
      <c r="D214" s="652">
        <v>67</v>
      </c>
      <c r="E214" s="113"/>
      <c r="F214" s="650">
        <v>20</v>
      </c>
      <c r="G214" s="651">
        <v>66</v>
      </c>
      <c r="H214" s="113"/>
      <c r="I214" s="650">
        <v>28</v>
      </c>
      <c r="J214" s="651">
        <v>66</v>
      </c>
      <c r="K214" s="113"/>
      <c r="L214" s="650">
        <v>99</v>
      </c>
      <c r="M214" s="651">
        <v>14</v>
      </c>
      <c r="N214" s="824">
        <f t="shared" si="12"/>
        <v>16.613641046260494</v>
      </c>
      <c r="O214" s="824">
        <f t="shared" si="13"/>
        <v>14.081598857433972</v>
      </c>
    </row>
    <row r="215" spans="1:15" ht="13.95" customHeight="1">
      <c r="A215" s="650">
        <v>15</v>
      </c>
      <c r="B215" s="650">
        <v>7</v>
      </c>
      <c r="C215" s="651">
        <v>67</v>
      </c>
      <c r="D215" s="652">
        <v>67</v>
      </c>
      <c r="E215" s="113"/>
      <c r="F215" s="650">
        <v>15</v>
      </c>
      <c r="G215" s="651">
        <v>67</v>
      </c>
      <c r="H215" s="113"/>
      <c r="I215" s="650">
        <v>28</v>
      </c>
      <c r="J215" s="651">
        <v>66</v>
      </c>
      <c r="K215" s="113"/>
      <c r="L215" s="650">
        <v>100</v>
      </c>
      <c r="M215" s="651">
        <v>14</v>
      </c>
      <c r="N215" s="824">
        <f t="shared" si="12"/>
        <v>16.323993509555187</v>
      </c>
      <c r="O215" s="824">
        <f t="shared" si="13"/>
        <v>13.768300704516337</v>
      </c>
    </row>
    <row r="216" spans="1:15" ht="13.95" customHeight="1">
      <c r="A216" s="650">
        <v>17</v>
      </c>
      <c r="B216" s="650">
        <v>5</v>
      </c>
      <c r="C216" s="651">
        <v>67</v>
      </c>
      <c r="D216" s="652">
        <v>67</v>
      </c>
      <c r="E216" s="113"/>
      <c r="F216" s="650">
        <v>17</v>
      </c>
      <c r="G216" s="651">
        <v>67</v>
      </c>
      <c r="H216" s="113"/>
      <c r="I216" s="650">
        <v>28</v>
      </c>
      <c r="J216" s="651">
        <v>66</v>
      </c>
      <c r="K216" s="113"/>
      <c r="L216" s="650">
        <v>100</v>
      </c>
      <c r="M216" s="651">
        <v>14</v>
      </c>
      <c r="N216" s="824">
        <f t="shared" si="12"/>
        <v>16.323993509555187</v>
      </c>
      <c r="O216" s="824">
        <f t="shared" si="13"/>
        <v>13.768300704516337</v>
      </c>
    </row>
    <row r="217" spans="1:15" ht="13.95" customHeight="1">
      <c r="A217" s="650">
        <v>15</v>
      </c>
      <c r="B217" s="650">
        <v>10</v>
      </c>
      <c r="C217" s="651">
        <v>67</v>
      </c>
      <c r="D217" s="652">
        <v>67</v>
      </c>
      <c r="E217" s="113"/>
      <c r="F217" s="650">
        <v>15</v>
      </c>
      <c r="G217" s="651">
        <v>67</v>
      </c>
      <c r="H217" s="113"/>
      <c r="I217" s="650">
        <v>28</v>
      </c>
      <c r="J217" s="651">
        <v>66</v>
      </c>
      <c r="K217" s="113"/>
      <c r="L217" s="650">
        <v>102</v>
      </c>
      <c r="M217" s="651">
        <v>13</v>
      </c>
      <c r="N217" s="824">
        <f t="shared" ref="N217:N232" si="14">$X$27*L217^$X$29</f>
        <v>15.767981903445365</v>
      </c>
      <c r="O217" s="824">
        <f t="shared" ref="O217:O232" si="15">$X$57*EXP($X$58*L217)</f>
        <v>13.162460802638517</v>
      </c>
    </row>
    <row r="218" spans="1:15" ht="13.95" customHeight="1">
      <c r="A218" s="650">
        <v>23</v>
      </c>
      <c r="B218" s="650">
        <v>6</v>
      </c>
      <c r="C218" s="651">
        <v>66</v>
      </c>
      <c r="D218" s="652">
        <v>67</v>
      </c>
      <c r="E218" s="113"/>
      <c r="F218" s="650">
        <v>23</v>
      </c>
      <c r="G218" s="651">
        <v>66</v>
      </c>
      <c r="H218" s="113"/>
      <c r="I218" s="650">
        <v>28</v>
      </c>
      <c r="J218" s="651">
        <v>66</v>
      </c>
      <c r="K218" s="113"/>
      <c r="L218" s="650">
        <v>103</v>
      </c>
      <c r="M218" s="651">
        <v>13</v>
      </c>
      <c r="N218" s="824">
        <f t="shared" si="14"/>
        <v>15.501055463394119</v>
      </c>
      <c r="O218" s="824">
        <f t="shared" si="15"/>
        <v>12.869612334288604</v>
      </c>
    </row>
    <row r="219" spans="1:15" ht="13.95" customHeight="1">
      <c r="A219" s="650">
        <v>37</v>
      </c>
      <c r="B219" s="650">
        <v>10</v>
      </c>
      <c r="C219" s="651">
        <v>59</v>
      </c>
      <c r="D219" s="652">
        <v>67</v>
      </c>
      <c r="E219" s="113"/>
      <c r="F219" s="650">
        <v>37</v>
      </c>
      <c r="G219" s="651">
        <v>59</v>
      </c>
      <c r="H219" s="113"/>
      <c r="I219" s="650">
        <v>28</v>
      </c>
      <c r="J219" s="651">
        <v>66</v>
      </c>
      <c r="K219" s="113"/>
      <c r="L219" s="650">
        <v>104</v>
      </c>
      <c r="M219" s="651">
        <v>13</v>
      </c>
      <c r="N219" s="824">
        <f t="shared" si="14"/>
        <v>15.241161662451521</v>
      </c>
      <c r="O219" s="824">
        <f t="shared" si="15"/>
        <v>12.583279382049305</v>
      </c>
    </row>
    <row r="220" spans="1:15" ht="13.95" customHeight="1">
      <c r="A220" s="650">
        <v>14</v>
      </c>
      <c r="B220" s="650">
        <v>10</v>
      </c>
      <c r="C220" s="651">
        <v>67</v>
      </c>
      <c r="D220" s="652">
        <v>67</v>
      </c>
      <c r="E220" s="113"/>
      <c r="F220" s="650">
        <v>14</v>
      </c>
      <c r="G220" s="651">
        <v>67</v>
      </c>
      <c r="H220" s="113"/>
      <c r="I220" s="650">
        <v>28</v>
      </c>
      <c r="J220" s="651">
        <v>66</v>
      </c>
      <c r="K220" s="113"/>
      <c r="L220" s="650">
        <v>105</v>
      </c>
      <c r="M220" s="651">
        <v>13</v>
      </c>
      <c r="N220" s="824">
        <f t="shared" si="14"/>
        <v>14.988050235576043</v>
      </c>
      <c r="O220" s="824">
        <f t="shared" si="15"/>
        <v>12.303316983748108</v>
      </c>
    </row>
    <row r="221" spans="1:15" ht="13.95" customHeight="1">
      <c r="A221" s="650">
        <v>33</v>
      </c>
      <c r="B221" s="650">
        <v>13</v>
      </c>
      <c r="C221" s="651">
        <v>64</v>
      </c>
      <c r="D221" s="652">
        <v>67</v>
      </c>
      <c r="E221" s="113"/>
      <c r="F221" s="650">
        <v>33</v>
      </c>
      <c r="G221" s="651">
        <v>64</v>
      </c>
      <c r="H221" s="113"/>
      <c r="I221" s="650">
        <v>28</v>
      </c>
      <c r="J221" s="651">
        <v>66</v>
      </c>
      <c r="K221" s="113"/>
      <c r="L221" s="650">
        <v>106</v>
      </c>
      <c r="M221" s="651">
        <v>12</v>
      </c>
      <c r="N221" s="824">
        <f t="shared" si="14"/>
        <v>14.741482092535236</v>
      </c>
      <c r="O221" s="824">
        <f t="shared" si="15"/>
        <v>12.029583402441501</v>
      </c>
    </row>
    <row r="222" spans="1:15" ht="13.95" customHeight="1">
      <c r="A222" s="650">
        <v>19</v>
      </c>
      <c r="B222" s="650">
        <v>11</v>
      </c>
      <c r="C222" s="651">
        <v>66</v>
      </c>
      <c r="D222" s="652">
        <v>67</v>
      </c>
      <c r="E222" s="113"/>
      <c r="F222" s="650">
        <v>19</v>
      </c>
      <c r="G222" s="651">
        <v>66</v>
      </c>
      <c r="H222" s="113"/>
      <c r="I222" s="650">
        <v>28</v>
      </c>
      <c r="J222" s="651">
        <v>66</v>
      </c>
      <c r="K222" s="113"/>
      <c r="L222" s="650">
        <v>106</v>
      </c>
      <c r="M222" s="651">
        <v>12</v>
      </c>
      <c r="N222" s="824">
        <f t="shared" si="14"/>
        <v>14.741482092535236</v>
      </c>
      <c r="O222" s="824">
        <f t="shared" si="15"/>
        <v>12.029583402441501</v>
      </c>
    </row>
    <row r="223" spans="1:15" ht="13.95" customHeight="1">
      <c r="A223" s="650">
        <v>20</v>
      </c>
      <c r="B223" s="650">
        <v>29</v>
      </c>
      <c r="C223" s="651">
        <v>66</v>
      </c>
      <c r="D223" s="652">
        <v>65</v>
      </c>
      <c r="E223" s="113"/>
      <c r="F223" s="650">
        <v>20</v>
      </c>
      <c r="G223" s="651">
        <v>66</v>
      </c>
      <c r="H223" s="113"/>
      <c r="I223" s="650">
        <v>28</v>
      </c>
      <c r="J223" s="651">
        <v>66</v>
      </c>
      <c r="K223" s="113"/>
      <c r="L223" s="650">
        <v>106</v>
      </c>
      <c r="M223" s="651">
        <v>12</v>
      </c>
      <c r="N223" s="824">
        <f t="shared" si="14"/>
        <v>14.741482092535236</v>
      </c>
      <c r="O223" s="824">
        <f t="shared" si="15"/>
        <v>12.029583402441501</v>
      </c>
    </row>
    <row r="224" spans="1:15" ht="13.95" customHeight="1">
      <c r="A224" s="650">
        <v>25</v>
      </c>
      <c r="B224" s="650">
        <v>5</v>
      </c>
      <c r="C224" s="651">
        <v>66</v>
      </c>
      <c r="D224" s="652">
        <v>67</v>
      </c>
      <c r="E224" s="113"/>
      <c r="F224" s="650">
        <v>25</v>
      </c>
      <c r="G224" s="651">
        <v>66</v>
      </c>
      <c r="H224" s="113"/>
      <c r="I224" s="650">
        <v>28</v>
      </c>
      <c r="J224" s="651">
        <v>66</v>
      </c>
      <c r="K224" s="113"/>
      <c r="L224" s="650">
        <v>108</v>
      </c>
      <c r="M224" s="651">
        <v>12</v>
      </c>
      <c r="N224" s="824">
        <f t="shared" si="14"/>
        <v>14.267071617968876</v>
      </c>
      <c r="O224" s="824">
        <f t="shared" si="15"/>
        <v>11.500251440235331</v>
      </c>
    </row>
    <row r="225" spans="1:15" ht="13.95" customHeight="1">
      <c r="A225" s="650">
        <v>15</v>
      </c>
      <c r="B225" s="650">
        <v>41</v>
      </c>
      <c r="C225" s="651">
        <v>67</v>
      </c>
      <c r="D225" s="652">
        <v>54</v>
      </c>
      <c r="E225" s="113"/>
      <c r="F225" s="650">
        <v>15</v>
      </c>
      <c r="G225" s="651">
        <v>67</v>
      </c>
      <c r="H225" s="113"/>
      <c r="I225" s="650">
        <v>28</v>
      </c>
      <c r="J225" s="651">
        <v>66</v>
      </c>
      <c r="K225" s="113"/>
      <c r="L225" s="650">
        <v>109</v>
      </c>
      <c r="M225" s="651">
        <v>12</v>
      </c>
      <c r="N225" s="824">
        <f t="shared" si="14"/>
        <v>14.03880177816642</v>
      </c>
      <c r="O225" s="824">
        <f t="shared" si="15"/>
        <v>11.244385073724539</v>
      </c>
    </row>
    <row r="226" spans="1:15" ht="13.95" customHeight="1">
      <c r="A226" s="650">
        <v>17</v>
      </c>
      <c r="B226" s="650">
        <v>16</v>
      </c>
      <c r="C226" s="651">
        <v>67</v>
      </c>
      <c r="D226" s="652">
        <v>67</v>
      </c>
      <c r="E226" s="113"/>
      <c r="F226" s="650">
        <v>17</v>
      </c>
      <c r="G226" s="651">
        <v>67</v>
      </c>
      <c r="H226" s="113"/>
      <c r="I226" s="650">
        <v>28</v>
      </c>
      <c r="J226" s="652">
        <v>66</v>
      </c>
      <c r="K226" s="113"/>
      <c r="L226" s="650">
        <v>109</v>
      </c>
      <c r="M226" s="651">
        <v>12</v>
      </c>
      <c r="N226" s="824">
        <f t="shared" si="14"/>
        <v>14.03880177816642</v>
      </c>
      <c r="O226" s="824">
        <f t="shared" si="15"/>
        <v>11.244385073724539</v>
      </c>
    </row>
    <row r="227" spans="1:15" ht="13.95" customHeight="1">
      <c r="A227" s="650">
        <v>17</v>
      </c>
      <c r="B227" s="650">
        <v>16</v>
      </c>
      <c r="C227" s="651">
        <v>67</v>
      </c>
      <c r="D227" s="652">
        <v>67</v>
      </c>
      <c r="E227" s="113"/>
      <c r="F227" s="650">
        <v>17</v>
      </c>
      <c r="G227" s="651">
        <v>67</v>
      </c>
      <c r="H227" s="113"/>
      <c r="I227" s="650">
        <v>29</v>
      </c>
      <c r="J227" s="651">
        <v>65</v>
      </c>
      <c r="K227" s="113"/>
      <c r="L227" s="650">
        <v>111</v>
      </c>
      <c r="M227" s="651">
        <v>11</v>
      </c>
      <c r="N227" s="824">
        <f t="shared" si="14"/>
        <v>13.599132352882471</v>
      </c>
      <c r="O227" s="824">
        <f t="shared" si="15"/>
        <v>10.749603815242356</v>
      </c>
    </row>
    <row r="228" spans="1:15" ht="13.95" customHeight="1">
      <c r="A228" s="650">
        <v>14</v>
      </c>
      <c r="B228" s="650"/>
      <c r="C228" s="651">
        <v>67</v>
      </c>
      <c r="D228" s="652" t="s">
        <v>2595</v>
      </c>
      <c r="E228" s="113"/>
      <c r="F228" s="650">
        <v>14</v>
      </c>
      <c r="G228" s="651">
        <v>67</v>
      </c>
      <c r="H228" s="113"/>
      <c r="I228" s="650">
        <v>29</v>
      </c>
      <c r="J228" s="651">
        <v>65</v>
      </c>
      <c r="K228" s="113"/>
      <c r="L228" s="650">
        <v>111</v>
      </c>
      <c r="M228" s="651">
        <v>11</v>
      </c>
      <c r="N228" s="824">
        <f t="shared" si="14"/>
        <v>13.599132352882471</v>
      </c>
      <c r="O228" s="824">
        <f t="shared" si="15"/>
        <v>10.749603815242356</v>
      </c>
    </row>
    <row r="229" spans="1:15" ht="13.95" customHeight="1">
      <c r="A229" s="650">
        <v>15</v>
      </c>
      <c r="B229" s="650"/>
      <c r="C229" s="651">
        <v>67</v>
      </c>
      <c r="D229" s="652" t="s">
        <v>2595</v>
      </c>
      <c r="E229" s="113"/>
      <c r="F229" s="650">
        <v>15</v>
      </c>
      <c r="G229" s="651">
        <v>67</v>
      </c>
      <c r="H229" s="113"/>
      <c r="I229" s="650">
        <v>29</v>
      </c>
      <c r="J229" s="652">
        <v>65</v>
      </c>
      <c r="K229" s="113"/>
      <c r="L229" s="650">
        <v>119</v>
      </c>
      <c r="M229" s="651">
        <v>9</v>
      </c>
      <c r="N229" s="824">
        <f t="shared" si="14"/>
        <v>12.039798844529193</v>
      </c>
      <c r="O229" s="824">
        <f t="shared" si="15"/>
        <v>8.9788238513449006</v>
      </c>
    </row>
    <row r="230" spans="1:15" ht="13.95" customHeight="1">
      <c r="A230" s="650">
        <v>13</v>
      </c>
      <c r="B230" s="650"/>
      <c r="C230" s="651">
        <v>67</v>
      </c>
      <c r="D230" s="652" t="s">
        <v>2595</v>
      </c>
      <c r="E230" s="113"/>
      <c r="F230" s="650">
        <v>13</v>
      </c>
      <c r="G230" s="651">
        <v>67</v>
      </c>
      <c r="H230" s="113"/>
      <c r="I230" s="650">
        <v>29</v>
      </c>
      <c r="J230" s="652">
        <v>65</v>
      </c>
      <c r="K230" s="113"/>
      <c r="L230" s="650">
        <v>123</v>
      </c>
      <c r="M230" s="651">
        <v>9</v>
      </c>
      <c r="N230" s="824">
        <f t="shared" si="14"/>
        <v>11.362985916520914</v>
      </c>
      <c r="O230" s="824">
        <f t="shared" si="15"/>
        <v>8.2060271248012171</v>
      </c>
    </row>
    <row r="231" spans="1:15" ht="13.95" customHeight="1">
      <c r="A231" s="650">
        <v>10</v>
      </c>
      <c r="B231" s="650"/>
      <c r="C231" s="651">
        <v>67</v>
      </c>
      <c r="D231" s="652" t="s">
        <v>2595</v>
      </c>
      <c r="E231" s="113"/>
      <c r="F231" s="650">
        <v>10</v>
      </c>
      <c r="G231" s="651">
        <v>67</v>
      </c>
      <c r="H231" s="113"/>
      <c r="I231" s="650">
        <v>29</v>
      </c>
      <c r="J231" s="652">
        <v>65</v>
      </c>
      <c r="K231" s="113"/>
      <c r="L231" s="650">
        <v>125</v>
      </c>
      <c r="M231" s="651">
        <v>8</v>
      </c>
      <c r="N231" s="824">
        <f t="shared" si="14"/>
        <v>11.046733850620118</v>
      </c>
      <c r="O231" s="824">
        <f t="shared" si="15"/>
        <v>7.8449412671640761</v>
      </c>
    </row>
    <row r="232" spans="1:15" ht="13.95" customHeight="1">
      <c r="A232" s="650">
        <v>15</v>
      </c>
      <c r="B232" s="650"/>
      <c r="C232" s="651">
        <v>67</v>
      </c>
      <c r="D232" s="652" t="s">
        <v>2595</v>
      </c>
      <c r="E232" s="113"/>
      <c r="F232" s="650">
        <v>15</v>
      </c>
      <c r="G232" s="651">
        <v>67</v>
      </c>
      <c r="H232" s="113"/>
      <c r="I232" s="650">
        <v>30</v>
      </c>
      <c r="J232" s="651">
        <v>65</v>
      </c>
      <c r="K232" s="113"/>
      <c r="L232" s="653">
        <v>145</v>
      </c>
      <c r="M232" s="654">
        <v>6</v>
      </c>
      <c r="N232" s="824">
        <f t="shared" si="14"/>
        <v>8.519859040697277</v>
      </c>
      <c r="O232" s="824">
        <f t="shared" si="15"/>
        <v>5.0021553997632031</v>
      </c>
    </row>
    <row r="233" spans="1:15" ht="13.95" customHeight="1">
      <c r="A233" s="650">
        <v>11</v>
      </c>
      <c r="B233" s="650"/>
      <c r="C233" s="651">
        <v>67</v>
      </c>
      <c r="D233" s="652" t="s">
        <v>2595</v>
      </c>
      <c r="E233" s="113"/>
      <c r="F233" s="650">
        <v>11</v>
      </c>
      <c r="G233" s="651">
        <v>67</v>
      </c>
      <c r="H233" s="113"/>
      <c r="I233" s="650">
        <v>30</v>
      </c>
      <c r="J233" s="651">
        <v>65</v>
      </c>
      <c r="K233" s="113"/>
      <c r="L233" s="113"/>
      <c r="M233" s="113"/>
      <c r="N233" s="902"/>
      <c r="O233" s="902"/>
    </row>
    <row r="234" spans="1:15" ht="13.95" customHeight="1">
      <c r="A234" s="650">
        <v>12</v>
      </c>
      <c r="B234" s="650"/>
      <c r="C234" s="651">
        <v>67</v>
      </c>
      <c r="D234" s="652" t="s">
        <v>2595</v>
      </c>
      <c r="E234" s="113"/>
      <c r="F234" s="650">
        <v>12</v>
      </c>
      <c r="G234" s="651">
        <v>67</v>
      </c>
      <c r="H234" s="113"/>
      <c r="I234" s="650">
        <v>30</v>
      </c>
      <c r="J234" s="651">
        <v>65</v>
      </c>
      <c r="K234" s="113"/>
      <c r="L234" s="113"/>
      <c r="M234" s="113"/>
      <c r="N234" s="902"/>
      <c r="O234" s="902"/>
    </row>
    <row r="235" spans="1:15" ht="13.95" customHeight="1">
      <c r="A235" s="650">
        <v>12</v>
      </c>
      <c r="B235" s="650"/>
      <c r="C235" s="651">
        <v>67</v>
      </c>
      <c r="D235" s="652" t="s">
        <v>2595</v>
      </c>
      <c r="E235" s="113"/>
      <c r="F235" s="650">
        <v>12</v>
      </c>
      <c r="G235" s="651">
        <v>67</v>
      </c>
      <c r="H235" s="113"/>
      <c r="I235" s="650">
        <v>30</v>
      </c>
      <c r="J235" s="651">
        <v>65</v>
      </c>
      <c r="K235" s="113"/>
      <c r="L235" s="113"/>
      <c r="M235" s="113"/>
      <c r="N235" s="113"/>
      <c r="O235" s="113"/>
    </row>
    <row r="236" spans="1:15" ht="13.95" customHeight="1">
      <c r="A236" s="650">
        <v>10</v>
      </c>
      <c r="B236" s="650"/>
      <c r="C236" s="651">
        <v>67</v>
      </c>
      <c r="D236" s="652" t="s">
        <v>2595</v>
      </c>
      <c r="E236" s="113"/>
      <c r="F236" s="650">
        <v>10</v>
      </c>
      <c r="G236" s="651">
        <v>67</v>
      </c>
      <c r="H236" s="113"/>
      <c r="I236" s="650">
        <v>30</v>
      </c>
      <c r="J236" s="652">
        <v>65</v>
      </c>
      <c r="K236" s="113"/>
      <c r="L236" s="113"/>
      <c r="M236" s="113"/>
      <c r="N236" s="113"/>
      <c r="O236" s="113"/>
    </row>
    <row r="237" spans="1:15" ht="13.95" customHeight="1">
      <c r="A237" s="650">
        <v>16</v>
      </c>
      <c r="B237" s="650"/>
      <c r="C237" s="651">
        <v>67</v>
      </c>
      <c r="D237" s="652" t="s">
        <v>2595</v>
      </c>
      <c r="E237" s="113"/>
      <c r="F237" s="650">
        <v>16</v>
      </c>
      <c r="G237" s="651">
        <v>67</v>
      </c>
      <c r="H237" s="113"/>
      <c r="I237" s="650">
        <v>30</v>
      </c>
      <c r="J237" s="652">
        <v>65</v>
      </c>
      <c r="K237" s="113"/>
      <c r="L237" s="113"/>
      <c r="M237" s="113"/>
      <c r="N237" s="113"/>
      <c r="O237" s="113"/>
    </row>
    <row r="238" spans="1:15" ht="13.95" customHeight="1">
      <c r="A238" s="650">
        <v>12</v>
      </c>
      <c r="B238" s="650"/>
      <c r="C238" s="651">
        <v>67</v>
      </c>
      <c r="D238" s="652" t="s">
        <v>2595</v>
      </c>
      <c r="E238" s="113"/>
      <c r="F238" s="650">
        <v>12</v>
      </c>
      <c r="G238" s="651">
        <v>67</v>
      </c>
      <c r="H238" s="113"/>
      <c r="I238" s="650">
        <v>30</v>
      </c>
      <c r="J238" s="652">
        <v>65</v>
      </c>
      <c r="K238" s="113"/>
      <c r="L238" s="113"/>
      <c r="M238" s="113"/>
      <c r="N238" s="113"/>
      <c r="O238" s="113"/>
    </row>
    <row r="239" spans="1:15" ht="13.95" customHeight="1">
      <c r="A239" s="650">
        <v>12</v>
      </c>
      <c r="B239" s="650"/>
      <c r="C239" s="651">
        <v>67</v>
      </c>
      <c r="D239" s="652" t="s">
        <v>2595</v>
      </c>
      <c r="E239" s="113"/>
      <c r="F239" s="650">
        <v>12</v>
      </c>
      <c r="G239" s="651">
        <v>67</v>
      </c>
      <c r="H239" s="113"/>
      <c r="I239" s="650">
        <v>30</v>
      </c>
      <c r="J239" s="652">
        <v>65</v>
      </c>
      <c r="K239" s="113"/>
      <c r="L239" s="113"/>
      <c r="M239" s="113"/>
      <c r="N239" s="113"/>
      <c r="O239" s="113"/>
    </row>
    <row r="240" spans="1:15" ht="13.95" customHeight="1">
      <c r="A240" s="650">
        <v>11</v>
      </c>
      <c r="B240" s="650"/>
      <c r="C240" s="651">
        <v>67</v>
      </c>
      <c r="D240" s="652" t="s">
        <v>2595</v>
      </c>
      <c r="E240" s="113"/>
      <c r="F240" s="650">
        <v>11</v>
      </c>
      <c r="G240" s="651">
        <v>67</v>
      </c>
      <c r="H240" s="113"/>
      <c r="I240" s="650">
        <v>30</v>
      </c>
      <c r="J240" s="652">
        <v>65</v>
      </c>
      <c r="K240" s="113"/>
      <c r="L240" s="113"/>
      <c r="M240" s="113"/>
      <c r="N240" s="113"/>
      <c r="O240" s="113"/>
    </row>
    <row r="241" spans="1:15" ht="13.95" customHeight="1">
      <c r="A241" s="650">
        <v>145</v>
      </c>
      <c r="B241" s="650"/>
      <c r="C241" s="651">
        <v>6</v>
      </c>
      <c r="D241" s="652" t="s">
        <v>2595</v>
      </c>
      <c r="E241" s="113"/>
      <c r="F241" s="650">
        <v>145</v>
      </c>
      <c r="G241" s="651">
        <v>6</v>
      </c>
      <c r="H241" s="113"/>
      <c r="I241" s="650">
        <v>30</v>
      </c>
      <c r="J241" s="652">
        <v>65</v>
      </c>
      <c r="K241" s="113"/>
      <c r="L241" s="113"/>
      <c r="M241" s="113"/>
      <c r="N241" s="113"/>
      <c r="O241" s="113"/>
    </row>
    <row r="242" spans="1:15" ht="13.95" customHeight="1">
      <c r="A242" s="650">
        <v>102</v>
      </c>
      <c r="B242" s="650">
        <v>65</v>
      </c>
      <c r="C242" s="651">
        <v>13</v>
      </c>
      <c r="D242" s="652">
        <v>29</v>
      </c>
      <c r="E242" s="113"/>
      <c r="F242" s="650">
        <v>102</v>
      </c>
      <c r="G242" s="651">
        <v>13</v>
      </c>
      <c r="H242" s="113"/>
      <c r="I242" s="650">
        <v>30</v>
      </c>
      <c r="J242" s="652">
        <v>65</v>
      </c>
      <c r="K242" s="113"/>
      <c r="L242" s="113"/>
      <c r="M242" s="113"/>
      <c r="N242" s="113"/>
      <c r="O242" s="113"/>
    </row>
    <row r="243" spans="1:15" ht="13.95" customHeight="1">
      <c r="A243" s="650">
        <v>56</v>
      </c>
      <c r="B243" s="650">
        <v>37</v>
      </c>
      <c r="C243" s="651">
        <v>36</v>
      </c>
      <c r="D243" s="652">
        <v>59</v>
      </c>
      <c r="E243" s="113"/>
      <c r="F243" s="650">
        <v>56</v>
      </c>
      <c r="G243" s="651">
        <v>36</v>
      </c>
      <c r="H243" s="113"/>
      <c r="I243" s="650">
        <v>31</v>
      </c>
      <c r="J243" s="651">
        <v>65</v>
      </c>
      <c r="K243" s="113"/>
      <c r="L243" s="113"/>
      <c r="M243" s="113"/>
      <c r="N243" s="113"/>
      <c r="O243" s="113"/>
    </row>
    <row r="244" spans="1:15" ht="13.95" customHeight="1">
      <c r="A244" s="650">
        <v>49</v>
      </c>
      <c r="B244" s="650">
        <v>31</v>
      </c>
      <c r="C244" s="651">
        <v>43</v>
      </c>
      <c r="D244" s="652">
        <v>65</v>
      </c>
      <c r="E244" s="113"/>
      <c r="F244" s="650">
        <v>49</v>
      </c>
      <c r="G244" s="651">
        <v>43</v>
      </c>
      <c r="H244" s="113"/>
      <c r="I244" s="650">
        <v>31</v>
      </c>
      <c r="J244" s="652">
        <v>65</v>
      </c>
      <c r="K244" s="113"/>
      <c r="L244" s="113"/>
      <c r="M244" s="113"/>
      <c r="N244" s="113"/>
      <c r="O244" s="113"/>
    </row>
    <row r="245" spans="1:15" ht="13.95" customHeight="1">
      <c r="A245" s="650">
        <v>36</v>
      </c>
      <c r="B245" s="650">
        <v>22</v>
      </c>
      <c r="C245" s="651">
        <v>61</v>
      </c>
      <c r="D245" s="652">
        <v>66</v>
      </c>
      <c r="E245" s="113"/>
      <c r="F245" s="650">
        <v>36</v>
      </c>
      <c r="G245" s="651">
        <v>61</v>
      </c>
      <c r="H245" s="113"/>
      <c r="I245" s="650">
        <v>32</v>
      </c>
      <c r="J245" s="651">
        <v>64</v>
      </c>
      <c r="K245" s="113"/>
      <c r="L245" s="113"/>
      <c r="M245" s="113"/>
      <c r="N245" s="113"/>
      <c r="O245" s="113"/>
    </row>
    <row r="246" spans="1:15" ht="13.95" customHeight="1">
      <c r="A246" s="650">
        <v>37</v>
      </c>
      <c r="B246" s="650">
        <v>26</v>
      </c>
      <c r="C246" s="651">
        <v>59</v>
      </c>
      <c r="D246" s="652">
        <v>66</v>
      </c>
      <c r="E246" s="113"/>
      <c r="F246" s="650">
        <v>37</v>
      </c>
      <c r="G246" s="651">
        <v>59</v>
      </c>
      <c r="H246" s="113"/>
      <c r="I246" s="650">
        <v>32</v>
      </c>
      <c r="J246" s="651">
        <v>64</v>
      </c>
      <c r="K246" s="113"/>
      <c r="L246" s="113"/>
      <c r="M246" s="113"/>
      <c r="N246" s="113"/>
      <c r="O246" s="113"/>
    </row>
    <row r="247" spans="1:15" ht="13.95" customHeight="1">
      <c r="A247" s="650">
        <v>45</v>
      </c>
      <c r="B247" s="650"/>
      <c r="C247" s="651">
        <v>48</v>
      </c>
      <c r="D247" s="652" t="s">
        <v>2595</v>
      </c>
      <c r="E247" s="113"/>
      <c r="F247" s="650">
        <v>45</v>
      </c>
      <c r="G247" s="651">
        <v>48</v>
      </c>
      <c r="H247" s="113"/>
      <c r="I247" s="650">
        <v>32</v>
      </c>
      <c r="J247" s="651">
        <v>64</v>
      </c>
      <c r="K247" s="113"/>
      <c r="L247" s="113"/>
      <c r="M247" s="113"/>
      <c r="N247" s="113"/>
      <c r="O247" s="113"/>
    </row>
    <row r="248" spans="1:15" ht="13.95" customHeight="1">
      <c r="A248" s="650">
        <v>45</v>
      </c>
      <c r="B248" s="650"/>
      <c r="C248" s="651">
        <v>48</v>
      </c>
      <c r="D248" s="652" t="s">
        <v>2595</v>
      </c>
      <c r="E248" s="113"/>
      <c r="F248" s="650">
        <v>45</v>
      </c>
      <c r="G248" s="651">
        <v>48</v>
      </c>
      <c r="H248" s="113"/>
      <c r="I248" s="650">
        <v>32</v>
      </c>
      <c r="J248" s="651">
        <v>64</v>
      </c>
      <c r="K248" s="113"/>
      <c r="L248" s="113"/>
      <c r="M248" s="113"/>
      <c r="N248" s="113"/>
      <c r="O248" s="113"/>
    </row>
    <row r="249" spans="1:15" ht="13.95" customHeight="1">
      <c r="A249" s="650">
        <v>29</v>
      </c>
      <c r="B249" s="650"/>
      <c r="C249" s="651">
        <v>65</v>
      </c>
      <c r="D249" s="652" t="s">
        <v>2595</v>
      </c>
      <c r="E249" s="113"/>
      <c r="F249" s="650">
        <v>29</v>
      </c>
      <c r="G249" s="651">
        <v>65</v>
      </c>
      <c r="H249" s="113"/>
      <c r="I249" s="650">
        <v>32</v>
      </c>
      <c r="J249" s="651">
        <v>64</v>
      </c>
      <c r="K249" s="113"/>
      <c r="L249" s="113"/>
      <c r="M249" s="113"/>
      <c r="N249" s="113"/>
      <c r="O249" s="113"/>
    </row>
    <row r="250" spans="1:15" ht="13.95" customHeight="1">
      <c r="A250" s="650">
        <v>17</v>
      </c>
      <c r="B250" s="650"/>
      <c r="C250" s="651">
        <v>67</v>
      </c>
      <c r="D250" s="652" t="s">
        <v>2595</v>
      </c>
      <c r="E250" s="113"/>
      <c r="F250" s="650">
        <v>17</v>
      </c>
      <c r="G250" s="651">
        <v>67</v>
      </c>
      <c r="H250" s="113"/>
      <c r="I250" s="650">
        <v>32</v>
      </c>
      <c r="J250" s="651">
        <v>64</v>
      </c>
      <c r="K250" s="113"/>
      <c r="L250" s="113"/>
      <c r="M250" s="113"/>
      <c r="N250" s="113"/>
      <c r="O250" s="113"/>
    </row>
    <row r="251" spans="1:15" ht="13.95" customHeight="1">
      <c r="A251" s="650">
        <v>24</v>
      </c>
      <c r="B251" s="650"/>
      <c r="C251" s="651">
        <v>66</v>
      </c>
      <c r="D251" s="652" t="s">
        <v>2595</v>
      </c>
      <c r="E251" s="113"/>
      <c r="F251" s="650">
        <v>24</v>
      </c>
      <c r="G251" s="651">
        <v>66</v>
      </c>
      <c r="H251" s="113"/>
      <c r="I251" s="650">
        <v>32</v>
      </c>
      <c r="J251" s="651">
        <v>64</v>
      </c>
      <c r="K251" s="113"/>
      <c r="L251" s="113"/>
      <c r="M251" s="113"/>
      <c r="N251" s="113"/>
      <c r="O251" s="113"/>
    </row>
    <row r="252" spans="1:15" ht="13.95" customHeight="1">
      <c r="A252" s="650">
        <v>18</v>
      </c>
      <c r="B252" s="650"/>
      <c r="C252" s="651">
        <v>67</v>
      </c>
      <c r="D252" s="652" t="s">
        <v>2595</v>
      </c>
      <c r="E252" s="113"/>
      <c r="F252" s="650">
        <v>18</v>
      </c>
      <c r="G252" s="651">
        <v>67</v>
      </c>
      <c r="H252" s="113"/>
      <c r="I252" s="650">
        <v>32</v>
      </c>
      <c r="J252" s="651">
        <v>64</v>
      </c>
      <c r="K252" s="113"/>
      <c r="L252" s="113"/>
      <c r="M252" s="113"/>
      <c r="N252" s="113"/>
      <c r="O252" s="113"/>
    </row>
    <row r="253" spans="1:15" ht="13.95" customHeight="1">
      <c r="A253" s="650">
        <v>106</v>
      </c>
      <c r="B253" s="650"/>
      <c r="C253" s="651">
        <v>12</v>
      </c>
      <c r="D253" s="652" t="s">
        <v>2595</v>
      </c>
      <c r="E253" s="113"/>
      <c r="F253" s="650">
        <v>106</v>
      </c>
      <c r="G253" s="651">
        <v>12</v>
      </c>
      <c r="H253" s="113"/>
      <c r="I253" s="650">
        <v>32</v>
      </c>
      <c r="J253" s="651">
        <v>64</v>
      </c>
      <c r="K253" s="113"/>
      <c r="L253" s="113"/>
      <c r="M253" s="113"/>
      <c r="N253" s="113"/>
      <c r="O253" s="113"/>
    </row>
    <row r="254" spans="1:15" ht="13.95" customHeight="1">
      <c r="A254" s="650">
        <v>111</v>
      </c>
      <c r="B254" s="650"/>
      <c r="C254" s="651">
        <v>11</v>
      </c>
      <c r="D254" s="652" t="s">
        <v>2595</v>
      </c>
      <c r="E254" s="113"/>
      <c r="F254" s="650">
        <v>111</v>
      </c>
      <c r="G254" s="651">
        <v>11</v>
      </c>
      <c r="H254" s="113"/>
      <c r="I254" s="650">
        <v>32</v>
      </c>
      <c r="J254" s="651">
        <v>64</v>
      </c>
      <c r="K254" s="113"/>
      <c r="L254" s="113"/>
      <c r="M254" s="113"/>
      <c r="N254" s="113"/>
      <c r="O254" s="113"/>
    </row>
    <row r="255" spans="1:15" ht="13.95" customHeight="1">
      <c r="A255" s="650">
        <v>84</v>
      </c>
      <c r="B255" s="650"/>
      <c r="C255" s="651">
        <v>19</v>
      </c>
      <c r="D255" s="652" t="s">
        <v>2595</v>
      </c>
      <c r="E255" s="113"/>
      <c r="F255" s="650">
        <v>84</v>
      </c>
      <c r="G255" s="651">
        <v>19</v>
      </c>
      <c r="H255" s="113"/>
      <c r="I255" s="650">
        <v>32</v>
      </c>
      <c r="J255" s="651">
        <v>64</v>
      </c>
      <c r="K255" s="113"/>
      <c r="L255" s="113"/>
      <c r="M255" s="113"/>
      <c r="N255" s="113"/>
      <c r="O255" s="113"/>
    </row>
    <row r="256" spans="1:15" ht="13.95" customHeight="1">
      <c r="A256" s="650">
        <v>109</v>
      </c>
      <c r="B256" s="650"/>
      <c r="C256" s="651">
        <v>12</v>
      </c>
      <c r="D256" s="652" t="s">
        <v>2595</v>
      </c>
      <c r="E256" s="113"/>
      <c r="F256" s="650">
        <v>109</v>
      </c>
      <c r="G256" s="651">
        <v>12</v>
      </c>
      <c r="H256" s="113"/>
      <c r="I256" s="650">
        <v>32</v>
      </c>
      <c r="J256" s="651">
        <v>64</v>
      </c>
      <c r="K256" s="113"/>
      <c r="L256" s="113"/>
      <c r="M256" s="113"/>
      <c r="N256" s="113"/>
      <c r="O256" s="113"/>
    </row>
    <row r="257" spans="1:15" ht="13.95" customHeight="1">
      <c r="A257" s="650">
        <v>86</v>
      </c>
      <c r="B257" s="650"/>
      <c r="C257" s="651">
        <v>19</v>
      </c>
      <c r="D257" s="652" t="s">
        <v>2595</v>
      </c>
      <c r="E257" s="113"/>
      <c r="F257" s="650">
        <v>86</v>
      </c>
      <c r="G257" s="651">
        <v>19</v>
      </c>
      <c r="H257" s="113"/>
      <c r="I257" s="650">
        <v>32</v>
      </c>
      <c r="J257" s="651">
        <v>64</v>
      </c>
      <c r="K257" s="113"/>
      <c r="L257" s="113"/>
      <c r="M257" s="113"/>
      <c r="N257" s="113"/>
      <c r="O257" s="113"/>
    </row>
    <row r="258" spans="1:15" ht="13.95" customHeight="1">
      <c r="A258" s="650">
        <v>119</v>
      </c>
      <c r="B258" s="650">
        <v>70</v>
      </c>
      <c r="C258" s="651">
        <v>9</v>
      </c>
      <c r="D258" s="652">
        <v>26</v>
      </c>
      <c r="E258" s="113"/>
      <c r="F258" s="650">
        <v>119</v>
      </c>
      <c r="G258" s="651">
        <v>9</v>
      </c>
      <c r="H258" s="113"/>
      <c r="I258" s="650">
        <v>32</v>
      </c>
      <c r="J258" s="652">
        <v>64</v>
      </c>
      <c r="K258" s="113"/>
      <c r="L258" s="113"/>
      <c r="M258" s="113"/>
      <c r="N258" s="113"/>
      <c r="O258" s="113"/>
    </row>
    <row r="259" spans="1:15" ht="13.95" customHeight="1">
      <c r="A259" s="650">
        <v>94</v>
      </c>
      <c r="B259" s="650">
        <v>67</v>
      </c>
      <c r="C259" s="651">
        <v>16</v>
      </c>
      <c r="D259" s="652">
        <v>28</v>
      </c>
      <c r="E259" s="113"/>
      <c r="F259" s="650">
        <v>94</v>
      </c>
      <c r="G259" s="651">
        <v>16</v>
      </c>
      <c r="H259" s="113"/>
      <c r="I259" s="650">
        <v>33</v>
      </c>
      <c r="J259" s="651">
        <v>64</v>
      </c>
      <c r="K259" s="113"/>
      <c r="L259" s="113"/>
      <c r="M259" s="113"/>
      <c r="N259" s="113"/>
      <c r="O259" s="113"/>
    </row>
    <row r="260" spans="1:15" ht="13.95" customHeight="1">
      <c r="A260" s="650">
        <v>65</v>
      </c>
      <c r="B260" s="650">
        <v>48</v>
      </c>
      <c r="C260" s="651">
        <v>29</v>
      </c>
      <c r="D260" s="652">
        <v>45</v>
      </c>
      <c r="E260" s="113"/>
      <c r="F260" s="650">
        <v>65</v>
      </c>
      <c r="G260" s="651">
        <v>29</v>
      </c>
      <c r="H260" s="113"/>
      <c r="I260" s="650">
        <v>33</v>
      </c>
      <c r="J260" s="651">
        <v>64</v>
      </c>
      <c r="K260" s="113"/>
      <c r="L260" s="113"/>
      <c r="M260" s="113"/>
      <c r="N260" s="113"/>
      <c r="O260" s="113"/>
    </row>
    <row r="261" spans="1:15" ht="13.95" customHeight="1">
      <c r="A261" s="650">
        <v>74</v>
      </c>
      <c r="B261" s="650">
        <v>49</v>
      </c>
      <c r="C261" s="651">
        <v>24</v>
      </c>
      <c r="D261" s="652">
        <v>43</v>
      </c>
      <c r="E261" s="113"/>
      <c r="F261" s="650">
        <v>74</v>
      </c>
      <c r="G261" s="651">
        <v>24</v>
      </c>
      <c r="H261" s="113"/>
      <c r="I261" s="650">
        <v>33</v>
      </c>
      <c r="J261" s="651">
        <v>64</v>
      </c>
      <c r="K261" s="113"/>
      <c r="L261" s="113"/>
      <c r="M261" s="113"/>
      <c r="N261" s="113"/>
      <c r="O261" s="113"/>
    </row>
    <row r="262" spans="1:15" ht="13.95" customHeight="1">
      <c r="A262" s="650">
        <v>68</v>
      </c>
      <c r="B262" s="650">
        <v>42</v>
      </c>
      <c r="C262" s="651">
        <v>27</v>
      </c>
      <c r="D262" s="652">
        <v>52</v>
      </c>
      <c r="E262" s="113"/>
      <c r="F262" s="650">
        <v>68</v>
      </c>
      <c r="G262" s="651">
        <v>27</v>
      </c>
      <c r="H262" s="113"/>
      <c r="I262" s="650">
        <v>33</v>
      </c>
      <c r="J262" s="651">
        <v>64</v>
      </c>
      <c r="K262" s="113"/>
      <c r="L262" s="113"/>
      <c r="M262" s="113"/>
      <c r="N262" s="113"/>
      <c r="O262" s="113"/>
    </row>
    <row r="263" spans="1:15" ht="13.95" customHeight="1">
      <c r="A263" s="650">
        <v>50</v>
      </c>
      <c r="B263" s="650">
        <v>43</v>
      </c>
      <c r="C263" s="651">
        <v>42</v>
      </c>
      <c r="D263" s="652">
        <v>51</v>
      </c>
      <c r="E263" s="113"/>
      <c r="F263" s="650">
        <v>50</v>
      </c>
      <c r="G263" s="651">
        <v>42</v>
      </c>
      <c r="H263" s="113"/>
      <c r="I263" s="650">
        <v>33</v>
      </c>
      <c r="J263" s="651">
        <v>64</v>
      </c>
      <c r="K263" s="113"/>
      <c r="L263" s="113"/>
      <c r="M263" s="113"/>
      <c r="N263" s="113"/>
      <c r="O263" s="113"/>
    </row>
    <row r="264" spans="1:15" ht="13.95" customHeight="1">
      <c r="A264" s="650">
        <v>60</v>
      </c>
      <c r="B264" s="650">
        <v>24</v>
      </c>
      <c r="C264" s="651">
        <v>33</v>
      </c>
      <c r="D264" s="652">
        <v>66</v>
      </c>
      <c r="E264" s="113"/>
      <c r="F264" s="650">
        <v>60</v>
      </c>
      <c r="G264" s="651">
        <v>33</v>
      </c>
      <c r="H264" s="113"/>
      <c r="I264" s="650">
        <v>33</v>
      </c>
      <c r="J264" s="651">
        <v>64</v>
      </c>
      <c r="K264" s="113"/>
      <c r="L264" s="113"/>
      <c r="M264" s="113"/>
      <c r="N264" s="113"/>
      <c r="O264" s="113"/>
    </row>
    <row r="265" spans="1:15" ht="13.95" customHeight="1">
      <c r="A265" s="650">
        <v>90</v>
      </c>
      <c r="B265" s="650">
        <v>60</v>
      </c>
      <c r="C265" s="651">
        <v>17</v>
      </c>
      <c r="D265" s="652">
        <v>33</v>
      </c>
      <c r="E265" s="113"/>
      <c r="F265" s="650">
        <v>90</v>
      </c>
      <c r="G265" s="651">
        <v>17</v>
      </c>
      <c r="H265" s="113"/>
      <c r="I265" s="650">
        <v>33</v>
      </c>
      <c r="J265" s="651">
        <v>64</v>
      </c>
      <c r="K265" s="113"/>
      <c r="L265" s="113"/>
      <c r="M265" s="113"/>
      <c r="N265" s="113"/>
      <c r="O265" s="113"/>
    </row>
    <row r="266" spans="1:15" ht="13.95" customHeight="1">
      <c r="A266" s="650">
        <v>44</v>
      </c>
      <c r="B266" s="650">
        <v>52</v>
      </c>
      <c r="C266" s="651">
        <v>50</v>
      </c>
      <c r="D266" s="652">
        <v>40</v>
      </c>
      <c r="E266" s="113"/>
      <c r="F266" s="650">
        <v>44</v>
      </c>
      <c r="G266" s="651">
        <v>50</v>
      </c>
      <c r="H266" s="113"/>
      <c r="I266" s="650">
        <v>33</v>
      </c>
      <c r="J266" s="652">
        <v>64</v>
      </c>
      <c r="K266" s="113"/>
      <c r="L266" s="113"/>
      <c r="M266" s="113"/>
      <c r="N266" s="113"/>
      <c r="O266" s="113"/>
    </row>
    <row r="267" spans="1:15" ht="13.95" customHeight="1">
      <c r="A267" s="650">
        <v>34</v>
      </c>
      <c r="B267" s="650"/>
      <c r="C267" s="651">
        <v>63</v>
      </c>
      <c r="D267" s="652" t="s">
        <v>2595</v>
      </c>
      <c r="E267" s="113"/>
      <c r="F267" s="650">
        <v>34</v>
      </c>
      <c r="G267" s="651">
        <v>63</v>
      </c>
      <c r="H267" s="113"/>
      <c r="I267" s="650">
        <v>34</v>
      </c>
      <c r="J267" s="651">
        <v>63</v>
      </c>
      <c r="K267" s="113"/>
      <c r="L267" s="113"/>
      <c r="M267" s="113"/>
      <c r="N267" s="113"/>
      <c r="O267" s="113"/>
    </row>
    <row r="268" spans="1:15" ht="13.95" customHeight="1">
      <c r="A268" s="650">
        <v>32</v>
      </c>
      <c r="B268" s="650"/>
      <c r="C268" s="651">
        <v>64</v>
      </c>
      <c r="D268" s="652" t="s">
        <v>2595</v>
      </c>
      <c r="E268" s="113"/>
      <c r="F268" s="650">
        <v>32</v>
      </c>
      <c r="G268" s="651">
        <v>64</v>
      </c>
      <c r="H268" s="113"/>
      <c r="I268" s="650">
        <v>34</v>
      </c>
      <c r="J268" s="651">
        <v>63</v>
      </c>
      <c r="K268" s="113"/>
      <c r="L268" s="113"/>
      <c r="M268" s="113"/>
      <c r="N268" s="113"/>
      <c r="O268" s="113"/>
    </row>
    <row r="269" spans="1:15" ht="13.95" customHeight="1">
      <c r="A269" s="650">
        <v>33</v>
      </c>
      <c r="B269" s="650"/>
      <c r="C269" s="651">
        <v>64</v>
      </c>
      <c r="D269" s="652" t="s">
        <v>2595</v>
      </c>
      <c r="E269" s="113"/>
      <c r="F269" s="650">
        <v>33</v>
      </c>
      <c r="G269" s="651">
        <v>64</v>
      </c>
      <c r="H269" s="113"/>
      <c r="I269" s="650">
        <v>34</v>
      </c>
      <c r="J269" s="651">
        <v>63</v>
      </c>
      <c r="K269" s="113"/>
      <c r="L269" s="113"/>
      <c r="M269" s="113"/>
      <c r="N269" s="113"/>
      <c r="O269" s="113"/>
    </row>
    <row r="270" spans="1:15" ht="13.95" customHeight="1">
      <c r="A270" s="650">
        <v>22</v>
      </c>
      <c r="B270" s="650"/>
      <c r="C270" s="651">
        <v>66</v>
      </c>
      <c r="D270" s="652" t="s">
        <v>2595</v>
      </c>
      <c r="E270" s="113"/>
      <c r="F270" s="650">
        <v>22</v>
      </c>
      <c r="G270" s="651">
        <v>66</v>
      </c>
      <c r="H270" s="113"/>
      <c r="I270" s="650">
        <v>34</v>
      </c>
      <c r="J270" s="651">
        <v>63</v>
      </c>
      <c r="K270" s="113"/>
      <c r="L270" s="113"/>
      <c r="M270" s="113"/>
      <c r="N270" s="113"/>
      <c r="O270" s="113"/>
    </row>
    <row r="271" spans="1:15" ht="13.95" customHeight="1">
      <c r="A271" s="650">
        <v>34</v>
      </c>
      <c r="B271" s="650">
        <v>22</v>
      </c>
      <c r="C271" s="651">
        <v>63</v>
      </c>
      <c r="D271" s="652">
        <v>66</v>
      </c>
      <c r="E271" s="113"/>
      <c r="F271" s="650">
        <v>34</v>
      </c>
      <c r="G271" s="651">
        <v>63</v>
      </c>
      <c r="H271" s="113"/>
      <c r="I271" s="650">
        <v>34</v>
      </c>
      <c r="J271" s="651">
        <v>63</v>
      </c>
      <c r="K271" s="113"/>
      <c r="L271" s="113"/>
      <c r="M271" s="113"/>
      <c r="N271" s="113"/>
      <c r="O271" s="113"/>
    </row>
    <row r="272" spans="1:15" ht="13.95" customHeight="1">
      <c r="A272" s="650">
        <v>33</v>
      </c>
      <c r="B272" s="650">
        <v>13</v>
      </c>
      <c r="C272" s="651">
        <v>64</v>
      </c>
      <c r="D272" s="652">
        <v>67</v>
      </c>
      <c r="E272" s="113"/>
      <c r="F272" s="650">
        <v>33</v>
      </c>
      <c r="G272" s="651">
        <v>64</v>
      </c>
      <c r="H272" s="113"/>
      <c r="I272" s="650">
        <v>34</v>
      </c>
      <c r="J272" s="651">
        <v>63</v>
      </c>
      <c r="K272" s="113"/>
      <c r="L272" s="113"/>
      <c r="M272" s="113"/>
      <c r="N272" s="113"/>
      <c r="O272" s="113"/>
    </row>
    <row r="273" spans="1:15" ht="13.95" customHeight="1">
      <c r="A273" s="650">
        <v>33</v>
      </c>
      <c r="B273" s="650"/>
      <c r="C273" s="651">
        <v>64</v>
      </c>
      <c r="D273" s="652" t="s">
        <v>2595</v>
      </c>
      <c r="E273" s="113"/>
      <c r="F273" s="650">
        <v>33</v>
      </c>
      <c r="G273" s="651">
        <v>64</v>
      </c>
      <c r="H273" s="113"/>
      <c r="I273" s="650">
        <v>34</v>
      </c>
      <c r="J273" s="651">
        <v>63</v>
      </c>
      <c r="K273" s="113"/>
      <c r="L273" s="113"/>
      <c r="M273" s="113"/>
      <c r="N273" s="113"/>
      <c r="O273" s="113"/>
    </row>
    <row r="274" spans="1:15" ht="13.95" customHeight="1">
      <c r="A274" s="650">
        <v>39</v>
      </c>
      <c r="B274" s="650"/>
      <c r="C274" s="651">
        <v>57</v>
      </c>
      <c r="D274" s="652" t="s">
        <v>2595</v>
      </c>
      <c r="E274" s="113"/>
      <c r="F274" s="650">
        <v>39</v>
      </c>
      <c r="G274" s="651">
        <v>57</v>
      </c>
      <c r="H274" s="113"/>
      <c r="I274" s="650">
        <v>34</v>
      </c>
      <c r="J274" s="652">
        <v>63</v>
      </c>
      <c r="K274" s="113"/>
      <c r="L274" s="113"/>
      <c r="M274" s="113"/>
      <c r="N274" s="113"/>
      <c r="O274" s="113"/>
    </row>
    <row r="275" spans="1:15" ht="13.95" customHeight="1">
      <c r="A275" s="650">
        <v>23</v>
      </c>
      <c r="B275" s="650"/>
      <c r="C275" s="651">
        <v>66</v>
      </c>
      <c r="D275" s="652" t="s">
        <v>2595</v>
      </c>
      <c r="E275" s="113"/>
      <c r="F275" s="650">
        <v>23</v>
      </c>
      <c r="G275" s="651">
        <v>66</v>
      </c>
      <c r="H275" s="113"/>
      <c r="I275" s="650">
        <v>34</v>
      </c>
      <c r="J275" s="652">
        <v>63</v>
      </c>
      <c r="K275" s="113"/>
      <c r="L275" s="113"/>
      <c r="M275" s="113"/>
      <c r="N275" s="113"/>
      <c r="O275" s="113"/>
    </row>
    <row r="276" spans="1:15" ht="13.95" customHeight="1">
      <c r="A276" s="650">
        <v>19</v>
      </c>
      <c r="B276" s="650"/>
      <c r="C276" s="651">
        <v>66</v>
      </c>
      <c r="D276" s="652" t="s">
        <v>2595</v>
      </c>
      <c r="E276" s="113"/>
      <c r="F276" s="650">
        <v>19</v>
      </c>
      <c r="G276" s="651">
        <v>66</v>
      </c>
      <c r="H276" s="113"/>
      <c r="I276" s="650">
        <v>35</v>
      </c>
      <c r="J276" s="651">
        <v>62</v>
      </c>
      <c r="K276" s="113"/>
      <c r="L276" s="113"/>
      <c r="M276" s="113"/>
      <c r="N276" s="113"/>
      <c r="O276" s="113"/>
    </row>
    <row r="277" spans="1:15" ht="13.95" customHeight="1">
      <c r="A277" s="650">
        <v>23</v>
      </c>
      <c r="B277" s="650"/>
      <c r="C277" s="651">
        <v>66</v>
      </c>
      <c r="D277" s="652" t="s">
        <v>2595</v>
      </c>
      <c r="E277" s="113"/>
      <c r="F277" s="650">
        <v>23</v>
      </c>
      <c r="G277" s="651">
        <v>66</v>
      </c>
      <c r="H277" s="113"/>
      <c r="I277" s="650">
        <v>35</v>
      </c>
      <c r="J277" s="651">
        <v>62</v>
      </c>
      <c r="K277" s="113"/>
      <c r="L277" s="113"/>
      <c r="M277" s="113"/>
      <c r="N277" s="113"/>
      <c r="O277" s="113"/>
    </row>
    <row r="278" spans="1:15" ht="13.95" customHeight="1">
      <c r="A278" s="650">
        <v>22</v>
      </c>
      <c r="B278" s="650"/>
      <c r="C278" s="651">
        <v>66</v>
      </c>
      <c r="D278" s="652" t="s">
        <v>2595</v>
      </c>
      <c r="E278" s="113"/>
      <c r="F278" s="650">
        <v>22</v>
      </c>
      <c r="G278" s="651">
        <v>66</v>
      </c>
      <c r="H278" s="113"/>
      <c r="I278" s="650">
        <v>35</v>
      </c>
      <c r="J278" s="651">
        <v>62</v>
      </c>
      <c r="K278" s="113"/>
      <c r="L278" s="113"/>
      <c r="M278" s="113"/>
      <c r="N278" s="113"/>
      <c r="O278" s="113"/>
    </row>
    <row r="279" spans="1:15" ht="13.95" customHeight="1">
      <c r="A279" s="650">
        <v>30</v>
      </c>
      <c r="B279" s="650"/>
      <c r="C279" s="651">
        <v>65</v>
      </c>
      <c r="D279" s="652" t="s">
        <v>2595</v>
      </c>
      <c r="E279" s="113"/>
      <c r="F279" s="650">
        <v>30</v>
      </c>
      <c r="G279" s="651">
        <v>65</v>
      </c>
      <c r="H279" s="113"/>
      <c r="I279" s="650">
        <v>35</v>
      </c>
      <c r="J279" s="652">
        <v>62</v>
      </c>
      <c r="K279" s="113"/>
      <c r="L279" s="113"/>
      <c r="M279" s="113"/>
      <c r="N279" s="113"/>
      <c r="O279" s="113"/>
    </row>
    <row r="280" spans="1:15" ht="13.95" customHeight="1">
      <c r="A280" s="650">
        <v>99</v>
      </c>
      <c r="B280" s="650"/>
      <c r="C280" s="651">
        <v>14</v>
      </c>
      <c r="D280" s="652" t="s">
        <v>2595</v>
      </c>
      <c r="E280" s="113"/>
      <c r="F280" s="650">
        <v>99</v>
      </c>
      <c r="G280" s="651">
        <v>14</v>
      </c>
      <c r="H280" s="113"/>
      <c r="I280" s="650">
        <v>36</v>
      </c>
      <c r="J280" s="651">
        <v>61</v>
      </c>
      <c r="K280" s="113"/>
      <c r="L280" s="113"/>
      <c r="M280" s="113"/>
      <c r="N280" s="113"/>
      <c r="O280" s="113"/>
    </row>
    <row r="281" spans="1:15" ht="13.95" customHeight="1">
      <c r="A281" s="650">
        <v>81</v>
      </c>
      <c r="B281" s="650"/>
      <c r="C281" s="651">
        <v>21</v>
      </c>
      <c r="D281" s="652" t="s">
        <v>2595</v>
      </c>
      <c r="E281" s="113"/>
      <c r="F281" s="650">
        <v>81</v>
      </c>
      <c r="G281" s="651">
        <v>21</v>
      </c>
      <c r="H281" s="113"/>
      <c r="I281" s="650">
        <v>36</v>
      </c>
      <c r="J281" s="651">
        <v>61</v>
      </c>
      <c r="K281" s="113"/>
      <c r="L281" s="113"/>
      <c r="M281" s="113"/>
      <c r="N281" s="113"/>
      <c r="O281" s="113"/>
    </row>
    <row r="282" spans="1:15" ht="13.95" customHeight="1">
      <c r="A282" s="650">
        <v>125</v>
      </c>
      <c r="B282" s="650"/>
      <c r="C282" s="651">
        <v>8</v>
      </c>
      <c r="D282" s="652" t="s">
        <v>2595</v>
      </c>
      <c r="E282" s="113"/>
      <c r="F282" s="650">
        <v>125</v>
      </c>
      <c r="G282" s="651">
        <v>8</v>
      </c>
      <c r="H282" s="113"/>
      <c r="I282" s="650">
        <v>36</v>
      </c>
      <c r="J282" s="651">
        <v>61</v>
      </c>
      <c r="K282" s="113"/>
      <c r="L282" s="113"/>
      <c r="M282" s="113"/>
      <c r="N282" s="113"/>
      <c r="O282" s="113"/>
    </row>
    <row r="283" spans="1:15" ht="13.95" customHeight="1">
      <c r="A283" s="650">
        <v>28</v>
      </c>
      <c r="B283" s="650">
        <v>20</v>
      </c>
      <c r="C283" s="651">
        <v>66</v>
      </c>
      <c r="D283" s="652">
        <v>66</v>
      </c>
      <c r="E283" s="113"/>
      <c r="F283" s="650">
        <v>28</v>
      </c>
      <c r="G283" s="651">
        <v>66</v>
      </c>
      <c r="H283" s="113"/>
      <c r="I283" s="650">
        <v>36</v>
      </c>
      <c r="J283" s="651">
        <v>61</v>
      </c>
      <c r="K283" s="113"/>
      <c r="L283" s="113"/>
      <c r="M283" s="113"/>
      <c r="N283" s="113"/>
      <c r="O283" s="113"/>
    </row>
    <row r="284" spans="1:15" ht="13.95" customHeight="1">
      <c r="A284" s="650">
        <v>40</v>
      </c>
      <c r="B284" s="650"/>
      <c r="C284" s="651">
        <v>55</v>
      </c>
      <c r="D284" s="652" t="s">
        <v>2595</v>
      </c>
      <c r="E284" s="113"/>
      <c r="F284" s="650">
        <v>40</v>
      </c>
      <c r="G284" s="651">
        <v>55</v>
      </c>
      <c r="H284" s="113"/>
      <c r="I284" s="650">
        <v>36</v>
      </c>
      <c r="J284" s="652">
        <v>61</v>
      </c>
      <c r="K284" s="113"/>
      <c r="L284" s="113"/>
      <c r="M284" s="113"/>
      <c r="N284" s="113"/>
      <c r="O284" s="113"/>
    </row>
    <row r="285" spans="1:15" ht="13.95" customHeight="1">
      <c r="A285" s="650">
        <v>33</v>
      </c>
      <c r="B285" s="650"/>
      <c r="C285" s="651">
        <v>64</v>
      </c>
      <c r="D285" s="652" t="s">
        <v>2595</v>
      </c>
      <c r="E285" s="113"/>
      <c r="F285" s="650">
        <v>33</v>
      </c>
      <c r="G285" s="651">
        <v>64</v>
      </c>
      <c r="H285" s="113"/>
      <c r="I285" s="650">
        <v>36</v>
      </c>
      <c r="J285" s="652">
        <v>61</v>
      </c>
      <c r="K285" s="113"/>
      <c r="L285" s="113"/>
      <c r="M285" s="113"/>
      <c r="N285" s="113"/>
      <c r="O285" s="113"/>
    </row>
    <row r="286" spans="1:15" ht="13.95" customHeight="1">
      <c r="A286" s="650">
        <v>32</v>
      </c>
      <c r="B286" s="650"/>
      <c r="C286" s="651">
        <v>64</v>
      </c>
      <c r="D286" s="652" t="s">
        <v>2595</v>
      </c>
      <c r="E286" s="113"/>
      <c r="F286" s="650">
        <v>32</v>
      </c>
      <c r="G286" s="651">
        <v>64</v>
      </c>
      <c r="H286" s="113"/>
      <c r="I286" s="650">
        <v>37</v>
      </c>
      <c r="J286" s="651">
        <v>59</v>
      </c>
      <c r="K286" s="113"/>
      <c r="L286" s="113"/>
      <c r="M286" s="113"/>
      <c r="N286" s="113"/>
      <c r="O286" s="113"/>
    </row>
    <row r="287" spans="1:15" ht="13.95" customHeight="1">
      <c r="A287" s="650">
        <v>32</v>
      </c>
      <c r="B287" s="650"/>
      <c r="C287" s="651">
        <v>64</v>
      </c>
      <c r="D287" s="652" t="s">
        <v>2595</v>
      </c>
      <c r="E287" s="113"/>
      <c r="F287" s="650">
        <v>32</v>
      </c>
      <c r="G287" s="651">
        <v>64</v>
      </c>
      <c r="H287" s="113"/>
      <c r="I287" s="650">
        <v>37</v>
      </c>
      <c r="J287" s="651">
        <v>59</v>
      </c>
      <c r="K287" s="113"/>
      <c r="L287" s="113"/>
      <c r="M287" s="113"/>
      <c r="N287" s="113"/>
      <c r="O287" s="113"/>
    </row>
    <row r="288" spans="1:15" ht="13.95" customHeight="1">
      <c r="A288" s="650">
        <v>38</v>
      </c>
      <c r="B288" s="650"/>
      <c r="C288" s="651">
        <v>58</v>
      </c>
      <c r="D288" s="652" t="s">
        <v>2595</v>
      </c>
      <c r="E288" s="113"/>
      <c r="F288" s="650">
        <v>38</v>
      </c>
      <c r="G288" s="651">
        <v>58</v>
      </c>
      <c r="H288" s="113"/>
      <c r="I288" s="650">
        <v>37</v>
      </c>
      <c r="J288" s="651">
        <v>59</v>
      </c>
      <c r="K288" s="113"/>
      <c r="L288" s="113"/>
      <c r="M288" s="113"/>
      <c r="N288" s="113"/>
      <c r="O288" s="113"/>
    </row>
    <row r="289" spans="1:15" ht="13.95" customHeight="1">
      <c r="A289" s="650">
        <v>30</v>
      </c>
      <c r="B289" s="650"/>
      <c r="C289" s="651">
        <v>65</v>
      </c>
      <c r="D289" s="652" t="s">
        <v>2595</v>
      </c>
      <c r="E289" s="113"/>
      <c r="F289" s="650">
        <v>30</v>
      </c>
      <c r="G289" s="651">
        <v>65</v>
      </c>
      <c r="H289" s="113"/>
      <c r="I289" s="650">
        <v>37</v>
      </c>
      <c r="J289" s="651">
        <v>59</v>
      </c>
      <c r="K289" s="113"/>
      <c r="L289" s="113"/>
      <c r="M289" s="113"/>
      <c r="N289" s="113"/>
      <c r="O289" s="113"/>
    </row>
    <row r="290" spans="1:15" ht="13.95" customHeight="1">
      <c r="A290" s="650">
        <v>35</v>
      </c>
      <c r="B290" s="650"/>
      <c r="C290" s="651">
        <v>62</v>
      </c>
      <c r="D290" s="652" t="s">
        <v>2595</v>
      </c>
      <c r="E290" s="113"/>
      <c r="F290" s="650">
        <v>35</v>
      </c>
      <c r="G290" s="651">
        <v>62</v>
      </c>
      <c r="H290" s="113"/>
      <c r="I290" s="650">
        <v>37</v>
      </c>
      <c r="J290" s="651">
        <v>59</v>
      </c>
      <c r="K290" s="113"/>
      <c r="L290" s="113"/>
      <c r="M290" s="113"/>
      <c r="N290" s="113"/>
      <c r="O290" s="113"/>
    </row>
    <row r="291" spans="1:15" ht="13.95" customHeight="1">
      <c r="A291" s="650">
        <v>36</v>
      </c>
      <c r="B291" s="650"/>
      <c r="C291" s="651">
        <v>61</v>
      </c>
      <c r="D291" s="652" t="s">
        <v>2595</v>
      </c>
      <c r="E291" s="113"/>
      <c r="F291" s="650">
        <v>36</v>
      </c>
      <c r="G291" s="651">
        <v>61</v>
      </c>
      <c r="H291" s="113"/>
      <c r="I291" s="650">
        <v>37</v>
      </c>
      <c r="J291" s="652">
        <v>59</v>
      </c>
      <c r="K291" s="113"/>
      <c r="L291" s="113"/>
      <c r="M291" s="113"/>
      <c r="N291" s="113"/>
      <c r="O291" s="113"/>
    </row>
    <row r="292" spans="1:15" ht="13.95" customHeight="1">
      <c r="A292" s="650">
        <v>36</v>
      </c>
      <c r="B292" s="650"/>
      <c r="C292" s="651">
        <v>61</v>
      </c>
      <c r="D292" s="652" t="s">
        <v>2595</v>
      </c>
      <c r="E292" s="113"/>
      <c r="F292" s="650">
        <v>36</v>
      </c>
      <c r="G292" s="651">
        <v>61</v>
      </c>
      <c r="H292" s="113"/>
      <c r="I292" s="650">
        <v>37</v>
      </c>
      <c r="J292" s="652">
        <v>59</v>
      </c>
      <c r="K292" s="113"/>
      <c r="L292" s="113"/>
      <c r="M292" s="113"/>
      <c r="N292" s="113"/>
      <c r="O292" s="113"/>
    </row>
    <row r="293" spans="1:15" ht="13.95" customHeight="1">
      <c r="A293" s="650">
        <v>49</v>
      </c>
      <c r="B293" s="650"/>
      <c r="C293" s="651">
        <v>43</v>
      </c>
      <c r="D293" s="652" t="s">
        <v>2595</v>
      </c>
      <c r="E293" s="113"/>
      <c r="F293" s="650">
        <v>49</v>
      </c>
      <c r="G293" s="651">
        <v>43</v>
      </c>
      <c r="H293" s="113"/>
      <c r="I293" s="650">
        <v>38</v>
      </c>
      <c r="J293" s="651">
        <v>58</v>
      </c>
      <c r="K293" s="113"/>
      <c r="L293" s="113"/>
      <c r="M293" s="113"/>
      <c r="N293" s="113"/>
      <c r="O293" s="113"/>
    </row>
    <row r="294" spans="1:15" ht="13.95" customHeight="1">
      <c r="A294" s="650">
        <v>21</v>
      </c>
      <c r="B294" s="650"/>
      <c r="C294" s="651">
        <v>66</v>
      </c>
      <c r="D294" s="652" t="s">
        <v>2595</v>
      </c>
      <c r="E294" s="113"/>
      <c r="F294" s="650">
        <v>21</v>
      </c>
      <c r="G294" s="651">
        <v>66</v>
      </c>
      <c r="H294" s="113"/>
      <c r="I294" s="650">
        <v>38</v>
      </c>
      <c r="J294" s="651">
        <v>58</v>
      </c>
      <c r="K294" s="113"/>
      <c r="L294" s="113"/>
      <c r="M294" s="113"/>
      <c r="N294" s="113"/>
      <c r="O294" s="113"/>
    </row>
    <row r="295" spans="1:15" ht="13.95" customHeight="1">
      <c r="A295" s="113"/>
      <c r="B295" s="113"/>
      <c r="C295" s="113"/>
      <c r="D295" s="113"/>
      <c r="E295" s="113"/>
      <c r="F295" s="650"/>
      <c r="G295" s="652"/>
      <c r="H295" s="113"/>
      <c r="I295" s="650">
        <v>38</v>
      </c>
      <c r="J295" s="652">
        <v>58</v>
      </c>
      <c r="K295" s="113"/>
      <c r="L295" s="113"/>
      <c r="M295" s="113"/>
      <c r="N295" s="113"/>
      <c r="O295" s="113"/>
    </row>
    <row r="296" spans="1:15" ht="13.95" customHeight="1">
      <c r="A296" s="113"/>
      <c r="B296" s="113"/>
      <c r="C296" s="113"/>
      <c r="D296" s="113"/>
      <c r="E296" s="113"/>
      <c r="F296" s="650"/>
      <c r="G296" s="652"/>
      <c r="H296" s="113"/>
      <c r="I296" s="650">
        <v>38</v>
      </c>
      <c r="J296" s="652">
        <v>58</v>
      </c>
      <c r="K296" s="113"/>
      <c r="L296" s="113"/>
      <c r="M296" s="113"/>
      <c r="N296" s="113"/>
      <c r="O296" s="113"/>
    </row>
    <row r="297" spans="1:15" ht="13.95" customHeight="1">
      <c r="A297" s="113"/>
      <c r="B297" s="113"/>
      <c r="C297" s="113"/>
      <c r="D297" s="113"/>
      <c r="E297" s="113"/>
      <c r="F297" s="650"/>
      <c r="G297" s="652"/>
      <c r="H297" s="113"/>
      <c r="I297" s="650">
        <v>38</v>
      </c>
      <c r="J297" s="652">
        <v>58</v>
      </c>
      <c r="K297" s="113"/>
      <c r="L297" s="113"/>
      <c r="M297" s="113"/>
      <c r="N297" s="113"/>
      <c r="O297" s="113"/>
    </row>
    <row r="298" spans="1:15" ht="13.95" customHeight="1">
      <c r="A298" s="113"/>
      <c r="B298" s="113"/>
      <c r="C298" s="113"/>
      <c r="D298" s="113"/>
      <c r="E298" s="113"/>
      <c r="F298" s="650"/>
      <c r="G298" s="652"/>
      <c r="H298" s="113"/>
      <c r="I298" s="650">
        <v>39</v>
      </c>
      <c r="J298" s="651">
        <v>57</v>
      </c>
      <c r="K298" s="113"/>
      <c r="L298" s="113"/>
      <c r="M298" s="113"/>
      <c r="N298" s="113"/>
      <c r="O298" s="113"/>
    </row>
    <row r="299" spans="1:15" ht="13.95" customHeight="1">
      <c r="A299" s="113"/>
      <c r="B299" s="113"/>
      <c r="C299" s="113"/>
      <c r="D299" s="113"/>
      <c r="E299" s="113"/>
      <c r="F299" s="650"/>
      <c r="G299" s="652"/>
      <c r="H299" s="113"/>
      <c r="I299" s="650">
        <v>39</v>
      </c>
      <c r="J299" s="651">
        <v>57</v>
      </c>
      <c r="K299" s="113"/>
      <c r="L299" s="113"/>
      <c r="M299" s="113"/>
      <c r="N299" s="113"/>
      <c r="O299" s="113"/>
    </row>
    <row r="300" spans="1:15" ht="13.95" customHeight="1">
      <c r="A300" s="113"/>
      <c r="B300" s="113"/>
      <c r="C300" s="113"/>
      <c r="D300" s="113"/>
      <c r="E300" s="113"/>
      <c r="F300" s="650"/>
      <c r="G300" s="652"/>
      <c r="H300" s="113"/>
      <c r="I300" s="650">
        <v>39</v>
      </c>
      <c r="J300" s="651">
        <v>57</v>
      </c>
      <c r="K300" s="113"/>
      <c r="L300" s="113"/>
      <c r="M300" s="113"/>
      <c r="N300" s="113"/>
      <c r="O300" s="113"/>
    </row>
    <row r="301" spans="1:15" ht="13.95" customHeight="1">
      <c r="A301" s="113"/>
      <c r="B301" s="113"/>
      <c r="C301" s="113"/>
      <c r="D301" s="113"/>
      <c r="E301" s="113"/>
      <c r="F301" s="650"/>
      <c r="G301" s="652"/>
      <c r="H301" s="113"/>
      <c r="I301" s="650">
        <v>39</v>
      </c>
      <c r="J301" s="652">
        <v>57</v>
      </c>
      <c r="K301" s="113"/>
      <c r="L301" s="113"/>
      <c r="M301" s="113"/>
      <c r="N301" s="113"/>
      <c r="O301" s="113"/>
    </row>
    <row r="302" spans="1:15" ht="13.95" customHeight="1">
      <c r="A302" s="113"/>
      <c r="B302" s="113"/>
      <c r="C302" s="113"/>
      <c r="D302" s="113"/>
      <c r="E302" s="113"/>
      <c r="F302" s="650"/>
      <c r="G302" s="652"/>
      <c r="H302" s="113"/>
      <c r="I302" s="650">
        <v>40</v>
      </c>
      <c r="J302" s="651">
        <v>55</v>
      </c>
      <c r="K302" s="113"/>
      <c r="L302" s="113"/>
      <c r="M302" s="113"/>
      <c r="N302" s="113"/>
      <c r="O302" s="113"/>
    </row>
    <row r="303" spans="1:15" ht="13.95" customHeight="1">
      <c r="A303" s="113"/>
      <c r="B303" s="113"/>
      <c r="C303" s="113"/>
      <c r="D303" s="113"/>
      <c r="E303" s="113"/>
      <c r="F303" s="650"/>
      <c r="G303" s="652"/>
      <c r="H303" s="113"/>
      <c r="I303" s="650">
        <v>40</v>
      </c>
      <c r="J303" s="651">
        <v>55</v>
      </c>
      <c r="K303" s="113"/>
      <c r="L303" s="113"/>
      <c r="M303" s="113"/>
      <c r="N303" s="113"/>
      <c r="O303" s="113"/>
    </row>
    <row r="304" spans="1:15" ht="13.95" customHeight="1">
      <c r="A304" s="113"/>
      <c r="B304" s="113"/>
      <c r="C304" s="113"/>
      <c r="D304" s="113"/>
      <c r="E304" s="113"/>
      <c r="F304" s="650"/>
      <c r="G304" s="652"/>
      <c r="H304" s="113"/>
      <c r="I304" s="650">
        <v>40</v>
      </c>
      <c r="J304" s="651">
        <v>55</v>
      </c>
      <c r="K304" s="113"/>
      <c r="L304" s="113"/>
      <c r="M304" s="113"/>
      <c r="N304" s="113"/>
      <c r="O304" s="113"/>
    </row>
    <row r="305" spans="1:15" ht="13.95" customHeight="1">
      <c r="A305" s="113"/>
      <c r="B305" s="113"/>
      <c r="C305" s="113"/>
      <c r="D305" s="113"/>
      <c r="E305" s="113"/>
      <c r="F305" s="650"/>
      <c r="G305" s="652"/>
      <c r="H305" s="113"/>
      <c r="I305" s="650">
        <v>40</v>
      </c>
      <c r="J305" s="652">
        <v>55</v>
      </c>
      <c r="K305" s="113"/>
      <c r="L305" s="113"/>
      <c r="M305" s="113"/>
      <c r="N305" s="113"/>
      <c r="O305" s="113"/>
    </row>
    <row r="306" spans="1:15" ht="13.95" customHeight="1">
      <c r="A306" s="113"/>
      <c r="B306" s="113"/>
      <c r="C306" s="113"/>
      <c r="D306" s="113"/>
      <c r="E306" s="113"/>
      <c r="F306" s="650"/>
      <c r="G306" s="652"/>
      <c r="H306" s="113"/>
      <c r="I306" s="650">
        <v>40</v>
      </c>
      <c r="J306" s="652">
        <v>55</v>
      </c>
      <c r="K306" s="113"/>
      <c r="L306" s="113"/>
      <c r="M306" s="113"/>
      <c r="N306" s="113"/>
      <c r="O306" s="113"/>
    </row>
    <row r="307" spans="1:15" ht="13.95" customHeight="1">
      <c r="A307" s="113"/>
      <c r="B307" s="113"/>
      <c r="C307" s="113"/>
      <c r="D307" s="113"/>
      <c r="E307" s="113"/>
      <c r="F307" s="650"/>
      <c r="G307" s="652"/>
      <c r="H307" s="113"/>
      <c r="I307" s="650">
        <v>40</v>
      </c>
      <c r="J307" s="652">
        <v>55</v>
      </c>
      <c r="K307" s="113"/>
      <c r="L307" s="113"/>
      <c r="M307" s="113"/>
      <c r="N307" s="113"/>
      <c r="O307" s="113"/>
    </row>
    <row r="308" spans="1:15" ht="13.95" customHeight="1">
      <c r="A308" s="113"/>
      <c r="B308" s="113"/>
      <c r="C308" s="113"/>
      <c r="D308" s="113"/>
      <c r="E308" s="113"/>
      <c r="F308" s="650"/>
      <c r="G308" s="652"/>
      <c r="H308" s="113"/>
      <c r="I308" s="650">
        <v>41</v>
      </c>
      <c r="J308" s="651">
        <v>54</v>
      </c>
      <c r="K308" s="113"/>
      <c r="L308" s="113"/>
      <c r="M308" s="113"/>
      <c r="N308" s="113"/>
      <c r="O308" s="113"/>
    </row>
    <row r="309" spans="1:15" ht="13.95" customHeight="1">
      <c r="A309" s="113"/>
      <c r="B309" s="113"/>
      <c r="C309" s="113"/>
      <c r="D309" s="113"/>
      <c r="E309" s="113"/>
      <c r="F309" s="650"/>
      <c r="G309" s="652"/>
      <c r="H309" s="113"/>
      <c r="I309" s="650">
        <v>41</v>
      </c>
      <c r="J309" s="652">
        <v>54</v>
      </c>
      <c r="K309" s="113"/>
      <c r="L309" s="113"/>
      <c r="M309" s="113"/>
      <c r="N309" s="113"/>
      <c r="O309" s="113"/>
    </row>
    <row r="310" spans="1:15" ht="13.95" customHeight="1">
      <c r="A310" s="113"/>
      <c r="B310" s="113"/>
      <c r="C310" s="113"/>
      <c r="D310" s="113"/>
      <c r="E310" s="113"/>
      <c r="F310" s="650"/>
      <c r="G310" s="652"/>
      <c r="H310" s="113"/>
      <c r="I310" s="650">
        <v>41</v>
      </c>
      <c r="J310" s="652">
        <v>54</v>
      </c>
      <c r="K310" s="113"/>
      <c r="L310" s="113"/>
      <c r="M310" s="113"/>
      <c r="N310" s="113"/>
      <c r="O310" s="113"/>
    </row>
    <row r="311" spans="1:15" ht="13.95" customHeight="1">
      <c r="A311" s="113"/>
      <c r="B311" s="113"/>
      <c r="C311" s="113"/>
      <c r="D311" s="113"/>
      <c r="E311" s="113"/>
      <c r="F311" s="650"/>
      <c r="G311" s="652"/>
      <c r="H311" s="113"/>
      <c r="I311" s="650">
        <v>42</v>
      </c>
      <c r="J311" s="651">
        <v>52</v>
      </c>
      <c r="K311" s="113"/>
      <c r="L311" s="113"/>
      <c r="M311" s="113"/>
      <c r="N311" s="113"/>
      <c r="O311" s="113"/>
    </row>
    <row r="312" spans="1:15" ht="13.95" customHeight="1">
      <c r="A312" s="113"/>
      <c r="B312" s="113"/>
      <c r="C312" s="113"/>
      <c r="D312" s="113"/>
      <c r="E312" s="113"/>
      <c r="F312" s="650"/>
      <c r="G312" s="652"/>
      <c r="H312" s="113"/>
      <c r="I312" s="650">
        <v>42</v>
      </c>
      <c r="J312" s="651">
        <v>52</v>
      </c>
      <c r="K312" s="113"/>
      <c r="L312" s="113"/>
      <c r="M312" s="113"/>
      <c r="N312" s="113"/>
      <c r="O312" s="113"/>
    </row>
    <row r="313" spans="1:15" ht="13.95" customHeight="1">
      <c r="A313" s="113"/>
      <c r="B313" s="113"/>
      <c r="C313" s="113"/>
      <c r="D313" s="113"/>
      <c r="E313" s="113"/>
      <c r="F313" s="650"/>
      <c r="G313" s="652"/>
      <c r="H313" s="113"/>
      <c r="I313" s="650">
        <v>42</v>
      </c>
      <c r="J313" s="651">
        <v>52</v>
      </c>
      <c r="K313" s="113"/>
      <c r="L313" s="113"/>
      <c r="M313" s="113"/>
      <c r="N313" s="113"/>
      <c r="O313" s="113"/>
    </row>
    <row r="314" spans="1:15" ht="13.95" customHeight="1">
      <c r="A314" s="113"/>
      <c r="B314" s="113"/>
      <c r="C314" s="113"/>
      <c r="D314" s="113"/>
      <c r="E314" s="113"/>
      <c r="F314" s="650"/>
      <c r="G314" s="652"/>
      <c r="H314" s="113"/>
      <c r="I314" s="650">
        <v>42</v>
      </c>
      <c r="J314" s="652">
        <v>52</v>
      </c>
      <c r="K314" s="113"/>
      <c r="L314" s="113"/>
      <c r="M314" s="113"/>
      <c r="N314" s="113"/>
      <c r="O314" s="113"/>
    </row>
    <row r="315" spans="1:15" ht="13.95" customHeight="1">
      <c r="A315" s="113"/>
      <c r="B315" s="113"/>
      <c r="C315" s="113"/>
      <c r="D315" s="113"/>
      <c r="E315" s="113"/>
      <c r="F315" s="650"/>
      <c r="G315" s="652"/>
      <c r="H315" s="113"/>
      <c r="I315" s="650">
        <v>42</v>
      </c>
      <c r="J315" s="652">
        <v>52</v>
      </c>
      <c r="K315" s="113"/>
      <c r="L315" s="113"/>
      <c r="M315" s="113"/>
      <c r="N315" s="113"/>
      <c r="O315" s="113"/>
    </row>
    <row r="316" spans="1:15" ht="13.95" customHeight="1">
      <c r="A316" s="113"/>
      <c r="B316" s="113"/>
      <c r="C316" s="113"/>
      <c r="D316" s="113"/>
      <c r="E316" s="113"/>
      <c r="F316" s="650"/>
      <c r="G316" s="652"/>
      <c r="H316" s="113"/>
      <c r="I316" s="650">
        <v>43</v>
      </c>
      <c r="J316" s="651">
        <v>51</v>
      </c>
      <c r="K316" s="113"/>
      <c r="L316" s="113"/>
      <c r="M316" s="113"/>
      <c r="N316" s="113"/>
      <c r="O316" s="113"/>
    </row>
    <row r="317" spans="1:15" ht="13.95" customHeight="1">
      <c r="A317" s="113"/>
      <c r="B317" s="113"/>
      <c r="C317" s="113"/>
      <c r="D317" s="113"/>
      <c r="E317" s="113"/>
      <c r="F317" s="650"/>
      <c r="G317" s="652"/>
      <c r="H317" s="113"/>
      <c r="I317" s="650">
        <v>43</v>
      </c>
      <c r="J317" s="651">
        <v>51</v>
      </c>
      <c r="K317" s="113"/>
      <c r="L317" s="113"/>
      <c r="M317" s="113"/>
      <c r="N317" s="113"/>
      <c r="O317" s="113"/>
    </row>
    <row r="318" spans="1:15" ht="13.95" customHeight="1">
      <c r="A318" s="113"/>
      <c r="B318" s="113"/>
      <c r="C318" s="113"/>
      <c r="D318" s="113"/>
      <c r="E318" s="113"/>
      <c r="F318" s="650"/>
      <c r="G318" s="652"/>
      <c r="H318" s="113"/>
      <c r="I318" s="650">
        <v>43</v>
      </c>
      <c r="J318" s="651">
        <v>51</v>
      </c>
      <c r="K318" s="113"/>
      <c r="L318" s="113"/>
      <c r="M318" s="113"/>
      <c r="N318" s="113"/>
      <c r="O318" s="113"/>
    </row>
    <row r="319" spans="1:15" ht="13.95" customHeight="1">
      <c r="A319" s="113"/>
      <c r="B319" s="113"/>
      <c r="C319" s="113"/>
      <c r="D319" s="113"/>
      <c r="E319" s="113"/>
      <c r="F319" s="650"/>
      <c r="G319" s="652"/>
      <c r="H319" s="113"/>
      <c r="I319" s="650">
        <v>43</v>
      </c>
      <c r="J319" s="652">
        <v>51</v>
      </c>
      <c r="K319" s="113"/>
      <c r="L319" s="113"/>
      <c r="M319" s="113"/>
      <c r="N319" s="113"/>
      <c r="O319" s="113"/>
    </row>
    <row r="320" spans="1:15" ht="13.95" customHeight="1">
      <c r="A320" s="113"/>
      <c r="B320" s="113"/>
      <c r="C320" s="113"/>
      <c r="D320" s="113"/>
      <c r="E320" s="113"/>
      <c r="F320" s="650"/>
      <c r="G320" s="652"/>
      <c r="H320" s="113"/>
      <c r="I320" s="650">
        <v>44</v>
      </c>
      <c r="J320" s="651">
        <v>50</v>
      </c>
      <c r="K320" s="113"/>
      <c r="L320" s="113"/>
      <c r="M320" s="113"/>
      <c r="N320" s="113"/>
      <c r="O320" s="113"/>
    </row>
    <row r="321" spans="1:15" ht="13.95" customHeight="1">
      <c r="A321" s="113"/>
      <c r="B321" s="113"/>
      <c r="C321" s="113"/>
      <c r="D321" s="113"/>
      <c r="E321" s="113"/>
      <c r="F321" s="650"/>
      <c r="G321" s="652"/>
      <c r="H321" s="113"/>
      <c r="I321" s="650">
        <v>44</v>
      </c>
      <c r="J321" s="651">
        <v>50</v>
      </c>
      <c r="K321" s="113"/>
      <c r="L321" s="113"/>
      <c r="M321" s="113"/>
      <c r="N321" s="113"/>
      <c r="O321" s="113"/>
    </row>
    <row r="322" spans="1:15" ht="13.95" customHeight="1">
      <c r="A322" s="113"/>
      <c r="B322" s="113"/>
      <c r="C322" s="113"/>
      <c r="D322" s="113"/>
      <c r="E322" s="113"/>
      <c r="F322" s="650"/>
      <c r="G322" s="652"/>
      <c r="H322" s="113"/>
      <c r="I322" s="650">
        <v>44</v>
      </c>
      <c r="J322" s="651">
        <v>50</v>
      </c>
      <c r="K322" s="113"/>
      <c r="L322" s="113"/>
      <c r="M322" s="113"/>
      <c r="N322" s="113"/>
      <c r="O322" s="113"/>
    </row>
    <row r="323" spans="1:15" ht="13.95" customHeight="1">
      <c r="A323" s="113"/>
      <c r="B323" s="113"/>
      <c r="C323" s="113"/>
      <c r="D323" s="113"/>
      <c r="E323" s="113"/>
      <c r="F323" s="650"/>
      <c r="G323" s="652"/>
      <c r="H323" s="113"/>
      <c r="I323" s="650">
        <v>44</v>
      </c>
      <c r="J323" s="652">
        <v>50</v>
      </c>
      <c r="K323" s="113"/>
      <c r="L323" s="113"/>
      <c r="M323" s="113"/>
      <c r="N323" s="113"/>
      <c r="O323" s="113"/>
    </row>
    <row r="324" spans="1:15" ht="13.95" customHeight="1">
      <c r="A324" s="113"/>
      <c r="B324" s="113"/>
      <c r="C324" s="113"/>
      <c r="D324" s="113"/>
      <c r="E324" s="113"/>
      <c r="F324" s="650"/>
      <c r="G324" s="652"/>
      <c r="H324" s="113"/>
      <c r="I324" s="650">
        <v>44</v>
      </c>
      <c r="J324" s="652">
        <v>50</v>
      </c>
      <c r="K324" s="113"/>
      <c r="L324" s="113"/>
      <c r="M324" s="113"/>
      <c r="N324" s="113"/>
      <c r="O324" s="113"/>
    </row>
    <row r="325" spans="1:15" ht="13.95" customHeight="1">
      <c r="A325" s="113"/>
      <c r="B325" s="113"/>
      <c r="C325" s="113"/>
      <c r="D325" s="113"/>
      <c r="E325" s="113"/>
      <c r="F325" s="650"/>
      <c r="G325" s="652"/>
      <c r="H325" s="113"/>
      <c r="I325" s="650">
        <v>44</v>
      </c>
      <c r="J325" s="652">
        <v>50</v>
      </c>
      <c r="K325" s="113"/>
      <c r="L325" s="113"/>
      <c r="M325" s="113"/>
      <c r="N325" s="113"/>
      <c r="O325" s="113"/>
    </row>
    <row r="326" spans="1:15" ht="13.95" customHeight="1">
      <c r="A326" s="113"/>
      <c r="B326" s="113"/>
      <c r="C326" s="113"/>
      <c r="D326" s="113"/>
      <c r="E326" s="113"/>
      <c r="F326" s="650"/>
      <c r="G326" s="652"/>
      <c r="H326" s="113"/>
      <c r="I326" s="650">
        <v>45</v>
      </c>
      <c r="J326" s="651">
        <v>48</v>
      </c>
      <c r="K326" s="113"/>
      <c r="L326" s="113"/>
      <c r="M326" s="113"/>
      <c r="N326" s="113"/>
      <c r="O326" s="113"/>
    </row>
    <row r="327" spans="1:15" ht="13.95" customHeight="1">
      <c r="A327" s="113"/>
      <c r="B327" s="113"/>
      <c r="C327" s="113"/>
      <c r="D327" s="113"/>
      <c r="E327" s="113"/>
      <c r="F327" s="650"/>
      <c r="G327" s="652"/>
      <c r="H327" s="113"/>
      <c r="I327" s="650">
        <v>45</v>
      </c>
      <c r="J327" s="651">
        <v>48</v>
      </c>
      <c r="K327" s="113"/>
      <c r="L327" s="113"/>
      <c r="M327" s="113"/>
      <c r="N327" s="113"/>
      <c r="O327" s="113"/>
    </row>
    <row r="328" spans="1:15" ht="13.95" customHeight="1">
      <c r="A328" s="113"/>
      <c r="B328" s="113"/>
      <c r="C328" s="113"/>
      <c r="D328" s="113"/>
      <c r="E328" s="113"/>
      <c r="F328" s="650"/>
      <c r="G328" s="652"/>
      <c r="H328" s="113"/>
      <c r="I328" s="650">
        <v>45</v>
      </c>
      <c r="J328" s="651">
        <v>48</v>
      </c>
      <c r="K328" s="113"/>
      <c r="L328" s="113"/>
      <c r="M328" s="113"/>
      <c r="N328" s="113"/>
      <c r="O328" s="113"/>
    </row>
    <row r="329" spans="1:15" ht="13.95" customHeight="1">
      <c r="A329" s="113"/>
      <c r="B329" s="113"/>
      <c r="C329" s="113"/>
      <c r="D329" s="113"/>
      <c r="E329" s="113"/>
      <c r="F329" s="650"/>
      <c r="G329" s="652"/>
      <c r="H329" s="113"/>
      <c r="I329" s="650">
        <v>45</v>
      </c>
      <c r="J329" s="651">
        <v>48</v>
      </c>
      <c r="K329" s="113"/>
      <c r="L329" s="113"/>
      <c r="M329" s="113"/>
      <c r="N329" s="113"/>
      <c r="O329" s="113"/>
    </row>
    <row r="330" spans="1:15" ht="13.95" customHeight="1">
      <c r="A330" s="113"/>
      <c r="B330" s="113"/>
      <c r="C330" s="113"/>
      <c r="D330" s="113"/>
      <c r="E330" s="113"/>
      <c r="F330" s="650"/>
      <c r="G330" s="652"/>
      <c r="H330" s="113"/>
      <c r="I330" s="650">
        <v>45</v>
      </c>
      <c r="J330" s="651">
        <v>48</v>
      </c>
      <c r="K330" s="113"/>
      <c r="L330" s="113"/>
      <c r="M330" s="113"/>
      <c r="N330" s="113"/>
      <c r="O330" s="113"/>
    </row>
    <row r="331" spans="1:15" ht="13.95" customHeight="1">
      <c r="A331" s="113"/>
      <c r="B331" s="113"/>
      <c r="C331" s="113"/>
      <c r="D331" s="113"/>
      <c r="E331" s="113"/>
      <c r="F331" s="650"/>
      <c r="G331" s="652"/>
      <c r="H331" s="113"/>
      <c r="I331" s="650">
        <v>46</v>
      </c>
      <c r="J331" s="651">
        <v>47</v>
      </c>
      <c r="K331" s="113"/>
      <c r="L331" s="113"/>
      <c r="M331" s="113"/>
      <c r="N331" s="113"/>
      <c r="O331" s="113"/>
    </row>
    <row r="332" spans="1:15" ht="13.95" customHeight="1">
      <c r="A332" s="113"/>
      <c r="B332" s="113"/>
      <c r="C332" s="113"/>
      <c r="D332" s="113"/>
      <c r="E332" s="113"/>
      <c r="F332" s="650"/>
      <c r="G332" s="652"/>
      <c r="H332" s="113"/>
      <c r="I332" s="650">
        <v>46</v>
      </c>
      <c r="J332" s="651">
        <v>47</v>
      </c>
      <c r="K332" s="113"/>
      <c r="L332" s="113"/>
      <c r="M332" s="113"/>
      <c r="N332" s="113"/>
      <c r="O332" s="113"/>
    </row>
    <row r="333" spans="1:15" ht="13.95" customHeight="1">
      <c r="A333" s="113"/>
      <c r="B333" s="113"/>
      <c r="C333" s="113"/>
      <c r="D333" s="113"/>
      <c r="E333" s="113"/>
      <c r="F333" s="650"/>
      <c r="G333" s="652"/>
      <c r="H333" s="113"/>
      <c r="I333" s="650">
        <v>46</v>
      </c>
      <c r="J333" s="652">
        <v>47</v>
      </c>
      <c r="K333" s="113"/>
      <c r="L333" s="113"/>
      <c r="M333" s="113"/>
      <c r="N333" s="113"/>
      <c r="O333" s="113"/>
    </row>
    <row r="334" spans="1:15" ht="13.95" customHeight="1">
      <c r="A334" s="113"/>
      <c r="B334" s="113"/>
      <c r="C334" s="113"/>
      <c r="D334" s="113"/>
      <c r="E334" s="113"/>
      <c r="F334" s="650"/>
      <c r="G334" s="652"/>
      <c r="H334" s="113"/>
      <c r="I334" s="650">
        <v>47</v>
      </c>
      <c r="J334" s="651">
        <v>46</v>
      </c>
      <c r="K334" s="113"/>
      <c r="L334" s="113"/>
      <c r="M334" s="113"/>
      <c r="N334" s="113"/>
      <c r="O334" s="113"/>
    </row>
    <row r="335" spans="1:15" ht="13.95" customHeight="1">
      <c r="A335" s="113"/>
      <c r="B335" s="113"/>
      <c r="C335" s="113"/>
      <c r="D335" s="113"/>
      <c r="E335" s="113"/>
      <c r="F335" s="650"/>
      <c r="G335" s="652"/>
      <c r="H335" s="113"/>
      <c r="I335" s="650">
        <v>47</v>
      </c>
      <c r="J335" s="651">
        <v>46</v>
      </c>
      <c r="K335" s="113"/>
      <c r="L335" s="113"/>
      <c r="M335" s="113"/>
      <c r="N335" s="113"/>
      <c r="O335" s="113"/>
    </row>
    <row r="336" spans="1:15" ht="13.95" customHeight="1">
      <c r="A336" s="113"/>
      <c r="B336" s="113"/>
      <c r="C336" s="113"/>
      <c r="D336" s="113"/>
      <c r="E336" s="113"/>
      <c r="F336" s="650"/>
      <c r="G336" s="652"/>
      <c r="H336" s="113"/>
      <c r="I336" s="650">
        <v>48</v>
      </c>
      <c r="J336" s="651">
        <v>45</v>
      </c>
      <c r="K336" s="113"/>
      <c r="L336" s="113"/>
      <c r="M336" s="113"/>
      <c r="N336" s="113"/>
      <c r="O336" s="113"/>
    </row>
    <row r="337" spans="1:15" ht="13.95" customHeight="1">
      <c r="A337" s="113"/>
      <c r="B337" s="113"/>
      <c r="C337" s="113"/>
      <c r="D337" s="113"/>
      <c r="E337" s="113"/>
      <c r="F337" s="650"/>
      <c r="G337" s="652"/>
      <c r="H337" s="113"/>
      <c r="I337" s="650">
        <v>48</v>
      </c>
      <c r="J337" s="652">
        <v>45</v>
      </c>
      <c r="K337" s="113"/>
      <c r="L337" s="113"/>
      <c r="M337" s="113"/>
      <c r="N337" s="113"/>
      <c r="O337" s="113"/>
    </row>
    <row r="338" spans="1:15" ht="13.95" customHeight="1">
      <c r="A338" s="113"/>
      <c r="B338" s="113"/>
      <c r="C338" s="113"/>
      <c r="D338" s="113"/>
      <c r="E338" s="113"/>
      <c r="F338" s="650"/>
      <c r="G338" s="652"/>
      <c r="H338" s="113"/>
      <c r="I338" s="650">
        <v>48</v>
      </c>
      <c r="J338" s="652">
        <v>45</v>
      </c>
      <c r="K338" s="113"/>
      <c r="L338" s="113"/>
      <c r="M338" s="113"/>
      <c r="N338" s="113"/>
      <c r="O338" s="113"/>
    </row>
    <row r="339" spans="1:15" ht="13.95" customHeight="1">
      <c r="A339" s="113"/>
      <c r="B339" s="113"/>
      <c r="C339" s="113"/>
      <c r="D339" s="113"/>
      <c r="E339" s="113"/>
      <c r="F339" s="650"/>
      <c r="G339" s="652"/>
      <c r="H339" s="113"/>
      <c r="I339" s="650">
        <v>49</v>
      </c>
      <c r="J339" s="651">
        <v>43</v>
      </c>
      <c r="K339" s="113"/>
      <c r="L339" s="113"/>
      <c r="M339" s="113"/>
      <c r="N339" s="113"/>
      <c r="O339" s="113"/>
    </row>
    <row r="340" spans="1:15" ht="13.95" customHeight="1">
      <c r="A340" s="113"/>
      <c r="B340" s="113"/>
      <c r="C340" s="113"/>
      <c r="D340" s="113"/>
      <c r="E340" s="113"/>
      <c r="F340" s="650"/>
      <c r="G340" s="652"/>
      <c r="H340" s="113"/>
      <c r="I340" s="650">
        <v>49</v>
      </c>
      <c r="J340" s="651">
        <v>43</v>
      </c>
      <c r="K340" s="113"/>
      <c r="L340" s="113"/>
      <c r="M340" s="113"/>
      <c r="N340" s="113"/>
      <c r="O340" s="113"/>
    </row>
    <row r="341" spans="1:15" ht="13.95" customHeight="1">
      <c r="A341" s="113"/>
      <c r="B341" s="113"/>
      <c r="C341" s="113"/>
      <c r="D341" s="113"/>
      <c r="E341" s="113"/>
      <c r="F341" s="650"/>
      <c r="G341" s="652"/>
      <c r="H341" s="113"/>
      <c r="I341" s="650">
        <v>49</v>
      </c>
      <c r="J341" s="652">
        <v>43</v>
      </c>
      <c r="K341" s="113"/>
      <c r="L341" s="113"/>
      <c r="M341" s="113"/>
      <c r="N341" s="113"/>
      <c r="O341" s="113"/>
    </row>
    <row r="342" spans="1:15" ht="13.95" customHeight="1">
      <c r="A342" s="113"/>
      <c r="B342" s="113"/>
      <c r="C342" s="113"/>
      <c r="D342" s="113"/>
      <c r="E342" s="113"/>
      <c r="F342" s="650"/>
      <c r="G342" s="652"/>
      <c r="H342" s="113"/>
      <c r="I342" s="650">
        <v>49</v>
      </c>
      <c r="J342" s="652">
        <v>43</v>
      </c>
      <c r="K342" s="113"/>
      <c r="L342" s="113"/>
      <c r="M342" s="113"/>
      <c r="N342" s="113"/>
      <c r="O342" s="113"/>
    </row>
    <row r="343" spans="1:15" ht="13.95" customHeight="1">
      <c r="A343" s="113"/>
      <c r="B343" s="113"/>
      <c r="C343" s="113"/>
      <c r="D343" s="113"/>
      <c r="E343" s="113"/>
      <c r="F343" s="650"/>
      <c r="G343" s="652"/>
      <c r="H343" s="113"/>
      <c r="I343" s="650">
        <v>50</v>
      </c>
      <c r="J343" s="651">
        <v>42</v>
      </c>
      <c r="K343" s="113"/>
      <c r="L343" s="113"/>
      <c r="M343" s="113"/>
      <c r="N343" s="113"/>
      <c r="O343" s="113"/>
    </row>
    <row r="344" spans="1:15" ht="13.95" customHeight="1">
      <c r="A344" s="113"/>
      <c r="B344" s="113"/>
      <c r="C344" s="113"/>
      <c r="D344" s="113"/>
      <c r="E344" s="113"/>
      <c r="F344" s="650"/>
      <c r="G344" s="652"/>
      <c r="H344" s="113"/>
      <c r="I344" s="650">
        <v>50</v>
      </c>
      <c r="J344" s="651">
        <v>42</v>
      </c>
      <c r="K344" s="113"/>
      <c r="L344" s="113"/>
      <c r="M344" s="113"/>
      <c r="N344" s="113"/>
      <c r="O344" s="113"/>
    </row>
    <row r="345" spans="1:15" ht="13.95" customHeight="1">
      <c r="A345" s="113"/>
      <c r="B345" s="113"/>
      <c r="C345" s="113"/>
      <c r="D345" s="113"/>
      <c r="E345" s="113"/>
      <c r="F345" s="650"/>
      <c r="G345" s="652"/>
      <c r="H345" s="113"/>
      <c r="I345" s="650">
        <v>50</v>
      </c>
      <c r="J345" s="651">
        <v>42</v>
      </c>
      <c r="K345" s="113"/>
      <c r="L345" s="113"/>
      <c r="M345" s="113"/>
      <c r="N345" s="113"/>
      <c r="O345" s="113"/>
    </row>
    <row r="346" spans="1:15" ht="13.95" customHeight="1">
      <c r="A346" s="113"/>
      <c r="B346" s="113"/>
      <c r="C346" s="113"/>
      <c r="D346" s="113"/>
      <c r="E346" s="113"/>
      <c r="F346" s="650"/>
      <c r="G346" s="652"/>
      <c r="H346" s="113"/>
      <c r="I346" s="650">
        <v>51</v>
      </c>
      <c r="J346" s="651">
        <v>41</v>
      </c>
      <c r="K346" s="113"/>
      <c r="L346" s="113"/>
      <c r="M346" s="113"/>
      <c r="N346" s="113"/>
      <c r="O346" s="113"/>
    </row>
    <row r="347" spans="1:15" ht="13.95" customHeight="1">
      <c r="A347" s="113"/>
      <c r="B347" s="113"/>
      <c r="C347" s="113"/>
      <c r="D347" s="113"/>
      <c r="E347" s="113"/>
      <c r="F347" s="650"/>
      <c r="G347" s="652"/>
      <c r="H347" s="113"/>
      <c r="I347" s="650">
        <v>51</v>
      </c>
      <c r="J347" s="651">
        <v>41</v>
      </c>
      <c r="K347" s="113"/>
      <c r="L347" s="113"/>
      <c r="M347" s="113"/>
      <c r="N347" s="113"/>
      <c r="O347" s="113"/>
    </row>
    <row r="348" spans="1:15" ht="13.95" customHeight="1">
      <c r="A348" s="113"/>
      <c r="B348" s="113"/>
      <c r="C348" s="113"/>
      <c r="D348" s="113"/>
      <c r="E348" s="113"/>
      <c r="F348" s="650"/>
      <c r="G348" s="652"/>
      <c r="H348" s="113"/>
      <c r="I348" s="650">
        <v>52</v>
      </c>
      <c r="J348" s="651">
        <v>40</v>
      </c>
      <c r="K348" s="113"/>
      <c r="L348" s="113"/>
      <c r="M348" s="113"/>
      <c r="N348" s="113"/>
      <c r="O348" s="113"/>
    </row>
    <row r="349" spans="1:15" ht="13.95" customHeight="1">
      <c r="A349" s="113"/>
      <c r="B349" s="113"/>
      <c r="C349" s="113"/>
      <c r="D349" s="113"/>
      <c r="E349" s="113"/>
      <c r="F349" s="650"/>
      <c r="G349" s="652"/>
      <c r="H349" s="113"/>
      <c r="I349" s="650">
        <v>52</v>
      </c>
      <c r="J349" s="652">
        <v>40</v>
      </c>
      <c r="K349" s="113"/>
      <c r="L349" s="113"/>
      <c r="M349" s="113"/>
      <c r="N349" s="113"/>
      <c r="O349" s="113"/>
    </row>
    <row r="350" spans="1:15" ht="13.95" customHeight="1">
      <c r="A350" s="113"/>
      <c r="B350" s="113"/>
      <c r="C350" s="113"/>
      <c r="D350" s="113"/>
      <c r="E350" s="113"/>
      <c r="F350" s="650"/>
      <c r="G350" s="652"/>
      <c r="H350" s="113"/>
      <c r="I350" s="650">
        <v>52</v>
      </c>
      <c r="J350" s="652">
        <v>40</v>
      </c>
      <c r="K350" s="113"/>
      <c r="L350" s="113"/>
      <c r="M350" s="113"/>
      <c r="N350" s="113"/>
      <c r="O350" s="113"/>
    </row>
    <row r="351" spans="1:15" ht="13.95" customHeight="1">
      <c r="A351" s="113"/>
      <c r="B351" s="113"/>
      <c r="C351" s="113"/>
      <c r="D351" s="113"/>
      <c r="E351" s="113"/>
      <c r="F351" s="650"/>
      <c r="G351" s="652"/>
      <c r="H351" s="113"/>
      <c r="I351" s="650">
        <v>53</v>
      </c>
      <c r="J351" s="651">
        <v>39</v>
      </c>
      <c r="K351" s="113"/>
      <c r="L351" s="113"/>
      <c r="M351" s="113"/>
      <c r="N351" s="113"/>
      <c r="O351" s="113"/>
    </row>
    <row r="352" spans="1:15" ht="13.95" customHeight="1">
      <c r="A352" s="113"/>
      <c r="B352" s="113"/>
      <c r="C352" s="113"/>
      <c r="D352" s="113"/>
      <c r="E352" s="113"/>
      <c r="F352" s="650"/>
      <c r="G352" s="652"/>
      <c r="H352" s="113"/>
      <c r="I352" s="650">
        <v>55</v>
      </c>
      <c r="J352" s="651">
        <v>37</v>
      </c>
      <c r="K352" s="113"/>
      <c r="L352" s="113"/>
      <c r="M352" s="113"/>
      <c r="N352" s="113"/>
      <c r="O352" s="113"/>
    </row>
    <row r="353" spans="1:15" ht="13.95" customHeight="1">
      <c r="A353" s="113"/>
      <c r="B353" s="113"/>
      <c r="C353" s="113"/>
      <c r="D353" s="113"/>
      <c r="E353" s="113"/>
      <c r="F353" s="650"/>
      <c r="G353" s="652"/>
      <c r="H353" s="113"/>
      <c r="I353" s="650">
        <v>56</v>
      </c>
      <c r="J353" s="651">
        <v>36</v>
      </c>
      <c r="K353" s="113"/>
      <c r="L353" s="113"/>
      <c r="M353" s="113"/>
      <c r="N353" s="113"/>
      <c r="O353" s="113"/>
    </row>
    <row r="354" spans="1:15" ht="13.95" customHeight="1">
      <c r="A354" s="113"/>
      <c r="B354" s="113"/>
      <c r="C354" s="113"/>
      <c r="D354" s="113"/>
      <c r="E354" s="113"/>
      <c r="F354" s="650"/>
      <c r="G354" s="652"/>
      <c r="H354" s="113"/>
      <c r="I354" s="650">
        <v>56</v>
      </c>
      <c r="J354" s="651">
        <v>36</v>
      </c>
      <c r="K354" s="113"/>
      <c r="L354" s="113"/>
      <c r="M354" s="113"/>
      <c r="N354" s="113"/>
      <c r="O354" s="113"/>
    </row>
    <row r="355" spans="1:15" ht="13.95" customHeight="1">
      <c r="A355" s="113"/>
      <c r="B355" s="113"/>
      <c r="C355" s="113"/>
      <c r="D355" s="113"/>
      <c r="E355" s="113"/>
      <c r="F355" s="650"/>
      <c r="G355" s="652"/>
      <c r="H355" s="113"/>
      <c r="I355" s="650">
        <v>56</v>
      </c>
      <c r="J355" s="651">
        <v>36</v>
      </c>
      <c r="K355" s="113"/>
      <c r="L355" s="113"/>
      <c r="M355" s="113"/>
      <c r="N355" s="113"/>
      <c r="O355" s="113"/>
    </row>
    <row r="356" spans="1:15" ht="13.95" customHeight="1">
      <c r="A356" s="113"/>
      <c r="B356" s="113"/>
      <c r="C356" s="113"/>
      <c r="D356" s="113"/>
      <c r="E356" s="113"/>
      <c r="F356" s="650"/>
      <c r="G356" s="652"/>
      <c r="H356" s="113"/>
      <c r="I356" s="650">
        <v>57</v>
      </c>
      <c r="J356" s="651">
        <v>36</v>
      </c>
      <c r="K356" s="113"/>
      <c r="L356" s="113"/>
      <c r="M356" s="113"/>
      <c r="N356" s="113"/>
      <c r="O356" s="113"/>
    </row>
    <row r="357" spans="1:15" ht="13.95" customHeight="1">
      <c r="A357" s="113"/>
      <c r="B357" s="113"/>
      <c r="C357" s="113"/>
      <c r="D357" s="113"/>
      <c r="E357" s="113"/>
      <c r="F357" s="650"/>
      <c r="G357" s="652"/>
      <c r="H357" s="113"/>
      <c r="I357" s="650">
        <v>57</v>
      </c>
      <c r="J357" s="652">
        <v>36</v>
      </c>
      <c r="K357" s="113"/>
      <c r="L357" s="113"/>
      <c r="M357" s="113"/>
      <c r="N357" s="113"/>
      <c r="O357" s="113"/>
    </row>
    <row r="358" spans="1:15" ht="13.95" customHeight="1">
      <c r="A358" s="113"/>
      <c r="B358" s="113"/>
      <c r="C358" s="113"/>
      <c r="D358" s="113"/>
      <c r="E358" s="113"/>
      <c r="F358" s="650"/>
      <c r="G358" s="652"/>
      <c r="H358" s="113"/>
      <c r="I358" s="650">
        <v>58</v>
      </c>
      <c r="J358" s="651">
        <v>35</v>
      </c>
      <c r="K358" s="113"/>
      <c r="L358" s="113"/>
      <c r="M358" s="113"/>
      <c r="N358" s="113"/>
      <c r="O358" s="113"/>
    </row>
    <row r="359" spans="1:15" ht="13.95" customHeight="1">
      <c r="A359" s="113"/>
      <c r="B359" s="113"/>
      <c r="C359" s="113"/>
      <c r="D359" s="113"/>
      <c r="E359" s="113"/>
      <c r="F359" s="650"/>
      <c r="G359" s="652"/>
      <c r="H359" s="113"/>
      <c r="I359" s="650">
        <v>58</v>
      </c>
      <c r="J359" s="651">
        <v>35</v>
      </c>
      <c r="K359" s="113"/>
      <c r="L359" s="113"/>
      <c r="M359" s="113"/>
      <c r="N359" s="113"/>
      <c r="O359" s="113"/>
    </row>
    <row r="360" spans="1:15" ht="13.95" customHeight="1">
      <c r="A360" s="113"/>
      <c r="B360" s="113"/>
      <c r="C360" s="113"/>
      <c r="D360" s="113"/>
      <c r="E360" s="113"/>
      <c r="F360" s="650"/>
      <c r="G360" s="652"/>
      <c r="H360" s="113"/>
      <c r="I360" s="650">
        <v>59</v>
      </c>
      <c r="J360" s="651">
        <v>34</v>
      </c>
      <c r="K360" s="113"/>
      <c r="L360" s="113"/>
      <c r="M360" s="113"/>
      <c r="N360" s="113"/>
      <c r="O360" s="113"/>
    </row>
    <row r="361" spans="1:15" ht="13.95" customHeight="1">
      <c r="A361" s="113"/>
      <c r="B361" s="113"/>
      <c r="C361" s="113"/>
      <c r="D361" s="113"/>
      <c r="E361" s="113"/>
      <c r="F361" s="650"/>
      <c r="G361" s="652"/>
      <c r="H361" s="113"/>
      <c r="I361" s="650">
        <v>59</v>
      </c>
      <c r="J361" s="652">
        <v>34</v>
      </c>
      <c r="K361" s="113"/>
      <c r="L361" s="113"/>
      <c r="M361" s="113"/>
      <c r="N361" s="113"/>
      <c r="O361" s="113"/>
    </row>
    <row r="362" spans="1:15" ht="13.95" customHeight="1">
      <c r="A362" s="113"/>
      <c r="B362" s="113"/>
      <c r="C362" s="113"/>
      <c r="D362" s="113"/>
      <c r="E362" s="113"/>
      <c r="F362" s="650"/>
      <c r="G362" s="652"/>
      <c r="H362" s="113"/>
      <c r="I362" s="650">
        <v>60</v>
      </c>
      <c r="J362" s="651">
        <v>33</v>
      </c>
      <c r="K362" s="113"/>
      <c r="L362" s="113"/>
      <c r="M362" s="113"/>
      <c r="N362" s="113"/>
      <c r="O362" s="113"/>
    </row>
    <row r="363" spans="1:15" ht="13.95" customHeight="1">
      <c r="A363" s="113"/>
      <c r="B363" s="113"/>
      <c r="C363" s="113"/>
      <c r="D363" s="113"/>
      <c r="E363" s="113"/>
      <c r="F363" s="650"/>
      <c r="G363" s="652"/>
      <c r="H363" s="113"/>
      <c r="I363" s="650">
        <v>60</v>
      </c>
      <c r="J363" s="651">
        <v>33</v>
      </c>
      <c r="K363" s="113"/>
      <c r="L363" s="113"/>
      <c r="M363" s="113"/>
      <c r="N363" s="113"/>
      <c r="O363" s="113"/>
    </row>
    <row r="364" spans="1:15" ht="13.95" customHeight="1">
      <c r="A364" s="113"/>
      <c r="B364" s="113"/>
      <c r="C364" s="113"/>
      <c r="D364" s="113"/>
      <c r="E364" s="113"/>
      <c r="F364" s="650"/>
      <c r="G364" s="652"/>
      <c r="H364" s="113"/>
      <c r="I364" s="650">
        <v>60</v>
      </c>
      <c r="J364" s="651">
        <v>33</v>
      </c>
      <c r="K364" s="113"/>
      <c r="L364" s="113"/>
      <c r="M364" s="113"/>
      <c r="N364" s="113"/>
      <c r="O364" s="113"/>
    </row>
    <row r="365" spans="1:15" ht="13.95" customHeight="1">
      <c r="A365" s="113"/>
      <c r="B365" s="113"/>
      <c r="C365" s="113"/>
      <c r="D365" s="113"/>
      <c r="E365" s="113"/>
      <c r="F365" s="650"/>
      <c r="G365" s="652"/>
      <c r="H365" s="113"/>
      <c r="I365" s="650">
        <v>60</v>
      </c>
      <c r="J365" s="651">
        <v>33</v>
      </c>
      <c r="K365" s="113"/>
      <c r="L365" s="113"/>
      <c r="M365" s="113"/>
      <c r="N365" s="113"/>
      <c r="O365" s="113"/>
    </row>
    <row r="366" spans="1:15" ht="13.95" customHeight="1">
      <c r="A366" s="113"/>
      <c r="B366" s="113"/>
      <c r="C366" s="113"/>
      <c r="D366" s="113"/>
      <c r="E366" s="113"/>
      <c r="F366" s="650"/>
      <c r="G366" s="652"/>
      <c r="H366" s="113"/>
      <c r="I366" s="650">
        <v>60</v>
      </c>
      <c r="J366" s="652">
        <v>33</v>
      </c>
      <c r="K366" s="113"/>
      <c r="L366" s="113"/>
      <c r="M366" s="113"/>
      <c r="N366" s="113"/>
      <c r="O366" s="113"/>
    </row>
    <row r="367" spans="1:15" ht="13.95" customHeight="1">
      <c r="A367" s="113"/>
      <c r="B367" s="113"/>
      <c r="C367" s="113"/>
      <c r="D367" s="113"/>
      <c r="E367" s="113"/>
      <c r="F367" s="650"/>
      <c r="G367" s="652"/>
      <c r="H367" s="113"/>
      <c r="I367" s="650">
        <v>63</v>
      </c>
      <c r="J367" s="651">
        <v>31</v>
      </c>
      <c r="K367" s="113"/>
      <c r="L367" s="113"/>
      <c r="M367" s="113"/>
      <c r="N367" s="113"/>
      <c r="O367" s="113"/>
    </row>
    <row r="368" spans="1:15" ht="13.95" customHeight="1">
      <c r="A368" s="113"/>
      <c r="B368" s="113"/>
      <c r="C368" s="113"/>
      <c r="D368" s="113"/>
      <c r="E368" s="113"/>
      <c r="F368" s="650"/>
      <c r="G368" s="652"/>
      <c r="H368" s="113"/>
      <c r="I368" s="650">
        <v>63</v>
      </c>
      <c r="J368" s="651">
        <v>31</v>
      </c>
      <c r="K368" s="113"/>
      <c r="L368" s="113"/>
      <c r="M368" s="113"/>
      <c r="N368" s="113"/>
      <c r="O368" s="113"/>
    </row>
    <row r="369" spans="1:15" ht="13.95" customHeight="1">
      <c r="A369" s="113"/>
      <c r="B369" s="113"/>
      <c r="C369" s="113"/>
      <c r="D369" s="113"/>
      <c r="E369" s="113"/>
      <c r="F369" s="650"/>
      <c r="G369" s="652"/>
      <c r="H369" s="113"/>
      <c r="I369" s="650">
        <v>64</v>
      </c>
      <c r="J369" s="651">
        <v>30</v>
      </c>
      <c r="K369" s="113"/>
      <c r="L369" s="113"/>
      <c r="M369" s="113"/>
      <c r="N369" s="113"/>
      <c r="O369" s="113"/>
    </row>
    <row r="370" spans="1:15" ht="13.95" customHeight="1">
      <c r="A370" s="113"/>
      <c r="B370" s="113"/>
      <c r="C370" s="113"/>
      <c r="D370" s="113"/>
      <c r="E370" s="113"/>
      <c r="F370" s="650"/>
      <c r="G370" s="652"/>
      <c r="H370" s="113"/>
      <c r="I370" s="650">
        <v>64</v>
      </c>
      <c r="J370" s="651">
        <v>30</v>
      </c>
      <c r="K370" s="113"/>
      <c r="L370" s="113"/>
      <c r="M370" s="113"/>
      <c r="N370" s="113"/>
      <c r="O370" s="113"/>
    </row>
    <row r="371" spans="1:15" ht="13.95" customHeight="1">
      <c r="A371" s="113"/>
      <c r="B371" s="113"/>
      <c r="C371" s="113"/>
      <c r="D371" s="113"/>
      <c r="E371" s="113"/>
      <c r="F371" s="650"/>
      <c r="G371" s="652"/>
      <c r="H371" s="113"/>
      <c r="I371" s="650">
        <v>65</v>
      </c>
      <c r="J371" s="651">
        <v>29</v>
      </c>
      <c r="K371" s="113"/>
      <c r="L371" s="113"/>
      <c r="M371" s="113"/>
      <c r="N371" s="113"/>
      <c r="O371" s="113"/>
    </row>
    <row r="372" spans="1:15" ht="13.95" customHeight="1">
      <c r="A372" s="113"/>
      <c r="B372" s="113"/>
      <c r="C372" s="113"/>
      <c r="D372" s="113"/>
      <c r="E372" s="113"/>
      <c r="F372" s="650"/>
      <c r="G372" s="652"/>
      <c r="H372" s="113"/>
      <c r="I372" s="650">
        <v>65</v>
      </c>
      <c r="J372" s="652">
        <v>29</v>
      </c>
      <c r="K372" s="113"/>
      <c r="L372" s="113"/>
      <c r="M372" s="113"/>
      <c r="N372" s="113"/>
      <c r="O372" s="113"/>
    </row>
    <row r="373" spans="1:15" ht="13.95" customHeight="1">
      <c r="A373" s="113"/>
      <c r="B373" s="113"/>
      <c r="C373" s="113"/>
      <c r="D373" s="113"/>
      <c r="E373" s="113"/>
      <c r="F373" s="650"/>
      <c r="G373" s="652"/>
      <c r="H373" s="113"/>
      <c r="I373" s="650">
        <v>65</v>
      </c>
      <c r="J373" s="652">
        <v>29</v>
      </c>
      <c r="K373" s="113"/>
      <c r="L373" s="113"/>
      <c r="M373" s="113"/>
      <c r="N373" s="113"/>
      <c r="O373" s="113"/>
    </row>
    <row r="374" spans="1:15" ht="13.95" customHeight="1">
      <c r="A374" s="113"/>
      <c r="B374" s="113"/>
      <c r="C374" s="113"/>
      <c r="D374" s="113"/>
      <c r="E374" s="113"/>
      <c r="F374" s="650"/>
      <c r="G374" s="652"/>
      <c r="H374" s="113"/>
      <c r="I374" s="650">
        <v>67</v>
      </c>
      <c r="J374" s="651">
        <v>28</v>
      </c>
      <c r="K374" s="113"/>
      <c r="L374" s="113"/>
      <c r="M374" s="113"/>
      <c r="N374" s="113"/>
      <c r="O374" s="113"/>
    </row>
    <row r="375" spans="1:15" ht="13.95" customHeight="1">
      <c r="A375" s="113"/>
      <c r="B375" s="113"/>
      <c r="C375" s="113"/>
      <c r="D375" s="113"/>
      <c r="E375" s="113"/>
      <c r="F375" s="650"/>
      <c r="G375" s="652"/>
      <c r="H375" s="113"/>
      <c r="I375" s="650">
        <v>67</v>
      </c>
      <c r="J375" s="651">
        <v>28</v>
      </c>
      <c r="K375" s="113"/>
      <c r="L375" s="113"/>
      <c r="M375" s="113"/>
      <c r="N375" s="113"/>
      <c r="O375" s="113"/>
    </row>
    <row r="376" spans="1:15" ht="13.95" customHeight="1">
      <c r="A376" s="113"/>
      <c r="B376" s="113"/>
      <c r="C376" s="113"/>
      <c r="D376" s="113"/>
      <c r="E376" s="113"/>
      <c r="F376" s="650"/>
      <c r="G376" s="652"/>
      <c r="H376" s="113"/>
      <c r="I376" s="650">
        <v>67</v>
      </c>
      <c r="J376" s="652">
        <v>28</v>
      </c>
      <c r="K376" s="113"/>
      <c r="L376" s="113"/>
      <c r="M376" s="113"/>
      <c r="N376" s="113"/>
      <c r="O376" s="113"/>
    </row>
    <row r="377" spans="1:15" ht="13.95" customHeight="1">
      <c r="A377" s="113"/>
      <c r="B377" s="113"/>
      <c r="C377" s="113"/>
      <c r="D377" s="113"/>
      <c r="E377" s="113"/>
      <c r="F377" s="650"/>
      <c r="G377" s="652"/>
      <c r="H377" s="113"/>
      <c r="I377" s="650">
        <v>68</v>
      </c>
      <c r="J377" s="651">
        <v>27</v>
      </c>
      <c r="K377" s="113"/>
      <c r="L377" s="113"/>
      <c r="M377" s="113"/>
      <c r="N377" s="113"/>
      <c r="O377" s="113"/>
    </row>
    <row r="378" spans="1:15" ht="13.95" customHeight="1">
      <c r="A378" s="113"/>
      <c r="B378" s="113"/>
      <c r="C378" s="113"/>
      <c r="D378" s="113"/>
      <c r="E378" s="113"/>
      <c r="F378" s="650"/>
      <c r="G378" s="652"/>
      <c r="H378" s="113"/>
      <c r="I378" s="650">
        <v>68</v>
      </c>
      <c r="J378" s="651">
        <v>27</v>
      </c>
      <c r="K378" s="113"/>
      <c r="L378" s="113"/>
      <c r="M378" s="113"/>
      <c r="N378" s="113"/>
      <c r="O378" s="113"/>
    </row>
    <row r="379" spans="1:15" ht="13.95" customHeight="1">
      <c r="A379" s="113"/>
      <c r="B379" s="113"/>
      <c r="C379" s="113"/>
      <c r="D379" s="113"/>
      <c r="E379" s="113"/>
      <c r="F379" s="650"/>
      <c r="G379" s="652"/>
      <c r="H379" s="113"/>
      <c r="I379" s="650">
        <v>68</v>
      </c>
      <c r="J379" s="651">
        <v>27</v>
      </c>
      <c r="K379" s="113"/>
      <c r="L379" s="113"/>
      <c r="M379" s="113"/>
      <c r="N379" s="113"/>
      <c r="O379" s="113"/>
    </row>
    <row r="380" spans="1:15" ht="13.95" customHeight="1">
      <c r="A380" s="113"/>
      <c r="B380" s="113"/>
      <c r="C380" s="113"/>
      <c r="D380" s="113"/>
      <c r="E380" s="113"/>
      <c r="F380" s="650"/>
      <c r="G380" s="652"/>
      <c r="H380" s="113"/>
      <c r="I380" s="650">
        <v>68</v>
      </c>
      <c r="J380" s="651">
        <v>27</v>
      </c>
      <c r="K380" s="113"/>
      <c r="L380" s="113"/>
      <c r="M380" s="113"/>
      <c r="N380" s="113"/>
      <c r="O380" s="113"/>
    </row>
    <row r="381" spans="1:15" ht="13.95" customHeight="1">
      <c r="A381" s="113"/>
      <c r="B381" s="113"/>
      <c r="C381" s="113"/>
      <c r="D381" s="113"/>
      <c r="E381" s="113"/>
      <c r="F381" s="650"/>
      <c r="G381" s="652"/>
      <c r="H381" s="113"/>
      <c r="I381" s="650">
        <v>68</v>
      </c>
      <c r="J381" s="651">
        <v>27</v>
      </c>
      <c r="K381" s="113"/>
      <c r="L381" s="113"/>
      <c r="M381" s="113"/>
      <c r="N381" s="113"/>
      <c r="O381" s="113"/>
    </row>
    <row r="382" spans="1:15" ht="13.95" customHeight="1">
      <c r="A382" s="113"/>
      <c r="B382" s="113"/>
      <c r="C382" s="113"/>
      <c r="D382" s="113"/>
      <c r="E382" s="113"/>
      <c r="F382" s="650"/>
      <c r="G382" s="652"/>
      <c r="H382" s="113"/>
      <c r="I382" s="650">
        <v>69</v>
      </c>
      <c r="J382" s="652">
        <v>27</v>
      </c>
      <c r="K382" s="113"/>
      <c r="L382" s="113"/>
      <c r="M382" s="113"/>
      <c r="N382" s="113"/>
      <c r="O382" s="113"/>
    </row>
    <row r="383" spans="1:15" ht="13.95" customHeight="1">
      <c r="A383" s="113"/>
      <c r="B383" s="113"/>
      <c r="C383" s="113"/>
      <c r="D383" s="113"/>
      <c r="E383" s="113"/>
      <c r="F383" s="650"/>
      <c r="G383" s="652"/>
      <c r="H383" s="113"/>
      <c r="I383" s="650">
        <v>70</v>
      </c>
      <c r="J383" s="651">
        <v>26</v>
      </c>
      <c r="K383" s="113"/>
      <c r="L383" s="113"/>
      <c r="M383" s="113"/>
      <c r="N383" s="113"/>
      <c r="O383" s="113"/>
    </row>
    <row r="384" spans="1:15" ht="13.95" customHeight="1">
      <c r="A384" s="113"/>
      <c r="B384" s="113"/>
      <c r="C384" s="113"/>
      <c r="D384" s="113"/>
      <c r="E384" s="113"/>
      <c r="F384" s="650"/>
      <c r="G384" s="652"/>
      <c r="H384" s="113"/>
      <c r="I384" s="650">
        <v>70</v>
      </c>
      <c r="J384" s="651">
        <v>26</v>
      </c>
      <c r="K384" s="113"/>
      <c r="L384" s="113"/>
      <c r="M384" s="113"/>
      <c r="N384" s="113"/>
      <c r="O384" s="113"/>
    </row>
    <row r="385" spans="1:15" ht="13.95" customHeight="1">
      <c r="A385" s="113"/>
      <c r="B385" s="113"/>
      <c r="C385" s="113"/>
      <c r="D385" s="113"/>
      <c r="E385" s="113"/>
      <c r="F385" s="650"/>
      <c r="G385" s="652"/>
      <c r="H385" s="113"/>
      <c r="I385" s="650">
        <v>70</v>
      </c>
      <c r="J385" s="651">
        <v>26</v>
      </c>
      <c r="K385" s="113"/>
      <c r="L385" s="113"/>
      <c r="M385" s="113"/>
      <c r="N385" s="113"/>
      <c r="O385" s="113"/>
    </row>
    <row r="386" spans="1:15" ht="13.95" customHeight="1">
      <c r="A386" s="113"/>
      <c r="B386" s="113"/>
      <c r="C386" s="113"/>
      <c r="D386" s="113"/>
      <c r="E386" s="113"/>
      <c r="F386" s="650"/>
      <c r="G386" s="652"/>
      <c r="H386" s="113"/>
      <c r="I386" s="650">
        <v>70</v>
      </c>
      <c r="J386" s="652">
        <v>26</v>
      </c>
      <c r="K386" s="113"/>
      <c r="L386" s="113"/>
      <c r="M386" s="113"/>
      <c r="N386" s="113"/>
      <c r="O386" s="113"/>
    </row>
    <row r="387" spans="1:15" ht="13.95" customHeight="1">
      <c r="A387" s="113"/>
      <c r="B387" s="113"/>
      <c r="C387" s="113"/>
      <c r="D387" s="113"/>
      <c r="E387" s="113"/>
      <c r="F387" s="650"/>
      <c r="G387" s="652"/>
      <c r="H387" s="113"/>
      <c r="I387" s="650">
        <v>71</v>
      </c>
      <c r="J387" s="651">
        <v>26</v>
      </c>
      <c r="K387" s="113"/>
      <c r="L387" s="113"/>
      <c r="M387" s="113"/>
      <c r="N387" s="113"/>
      <c r="O387" s="113"/>
    </row>
    <row r="388" spans="1:15" ht="13.95" customHeight="1">
      <c r="A388" s="113"/>
      <c r="B388" s="113"/>
      <c r="C388" s="113"/>
      <c r="D388" s="113"/>
      <c r="E388" s="113"/>
      <c r="F388" s="650"/>
      <c r="G388" s="652"/>
      <c r="H388" s="113"/>
      <c r="I388" s="650">
        <v>72</v>
      </c>
      <c r="J388" s="651">
        <v>25</v>
      </c>
      <c r="K388" s="113"/>
      <c r="L388" s="113"/>
      <c r="M388" s="113"/>
      <c r="N388" s="113"/>
      <c r="O388" s="113"/>
    </row>
    <row r="389" spans="1:15" ht="13.95" customHeight="1">
      <c r="A389" s="113"/>
      <c r="B389" s="113"/>
      <c r="C389" s="113"/>
      <c r="D389" s="113"/>
      <c r="E389" s="113"/>
      <c r="F389" s="650"/>
      <c r="G389" s="652"/>
      <c r="H389" s="113"/>
      <c r="I389" s="650">
        <v>72</v>
      </c>
      <c r="J389" s="651">
        <v>25</v>
      </c>
      <c r="K389" s="113"/>
      <c r="L389" s="113"/>
      <c r="M389" s="113"/>
      <c r="N389" s="113"/>
      <c r="O389" s="113"/>
    </row>
    <row r="390" spans="1:15" ht="13.95" customHeight="1">
      <c r="A390" s="113"/>
      <c r="B390" s="113"/>
      <c r="C390" s="113"/>
      <c r="D390" s="113"/>
      <c r="E390" s="113"/>
      <c r="F390" s="650"/>
      <c r="G390" s="652"/>
      <c r="H390" s="113"/>
      <c r="I390" s="650">
        <v>73</v>
      </c>
      <c r="J390" s="651">
        <v>25</v>
      </c>
      <c r="K390" s="113"/>
      <c r="L390" s="113"/>
      <c r="M390" s="113"/>
      <c r="N390" s="113"/>
      <c r="O390" s="113"/>
    </row>
    <row r="391" spans="1:15" ht="13.95" customHeight="1">
      <c r="A391" s="113"/>
      <c r="B391" s="113"/>
      <c r="C391" s="113"/>
      <c r="D391" s="113"/>
      <c r="E391" s="113"/>
      <c r="F391" s="650"/>
      <c r="G391" s="652"/>
      <c r="H391" s="113"/>
      <c r="I391" s="650">
        <v>73</v>
      </c>
      <c r="J391" s="651">
        <v>25</v>
      </c>
      <c r="K391" s="113"/>
      <c r="L391" s="113"/>
      <c r="M391" s="113"/>
      <c r="N391" s="113"/>
      <c r="O391" s="113"/>
    </row>
    <row r="392" spans="1:15" ht="13.95" customHeight="1">
      <c r="A392" s="113"/>
      <c r="B392" s="113"/>
      <c r="C392" s="113"/>
      <c r="D392" s="113"/>
      <c r="E392" s="113"/>
      <c r="F392" s="650"/>
      <c r="G392" s="652"/>
      <c r="H392" s="113"/>
      <c r="I392" s="650">
        <v>73</v>
      </c>
      <c r="J392" s="651">
        <v>25</v>
      </c>
      <c r="K392" s="113"/>
      <c r="L392" s="113"/>
      <c r="M392" s="113"/>
      <c r="N392" s="113"/>
      <c r="O392" s="113"/>
    </row>
    <row r="393" spans="1:15" ht="13.95" customHeight="1">
      <c r="A393" s="113"/>
      <c r="B393" s="113"/>
      <c r="C393" s="113"/>
      <c r="D393" s="113"/>
      <c r="E393" s="113"/>
      <c r="F393" s="650"/>
      <c r="G393" s="652"/>
      <c r="H393" s="113"/>
      <c r="I393" s="650">
        <v>73</v>
      </c>
      <c r="J393" s="651">
        <v>25</v>
      </c>
      <c r="K393" s="113"/>
      <c r="L393" s="113"/>
      <c r="M393" s="113"/>
      <c r="N393" s="113"/>
      <c r="O393" s="113"/>
    </row>
    <row r="394" spans="1:15" ht="13.95" customHeight="1">
      <c r="A394" s="113"/>
      <c r="B394" s="113"/>
      <c r="C394" s="113"/>
      <c r="D394" s="113"/>
      <c r="E394" s="113"/>
      <c r="F394" s="650"/>
      <c r="G394" s="652"/>
      <c r="H394" s="113"/>
      <c r="I394" s="650">
        <v>73</v>
      </c>
      <c r="J394" s="651">
        <v>25</v>
      </c>
      <c r="K394" s="113"/>
      <c r="L394" s="113"/>
      <c r="M394" s="113"/>
      <c r="N394" s="113"/>
      <c r="O394" s="113"/>
    </row>
    <row r="395" spans="1:15" ht="13.95" customHeight="1">
      <c r="A395" s="113"/>
      <c r="B395" s="113"/>
      <c r="C395" s="113"/>
      <c r="D395" s="113"/>
      <c r="E395" s="113"/>
      <c r="F395" s="650"/>
      <c r="G395" s="652"/>
      <c r="H395" s="113"/>
      <c r="I395" s="650">
        <v>73</v>
      </c>
      <c r="J395" s="652">
        <v>25</v>
      </c>
      <c r="K395" s="113"/>
      <c r="L395" s="113"/>
      <c r="M395" s="113"/>
      <c r="N395" s="113"/>
      <c r="O395" s="113"/>
    </row>
    <row r="396" spans="1:15" ht="13.95" customHeight="1">
      <c r="A396" s="113"/>
      <c r="B396" s="113"/>
      <c r="C396" s="113"/>
      <c r="D396" s="113"/>
      <c r="E396" s="113"/>
      <c r="F396" s="650"/>
      <c r="G396" s="652"/>
      <c r="H396" s="113"/>
      <c r="I396" s="650">
        <v>74</v>
      </c>
      <c r="J396" s="651">
        <v>24</v>
      </c>
      <c r="K396" s="113"/>
      <c r="L396" s="113"/>
      <c r="M396" s="113"/>
      <c r="N396" s="113"/>
      <c r="O396" s="113"/>
    </row>
    <row r="397" spans="1:15" ht="13.95" customHeight="1">
      <c r="A397" s="113"/>
      <c r="B397" s="113"/>
      <c r="C397" s="113"/>
      <c r="D397" s="113"/>
      <c r="E397" s="113"/>
      <c r="F397" s="650"/>
      <c r="G397" s="652"/>
      <c r="H397" s="113"/>
      <c r="I397" s="650">
        <v>74</v>
      </c>
      <c r="J397" s="651">
        <v>24</v>
      </c>
      <c r="K397" s="113"/>
      <c r="L397" s="113"/>
      <c r="M397" s="113"/>
      <c r="N397" s="113"/>
      <c r="O397" s="113"/>
    </row>
    <row r="398" spans="1:15" ht="13.95" customHeight="1">
      <c r="A398" s="113"/>
      <c r="B398" s="113"/>
      <c r="C398" s="113"/>
      <c r="D398" s="113"/>
      <c r="E398" s="113"/>
      <c r="F398" s="650"/>
      <c r="G398" s="652"/>
      <c r="H398" s="113"/>
      <c r="I398" s="650">
        <v>74</v>
      </c>
      <c r="J398" s="652">
        <v>24</v>
      </c>
      <c r="K398" s="113"/>
      <c r="L398" s="113"/>
      <c r="M398" s="113"/>
      <c r="N398" s="113"/>
      <c r="O398" s="113"/>
    </row>
    <row r="399" spans="1:15" ht="13.95" customHeight="1">
      <c r="A399" s="113"/>
      <c r="B399" s="113"/>
      <c r="C399" s="113"/>
      <c r="D399" s="113"/>
      <c r="E399" s="113"/>
      <c r="F399" s="650"/>
      <c r="G399" s="652"/>
      <c r="H399" s="113"/>
      <c r="I399" s="650">
        <v>74</v>
      </c>
      <c r="J399" s="652">
        <v>24</v>
      </c>
      <c r="K399" s="113"/>
      <c r="L399" s="113"/>
      <c r="M399" s="113"/>
      <c r="N399" s="113"/>
      <c r="O399" s="113"/>
    </row>
    <row r="400" spans="1:15" ht="13.95" customHeight="1">
      <c r="A400" s="113"/>
      <c r="B400" s="113"/>
      <c r="C400" s="113"/>
      <c r="D400" s="113"/>
      <c r="E400" s="113"/>
      <c r="F400" s="650"/>
      <c r="G400" s="652"/>
      <c r="H400" s="113"/>
      <c r="I400" s="650">
        <v>75</v>
      </c>
      <c r="J400" s="651">
        <v>24</v>
      </c>
      <c r="K400" s="113"/>
      <c r="L400" s="113"/>
      <c r="M400" s="113"/>
      <c r="N400" s="113"/>
      <c r="O400" s="113"/>
    </row>
    <row r="401" spans="1:15" ht="13.95" customHeight="1">
      <c r="A401" s="113"/>
      <c r="B401" s="113"/>
      <c r="C401" s="113"/>
      <c r="D401" s="113"/>
      <c r="E401" s="113"/>
      <c r="F401" s="650"/>
      <c r="G401" s="652"/>
      <c r="H401" s="113"/>
      <c r="I401" s="650">
        <v>75</v>
      </c>
      <c r="J401" s="651">
        <v>24</v>
      </c>
      <c r="K401" s="113"/>
      <c r="L401" s="113"/>
      <c r="M401" s="113"/>
      <c r="N401" s="113"/>
      <c r="O401" s="113"/>
    </row>
    <row r="402" spans="1:15" ht="13.95" customHeight="1">
      <c r="A402" s="113"/>
      <c r="B402" s="113"/>
      <c r="C402" s="113"/>
      <c r="D402" s="113"/>
      <c r="E402" s="113"/>
      <c r="F402" s="650"/>
      <c r="G402" s="652"/>
      <c r="H402" s="113"/>
      <c r="I402" s="650">
        <v>75</v>
      </c>
      <c r="J402" s="651">
        <v>24</v>
      </c>
      <c r="K402" s="113"/>
      <c r="L402" s="113"/>
      <c r="M402" s="113"/>
      <c r="N402" s="113"/>
      <c r="O402" s="113"/>
    </row>
    <row r="403" spans="1:15" ht="13.95" customHeight="1">
      <c r="A403" s="113"/>
      <c r="B403" s="113"/>
      <c r="C403" s="113"/>
      <c r="D403" s="113"/>
      <c r="E403" s="113"/>
      <c r="F403" s="650"/>
      <c r="G403" s="652"/>
      <c r="H403" s="113"/>
      <c r="I403" s="650">
        <v>76</v>
      </c>
      <c r="J403" s="651">
        <v>23</v>
      </c>
      <c r="K403" s="113"/>
      <c r="L403" s="113"/>
      <c r="M403" s="113"/>
      <c r="N403" s="113"/>
      <c r="O403" s="113"/>
    </row>
    <row r="404" spans="1:15" ht="13.95" customHeight="1">
      <c r="A404" s="113"/>
      <c r="B404" s="113"/>
      <c r="C404" s="113"/>
      <c r="D404" s="113"/>
      <c r="E404" s="113"/>
      <c r="F404" s="650"/>
      <c r="G404" s="652"/>
      <c r="H404" s="113"/>
      <c r="I404" s="650">
        <v>77</v>
      </c>
      <c r="J404" s="651">
        <v>23</v>
      </c>
      <c r="K404" s="113"/>
      <c r="L404" s="113"/>
      <c r="M404" s="113"/>
      <c r="N404" s="113"/>
      <c r="O404" s="113"/>
    </row>
    <row r="405" spans="1:15" ht="13.95" customHeight="1">
      <c r="A405" s="113"/>
      <c r="B405" s="113"/>
      <c r="C405" s="113"/>
      <c r="D405" s="113"/>
      <c r="E405" s="113"/>
      <c r="F405" s="650"/>
      <c r="G405" s="652"/>
      <c r="H405" s="113"/>
      <c r="I405" s="650">
        <v>78</v>
      </c>
      <c r="J405" s="651">
        <v>22</v>
      </c>
      <c r="K405" s="113"/>
      <c r="L405" s="113"/>
      <c r="M405" s="113"/>
      <c r="N405" s="113"/>
      <c r="O405" s="113"/>
    </row>
    <row r="406" spans="1:15" ht="13.95" customHeight="1">
      <c r="A406" s="113"/>
      <c r="B406" s="113"/>
      <c r="C406" s="113"/>
      <c r="D406" s="113"/>
      <c r="E406" s="113"/>
      <c r="F406" s="650"/>
      <c r="G406" s="652"/>
      <c r="H406" s="113"/>
      <c r="I406" s="650">
        <v>79</v>
      </c>
      <c r="J406" s="652">
        <v>22</v>
      </c>
      <c r="K406" s="113"/>
      <c r="L406" s="113"/>
      <c r="M406" s="113"/>
      <c r="N406" s="113"/>
      <c r="O406" s="113"/>
    </row>
    <row r="407" spans="1:15" ht="13.95" customHeight="1">
      <c r="A407" s="113"/>
      <c r="B407" s="113"/>
      <c r="C407" s="113"/>
      <c r="D407" s="113"/>
      <c r="E407" s="113"/>
      <c r="F407" s="650"/>
      <c r="G407" s="652"/>
      <c r="H407" s="113"/>
      <c r="I407" s="650">
        <v>81</v>
      </c>
      <c r="J407" s="651">
        <v>21</v>
      </c>
      <c r="K407" s="113"/>
      <c r="L407" s="113"/>
      <c r="M407" s="113"/>
      <c r="N407" s="113"/>
      <c r="O407" s="113"/>
    </row>
    <row r="408" spans="1:15" ht="13.95" customHeight="1">
      <c r="A408" s="113"/>
      <c r="B408" s="113"/>
      <c r="C408" s="113"/>
      <c r="D408" s="113"/>
      <c r="E408" s="113"/>
      <c r="F408" s="650"/>
      <c r="G408" s="652"/>
      <c r="H408" s="113"/>
      <c r="I408" s="650">
        <v>81</v>
      </c>
      <c r="J408" s="651">
        <v>21</v>
      </c>
      <c r="K408" s="113"/>
      <c r="L408" s="113"/>
      <c r="M408" s="113"/>
      <c r="N408" s="113"/>
      <c r="O408" s="113"/>
    </row>
    <row r="409" spans="1:15" ht="13.95" customHeight="1">
      <c r="A409" s="113"/>
      <c r="B409" s="113"/>
      <c r="C409" s="113"/>
      <c r="D409" s="113"/>
      <c r="E409" s="113"/>
      <c r="F409" s="650"/>
      <c r="G409" s="652"/>
      <c r="H409" s="113"/>
      <c r="I409" s="650">
        <v>82</v>
      </c>
      <c r="J409" s="652">
        <v>20</v>
      </c>
      <c r="K409" s="113"/>
      <c r="L409" s="113"/>
      <c r="M409" s="113"/>
      <c r="N409" s="113"/>
      <c r="O409" s="113"/>
    </row>
    <row r="410" spans="1:15" ht="13.95" customHeight="1">
      <c r="A410" s="113"/>
      <c r="B410" s="113"/>
      <c r="C410" s="113"/>
      <c r="D410" s="113"/>
      <c r="E410" s="113"/>
      <c r="F410" s="650"/>
      <c r="G410" s="652"/>
      <c r="H410" s="113"/>
      <c r="I410" s="650">
        <v>83</v>
      </c>
      <c r="J410" s="651">
        <v>20</v>
      </c>
      <c r="K410" s="113"/>
      <c r="L410" s="113"/>
      <c r="M410" s="113"/>
      <c r="N410" s="113"/>
      <c r="O410" s="113"/>
    </row>
    <row r="411" spans="1:15" ht="13.95" customHeight="1">
      <c r="A411" s="113"/>
      <c r="B411" s="113"/>
      <c r="C411" s="113"/>
      <c r="D411" s="113"/>
      <c r="E411" s="113"/>
      <c r="F411" s="650"/>
      <c r="G411" s="652"/>
      <c r="H411" s="113"/>
      <c r="I411" s="650">
        <v>84</v>
      </c>
      <c r="J411" s="651">
        <v>19</v>
      </c>
      <c r="K411" s="113"/>
      <c r="L411" s="113"/>
      <c r="M411" s="113"/>
      <c r="N411" s="113"/>
      <c r="O411" s="113"/>
    </row>
    <row r="412" spans="1:15" ht="13.95" customHeight="1">
      <c r="A412" s="113"/>
      <c r="B412" s="113"/>
      <c r="C412" s="113"/>
      <c r="D412" s="113"/>
      <c r="E412" s="113"/>
      <c r="F412" s="650"/>
      <c r="G412" s="652"/>
      <c r="H412" s="113"/>
      <c r="I412" s="650">
        <v>84</v>
      </c>
      <c r="J412" s="651">
        <v>19</v>
      </c>
      <c r="K412" s="113"/>
      <c r="L412" s="113"/>
      <c r="M412" s="113"/>
      <c r="N412" s="113"/>
      <c r="O412" s="113"/>
    </row>
    <row r="413" spans="1:15" ht="13.95" customHeight="1">
      <c r="A413" s="113"/>
      <c r="B413" s="113"/>
      <c r="C413" s="113"/>
      <c r="D413" s="113"/>
      <c r="E413" s="113"/>
      <c r="F413" s="650"/>
      <c r="G413" s="652"/>
      <c r="H413" s="113"/>
      <c r="I413" s="650">
        <v>85</v>
      </c>
      <c r="J413" s="651">
        <v>19</v>
      </c>
      <c r="K413" s="113"/>
      <c r="L413" s="113"/>
      <c r="M413" s="113"/>
      <c r="N413" s="113"/>
      <c r="O413" s="113"/>
    </row>
    <row r="414" spans="1:15" ht="13.95" customHeight="1">
      <c r="A414" s="113"/>
      <c r="B414" s="113"/>
      <c r="C414" s="113"/>
      <c r="D414" s="113"/>
      <c r="E414" s="113"/>
      <c r="F414" s="650"/>
      <c r="G414" s="652"/>
      <c r="H414" s="113"/>
      <c r="I414" s="650">
        <v>85</v>
      </c>
      <c r="J414" s="651">
        <v>19</v>
      </c>
      <c r="K414" s="113"/>
      <c r="L414" s="113"/>
      <c r="M414" s="113"/>
      <c r="N414" s="113"/>
      <c r="O414" s="113"/>
    </row>
    <row r="415" spans="1:15" ht="13.95" customHeight="1">
      <c r="A415" s="113"/>
      <c r="B415" s="113"/>
      <c r="C415" s="113"/>
      <c r="D415" s="113"/>
      <c r="E415" s="113"/>
      <c r="F415" s="650"/>
      <c r="G415" s="652"/>
      <c r="H415" s="113"/>
      <c r="I415" s="650">
        <v>86</v>
      </c>
      <c r="J415" s="651">
        <v>19</v>
      </c>
      <c r="K415" s="113"/>
      <c r="L415" s="113"/>
      <c r="M415" s="113"/>
      <c r="N415" s="113"/>
      <c r="O415" s="113"/>
    </row>
    <row r="416" spans="1:15" ht="13.95" customHeight="1">
      <c r="A416" s="113"/>
      <c r="B416" s="113"/>
      <c r="C416" s="113"/>
      <c r="D416" s="113"/>
      <c r="E416" s="113"/>
      <c r="F416" s="650"/>
      <c r="G416" s="652"/>
      <c r="H416" s="113"/>
      <c r="I416" s="650">
        <v>87</v>
      </c>
      <c r="J416" s="651">
        <v>18</v>
      </c>
      <c r="K416" s="113"/>
      <c r="L416" s="113"/>
      <c r="M416" s="113"/>
      <c r="N416" s="113"/>
      <c r="O416" s="113"/>
    </row>
    <row r="417" spans="1:15" ht="13.95" customHeight="1">
      <c r="A417" s="113"/>
      <c r="B417" s="113"/>
      <c r="C417" s="113"/>
      <c r="D417" s="113"/>
      <c r="E417" s="113"/>
      <c r="F417" s="650"/>
      <c r="G417" s="652"/>
      <c r="H417" s="113"/>
      <c r="I417" s="650">
        <v>87</v>
      </c>
      <c r="J417" s="651">
        <v>18</v>
      </c>
      <c r="K417" s="113"/>
      <c r="L417" s="113"/>
      <c r="M417" s="113"/>
      <c r="N417" s="113"/>
      <c r="O417" s="113"/>
    </row>
    <row r="418" spans="1:15" ht="13.95" customHeight="1">
      <c r="A418" s="113"/>
      <c r="B418" s="113"/>
      <c r="C418" s="113"/>
      <c r="D418" s="113"/>
      <c r="E418" s="113"/>
      <c r="F418" s="650"/>
      <c r="G418" s="652"/>
      <c r="H418" s="113"/>
      <c r="I418" s="650">
        <v>88</v>
      </c>
      <c r="J418" s="651">
        <v>18</v>
      </c>
      <c r="K418" s="113"/>
      <c r="L418" s="113"/>
      <c r="M418" s="113"/>
      <c r="N418" s="113"/>
      <c r="O418" s="113"/>
    </row>
    <row r="419" spans="1:15" ht="13.95" customHeight="1">
      <c r="A419" s="113"/>
      <c r="B419" s="113"/>
      <c r="C419" s="113"/>
      <c r="D419" s="113"/>
      <c r="E419" s="113"/>
      <c r="F419" s="650"/>
      <c r="G419" s="652"/>
      <c r="H419" s="113"/>
      <c r="I419" s="650">
        <v>88</v>
      </c>
      <c r="J419" s="652">
        <v>18</v>
      </c>
      <c r="K419" s="113"/>
      <c r="L419" s="113"/>
      <c r="M419" s="113"/>
      <c r="N419" s="113"/>
      <c r="O419" s="113"/>
    </row>
    <row r="420" spans="1:15" ht="13.95" customHeight="1">
      <c r="A420" s="113"/>
      <c r="B420" s="113"/>
      <c r="C420" s="113"/>
      <c r="D420" s="113"/>
      <c r="E420" s="113"/>
      <c r="F420" s="650"/>
      <c r="G420" s="652"/>
      <c r="H420" s="113"/>
      <c r="I420" s="650">
        <v>90</v>
      </c>
      <c r="J420" s="651">
        <v>17</v>
      </c>
      <c r="K420" s="113"/>
      <c r="L420" s="113"/>
      <c r="M420" s="113"/>
      <c r="N420" s="113"/>
      <c r="O420" s="113"/>
    </row>
    <row r="421" spans="1:15" ht="13.95" customHeight="1">
      <c r="A421" s="113"/>
      <c r="B421" s="113"/>
      <c r="C421" s="113"/>
      <c r="D421" s="113"/>
      <c r="E421" s="113"/>
      <c r="F421" s="650"/>
      <c r="G421" s="652"/>
      <c r="H421" s="113"/>
      <c r="I421" s="650">
        <v>92</v>
      </c>
      <c r="J421" s="651">
        <v>16</v>
      </c>
      <c r="K421" s="113"/>
      <c r="L421" s="113"/>
      <c r="M421" s="113"/>
      <c r="N421" s="113"/>
      <c r="O421" s="113"/>
    </row>
    <row r="422" spans="1:15" ht="13.95" customHeight="1">
      <c r="A422" s="113"/>
      <c r="B422" s="113"/>
      <c r="C422" s="113"/>
      <c r="D422" s="113"/>
      <c r="E422" s="113"/>
      <c r="F422" s="650"/>
      <c r="G422" s="652"/>
      <c r="H422" s="113"/>
      <c r="I422" s="650">
        <v>92</v>
      </c>
      <c r="J422" s="652">
        <v>16</v>
      </c>
      <c r="K422" s="113"/>
      <c r="L422" s="113"/>
      <c r="M422" s="113"/>
      <c r="N422" s="113"/>
      <c r="O422" s="113"/>
    </row>
    <row r="423" spans="1:15" ht="13.95" customHeight="1">
      <c r="A423" s="113"/>
      <c r="B423" s="113"/>
      <c r="C423" s="113"/>
      <c r="D423" s="113"/>
      <c r="E423" s="113"/>
      <c r="F423" s="650"/>
      <c r="G423" s="652"/>
      <c r="H423" s="113"/>
      <c r="I423" s="650">
        <v>94</v>
      </c>
      <c r="J423" s="651">
        <v>16</v>
      </c>
      <c r="K423" s="113"/>
      <c r="L423" s="113"/>
      <c r="M423" s="113"/>
      <c r="N423" s="113"/>
      <c r="O423" s="113"/>
    </row>
    <row r="424" spans="1:15" ht="13.95" customHeight="1">
      <c r="A424" s="113"/>
      <c r="B424" s="113"/>
      <c r="C424" s="113"/>
      <c r="D424" s="113"/>
      <c r="E424" s="113"/>
      <c r="F424" s="650"/>
      <c r="G424" s="652"/>
      <c r="H424" s="113"/>
      <c r="I424" s="650">
        <v>94</v>
      </c>
      <c r="J424" s="651">
        <v>16</v>
      </c>
      <c r="K424" s="113"/>
      <c r="L424" s="113"/>
      <c r="M424" s="113"/>
      <c r="N424" s="113"/>
      <c r="O424" s="113"/>
    </row>
    <row r="425" spans="1:15" ht="13.95" customHeight="1">
      <c r="A425" s="113"/>
      <c r="B425" s="113"/>
      <c r="C425" s="113"/>
      <c r="D425" s="113"/>
      <c r="E425" s="113"/>
      <c r="F425" s="650"/>
      <c r="G425" s="652"/>
      <c r="H425" s="113"/>
      <c r="I425" s="650">
        <v>95</v>
      </c>
      <c r="J425" s="652">
        <v>15</v>
      </c>
      <c r="K425" s="113"/>
      <c r="L425" s="113"/>
      <c r="M425" s="113"/>
      <c r="N425" s="113"/>
      <c r="O425" s="113"/>
    </row>
    <row r="426" spans="1:15" ht="13.95" customHeight="1">
      <c r="A426" s="113"/>
      <c r="B426" s="113"/>
      <c r="C426" s="113"/>
      <c r="D426" s="113"/>
      <c r="E426" s="113"/>
      <c r="F426" s="650"/>
      <c r="G426" s="652"/>
      <c r="H426" s="113"/>
      <c r="I426" s="650">
        <v>96</v>
      </c>
      <c r="J426" s="651">
        <v>15</v>
      </c>
      <c r="K426" s="113"/>
      <c r="L426" s="113"/>
      <c r="M426" s="113"/>
      <c r="N426" s="113"/>
      <c r="O426" s="113"/>
    </row>
    <row r="427" spans="1:15" ht="13.95" customHeight="1">
      <c r="A427" s="113"/>
      <c r="B427" s="113"/>
      <c r="C427" s="113"/>
      <c r="D427" s="113"/>
      <c r="E427" s="113"/>
      <c r="F427" s="650"/>
      <c r="G427" s="652"/>
      <c r="H427" s="113"/>
      <c r="I427" s="650">
        <v>97</v>
      </c>
      <c r="J427" s="651">
        <v>15</v>
      </c>
      <c r="K427" s="113"/>
      <c r="L427" s="113"/>
      <c r="M427" s="113"/>
      <c r="N427" s="113"/>
      <c r="O427" s="113"/>
    </row>
    <row r="428" spans="1:15" ht="13.95" customHeight="1">
      <c r="A428" s="113"/>
      <c r="B428" s="113"/>
      <c r="C428" s="113"/>
      <c r="D428" s="113"/>
      <c r="E428" s="113"/>
      <c r="F428" s="650"/>
      <c r="G428" s="652"/>
      <c r="H428" s="113"/>
      <c r="I428" s="650">
        <v>97</v>
      </c>
      <c r="J428" s="651">
        <v>15</v>
      </c>
      <c r="K428" s="113"/>
      <c r="L428" s="113"/>
      <c r="M428" s="113"/>
      <c r="N428" s="113"/>
      <c r="O428" s="113"/>
    </row>
    <row r="429" spans="1:15" ht="13.95" customHeight="1">
      <c r="A429" s="113"/>
      <c r="B429" s="113"/>
      <c r="C429" s="113"/>
      <c r="D429" s="113"/>
      <c r="E429" s="113"/>
      <c r="F429" s="650"/>
      <c r="G429" s="652"/>
      <c r="H429" s="113"/>
      <c r="I429" s="650">
        <v>97</v>
      </c>
      <c r="J429" s="652">
        <v>15</v>
      </c>
      <c r="K429" s="113"/>
      <c r="L429" s="113"/>
      <c r="M429" s="113"/>
      <c r="N429" s="113"/>
      <c r="O429" s="113"/>
    </row>
    <row r="430" spans="1:15" ht="13.95" customHeight="1">
      <c r="A430" s="113"/>
      <c r="B430" s="113"/>
      <c r="C430" s="113"/>
      <c r="D430" s="113"/>
      <c r="E430" s="113"/>
      <c r="F430" s="650"/>
      <c r="G430" s="652"/>
      <c r="H430" s="113"/>
      <c r="I430" s="650">
        <v>99</v>
      </c>
      <c r="J430" s="651">
        <v>14</v>
      </c>
      <c r="K430" s="113"/>
      <c r="L430" s="113"/>
      <c r="M430" s="113"/>
      <c r="N430" s="113"/>
      <c r="O430" s="113"/>
    </row>
    <row r="431" spans="1:15" ht="13.95" customHeight="1">
      <c r="A431" s="113"/>
      <c r="B431" s="113"/>
      <c r="C431" s="113"/>
      <c r="D431" s="113"/>
      <c r="E431" s="113"/>
      <c r="F431" s="650"/>
      <c r="G431" s="652"/>
      <c r="H431" s="113"/>
      <c r="I431" s="650">
        <v>99</v>
      </c>
      <c r="J431" s="651">
        <v>14</v>
      </c>
      <c r="K431" s="113"/>
      <c r="L431" s="113"/>
      <c r="M431" s="113"/>
      <c r="N431" s="113"/>
      <c r="O431" s="113"/>
    </row>
    <row r="432" spans="1:15" ht="13.95" customHeight="1">
      <c r="A432" s="113"/>
      <c r="B432" s="113"/>
      <c r="C432" s="113"/>
      <c r="D432" s="113"/>
      <c r="E432" s="113"/>
      <c r="F432" s="650"/>
      <c r="G432" s="652"/>
      <c r="H432" s="113"/>
      <c r="I432" s="650">
        <v>99</v>
      </c>
      <c r="J432" s="651">
        <v>14</v>
      </c>
      <c r="K432" s="113"/>
      <c r="L432" s="113"/>
      <c r="M432" s="113"/>
      <c r="N432" s="113"/>
      <c r="O432" s="113"/>
    </row>
    <row r="433" spans="1:15" ht="13.95" customHeight="1">
      <c r="A433" s="113"/>
      <c r="B433" s="113"/>
      <c r="C433" s="113"/>
      <c r="D433" s="113"/>
      <c r="E433" s="113"/>
      <c r="F433" s="650"/>
      <c r="G433" s="652"/>
      <c r="H433" s="113"/>
      <c r="I433" s="650">
        <v>100</v>
      </c>
      <c r="J433" s="651">
        <v>14</v>
      </c>
      <c r="K433" s="113"/>
      <c r="L433" s="113"/>
      <c r="M433" s="113"/>
      <c r="N433" s="113"/>
      <c r="O433" s="113"/>
    </row>
    <row r="434" spans="1:15" ht="13.95" customHeight="1">
      <c r="A434" s="113"/>
      <c r="B434" s="113"/>
      <c r="C434" s="113"/>
      <c r="D434" s="113"/>
      <c r="E434" s="113"/>
      <c r="F434" s="650"/>
      <c r="G434" s="652"/>
      <c r="H434" s="113"/>
      <c r="I434" s="650">
        <v>100</v>
      </c>
      <c r="J434" s="651">
        <v>14</v>
      </c>
      <c r="K434" s="113"/>
      <c r="L434" s="113"/>
      <c r="M434" s="113"/>
      <c r="N434" s="113"/>
      <c r="O434" s="113"/>
    </row>
    <row r="435" spans="1:15" ht="13.95" customHeight="1">
      <c r="A435" s="113"/>
      <c r="B435" s="113"/>
      <c r="C435" s="113"/>
      <c r="D435" s="113"/>
      <c r="E435" s="113"/>
      <c r="F435" s="650"/>
      <c r="G435" s="652"/>
      <c r="H435" s="113"/>
      <c r="I435" s="650">
        <v>102</v>
      </c>
      <c r="J435" s="651">
        <v>13</v>
      </c>
      <c r="K435" s="113"/>
      <c r="L435" s="113"/>
      <c r="M435" s="113"/>
      <c r="N435" s="113"/>
      <c r="O435" s="113"/>
    </row>
    <row r="436" spans="1:15" ht="13.95" customHeight="1">
      <c r="A436" s="113"/>
      <c r="B436" s="113"/>
      <c r="C436" s="113"/>
      <c r="D436" s="113"/>
      <c r="E436" s="113"/>
      <c r="F436" s="650"/>
      <c r="G436" s="652"/>
      <c r="H436" s="113"/>
      <c r="I436" s="650">
        <v>103</v>
      </c>
      <c r="J436" s="651">
        <v>13</v>
      </c>
      <c r="K436" s="113"/>
      <c r="L436" s="113"/>
      <c r="M436" s="113"/>
      <c r="N436" s="113"/>
      <c r="O436" s="113"/>
    </row>
    <row r="437" spans="1:15" ht="13.95" customHeight="1">
      <c r="A437" s="113"/>
      <c r="B437" s="113"/>
      <c r="C437" s="113"/>
      <c r="D437" s="113"/>
      <c r="E437" s="113"/>
      <c r="F437" s="650"/>
      <c r="G437" s="652"/>
      <c r="H437" s="113"/>
      <c r="I437" s="650">
        <v>104</v>
      </c>
      <c r="J437" s="651">
        <v>13</v>
      </c>
      <c r="K437" s="113"/>
      <c r="L437" s="113"/>
      <c r="M437" s="113"/>
      <c r="N437" s="113"/>
      <c r="O437" s="113"/>
    </row>
    <row r="438" spans="1:15" ht="13.95" customHeight="1">
      <c r="A438" s="113"/>
      <c r="B438" s="113"/>
      <c r="C438" s="113"/>
      <c r="D438" s="113"/>
      <c r="E438" s="113"/>
      <c r="F438" s="650"/>
      <c r="G438" s="652"/>
      <c r="H438" s="113"/>
      <c r="I438" s="650">
        <v>105</v>
      </c>
      <c r="J438" s="651">
        <v>13</v>
      </c>
      <c r="K438" s="113"/>
      <c r="L438" s="113"/>
      <c r="M438" s="113"/>
      <c r="N438" s="113"/>
      <c r="O438" s="113"/>
    </row>
    <row r="439" spans="1:15" ht="13.95" customHeight="1">
      <c r="A439" s="113"/>
      <c r="B439" s="113"/>
      <c r="C439" s="113"/>
      <c r="D439" s="113"/>
      <c r="E439" s="113"/>
      <c r="F439" s="650"/>
      <c r="G439" s="652"/>
      <c r="H439" s="113"/>
      <c r="I439" s="650">
        <v>106</v>
      </c>
      <c r="J439" s="651">
        <v>12</v>
      </c>
      <c r="K439" s="113"/>
      <c r="L439" s="113"/>
      <c r="M439" s="113"/>
      <c r="N439" s="113"/>
      <c r="O439" s="113"/>
    </row>
    <row r="440" spans="1:15" ht="13.95" customHeight="1">
      <c r="A440" s="113"/>
      <c r="B440" s="113"/>
      <c r="C440" s="113"/>
      <c r="D440" s="113"/>
      <c r="E440" s="113"/>
      <c r="F440" s="650"/>
      <c r="G440" s="652"/>
      <c r="H440" s="113"/>
      <c r="I440" s="650">
        <v>106</v>
      </c>
      <c r="J440" s="651">
        <v>12</v>
      </c>
      <c r="K440" s="113"/>
      <c r="L440" s="113"/>
      <c r="M440" s="113"/>
      <c r="N440" s="113"/>
      <c r="O440" s="113"/>
    </row>
    <row r="441" spans="1:15" ht="13.95" customHeight="1">
      <c r="A441" s="113"/>
      <c r="B441" s="113"/>
      <c r="C441" s="113"/>
      <c r="D441" s="113"/>
      <c r="E441" s="113"/>
      <c r="F441" s="650"/>
      <c r="G441" s="652"/>
      <c r="H441" s="113"/>
      <c r="I441" s="650">
        <v>106</v>
      </c>
      <c r="J441" s="651">
        <v>12</v>
      </c>
      <c r="K441" s="113"/>
      <c r="L441" s="113"/>
      <c r="M441" s="113"/>
      <c r="N441" s="113"/>
      <c r="O441" s="113"/>
    </row>
    <row r="442" spans="1:15" ht="13.95" customHeight="1">
      <c r="A442" s="113"/>
      <c r="B442" s="113"/>
      <c r="C442" s="113"/>
      <c r="D442" s="113"/>
      <c r="E442" s="113"/>
      <c r="F442" s="650"/>
      <c r="G442" s="652"/>
      <c r="H442" s="113"/>
      <c r="I442" s="650">
        <v>108</v>
      </c>
      <c r="J442" s="651">
        <v>12</v>
      </c>
      <c r="K442" s="113"/>
      <c r="L442" s="113"/>
      <c r="M442" s="113"/>
      <c r="N442" s="113"/>
      <c r="O442" s="113"/>
    </row>
    <row r="443" spans="1:15" ht="13.95" customHeight="1">
      <c r="A443" s="113"/>
      <c r="B443" s="113"/>
      <c r="C443" s="113"/>
      <c r="D443" s="113"/>
      <c r="E443" s="113"/>
      <c r="F443" s="650"/>
      <c r="G443" s="652"/>
      <c r="H443" s="113"/>
      <c r="I443" s="650">
        <v>109</v>
      </c>
      <c r="J443" s="651">
        <v>12</v>
      </c>
      <c r="K443" s="113"/>
      <c r="L443" s="113"/>
      <c r="M443" s="113"/>
      <c r="N443" s="113"/>
      <c r="O443" s="113"/>
    </row>
    <row r="444" spans="1:15" ht="13.95" customHeight="1">
      <c r="A444" s="113"/>
      <c r="B444" s="113"/>
      <c r="C444" s="113"/>
      <c r="D444" s="113"/>
      <c r="E444" s="113"/>
      <c r="F444" s="650"/>
      <c r="G444" s="652"/>
      <c r="H444" s="113"/>
      <c r="I444" s="650">
        <v>109</v>
      </c>
      <c r="J444" s="651">
        <v>12</v>
      </c>
      <c r="K444" s="113"/>
      <c r="L444" s="113"/>
      <c r="M444" s="113"/>
      <c r="N444" s="113"/>
      <c r="O444" s="113"/>
    </row>
    <row r="445" spans="1:15" ht="13.95" customHeight="1">
      <c r="A445" s="113"/>
      <c r="B445" s="113"/>
      <c r="C445" s="113"/>
      <c r="D445" s="113"/>
      <c r="E445" s="113"/>
      <c r="F445" s="650"/>
      <c r="G445" s="652"/>
      <c r="H445" s="113"/>
      <c r="I445" s="650">
        <v>111</v>
      </c>
      <c r="J445" s="651">
        <v>11</v>
      </c>
      <c r="K445" s="113"/>
      <c r="L445" s="113"/>
      <c r="M445" s="113"/>
      <c r="N445" s="113"/>
      <c r="O445" s="113"/>
    </row>
    <row r="446" spans="1:15" ht="13.95" customHeight="1">
      <c r="A446" s="113"/>
      <c r="B446" s="113"/>
      <c r="C446" s="113"/>
      <c r="D446" s="113"/>
      <c r="E446" s="113"/>
      <c r="F446" s="650"/>
      <c r="G446" s="652"/>
      <c r="H446" s="113"/>
      <c r="I446" s="650">
        <v>111</v>
      </c>
      <c r="J446" s="651">
        <v>11</v>
      </c>
      <c r="K446" s="113"/>
      <c r="L446" s="113"/>
      <c r="M446" s="113"/>
      <c r="N446" s="113"/>
      <c r="O446" s="113"/>
    </row>
    <row r="447" spans="1:15" ht="13.95" customHeight="1">
      <c r="A447" s="113"/>
      <c r="B447" s="113"/>
      <c r="C447" s="113"/>
      <c r="D447" s="113"/>
      <c r="E447" s="113"/>
      <c r="F447" s="650"/>
      <c r="G447" s="652"/>
      <c r="H447" s="113"/>
      <c r="I447" s="650">
        <v>119</v>
      </c>
      <c r="J447" s="651">
        <v>9</v>
      </c>
      <c r="K447" s="113"/>
      <c r="L447" s="113"/>
      <c r="M447" s="113"/>
      <c r="N447" s="113"/>
      <c r="O447" s="113"/>
    </row>
    <row r="448" spans="1:15" ht="13.95" customHeight="1">
      <c r="A448" s="113"/>
      <c r="B448" s="113"/>
      <c r="C448" s="113"/>
      <c r="D448" s="113"/>
      <c r="E448" s="113"/>
      <c r="F448" s="650"/>
      <c r="G448" s="652"/>
      <c r="H448" s="113"/>
      <c r="I448" s="650">
        <v>123</v>
      </c>
      <c r="J448" s="651">
        <v>9</v>
      </c>
      <c r="K448" s="113"/>
      <c r="L448" s="113"/>
      <c r="M448" s="113"/>
      <c r="N448" s="113"/>
      <c r="O448" s="113"/>
    </row>
    <row r="449" spans="1:15" ht="13.95" customHeight="1">
      <c r="A449" s="113"/>
      <c r="B449" s="113"/>
      <c r="C449" s="113"/>
      <c r="D449" s="113"/>
      <c r="E449" s="113"/>
      <c r="F449" s="650"/>
      <c r="G449" s="652"/>
      <c r="H449" s="113"/>
      <c r="I449" s="650">
        <v>125</v>
      </c>
      <c r="J449" s="651">
        <v>8</v>
      </c>
      <c r="K449" s="113"/>
      <c r="L449" s="113"/>
      <c r="M449" s="113"/>
      <c r="N449" s="113"/>
      <c r="O449" s="113"/>
    </row>
    <row r="450" spans="1:15" ht="13.95" customHeight="1">
      <c r="A450" s="113"/>
      <c r="B450" s="113"/>
      <c r="C450" s="113"/>
      <c r="D450" s="113"/>
      <c r="E450" s="113"/>
      <c r="F450" s="650"/>
      <c r="G450" s="652"/>
      <c r="H450" s="113"/>
      <c r="I450" s="650">
        <v>145</v>
      </c>
      <c r="J450" s="651">
        <v>6</v>
      </c>
      <c r="K450" s="113"/>
      <c r="L450" s="113"/>
      <c r="M450" s="113"/>
      <c r="N450" s="113"/>
      <c r="O450" s="113"/>
    </row>
    <row r="451" spans="1:15" ht="13.95" customHeight="1">
      <c r="A451" s="113"/>
      <c r="B451" s="113"/>
      <c r="C451" s="113"/>
      <c r="D451" s="113"/>
      <c r="E451" s="113"/>
      <c r="F451" s="650"/>
      <c r="G451" s="652"/>
      <c r="H451" s="113"/>
      <c r="I451" s="650"/>
      <c r="J451" s="652" t="s">
        <v>2595</v>
      </c>
      <c r="K451" s="113"/>
      <c r="L451" s="113"/>
      <c r="M451" s="113"/>
      <c r="N451" s="113"/>
      <c r="O451" s="113"/>
    </row>
    <row r="452" spans="1:15" ht="13.95" customHeight="1">
      <c r="A452" s="113"/>
      <c r="B452" s="113"/>
      <c r="C452" s="113"/>
      <c r="D452" s="113"/>
      <c r="E452" s="113"/>
      <c r="F452" s="650"/>
      <c r="G452" s="652"/>
      <c r="H452" s="113"/>
      <c r="I452" s="650"/>
      <c r="J452" s="652" t="s">
        <v>2595</v>
      </c>
      <c r="K452" s="113"/>
      <c r="L452" s="113"/>
      <c r="M452" s="113"/>
      <c r="N452" s="113"/>
      <c r="O452" s="113"/>
    </row>
    <row r="453" spans="1:15" ht="13.95" customHeight="1">
      <c r="A453" s="113"/>
      <c r="B453" s="113"/>
      <c r="C453" s="113"/>
      <c r="D453" s="113"/>
      <c r="E453" s="113"/>
      <c r="F453" s="650"/>
      <c r="G453" s="652"/>
      <c r="H453" s="113"/>
      <c r="I453" s="650"/>
      <c r="J453" s="652" t="s">
        <v>2595</v>
      </c>
      <c r="K453" s="113"/>
      <c r="L453" s="113"/>
      <c r="M453" s="113"/>
      <c r="N453" s="113"/>
      <c r="O453" s="113"/>
    </row>
    <row r="454" spans="1:15" ht="13.95" customHeight="1">
      <c r="A454" s="113"/>
      <c r="B454" s="113"/>
      <c r="C454" s="113"/>
      <c r="D454" s="113"/>
      <c r="E454" s="113"/>
      <c r="F454" s="650"/>
      <c r="G454" s="652"/>
      <c r="H454" s="113"/>
      <c r="I454" s="650"/>
      <c r="J454" s="652" t="s">
        <v>2595</v>
      </c>
      <c r="K454" s="113"/>
      <c r="L454" s="113"/>
      <c r="M454" s="113"/>
      <c r="N454" s="113"/>
      <c r="O454" s="113"/>
    </row>
    <row r="455" spans="1:15" ht="13.95" customHeight="1">
      <c r="A455" s="113"/>
      <c r="B455" s="113"/>
      <c r="C455" s="113"/>
      <c r="D455" s="113"/>
      <c r="E455" s="113"/>
      <c r="F455" s="650"/>
      <c r="G455" s="652"/>
      <c r="H455" s="113"/>
      <c r="I455" s="650"/>
      <c r="J455" s="652" t="s">
        <v>2595</v>
      </c>
      <c r="K455" s="113"/>
      <c r="L455" s="113"/>
      <c r="M455" s="113"/>
      <c r="N455" s="113"/>
      <c r="O455" s="113"/>
    </row>
    <row r="456" spans="1:15" ht="13.95" customHeight="1">
      <c r="A456" s="113"/>
      <c r="B456" s="113"/>
      <c r="C456" s="113"/>
      <c r="D456" s="113"/>
      <c r="E456" s="113"/>
      <c r="F456" s="650"/>
      <c r="G456" s="652"/>
      <c r="H456" s="113"/>
      <c r="I456" s="650"/>
      <c r="J456" s="652" t="s">
        <v>2595</v>
      </c>
      <c r="K456" s="113"/>
      <c r="L456" s="113"/>
      <c r="M456" s="113"/>
      <c r="N456" s="113"/>
      <c r="O456" s="113"/>
    </row>
    <row r="457" spans="1:15" ht="13.95" customHeight="1">
      <c r="A457" s="113"/>
      <c r="B457" s="113"/>
      <c r="C457" s="113"/>
      <c r="D457" s="113"/>
      <c r="E457" s="113"/>
      <c r="F457" s="650"/>
      <c r="G457" s="652"/>
      <c r="H457" s="113"/>
      <c r="I457" s="650"/>
      <c r="J457" s="652" t="s">
        <v>2595</v>
      </c>
      <c r="K457" s="113"/>
      <c r="L457" s="113"/>
      <c r="M457" s="113"/>
      <c r="N457" s="113"/>
      <c r="O457" s="113"/>
    </row>
    <row r="458" spans="1:15" ht="13.95" customHeight="1">
      <c r="A458" s="113"/>
      <c r="B458" s="113"/>
      <c r="C458" s="113"/>
      <c r="D458" s="113"/>
      <c r="E458" s="113"/>
      <c r="F458" s="650"/>
      <c r="G458" s="652"/>
      <c r="H458" s="113"/>
      <c r="I458" s="650"/>
      <c r="J458" s="652" t="s">
        <v>2595</v>
      </c>
      <c r="K458" s="113"/>
      <c r="L458" s="113"/>
      <c r="M458" s="113"/>
      <c r="N458" s="113"/>
      <c r="O458" s="113"/>
    </row>
    <row r="459" spans="1:15" ht="13.95" customHeight="1">
      <c r="A459" s="113"/>
      <c r="B459" s="113"/>
      <c r="C459" s="113"/>
      <c r="D459" s="113"/>
      <c r="E459" s="113"/>
      <c r="F459" s="650"/>
      <c r="G459" s="652"/>
      <c r="H459" s="113"/>
      <c r="I459" s="650"/>
      <c r="J459" s="652" t="s">
        <v>2595</v>
      </c>
      <c r="K459" s="113"/>
      <c r="L459" s="113"/>
      <c r="M459" s="113"/>
      <c r="N459" s="113"/>
      <c r="O459" s="113"/>
    </row>
    <row r="460" spans="1:15" ht="13.95" customHeight="1">
      <c r="A460" s="113"/>
      <c r="B460" s="113"/>
      <c r="C460" s="113"/>
      <c r="D460" s="113"/>
      <c r="E460" s="113"/>
      <c r="F460" s="650"/>
      <c r="G460" s="652"/>
      <c r="H460" s="113"/>
      <c r="I460" s="650"/>
      <c r="J460" s="652" t="s">
        <v>2595</v>
      </c>
      <c r="K460" s="113"/>
      <c r="L460" s="113"/>
      <c r="M460" s="113"/>
      <c r="N460" s="113"/>
      <c r="O460" s="113"/>
    </row>
    <row r="461" spans="1:15" ht="13.95" customHeight="1">
      <c r="A461" s="113"/>
      <c r="B461" s="113"/>
      <c r="C461" s="113"/>
      <c r="D461" s="113"/>
      <c r="E461" s="113"/>
      <c r="F461" s="650"/>
      <c r="G461" s="652"/>
      <c r="H461" s="113"/>
      <c r="I461" s="650"/>
      <c r="J461" s="652" t="s">
        <v>2595</v>
      </c>
      <c r="K461" s="113"/>
      <c r="L461" s="113"/>
      <c r="M461" s="113"/>
      <c r="N461" s="113"/>
      <c r="O461" s="113"/>
    </row>
    <row r="462" spans="1:15" ht="13.95" customHeight="1">
      <c r="A462" s="113"/>
      <c r="B462" s="113"/>
      <c r="C462" s="113"/>
      <c r="D462" s="113"/>
      <c r="E462" s="113"/>
      <c r="F462" s="650"/>
      <c r="G462" s="652"/>
      <c r="H462" s="113"/>
      <c r="I462" s="650"/>
      <c r="J462" s="652" t="s">
        <v>2595</v>
      </c>
      <c r="K462" s="113"/>
      <c r="L462" s="113"/>
      <c r="M462" s="113"/>
      <c r="N462" s="113"/>
      <c r="O462" s="113"/>
    </row>
    <row r="463" spans="1:15" ht="13.95" customHeight="1">
      <c r="A463" s="113"/>
      <c r="B463" s="113"/>
      <c r="C463" s="113"/>
      <c r="D463" s="113"/>
      <c r="E463" s="113"/>
      <c r="F463" s="650"/>
      <c r="G463" s="652"/>
      <c r="H463" s="113"/>
      <c r="I463" s="650"/>
      <c r="J463" s="652" t="s">
        <v>2595</v>
      </c>
      <c r="K463" s="113"/>
      <c r="L463" s="113"/>
      <c r="M463" s="113"/>
      <c r="N463" s="113"/>
      <c r="O463" s="113"/>
    </row>
    <row r="464" spans="1:15" ht="13.95" customHeight="1">
      <c r="A464" s="113"/>
      <c r="B464" s="113"/>
      <c r="C464" s="113"/>
      <c r="D464" s="113"/>
      <c r="E464" s="113"/>
      <c r="F464" s="650"/>
      <c r="G464" s="652"/>
      <c r="H464" s="113"/>
      <c r="I464" s="650"/>
      <c r="J464" s="652" t="s">
        <v>2595</v>
      </c>
      <c r="K464" s="113"/>
      <c r="L464" s="113"/>
      <c r="M464" s="113"/>
      <c r="N464" s="113"/>
      <c r="O464" s="113"/>
    </row>
    <row r="465" spans="1:15" ht="13.95" customHeight="1">
      <c r="A465" s="113"/>
      <c r="B465" s="113"/>
      <c r="C465" s="113"/>
      <c r="D465" s="113"/>
      <c r="E465" s="113"/>
      <c r="F465" s="650"/>
      <c r="G465" s="652"/>
      <c r="H465" s="113"/>
      <c r="I465" s="650"/>
      <c r="J465" s="652" t="s">
        <v>2595</v>
      </c>
      <c r="K465" s="113"/>
      <c r="L465" s="113"/>
      <c r="M465" s="113"/>
      <c r="N465" s="113"/>
      <c r="O465" s="113"/>
    </row>
    <row r="466" spans="1:15" ht="13.95" customHeight="1">
      <c r="A466" s="113"/>
      <c r="B466" s="113"/>
      <c r="C466" s="113"/>
      <c r="D466" s="113"/>
      <c r="E466" s="113"/>
      <c r="F466" s="650"/>
      <c r="G466" s="652"/>
      <c r="H466" s="113"/>
      <c r="I466" s="650"/>
      <c r="J466" s="652" t="s">
        <v>2595</v>
      </c>
      <c r="K466" s="113"/>
      <c r="L466" s="113"/>
      <c r="M466" s="113"/>
      <c r="N466" s="113"/>
      <c r="O466" s="113"/>
    </row>
    <row r="467" spans="1:15" ht="13.95" customHeight="1">
      <c r="A467" s="113"/>
      <c r="B467" s="113"/>
      <c r="C467" s="113"/>
      <c r="D467" s="113"/>
      <c r="E467" s="113"/>
      <c r="F467" s="650"/>
      <c r="G467" s="652"/>
      <c r="H467" s="113"/>
      <c r="I467" s="650"/>
      <c r="J467" s="652" t="s">
        <v>2595</v>
      </c>
      <c r="K467" s="113"/>
      <c r="L467" s="113"/>
      <c r="M467" s="113"/>
      <c r="N467" s="113"/>
      <c r="O467" s="113"/>
    </row>
    <row r="468" spans="1:15" ht="13.95" customHeight="1">
      <c r="A468" s="113"/>
      <c r="B468" s="113"/>
      <c r="C468" s="113"/>
      <c r="D468" s="113"/>
      <c r="E468" s="113"/>
      <c r="F468" s="650"/>
      <c r="G468" s="652"/>
      <c r="H468" s="113"/>
      <c r="I468" s="650"/>
      <c r="J468" s="652" t="s">
        <v>2595</v>
      </c>
      <c r="K468" s="113"/>
      <c r="L468" s="113"/>
      <c r="M468" s="113"/>
      <c r="N468" s="113"/>
      <c r="O468" s="113"/>
    </row>
    <row r="469" spans="1:15" ht="13.95" customHeight="1">
      <c r="A469" s="113"/>
      <c r="B469" s="113"/>
      <c r="C469" s="113"/>
      <c r="D469" s="113"/>
      <c r="E469" s="113"/>
      <c r="F469" s="650"/>
      <c r="G469" s="652"/>
      <c r="H469" s="113"/>
      <c r="I469" s="650"/>
      <c r="J469" s="652" t="s">
        <v>2595</v>
      </c>
      <c r="K469" s="113"/>
      <c r="L469" s="113"/>
      <c r="M469" s="113"/>
      <c r="N469" s="113"/>
      <c r="O469" s="113"/>
    </row>
    <row r="470" spans="1:15" ht="13.95" customHeight="1">
      <c r="A470" s="113"/>
      <c r="B470" s="113"/>
      <c r="C470" s="113"/>
      <c r="D470" s="113"/>
      <c r="E470" s="113"/>
      <c r="F470" s="650"/>
      <c r="G470" s="652"/>
      <c r="H470" s="113"/>
      <c r="I470" s="650"/>
      <c r="J470" s="652" t="s">
        <v>2595</v>
      </c>
      <c r="K470" s="113"/>
      <c r="L470" s="113"/>
      <c r="M470" s="113"/>
      <c r="N470" s="113"/>
      <c r="O470" s="113"/>
    </row>
    <row r="471" spans="1:15" ht="13.95" customHeight="1">
      <c r="A471" s="113"/>
      <c r="B471" s="113"/>
      <c r="C471" s="113"/>
      <c r="D471" s="113"/>
      <c r="E471" s="113"/>
      <c r="F471" s="650"/>
      <c r="G471" s="652"/>
      <c r="H471" s="113"/>
      <c r="I471" s="650"/>
      <c r="J471" s="652" t="s">
        <v>2595</v>
      </c>
      <c r="K471" s="113"/>
      <c r="L471" s="113"/>
      <c r="M471" s="113"/>
      <c r="N471" s="113"/>
      <c r="O471" s="113"/>
    </row>
    <row r="472" spans="1:15" ht="13.95" customHeight="1">
      <c r="A472" s="113"/>
      <c r="B472" s="113"/>
      <c r="C472" s="113"/>
      <c r="D472" s="113"/>
      <c r="E472" s="113"/>
      <c r="F472" s="650"/>
      <c r="G472" s="652"/>
      <c r="H472" s="113"/>
      <c r="I472" s="650"/>
      <c r="J472" s="652" t="s">
        <v>2595</v>
      </c>
      <c r="K472" s="113"/>
      <c r="L472" s="113"/>
      <c r="M472" s="113"/>
      <c r="N472" s="113"/>
      <c r="O472" s="113"/>
    </row>
    <row r="473" spans="1:15" ht="13.95" customHeight="1">
      <c r="A473" s="113"/>
      <c r="B473" s="113"/>
      <c r="C473" s="113"/>
      <c r="D473" s="113"/>
      <c r="E473" s="113"/>
      <c r="F473" s="650"/>
      <c r="G473" s="652"/>
      <c r="H473" s="113"/>
      <c r="I473" s="650"/>
      <c r="J473" s="652" t="s">
        <v>2595</v>
      </c>
      <c r="K473" s="113"/>
      <c r="L473" s="113"/>
      <c r="M473" s="113"/>
      <c r="N473" s="113"/>
      <c r="O473" s="113"/>
    </row>
    <row r="474" spans="1:15" ht="13.95" customHeight="1">
      <c r="A474" s="113"/>
      <c r="B474" s="113"/>
      <c r="C474" s="113"/>
      <c r="D474" s="113"/>
      <c r="E474" s="113"/>
      <c r="F474" s="650"/>
      <c r="G474" s="652"/>
      <c r="H474" s="113"/>
      <c r="I474" s="650"/>
      <c r="J474" s="652" t="s">
        <v>2595</v>
      </c>
      <c r="K474" s="113"/>
      <c r="L474" s="113"/>
      <c r="M474" s="113"/>
      <c r="N474" s="113"/>
      <c r="O474" s="113"/>
    </row>
    <row r="475" spans="1:15" ht="13.95" customHeight="1">
      <c r="A475" s="113"/>
      <c r="B475" s="113"/>
      <c r="C475" s="113"/>
      <c r="D475" s="113"/>
      <c r="E475" s="113"/>
      <c r="F475" s="650"/>
      <c r="G475" s="652"/>
      <c r="H475" s="113"/>
      <c r="I475" s="650"/>
      <c r="J475" s="652" t="s">
        <v>2595</v>
      </c>
      <c r="K475" s="113"/>
      <c r="L475" s="113"/>
      <c r="M475" s="113"/>
      <c r="N475" s="113"/>
      <c r="O475" s="113"/>
    </row>
    <row r="476" spans="1:15" ht="13.95" customHeight="1">
      <c r="A476" s="113"/>
      <c r="B476" s="113"/>
      <c r="C476" s="113"/>
      <c r="D476" s="113"/>
      <c r="E476" s="113"/>
      <c r="F476" s="650"/>
      <c r="G476" s="652"/>
      <c r="H476" s="113"/>
      <c r="I476" s="650"/>
      <c r="J476" s="652" t="s">
        <v>2595</v>
      </c>
      <c r="K476" s="113"/>
      <c r="L476" s="113"/>
      <c r="M476" s="113"/>
      <c r="N476" s="113"/>
      <c r="O476" s="113"/>
    </row>
    <row r="477" spans="1:15" ht="13.95" customHeight="1">
      <c r="A477" s="113"/>
      <c r="B477" s="113"/>
      <c r="C477" s="113"/>
      <c r="D477" s="113"/>
      <c r="E477" s="113"/>
      <c r="F477" s="650"/>
      <c r="G477" s="652"/>
      <c r="H477" s="113"/>
      <c r="I477" s="650"/>
      <c r="J477" s="652" t="s">
        <v>2595</v>
      </c>
      <c r="K477" s="113"/>
      <c r="L477" s="113"/>
      <c r="M477" s="113"/>
      <c r="N477" s="113"/>
      <c r="O477" s="113"/>
    </row>
    <row r="478" spans="1:15" ht="13.95" customHeight="1">
      <c r="A478" s="113"/>
      <c r="B478" s="113"/>
      <c r="C478" s="113"/>
      <c r="D478" s="113"/>
      <c r="E478" s="113"/>
      <c r="F478" s="650"/>
      <c r="G478" s="652"/>
      <c r="H478" s="113"/>
      <c r="I478" s="650"/>
      <c r="J478" s="652" t="s">
        <v>2595</v>
      </c>
      <c r="K478" s="113"/>
      <c r="L478" s="113"/>
      <c r="M478" s="113"/>
      <c r="N478" s="113"/>
      <c r="O478" s="113"/>
    </row>
    <row r="479" spans="1:15" ht="13.95" customHeight="1">
      <c r="A479" s="113"/>
      <c r="B479" s="113"/>
      <c r="C479" s="113"/>
      <c r="D479" s="113"/>
      <c r="E479" s="113"/>
      <c r="F479" s="650"/>
      <c r="G479" s="652"/>
      <c r="H479" s="113"/>
      <c r="I479" s="650"/>
      <c r="J479" s="652" t="s">
        <v>2595</v>
      </c>
      <c r="K479" s="113"/>
      <c r="L479" s="113"/>
      <c r="M479" s="113"/>
      <c r="N479" s="113"/>
      <c r="O479" s="113"/>
    </row>
    <row r="480" spans="1:15" ht="13.95" customHeight="1">
      <c r="A480" s="113"/>
      <c r="B480" s="113"/>
      <c r="C480" s="113"/>
      <c r="D480" s="113"/>
      <c r="E480" s="113"/>
      <c r="F480" s="650"/>
      <c r="G480" s="652"/>
      <c r="H480" s="113"/>
      <c r="I480" s="650"/>
      <c r="J480" s="652" t="s">
        <v>2595</v>
      </c>
      <c r="K480" s="113"/>
      <c r="L480" s="113"/>
      <c r="M480" s="113"/>
      <c r="N480" s="113"/>
      <c r="O480" s="113"/>
    </row>
    <row r="481" spans="1:15" ht="13.95" customHeight="1">
      <c r="A481" s="113"/>
      <c r="B481" s="113"/>
      <c r="C481" s="113"/>
      <c r="D481" s="113"/>
      <c r="E481" s="113"/>
      <c r="F481" s="650"/>
      <c r="G481" s="652"/>
      <c r="H481" s="113"/>
      <c r="I481" s="650"/>
      <c r="J481" s="652" t="s">
        <v>2595</v>
      </c>
      <c r="K481" s="113"/>
      <c r="L481" s="113"/>
      <c r="M481" s="113"/>
      <c r="N481" s="113"/>
      <c r="O481" s="113"/>
    </row>
    <row r="482" spans="1:15" ht="13.95" customHeight="1">
      <c r="A482" s="113"/>
      <c r="B482" s="113"/>
      <c r="C482" s="113"/>
      <c r="D482" s="113"/>
      <c r="E482" s="113"/>
      <c r="F482" s="650"/>
      <c r="G482" s="652"/>
      <c r="H482" s="113"/>
      <c r="I482" s="650"/>
      <c r="J482" s="652" t="s">
        <v>2595</v>
      </c>
      <c r="K482" s="113"/>
      <c r="L482" s="113"/>
      <c r="M482" s="113"/>
      <c r="N482" s="113"/>
      <c r="O482" s="113"/>
    </row>
    <row r="483" spans="1:15" ht="13.95" customHeight="1">
      <c r="A483" s="113"/>
      <c r="B483" s="113"/>
      <c r="C483" s="113"/>
      <c r="D483" s="113"/>
      <c r="E483" s="113"/>
      <c r="F483" s="650"/>
      <c r="G483" s="652"/>
      <c r="H483" s="113"/>
      <c r="I483" s="650"/>
      <c r="J483" s="652" t="s">
        <v>2595</v>
      </c>
      <c r="K483" s="113"/>
      <c r="L483" s="113"/>
      <c r="M483" s="113"/>
      <c r="N483" s="113"/>
      <c r="O483" s="113"/>
    </row>
    <row r="484" spans="1:15" ht="13.95" customHeight="1">
      <c r="A484" s="113"/>
      <c r="B484" s="113"/>
      <c r="C484" s="113"/>
      <c r="D484" s="113"/>
      <c r="E484" s="113"/>
      <c r="F484" s="650"/>
      <c r="G484" s="652"/>
      <c r="H484" s="113"/>
      <c r="I484" s="650"/>
      <c r="J484" s="652" t="s">
        <v>2595</v>
      </c>
      <c r="K484" s="113"/>
      <c r="L484" s="113"/>
      <c r="M484" s="113"/>
      <c r="N484" s="113"/>
      <c r="O484" s="113"/>
    </row>
    <row r="485" spans="1:15" ht="13.95" customHeight="1">
      <c r="A485" s="113"/>
      <c r="B485" s="113"/>
      <c r="C485" s="113"/>
      <c r="D485" s="113"/>
      <c r="E485" s="113"/>
      <c r="F485" s="650"/>
      <c r="G485" s="652"/>
      <c r="H485" s="113"/>
      <c r="I485" s="650"/>
      <c r="J485" s="652" t="s">
        <v>2595</v>
      </c>
      <c r="K485" s="113"/>
      <c r="L485" s="113"/>
      <c r="M485" s="113"/>
      <c r="N485" s="113"/>
      <c r="O485" s="113"/>
    </row>
    <row r="486" spans="1:15" ht="13.95" customHeight="1">
      <c r="A486" s="113"/>
      <c r="B486" s="113"/>
      <c r="C486" s="113"/>
      <c r="D486" s="113"/>
      <c r="E486" s="113"/>
      <c r="F486" s="650"/>
      <c r="G486" s="652"/>
      <c r="H486" s="113"/>
      <c r="I486" s="650"/>
      <c r="J486" s="652" t="s">
        <v>2595</v>
      </c>
      <c r="K486" s="113"/>
      <c r="L486" s="113"/>
      <c r="M486" s="113"/>
      <c r="N486" s="113"/>
      <c r="O486" s="113"/>
    </row>
    <row r="487" spans="1:15" ht="13.95" customHeight="1">
      <c r="A487" s="113"/>
      <c r="B487" s="113"/>
      <c r="C487" s="113"/>
      <c r="D487" s="113"/>
      <c r="E487" s="113"/>
      <c r="F487" s="650"/>
      <c r="G487" s="652"/>
      <c r="H487" s="113"/>
      <c r="I487" s="650"/>
      <c r="J487" s="652" t="s">
        <v>2595</v>
      </c>
      <c r="K487" s="113"/>
      <c r="L487" s="113"/>
      <c r="M487" s="113"/>
      <c r="N487" s="113"/>
      <c r="O487" s="113"/>
    </row>
    <row r="488" spans="1:15" ht="13.95" customHeight="1">
      <c r="A488" s="113"/>
      <c r="B488" s="113"/>
      <c r="C488" s="113"/>
      <c r="D488" s="113"/>
      <c r="E488" s="113"/>
      <c r="F488" s="650"/>
      <c r="G488" s="652"/>
      <c r="H488" s="113"/>
      <c r="I488" s="650"/>
      <c r="J488" s="652" t="s">
        <v>2595</v>
      </c>
      <c r="K488" s="113"/>
      <c r="L488" s="113"/>
      <c r="M488" s="113"/>
      <c r="N488" s="113"/>
      <c r="O488" s="113"/>
    </row>
    <row r="489" spans="1:15" ht="13.95" customHeight="1">
      <c r="A489" s="113"/>
      <c r="B489" s="113"/>
      <c r="C489" s="113"/>
      <c r="D489" s="113"/>
      <c r="E489" s="113"/>
      <c r="F489" s="650"/>
      <c r="G489" s="652"/>
      <c r="H489" s="113"/>
      <c r="I489" s="650"/>
      <c r="J489" s="652" t="s">
        <v>2595</v>
      </c>
      <c r="K489" s="113"/>
      <c r="L489" s="113"/>
      <c r="M489" s="113"/>
      <c r="N489" s="113"/>
      <c r="O489" s="113"/>
    </row>
    <row r="490" spans="1:15" ht="13.95" customHeight="1">
      <c r="A490" s="113"/>
      <c r="B490" s="113"/>
      <c r="C490" s="113"/>
      <c r="D490" s="113"/>
      <c r="E490" s="113"/>
      <c r="F490" s="650"/>
      <c r="G490" s="652"/>
      <c r="H490" s="113"/>
      <c r="I490" s="650"/>
      <c r="J490" s="652" t="s">
        <v>2595</v>
      </c>
      <c r="K490" s="113"/>
      <c r="L490" s="113"/>
      <c r="M490" s="113"/>
      <c r="N490" s="113"/>
      <c r="O490" s="113"/>
    </row>
  </sheetData>
  <customSheetViews>
    <customSheetView guid="{BD5E6263-A0AD-4076-921A-D4EBD62848EF}" showRuler="0" topLeftCell="A56">
      <selection activeCell="A58" sqref="A58"/>
      <pageMargins left="0.75" right="0.75" top="1" bottom="1" header="0.5" footer="0.5"/>
      <pageSetup orientation="portrait" r:id="rId1"/>
      <headerFooter alignWithMargins="0"/>
    </customSheetView>
    <customSheetView guid="{1D5AE30A-CA7C-4B32-AEA4-9F37A560AAA8}" showRuler="0" topLeftCell="A56">
      <selection activeCell="A58" sqref="A58"/>
      <pageMargins left="0.75" right="0.75" top="1" bottom="1" header="0.5" footer="0.5"/>
      <pageSetup orientation="portrait" r:id="rId2"/>
      <headerFooter alignWithMargins="0"/>
    </customSheetView>
  </customSheetViews>
  <mergeCells count="15">
    <mergeCell ref="A3:M6"/>
    <mergeCell ref="A8:M14"/>
    <mergeCell ref="A16:M19"/>
    <mergeCell ref="N25:O25"/>
    <mergeCell ref="N21:N22"/>
    <mergeCell ref="O21:O22"/>
    <mergeCell ref="L21:M22"/>
    <mergeCell ref="T102:AA103"/>
    <mergeCell ref="A23:B23"/>
    <mergeCell ref="C23:D23"/>
    <mergeCell ref="F21:G22"/>
    <mergeCell ref="I21:J22"/>
    <mergeCell ref="N72:O72"/>
    <mergeCell ref="Q88:X88"/>
    <mergeCell ref="N49:O49"/>
  </mergeCells>
  <phoneticPr fontId="6" type="noConversion"/>
  <pageMargins left="0.75" right="0.75" top="1" bottom="1" header="0.5" footer="0.5"/>
  <pageSetup orientation="portrait" r:id="rId3"/>
  <headerFooter alignWithMargins="0"/>
  <drawing r:id="rId4"/>
</worksheet>
</file>

<file path=xl/worksheets/sheet36.xml><?xml version="1.0" encoding="utf-8"?>
<worksheet xmlns="http://schemas.openxmlformats.org/spreadsheetml/2006/main" xmlns:r="http://schemas.openxmlformats.org/officeDocument/2006/relationships">
  <sheetPr codeName="Sheet27"/>
  <dimension ref="B1:O271"/>
  <sheetViews>
    <sheetView showGridLines="0" showRuler="0" workbookViewId="0"/>
  </sheetViews>
  <sheetFormatPr defaultRowHeight="15" customHeight="1"/>
  <cols>
    <col min="1" max="1" width="2.75" customWidth="1"/>
    <col min="2" max="3" width="12.75" customWidth="1"/>
    <col min="4" max="14" width="11.75" customWidth="1"/>
    <col min="15" max="15" width="2.125" customWidth="1"/>
    <col min="16" max="16" width="10.375" bestFit="1" customWidth="1"/>
    <col min="17" max="17" width="9.625" bestFit="1" customWidth="1"/>
    <col min="19" max="19" width="10.375" bestFit="1" customWidth="1"/>
  </cols>
  <sheetData>
    <row r="1" spans="2:15" ht="15" customHeight="1">
      <c r="O1" s="117">
        <f>ROW()</f>
        <v>1</v>
      </c>
    </row>
    <row r="2" spans="2:15" ht="15" customHeight="1">
      <c r="B2" s="115" t="s">
        <v>119</v>
      </c>
      <c r="K2" s="181">
        <f>'Title Page'!K1</f>
        <v>40914</v>
      </c>
      <c r="O2" s="117">
        <f>ROW()</f>
        <v>2</v>
      </c>
    </row>
    <row r="3" spans="2:15" ht="15" customHeight="1">
      <c r="B3" s="115"/>
      <c r="H3" s="181"/>
      <c r="O3" s="117">
        <f>ROW()</f>
        <v>3</v>
      </c>
    </row>
    <row r="4" spans="2:15" ht="15" customHeight="1">
      <c r="B4" s="115"/>
      <c r="H4" s="181"/>
      <c r="O4" s="117">
        <f>ROW()</f>
        <v>4</v>
      </c>
    </row>
    <row r="5" spans="2:15" ht="15" customHeight="1">
      <c r="O5" s="117">
        <f>ROW()</f>
        <v>5</v>
      </c>
    </row>
    <row r="6" spans="2:15" ht="15" customHeight="1">
      <c r="B6" s="5063" t="s">
        <v>5530</v>
      </c>
      <c r="C6" s="3659"/>
      <c r="D6" s="3659"/>
      <c r="E6" s="3659"/>
      <c r="F6" s="3659"/>
      <c r="G6" s="3659"/>
      <c r="H6" s="3659"/>
      <c r="I6" s="3659"/>
      <c r="J6" s="3659"/>
      <c r="K6" s="3659"/>
      <c r="O6" s="117">
        <f>ROW()</f>
        <v>6</v>
      </c>
    </row>
    <row r="7" spans="2:15" ht="15" customHeight="1">
      <c r="B7" s="3659"/>
      <c r="C7" s="3659"/>
      <c r="D7" s="3659"/>
      <c r="E7" s="3659"/>
      <c r="F7" s="3659"/>
      <c r="G7" s="3659"/>
      <c r="H7" s="3659"/>
      <c r="I7" s="3659"/>
      <c r="J7" s="3659"/>
      <c r="K7" s="3659"/>
      <c r="O7" s="117">
        <f>ROW()</f>
        <v>7</v>
      </c>
    </row>
    <row r="8" spans="2:15" ht="15" customHeight="1">
      <c r="B8" s="2141"/>
      <c r="C8" s="280"/>
      <c r="D8" s="280"/>
      <c r="E8" s="280"/>
      <c r="F8" s="280"/>
      <c r="G8" s="280"/>
      <c r="H8" s="280"/>
      <c r="O8" s="117">
        <f>ROW()</f>
        <v>8</v>
      </c>
    </row>
    <row r="9" spans="2:15" ht="15" customHeight="1">
      <c r="O9" s="117">
        <f>ROW()</f>
        <v>9</v>
      </c>
    </row>
    <row r="10" spans="2:15" ht="15" customHeight="1">
      <c r="B10" s="5067" t="s">
        <v>4916</v>
      </c>
      <c r="C10" s="5068"/>
      <c r="D10" s="5068"/>
      <c r="E10" s="5068"/>
      <c r="F10" s="5068"/>
      <c r="G10" s="5068"/>
      <c r="H10" s="5068"/>
      <c r="I10" s="5068"/>
      <c r="J10" s="5068"/>
      <c r="K10" s="5068"/>
      <c r="L10" s="5068"/>
      <c r="M10" s="5069"/>
      <c r="O10" s="117">
        <f>ROW()</f>
        <v>10</v>
      </c>
    </row>
    <row r="11" spans="2:15" ht="15" customHeight="1">
      <c r="B11" s="2874"/>
      <c r="C11" s="2870"/>
      <c r="D11" s="2870"/>
      <c r="E11" s="2870"/>
      <c r="F11" s="2870"/>
      <c r="G11" s="2173"/>
      <c r="H11" s="2870"/>
      <c r="I11" s="2870"/>
      <c r="J11" s="2870"/>
      <c r="K11" s="2870"/>
      <c r="L11" s="2870"/>
      <c r="M11" s="2871"/>
      <c r="O11" s="117">
        <f>ROW()</f>
        <v>11</v>
      </c>
    </row>
    <row r="12" spans="2:15" ht="15" customHeight="1">
      <c r="B12" s="2896"/>
      <c r="C12" s="2870"/>
      <c r="D12" s="2870"/>
      <c r="E12" s="2870"/>
      <c r="F12" s="2870"/>
      <c r="G12" s="2173"/>
      <c r="H12" s="5070" t="s">
        <v>4915</v>
      </c>
      <c r="I12" s="3739"/>
      <c r="J12" s="3739"/>
      <c r="K12" s="5070" t="s">
        <v>4929</v>
      </c>
      <c r="L12" s="3739"/>
      <c r="M12" s="3922"/>
      <c r="O12" s="117">
        <f>ROW()</f>
        <v>12</v>
      </c>
    </row>
    <row r="13" spans="2:15" ht="15" customHeight="1">
      <c r="B13" s="2874"/>
      <c r="C13" s="2870"/>
      <c r="D13" s="2870"/>
      <c r="E13" s="2870"/>
      <c r="F13" s="2870"/>
      <c r="G13" s="2870"/>
      <c r="H13" s="3739"/>
      <c r="I13" s="3739"/>
      <c r="J13" s="3739"/>
      <c r="K13" s="3739"/>
      <c r="L13" s="3739"/>
      <c r="M13" s="3922"/>
      <c r="O13" s="117">
        <f>ROW()</f>
        <v>13</v>
      </c>
    </row>
    <row r="14" spans="2:15" ht="15" customHeight="1">
      <c r="B14" s="2874"/>
      <c r="C14" s="2870"/>
      <c r="D14" s="2870"/>
      <c r="E14" s="2870"/>
      <c r="F14" s="2870"/>
      <c r="G14" s="2870"/>
      <c r="H14" s="2892"/>
      <c r="I14" s="2174"/>
      <c r="J14" s="2174"/>
      <c r="K14" s="4643"/>
      <c r="L14" s="4643"/>
      <c r="M14" s="5037"/>
      <c r="O14" s="117">
        <f>ROW()</f>
        <v>14</v>
      </c>
    </row>
    <row r="15" spans="2:15" ht="15" customHeight="1">
      <c r="B15" s="2890"/>
      <c r="C15" s="2891"/>
      <c r="D15" s="2891"/>
      <c r="E15" s="2891"/>
      <c r="F15" s="2891"/>
      <c r="G15" s="960"/>
      <c r="H15" s="2870"/>
      <c r="I15" s="5050" t="s">
        <v>671</v>
      </c>
      <c r="J15" s="5050"/>
      <c r="K15" s="5050" t="s">
        <v>671</v>
      </c>
      <c r="L15" s="5050" t="s">
        <v>3573</v>
      </c>
      <c r="M15" s="5057" t="s">
        <v>3574</v>
      </c>
      <c r="O15" s="117">
        <f>ROW()</f>
        <v>15</v>
      </c>
    </row>
    <row r="16" spans="2:15" ht="15" customHeight="1">
      <c r="B16" s="2898" t="s">
        <v>4910</v>
      </c>
      <c r="C16" s="2891"/>
      <c r="D16" s="2891"/>
      <c r="E16" s="2891"/>
      <c r="F16" s="2891"/>
      <c r="G16" s="960"/>
      <c r="H16" s="2870"/>
      <c r="I16" s="5051"/>
      <c r="J16" s="5051"/>
      <c r="K16" s="5051"/>
      <c r="L16" s="5051"/>
      <c r="M16" s="5058"/>
      <c r="O16" s="117">
        <f>ROW()</f>
        <v>16</v>
      </c>
    </row>
    <row r="17" spans="2:15" ht="15" customHeight="1">
      <c r="B17" s="961" t="s">
        <v>4911</v>
      </c>
      <c r="C17" s="2870"/>
      <c r="D17" s="2870"/>
      <c r="E17" s="2870"/>
      <c r="F17" s="2870"/>
      <c r="G17" s="2870"/>
      <c r="H17" s="2870"/>
      <c r="I17" s="2156">
        <f ca="1">J248</f>
        <v>-85.99092511090592</v>
      </c>
      <c r="J17" s="962"/>
      <c r="K17" s="2156">
        <f ca="1">I17</f>
        <v>-85.99092511090592</v>
      </c>
      <c r="L17" s="962">
        <f ca="1">$K17/$G$50</f>
        <v>-3.5708233316994434E-3</v>
      </c>
      <c r="M17" s="963">
        <f ca="1">$K17/$G$60</f>
        <v>-4.7610977755992573E-3</v>
      </c>
      <c r="O17" s="117">
        <f>ROW()</f>
        <v>17</v>
      </c>
    </row>
    <row r="18" spans="2:15" ht="15" customHeight="1">
      <c r="B18" s="961" t="s">
        <v>4912</v>
      </c>
      <c r="C18" s="2870"/>
      <c r="D18" s="2870"/>
      <c r="E18" s="2870"/>
      <c r="F18" s="2870"/>
      <c r="G18" s="2870"/>
      <c r="H18" s="2870"/>
      <c r="I18" s="2156">
        <f ca="1">J257</f>
        <v>-884.16634062133903</v>
      </c>
      <c r="J18" s="962"/>
      <c r="K18" s="2156">
        <f ca="1">J269*I18</f>
        <v>-605.95704190134006</v>
      </c>
      <c r="L18" s="962">
        <f ca="1">$K18/$G$50</f>
        <v>-2.5162719675805183E-2</v>
      </c>
      <c r="M18" s="963">
        <f ca="1">$K18/$G$60</f>
        <v>-3.3550292901073572E-2</v>
      </c>
      <c r="O18" s="117">
        <f>ROW()</f>
        <v>18</v>
      </c>
    </row>
    <row r="19" spans="2:15" ht="15" customHeight="1">
      <c r="B19" s="961" t="s">
        <v>4913</v>
      </c>
      <c r="C19" s="960"/>
      <c r="D19" s="960"/>
      <c r="E19" s="960"/>
      <c r="F19" s="960"/>
      <c r="G19" s="960"/>
      <c r="H19" s="2870"/>
      <c r="I19" s="2156">
        <f ca="1">K148</f>
        <v>-30.090311565217391</v>
      </c>
      <c r="J19" s="962"/>
      <c r="K19" s="2156">
        <f ca="1">I19</f>
        <v>-30.090311565217391</v>
      </c>
      <c r="L19" s="962">
        <f ca="1">$K19/$G$50</f>
        <v>-1.2495177422106453E-3</v>
      </c>
      <c r="M19" s="963">
        <f ca="1">$K19/$G$60</f>
        <v>-1.6660236562808604E-3</v>
      </c>
      <c r="O19" s="117">
        <f>ROW()</f>
        <v>19</v>
      </c>
    </row>
    <row r="20" spans="2:15" ht="15" customHeight="1">
      <c r="B20" s="961" t="s">
        <v>4919</v>
      </c>
      <c r="C20" s="960"/>
      <c r="D20" s="960"/>
      <c r="E20" s="960"/>
      <c r="F20" s="960"/>
      <c r="G20" s="2161"/>
      <c r="H20" s="2870"/>
      <c r="I20" s="2156">
        <f ca="1">K232</f>
        <v>-70.391627667465855</v>
      </c>
      <c r="J20" s="962"/>
      <c r="K20" s="2156">
        <f ca="1">I20</f>
        <v>-70.391627667465855</v>
      </c>
      <c r="L20" s="962">
        <f ca="1">$K20/$G$50</f>
        <v>-2.9230534048459555E-3</v>
      </c>
      <c r="M20" s="963">
        <f ca="1">$K20/$G$60</f>
        <v>-3.8974045397946072E-3</v>
      </c>
      <c r="O20" s="117">
        <f>ROW()</f>
        <v>20</v>
      </c>
    </row>
    <row r="21" spans="2:15" ht="15" customHeight="1">
      <c r="B21" s="2893" t="s">
        <v>5812</v>
      </c>
      <c r="C21" s="960"/>
      <c r="D21" s="960"/>
      <c r="E21" s="960"/>
      <c r="F21" s="960"/>
      <c r="G21" s="2161"/>
      <c r="H21" s="2870"/>
      <c r="I21" s="2156"/>
      <c r="J21" s="962"/>
      <c r="K21" s="2156"/>
      <c r="L21" s="962"/>
      <c r="M21" s="963"/>
      <c r="O21" s="117">
        <f>ROW()</f>
        <v>21</v>
      </c>
    </row>
    <row r="22" spans="2:15" ht="15" customHeight="1">
      <c r="B22" s="2895" t="s">
        <v>837</v>
      </c>
      <c r="C22" s="2157"/>
      <c r="D22" s="2157"/>
      <c r="E22" s="2157"/>
      <c r="F22" s="2157"/>
      <c r="G22" s="2157"/>
      <c r="H22" s="2872"/>
      <c r="I22" s="2158">
        <f ca="1">SUM(I17:I20)</f>
        <v>-1070.639204964928</v>
      </c>
      <c r="J22" s="2160"/>
      <c r="K22" s="2158">
        <f ca="1">SUM(K17:K20)</f>
        <v>-792.42990624492916</v>
      </c>
      <c r="L22" s="2160">
        <f ca="1">$K22/$G$50</f>
        <v>-3.2906114154561225E-2</v>
      </c>
      <c r="M22" s="2894">
        <f ca="1">$K22/$G$60</f>
        <v>-4.3874818872748293E-2</v>
      </c>
      <c r="O22" s="117">
        <f>ROW()</f>
        <v>22</v>
      </c>
    </row>
    <row r="23" spans="2:15" ht="15" customHeight="1">
      <c r="B23" s="2155"/>
      <c r="C23" s="113"/>
      <c r="D23" s="113"/>
      <c r="E23" s="113"/>
      <c r="F23" s="113"/>
      <c r="G23" s="113"/>
      <c r="H23" s="113"/>
      <c r="I23" s="113"/>
      <c r="J23" s="113"/>
      <c r="K23" s="113"/>
      <c r="O23" s="117">
        <f>ROW()</f>
        <v>23</v>
      </c>
    </row>
    <row r="24" spans="2:15" ht="15" customHeight="1">
      <c r="B24" s="2155"/>
      <c r="C24" s="2870"/>
      <c r="D24" s="2870"/>
      <c r="E24" s="2870"/>
      <c r="F24" s="2870"/>
      <c r="G24" s="2870"/>
      <c r="H24" s="2870"/>
      <c r="I24" s="2870"/>
      <c r="J24" s="2870"/>
      <c r="K24" s="2870"/>
      <c r="O24" s="117">
        <f>ROW()</f>
        <v>24</v>
      </c>
    </row>
    <row r="25" spans="2:15" ht="15" customHeight="1">
      <c r="B25" s="5067" t="s">
        <v>4917</v>
      </c>
      <c r="C25" s="5068"/>
      <c r="D25" s="5068"/>
      <c r="E25" s="5068"/>
      <c r="F25" s="5068"/>
      <c r="G25" s="5068"/>
      <c r="H25" s="5068"/>
      <c r="I25" s="5068"/>
      <c r="J25" s="5068"/>
      <c r="K25" s="5068"/>
      <c r="L25" s="5068"/>
      <c r="M25" s="5069"/>
      <c r="O25" s="117">
        <f>ROW()</f>
        <v>25</v>
      </c>
    </row>
    <row r="26" spans="2:15" ht="15" customHeight="1">
      <c r="B26" s="2874"/>
      <c r="C26" s="2870"/>
      <c r="D26" s="2870"/>
      <c r="E26" s="2870"/>
      <c r="F26" s="2870"/>
      <c r="G26" s="2173"/>
      <c r="H26" s="2870"/>
      <c r="I26" s="2870"/>
      <c r="J26" s="2870"/>
      <c r="K26" s="2870"/>
      <c r="L26" s="2870"/>
      <c r="M26" s="2871"/>
      <c r="O26" s="117">
        <f>ROW()</f>
        <v>26</v>
      </c>
    </row>
    <row r="27" spans="2:15" ht="15" customHeight="1">
      <c r="B27" s="2896"/>
      <c r="C27" s="2870"/>
      <c r="D27" s="2870"/>
      <c r="E27" s="2870"/>
      <c r="F27" s="2870"/>
      <c r="G27" s="2173"/>
      <c r="H27" s="5070" t="s">
        <v>4927</v>
      </c>
      <c r="I27" s="3739"/>
      <c r="J27" s="3739"/>
      <c r="K27" s="5070" t="s">
        <v>4928</v>
      </c>
      <c r="L27" s="5070"/>
      <c r="M27" s="5071"/>
      <c r="O27" s="117">
        <f>ROW()</f>
        <v>27</v>
      </c>
    </row>
    <row r="28" spans="2:15" ht="15" customHeight="1">
      <c r="B28" s="2874"/>
      <c r="C28" s="2870"/>
      <c r="D28" s="2870"/>
      <c r="E28" s="2870"/>
      <c r="F28" s="2870"/>
      <c r="G28" s="2870"/>
      <c r="H28" s="3739"/>
      <c r="I28" s="3739"/>
      <c r="J28" s="3739"/>
      <c r="K28" s="5070"/>
      <c r="L28" s="5070"/>
      <c r="M28" s="5071"/>
      <c r="O28" s="117">
        <f>ROW()</f>
        <v>28</v>
      </c>
    </row>
    <row r="29" spans="2:15" ht="15" customHeight="1">
      <c r="B29" s="2874"/>
      <c r="C29" s="2870"/>
      <c r="D29" s="2870"/>
      <c r="E29" s="2870"/>
      <c r="F29" s="2870"/>
      <c r="G29" s="2870"/>
      <c r="H29" s="2892"/>
      <c r="I29" s="2174"/>
      <c r="J29" s="2174"/>
      <c r="K29" s="4643"/>
      <c r="L29" s="4643"/>
      <c r="M29" s="5037"/>
      <c r="O29" s="117">
        <f>ROW()</f>
        <v>29</v>
      </c>
    </row>
    <row r="30" spans="2:15" ht="15" customHeight="1">
      <c r="B30" s="2890"/>
      <c r="C30" s="2891"/>
      <c r="D30" s="2891"/>
      <c r="E30" s="2891"/>
      <c r="F30" s="2891"/>
      <c r="G30" s="960"/>
      <c r="H30" s="5050" t="s">
        <v>671</v>
      </c>
      <c r="I30" s="5050" t="s">
        <v>4922</v>
      </c>
      <c r="J30" s="5050" t="s">
        <v>4923</v>
      </c>
      <c r="K30" s="5050" t="s">
        <v>671</v>
      </c>
      <c r="L30" s="5050" t="s">
        <v>4924</v>
      </c>
      <c r="M30" s="5057" t="s">
        <v>4925</v>
      </c>
      <c r="O30" s="117">
        <f>ROW()</f>
        <v>30</v>
      </c>
    </row>
    <row r="31" spans="2:15" ht="15" customHeight="1">
      <c r="B31" s="2898" t="s">
        <v>4910</v>
      </c>
      <c r="C31" s="2891"/>
      <c r="D31" s="2891"/>
      <c r="E31" s="2891"/>
      <c r="F31" s="2891"/>
      <c r="G31" s="960"/>
      <c r="H31" s="5051"/>
      <c r="I31" s="5051"/>
      <c r="J31" s="5051"/>
      <c r="K31" s="5051"/>
      <c r="L31" s="5051"/>
      <c r="M31" s="5058"/>
      <c r="O31" s="117">
        <f>ROW()</f>
        <v>31</v>
      </c>
    </row>
    <row r="32" spans="2:15" ht="15" customHeight="1">
      <c r="B32" s="2897" t="s">
        <v>4918</v>
      </c>
      <c r="C32" s="2870"/>
      <c r="D32" s="2870"/>
      <c r="E32" s="2870"/>
      <c r="F32" s="2870"/>
      <c r="G32" s="2870"/>
      <c r="H32" s="2900">
        <f ca="1">K17</f>
        <v>-85.99092511090592</v>
      </c>
      <c r="I32" s="2899">
        <f ca="1">H32/$L$72</f>
        <v>-7.8063576703067128E-2</v>
      </c>
      <c r="J32" s="5064" t="s">
        <v>4926</v>
      </c>
      <c r="K32" s="2156">
        <f ca="1">K18</f>
        <v>-605.95704190134006</v>
      </c>
      <c r="L32" s="962">
        <f ca="1">K32/$L$75</f>
        <v>-2.6368899101868837E-2</v>
      </c>
      <c r="M32" s="5064" t="s">
        <v>4926</v>
      </c>
      <c r="O32" s="117">
        <f>ROW()</f>
        <v>32</v>
      </c>
    </row>
    <row r="33" spans="2:15" ht="15" customHeight="1">
      <c r="B33" s="961" t="s">
        <v>4913</v>
      </c>
      <c r="C33" s="960"/>
      <c r="D33" s="960"/>
      <c r="E33" s="960"/>
      <c r="F33" s="960"/>
      <c r="G33" s="960"/>
      <c r="H33" s="2900">
        <f ca="1">F34*K19</f>
        <v>-3.0090311565217394</v>
      </c>
      <c r="I33" s="2899">
        <f ca="1">H33/$L$72</f>
        <v>-2.731633997263074E-3</v>
      </c>
      <c r="J33" s="5065"/>
      <c r="K33" s="2156">
        <f ca="1">(1-F34)*K19</f>
        <v>-27.081280408695651</v>
      </c>
      <c r="L33" s="962">
        <f ca="1">K33/$L$75</f>
        <v>-1.1784722369190337E-3</v>
      </c>
      <c r="M33" s="5065"/>
      <c r="O33" s="117">
        <f>ROW()</f>
        <v>33</v>
      </c>
    </row>
    <row r="34" spans="2:15" ht="15" customHeight="1">
      <c r="B34" s="2893" t="s">
        <v>4920</v>
      </c>
      <c r="C34" s="2870"/>
      <c r="D34" s="2870"/>
      <c r="E34" s="2870"/>
      <c r="F34" s="630">
        <v>0.1</v>
      </c>
      <c r="G34" s="2870"/>
      <c r="H34" s="960"/>
      <c r="I34" s="960"/>
      <c r="J34" s="5065"/>
      <c r="K34" s="960"/>
      <c r="L34" s="960"/>
      <c r="M34" s="5065"/>
      <c r="O34" s="117">
        <f>ROW()</f>
        <v>34</v>
      </c>
    </row>
    <row r="35" spans="2:15" ht="15" customHeight="1">
      <c r="B35" s="961" t="s">
        <v>4914</v>
      </c>
      <c r="C35" s="960"/>
      <c r="D35" s="960"/>
      <c r="E35" s="960"/>
      <c r="F35" s="960"/>
      <c r="G35" s="2161"/>
      <c r="H35" s="960">
        <v>0</v>
      </c>
      <c r="I35" s="2899">
        <f>H35/$L$72</f>
        <v>0</v>
      </c>
      <c r="J35" s="5065"/>
      <c r="K35" s="2156">
        <f ca="1">K20</f>
        <v>-70.391627667465855</v>
      </c>
      <c r="L35" s="962">
        <f ca="1">K35/$L$75</f>
        <v>-3.0631704877223591E-3</v>
      </c>
      <c r="M35" s="5065"/>
      <c r="O35" s="117">
        <f>ROW()</f>
        <v>35</v>
      </c>
    </row>
    <row r="36" spans="2:15" ht="15" customHeight="1">
      <c r="B36" s="2895" t="s">
        <v>837</v>
      </c>
      <c r="C36" s="2157"/>
      <c r="D36" s="2157"/>
      <c r="E36" s="2157"/>
      <c r="F36" s="2157"/>
      <c r="G36" s="2157"/>
      <c r="H36" s="2158">
        <f ca="1">SUM(H32:H35)</f>
        <v>-88.999956267427663</v>
      </c>
      <c r="I36" s="2159">
        <f ca="1">H36/$L$72</f>
        <v>-8.0795210700330203E-2</v>
      </c>
      <c r="J36" s="5066"/>
      <c r="K36" s="2158">
        <f ca="1">SUM(K32:K35)</f>
        <v>-703.42994997750156</v>
      </c>
      <c r="L36" s="2159">
        <f ca="1">K36/$L$75</f>
        <v>-3.061054182651023E-2</v>
      </c>
      <c r="M36" s="5066"/>
      <c r="O36" s="117">
        <f>ROW()</f>
        <v>36</v>
      </c>
    </row>
    <row r="37" spans="2:15" ht="15" customHeight="1">
      <c r="B37" s="2155"/>
      <c r="C37" s="2870"/>
      <c r="D37" s="2870"/>
      <c r="E37" s="2870"/>
      <c r="F37" s="2870"/>
      <c r="G37" s="2870"/>
      <c r="H37" s="2870"/>
      <c r="I37" s="2870"/>
      <c r="J37" s="2870"/>
      <c r="K37" s="2870"/>
      <c r="O37" s="117">
        <f>ROW()</f>
        <v>37</v>
      </c>
    </row>
    <row r="38" spans="2:15" ht="15" customHeight="1">
      <c r="O38" s="117">
        <f>ROW()</f>
        <v>38</v>
      </c>
    </row>
    <row r="39" spans="2:15" ht="15" customHeight="1">
      <c r="B39" s="24" t="s">
        <v>3571</v>
      </c>
      <c r="J39" s="281"/>
      <c r="K39" s="2162"/>
      <c r="L39" s="2163"/>
      <c r="M39" s="2164"/>
      <c r="O39" s="117">
        <f>ROW()</f>
        <v>39</v>
      </c>
    </row>
    <row r="40" spans="2:15" ht="15" customHeight="1">
      <c r="K40" s="2165" t="s">
        <v>3623</v>
      </c>
      <c r="L40" s="2166"/>
      <c r="M40" s="2167"/>
      <c r="N40" s="2149"/>
      <c r="O40" s="117">
        <f>ROW()</f>
        <v>40</v>
      </c>
    </row>
    <row r="41" spans="2:15" ht="15" customHeight="1">
      <c r="B41" s="308" t="s">
        <v>2480</v>
      </c>
      <c r="K41" s="2168"/>
      <c r="L41" s="2166"/>
      <c r="M41" s="2167"/>
      <c r="N41" s="2149"/>
      <c r="O41" s="117">
        <f>ROW()</f>
        <v>41</v>
      </c>
    </row>
    <row r="42" spans="2:15" ht="15" customHeight="1">
      <c r="K42" s="5041" t="s">
        <v>3622</v>
      </c>
      <c r="L42" s="5039"/>
      <c r="M42" s="5040"/>
      <c r="N42" s="2148"/>
      <c r="O42" s="117">
        <f>ROW()</f>
        <v>42</v>
      </c>
    </row>
    <row r="43" spans="2:15" ht="15" customHeight="1">
      <c r="B43" s="308" t="s">
        <v>1551</v>
      </c>
      <c r="E43" s="2145" t="s">
        <v>220</v>
      </c>
      <c r="G43" s="2145" t="s">
        <v>1552</v>
      </c>
      <c r="K43" s="5038"/>
      <c r="L43" s="5039"/>
      <c r="M43" s="5040"/>
      <c r="N43" s="2148"/>
      <c r="O43" s="117">
        <f>ROW()</f>
        <v>43</v>
      </c>
    </row>
    <row r="44" spans="2:15" ht="15" customHeight="1">
      <c r="B44" s="280" t="s">
        <v>506</v>
      </c>
      <c r="C44" s="116"/>
      <c r="D44" s="116"/>
      <c r="E44" s="1132">
        <v>324.43764153431198</v>
      </c>
      <c r="F44" s="1179"/>
      <c r="G44" s="1132">
        <v>4581.9896080935396</v>
      </c>
      <c r="K44" s="5038"/>
      <c r="L44" s="5039"/>
      <c r="M44" s="5040"/>
      <c r="N44" s="2148"/>
      <c r="O44" s="117">
        <f>ROW()</f>
        <v>44</v>
      </c>
    </row>
    <row r="45" spans="2:15" ht="15" customHeight="1">
      <c r="B45" s="280" t="s">
        <v>507</v>
      </c>
      <c r="C45" s="116"/>
      <c r="D45" s="116"/>
      <c r="E45" s="1132">
        <v>919.94161545899999</v>
      </c>
      <c r="F45" s="1179"/>
      <c r="G45" s="1132">
        <v>4451.22894490013</v>
      </c>
      <c r="K45" s="5038"/>
      <c r="L45" s="5039"/>
      <c r="M45" s="5040"/>
      <c r="N45" s="2148"/>
      <c r="O45" s="117">
        <f>ROW()</f>
        <v>45</v>
      </c>
    </row>
    <row r="46" spans="2:15" ht="15" customHeight="1">
      <c r="B46" s="280" t="s">
        <v>511</v>
      </c>
      <c r="C46" s="116"/>
      <c r="D46" s="116"/>
      <c r="E46" s="1132">
        <v>1025.912075706</v>
      </c>
      <c r="F46" s="1179"/>
      <c r="G46" s="1132">
        <v>5650.3696584592499</v>
      </c>
      <c r="K46" s="5041" t="s">
        <v>1363</v>
      </c>
      <c r="L46" s="5039"/>
      <c r="M46" s="5040"/>
      <c r="N46" s="3823"/>
      <c r="O46" s="117">
        <f>ROW()</f>
        <v>46</v>
      </c>
    </row>
    <row r="47" spans="2:15" ht="15" customHeight="1">
      <c r="B47" s="280" t="s">
        <v>508</v>
      </c>
      <c r="C47" s="116"/>
      <c r="D47" s="116"/>
      <c r="E47" s="1132">
        <v>839.14335317250004</v>
      </c>
      <c r="F47" s="1179"/>
      <c r="G47" s="1132">
        <v>4137.0335134350398</v>
      </c>
      <c r="K47" s="5038"/>
      <c r="L47" s="5039"/>
      <c r="M47" s="5040"/>
      <c r="N47" s="3681"/>
      <c r="O47" s="117">
        <f>ROW()</f>
        <v>47</v>
      </c>
    </row>
    <row r="48" spans="2:15" ht="15" customHeight="1">
      <c r="B48" s="280" t="s">
        <v>509</v>
      </c>
      <c r="C48" s="116"/>
      <c r="D48" s="116"/>
      <c r="E48" s="1132">
        <v>645.92630643412497</v>
      </c>
      <c r="F48" s="1179"/>
      <c r="G48" s="1132">
        <v>1934.05391916799</v>
      </c>
      <c r="K48" s="5038"/>
      <c r="L48" s="5039"/>
      <c r="M48" s="5040"/>
      <c r="N48" s="3681"/>
      <c r="O48" s="117">
        <f>ROW()</f>
        <v>48</v>
      </c>
    </row>
    <row r="49" spans="2:15" ht="15" customHeight="1">
      <c r="B49" s="280" t="s">
        <v>510</v>
      </c>
      <c r="C49" s="116"/>
      <c r="D49" s="116"/>
      <c r="E49" s="1629">
        <v>354.18255607923697</v>
      </c>
      <c r="F49" s="1179"/>
      <c r="G49" s="1629">
        <v>3326.86441633699</v>
      </c>
      <c r="K49" s="5038"/>
      <c r="L49" s="5039"/>
      <c r="M49" s="5040"/>
      <c r="N49" s="3681"/>
      <c r="O49" s="117">
        <f>ROW()</f>
        <v>49</v>
      </c>
    </row>
    <row r="50" spans="2:15" ht="15" customHeight="1">
      <c r="B50" s="518" t="s">
        <v>228</v>
      </c>
      <c r="C50" s="44"/>
      <c r="D50" s="44"/>
      <c r="E50" s="2142">
        <f>SUM(E44:E49)</f>
        <v>4109.5435483851743</v>
      </c>
      <c r="F50" s="1179"/>
      <c r="G50" s="1127">
        <f>SUM(G44:G49)</f>
        <v>24081.540060392937</v>
      </c>
      <c r="K50" s="5038" t="s">
        <v>1177</v>
      </c>
      <c r="L50" s="5039"/>
      <c r="M50" s="5040"/>
      <c r="N50" s="2148"/>
      <c r="O50" s="117">
        <f>ROW()</f>
        <v>50</v>
      </c>
    </row>
    <row r="51" spans="2:15" ht="15" customHeight="1">
      <c r="B51" s="518" t="s">
        <v>3572</v>
      </c>
      <c r="C51" s="6"/>
      <c r="D51" s="6"/>
      <c r="E51" s="2143">
        <f>SUM(E46:E49)</f>
        <v>2865.1642913918622</v>
      </c>
      <c r="F51" s="1555"/>
      <c r="G51" s="2144" t="s">
        <v>590</v>
      </c>
      <c r="H51" s="6"/>
      <c r="I51" s="6"/>
      <c r="K51" s="5038"/>
      <c r="L51" s="5039"/>
      <c r="M51" s="5040"/>
      <c r="N51" s="2148"/>
      <c r="O51" s="117">
        <f>ROW()</f>
        <v>51</v>
      </c>
    </row>
    <row r="52" spans="2:15" ht="15" customHeight="1">
      <c r="B52" s="3785" t="s">
        <v>3575</v>
      </c>
      <c r="C52" s="3786"/>
      <c r="D52" s="3786"/>
      <c r="E52" s="3786"/>
      <c r="F52" s="3786"/>
      <c r="G52" s="3786"/>
      <c r="H52" s="3786"/>
      <c r="I52" s="3786"/>
      <c r="J52" s="215"/>
      <c r="K52" s="5038"/>
      <c r="L52" s="5039"/>
      <c r="M52" s="5040"/>
      <c r="N52" s="2148"/>
      <c r="O52" s="117">
        <f>ROW()</f>
        <v>52</v>
      </c>
    </row>
    <row r="53" spans="2:15" ht="15" customHeight="1">
      <c r="B53" s="3786"/>
      <c r="C53" s="3786"/>
      <c r="D53" s="3786"/>
      <c r="E53" s="3786"/>
      <c r="F53" s="3786"/>
      <c r="G53" s="3786"/>
      <c r="H53" s="3786"/>
      <c r="I53" s="3786"/>
      <c r="J53" s="215"/>
      <c r="K53" s="5041" t="s">
        <v>4901</v>
      </c>
      <c r="L53" s="5039"/>
      <c r="M53" s="5040"/>
      <c r="N53" s="3823"/>
      <c r="O53" s="117">
        <f>ROW()</f>
        <v>53</v>
      </c>
    </row>
    <row r="54" spans="2:15" ht="15" customHeight="1">
      <c r="B54" s="3786"/>
      <c r="C54" s="3786"/>
      <c r="D54" s="3786"/>
      <c r="E54" s="3786"/>
      <c r="F54" s="3786"/>
      <c r="G54" s="3786"/>
      <c r="H54" s="3786"/>
      <c r="I54" s="3786"/>
      <c r="J54" s="215"/>
      <c r="K54" s="5038"/>
      <c r="L54" s="5039"/>
      <c r="M54" s="5040"/>
      <c r="N54" s="3681"/>
      <c r="O54" s="117">
        <f>ROW()</f>
        <v>54</v>
      </c>
    </row>
    <row r="55" spans="2:15" ht="15" customHeight="1">
      <c r="B55" s="3786"/>
      <c r="C55" s="3786"/>
      <c r="D55" s="3786"/>
      <c r="E55" s="3786"/>
      <c r="F55" s="3786"/>
      <c r="G55" s="3786"/>
      <c r="H55" s="3786"/>
      <c r="I55" s="3786"/>
      <c r="K55" s="5038"/>
      <c r="L55" s="5039"/>
      <c r="M55" s="5040"/>
      <c r="N55" s="3681"/>
      <c r="O55" s="117">
        <f>ROW()</f>
        <v>55</v>
      </c>
    </row>
    <row r="56" spans="2:15" ht="15" customHeight="1">
      <c r="B56" s="308" t="s">
        <v>436</v>
      </c>
      <c r="G56" s="48">
        <v>0.75</v>
      </c>
      <c r="K56" s="5042"/>
      <c r="L56" s="5043"/>
      <c r="M56" s="5044"/>
      <c r="O56" s="117">
        <f>ROW()</f>
        <v>56</v>
      </c>
    </row>
    <row r="57" spans="2:15" ht="15" customHeight="1">
      <c r="B57" s="4218" t="s">
        <v>437</v>
      </c>
      <c r="C57" s="4218"/>
      <c r="D57" s="4218"/>
      <c r="E57" s="4218"/>
      <c r="F57" s="4218"/>
      <c r="G57" s="4218"/>
      <c r="H57" s="4218"/>
      <c r="I57" s="4218"/>
      <c r="J57" s="215"/>
      <c r="O57" s="117">
        <f>ROW()</f>
        <v>57</v>
      </c>
    </row>
    <row r="58" spans="2:15" ht="15" customHeight="1">
      <c r="B58" s="4218"/>
      <c r="C58" s="4218"/>
      <c r="D58" s="4218"/>
      <c r="E58" s="4218"/>
      <c r="F58" s="4218"/>
      <c r="G58" s="4218"/>
      <c r="H58" s="4218"/>
      <c r="I58" s="4218"/>
      <c r="J58" s="215"/>
      <c r="O58" s="117">
        <f>ROW()</f>
        <v>58</v>
      </c>
    </row>
    <row r="59" spans="2:15" ht="15" customHeight="1">
      <c r="B59" s="215"/>
      <c r="O59" s="117">
        <f>ROW()</f>
        <v>59</v>
      </c>
    </row>
    <row r="60" spans="2:15" ht="15" customHeight="1">
      <c r="B60" s="308" t="s">
        <v>120</v>
      </c>
      <c r="G60" s="1127">
        <f>G56*G50</f>
        <v>18061.155045294705</v>
      </c>
      <c r="O60" s="117">
        <f>ROW()</f>
        <v>60</v>
      </c>
    </row>
    <row r="61" spans="2:15" ht="15" customHeight="1">
      <c r="B61" s="215"/>
      <c r="O61" s="117">
        <f>ROW()</f>
        <v>61</v>
      </c>
    </row>
    <row r="62" spans="2:15" ht="15" customHeight="1">
      <c r="B62" s="308" t="s">
        <v>1012</v>
      </c>
      <c r="O62" s="117">
        <f>ROW()</f>
        <v>62</v>
      </c>
    </row>
    <row r="63" spans="2:15" ht="15" customHeight="1">
      <c r="O63" s="117">
        <f>ROW()</f>
        <v>63</v>
      </c>
    </row>
    <row r="64" spans="2:15" ht="15" customHeight="1">
      <c r="B64" s="3785" t="s">
        <v>3576</v>
      </c>
      <c r="C64" s="3785"/>
      <c r="D64" s="3785"/>
      <c r="E64" s="3785"/>
      <c r="F64" s="3785"/>
      <c r="G64" s="3785"/>
      <c r="H64" s="5053" t="s">
        <v>558</v>
      </c>
      <c r="I64" s="5054"/>
      <c r="J64" s="5054"/>
      <c r="K64" s="5054"/>
      <c r="L64" s="5055"/>
      <c r="N64" s="215"/>
      <c r="O64" s="117">
        <f>ROW()</f>
        <v>64</v>
      </c>
    </row>
    <row r="65" spans="2:15" ht="15" customHeight="1">
      <c r="B65" s="3785"/>
      <c r="C65" s="3785"/>
      <c r="D65" s="3785"/>
      <c r="E65" s="3785"/>
      <c r="F65" s="3785"/>
      <c r="G65" s="3785"/>
      <c r="H65" s="5047" t="s">
        <v>559</v>
      </c>
      <c r="I65" s="5048"/>
      <c r="J65" s="5048"/>
      <c r="K65" s="5048"/>
      <c r="L65" s="5049"/>
      <c r="N65" s="215"/>
      <c r="O65" s="117">
        <f>ROW()</f>
        <v>65</v>
      </c>
    </row>
    <row r="66" spans="2:15" ht="15" customHeight="1">
      <c r="B66" s="3785"/>
      <c r="C66" s="3785"/>
      <c r="D66" s="3785"/>
      <c r="E66" s="3785"/>
      <c r="F66" s="3785"/>
      <c r="G66" s="3785"/>
      <c r="H66" s="911" t="s">
        <v>728</v>
      </c>
      <c r="I66" s="911" t="s">
        <v>287</v>
      </c>
      <c r="J66" s="911" t="s">
        <v>288</v>
      </c>
      <c r="K66" s="911" t="s">
        <v>289</v>
      </c>
      <c r="L66" s="911" t="s">
        <v>2813</v>
      </c>
      <c r="N66" s="215"/>
      <c r="O66" s="117">
        <f>ROW()</f>
        <v>66</v>
      </c>
    </row>
    <row r="67" spans="2:15" ht="15" customHeight="1">
      <c r="B67" s="3785"/>
      <c r="C67" s="3785"/>
      <c r="D67" s="3785"/>
      <c r="E67" s="3785"/>
      <c r="F67" s="3785"/>
      <c r="G67" s="3785"/>
      <c r="H67" s="344">
        <v>692372</v>
      </c>
      <c r="I67" s="344">
        <v>1083228</v>
      </c>
      <c r="J67" s="344">
        <v>875679</v>
      </c>
      <c r="K67" s="344">
        <v>686751</v>
      </c>
      <c r="L67" s="344">
        <f>K67+J67+I67+H67</f>
        <v>3338030</v>
      </c>
      <c r="N67" s="215"/>
      <c r="O67" s="117">
        <f>ROW()</f>
        <v>67</v>
      </c>
    </row>
    <row r="68" spans="2:15" ht="15" customHeight="1">
      <c r="B68" s="3786"/>
      <c r="C68" s="3786"/>
      <c r="D68" s="3786"/>
      <c r="E68" s="3786"/>
      <c r="F68" s="3786"/>
      <c r="G68" s="3786"/>
      <c r="N68" s="215"/>
      <c r="O68" s="117">
        <f>ROW()</f>
        <v>68</v>
      </c>
    </row>
    <row r="69" spans="2:15" ht="15" customHeight="1">
      <c r="B69" s="316" t="s">
        <v>4253</v>
      </c>
      <c r="C69" s="2410"/>
      <c r="D69" s="2410"/>
      <c r="E69" s="2410"/>
      <c r="F69" s="2410"/>
      <c r="G69" s="2410"/>
      <c r="L69" s="3171">
        <f>'Motor Vs'!N147</f>
        <v>3434067.8375425739</v>
      </c>
      <c r="M69" s="5059" t="str">
        <f>CONCATENATE("Needs true-up w/ H",'Motor Vs'!O105, " from 'Motor Vs' tab.")</f>
        <v>Needs true-up w/ H105 from 'Motor Vs' tab.</v>
      </c>
      <c r="N69" s="3776"/>
      <c r="O69" s="117">
        <f>ROW()</f>
        <v>69</v>
      </c>
    </row>
    <row r="70" spans="2:15" ht="15" customHeight="1">
      <c r="B70" s="314" t="str">
        <f>CONCATENATE("From 'Motor Vs', Row ",'Motor Vs'!O147, ".")</f>
        <v>From 'Motor Vs', Row 147.</v>
      </c>
      <c r="C70" s="2410"/>
      <c r="D70" s="2410"/>
      <c r="E70" s="2410"/>
      <c r="F70" s="2410"/>
      <c r="G70" s="2410"/>
      <c r="K70" s="2419" t="s">
        <v>4254</v>
      </c>
      <c r="L70" s="3172">
        <f>L67/L69</f>
        <v>0.97203379720905603</v>
      </c>
      <c r="M70" s="3741"/>
      <c r="N70" s="3777"/>
      <c r="O70" s="117">
        <f>ROW()</f>
        <v>70</v>
      </c>
    </row>
    <row r="71" spans="2:15" ht="15" customHeight="1">
      <c r="B71" s="2410"/>
      <c r="C71" s="2410"/>
      <c r="D71" s="2410"/>
      <c r="E71" s="2410"/>
      <c r="F71" s="2410"/>
      <c r="G71" s="2410"/>
      <c r="O71" s="117">
        <f>ROW()</f>
        <v>71</v>
      </c>
    </row>
    <row r="72" spans="2:15" ht="15" customHeight="1">
      <c r="B72" s="1815" t="s">
        <v>3577</v>
      </c>
      <c r="G72" s="6"/>
      <c r="L72" s="267">
        <f>L67*Constants!J7/1000000</f>
        <v>1101.5499</v>
      </c>
      <c r="O72" s="117">
        <f>ROW()</f>
        <v>72</v>
      </c>
    </row>
    <row r="73" spans="2:15" ht="15" customHeight="1">
      <c r="B73" s="314" t="str">
        <f>CONCATENATE("Calculated by multiplying Total from box in Row ",O67, " by factor from 'Constants' worksheet denoting equivalent full weekdays in a year.")</f>
        <v>Calculated by multiplying Total from box in Row 67 by factor from 'Constants' worksheet denoting equivalent full weekdays in a year.</v>
      </c>
      <c r="C73" s="215"/>
      <c r="D73" s="215"/>
      <c r="E73" s="215"/>
      <c r="F73" s="215"/>
      <c r="G73" s="6"/>
      <c r="O73" s="117">
        <f>ROW()</f>
        <v>73</v>
      </c>
    </row>
    <row r="74" spans="2:15" ht="15" customHeight="1">
      <c r="B74" s="297"/>
      <c r="C74" s="297"/>
      <c r="D74" s="297"/>
      <c r="E74" s="297"/>
      <c r="F74" s="297"/>
      <c r="O74" s="117">
        <f>ROW()</f>
        <v>74</v>
      </c>
    </row>
    <row r="75" spans="2:15" ht="15" customHeight="1">
      <c r="B75" s="1815" t="s">
        <v>4921</v>
      </c>
      <c r="C75" s="2873"/>
      <c r="D75" s="2873"/>
      <c r="E75" s="2873"/>
      <c r="F75" s="2873"/>
      <c r="L75" s="267">
        <f>G50-L72</f>
        <v>22979.990160392939</v>
      </c>
      <c r="O75" s="117">
        <f>ROW()</f>
        <v>75</v>
      </c>
    </row>
    <row r="76" spans="2:15" ht="15" customHeight="1">
      <c r="B76" s="314" t="str">
        <f>CONCATENATE("Difference between Box in Row ",O72, " and figure in Cell G",O50, ".")</f>
        <v>Difference between Box in Row 72 and figure in Cell G50.</v>
      </c>
      <c r="C76" s="2873"/>
      <c r="D76" s="2873"/>
      <c r="E76" s="2873"/>
      <c r="F76" s="2873"/>
      <c r="O76" s="117">
        <f>ROW()</f>
        <v>76</v>
      </c>
    </row>
    <row r="77" spans="2:15" ht="15" customHeight="1">
      <c r="B77" s="314"/>
      <c r="C77" s="2873"/>
      <c r="D77" s="2873"/>
      <c r="E77" s="2873"/>
      <c r="F77" s="2873"/>
      <c r="O77" s="117">
        <f>ROW()</f>
        <v>77</v>
      </c>
    </row>
    <row r="78" spans="2:15" ht="15" customHeight="1">
      <c r="B78" s="308" t="s">
        <v>427</v>
      </c>
      <c r="O78" s="117">
        <f>ROW()</f>
        <v>78</v>
      </c>
    </row>
    <row r="79" spans="2:15" ht="15" customHeight="1">
      <c r="C79" s="5060" t="s">
        <v>2574</v>
      </c>
      <c r="D79" s="5061"/>
      <c r="E79" s="5061"/>
      <c r="F79" s="5061"/>
      <c r="G79" s="5061"/>
      <c r="H79" s="5062"/>
      <c r="O79" s="117">
        <f>ROW()</f>
        <v>79</v>
      </c>
    </row>
    <row r="80" spans="2:15" ht="15" customHeight="1">
      <c r="B80" s="308"/>
      <c r="C80" s="4384"/>
      <c r="D80" s="4521"/>
      <c r="E80" s="4521"/>
      <c r="F80" s="4521"/>
      <c r="G80" s="4521"/>
      <c r="H80" s="4385"/>
      <c r="O80" s="117">
        <f>ROW()</f>
        <v>80</v>
      </c>
    </row>
    <row r="81" spans="2:15" ht="15" customHeight="1">
      <c r="B81" s="214" t="s">
        <v>253</v>
      </c>
      <c r="H81" s="575">
        <f>L67</f>
        <v>3338030</v>
      </c>
      <c r="I81" s="7" t="s">
        <v>3578</v>
      </c>
      <c r="O81" s="117">
        <f>ROW()</f>
        <v>81</v>
      </c>
    </row>
    <row r="82" spans="2:15" ht="15" customHeight="1">
      <c r="B82" s="316" t="s">
        <v>3579</v>
      </c>
      <c r="H82" s="155">
        <f>'Motor Vs'!I27</f>
        <v>738000</v>
      </c>
      <c r="I82" s="7" t="str">
        <f>CONCATENATE("From 'Motor Vs' worksheet, Row ",'Motor Vs'!O27, ".")</f>
        <v>From 'Motor Vs' worksheet, Row 27.</v>
      </c>
      <c r="O82" s="117">
        <f>ROW()</f>
        <v>82</v>
      </c>
    </row>
    <row r="83" spans="2:15" ht="15" customHeight="1">
      <c r="B83" s="214" t="s">
        <v>2751</v>
      </c>
      <c r="H83" s="117">
        <f>SUMPRODUCT('Motor Vs'!I76:L76,'Motor Vs'!I85:L85)/'Motor Vs'!H76</f>
        <v>1.2954902558240491</v>
      </c>
      <c r="I83" s="7" t="s">
        <v>254</v>
      </c>
      <c r="O83" s="117">
        <f>ROW()</f>
        <v>83</v>
      </c>
    </row>
    <row r="84" spans="2:15" ht="15" customHeight="1">
      <c r="B84" s="214" t="s">
        <v>2750</v>
      </c>
      <c r="H84" s="155">
        <f>H82*H83*2</f>
        <v>1912143.6175962964</v>
      </c>
      <c r="I84" s="7" t="s">
        <v>778</v>
      </c>
      <c r="O84" s="117">
        <f>ROW()</f>
        <v>84</v>
      </c>
    </row>
    <row r="85" spans="2:15" ht="15" customHeight="1">
      <c r="B85" s="912" t="s">
        <v>777</v>
      </c>
      <c r="C85" s="86"/>
      <c r="D85" s="86"/>
      <c r="E85" s="86"/>
      <c r="F85" s="86"/>
      <c r="H85" s="913">
        <f>H84/H81</f>
        <v>0.57283595941207732</v>
      </c>
      <c r="I85" s="88" t="s">
        <v>1013</v>
      </c>
      <c r="J85" s="86"/>
      <c r="K85" s="86"/>
      <c r="L85" s="86"/>
      <c r="O85" s="117">
        <f>ROW()</f>
        <v>85</v>
      </c>
    </row>
    <row r="86" spans="2:15" ht="15" customHeight="1">
      <c r="B86" s="912" t="s">
        <v>1014</v>
      </c>
      <c r="C86" s="86"/>
      <c r="D86" s="86"/>
      <c r="E86" s="86"/>
      <c r="F86" s="86"/>
      <c r="G86" s="913"/>
      <c r="H86" s="913">
        <f>1-H85</f>
        <v>0.42716404058792268</v>
      </c>
      <c r="I86" s="88" t="s">
        <v>2502</v>
      </c>
      <c r="J86" s="86"/>
      <c r="K86" s="86"/>
      <c r="L86" s="86"/>
      <c r="O86" s="117">
        <f>ROW()</f>
        <v>86</v>
      </c>
    </row>
    <row r="87" spans="2:15" ht="15" customHeight="1">
      <c r="I87" s="4606" t="s">
        <v>1941</v>
      </c>
      <c r="J87" s="4606" t="s">
        <v>1942</v>
      </c>
      <c r="O87" s="117">
        <f>ROW()</f>
        <v>87</v>
      </c>
    </row>
    <row r="88" spans="2:15" ht="15" customHeight="1">
      <c r="B88" s="308" t="s">
        <v>428</v>
      </c>
      <c r="G88" s="8" t="s">
        <v>130</v>
      </c>
      <c r="H88" s="8" t="s">
        <v>2615</v>
      </c>
      <c r="I88" s="3807"/>
      <c r="J88" s="3807"/>
      <c r="O88" s="117">
        <f>ROW()</f>
        <v>88</v>
      </c>
    </row>
    <row r="89" spans="2:15" ht="15" customHeight="1">
      <c r="B89" s="214" t="s">
        <v>47</v>
      </c>
      <c r="G89">
        <v>8</v>
      </c>
      <c r="H89" s="118" t="s">
        <v>2417</v>
      </c>
      <c r="I89" s="621"/>
      <c r="O89" s="117">
        <f>ROW()</f>
        <v>89</v>
      </c>
    </row>
    <row r="90" spans="2:15" ht="15" customHeight="1">
      <c r="B90" s="214" t="s">
        <v>1486</v>
      </c>
      <c r="G90">
        <v>14</v>
      </c>
      <c r="H90" s="23">
        <v>0.3</v>
      </c>
      <c r="I90" s="621">
        <f t="shared" ref="I90:I95" si="0">1/G90</f>
        <v>7.1428571428571425E-2</v>
      </c>
      <c r="J90" s="621">
        <f t="shared" ref="J90:J95" si="1">H90*I90</f>
        <v>2.1428571428571425E-2</v>
      </c>
      <c r="O90" s="117">
        <f>ROW()</f>
        <v>90</v>
      </c>
    </row>
    <row r="91" spans="2:15" ht="15" customHeight="1">
      <c r="B91" s="214" t="s">
        <v>2397</v>
      </c>
      <c r="G91">
        <v>17</v>
      </c>
      <c r="H91" s="23">
        <v>0.25</v>
      </c>
      <c r="I91" s="621">
        <f t="shared" si="0"/>
        <v>5.8823529411764705E-2</v>
      </c>
      <c r="J91" s="621">
        <f t="shared" si="1"/>
        <v>1.4705882352941176E-2</v>
      </c>
      <c r="O91" s="117">
        <f>ROW()</f>
        <v>91</v>
      </c>
    </row>
    <row r="92" spans="2:15" ht="15" customHeight="1">
      <c r="B92" s="214" t="s">
        <v>1487</v>
      </c>
      <c r="G92">
        <v>20</v>
      </c>
      <c r="H92" s="23">
        <v>0.03</v>
      </c>
      <c r="I92" s="621">
        <f t="shared" si="0"/>
        <v>0.05</v>
      </c>
      <c r="J92" s="621">
        <f t="shared" si="1"/>
        <v>1.5E-3</v>
      </c>
      <c r="O92" s="117">
        <f>ROW()</f>
        <v>92</v>
      </c>
    </row>
    <row r="93" spans="2:15" ht="15" customHeight="1">
      <c r="B93" s="214" t="s">
        <v>1485</v>
      </c>
      <c r="G93">
        <v>22</v>
      </c>
      <c r="H93" s="23">
        <v>0.1</v>
      </c>
      <c r="I93" s="621">
        <f t="shared" si="0"/>
        <v>4.5454545454545456E-2</v>
      </c>
      <c r="J93" s="621">
        <f t="shared" si="1"/>
        <v>4.5454545454545461E-3</v>
      </c>
      <c r="O93" s="117">
        <f>ROW()</f>
        <v>93</v>
      </c>
    </row>
    <row r="94" spans="2:15" ht="15" customHeight="1">
      <c r="B94" s="214" t="s">
        <v>474</v>
      </c>
      <c r="G94">
        <v>23</v>
      </c>
      <c r="H94" s="23">
        <v>0.2</v>
      </c>
      <c r="I94" s="621">
        <f t="shared" si="0"/>
        <v>4.3478260869565216E-2</v>
      </c>
      <c r="J94" s="621">
        <f t="shared" si="1"/>
        <v>8.6956521739130436E-3</v>
      </c>
      <c r="O94" s="117">
        <f>ROW()</f>
        <v>94</v>
      </c>
    </row>
    <row r="95" spans="2:15" ht="15" customHeight="1">
      <c r="B95" s="214" t="s">
        <v>409</v>
      </c>
      <c r="G95">
        <v>30</v>
      </c>
      <c r="H95" s="23">
        <v>0.12</v>
      </c>
      <c r="I95" s="621">
        <f t="shared" si="0"/>
        <v>3.3333333333333333E-2</v>
      </c>
      <c r="J95" s="621">
        <f t="shared" si="1"/>
        <v>4.0000000000000001E-3</v>
      </c>
      <c r="O95" s="117">
        <f>ROW()</f>
        <v>95</v>
      </c>
    </row>
    <row r="96" spans="2:15" ht="15" customHeight="1">
      <c r="B96" s="214" t="s">
        <v>2531</v>
      </c>
      <c r="G96" s="1824">
        <f>1/SUMPRODUCT(H90:H95,I90:I95)</f>
        <v>18.223048491394639</v>
      </c>
      <c r="H96" s="48">
        <f>SUM(H90:H95)</f>
        <v>1</v>
      </c>
      <c r="J96" s="597">
        <f>SUM(J90:J95)</f>
        <v>5.4875560500880188E-2</v>
      </c>
      <c r="K96" s="621"/>
      <c r="L96" s="117"/>
      <c r="O96" s="117">
        <f>ROW()</f>
        <v>96</v>
      </c>
    </row>
    <row r="97" spans="2:15" ht="15" customHeight="1">
      <c r="B97" s="5056" t="s">
        <v>3580</v>
      </c>
      <c r="C97" s="3726"/>
      <c r="D97" s="3726"/>
      <c r="E97" s="3726"/>
      <c r="F97" s="3726"/>
      <c r="G97" s="3726"/>
      <c r="H97" s="3726"/>
      <c r="I97" s="3726"/>
      <c r="J97" s="3726"/>
      <c r="O97" s="117">
        <f>ROW()</f>
        <v>97</v>
      </c>
    </row>
    <row r="98" spans="2:15" ht="15" customHeight="1">
      <c r="B98" s="3726"/>
      <c r="C98" s="3726"/>
      <c r="D98" s="3726"/>
      <c r="E98" s="3726"/>
      <c r="F98" s="3726"/>
      <c r="G98" s="3726"/>
      <c r="H98" s="3726"/>
      <c r="I98" s="3726"/>
      <c r="J98" s="3726"/>
      <c r="O98" s="117">
        <f>ROW()</f>
        <v>98</v>
      </c>
    </row>
    <row r="99" spans="2:15" ht="15" customHeight="1">
      <c r="B99" s="3726"/>
      <c r="C99" s="3726"/>
      <c r="D99" s="3726"/>
      <c r="E99" s="3726"/>
      <c r="F99" s="3726"/>
      <c r="G99" s="3726"/>
      <c r="H99" s="3726"/>
      <c r="I99" s="3726"/>
      <c r="J99" s="3726"/>
      <c r="O99" s="117">
        <f>ROW()</f>
        <v>99</v>
      </c>
    </row>
    <row r="100" spans="2:15" ht="15" customHeight="1">
      <c r="B100" s="954"/>
      <c r="C100" s="954"/>
      <c r="D100" s="954"/>
      <c r="E100" s="954"/>
      <c r="F100" s="954"/>
      <c r="G100" s="954"/>
      <c r="H100" s="954"/>
      <c r="I100" s="954"/>
      <c r="J100" s="954"/>
      <c r="O100" s="117">
        <f>ROW()</f>
        <v>100</v>
      </c>
    </row>
    <row r="101" spans="2:15" ht="15" customHeight="1">
      <c r="B101" s="24" t="s">
        <v>3581</v>
      </c>
      <c r="O101" s="117">
        <f>ROW()</f>
        <v>101</v>
      </c>
    </row>
    <row r="102" spans="2:15" ht="15" customHeight="1">
      <c r="O102" s="117">
        <f>ROW()</f>
        <v>102</v>
      </c>
    </row>
    <row r="103" spans="2:15" ht="15" customHeight="1">
      <c r="B103" s="518" t="s">
        <v>3585</v>
      </c>
      <c r="C103" s="45"/>
      <c r="D103" s="45"/>
      <c r="E103" s="45"/>
      <c r="F103" s="45"/>
      <c r="G103" s="45"/>
      <c r="H103" s="45"/>
      <c r="I103" s="45"/>
      <c r="J103" s="45"/>
      <c r="K103" s="4606" t="s">
        <v>1848</v>
      </c>
      <c r="O103" s="117">
        <f>ROW()</f>
        <v>103</v>
      </c>
    </row>
    <row r="104" spans="2:15" ht="15" customHeight="1">
      <c r="B104" s="172"/>
      <c r="C104" s="45"/>
      <c r="D104" s="45"/>
      <c r="E104" s="45"/>
      <c r="F104" s="45"/>
      <c r="G104" s="45"/>
      <c r="H104" s="45"/>
      <c r="I104" s="45"/>
      <c r="J104" s="863" t="s">
        <v>1864</v>
      </c>
      <c r="K104" s="3807"/>
      <c r="O104" s="117">
        <f>ROW()</f>
        <v>104</v>
      </c>
    </row>
    <row r="105" spans="2:15" ht="15" customHeight="1">
      <c r="B105" s="316" t="s">
        <v>3603</v>
      </c>
      <c r="C105" s="45"/>
      <c r="D105" s="45"/>
      <c r="E105" s="45"/>
      <c r="F105" s="45"/>
      <c r="G105" s="45"/>
      <c r="H105" s="45"/>
      <c r="I105" s="45"/>
      <c r="K105" s="21">
        <f ca="1">Buses!H108</f>
        <v>16.222839410765456</v>
      </c>
      <c r="O105" s="117">
        <f>ROW()</f>
        <v>105</v>
      </c>
    </row>
    <row r="106" spans="2:15" ht="15" customHeight="1">
      <c r="B106" s="314" t="str">
        <f>CONCATENATE("From 'Buses' worksheet, Row ",Buses!O108, ".")</f>
        <v>From 'Buses' worksheet, Row 108.</v>
      </c>
      <c r="C106" s="2134"/>
      <c r="D106" s="2134"/>
      <c r="E106" s="2134"/>
      <c r="F106" s="2134"/>
      <c r="G106" s="2134"/>
      <c r="H106" s="2134"/>
      <c r="I106" s="2134"/>
      <c r="K106" s="21"/>
      <c r="O106" s="117">
        <f>ROW()</f>
        <v>106</v>
      </c>
    </row>
    <row r="107" spans="2:15" ht="15" customHeight="1">
      <c r="B107" s="281"/>
      <c r="K107" s="21"/>
      <c r="O107" s="117">
        <f>ROW()</f>
        <v>107</v>
      </c>
    </row>
    <row r="108" spans="2:15" ht="15" customHeight="1">
      <c r="B108" s="918" t="s">
        <v>3588</v>
      </c>
      <c r="K108" s="21"/>
      <c r="O108" s="117">
        <f>ROW()</f>
        <v>108</v>
      </c>
    </row>
    <row r="109" spans="2:15" ht="15" customHeight="1">
      <c r="B109" s="918"/>
      <c r="K109" s="21"/>
      <c r="O109" s="117">
        <f>ROW()</f>
        <v>109</v>
      </c>
    </row>
    <row r="110" spans="2:15" ht="15" customHeight="1">
      <c r="B110" s="317" t="s">
        <v>2909</v>
      </c>
      <c r="K110" s="21"/>
      <c r="O110" s="117">
        <f>ROW()</f>
        <v>110</v>
      </c>
    </row>
    <row r="111" spans="2:15" ht="15" customHeight="1">
      <c r="B111" s="214" t="s">
        <v>2673</v>
      </c>
      <c r="J111" s="5045">
        <f>Buses!J183</f>
        <v>311.14676353102357</v>
      </c>
      <c r="K111" s="5046"/>
      <c r="O111" s="117">
        <f>ROW()</f>
        <v>111</v>
      </c>
    </row>
    <row r="112" spans="2:15" ht="15" customHeight="1">
      <c r="B112" s="214" t="s">
        <v>2509</v>
      </c>
      <c r="D112" s="4354" t="str">
        <f>CONCATENATE("Daily fig. = 'Annual fig. in Row ",$O$105, " div. by year/day ratio in Row ",O111, ". Annual fig. multiplies that by weekdays in year.")</f>
        <v>Daily fig. = 'Annual fig. in Row 105 div. by year/day ratio in Row 111. Annual fig. multiplies that by weekdays in year.</v>
      </c>
      <c r="E112" s="3786"/>
      <c r="F112" s="3786"/>
      <c r="G112" s="3786"/>
      <c r="J112" s="1243">
        <f ca="1">ROUND($K$105*1000000/J111,-3)</f>
        <v>52000</v>
      </c>
      <c r="K112" s="91">
        <f ca="1">J112*Constants!$J$25/1000000</f>
        <v>13</v>
      </c>
      <c r="O112" s="117">
        <f>ROW()</f>
        <v>112</v>
      </c>
    </row>
    <row r="113" spans="2:15" ht="15" customHeight="1">
      <c r="D113" s="3786"/>
      <c r="E113" s="3786"/>
      <c r="F113" s="3786"/>
      <c r="G113" s="3786"/>
      <c r="H113" s="8" t="s">
        <v>2065</v>
      </c>
      <c r="I113" s="8" t="s">
        <v>2066</v>
      </c>
      <c r="J113" s="8" t="s">
        <v>228</v>
      </c>
      <c r="O113" s="117">
        <f>ROW()</f>
        <v>113</v>
      </c>
    </row>
    <row r="114" spans="2:15" ht="15" customHeight="1">
      <c r="B114" s="316" t="s">
        <v>3582</v>
      </c>
      <c r="H114" s="23">
        <f>Buses!H34</f>
        <v>0.4</v>
      </c>
      <c r="I114" s="23">
        <f>Buses!I34</f>
        <v>0.6</v>
      </c>
      <c r="J114" s="20"/>
      <c r="O114" s="117">
        <f>ROW()</f>
        <v>114</v>
      </c>
    </row>
    <row r="115" spans="2:15" ht="15" customHeight="1">
      <c r="B115" s="214" t="s">
        <v>1550</v>
      </c>
      <c r="H115" s="1243">
        <f ca="1">H114*$J$112</f>
        <v>20800</v>
      </c>
      <c r="I115" s="1243">
        <f ca="1">I114*$J$112</f>
        <v>31200</v>
      </c>
      <c r="O115" s="117">
        <f>ROW()</f>
        <v>115</v>
      </c>
    </row>
    <row r="116" spans="2:15" ht="15" customHeight="1">
      <c r="B116" s="214" t="s">
        <v>2508</v>
      </c>
      <c r="H116" s="23">
        <f>ROUND((2*Elasticities!F97),1)/2</f>
        <v>0.95</v>
      </c>
      <c r="I116" s="23">
        <f>ROUND((2*Elasticities!G97),1)/2</f>
        <v>0.5</v>
      </c>
      <c r="O116" s="117">
        <f>ROW()</f>
        <v>116</v>
      </c>
    </row>
    <row r="117" spans="2:15" ht="15" customHeight="1">
      <c r="B117" s="5052" t="s">
        <v>54</v>
      </c>
      <c r="C117" s="3726"/>
      <c r="D117" s="3726"/>
      <c r="E117" s="3726"/>
      <c r="F117" s="3726"/>
      <c r="G117" s="3726"/>
      <c r="H117" s="3726"/>
      <c r="I117" s="3726"/>
      <c r="J117" s="3726"/>
      <c r="O117" s="117">
        <f>ROW()</f>
        <v>117</v>
      </c>
    </row>
    <row r="118" spans="2:15" ht="15" customHeight="1">
      <c r="B118" s="3726"/>
      <c r="C118" s="3726"/>
      <c r="D118" s="3726"/>
      <c r="E118" s="3726"/>
      <c r="F118" s="3726"/>
      <c r="G118" s="3726"/>
      <c r="H118" s="3726"/>
      <c r="I118" s="3726"/>
      <c r="J118" s="3726"/>
      <c r="O118" s="117">
        <f>ROW()</f>
        <v>118</v>
      </c>
    </row>
    <row r="119" spans="2:15" ht="15" customHeight="1">
      <c r="B119" s="214" t="s">
        <v>2456</v>
      </c>
      <c r="H119" s="1243">
        <f ca="1">-H115*H116</f>
        <v>-19760</v>
      </c>
      <c r="I119" s="1243">
        <f ca="1">-I115*I116</f>
        <v>-15600</v>
      </c>
      <c r="J119" s="1243">
        <f ca="1">H119+I119</f>
        <v>-35360</v>
      </c>
      <c r="K119" s="91">
        <f ca="1">J119*Constants!$J$25/1000000</f>
        <v>-8.84</v>
      </c>
      <c r="O119" s="117">
        <f>ROW()</f>
        <v>119</v>
      </c>
    </row>
    <row r="120" spans="2:15" ht="15" customHeight="1">
      <c r="B120" s="1815" t="s">
        <v>5809</v>
      </c>
      <c r="H120" s="1243">
        <f ca="1">H119/H.I.S.!G$128</f>
        <v>-17182.608695652176</v>
      </c>
      <c r="I120" s="1243">
        <f ca="1">I119/H.I.S.!H$128</f>
        <v>-10400</v>
      </c>
      <c r="J120" s="1243">
        <f ca="1">H120+I120</f>
        <v>-27582.608695652176</v>
      </c>
      <c r="K120" s="121">
        <f ca="1">J120*Constants!$J$25/1000000</f>
        <v>-6.8956521739130441</v>
      </c>
      <c r="O120" s="117">
        <f>ROW()</f>
        <v>120</v>
      </c>
    </row>
    <row r="121" spans="2:15" ht="15" customHeight="1">
      <c r="B121" s="213"/>
      <c r="K121" s="121"/>
      <c r="O121" s="117">
        <f>ROW()</f>
        <v>121</v>
      </c>
    </row>
    <row r="122" spans="2:15" ht="15" customHeight="1">
      <c r="B122" s="317" t="s">
        <v>2919</v>
      </c>
      <c r="O122" s="117">
        <f>ROW()</f>
        <v>122</v>
      </c>
    </row>
    <row r="123" spans="2:15" ht="15" customHeight="1">
      <c r="B123" s="214" t="s">
        <v>1108</v>
      </c>
      <c r="J123">
        <f>Transit!I273</f>
        <v>3.63</v>
      </c>
      <c r="O123" s="117">
        <f>ROW()</f>
        <v>123</v>
      </c>
    </row>
    <row r="124" spans="2:15" ht="15" customHeight="1">
      <c r="B124" s="5052" t="s">
        <v>3869</v>
      </c>
      <c r="C124" s="3726"/>
      <c r="D124" s="3726"/>
      <c r="E124" s="3726"/>
      <c r="F124" s="3726"/>
      <c r="G124" s="3726"/>
      <c r="H124" s="3726"/>
      <c r="I124" s="3726"/>
      <c r="J124" s="3726"/>
      <c r="O124" s="117">
        <f>ROW()</f>
        <v>124</v>
      </c>
    </row>
    <row r="125" spans="2:15" ht="15" customHeight="1">
      <c r="B125" s="3726"/>
      <c r="C125" s="3726"/>
      <c r="D125" s="3726"/>
      <c r="E125" s="3726"/>
      <c r="F125" s="3726"/>
      <c r="G125" s="3726"/>
      <c r="H125" s="3726"/>
      <c r="I125" s="3726"/>
      <c r="J125" s="3726"/>
      <c r="O125" s="117">
        <f>ROW()</f>
        <v>125</v>
      </c>
    </row>
    <row r="126" spans="2:15" ht="15" customHeight="1">
      <c r="B126" s="3726"/>
      <c r="C126" s="3726"/>
      <c r="D126" s="3726"/>
      <c r="E126" s="3726"/>
      <c r="F126" s="3726"/>
      <c r="G126" s="3726"/>
      <c r="H126" s="3726"/>
      <c r="I126" s="3726"/>
      <c r="J126" s="3726"/>
      <c r="O126" s="117">
        <f>ROW()</f>
        <v>126</v>
      </c>
    </row>
    <row r="127" spans="2:15" ht="15" customHeight="1">
      <c r="B127" s="3726"/>
      <c r="C127" s="3726"/>
      <c r="D127" s="3726"/>
      <c r="E127" s="3726"/>
      <c r="F127" s="3726"/>
      <c r="G127" s="3726"/>
      <c r="H127" s="3726"/>
      <c r="I127" s="3726"/>
      <c r="J127" s="3726"/>
      <c r="O127" s="117">
        <f>ROW()</f>
        <v>127</v>
      </c>
    </row>
    <row r="128" spans="2:15" s="2" customFormat="1" ht="15" customHeight="1">
      <c r="B128" s="1815" t="s">
        <v>2116</v>
      </c>
      <c r="J128" s="2152">
        <f ca="1">J120*J123</f>
        <v>-100124.86956521739</v>
      </c>
      <c r="K128" s="2150">
        <f ca="1">J128*Constants!$J$25/1000000</f>
        <v>-25.031217391304349</v>
      </c>
      <c r="O128" s="1824">
        <f>ROW()</f>
        <v>128</v>
      </c>
    </row>
    <row r="129" spans="2:15" ht="15" customHeight="1">
      <c r="B129" s="314" t="str">
        <f>CONCATENATE("Calculated as product of Row ",O120, " daily or yearly trip figures and miles-per-trip figure in Row ",O123, ".")</f>
        <v>Calculated as product of Row 120 daily or yearly trip figures and miles-per-trip figure in Row 123.</v>
      </c>
      <c r="J129" s="1132"/>
      <c r="K129" s="2150"/>
      <c r="O129" s="117">
        <f>ROW()</f>
        <v>129</v>
      </c>
    </row>
    <row r="130" spans="2:15" ht="15" customHeight="1">
      <c r="B130" s="281"/>
      <c r="J130" s="1"/>
      <c r="O130" s="117">
        <f>ROW()</f>
        <v>130</v>
      </c>
    </row>
    <row r="131" spans="2:15" ht="15" customHeight="1">
      <c r="B131" s="918" t="s">
        <v>3589</v>
      </c>
      <c r="J131" s="1"/>
      <c r="K131" s="4606" t="s">
        <v>1848</v>
      </c>
      <c r="O131" s="117">
        <f>ROW()</f>
        <v>131</v>
      </c>
    </row>
    <row r="132" spans="2:15" ht="15" customHeight="1">
      <c r="B132" s="918"/>
      <c r="J132" s="1"/>
      <c r="K132" s="4606"/>
      <c r="O132" s="117">
        <f>ROW()</f>
        <v>132</v>
      </c>
    </row>
    <row r="133" spans="2:15" ht="15" customHeight="1">
      <c r="B133" s="317" t="s">
        <v>2909</v>
      </c>
      <c r="J133" s="863" t="s">
        <v>1864</v>
      </c>
      <c r="K133" s="3807"/>
      <c r="O133" s="117">
        <f>ROW()</f>
        <v>133</v>
      </c>
    </row>
    <row r="134" spans="2:15" ht="15" customHeight="1">
      <c r="B134" s="214" t="s">
        <v>2117</v>
      </c>
      <c r="J134" s="5045">
        <f>Buses!J185</f>
        <v>585.18517728047061</v>
      </c>
      <c r="K134" s="5046"/>
      <c r="O134" s="117">
        <f>ROW()</f>
        <v>134</v>
      </c>
    </row>
    <row r="135" spans="2:15" ht="15" customHeight="1">
      <c r="B135" s="214" t="s">
        <v>1340</v>
      </c>
      <c r="D135" s="4870" t="str">
        <f>CONCATENATE("Daily fig. = 'Annual fig. in Row ",$O$105, " div. by year/day ratio in Row ",O134, ". Annual fig. multiplies that by wknd days in yr.")</f>
        <v>Daily fig. = 'Annual fig. in Row 105 div. by year/day ratio in Row 134. Annual fig. multiplies that by wknd days in yr.</v>
      </c>
      <c r="E135" s="3810"/>
      <c r="F135" s="3810"/>
      <c r="G135" s="3810"/>
      <c r="J135" s="1243">
        <f ca="1">ROUND($K$105*1000000/J134,-3)</f>
        <v>28000</v>
      </c>
      <c r="K135" s="91">
        <f ca="1">J135*Constants!$J$27/1000000</f>
        <v>3.22</v>
      </c>
      <c r="O135" s="117">
        <f>ROW()</f>
        <v>135</v>
      </c>
    </row>
    <row r="136" spans="2:15" ht="15" customHeight="1">
      <c r="D136" s="3810"/>
      <c r="E136" s="3810"/>
      <c r="F136" s="3810"/>
      <c r="G136" s="3810"/>
      <c r="H136" s="20" t="s">
        <v>2065</v>
      </c>
      <c r="I136" s="20" t="s">
        <v>2066</v>
      </c>
      <c r="J136" s="20" t="s">
        <v>228</v>
      </c>
      <c r="O136" s="117">
        <f>ROW()</f>
        <v>136</v>
      </c>
    </row>
    <row r="137" spans="2:15" ht="15" customHeight="1">
      <c r="B137" s="214" t="s">
        <v>2507</v>
      </c>
      <c r="H137" s="23">
        <v>0.2</v>
      </c>
      <c r="I137" s="23">
        <f>1-H137</f>
        <v>0.8</v>
      </c>
      <c r="J137" s="20"/>
      <c r="O137" s="117">
        <f>ROW()</f>
        <v>137</v>
      </c>
    </row>
    <row r="138" spans="2:15" ht="15" customHeight="1">
      <c r="B138" s="214" t="s">
        <v>111</v>
      </c>
      <c r="H138" s="1243">
        <f ca="1">H137*$J$135</f>
        <v>5600</v>
      </c>
      <c r="I138" s="1243">
        <f ca="1">I137*$J$135</f>
        <v>22400</v>
      </c>
      <c r="O138" s="117">
        <f>ROW()</f>
        <v>138</v>
      </c>
    </row>
    <row r="139" spans="2:15" ht="15" customHeight="1">
      <c r="B139" s="316" t="s">
        <v>3584</v>
      </c>
      <c r="H139" s="23">
        <f>H116</f>
        <v>0.95</v>
      </c>
      <c r="I139" s="23">
        <f>I116</f>
        <v>0.5</v>
      </c>
      <c r="O139" s="117">
        <f>ROW()</f>
        <v>139</v>
      </c>
    </row>
    <row r="140" spans="2:15" ht="15" customHeight="1">
      <c r="B140" s="214" t="s">
        <v>2456</v>
      </c>
      <c r="H140" s="1243">
        <f ca="1">-H138*H139</f>
        <v>-5320</v>
      </c>
      <c r="I140" s="1243">
        <f ca="1">-I138*I139</f>
        <v>-11200</v>
      </c>
      <c r="J140" s="1243">
        <f ca="1">H140+I140</f>
        <v>-16520</v>
      </c>
      <c r="K140" s="91">
        <f ca="1">J140*((Constants!$J$21-Constants!$J$25)/1000000)</f>
        <v>-1.9039299999999999</v>
      </c>
      <c r="O140" s="117">
        <f>ROW()</f>
        <v>140</v>
      </c>
    </row>
    <row r="141" spans="2:15" ht="15" customHeight="1">
      <c r="B141" s="1815" t="s">
        <v>3583</v>
      </c>
      <c r="H141" s="1243">
        <f ca="1">H140/H.I.S.!G$128</f>
        <v>-4626.0869565217399</v>
      </c>
      <c r="I141" s="1243">
        <f ca="1">I140/H.I.S.!H$128</f>
        <v>-7466.666666666667</v>
      </c>
      <c r="J141" s="1243">
        <f ca="1">H141+I141</f>
        <v>-12092.753623188408</v>
      </c>
      <c r="K141" s="121">
        <f ca="1">J141*((Constants!$J$21-Constants!$J$25)/1000000)</f>
        <v>-1.3936898550724639</v>
      </c>
      <c r="O141" s="117">
        <f>ROW()</f>
        <v>141</v>
      </c>
    </row>
    <row r="142" spans="2:15" ht="15" customHeight="1">
      <c r="B142" s="213"/>
      <c r="K142" s="121"/>
      <c r="O142" s="117">
        <f>ROW()</f>
        <v>142</v>
      </c>
    </row>
    <row r="143" spans="2:15" ht="15" customHeight="1">
      <c r="B143" s="317" t="s">
        <v>2919</v>
      </c>
      <c r="O143" s="117">
        <f>ROW()</f>
        <v>143</v>
      </c>
    </row>
    <row r="144" spans="2:15" ht="15" customHeight="1">
      <c r="B144" s="214" t="s">
        <v>1971</v>
      </c>
      <c r="J144">
        <f>J123</f>
        <v>3.63</v>
      </c>
      <c r="O144" s="117">
        <f>ROW()</f>
        <v>144</v>
      </c>
    </row>
    <row r="145" spans="2:15" s="2" customFormat="1" ht="15" customHeight="1">
      <c r="B145" s="1815" t="s">
        <v>2457</v>
      </c>
      <c r="I145" s="2151"/>
      <c r="J145" s="2151">
        <f ca="1">J141*J144</f>
        <v>-43896.695652173919</v>
      </c>
      <c r="K145" s="2150">
        <f ca="1">J145*((Constants!$J$21-Constants!$J$25)/1000000)</f>
        <v>-5.0590941739130439</v>
      </c>
      <c r="O145" s="1824">
        <f>ROW()</f>
        <v>145</v>
      </c>
    </row>
    <row r="146" spans="2:15" s="2" customFormat="1" ht="15" customHeight="1">
      <c r="B146" s="1815"/>
      <c r="I146" s="2151"/>
      <c r="J146" s="2151"/>
      <c r="K146" s="2150"/>
      <c r="O146" s="1824">
        <f>ROW()</f>
        <v>146</v>
      </c>
    </row>
    <row r="147" spans="2:15" ht="15" customHeight="1">
      <c r="B147" s="281"/>
      <c r="J147" s="1"/>
      <c r="K147" s="8" t="s">
        <v>1263</v>
      </c>
      <c r="O147" s="117">
        <f>ROW()</f>
        <v>147</v>
      </c>
    </row>
    <row r="148" spans="2:15" ht="15" customHeight="1">
      <c r="B148" s="213" t="s">
        <v>1262</v>
      </c>
      <c r="J148" s="1"/>
      <c r="K148" s="121">
        <f ca="1">K128+K145</f>
        <v>-30.090311565217391</v>
      </c>
      <c r="O148" s="117">
        <f>ROW()</f>
        <v>148</v>
      </c>
    </row>
    <row r="149" spans="2:15" ht="15" customHeight="1">
      <c r="B149" s="314" t="str">
        <f>CONCATENATE("Sum of Rows ",O128, " and ",O145, ".")</f>
        <v>Sum of Rows 128 and 145.</v>
      </c>
      <c r="J149" s="1"/>
      <c r="K149" s="121"/>
      <c r="O149" s="1824">
        <f>ROW()</f>
        <v>149</v>
      </c>
    </row>
    <row r="150" spans="2:15" ht="15" customHeight="1">
      <c r="B150" s="507" t="s">
        <v>3586</v>
      </c>
      <c r="J150" s="1"/>
      <c r="K150" s="12">
        <f ca="1">$K$148/$G50</f>
        <v>-1.2495177422106453E-3</v>
      </c>
      <c r="O150" s="117">
        <f>ROW()</f>
        <v>150</v>
      </c>
    </row>
    <row r="151" spans="2:15" ht="15" customHeight="1">
      <c r="B151" s="314" t="str">
        <f>CONCATENATE("Ratio of Auto VMT change in Row ",O148, " to baseline citywide VMT in Row ",$O$50, ".")</f>
        <v>Ratio of Auto VMT change in Row 148 to baseline citywide VMT in Row 50.</v>
      </c>
      <c r="J151" s="1"/>
      <c r="K151" s="12"/>
      <c r="O151" s="1824">
        <f>ROW()</f>
        <v>151</v>
      </c>
    </row>
    <row r="152" spans="2:15" ht="15" customHeight="1">
      <c r="B152" s="507" t="s">
        <v>3587</v>
      </c>
      <c r="J152" s="1"/>
      <c r="K152" s="12">
        <f ca="1">$K$148/$G60</f>
        <v>-1.6660236562808604E-3</v>
      </c>
      <c r="O152" s="117">
        <f>ROW()</f>
        <v>152</v>
      </c>
    </row>
    <row r="153" spans="2:15" ht="15" customHeight="1">
      <c r="B153" s="314" t="str">
        <f>CONCATENATE("Ratio of Auto VMT change in Row ",O148, " to baseline auto citywide VMT in Row ",$O$60, ".")</f>
        <v>Ratio of Auto VMT change in Row 148 to baseline auto citywide VMT in Row 60.</v>
      </c>
      <c r="J153" s="1"/>
      <c r="K153" s="12"/>
      <c r="O153" s="1824">
        <f>ROW()</f>
        <v>153</v>
      </c>
    </row>
    <row r="154" spans="2:15" ht="15" customHeight="1">
      <c r="B154" s="518"/>
      <c r="O154" s="117">
        <f>ROW()</f>
        <v>154</v>
      </c>
    </row>
    <row r="155" spans="2:15" ht="15" customHeight="1">
      <c r="B155" s="518" t="s">
        <v>3604</v>
      </c>
      <c r="C155" s="45"/>
      <c r="D155" s="45"/>
      <c r="E155" s="45"/>
      <c r="F155" s="45"/>
      <c r="G155" s="45"/>
      <c r="H155" s="45"/>
      <c r="I155" s="45"/>
      <c r="O155" s="117">
        <f>ROW()</f>
        <v>155</v>
      </c>
    </row>
    <row r="156" spans="2:15" ht="15" customHeight="1">
      <c r="C156" s="2137"/>
      <c r="D156" s="2137"/>
      <c r="E156" s="2137"/>
      <c r="F156" s="2137"/>
      <c r="G156" s="2137"/>
      <c r="H156" s="2137"/>
      <c r="I156" s="2137"/>
      <c r="O156" s="117">
        <f>ROW()</f>
        <v>156</v>
      </c>
    </row>
    <row r="157" spans="2:15" ht="15" customHeight="1">
      <c r="B157" s="4617" t="s">
        <v>5810</v>
      </c>
      <c r="C157" s="3786"/>
      <c r="D157" s="3786"/>
      <c r="E157" s="3786"/>
      <c r="F157" s="3786"/>
      <c r="G157" s="3786"/>
      <c r="H157" s="3786"/>
      <c r="I157" s="3786"/>
      <c r="J157" s="1073"/>
      <c r="K157" s="1073"/>
      <c r="O157" s="117">
        <f>ROW()</f>
        <v>157</v>
      </c>
    </row>
    <row r="158" spans="2:15" ht="15" customHeight="1">
      <c r="B158" s="3786"/>
      <c r="C158" s="3786"/>
      <c r="D158" s="3786"/>
      <c r="E158" s="3786"/>
      <c r="F158" s="3786"/>
      <c r="G158" s="3786"/>
      <c r="H158" s="3786"/>
      <c r="I158" s="3786"/>
      <c r="J158" s="1073"/>
      <c r="K158" s="1073"/>
      <c r="O158" s="117">
        <f>ROW()</f>
        <v>158</v>
      </c>
    </row>
    <row r="159" spans="2:15" ht="15" customHeight="1">
      <c r="C159" s="213"/>
      <c r="D159" s="213"/>
      <c r="E159" s="213"/>
      <c r="F159" s="213"/>
      <c r="G159" s="213"/>
      <c r="H159" s="213"/>
      <c r="I159" s="213"/>
      <c r="J159" s="863"/>
      <c r="K159" s="199"/>
      <c r="O159" s="117">
        <f>ROW()</f>
        <v>159</v>
      </c>
    </row>
    <row r="160" spans="2:15" ht="15" customHeight="1">
      <c r="B160" s="213" t="s">
        <v>3605</v>
      </c>
      <c r="C160" s="213"/>
      <c r="D160" s="213"/>
      <c r="E160" s="213"/>
      <c r="F160" s="213"/>
      <c r="G160" s="213"/>
      <c r="H160" s="213"/>
      <c r="I160" s="213"/>
      <c r="J160" s="45"/>
      <c r="K160" s="4606" t="s">
        <v>1848</v>
      </c>
      <c r="O160" s="117">
        <f>ROW()</f>
        <v>160</v>
      </c>
    </row>
    <row r="161" spans="2:15" ht="15" customHeight="1">
      <c r="B161" s="918"/>
      <c r="J161" s="863" t="s">
        <v>1864</v>
      </c>
      <c r="K161" s="3807"/>
      <c r="O161" s="117">
        <f>ROW()</f>
        <v>161</v>
      </c>
    </row>
    <row r="162" spans="2:15" ht="15" customHeight="1">
      <c r="B162" s="317" t="s">
        <v>2240</v>
      </c>
      <c r="K162" s="21"/>
      <c r="O162" s="117">
        <f>ROW()</f>
        <v>162</v>
      </c>
    </row>
    <row r="163" spans="2:15" ht="15" customHeight="1">
      <c r="B163" s="317"/>
      <c r="K163" s="21"/>
      <c r="O163" s="117">
        <f>ROW()</f>
        <v>163</v>
      </c>
    </row>
    <row r="164" spans="2:15" ht="15" customHeight="1">
      <c r="B164" s="316" t="s">
        <v>3601</v>
      </c>
      <c r="C164" s="2137"/>
      <c r="D164" s="2137"/>
      <c r="E164" s="2137"/>
      <c r="F164" s="2137"/>
      <c r="G164" s="2137"/>
      <c r="H164" s="2137"/>
      <c r="I164" s="2137"/>
      <c r="J164" s="22">
        <f>Subways!$N$53</f>
        <v>0.80300000000000005</v>
      </c>
      <c r="K164" s="2139"/>
      <c r="O164" s="117">
        <f>ROW()</f>
        <v>164</v>
      </c>
    </row>
    <row r="165" spans="2:15" ht="15" customHeight="1">
      <c r="B165" s="864" t="str">
        <f>CONCATENATE("Taken directly from Subways worksheet, Row ",Subways!O53, ".")</f>
        <v>Taken directly from Subways worksheet, Row 53.</v>
      </c>
      <c r="C165" s="2137"/>
      <c r="D165" s="2137"/>
      <c r="E165" s="2137"/>
      <c r="F165" s="2137"/>
      <c r="G165" s="2137"/>
      <c r="H165" s="2137"/>
      <c r="I165" s="2137"/>
      <c r="J165" s="863"/>
      <c r="K165" s="2139"/>
      <c r="O165" s="117">
        <f>ROW()</f>
        <v>165</v>
      </c>
    </row>
    <row r="166" spans="2:15" ht="15" customHeight="1">
      <c r="B166" s="316" t="s">
        <v>3602</v>
      </c>
      <c r="C166" s="2137"/>
      <c r="D166" s="2137"/>
      <c r="E166" s="2137"/>
      <c r="F166" s="2137"/>
      <c r="G166" s="2137"/>
      <c r="H166" s="2137"/>
      <c r="I166" s="2137"/>
      <c r="J166" s="22">
        <f>1-J164</f>
        <v>0.19699999999999995</v>
      </c>
      <c r="K166" s="21"/>
      <c r="O166" s="117">
        <f>ROW()</f>
        <v>166</v>
      </c>
    </row>
    <row r="167" spans="2:15" ht="15" customHeight="1">
      <c r="B167" s="864" t="str">
        <f>CONCATENATE("Complement of Row ",O164, ".")</f>
        <v>Complement of Row 164.</v>
      </c>
      <c r="C167" s="2137"/>
      <c r="D167" s="2137"/>
      <c r="E167" s="2137"/>
      <c r="F167" s="2137"/>
      <c r="G167" s="2137"/>
      <c r="H167" s="2137"/>
      <c r="I167" s="2137"/>
      <c r="J167" s="22"/>
      <c r="K167" s="21"/>
      <c r="O167" s="117">
        <f>ROW()</f>
        <v>167</v>
      </c>
    </row>
    <row r="168" spans="2:15" ht="15" customHeight="1">
      <c r="B168" s="316" t="s">
        <v>3606</v>
      </c>
      <c r="J168" s="1243">
        <f>J166*Subways!J47</f>
        <v>1002106.1009999998</v>
      </c>
      <c r="K168" s="21"/>
      <c r="O168" s="117">
        <f>ROW()</f>
        <v>168</v>
      </c>
    </row>
    <row r="169" spans="2:15" ht="15" customHeight="1">
      <c r="B169" s="864" t="str">
        <f>CONCATENATE("Product of percent in Row ",O166, " and average weekday subway rides in 'Subways' worksheet, Row ",Subways!O47, ".")</f>
        <v>Product of percent in Row 166 and average weekday subway rides in 'Subways' worksheet, Row 47.</v>
      </c>
      <c r="K169" s="21"/>
      <c r="O169" s="117">
        <f>ROW()</f>
        <v>169</v>
      </c>
    </row>
    <row r="170" spans="2:15" ht="15" customHeight="1">
      <c r="B170" s="316" t="s">
        <v>3607</v>
      </c>
      <c r="J170" s="117">
        <f ca="1">Subways!N553</f>
        <v>0.99552584587083592</v>
      </c>
      <c r="K170" s="21"/>
      <c r="O170" s="117">
        <f>ROW()</f>
        <v>170</v>
      </c>
    </row>
    <row r="171" spans="2:15" ht="15" customHeight="1">
      <c r="B171" s="864" t="str">
        <f>CONCATENATE("Derived in 'Subways' worksheet and shown there in Row ",Subways!O553, ".")</f>
        <v>Derived in 'Subways' worksheet and shown there in Row 553.</v>
      </c>
      <c r="K171" s="21"/>
      <c r="O171" s="117">
        <f>ROW()</f>
        <v>171</v>
      </c>
    </row>
    <row r="172" spans="2:15" ht="15" customHeight="1">
      <c r="B172" s="316" t="s">
        <v>3608</v>
      </c>
      <c r="J172" s="1219">
        <f>-Subways!$L$202</f>
        <v>8.4398477821031881E-2</v>
      </c>
      <c r="K172" s="21"/>
      <c r="O172" s="117">
        <f>ROW()</f>
        <v>172</v>
      </c>
    </row>
    <row r="173" spans="2:15" ht="15" customHeight="1">
      <c r="B173" s="864" t="str">
        <f>CONCATENATE("Derived in 'Subways' worksheet, Row ",Subways!O202, ", as sum of impacts from (i) capital investment and (ii) operational expenditures.")</f>
        <v>Derived in 'Subways' worksheet, Row 202, as sum of impacts from (i) capital investment and (ii) operational expenditures.</v>
      </c>
      <c r="K173" s="21"/>
      <c r="O173" s="117">
        <f>ROW()</f>
        <v>173</v>
      </c>
    </row>
    <row r="174" spans="2:15" ht="15" customHeight="1">
      <c r="B174" s="864"/>
      <c r="K174" s="21"/>
      <c r="O174" s="117">
        <f>ROW()</f>
        <v>174</v>
      </c>
    </row>
    <row r="175" spans="2:15" ht="15" customHeight="1">
      <c r="B175" s="317" t="s">
        <v>2909</v>
      </c>
      <c r="H175" s="8" t="s">
        <v>2065</v>
      </c>
      <c r="I175" s="8" t="s">
        <v>2066</v>
      </c>
      <c r="J175" s="8" t="s">
        <v>228</v>
      </c>
      <c r="K175" s="21"/>
      <c r="O175" s="117">
        <f>ROW()</f>
        <v>175</v>
      </c>
    </row>
    <row r="176" spans="2:15" ht="15" customHeight="1">
      <c r="B176" s="316" t="s">
        <v>3620</v>
      </c>
      <c r="H176" s="23">
        <f>Subways!K31</f>
        <v>0.6</v>
      </c>
      <c r="I176" s="23">
        <f>Subways!L31</f>
        <v>0.4</v>
      </c>
      <c r="K176" s="21"/>
      <c r="O176" s="117">
        <f>ROW()</f>
        <v>176</v>
      </c>
    </row>
    <row r="177" spans="2:15" ht="15" customHeight="1">
      <c r="B177" s="316" t="s">
        <v>3609</v>
      </c>
      <c r="H177" s="1243">
        <f>H176*$J$168</f>
        <v>601263.66059999983</v>
      </c>
      <c r="I177" s="1243">
        <f>I176*$J$168</f>
        <v>400842.44039999996</v>
      </c>
      <c r="J177" s="1179">
        <f>H177+I177</f>
        <v>1002106.1009999998</v>
      </c>
      <c r="K177" s="21"/>
      <c r="O177" s="117">
        <f>ROW()</f>
        <v>177</v>
      </c>
    </row>
    <row r="178" spans="2:15" ht="15" customHeight="1">
      <c r="B178" s="316" t="s">
        <v>3610</v>
      </c>
      <c r="H178" s="621">
        <f ca="1">$J170^Elasticities!G49</f>
        <v>1.0004036588283793</v>
      </c>
      <c r="I178" s="621">
        <f ca="1">$J170^Elasticities!H49</f>
        <v>1.0010498518972821</v>
      </c>
      <c r="K178" s="21"/>
      <c r="O178" s="117">
        <f>ROW()</f>
        <v>178</v>
      </c>
    </row>
    <row r="179" spans="2:15" ht="15" customHeight="1">
      <c r="B179" s="864" t="str">
        <f>CONCATENATE("Applies standard elasticity exponentiation from transit price-elasticities in 'Elasticity' worksheet, to factor in Row ",O170, ".")</f>
        <v>Applies standard elasticity exponentiation from transit price-elasticities in 'Elasticity' worksheet, to factor in Row 170.</v>
      </c>
      <c r="H179" s="621"/>
      <c r="I179" s="621"/>
      <c r="K179" s="21"/>
      <c r="O179" s="117">
        <f>ROW()</f>
        <v>179</v>
      </c>
    </row>
    <row r="180" spans="2:15" ht="15" customHeight="1">
      <c r="B180" s="316" t="s">
        <v>3611</v>
      </c>
      <c r="H180" s="621">
        <f>(1-$J172)^Elasticities!G50</f>
        <v>1.0450732871543211</v>
      </c>
      <c r="I180" s="621">
        <f>(1-$J172)^Elasticities!H50</f>
        <v>1.0496908745428539</v>
      </c>
      <c r="K180" s="21"/>
      <c r="O180" s="117">
        <f>ROW()</f>
        <v>180</v>
      </c>
    </row>
    <row r="181" spans="2:15" ht="15" customHeight="1">
      <c r="B181" s="316" t="s">
        <v>3612</v>
      </c>
      <c r="H181" s="621">
        <f ca="1">H178*H180</f>
        <v>1.0454951402129844</v>
      </c>
      <c r="I181" s="621">
        <f ca="1">I178*I180</f>
        <v>1.0507928944990526</v>
      </c>
      <c r="K181" s="21"/>
      <c r="O181" s="117">
        <f>ROW()</f>
        <v>181</v>
      </c>
    </row>
    <row r="182" spans="2:15" ht="15" customHeight="1">
      <c r="B182" s="864" t="str">
        <f>CONCATENATE("Product of Rows ",O178, " and ",O180, ".")</f>
        <v>Product of Rows 178 and 180.</v>
      </c>
      <c r="K182" s="21"/>
      <c r="O182" s="117">
        <f>ROW()</f>
        <v>182</v>
      </c>
    </row>
    <row r="183" spans="2:15" ht="15" customHeight="1">
      <c r="B183" s="316" t="s">
        <v>3613</v>
      </c>
      <c r="H183" s="1179">
        <f ca="1">(H181-1)*H177</f>
        <v>27354.574543969255</v>
      </c>
      <c r="I183" s="1179">
        <f ca="1">(I181-1)*I177</f>
        <v>20359.947785979959</v>
      </c>
      <c r="J183" s="1179">
        <f ca="1">H183+I183</f>
        <v>47714.522329949214</v>
      </c>
      <c r="K183" s="21"/>
      <c r="O183" s="117">
        <f>ROW()</f>
        <v>183</v>
      </c>
    </row>
    <row r="184" spans="2:15" ht="15" customHeight="1">
      <c r="B184" s="864" t="str">
        <f>CONCATENATE("Product of Row ",O177, " and complement of Row ",O181, ".")</f>
        <v>Product of Row 177 and complement of Row 181.</v>
      </c>
      <c r="K184" s="21"/>
      <c r="O184" s="117">
        <f>ROW()</f>
        <v>184</v>
      </c>
    </row>
    <row r="185" spans="2:15" ht="15" customHeight="1">
      <c r="B185" s="316" t="s">
        <v>3584</v>
      </c>
      <c r="H185" s="23">
        <f>H116</f>
        <v>0.95</v>
      </c>
      <c r="I185" s="23">
        <f>I116</f>
        <v>0.5</v>
      </c>
      <c r="K185" s="21"/>
      <c r="O185" s="117">
        <f>ROW()</f>
        <v>185</v>
      </c>
    </row>
    <row r="186" spans="2:15" ht="15" customHeight="1">
      <c r="B186" s="214" t="s">
        <v>2456</v>
      </c>
      <c r="H186" s="1243">
        <f ca="1">-H185*H183</f>
        <v>-25986.84581677079</v>
      </c>
      <c r="I186" s="1243">
        <f ca="1">-I185*I183</f>
        <v>-10179.97389298998</v>
      </c>
      <c r="J186" s="1243">
        <f ca="1">H186+I186</f>
        <v>-36166.81970976077</v>
      </c>
      <c r="K186" s="91">
        <f ca="1">J186*Constants!$J$25/1000000</f>
        <v>-9.0417049274401933</v>
      </c>
      <c r="O186" s="117">
        <f>ROW()</f>
        <v>186</v>
      </c>
    </row>
    <row r="187" spans="2:15" ht="15" customHeight="1">
      <c r="B187" s="213" t="s">
        <v>1374</v>
      </c>
      <c r="H187" s="1243">
        <f ca="1">H186/H.I.S.!G$128</f>
        <v>-22597.257231974603</v>
      </c>
      <c r="I187" s="1243">
        <f ca="1">I186/H.I.S.!H$128</f>
        <v>-6786.6492619933197</v>
      </c>
      <c r="J187" s="1243">
        <f ca="1">H187+I187</f>
        <v>-29383.906493967923</v>
      </c>
      <c r="K187" s="121">
        <f ca="1">J187*Constants!$J$25/1000000</f>
        <v>-7.345976623491981</v>
      </c>
      <c r="O187" s="117">
        <f>ROW()</f>
        <v>187</v>
      </c>
    </row>
    <row r="188" spans="2:15" ht="15" customHeight="1">
      <c r="B188" s="317"/>
      <c r="K188" s="21"/>
      <c r="O188" s="117">
        <f>ROW()</f>
        <v>188</v>
      </c>
    </row>
    <row r="189" spans="2:15" ht="15" customHeight="1">
      <c r="B189" s="317" t="s">
        <v>2919</v>
      </c>
      <c r="K189" s="91"/>
      <c r="O189" s="117">
        <f>ROW()</f>
        <v>189</v>
      </c>
    </row>
    <row r="190" spans="2:15" ht="15" customHeight="1">
      <c r="B190" s="214" t="s">
        <v>58</v>
      </c>
      <c r="J190" s="117">
        <f>Transit!I275</f>
        <v>7.7366884157428091</v>
      </c>
      <c r="K190" s="91"/>
      <c r="O190" s="117">
        <f>ROW()</f>
        <v>190</v>
      </c>
    </row>
    <row r="191" spans="2:15" ht="15" customHeight="1">
      <c r="B191" s="5052" t="str">
        <f>CONCATENATE("Mean value for average one-way subway commute, calculated by Komanoff in his analysis of Schaller data as described (w/ cautionary note) in Row ",O124, ".")</f>
        <v>Mean value for average one-way subway commute, calculated by Komanoff in his analysis of Schaller data as described (w/ cautionary note) in Row 124.</v>
      </c>
      <c r="C191" s="5052"/>
      <c r="D191" s="5052"/>
      <c r="E191" s="5052"/>
      <c r="F191" s="5052"/>
      <c r="G191" s="5052"/>
      <c r="H191" s="5052"/>
      <c r="I191" s="5052"/>
      <c r="J191" s="864"/>
      <c r="K191" s="91"/>
      <c r="O191" s="117">
        <f>ROW()</f>
        <v>191</v>
      </c>
    </row>
    <row r="192" spans="2:15" ht="15" customHeight="1">
      <c r="B192" s="5052"/>
      <c r="C192" s="5052"/>
      <c r="D192" s="5052"/>
      <c r="E192" s="5052"/>
      <c r="F192" s="5052"/>
      <c r="G192" s="5052"/>
      <c r="H192" s="5052"/>
      <c r="I192" s="5052"/>
      <c r="J192" s="864"/>
      <c r="K192" s="91"/>
      <c r="O192" s="117">
        <f>ROW()</f>
        <v>192</v>
      </c>
    </row>
    <row r="193" spans="2:15" ht="15" customHeight="1">
      <c r="B193" s="213" t="s">
        <v>1583</v>
      </c>
      <c r="J193" s="1127">
        <f ca="1">J187*J190</f>
        <v>-227334.12898115153</v>
      </c>
      <c r="K193" s="121">
        <f ca="1">J193*Constants!$J$25/1000000</f>
        <v>-56.833532245287877</v>
      </c>
      <c r="O193" s="117">
        <f>ROW()</f>
        <v>193</v>
      </c>
    </row>
    <row r="194" spans="2:15" ht="15" customHeight="1">
      <c r="B194" s="317"/>
      <c r="K194" s="21"/>
      <c r="O194" s="117">
        <f>ROW()</f>
        <v>194</v>
      </c>
    </row>
    <row r="195" spans="2:15" ht="15" customHeight="1">
      <c r="B195" s="1815" t="s">
        <v>3614</v>
      </c>
      <c r="C195" s="213"/>
      <c r="D195" s="213"/>
      <c r="E195" s="213"/>
      <c r="F195" s="213"/>
      <c r="G195" s="213"/>
      <c r="H195" s="213"/>
      <c r="I195" s="213"/>
      <c r="J195" s="2137"/>
      <c r="K195" s="4606" t="s">
        <v>1848</v>
      </c>
      <c r="O195" s="117">
        <f>ROW()</f>
        <v>195</v>
      </c>
    </row>
    <row r="196" spans="2:15" ht="15" customHeight="1">
      <c r="B196" s="918"/>
      <c r="J196" s="863" t="s">
        <v>1864</v>
      </c>
      <c r="K196" s="3807"/>
      <c r="O196" s="117">
        <f>ROW()</f>
        <v>196</v>
      </c>
    </row>
    <row r="197" spans="2:15" ht="15" customHeight="1">
      <c r="B197" s="317" t="s">
        <v>2240</v>
      </c>
      <c r="K197" s="21"/>
      <c r="O197" s="117">
        <f>ROW()</f>
        <v>197</v>
      </c>
    </row>
    <row r="198" spans="2:15" ht="15" customHeight="1">
      <c r="B198" s="317"/>
      <c r="K198" s="21"/>
      <c r="O198" s="117">
        <f>ROW()</f>
        <v>198</v>
      </c>
    </row>
    <row r="199" spans="2:15" ht="15" customHeight="1">
      <c r="B199" s="316" t="s">
        <v>3615</v>
      </c>
      <c r="C199" s="2137"/>
      <c r="D199" s="2137"/>
      <c r="E199" s="2137"/>
      <c r="F199" s="2137"/>
      <c r="G199" s="2137"/>
      <c r="H199" s="2137"/>
      <c r="I199" s="2137"/>
      <c r="J199" s="22">
        <f>Subways!$N$53</f>
        <v>0.80300000000000005</v>
      </c>
      <c r="K199" s="2139"/>
      <c r="O199" s="117">
        <f>ROW()</f>
        <v>199</v>
      </c>
    </row>
    <row r="200" spans="2:15" ht="15" customHeight="1">
      <c r="B200" s="864" t="str">
        <f>CONCATENATE("Taken directly from Subways worksheet, Row ",Subways!O53, ".")</f>
        <v>Taken directly from Subways worksheet, Row 53.</v>
      </c>
      <c r="C200" s="2137"/>
      <c r="D200" s="2137"/>
      <c r="E200" s="2137"/>
      <c r="F200" s="2137"/>
      <c r="G200" s="2137"/>
      <c r="H200" s="2137"/>
      <c r="I200" s="2137"/>
      <c r="J200" s="863"/>
      <c r="K200" s="2139"/>
      <c r="O200" s="117">
        <f>ROW()</f>
        <v>200</v>
      </c>
    </row>
    <row r="201" spans="2:15" ht="15" customHeight="1">
      <c r="B201" s="316" t="s">
        <v>3616</v>
      </c>
      <c r="C201" s="2137"/>
      <c r="D201" s="2137"/>
      <c r="E201" s="2137"/>
      <c r="F201" s="2137"/>
      <c r="G201" s="2137"/>
      <c r="H201" s="2137"/>
      <c r="I201" s="2137"/>
      <c r="J201" s="22">
        <f>1-J199</f>
        <v>0.19699999999999995</v>
      </c>
      <c r="K201" s="21"/>
      <c r="O201" s="117">
        <f>ROW()</f>
        <v>201</v>
      </c>
    </row>
    <row r="202" spans="2:15" ht="15" customHeight="1">
      <c r="B202" s="864" t="str">
        <f>CONCATENATE("Complement of Row ",O199, ".")</f>
        <v>Complement of Row 199.</v>
      </c>
      <c r="C202" s="2137"/>
      <c r="D202" s="2137"/>
      <c r="E202" s="2137"/>
      <c r="F202" s="2137"/>
      <c r="G202" s="2137"/>
      <c r="H202" s="2137"/>
      <c r="I202" s="2137"/>
      <c r="J202" s="22"/>
      <c r="K202" s="21"/>
      <c r="O202" s="117">
        <f>ROW()</f>
        <v>202</v>
      </c>
    </row>
    <row r="203" spans="2:15" ht="15" customHeight="1">
      <c r="B203" s="316" t="s">
        <v>3617</v>
      </c>
      <c r="J203" s="1243">
        <f>J201*Subways!N47</f>
        <v>507293.34155652171</v>
      </c>
      <c r="K203" s="21"/>
      <c r="O203" s="117">
        <f>ROW()</f>
        <v>203</v>
      </c>
    </row>
    <row r="204" spans="2:15" ht="15" customHeight="1">
      <c r="B204" s="864" t="str">
        <f>CONCATENATE("Product of percent in Row ",O201, " and average weekend subway rides in 'Subways' worksheet, Row ",Subways!O47, ".")</f>
        <v>Product of percent in Row 201 and average weekend subway rides in 'Subways' worksheet, Row 47.</v>
      </c>
      <c r="K204" s="21"/>
      <c r="O204" s="117">
        <f>ROW()</f>
        <v>204</v>
      </c>
    </row>
    <row r="205" spans="2:15" ht="15" customHeight="1">
      <c r="B205" s="316" t="s">
        <v>4490</v>
      </c>
      <c r="J205" s="117">
        <f>Subways!R539/Subways!R535</f>
        <v>0.99999999999999967</v>
      </c>
      <c r="K205" s="21"/>
      <c r="O205" s="117">
        <f>ROW()</f>
        <v>205</v>
      </c>
    </row>
    <row r="206" spans="2:15" ht="15" customHeight="1">
      <c r="B206" s="864" t="str">
        <f>CONCATENATE("Derived in 'Subways' worksheet and shown there in Row ",Subways!O553, ".")</f>
        <v>Derived in 'Subways' worksheet and shown there in Row 553.</v>
      </c>
      <c r="K206" s="21"/>
      <c r="O206" s="117">
        <f>ROW()</f>
        <v>206</v>
      </c>
    </row>
    <row r="207" spans="2:15" ht="15" customHeight="1">
      <c r="B207" s="316" t="s">
        <v>6362</v>
      </c>
      <c r="J207" s="1219">
        <f>Transit!$I$210</f>
        <v>-5.7431421573787167E-2</v>
      </c>
      <c r="K207" s="21"/>
      <c r="O207" s="117">
        <f>ROW()</f>
        <v>207</v>
      </c>
    </row>
    <row r="208" spans="2:15" ht="15" customHeight="1">
      <c r="B208" s="864" t="str">
        <f>CONCATENATE("Derived in 'Transit' worksheet and shown there in Row ",Transit!O206, ".")</f>
        <v>Derived in 'Transit' worksheet and shown there in Row 206.</v>
      </c>
      <c r="K208" s="21"/>
      <c r="O208" s="117">
        <f>ROW()</f>
        <v>208</v>
      </c>
    </row>
    <row r="209" spans="2:15" ht="15" customHeight="1">
      <c r="B209" s="864"/>
      <c r="K209" s="21"/>
      <c r="O209" s="117">
        <f>ROW()</f>
        <v>209</v>
      </c>
    </row>
    <row r="210" spans="2:15" ht="15" customHeight="1">
      <c r="B210" s="317" t="s">
        <v>2909</v>
      </c>
      <c r="H210" s="8" t="s">
        <v>2065</v>
      </c>
      <c r="I210" s="8" t="s">
        <v>2066</v>
      </c>
      <c r="J210" s="8" t="s">
        <v>228</v>
      </c>
      <c r="K210" s="21"/>
      <c r="O210" s="117">
        <f>ROW()</f>
        <v>210</v>
      </c>
    </row>
    <row r="211" spans="2:15" ht="15" customHeight="1">
      <c r="B211" s="316" t="s">
        <v>3620</v>
      </c>
      <c r="H211" s="23">
        <f>Subways!R469</f>
        <v>0.2</v>
      </c>
      <c r="I211" s="23">
        <f>1-H211</f>
        <v>0.8</v>
      </c>
      <c r="K211" s="21"/>
      <c r="O211" s="117">
        <f>ROW()</f>
        <v>211</v>
      </c>
    </row>
    <row r="212" spans="2:15" ht="15" customHeight="1">
      <c r="B212" s="864" t="str">
        <f>CONCATENATE("Specified in 'Subways' worksheet and shown there in Row ",Subways!O469, ".")</f>
        <v>Specified in 'Subways' worksheet and shown there in Row 469.</v>
      </c>
      <c r="H212" s="23"/>
      <c r="I212" s="23"/>
      <c r="K212" s="21"/>
      <c r="O212" s="117">
        <f>ROW()</f>
        <v>212</v>
      </c>
    </row>
    <row r="213" spans="2:15" ht="15" customHeight="1">
      <c r="B213" s="316" t="s">
        <v>3618</v>
      </c>
      <c r="H213" s="1243">
        <f>H211*$J$203</f>
        <v>101458.66831130435</v>
      </c>
      <c r="I213" s="1243">
        <f>I211*$J$203</f>
        <v>405834.67324521742</v>
      </c>
      <c r="J213" s="1179">
        <f>H213+I213</f>
        <v>507293.34155652177</v>
      </c>
      <c r="K213" s="21"/>
      <c r="O213" s="117">
        <f>ROW()</f>
        <v>213</v>
      </c>
    </row>
    <row r="214" spans="2:15" ht="15" customHeight="1">
      <c r="B214" s="316" t="s">
        <v>3610</v>
      </c>
      <c r="H214" s="621">
        <f>IF($J205=0,1-Elasticities!$G49,$J205^Elasticities!G49)</f>
        <v>1</v>
      </c>
      <c r="I214" s="621">
        <f>IF($J205=0,1-Elasticities!$G49,$J205^Elasticities!H49)</f>
        <v>1</v>
      </c>
      <c r="K214" s="2169"/>
      <c r="O214" s="117">
        <f>ROW()</f>
        <v>214</v>
      </c>
    </row>
    <row r="215" spans="2:15" ht="15" customHeight="1">
      <c r="B215" s="864" t="str">
        <f>CONCATENATE("Applies standard elasticity exponentiation from transit price-elasticities in 'Elasticity' worksheet, to factor in Row ",O205, ".")</f>
        <v>Applies standard elasticity exponentiation from transit price-elasticities in 'Elasticity' worksheet, to factor in Row 205.</v>
      </c>
      <c r="H215" s="621"/>
      <c r="I215" s="621"/>
      <c r="K215" s="21"/>
      <c r="O215" s="117">
        <f>ROW()</f>
        <v>215</v>
      </c>
    </row>
    <row r="216" spans="2:15" ht="15" customHeight="1">
      <c r="B216" s="316" t="s">
        <v>3611</v>
      </c>
      <c r="H216" s="621">
        <f>(1+$J207)^Elasticities!G50</f>
        <v>1.0300149328257653</v>
      </c>
      <c r="I216" s="621">
        <f>(1+$J207)^Elasticities!H50</f>
        <v>1.0330655354857461</v>
      </c>
      <c r="K216" s="21"/>
      <c r="O216" s="117">
        <f>ROW()</f>
        <v>216</v>
      </c>
    </row>
    <row r="217" spans="2:15" ht="15" customHeight="1">
      <c r="B217" s="316" t="s">
        <v>3612</v>
      </c>
      <c r="H217" s="621">
        <f>H214*H216</f>
        <v>1.0300149328257653</v>
      </c>
      <c r="I217" s="621">
        <f>I214*I216</f>
        <v>1.0330655354857461</v>
      </c>
      <c r="K217" s="21"/>
      <c r="O217" s="117">
        <f>ROW()</f>
        <v>217</v>
      </c>
    </row>
    <row r="218" spans="2:15" ht="15" customHeight="1">
      <c r="B218" s="864" t="str">
        <f>CONCATENATE("Product of Rows ",O214, " and ",O216, ".")</f>
        <v>Product of Rows 214 and 216.</v>
      </c>
      <c r="K218" s="21"/>
      <c r="O218" s="117">
        <f>ROW()</f>
        <v>218</v>
      </c>
    </row>
    <row r="219" spans="2:15" ht="15" customHeight="1">
      <c r="B219" s="316" t="s">
        <v>3613</v>
      </c>
      <c r="H219" s="1179">
        <f>(H217-1)*H213</f>
        <v>3045.2751139554011</v>
      </c>
      <c r="I219" s="1179">
        <f>(I217-1)*I213</f>
        <v>13419.140789535906</v>
      </c>
      <c r="J219" s="1179">
        <f>H219+I219</f>
        <v>16464.415903491306</v>
      </c>
      <c r="K219" s="21"/>
      <c r="O219" s="117">
        <f>ROW()</f>
        <v>219</v>
      </c>
    </row>
    <row r="220" spans="2:15" ht="15" customHeight="1">
      <c r="B220" s="864" t="str">
        <f>CONCATENATE("Product of Row ",O213, " and complement of Row ",O217, ".")</f>
        <v>Product of Row 213 and complement of Row 217.</v>
      </c>
      <c r="K220" s="21"/>
      <c r="O220" s="117">
        <f>ROW()</f>
        <v>220</v>
      </c>
    </row>
    <row r="221" spans="2:15" ht="15" customHeight="1">
      <c r="B221" s="316" t="s">
        <v>3584</v>
      </c>
      <c r="H221" s="23">
        <f>H116</f>
        <v>0.95</v>
      </c>
      <c r="I221" s="23">
        <f>I116</f>
        <v>0.5</v>
      </c>
      <c r="K221" s="21"/>
      <c r="O221" s="117">
        <f>ROW()</f>
        <v>221</v>
      </c>
    </row>
    <row r="222" spans="2:15" ht="15" customHeight="1">
      <c r="B222" s="214" t="s">
        <v>2456</v>
      </c>
      <c r="H222" s="1243">
        <f>-H221*H219</f>
        <v>-2893.0113582576309</v>
      </c>
      <c r="I222" s="1243">
        <f>-I221*I219</f>
        <v>-6709.5703947679531</v>
      </c>
      <c r="J222" s="1243">
        <f>H222+I222</f>
        <v>-9602.5817530255845</v>
      </c>
      <c r="K222" s="91">
        <f>J222*Constants!$J$25/1000000</f>
        <v>-2.400645438256396</v>
      </c>
      <c r="O222" s="117">
        <f>ROW()</f>
        <v>222</v>
      </c>
    </row>
    <row r="223" spans="2:15" ht="15" customHeight="1">
      <c r="B223" s="213" t="s">
        <v>1374</v>
      </c>
      <c r="H223" s="1243">
        <f>H222/H.I.S.!G$128</f>
        <v>-2515.6620506588097</v>
      </c>
      <c r="I223" s="1243">
        <f>I222/H.I.S.!H$128</f>
        <v>-4473.0469298453017</v>
      </c>
      <c r="J223" s="1243">
        <f>H223+I223</f>
        <v>-6988.7089805041114</v>
      </c>
      <c r="K223" s="121">
        <f>J223*Constants!$J$25/1000000</f>
        <v>-1.7471772451260279</v>
      </c>
      <c r="O223" s="117">
        <f>ROW()</f>
        <v>223</v>
      </c>
    </row>
    <row r="224" spans="2:15" ht="15" customHeight="1">
      <c r="B224" s="317"/>
      <c r="K224" s="21"/>
      <c r="O224" s="117">
        <f>ROW()</f>
        <v>224</v>
      </c>
    </row>
    <row r="225" spans="2:15" ht="15" customHeight="1">
      <c r="B225" s="317" t="s">
        <v>2919</v>
      </c>
      <c r="K225" s="91"/>
      <c r="O225" s="117">
        <f>ROW()</f>
        <v>225</v>
      </c>
    </row>
    <row r="226" spans="2:15" ht="15" customHeight="1">
      <c r="B226" s="214" t="s">
        <v>58</v>
      </c>
      <c r="J226">
        <v>7.76</v>
      </c>
      <c r="K226" s="91"/>
      <c r="O226" s="117">
        <f>ROW()</f>
        <v>226</v>
      </c>
    </row>
    <row r="227" spans="2:15" ht="15" customHeight="1">
      <c r="B227" s="5052" t="str">
        <f>CONCATENATE("From mean of 7.76 miles for average one-way subway commute, calculated by Komanoff in his analysis of Schaller data as described (w/ cautionary note) in Row ",O132, ".")</f>
        <v>From mean of 7.76 miles for average one-way subway commute, calculated by Komanoff in his analysis of Schaller data as described (w/ cautionary note) in Row 132.</v>
      </c>
      <c r="C227" s="5052"/>
      <c r="D227" s="5052"/>
      <c r="E227" s="5052"/>
      <c r="F227" s="5052"/>
      <c r="G227" s="5052"/>
      <c r="H227" s="5052"/>
      <c r="I227" s="5052"/>
      <c r="J227" s="864"/>
      <c r="K227" s="91"/>
      <c r="O227" s="117">
        <f>ROW()</f>
        <v>227</v>
      </c>
    </row>
    <row r="228" spans="2:15" ht="15" customHeight="1">
      <c r="B228" s="5052"/>
      <c r="C228" s="5052"/>
      <c r="D228" s="5052"/>
      <c r="E228" s="5052"/>
      <c r="F228" s="5052"/>
      <c r="G228" s="5052"/>
      <c r="H228" s="5052"/>
      <c r="I228" s="5052"/>
      <c r="J228" s="864"/>
      <c r="K228" s="91"/>
      <c r="O228" s="117">
        <f>ROW()</f>
        <v>228</v>
      </c>
    </row>
    <row r="229" spans="2:15" ht="15" customHeight="1">
      <c r="B229" s="213" t="s">
        <v>3619</v>
      </c>
      <c r="J229" s="1127">
        <f>J223*J226</f>
        <v>-54232.381688711903</v>
      </c>
      <c r="K229" s="121">
        <f>J229*Constants!$J$25/1000000</f>
        <v>-13.558095422177976</v>
      </c>
      <c r="O229" s="117">
        <f>ROW()</f>
        <v>229</v>
      </c>
    </row>
    <row r="230" spans="2:15" ht="15" customHeight="1">
      <c r="B230" s="213"/>
      <c r="J230" s="1127"/>
      <c r="K230" s="121"/>
      <c r="O230" s="117">
        <f>ROW()</f>
        <v>230</v>
      </c>
    </row>
    <row r="231" spans="2:15" ht="15" customHeight="1">
      <c r="B231" s="214"/>
      <c r="J231" s="1"/>
      <c r="K231" s="8" t="s">
        <v>1263</v>
      </c>
      <c r="O231" s="117">
        <f>ROW()</f>
        <v>231</v>
      </c>
    </row>
    <row r="232" spans="2:15" ht="15" customHeight="1">
      <c r="B232" s="1815" t="s">
        <v>3621</v>
      </c>
      <c r="J232" s="1"/>
      <c r="K232" s="121">
        <f ca="1">K193+K229</f>
        <v>-70.391627667465855</v>
      </c>
      <c r="O232" s="117">
        <f>ROW()</f>
        <v>232</v>
      </c>
    </row>
    <row r="233" spans="2:15" ht="15" customHeight="1">
      <c r="B233" s="314" t="str">
        <f>CONCATENATE("Sum of Rows ",O193, " and ",O229, ".")</f>
        <v>Sum of Rows 193 and 229.</v>
      </c>
      <c r="J233" s="1"/>
      <c r="K233" s="121"/>
      <c r="O233" s="117">
        <f>ROW()</f>
        <v>233</v>
      </c>
    </row>
    <row r="234" spans="2:15" ht="15" customHeight="1">
      <c r="B234" s="507" t="s">
        <v>3586</v>
      </c>
      <c r="J234" s="1"/>
      <c r="K234" s="12">
        <f ca="1">$K$232/$G50</f>
        <v>-2.9230534048459555E-3</v>
      </c>
      <c r="O234" s="117">
        <f>ROW()</f>
        <v>234</v>
      </c>
    </row>
    <row r="235" spans="2:15" ht="15" customHeight="1">
      <c r="B235" s="314" t="str">
        <f>CONCATENATE("Ratio of Auto VMT change in Row ",O232, " to baseline citywide VMT in Row ",$O$50, ".")</f>
        <v>Ratio of Auto VMT change in Row 232 to baseline citywide VMT in Row 50.</v>
      </c>
      <c r="J235" s="1"/>
      <c r="K235" s="12"/>
      <c r="O235" s="117">
        <f>ROW()</f>
        <v>235</v>
      </c>
    </row>
    <row r="236" spans="2:15" ht="15" customHeight="1">
      <c r="B236" s="507" t="s">
        <v>3587</v>
      </c>
      <c r="J236" s="1"/>
      <c r="K236" s="12">
        <f ca="1">$K$232/$G60</f>
        <v>-3.8974045397946072E-3</v>
      </c>
      <c r="O236" s="117">
        <f>ROW()</f>
        <v>236</v>
      </c>
    </row>
    <row r="237" spans="2:15" ht="15" customHeight="1">
      <c r="B237" s="314" t="str">
        <f>CONCATENATE("Ratio of Auto VMT change in Row ",O232, " to baseline auto citywide VMT in Row ",$O$60, ".")</f>
        <v>Ratio of Auto VMT change in Row 232 to baseline auto citywide VMT in Row 60.</v>
      </c>
      <c r="J237" s="1"/>
      <c r="K237" s="12"/>
      <c r="O237" s="117">
        <f>ROW()</f>
        <v>237</v>
      </c>
    </row>
    <row r="238" spans="2:15" ht="15" customHeight="1">
      <c r="B238" s="214"/>
      <c r="J238" s="1"/>
      <c r="K238" s="91"/>
      <c r="O238" s="117">
        <f>ROW()</f>
        <v>238</v>
      </c>
    </row>
    <row r="239" spans="2:15" ht="15" customHeight="1">
      <c r="B239" s="518" t="s">
        <v>5806</v>
      </c>
      <c r="O239" s="117">
        <f>ROW()</f>
        <v>239</v>
      </c>
    </row>
    <row r="240" spans="2:15" ht="15" customHeight="1">
      <c r="B240" s="281"/>
      <c r="O240" s="117">
        <f>ROW()</f>
        <v>240</v>
      </c>
    </row>
    <row r="241" spans="2:15" ht="15" customHeight="1">
      <c r="B241" s="919" t="s">
        <v>2256</v>
      </c>
      <c r="O241" s="117">
        <f>ROW()</f>
        <v>241</v>
      </c>
    </row>
    <row r="242" spans="2:15" ht="15" customHeight="1">
      <c r="B242" s="281"/>
      <c r="E242" s="4412" t="s">
        <v>2015</v>
      </c>
      <c r="F242" s="4412"/>
      <c r="G242" s="4412" t="s">
        <v>1678</v>
      </c>
      <c r="H242" s="4412"/>
      <c r="I242" s="4412" t="s">
        <v>1130</v>
      </c>
      <c r="J242" s="4412"/>
      <c r="O242" s="117">
        <f>ROW()</f>
        <v>242</v>
      </c>
    </row>
    <row r="243" spans="2:15" ht="15" customHeight="1">
      <c r="B243" s="281"/>
      <c r="E243" s="20" t="s">
        <v>1864</v>
      </c>
      <c r="F243" s="20" t="s">
        <v>2379</v>
      </c>
      <c r="G243" s="20" t="s">
        <v>1864</v>
      </c>
      <c r="H243" s="20" t="s">
        <v>2379</v>
      </c>
      <c r="I243" s="20" t="s">
        <v>1864</v>
      </c>
      <c r="J243" s="20" t="s">
        <v>2379</v>
      </c>
      <c r="O243" s="117">
        <f>ROW()</f>
        <v>243</v>
      </c>
    </row>
    <row r="244" spans="2:15" ht="15" customHeight="1">
      <c r="B244" s="320" t="s">
        <v>1463</v>
      </c>
      <c r="E244" s="1183">
        <f>'Motor Vs'!$N147</f>
        <v>3434067.8375425739</v>
      </c>
      <c r="F244" s="1183">
        <f>E244*Constants!$J$25/1000000</f>
        <v>858.51695938564353</v>
      </c>
      <c r="G244" s="1183">
        <f>'Motor Vs Weekends'!$N147</f>
        <v>3169918.1098901094</v>
      </c>
      <c r="H244" s="1183">
        <f>G244*Constants!$J$27/1000000</f>
        <v>364.5405826373626</v>
      </c>
      <c r="I244" s="195"/>
      <c r="J244" s="1183">
        <f>F244+H244</f>
        <v>1223.0575420230061</v>
      </c>
      <c r="O244" s="117">
        <f>ROW()</f>
        <v>244</v>
      </c>
    </row>
    <row r="245" spans="2:15" ht="15" customHeight="1">
      <c r="B245" s="326" t="str">
        <f>CONCATENATE("Daily figures are from 'Motor Vs' and 'Motor Vs Weekends' worksheets, Row ",'Motor Vs'!O147, ". Annual figures draw on 'Constants' worksheet. Combined figure sums prior two annual figures.")</f>
        <v>Daily figures are from 'Motor Vs' and 'Motor Vs Weekends' worksheets, Row 147. Annual figures draw on 'Constants' worksheet. Combined figure sums prior two annual figures.</v>
      </c>
      <c r="E245" s="1183"/>
      <c r="F245" s="1183"/>
      <c r="G245" s="1183"/>
      <c r="H245" s="1183"/>
      <c r="I245" s="195"/>
      <c r="J245" s="1183"/>
      <c r="O245" s="117">
        <f>ROW()</f>
        <v>245</v>
      </c>
    </row>
    <row r="246" spans="2:15" ht="15" customHeight="1">
      <c r="B246" s="320" t="s">
        <v>2378</v>
      </c>
      <c r="E246" s="1183">
        <f ca="1">'Motor Vs'!$N883</f>
        <v>3192349.0669593248</v>
      </c>
      <c r="F246" s="1183">
        <f ca="1">E246*Constants!$J$25/1000000</f>
        <v>798.08726673983119</v>
      </c>
      <c r="G246" s="1183">
        <f ca="1">'Motor Vs Weekends'!$N883</f>
        <v>2947646.5232371213</v>
      </c>
      <c r="H246" s="1183">
        <f ca="1">G246*Constants!$J$27/1000000</f>
        <v>338.97935017226894</v>
      </c>
      <c r="I246" s="195"/>
      <c r="J246" s="1183">
        <f ca="1">F246+H246</f>
        <v>1137.0666169121</v>
      </c>
      <c r="O246" s="117">
        <f>ROW()</f>
        <v>246</v>
      </c>
    </row>
    <row r="247" spans="2:15" ht="15" customHeight="1">
      <c r="B247" s="326" t="str">
        <f>CONCATENATE("Daily figures are from 'Motor Vs' and 'Motor Vs Weekends' worksheets, Row ",'Motor Vs'!O883, ". Annual figures draw on 'Constants' worksheet. Combined figure sums prior two annual figures.")</f>
        <v>Daily figures are from 'Motor Vs' and 'Motor Vs Weekends' worksheets, Row 883. Annual figures draw on 'Constants' worksheet. Combined figure sums prior two annual figures.</v>
      </c>
      <c r="E247" s="1183"/>
      <c r="F247" s="1183"/>
      <c r="G247" s="1183"/>
      <c r="H247" s="1183"/>
      <c r="I247" s="195"/>
      <c r="J247" s="1183"/>
      <c r="O247" s="117">
        <f>ROW()</f>
        <v>247</v>
      </c>
    </row>
    <row r="248" spans="2:15" ht="15" customHeight="1">
      <c r="B248" s="320" t="s">
        <v>1973</v>
      </c>
      <c r="E248" s="1183">
        <f ca="1">E246-E244</f>
        <v>-241718.77058324916</v>
      </c>
      <c r="F248" s="1183">
        <f ca="1">E248*wkday_per_yr/1000000</f>
        <v>-60.429692645812288</v>
      </c>
      <c r="G248" s="1183">
        <f ca="1">G246-G244</f>
        <v>-222271.5866529881</v>
      </c>
      <c r="H248" s="1183">
        <f ca="1">G248*wkend_per_yr/1000000</f>
        <v>-25.561232465093632</v>
      </c>
      <c r="I248" s="34"/>
      <c r="J248" s="1183">
        <f ca="1">F248+H248</f>
        <v>-85.99092511090592</v>
      </c>
      <c r="O248" s="117">
        <f>ROW()</f>
        <v>248</v>
      </c>
    </row>
    <row r="249" spans="2:15" ht="15" customHeight="1">
      <c r="O249" s="117">
        <f>ROW()</f>
        <v>249</v>
      </c>
    </row>
    <row r="250" spans="2:15" ht="15" customHeight="1">
      <c r="B250" s="919" t="s">
        <v>466</v>
      </c>
      <c r="O250" s="117">
        <f>ROW()</f>
        <v>250</v>
      </c>
    </row>
    <row r="251" spans="2:15" ht="15" customHeight="1">
      <c r="B251" s="281"/>
      <c r="E251" s="4412" t="s">
        <v>2015</v>
      </c>
      <c r="F251" s="4412"/>
      <c r="G251" s="4412" t="s">
        <v>1678</v>
      </c>
      <c r="H251" s="4412"/>
      <c r="I251" s="4412" t="s">
        <v>1130</v>
      </c>
      <c r="J251" s="4412"/>
      <c r="O251" s="117">
        <f>ROW()</f>
        <v>251</v>
      </c>
    </row>
    <row r="252" spans="2:15" ht="15" customHeight="1">
      <c r="B252" s="281"/>
      <c r="E252" s="2140" t="s">
        <v>1864</v>
      </c>
      <c r="F252" s="2140" t="s">
        <v>2379</v>
      </c>
      <c r="G252" s="2140" t="s">
        <v>1864</v>
      </c>
      <c r="H252" s="2140" t="s">
        <v>2379</v>
      </c>
      <c r="I252" s="2140" t="s">
        <v>1864</v>
      </c>
      <c r="J252" s="2140" t="s">
        <v>2379</v>
      </c>
      <c r="O252" s="117">
        <f>ROW()</f>
        <v>252</v>
      </c>
    </row>
    <row r="253" spans="2:15" ht="15" customHeight="1">
      <c r="B253" s="320" t="s">
        <v>1463</v>
      </c>
      <c r="E253" s="2154">
        <f>'Motor Vs'!$N167</f>
        <v>68220075.846877187</v>
      </c>
      <c r="F253" s="1183">
        <f>E253*Constants!$J$25/1000000</f>
        <v>17055.018961719299</v>
      </c>
      <c r="G253" s="1183">
        <f>'Motor Vs Weekends'!$N167</f>
        <v>58696243.238751821</v>
      </c>
      <c r="H253" s="1183">
        <f>G253*Constants!$J$27/1000000</f>
        <v>6750.0679724564588</v>
      </c>
      <c r="I253" s="195"/>
      <c r="J253" s="1183">
        <f>F253+H253</f>
        <v>23805.086934175757</v>
      </c>
      <c r="O253" s="117">
        <f>ROW()</f>
        <v>253</v>
      </c>
    </row>
    <row r="254" spans="2:15" ht="15" customHeight="1">
      <c r="B254" s="326" t="str">
        <f>CONCATENATE("Daily figures are from 'Motor Vs' and 'Motor Vs Weekends' worksheets, Row ",'Motor Vs'!O167, ". Annual figures draw on 'Constants' worksheet. Combined figure sums prior two annual figures.")</f>
        <v>Daily figures are from 'Motor Vs' and 'Motor Vs Weekends' worksheets, Row 167. Annual figures draw on 'Constants' worksheet. Combined figure sums prior two annual figures.</v>
      </c>
      <c r="E254" s="1183"/>
      <c r="F254" s="1183"/>
      <c r="G254" s="1183"/>
      <c r="H254" s="1183"/>
      <c r="I254" s="195"/>
      <c r="J254" s="1183"/>
      <c r="O254" s="117">
        <f>ROW()</f>
        <v>254</v>
      </c>
    </row>
    <row r="255" spans="2:15" ht="15" customHeight="1">
      <c r="B255" s="320" t="s">
        <v>2378</v>
      </c>
      <c r="E255" s="1183">
        <f ca="1">'Motor Vs'!$N908</f>
        <v>65765443.26420746</v>
      </c>
      <c r="F255" s="1183">
        <f ca="1">E255*Constants!$J$25/1000000</f>
        <v>16441.360816051863</v>
      </c>
      <c r="G255" s="1183">
        <f ca="1">'Motor Vs Weekends'!$N908</f>
        <v>56343998.065239586</v>
      </c>
      <c r="H255" s="1183">
        <f ca="1">G255*Constants!$J$27/1000000</f>
        <v>6479.5597775025517</v>
      </c>
      <c r="I255" s="195"/>
      <c r="J255" s="1183">
        <f ca="1">F255+H255</f>
        <v>22920.920593554416</v>
      </c>
      <c r="O255" s="117">
        <f>ROW()</f>
        <v>255</v>
      </c>
    </row>
    <row r="256" spans="2:15" ht="15" customHeight="1">
      <c r="B256" s="326" t="str">
        <f>CONCATENATE("Daily figures are from 'Motor Vs' and 'Motor Vs Weekends' worksheets, Row ",'Motor Vs'!O908, ". Annual figures draw on 'Constants' worksheet. Combined figure sums prior two annual figures.")</f>
        <v>Daily figures are from 'Motor Vs' and 'Motor Vs Weekends' worksheets, Row 908. Annual figures draw on 'Constants' worksheet. Combined figure sums prior two annual figures.</v>
      </c>
      <c r="E256" s="1183"/>
      <c r="F256" s="1183"/>
      <c r="G256" s="1183"/>
      <c r="H256" s="1183"/>
      <c r="I256" s="195"/>
      <c r="J256" s="1183"/>
      <c r="O256" s="117">
        <f>ROW()</f>
        <v>256</v>
      </c>
    </row>
    <row r="257" spans="2:15" ht="15" customHeight="1">
      <c r="B257" s="320" t="s">
        <v>1973</v>
      </c>
      <c r="E257" s="1183">
        <f ca="1">E255-E253</f>
        <v>-2454632.5826697275</v>
      </c>
      <c r="F257" s="1183">
        <f ca="1">E257*wkday_per_yr/1000000</f>
        <v>-613.65814566743188</v>
      </c>
      <c r="G257" s="1183">
        <f ca="1">G255-G253</f>
        <v>-2352245.1735122353</v>
      </c>
      <c r="H257" s="1183">
        <f ca="1">G257*wkend_per_yr/1000000</f>
        <v>-270.50819495390709</v>
      </c>
      <c r="I257" s="2138"/>
      <c r="J257" s="1183">
        <f ca="1">F257+H257</f>
        <v>-884.16634062133903</v>
      </c>
      <c r="O257" s="117">
        <f>ROW()</f>
        <v>257</v>
      </c>
    </row>
    <row r="258" spans="2:15" ht="15" customHeight="1">
      <c r="B258" s="320"/>
      <c r="O258" s="117">
        <f>ROW()</f>
        <v>258</v>
      </c>
    </row>
    <row r="259" spans="2:15" ht="15" customHeight="1">
      <c r="B259" s="919" t="s">
        <v>3591</v>
      </c>
      <c r="O259" s="117">
        <f>ROW()</f>
        <v>259</v>
      </c>
    </row>
    <row r="260" spans="2:15" ht="15" customHeight="1">
      <c r="O260" s="117">
        <f>ROW()</f>
        <v>260</v>
      </c>
    </row>
    <row r="261" spans="2:15" ht="15" customHeight="1">
      <c r="B261" s="1406" t="s">
        <v>5534</v>
      </c>
      <c r="J261" s="23">
        <f>Incidence!L187/Incidence!X187</f>
        <v>0.56895204791072718</v>
      </c>
      <c r="O261" s="117">
        <f>ROW()</f>
        <v>261</v>
      </c>
    </row>
    <row r="262" spans="2:15" ht="15" customHeight="1">
      <c r="B262" s="326" t="s">
        <v>5533</v>
      </c>
      <c r="O262" s="117">
        <f>ROW()</f>
        <v>262</v>
      </c>
    </row>
    <row r="263" spans="2:15" ht="15" customHeight="1">
      <c r="B263" s="1406" t="s">
        <v>5807</v>
      </c>
      <c r="J263" s="23">
        <f>3/4</f>
        <v>0.75</v>
      </c>
      <c r="O263" s="117">
        <f>ROW()</f>
        <v>263</v>
      </c>
    </row>
    <row r="264" spans="2:15" ht="15" customHeight="1">
      <c r="B264" s="326" t="s">
        <v>495</v>
      </c>
      <c r="O264" s="117">
        <f>ROW()</f>
        <v>264</v>
      </c>
    </row>
    <row r="265" spans="2:15" ht="15" customHeight="1">
      <c r="B265" s="1406" t="s">
        <v>3592</v>
      </c>
      <c r="J265" s="23">
        <f>1-J261</f>
        <v>0.43104795208927282</v>
      </c>
      <c r="O265" s="117">
        <f>ROW()</f>
        <v>265</v>
      </c>
    </row>
    <row r="266" spans="2:15" ht="15" customHeight="1">
      <c r="B266" s="326" t="str">
        <f>CONCATENATE("Complement of Row ",O261, ".")</f>
        <v>Complement of Row 261.</v>
      </c>
      <c r="O266" s="117">
        <f>ROW()</f>
        <v>266</v>
      </c>
    </row>
    <row r="267" spans="2:15" ht="15" customHeight="1">
      <c r="B267" s="1406" t="s">
        <v>5808</v>
      </c>
      <c r="J267" s="23">
        <v>0.6</v>
      </c>
      <c r="O267" s="117">
        <f>ROW()</f>
        <v>267</v>
      </c>
    </row>
    <row r="268" spans="2:15" ht="15" customHeight="1">
      <c r="B268" s="326" t="str">
        <f>CONCATENATE("Komanoff assumption; intended to reflect average one-way non-cordon distance for CBD auto-commute trips of ",ROUND(Distances!C185,1), " miles, derived in 'Distances' tab, Row ",Distances!O185, ".")</f>
        <v>Komanoff assumption; intended to reflect average one-way non-cordon distance for CBD auto-commute trips of 16.9 miles, derived in 'Distances' tab, Row 185.</v>
      </c>
      <c r="O268" s="117">
        <f>ROW()</f>
        <v>268</v>
      </c>
    </row>
    <row r="269" spans="2:15" ht="15" customHeight="1">
      <c r="B269" s="1406" t="s">
        <v>4900</v>
      </c>
      <c r="J269" s="576">
        <f>J261*J263+J265*J267</f>
        <v>0.685342807186609</v>
      </c>
      <c r="O269" s="117">
        <f>ROW()</f>
        <v>269</v>
      </c>
    </row>
    <row r="270" spans="2:15" ht="15" customHeight="1">
      <c r="B270" s="326" t="str">
        <f>CONCATENATE("Sum of applicable cross-products in Rows ",O261, "-",O267, ".")</f>
        <v>Sum of applicable cross-products in Rows 261-267.</v>
      </c>
      <c r="O270" s="117"/>
    </row>
    <row r="271" spans="2:15" ht="15" customHeight="1">
      <c r="O271" s="117"/>
    </row>
  </sheetData>
  <customSheetViews>
    <customSheetView guid="{BD5E6263-A0AD-4076-921A-D4EBD62848EF}" showGridLines="0" showRuler="0" topLeftCell="A9">
      <selection activeCell="A34" sqref="A34"/>
      <pageMargins left="0.75" right="0.75" top="1" bottom="1" header="0.5" footer="0.5"/>
      <pageSetup orientation="portrait" r:id="rId1"/>
      <headerFooter alignWithMargins="0"/>
    </customSheetView>
    <customSheetView guid="{1D5AE30A-CA7C-4B32-AEA4-9F37A560AAA8}" showGridLines="0" showRuler="0" topLeftCell="A9">
      <selection activeCell="A34" sqref="A34"/>
      <pageMargins left="0.75" right="0.75" top="1" bottom="1" header="0.5" footer="0.5"/>
      <pageSetup orientation="portrait" r:id="rId2"/>
      <headerFooter alignWithMargins="0"/>
    </customSheetView>
  </customSheetViews>
  <mergeCells count="57">
    <mergeCell ref="B6:K7"/>
    <mergeCell ref="J32:J36"/>
    <mergeCell ref="M32:M36"/>
    <mergeCell ref="H30:H31"/>
    <mergeCell ref="J30:J31"/>
    <mergeCell ref="K30:K31"/>
    <mergeCell ref="L30:L31"/>
    <mergeCell ref="M30:M31"/>
    <mergeCell ref="I30:I31"/>
    <mergeCell ref="B10:M10"/>
    <mergeCell ref="B25:M25"/>
    <mergeCell ref="H27:J28"/>
    <mergeCell ref="K27:M28"/>
    <mergeCell ref="K29:M29"/>
    <mergeCell ref="H12:J13"/>
    <mergeCell ref="K12:M13"/>
    <mergeCell ref="E251:F251"/>
    <mergeCell ref="G251:H251"/>
    <mergeCell ref="I251:J251"/>
    <mergeCell ref="K15:K16"/>
    <mergeCell ref="B191:I192"/>
    <mergeCell ref="K195:K196"/>
    <mergeCell ref="B227:I228"/>
    <mergeCell ref="K103:K104"/>
    <mergeCell ref="B117:J118"/>
    <mergeCell ref="C79:H80"/>
    <mergeCell ref="E242:F242"/>
    <mergeCell ref="G242:H242"/>
    <mergeCell ref="K131:K133"/>
    <mergeCell ref="I242:J242"/>
    <mergeCell ref="D135:G136"/>
    <mergeCell ref="M15:M16"/>
    <mergeCell ref="L15:L16"/>
    <mergeCell ref="M69:N70"/>
    <mergeCell ref="N46:N49"/>
    <mergeCell ref="B157:I158"/>
    <mergeCell ref="J111:K111"/>
    <mergeCell ref="K42:M45"/>
    <mergeCell ref="K46:M49"/>
    <mergeCell ref="I87:I88"/>
    <mergeCell ref="J87:J88"/>
    <mergeCell ref="K14:M14"/>
    <mergeCell ref="K50:M52"/>
    <mergeCell ref="N53:N55"/>
    <mergeCell ref="K53:M56"/>
    <mergeCell ref="K160:K161"/>
    <mergeCell ref="J134:K134"/>
    <mergeCell ref="H65:L65"/>
    <mergeCell ref="B52:I55"/>
    <mergeCell ref="B57:I58"/>
    <mergeCell ref="D112:G113"/>
    <mergeCell ref="J15:J16"/>
    <mergeCell ref="B124:J127"/>
    <mergeCell ref="H64:L64"/>
    <mergeCell ref="B97:J99"/>
    <mergeCell ref="I15:I16"/>
    <mergeCell ref="B64:G68"/>
  </mergeCells>
  <phoneticPr fontId="6" type="noConversion"/>
  <pageMargins left="0.75" right="0.75" top="1" bottom="1" header="0.5" footer="0.5"/>
  <pageSetup orientation="portrait" r:id="rId3"/>
  <headerFooter alignWithMargins="0"/>
</worksheet>
</file>

<file path=xl/worksheets/sheet37.xml><?xml version="1.0" encoding="utf-8"?>
<worksheet xmlns="http://schemas.openxmlformats.org/spreadsheetml/2006/main" xmlns:r="http://schemas.openxmlformats.org/officeDocument/2006/relationships">
  <sheetPr codeName="Sheet30"/>
  <dimension ref="A1:X380"/>
  <sheetViews>
    <sheetView showGridLines="0" showRuler="0" workbookViewId="0"/>
  </sheetViews>
  <sheetFormatPr defaultColWidth="10.625" defaultRowHeight="14.1" customHeight="1"/>
  <cols>
    <col min="1" max="1" width="2.75" customWidth="1"/>
    <col min="2" max="3" width="12.125" customWidth="1"/>
    <col min="4" max="8" width="10.625" customWidth="1"/>
    <col min="9" max="10" width="14.875" customWidth="1"/>
    <col min="11" max="11" width="10.625" customWidth="1"/>
    <col min="12" max="12" width="16.875" customWidth="1"/>
    <col min="15" max="15" width="3.125" customWidth="1"/>
  </cols>
  <sheetData>
    <row r="1" spans="1:17" ht="14.1" customHeight="1">
      <c r="O1" s="117">
        <f>ROW()</f>
        <v>1</v>
      </c>
    </row>
    <row r="2" spans="1:17" ht="14.1" customHeight="1">
      <c r="B2" s="115" t="s">
        <v>1425</v>
      </c>
      <c r="I2" s="181">
        <f>'Title Page'!K1</f>
        <v>40914</v>
      </c>
      <c r="O2" s="117">
        <f>ROW()</f>
        <v>2</v>
      </c>
    </row>
    <row r="3" spans="1:17" ht="14.1" customHeight="1">
      <c r="O3" s="117">
        <f>ROW()</f>
        <v>3</v>
      </c>
    </row>
    <row r="4" spans="1:17" ht="14.1" customHeight="1">
      <c r="O4" s="117">
        <f>ROW()</f>
        <v>4</v>
      </c>
    </row>
    <row r="5" spans="1:17" ht="14.1" customHeight="1">
      <c r="B5" s="783" t="s">
        <v>2217</v>
      </c>
      <c r="O5" s="117">
        <f>ROW()</f>
        <v>5</v>
      </c>
    </row>
    <row r="6" spans="1:17" ht="14.1" customHeight="1">
      <c r="B6" s="783"/>
      <c r="O6" s="117">
        <f>ROW()</f>
        <v>6</v>
      </c>
    </row>
    <row r="7" spans="1:17" ht="14.1" customHeight="1">
      <c r="B7" s="5096" t="s">
        <v>2857</v>
      </c>
      <c r="C7" s="4071"/>
      <c r="D7" s="4071"/>
      <c r="E7" s="4071"/>
      <c r="F7" s="4071"/>
      <c r="G7" s="4071"/>
      <c r="H7" s="4071"/>
      <c r="I7" s="4071"/>
      <c r="J7" s="4071"/>
      <c r="K7" s="217"/>
      <c r="L7" s="217"/>
      <c r="M7" s="217"/>
      <c r="N7" s="217"/>
      <c r="O7" s="117">
        <f>ROW()</f>
        <v>7</v>
      </c>
      <c r="P7" s="217"/>
      <c r="Q7" s="217"/>
    </row>
    <row r="8" spans="1:17" ht="14.1" customHeight="1">
      <c r="B8" s="4071"/>
      <c r="C8" s="4071"/>
      <c r="D8" s="4071"/>
      <c r="E8" s="4071"/>
      <c r="F8" s="4071"/>
      <c r="G8" s="4071"/>
      <c r="H8" s="4071"/>
      <c r="I8" s="4071"/>
      <c r="J8" s="4071"/>
      <c r="K8" s="217"/>
      <c r="L8" s="217"/>
      <c r="M8" s="217"/>
      <c r="N8" s="217"/>
      <c r="O8" s="117">
        <f>ROW()</f>
        <v>8</v>
      </c>
      <c r="P8" s="217"/>
      <c r="Q8" s="217"/>
    </row>
    <row r="9" spans="1:17" ht="14.1" customHeight="1">
      <c r="B9" s="4071"/>
      <c r="C9" s="4071"/>
      <c r="D9" s="4071"/>
      <c r="E9" s="4071"/>
      <c r="F9" s="4071"/>
      <c r="G9" s="4071"/>
      <c r="H9" s="4071"/>
      <c r="I9" s="4071"/>
      <c r="J9" s="4071"/>
      <c r="K9" s="217"/>
      <c r="L9" s="217"/>
      <c r="M9" s="217"/>
      <c r="N9" s="217"/>
      <c r="O9" s="117">
        <f>ROW()</f>
        <v>9</v>
      </c>
      <c r="P9" s="217"/>
      <c r="Q9" s="217"/>
    </row>
    <row r="10" spans="1:17" ht="14.1" customHeight="1">
      <c r="A10" s="517"/>
      <c r="B10" s="3659" t="s">
        <v>860</v>
      </c>
      <c r="C10" s="3659"/>
      <c r="D10" s="3659"/>
      <c r="E10" s="3659"/>
      <c r="F10" s="3659"/>
      <c r="G10" s="3659"/>
      <c r="H10" s="3659"/>
      <c r="I10" s="3659"/>
      <c r="J10" s="3659"/>
      <c r="K10" s="217"/>
      <c r="L10" s="217"/>
      <c r="M10" s="217"/>
      <c r="N10" s="217"/>
      <c r="O10" s="117">
        <f>ROW()</f>
        <v>10</v>
      </c>
      <c r="P10" s="217"/>
      <c r="Q10" s="217"/>
    </row>
    <row r="11" spans="1:17" ht="14.1" customHeight="1">
      <c r="A11" s="517"/>
      <c r="B11" s="3659"/>
      <c r="C11" s="3659"/>
      <c r="D11" s="3659"/>
      <c r="E11" s="3659"/>
      <c r="F11" s="3659"/>
      <c r="G11" s="3659"/>
      <c r="H11" s="3659"/>
      <c r="I11" s="3659"/>
      <c r="J11" s="3659"/>
      <c r="K11" s="217"/>
      <c r="L11" s="217"/>
      <c r="M11" s="217"/>
      <c r="N11" s="217"/>
      <c r="O11" s="117">
        <f>ROW()</f>
        <v>11</v>
      </c>
      <c r="P11" s="217"/>
      <c r="Q11" s="217"/>
    </row>
    <row r="12" spans="1:17" ht="14.1" customHeight="1">
      <c r="A12" s="517"/>
      <c r="B12" s="4605" t="s">
        <v>2023</v>
      </c>
      <c r="C12" s="3659"/>
      <c r="D12" s="3659"/>
      <c r="E12" s="3659"/>
      <c r="F12" s="3659"/>
      <c r="G12" s="3659"/>
      <c r="H12" s="3659"/>
      <c r="I12" s="3659"/>
      <c r="J12" s="3659"/>
      <c r="K12" s="217"/>
      <c r="L12" s="217"/>
      <c r="M12" s="217"/>
      <c r="N12" s="217"/>
      <c r="O12" s="117">
        <f>ROW()</f>
        <v>12</v>
      </c>
      <c r="P12" s="217"/>
      <c r="Q12" s="217"/>
    </row>
    <row r="13" spans="1:17" ht="14.1" customHeight="1">
      <c r="A13" s="517"/>
      <c r="B13" s="3659"/>
      <c r="C13" s="3659"/>
      <c r="D13" s="3659"/>
      <c r="E13" s="3659"/>
      <c r="F13" s="3659"/>
      <c r="G13" s="3659"/>
      <c r="H13" s="3659"/>
      <c r="I13" s="3659"/>
      <c r="J13" s="3659"/>
      <c r="K13" s="217"/>
      <c r="L13" s="217"/>
      <c r="M13" s="217"/>
      <c r="N13" s="217"/>
      <c r="O13" s="117">
        <f>ROW()</f>
        <v>13</v>
      </c>
      <c r="P13" s="217"/>
      <c r="Q13" s="217"/>
    </row>
    <row r="14" spans="1:17" ht="14.1" customHeight="1">
      <c r="A14" s="517"/>
      <c r="B14" s="3659"/>
      <c r="C14" s="3659"/>
      <c r="D14" s="3659"/>
      <c r="E14" s="3659"/>
      <c r="F14" s="3659"/>
      <c r="G14" s="3659"/>
      <c r="H14" s="3659"/>
      <c r="I14" s="3659"/>
      <c r="J14" s="3659"/>
      <c r="K14" s="217"/>
      <c r="L14" s="217"/>
      <c r="M14" s="217"/>
      <c r="N14" s="217"/>
      <c r="O14" s="117">
        <f>ROW()</f>
        <v>14</v>
      </c>
      <c r="P14" s="217"/>
      <c r="Q14" s="217"/>
    </row>
    <row r="15" spans="1:17" ht="14.1" customHeight="1">
      <c r="A15" s="517"/>
      <c r="B15" s="3659"/>
      <c r="C15" s="3659"/>
      <c r="D15" s="3659"/>
      <c r="E15" s="3659"/>
      <c r="F15" s="3659"/>
      <c r="G15" s="3659"/>
      <c r="H15" s="3659"/>
      <c r="I15" s="3659"/>
      <c r="J15" s="3659"/>
      <c r="K15" s="217"/>
      <c r="L15" s="217"/>
      <c r="M15" s="217"/>
      <c r="N15" s="217"/>
      <c r="O15" s="117">
        <f>ROW()</f>
        <v>15</v>
      </c>
      <c r="P15" s="217"/>
      <c r="Q15" s="217"/>
    </row>
    <row r="16" spans="1:17" ht="14.1" customHeight="1">
      <c r="A16" s="517"/>
      <c r="B16" s="3659"/>
      <c r="C16" s="3659"/>
      <c r="D16" s="3659"/>
      <c r="E16" s="3659"/>
      <c r="F16" s="3659"/>
      <c r="G16" s="3659"/>
      <c r="H16" s="3659"/>
      <c r="I16" s="3659"/>
      <c r="J16" s="3659"/>
      <c r="K16" s="217"/>
      <c r="L16" s="217"/>
      <c r="M16" s="217"/>
      <c r="N16" s="217"/>
      <c r="O16" s="117">
        <f>ROW()</f>
        <v>16</v>
      </c>
      <c r="P16" s="217"/>
      <c r="Q16" s="217"/>
    </row>
    <row r="17" spans="1:17" ht="14.1" customHeight="1">
      <c r="A17" s="517"/>
      <c r="B17" s="3659" t="s">
        <v>2024</v>
      </c>
      <c r="C17" s="3659"/>
      <c r="D17" s="3659"/>
      <c r="E17" s="3659"/>
      <c r="F17" s="3659"/>
      <c r="G17" s="3659"/>
      <c r="H17" s="3659"/>
      <c r="I17" s="3659"/>
      <c r="J17" s="3659"/>
      <c r="K17" s="1578"/>
      <c r="L17" s="1578"/>
      <c r="M17" s="1578"/>
      <c r="N17" s="1578"/>
      <c r="O17" s="117">
        <f>ROW()</f>
        <v>17</v>
      </c>
      <c r="P17" s="1578"/>
      <c r="Q17" s="1578"/>
    </row>
    <row r="18" spans="1:17" ht="14.1" customHeight="1">
      <c r="A18" s="517"/>
      <c r="B18" s="3659"/>
      <c r="C18" s="3659"/>
      <c r="D18" s="3659"/>
      <c r="E18" s="3659"/>
      <c r="F18" s="3659"/>
      <c r="G18" s="3659"/>
      <c r="H18" s="3659"/>
      <c r="I18" s="3659"/>
      <c r="J18" s="3659"/>
      <c r="K18" s="1578"/>
      <c r="L18" s="1578"/>
      <c r="M18" s="1578"/>
      <c r="N18" s="1578"/>
      <c r="O18" s="117">
        <f>ROW()</f>
        <v>18</v>
      </c>
      <c r="P18" s="1578"/>
      <c r="Q18" s="1578"/>
    </row>
    <row r="19" spans="1:17" ht="14.1" customHeight="1">
      <c r="A19" s="517"/>
      <c r="B19" s="3659" t="s">
        <v>2503</v>
      </c>
      <c r="C19" s="3659"/>
      <c r="D19" s="3659"/>
      <c r="E19" s="3659"/>
      <c r="F19" s="3659"/>
      <c r="G19" s="3659"/>
      <c r="H19" s="3659"/>
      <c r="I19" s="3659"/>
      <c r="J19" s="3659"/>
      <c r="K19" s="217"/>
      <c r="L19" s="217"/>
      <c r="M19" s="217"/>
      <c r="N19" s="217"/>
      <c r="O19" s="117">
        <f>ROW()</f>
        <v>19</v>
      </c>
      <c r="P19" s="217"/>
      <c r="Q19" s="217"/>
    </row>
    <row r="20" spans="1:17" ht="14.1" customHeight="1">
      <c r="A20" s="517"/>
      <c r="B20" s="3659"/>
      <c r="C20" s="3659"/>
      <c r="D20" s="3659"/>
      <c r="E20" s="3659"/>
      <c r="F20" s="3659"/>
      <c r="G20" s="3659"/>
      <c r="H20" s="3659"/>
      <c r="I20" s="3659"/>
      <c r="J20" s="3659"/>
      <c r="K20" s="217"/>
      <c r="L20" s="217"/>
      <c r="M20" s="217"/>
      <c r="N20" s="217"/>
      <c r="O20" s="117">
        <f>ROW()</f>
        <v>20</v>
      </c>
      <c r="P20" s="217"/>
      <c r="Q20" s="217"/>
    </row>
    <row r="21" spans="1:17" ht="14.1" customHeight="1">
      <c r="A21" s="517"/>
      <c r="O21" s="117">
        <f>ROW()</f>
        <v>21</v>
      </c>
    </row>
    <row r="22" spans="1:17" ht="14.1" customHeight="1">
      <c r="A22" s="517"/>
      <c r="B22" s="783" t="s">
        <v>2218</v>
      </c>
      <c r="O22" s="117">
        <f>ROW()</f>
        <v>22</v>
      </c>
    </row>
    <row r="23" spans="1:17" ht="14.1" customHeight="1">
      <c r="A23" s="517"/>
      <c r="B23" s="783"/>
      <c r="O23" s="117">
        <f>ROW()</f>
        <v>23</v>
      </c>
    </row>
    <row r="24" spans="1:17" ht="14.1" customHeight="1">
      <c r="A24" s="517"/>
      <c r="B24" s="4071" t="s">
        <v>6137</v>
      </c>
      <c r="C24" s="3659"/>
      <c r="D24" s="3659"/>
      <c r="E24" s="3659"/>
      <c r="F24" s="3659"/>
      <c r="G24" s="3659"/>
      <c r="H24" s="3659"/>
      <c r="I24" s="3659"/>
      <c r="J24" s="3659"/>
      <c r="K24" s="217"/>
      <c r="L24" s="217"/>
      <c r="M24" s="217"/>
      <c r="N24" s="217"/>
      <c r="O24" s="117">
        <f>ROW()</f>
        <v>24</v>
      </c>
      <c r="P24" s="217"/>
      <c r="Q24" s="217"/>
    </row>
    <row r="25" spans="1:17" ht="14.1" customHeight="1">
      <c r="A25" s="517"/>
      <c r="B25" s="3659"/>
      <c r="C25" s="3659"/>
      <c r="D25" s="3659"/>
      <c r="E25" s="3659"/>
      <c r="F25" s="3659"/>
      <c r="G25" s="3659"/>
      <c r="H25" s="3659"/>
      <c r="I25" s="3659"/>
      <c r="J25" s="3659"/>
      <c r="K25" s="217"/>
      <c r="L25" s="217"/>
      <c r="M25" s="217"/>
      <c r="N25" s="217"/>
      <c r="O25" s="117">
        <f>ROW()</f>
        <v>25</v>
      </c>
      <c r="P25" s="217"/>
      <c r="Q25" s="217"/>
    </row>
    <row r="26" spans="1:17" ht="14.1" customHeight="1">
      <c r="B26" s="3659"/>
      <c r="C26" s="3659"/>
      <c r="D26" s="3659"/>
      <c r="E26" s="3659"/>
      <c r="F26" s="3659"/>
      <c r="G26" s="3659"/>
      <c r="H26" s="3659"/>
      <c r="I26" s="3659"/>
      <c r="J26" s="3659"/>
      <c r="K26" s="217"/>
      <c r="L26" s="217"/>
      <c r="M26" s="217"/>
      <c r="N26" s="217"/>
      <c r="O26" s="117">
        <f>ROW()</f>
        <v>26</v>
      </c>
      <c r="P26" s="217"/>
      <c r="Q26" s="217"/>
    </row>
    <row r="27" spans="1:17" s="3507" customFormat="1" ht="14.1" customHeight="1">
      <c r="B27" s="3659"/>
      <c r="C27" s="3659"/>
      <c r="D27" s="3659"/>
      <c r="E27" s="3659"/>
      <c r="F27" s="3659"/>
      <c r="G27" s="3659"/>
      <c r="H27" s="3659"/>
      <c r="I27" s="3659"/>
      <c r="J27" s="3659"/>
      <c r="K27" s="3505"/>
      <c r="L27" s="3505"/>
      <c r="M27" s="3505"/>
      <c r="N27" s="3505"/>
      <c r="O27" s="117">
        <f>ROW()</f>
        <v>27</v>
      </c>
      <c r="P27" s="3505"/>
      <c r="Q27" s="3505"/>
    </row>
    <row r="28" spans="1:17" ht="14.1" customHeight="1">
      <c r="B28" s="4262" t="s">
        <v>1250</v>
      </c>
      <c r="C28" s="4262"/>
      <c r="D28" s="4262"/>
      <c r="E28" s="4262"/>
      <c r="F28" s="4262"/>
      <c r="G28" s="4262"/>
      <c r="H28" s="4262"/>
      <c r="I28" s="4262"/>
      <c r="J28" s="4262"/>
      <c r="K28" s="879"/>
      <c r="L28" s="879"/>
      <c r="M28" s="879"/>
      <c r="N28" s="879"/>
      <c r="O28" s="117">
        <f>ROW()</f>
        <v>28</v>
      </c>
      <c r="P28" s="879"/>
      <c r="Q28" s="879"/>
    </row>
    <row r="29" spans="1:17" ht="14.1" customHeight="1">
      <c r="B29" s="4262"/>
      <c r="C29" s="4262"/>
      <c r="D29" s="4262"/>
      <c r="E29" s="4262"/>
      <c r="F29" s="4262"/>
      <c r="G29" s="4262"/>
      <c r="H29" s="4262"/>
      <c r="I29" s="4262"/>
      <c r="J29" s="4262"/>
      <c r="K29" s="879"/>
      <c r="L29" s="879"/>
      <c r="M29" s="879"/>
      <c r="N29" s="879"/>
      <c r="O29" s="117">
        <f>ROW()</f>
        <v>29</v>
      </c>
      <c r="P29" s="879"/>
      <c r="Q29" s="879"/>
    </row>
    <row r="30" spans="1:17" ht="14.1" customHeight="1">
      <c r="A30" s="517"/>
      <c r="B30" s="4262"/>
      <c r="C30" s="4262"/>
      <c r="D30" s="4262"/>
      <c r="E30" s="4262"/>
      <c r="F30" s="4262"/>
      <c r="G30" s="4262"/>
      <c r="H30" s="4262"/>
      <c r="I30" s="4262"/>
      <c r="J30" s="4262"/>
      <c r="K30" s="879"/>
      <c r="L30" s="879"/>
      <c r="M30" s="879"/>
      <c r="N30" s="879"/>
      <c r="O30" s="117">
        <f>ROW()</f>
        <v>30</v>
      </c>
      <c r="P30" s="879"/>
      <c r="Q30" s="879"/>
    </row>
    <row r="31" spans="1:17" ht="14.1" customHeight="1">
      <c r="A31" s="517"/>
      <c r="B31" s="4262"/>
      <c r="C31" s="4262"/>
      <c r="D31" s="4262"/>
      <c r="E31" s="4262"/>
      <c r="F31" s="4262"/>
      <c r="G31" s="4262"/>
      <c r="H31" s="4262"/>
      <c r="I31" s="4262"/>
      <c r="J31" s="4262"/>
      <c r="K31" s="879"/>
      <c r="L31" s="879"/>
      <c r="M31" s="879"/>
      <c r="N31" s="879"/>
      <c r="O31" s="117">
        <f>ROW()</f>
        <v>31</v>
      </c>
      <c r="P31" s="879"/>
      <c r="Q31" s="879"/>
    </row>
    <row r="32" spans="1:17" ht="14.1" customHeight="1">
      <c r="A32" s="517"/>
      <c r="B32" s="4262"/>
      <c r="C32" s="4262"/>
      <c r="D32" s="4262"/>
      <c r="E32" s="4262"/>
      <c r="F32" s="4262"/>
      <c r="G32" s="4262"/>
      <c r="H32" s="4262"/>
      <c r="I32" s="4262"/>
      <c r="J32" s="4262"/>
      <c r="K32" s="879"/>
      <c r="L32" s="879"/>
      <c r="M32" s="879"/>
      <c r="N32" s="879"/>
      <c r="O32" s="117">
        <f>ROW()</f>
        <v>32</v>
      </c>
      <c r="P32" s="879"/>
      <c r="Q32" s="879"/>
    </row>
    <row r="33" spans="2:21" ht="14.1" customHeight="1">
      <c r="B33" s="4262"/>
      <c r="C33" s="4262"/>
      <c r="D33" s="4262"/>
      <c r="E33" s="4262"/>
      <c r="F33" s="4262"/>
      <c r="G33" s="4262"/>
      <c r="H33" s="4262"/>
      <c r="I33" s="4262"/>
      <c r="J33" s="4262"/>
      <c r="K33" s="879"/>
      <c r="L33" s="879"/>
      <c r="M33" s="879"/>
      <c r="N33" s="879"/>
      <c r="O33" s="117">
        <f>ROW()</f>
        <v>33</v>
      </c>
      <c r="P33" s="879"/>
      <c r="Q33" s="879"/>
    </row>
    <row r="34" spans="2:21" ht="14.1" customHeight="1">
      <c r="B34" s="4262"/>
      <c r="C34" s="4262"/>
      <c r="D34" s="4262"/>
      <c r="E34" s="4262"/>
      <c r="F34" s="4262"/>
      <c r="G34" s="4262"/>
      <c r="H34" s="4262"/>
      <c r="I34" s="4262"/>
      <c r="J34" s="4262"/>
      <c r="K34" s="879"/>
      <c r="L34" s="879"/>
      <c r="M34" s="879"/>
      <c r="N34" s="879"/>
      <c r="O34" s="117">
        <f>ROW()</f>
        <v>34</v>
      </c>
      <c r="P34" s="879"/>
      <c r="Q34" s="879"/>
    </row>
    <row r="35" spans="2:21" ht="14.1" customHeight="1">
      <c r="B35" s="4071" t="s">
        <v>5311</v>
      </c>
      <c r="C35" s="3659"/>
      <c r="D35" s="3659"/>
      <c r="E35" s="3659"/>
      <c r="F35" s="3659"/>
      <c r="G35" s="3659"/>
      <c r="H35" s="3659"/>
      <c r="I35" s="3659"/>
      <c r="J35" s="3659"/>
      <c r="O35" s="117">
        <f>ROW()</f>
        <v>35</v>
      </c>
    </row>
    <row r="36" spans="2:21" ht="14.1" customHeight="1">
      <c r="B36" s="3659"/>
      <c r="C36" s="3659"/>
      <c r="D36" s="3659"/>
      <c r="E36" s="3659"/>
      <c r="F36" s="3659"/>
      <c r="G36" s="3659"/>
      <c r="H36" s="3659"/>
      <c r="I36" s="3659"/>
      <c r="J36" s="3659"/>
      <c r="O36" s="117">
        <f>ROW()</f>
        <v>36</v>
      </c>
    </row>
    <row r="37" spans="2:21" ht="14.1" customHeight="1">
      <c r="B37" s="3659"/>
      <c r="C37" s="3659"/>
      <c r="D37" s="3659"/>
      <c r="E37" s="3659"/>
      <c r="F37" s="3659"/>
      <c r="G37" s="3659"/>
      <c r="H37" s="3659"/>
      <c r="I37" s="3659"/>
      <c r="J37" s="3659"/>
      <c r="L37" s="5072" t="str">
        <f>CONCATENATE("Note: Auto price-elasticities are 'all-in,' i.e., they apply not to the (relatively small) current toll levels, but to the total incremental cost of a CBD auto trip, which includes parking, gasoline, etc. (as estimated in Rows ",'Motor Vs'!O219, "-",'Motor Vs'!O257, " of the 'Motor Vs' worksheet). Thus, what may appear to be high values (in a tolls-only context) are far more modest as all-in values.")</f>
        <v>Note: Auto price-elasticities are 'all-in,' i.e., they apply not to the (relatively small) current toll levels, but to the total incremental cost of a CBD auto trip, which includes parking, gasoline, etc. (as estimated in Rows 219-257 of the 'Motor Vs' worksheet). Thus, what may appear to be high values (in a tolls-only context) are far more modest as all-in values.</v>
      </c>
      <c r="M37" s="5072"/>
      <c r="N37" s="5072"/>
      <c r="O37" s="117">
        <f>ROW()</f>
        <v>37</v>
      </c>
    </row>
    <row r="38" spans="2:21" ht="14.1" customHeight="1">
      <c r="B38" s="3659"/>
      <c r="C38" s="3659"/>
      <c r="D38" s="3659"/>
      <c r="E38" s="3659"/>
      <c r="F38" s="3659"/>
      <c r="G38" s="3659"/>
      <c r="H38" s="3659"/>
      <c r="I38" s="3659"/>
      <c r="J38" s="3659"/>
      <c r="L38" s="5072"/>
      <c r="M38" s="5072"/>
      <c r="N38" s="5072"/>
      <c r="O38" s="117">
        <f>ROW()</f>
        <v>38</v>
      </c>
    </row>
    <row r="39" spans="2:21" ht="14.1" customHeight="1">
      <c r="B39" s="217"/>
      <c r="C39" s="217"/>
      <c r="D39" s="217"/>
      <c r="E39" s="217"/>
      <c r="F39" s="217"/>
      <c r="G39" s="217"/>
      <c r="H39" s="217"/>
      <c r="I39" s="217"/>
      <c r="J39" s="217"/>
      <c r="L39" s="5072"/>
      <c r="M39" s="5072"/>
      <c r="N39" s="5072"/>
      <c r="O39" s="117">
        <f>ROW()</f>
        <v>39</v>
      </c>
    </row>
    <row r="40" spans="2:21" ht="14.1" customHeight="1">
      <c r="B40" s="270" t="s">
        <v>1251</v>
      </c>
      <c r="C40" s="517"/>
      <c r="D40" s="517"/>
      <c r="E40" s="517"/>
      <c r="F40" s="517"/>
      <c r="G40" s="517"/>
      <c r="H40" s="517"/>
      <c r="I40" s="517"/>
      <c r="J40" s="517"/>
      <c r="K40" s="517"/>
      <c r="L40" s="5072"/>
      <c r="M40" s="5072"/>
      <c r="N40" s="5072"/>
      <c r="O40" s="117">
        <f>ROW()</f>
        <v>40</v>
      </c>
      <c r="P40" s="517"/>
      <c r="Q40" s="517"/>
    </row>
    <row r="41" spans="2:21" ht="14.1" customHeight="1">
      <c r="L41" s="5072"/>
      <c r="M41" s="5072"/>
      <c r="N41" s="5072"/>
      <c r="O41" s="117">
        <f>ROW()</f>
        <v>41</v>
      </c>
    </row>
    <row r="42" spans="2:21" ht="14.1" customHeight="1">
      <c r="B42" s="517" t="s">
        <v>1255</v>
      </c>
      <c r="L42" s="5072"/>
      <c r="M42" s="5072"/>
      <c r="N42" s="5072"/>
      <c r="O42" s="117">
        <f>ROW()</f>
        <v>42</v>
      </c>
      <c r="U42" s="86"/>
    </row>
    <row r="43" spans="2:21" ht="14.1" customHeight="1">
      <c r="B43" s="4194" t="s">
        <v>2055</v>
      </c>
      <c r="C43" s="4194"/>
      <c r="D43" s="4194"/>
      <c r="E43" s="4194"/>
      <c r="F43" s="4194"/>
      <c r="G43" s="4194"/>
      <c r="H43" s="4194"/>
      <c r="I43" s="4194"/>
      <c r="J43" s="4194"/>
      <c r="K43" s="217"/>
      <c r="L43" s="5072"/>
      <c r="M43" s="5072"/>
      <c r="N43" s="5072"/>
      <c r="O43" s="117">
        <f>ROW()</f>
        <v>43</v>
      </c>
      <c r="P43" s="217"/>
      <c r="Q43" s="217"/>
      <c r="U43" s="86"/>
    </row>
    <row r="44" spans="2:21" ht="14.1" customHeight="1">
      <c r="B44" s="4194"/>
      <c r="C44" s="4194"/>
      <c r="D44" s="4194"/>
      <c r="E44" s="4194"/>
      <c r="F44" s="4194"/>
      <c r="G44" s="4194"/>
      <c r="H44" s="4194"/>
      <c r="I44" s="4194"/>
      <c r="J44" s="4194"/>
      <c r="K44" s="217"/>
      <c r="L44" s="5072"/>
      <c r="M44" s="5072"/>
      <c r="N44" s="5072"/>
      <c r="O44" s="117">
        <f>ROW()</f>
        <v>44</v>
      </c>
      <c r="P44" s="217"/>
      <c r="Q44" s="217"/>
    </row>
    <row r="45" spans="2:21" ht="14.1" customHeight="1">
      <c r="B45" s="4194"/>
      <c r="C45" s="4194"/>
      <c r="D45" s="4194"/>
      <c r="E45" s="4194"/>
      <c r="F45" s="4194"/>
      <c r="G45" s="4194"/>
      <c r="H45" s="4194"/>
      <c r="I45" s="4194"/>
      <c r="J45" s="4194"/>
      <c r="K45" s="217"/>
      <c r="L45" s="217"/>
      <c r="M45" s="217"/>
      <c r="N45" s="217"/>
      <c r="O45" s="117">
        <f>ROW()</f>
        <v>45</v>
      </c>
      <c r="P45" s="217"/>
      <c r="Q45" s="217"/>
    </row>
    <row r="46" spans="2:21" ht="14.1" customHeight="1">
      <c r="L46" s="3797" t="s">
        <v>291</v>
      </c>
      <c r="O46" s="117">
        <f>ROW()</f>
        <v>46</v>
      </c>
    </row>
    <row r="47" spans="2:21" ht="14.1" customHeight="1">
      <c r="B47" s="270" t="s">
        <v>1252</v>
      </c>
      <c r="G47" s="5094" t="s">
        <v>1253</v>
      </c>
      <c r="H47" s="5094" t="s">
        <v>1254</v>
      </c>
      <c r="I47" s="5097" t="s">
        <v>5499</v>
      </c>
      <c r="J47" s="5097" t="s">
        <v>5500</v>
      </c>
      <c r="L47" s="4254"/>
      <c r="O47" s="117">
        <f>ROW()</f>
        <v>47</v>
      </c>
    </row>
    <row r="48" spans="2:21" ht="14.1" customHeight="1" thickBot="1">
      <c r="G48" s="4783"/>
      <c r="H48" s="4783"/>
      <c r="I48" s="4783"/>
      <c r="J48" s="4783"/>
      <c r="L48" s="4521"/>
      <c r="O48" s="117">
        <f>ROW()</f>
        <v>48</v>
      </c>
      <c r="S48" s="1320" t="s">
        <v>1046</v>
      </c>
    </row>
    <row r="49" spans="2:21" ht="14.1" customHeight="1">
      <c r="B49" s="517" t="s">
        <v>1715</v>
      </c>
      <c r="C49" s="39"/>
      <c r="D49" s="39"/>
      <c r="E49" s="39"/>
      <c r="F49" s="5092" t="s">
        <v>1256</v>
      </c>
      <c r="G49" s="3260">
        <v>-0.09</v>
      </c>
      <c r="H49" s="3260">
        <v>-0.23400000000000001</v>
      </c>
      <c r="L49" s="34" t="s">
        <v>292</v>
      </c>
      <c r="O49" s="117">
        <f>ROW()</f>
        <v>49</v>
      </c>
      <c r="S49" s="1314">
        <v>-0.09</v>
      </c>
      <c r="T49" s="62">
        <v>-0.23400000000000001</v>
      </c>
      <c r="U49" s="491"/>
    </row>
    <row r="50" spans="2:21" ht="14.1" customHeight="1">
      <c r="B50" s="517" t="s">
        <v>1716</v>
      </c>
      <c r="C50" s="39"/>
      <c r="D50" s="39"/>
      <c r="E50" s="39"/>
      <c r="F50" s="5093"/>
      <c r="G50" s="3260">
        <v>-0.5</v>
      </c>
      <c r="H50" s="3260">
        <v>-0.55000000000000004</v>
      </c>
      <c r="L50" s="34" t="s">
        <v>2367</v>
      </c>
      <c r="O50" s="117">
        <f>ROW()</f>
        <v>50</v>
      </c>
      <c r="S50" s="1315">
        <v>-0.5</v>
      </c>
      <c r="T50" s="66">
        <v>-0.55000000000000004</v>
      </c>
      <c r="U50" s="1316"/>
    </row>
    <row r="51" spans="2:21" ht="14.1" customHeight="1">
      <c r="B51" s="2526" t="s">
        <v>1717</v>
      </c>
      <c r="C51" s="39"/>
      <c r="E51" s="2525"/>
      <c r="F51" s="3173" t="str">
        <f>CONCATENATE("See box, Rows ",O37, "-",O44, ".")</f>
        <v>See box, Rows 37-44.</v>
      </c>
      <c r="G51" s="3261">
        <v>-0.5</v>
      </c>
      <c r="H51" s="3261">
        <v>-0.9</v>
      </c>
      <c r="I51" s="3260">
        <f>G51*'Motor Vs'!$I$39+H51*(1-'Motor Vs'!$I$39)</f>
        <v>-0.66516719250565004</v>
      </c>
      <c r="J51" s="3260">
        <f>G51*'Motor Vs Weekends'!$I$39+H51*(1-'Motor Vs Weekends'!$I$39)</f>
        <v>-0.8</v>
      </c>
      <c r="L51" s="2409" t="s">
        <v>4257</v>
      </c>
      <c r="M51" s="1579" t="s">
        <v>4256</v>
      </c>
      <c r="O51" s="117">
        <f>ROW()</f>
        <v>51</v>
      </c>
      <c r="S51" s="1315">
        <v>-0.5</v>
      </c>
      <c r="T51" s="66">
        <v>-0.9</v>
      </c>
      <c r="U51" s="1317">
        <f>(S51*'Motor Vs'!$I$76+T51*'Motor Vs'!$J$76)/'Motor Vs'!$I$37</f>
        <v>-0.66516719250565004</v>
      </c>
    </row>
    <row r="52" spans="2:21" ht="14.1" customHeight="1" thickBot="1">
      <c r="B52" s="784" t="s">
        <v>1718</v>
      </c>
      <c r="C52" s="785"/>
      <c r="D52" s="785"/>
      <c r="E52" s="785"/>
      <c r="F52" s="785"/>
      <c r="G52" s="3511">
        <v>-1</v>
      </c>
      <c r="H52" s="1618">
        <v>-1</v>
      </c>
      <c r="I52" s="3260">
        <f>G52*'Motor Vs'!$I$39+H52*(1-'Motor Vs'!$I$39)</f>
        <v>-1</v>
      </c>
      <c r="J52" s="3260">
        <f>G52*'Motor Vs Weekends'!$I$39+H52*(1-'Motor Vs Weekends'!$I$39)</f>
        <v>-1</v>
      </c>
      <c r="K52" s="217"/>
      <c r="L52" s="34" t="s">
        <v>1642</v>
      </c>
      <c r="M52" s="217"/>
      <c r="N52" s="217"/>
      <c r="O52" s="117">
        <f>ROW()</f>
        <v>52</v>
      </c>
      <c r="P52" s="217"/>
      <c r="Q52" s="217"/>
      <c r="S52" s="1318">
        <v>-1</v>
      </c>
      <c r="T52" s="471">
        <v>-1</v>
      </c>
      <c r="U52" s="1319">
        <f>(S52*'Motor Vs'!$I$76+T52*'Motor Vs'!$J$76)/'Motor Vs'!$I$37</f>
        <v>-1</v>
      </c>
    </row>
    <row r="53" spans="2:21" ht="14.1" customHeight="1">
      <c r="B53" s="517" t="s">
        <v>2856</v>
      </c>
      <c r="C53" s="785"/>
      <c r="D53" s="785"/>
      <c r="E53" s="785"/>
      <c r="F53" s="5082" t="s">
        <v>1257</v>
      </c>
      <c r="G53" s="5073">
        <v>-0.22</v>
      </c>
      <c r="H53" s="5074"/>
      <c r="I53" s="5075"/>
      <c r="L53" s="34" t="s">
        <v>192</v>
      </c>
      <c r="O53" s="117">
        <f>ROW()</f>
        <v>53</v>
      </c>
    </row>
    <row r="54" spans="2:21" ht="14.1" customHeight="1">
      <c r="B54" s="517" t="s">
        <v>2599</v>
      </c>
      <c r="C54" s="785"/>
      <c r="D54" s="785"/>
      <c r="E54" s="785"/>
      <c r="F54" s="5083"/>
      <c r="G54" s="5076">
        <f>ROUND(5*AVERAGE(G50:H50,G52:H52),0)/5</f>
        <v>-0.8</v>
      </c>
      <c r="H54" s="5077"/>
      <c r="I54" s="5078"/>
      <c r="L54" s="34" t="s">
        <v>192</v>
      </c>
      <c r="O54" s="117">
        <f>ROW()</f>
        <v>54</v>
      </c>
    </row>
    <row r="55" spans="2:21" ht="14.1" customHeight="1">
      <c r="B55" s="517"/>
      <c r="C55" s="785"/>
      <c r="D55" s="785"/>
      <c r="E55" s="785"/>
      <c r="F55" s="1716"/>
      <c r="G55" s="470"/>
      <c r="H55" s="470"/>
      <c r="I55" s="470"/>
      <c r="L55" s="2412"/>
      <c r="O55" s="117">
        <f>ROW()</f>
        <v>55</v>
      </c>
    </row>
    <row r="56" spans="2:21" ht="14.1" customHeight="1">
      <c r="B56" s="5085" t="str">
        <f>CONCATENATE("Thru-trips elasticities are weighted averages of elasticities for auto work, auto non-work, taxi, truck and bus. The weights are derived in Rows ",O67, "-",O71, " (for weekdays) and Rows ",O73, "-",O77, " weekends).")</f>
        <v>Thru-trips elasticities are weighted averages of elasticities for auto work, auto non-work, taxi, truck and bus. The weights are derived in Rows 67-71 (for weekdays) and Rows 73-77 weekends).</v>
      </c>
      <c r="C56" s="3659"/>
      <c r="D56" s="3659"/>
      <c r="E56" s="3659"/>
      <c r="F56" s="3659"/>
      <c r="G56" s="3659"/>
      <c r="H56" s="3659"/>
      <c r="I56" s="3659"/>
      <c r="J56" s="3659"/>
      <c r="O56" s="117">
        <f>ROW()</f>
        <v>56</v>
      </c>
    </row>
    <row r="57" spans="2:21" ht="14.1" customHeight="1">
      <c r="B57" s="3659"/>
      <c r="C57" s="3659"/>
      <c r="D57" s="3659"/>
      <c r="E57" s="3659"/>
      <c r="F57" s="3659"/>
      <c r="G57" s="3659"/>
      <c r="H57" s="3659"/>
      <c r="I57" s="3659"/>
      <c r="J57" s="3659"/>
      <c r="O57" s="117">
        <f>ROW()</f>
        <v>57</v>
      </c>
    </row>
    <row r="58" spans="2:21" ht="14.1" customHeight="1">
      <c r="B58" s="5080" t="s">
        <v>4261</v>
      </c>
      <c r="C58" s="3659"/>
      <c r="D58" s="3659"/>
      <c r="E58" s="3659"/>
      <c r="F58" s="3659"/>
      <c r="G58" s="3659"/>
      <c r="H58" s="3659"/>
      <c r="I58" s="3659"/>
      <c r="J58" s="3659"/>
      <c r="O58" s="117">
        <f>ROW()</f>
        <v>58</v>
      </c>
    </row>
    <row r="59" spans="2:21" ht="14.1" customHeight="1">
      <c r="B59" s="3659"/>
      <c r="C59" s="3659"/>
      <c r="D59" s="3659"/>
      <c r="E59" s="3659"/>
      <c r="F59" s="3659"/>
      <c r="G59" s="3659"/>
      <c r="H59" s="3659"/>
      <c r="I59" s="3659"/>
      <c r="J59" s="3659"/>
      <c r="O59" s="117">
        <f>ROW()</f>
        <v>59</v>
      </c>
    </row>
    <row r="60" spans="2:21" ht="14.1" customHeight="1">
      <c r="B60" s="3659"/>
      <c r="C60" s="3659"/>
      <c r="D60" s="3659"/>
      <c r="E60" s="3659"/>
      <c r="F60" s="3659"/>
      <c r="G60" s="3659"/>
      <c r="H60" s="3659"/>
      <c r="I60" s="3659"/>
      <c r="J60" s="3659"/>
      <c r="O60" s="117">
        <f>ROW()</f>
        <v>60</v>
      </c>
    </row>
    <row r="61" spans="2:21" ht="14.1" customHeight="1">
      <c r="B61" s="3659"/>
      <c r="C61" s="3659"/>
      <c r="D61" s="3659"/>
      <c r="E61" s="3659"/>
      <c r="F61" s="3659"/>
      <c r="G61" s="3659"/>
      <c r="H61" s="3659"/>
      <c r="I61" s="3659"/>
      <c r="J61" s="3659"/>
      <c r="O61" s="117">
        <f>ROW()</f>
        <v>61</v>
      </c>
    </row>
    <row r="62" spans="2:21" ht="14.1" customHeight="1">
      <c r="B62" s="280" t="s">
        <v>623</v>
      </c>
      <c r="F62" s="5086" t="str">
        <f>CONCATENATE("These factors (by Komanoff)  are applied to elasticities in Rows ",O49, "-",O52, " to calculate truck and bus elasticities that are then inputted into 'Motor Vs' and 'Motor Vs Weekends' worksheets.")</f>
        <v>These factors (by Komanoff)  are applied to elasticities in Rows 49-52 to calculate truck and bus elasticities that are then inputted into 'Motor Vs' and 'Motor Vs Weekends' worksheets.</v>
      </c>
      <c r="G62" s="3775"/>
      <c r="H62" s="3775"/>
      <c r="I62" s="3776"/>
      <c r="J62" s="2421">
        <f>1/3</f>
        <v>0.33333333333333331</v>
      </c>
      <c r="K62" s="191"/>
      <c r="O62" s="117">
        <f>ROW()</f>
        <v>62</v>
      </c>
      <c r="P62" s="191"/>
      <c r="Q62" s="191"/>
    </row>
    <row r="63" spans="2:21" ht="14.1" customHeight="1">
      <c r="B63" s="280" t="s">
        <v>624</v>
      </c>
      <c r="F63" s="4143"/>
      <c r="G63" s="3739"/>
      <c r="H63" s="3739"/>
      <c r="I63" s="3922"/>
      <c r="J63" s="2422">
        <f>1/5</f>
        <v>0.2</v>
      </c>
      <c r="K63" s="191"/>
      <c r="O63" s="117">
        <f>ROW()</f>
        <v>63</v>
      </c>
      <c r="P63" s="191"/>
      <c r="Q63" s="191"/>
    </row>
    <row r="64" spans="2:21" ht="14.1" customHeight="1">
      <c r="B64" s="280" t="s">
        <v>625</v>
      </c>
      <c r="F64" s="4143"/>
      <c r="G64" s="3739"/>
      <c r="H64" s="3739"/>
      <c r="I64" s="3922"/>
      <c r="J64" s="2423">
        <f>J62</f>
        <v>0.33333333333333331</v>
      </c>
      <c r="K64" s="191"/>
      <c r="M64" s="191"/>
      <c r="N64" s="191"/>
      <c r="O64" s="117">
        <f>ROW()</f>
        <v>64</v>
      </c>
      <c r="P64" s="191"/>
      <c r="Q64" s="191"/>
    </row>
    <row r="65" spans="2:17" ht="14.1" customHeight="1">
      <c r="B65" s="280" t="s">
        <v>626</v>
      </c>
      <c r="F65" s="4588"/>
      <c r="G65" s="3742"/>
      <c r="H65" s="3742"/>
      <c r="I65" s="3742"/>
      <c r="J65" s="2425" t="s">
        <v>2417</v>
      </c>
      <c r="K65" s="2426" t="s">
        <v>1540</v>
      </c>
      <c r="L65" s="2424"/>
      <c r="M65" s="191"/>
      <c r="N65" s="191"/>
      <c r="O65" s="117">
        <f>ROW()</f>
        <v>65</v>
      </c>
      <c r="P65" s="191"/>
      <c r="Q65" s="191"/>
    </row>
    <row r="66" spans="2:17" ht="14.1" customHeight="1">
      <c r="J66" s="191"/>
      <c r="K66" s="191"/>
      <c r="M66" s="191"/>
      <c r="N66" s="191"/>
      <c r="O66" s="117">
        <f>ROW()</f>
        <v>66</v>
      </c>
      <c r="P66" s="191"/>
      <c r="Q66" s="191"/>
    </row>
    <row r="67" spans="2:17" ht="14.1" customHeight="1">
      <c r="B67" s="2221" t="s">
        <v>5309</v>
      </c>
      <c r="C67" s="198"/>
      <c r="D67" s="198"/>
      <c r="E67" s="198"/>
      <c r="F67" s="198"/>
      <c r="G67" s="198"/>
      <c r="H67" s="2413"/>
      <c r="I67" s="3819" t="str">
        <f>CONCATENATE("Truck and bus numbers are differences between total cordon entries and 'final' entries in Rows ",'Motor Vs'!O30, " and ",'Motor Vs'!O68, " of 'Motor Vs' worksheet. Auto figures were calculated in Row ",O43, " of 'Motor Vs' worksheet' and are taken directly from there.")</f>
        <v>Truck and bus numbers are differences between total cordon entries and 'final' entries in Rows 30 and 68 of 'Motor Vs' worksheet. Auto figures were calculated in Row 43 of 'Motor Vs' worksheet' and are taken directly from there.</v>
      </c>
      <c r="J67" s="3678"/>
      <c r="K67" s="3678"/>
      <c r="L67" s="3678"/>
      <c r="M67" s="3679"/>
      <c r="N67" s="191"/>
      <c r="O67" s="117">
        <f>ROW()</f>
        <v>67</v>
      </c>
      <c r="P67" s="191"/>
      <c r="Q67" s="191"/>
    </row>
    <row r="68" spans="2:17" ht="14.1" customHeight="1">
      <c r="B68" s="844" t="str">
        <f>CONCATENATE("(needed to calculate thru trip elasticities in Rows ",O51," and ",O52, ")")</f>
        <v>(needed to calculate thru trip elasticities in Rows 51 and 52)</v>
      </c>
      <c r="C68" s="113"/>
      <c r="D68" s="113"/>
      <c r="E68" s="113"/>
      <c r="F68" s="113"/>
      <c r="G68" s="113"/>
      <c r="H68" s="2415"/>
      <c r="I68" s="3680"/>
      <c r="J68" s="3681"/>
      <c r="K68" s="3681"/>
      <c r="L68" s="3681"/>
      <c r="M68" s="3682"/>
      <c r="N68" s="191"/>
      <c r="O68" s="117">
        <f>ROW()</f>
        <v>68</v>
      </c>
      <c r="P68" s="191"/>
      <c r="Q68" s="191"/>
    </row>
    <row r="69" spans="2:17" ht="14.1" customHeight="1">
      <c r="B69" s="2427"/>
      <c r="C69" s="75" t="s">
        <v>4259</v>
      </c>
      <c r="D69" s="75" t="s">
        <v>4260</v>
      </c>
      <c r="E69" s="75" t="s">
        <v>2067</v>
      </c>
      <c r="F69" s="75" t="s">
        <v>2212</v>
      </c>
      <c r="G69" s="75" t="s">
        <v>967</v>
      </c>
      <c r="H69" s="2278" t="s">
        <v>228</v>
      </c>
      <c r="I69" s="3680"/>
      <c r="J69" s="3681"/>
      <c r="K69" s="3681"/>
      <c r="L69" s="3681"/>
      <c r="M69" s="3682"/>
      <c r="N69" s="191"/>
      <c r="O69" s="117">
        <f>ROW()</f>
        <v>69</v>
      </c>
      <c r="P69" s="191"/>
      <c r="Q69" s="191"/>
    </row>
    <row r="70" spans="2:17" ht="14.1" customHeight="1">
      <c r="B70" s="2427" t="s">
        <v>4258</v>
      </c>
      <c r="C70" s="2414">
        <f>'Motor Vs'!I$59</f>
        <v>74631.170848412745</v>
      </c>
      <c r="D70" s="3027">
        <f>'Motor Vs'!J$59</f>
        <v>52491.051373809503</v>
      </c>
      <c r="E70" s="3027">
        <f>'Motor Vs'!L30-'Motor Vs'!L76</f>
        <v>0</v>
      </c>
      <c r="F70" s="2414">
        <f>'Motor Vs'!M30-'Motor Vs'!M76</f>
        <v>6800</v>
      </c>
      <c r="G70" s="2414">
        <f>'Motor Vs'!N30-'Motor Vs'!N76</f>
        <v>568.42105263157828</v>
      </c>
      <c r="H70" s="2428">
        <f>SUM(C70:G70)</f>
        <v>134490.64327485382</v>
      </c>
      <c r="I70" s="3680"/>
      <c r="J70" s="3681"/>
      <c r="K70" s="3681"/>
      <c r="L70" s="3681"/>
      <c r="M70" s="3682"/>
      <c r="N70" s="191"/>
      <c r="O70" s="117">
        <f>ROW()</f>
        <v>70</v>
      </c>
      <c r="P70" s="191"/>
      <c r="Q70" s="191"/>
    </row>
    <row r="71" spans="2:17" ht="14.1" customHeight="1">
      <c r="B71" s="2429" t="s">
        <v>2292</v>
      </c>
      <c r="C71" s="2235">
        <f>C70/$H$70</f>
        <v>0.55491719744318302</v>
      </c>
      <c r="D71" s="2235">
        <f>D70/$H$70</f>
        <v>0.39029519151406972</v>
      </c>
      <c r="E71" s="2235">
        <f>E70/$H$70</f>
        <v>0</v>
      </c>
      <c r="F71" s="2235">
        <f>F70/$H$70</f>
        <v>5.0561138190878291E-2</v>
      </c>
      <c r="G71" s="2235">
        <f>G70/$H$70</f>
        <v>4.2264728518690781E-3</v>
      </c>
      <c r="H71" s="3028">
        <f>SUM(C71:G71)</f>
        <v>1.0000000000000002</v>
      </c>
      <c r="I71" s="3683"/>
      <c r="J71" s="3684"/>
      <c r="K71" s="3684"/>
      <c r="L71" s="3684"/>
      <c r="M71" s="3685"/>
      <c r="N71" s="191"/>
      <c r="O71" s="117">
        <f>ROW()</f>
        <v>71</v>
      </c>
      <c r="P71" s="191"/>
      <c r="Q71" s="191"/>
    </row>
    <row r="72" spans="2:17" ht="14.1" customHeight="1">
      <c r="J72" s="191"/>
      <c r="K72" s="191"/>
      <c r="M72" s="191"/>
      <c r="N72" s="191"/>
      <c r="O72" s="117">
        <f>ROW()</f>
        <v>72</v>
      </c>
      <c r="P72" s="191"/>
      <c r="Q72" s="191"/>
    </row>
    <row r="73" spans="2:17" ht="14.1" customHeight="1">
      <c r="B73" s="2221" t="s">
        <v>5310</v>
      </c>
      <c r="C73" s="198"/>
      <c r="D73" s="198"/>
      <c r="E73" s="198"/>
      <c r="F73" s="198"/>
      <c r="G73" s="198"/>
      <c r="H73" s="2413"/>
      <c r="I73" s="5084" t="str">
        <f>CONCATENATE("Note from Rows ",O67, "-",O71, " applies here, except that data are from 'Motor Vs Weekends' worksheet.")</f>
        <v>Note from Rows 67-71 applies here, except that data are from 'Motor Vs Weekends' worksheet.</v>
      </c>
      <c r="J73" s="3775"/>
      <c r="K73" s="3775"/>
      <c r="L73" s="3775"/>
      <c r="M73" s="3776"/>
      <c r="N73" s="191"/>
      <c r="O73" s="117">
        <f>ROW()</f>
        <v>73</v>
      </c>
      <c r="P73" s="191"/>
      <c r="Q73" s="191"/>
    </row>
    <row r="74" spans="2:17" ht="14.1" customHeight="1">
      <c r="B74" s="844" t="str">
        <f>CONCATENATE("(needed to calculate thru trip elasticities in Rows ",O57," and ",O58, ")")</f>
        <v>(needed to calculate thru trip elasticities in Rows 57 and 58)</v>
      </c>
      <c r="C74" s="113"/>
      <c r="D74" s="113"/>
      <c r="E74" s="113"/>
      <c r="F74" s="113"/>
      <c r="G74" s="113"/>
      <c r="H74" s="2415"/>
      <c r="I74" s="3738"/>
      <c r="J74" s="3739"/>
      <c r="K74" s="3739"/>
      <c r="L74" s="3739"/>
      <c r="M74" s="3922"/>
      <c r="N74" s="191"/>
      <c r="O74" s="117">
        <f>ROW()</f>
        <v>74</v>
      </c>
      <c r="P74" s="191"/>
      <c r="Q74" s="191"/>
    </row>
    <row r="75" spans="2:17" ht="14.1" customHeight="1">
      <c r="B75" s="2427"/>
      <c r="C75" s="75" t="s">
        <v>4259</v>
      </c>
      <c r="D75" s="75" t="s">
        <v>4260</v>
      </c>
      <c r="E75" s="75" t="s">
        <v>2067</v>
      </c>
      <c r="F75" s="75" t="s">
        <v>2212</v>
      </c>
      <c r="G75" s="75" t="s">
        <v>967</v>
      </c>
      <c r="H75" s="2278" t="s">
        <v>228</v>
      </c>
      <c r="I75" s="3738"/>
      <c r="J75" s="3739"/>
      <c r="K75" s="3739"/>
      <c r="L75" s="3739"/>
      <c r="M75" s="3922"/>
      <c r="N75" s="191"/>
      <c r="O75" s="117">
        <f>ROW()</f>
        <v>75</v>
      </c>
      <c r="P75" s="191"/>
      <c r="Q75" s="191"/>
    </row>
    <row r="76" spans="2:17" ht="14.1" customHeight="1">
      <c r="B76" s="2427" t="s">
        <v>4258</v>
      </c>
      <c r="C76" s="2414">
        <f>('Motor Vs Weekends'!$K$76-$F76-$G76)*'Motor Vs Weekends'!I76/'Motor Vs Weekends'!$I$37</f>
        <v>31799.166666666679</v>
      </c>
      <c r="D76" s="2414">
        <f>('Motor Vs Weekends'!$K$76-$F76-$G76)*'Motor Vs Weekends'!J76/'Motor Vs Weekends'!$I$37</f>
        <v>95397.500000000029</v>
      </c>
      <c r="E76" s="208">
        <v>0</v>
      </c>
      <c r="F76" s="2414">
        <f>'Motor Vs Weekends'!M30-'Motor Vs Weekends'!M76</f>
        <v>2310.0000000000018</v>
      </c>
      <c r="G76" s="2414">
        <f>'Motor Vs Weekends'!N30-'Motor Vs Weekends'!N76</f>
        <v>293.33333333333303</v>
      </c>
      <c r="H76" s="2428">
        <f>SUM(C76:G76)</f>
        <v>129800.00000000004</v>
      </c>
      <c r="I76" s="3738"/>
      <c r="J76" s="3739"/>
      <c r="K76" s="3739"/>
      <c r="L76" s="3739"/>
      <c r="M76" s="3922"/>
      <c r="N76" s="191"/>
      <c r="O76" s="117">
        <f>ROW()</f>
        <v>76</v>
      </c>
      <c r="P76" s="191"/>
      <c r="Q76" s="191"/>
    </row>
    <row r="77" spans="2:17" ht="14.1" customHeight="1">
      <c r="B77" s="2429" t="s">
        <v>2292</v>
      </c>
      <c r="C77" s="2235">
        <f>C76/$H$76</f>
        <v>0.24498587570621469</v>
      </c>
      <c r="D77" s="2235">
        <f>D76/$H$76</f>
        <v>0.7349576271186441</v>
      </c>
      <c r="E77" s="2235">
        <f>E76/$H$76</f>
        <v>0</v>
      </c>
      <c r="F77" s="2235">
        <f>F76/$H$76</f>
        <v>1.7796610169491533E-2</v>
      </c>
      <c r="G77" s="2235">
        <f>G76/$H$76</f>
        <v>2.2598870056497146E-3</v>
      </c>
      <c r="H77" s="3028">
        <f>SUM(C77:G77)</f>
        <v>1</v>
      </c>
      <c r="I77" s="3741"/>
      <c r="J77" s="3742"/>
      <c r="K77" s="3742"/>
      <c r="L77" s="3742"/>
      <c r="M77" s="3777"/>
      <c r="N77" s="191"/>
      <c r="O77" s="117">
        <f>ROW()</f>
        <v>77</v>
      </c>
      <c r="P77" s="191"/>
      <c r="Q77" s="191"/>
    </row>
    <row r="78" spans="2:17" s="86" customFormat="1" ht="14.1" customHeight="1">
      <c r="C78" s="281"/>
      <c r="D78" s="217"/>
      <c r="E78" s="217"/>
      <c r="K78" s="217"/>
      <c r="L78" s="217"/>
      <c r="M78" s="217"/>
      <c r="N78" s="217"/>
      <c r="O78" s="117">
        <f>ROW()</f>
        <v>78</v>
      </c>
      <c r="P78" s="217"/>
      <c r="Q78" s="217"/>
    </row>
    <row r="79" spans="2:17" s="86" customFormat="1" ht="14.1" customHeight="1">
      <c r="B79" s="270" t="s">
        <v>1719</v>
      </c>
      <c r="C79" s="281"/>
      <c r="D79" s="217"/>
      <c r="E79" s="217"/>
      <c r="K79" s="217"/>
      <c r="L79" s="2242"/>
      <c r="M79" s="217"/>
      <c r="N79" s="217"/>
      <c r="O79" s="117">
        <f>ROW()</f>
        <v>79</v>
      </c>
      <c r="P79" s="217"/>
      <c r="Q79" s="217"/>
    </row>
    <row r="80" spans="2:17" s="86" customFormat="1" ht="14.1" customHeight="1">
      <c r="B80" s="2443"/>
      <c r="C80" s="2443"/>
      <c r="D80" s="2444"/>
      <c r="E80" s="2444"/>
      <c r="K80" s="2444"/>
      <c r="L80" s="2444"/>
      <c r="M80" s="2444"/>
      <c r="N80" s="2444"/>
      <c r="O80" s="117">
        <f>ROW()</f>
        <v>80</v>
      </c>
      <c r="P80" s="2444"/>
      <c r="Q80" s="2444"/>
    </row>
    <row r="81" spans="2:24" s="86" customFormat="1" ht="14.1" customHeight="1" thickBot="1">
      <c r="B81" s="5095" t="s">
        <v>1258</v>
      </c>
      <c r="C81" s="5081"/>
      <c r="D81" s="5081"/>
      <c r="E81" s="5081"/>
      <c r="F81" s="5081"/>
      <c r="G81" s="5081"/>
      <c r="H81" s="5081"/>
      <c r="I81" s="5081"/>
      <c r="J81"/>
      <c r="K81"/>
      <c r="L81"/>
      <c r="M81"/>
      <c r="N81"/>
      <c r="O81" s="117">
        <f>ROW()</f>
        <v>81</v>
      </c>
      <c r="P81"/>
      <c r="Q81"/>
    </row>
    <row r="82" spans="2:24" s="86" customFormat="1" ht="14.1" customHeight="1">
      <c r="B82" s="5081"/>
      <c r="C82" s="5081"/>
      <c r="D82" s="5081"/>
      <c r="E82" s="5081"/>
      <c r="F82" s="5081"/>
      <c r="G82" s="5081"/>
      <c r="H82" s="5081"/>
      <c r="I82" s="5081"/>
      <c r="O82" s="117">
        <f>ROW()</f>
        <v>82</v>
      </c>
      <c r="S82" s="1321">
        <v>-0.3</v>
      </c>
      <c r="T82" s="1327">
        <v>-0.40406011121871843</v>
      </c>
      <c r="U82" s="1327">
        <v>-0.44973598677504323</v>
      </c>
      <c r="V82" s="1327">
        <v>-0.37420673607200783</v>
      </c>
      <c r="W82" s="1327">
        <v>-0.46318636030946625</v>
      </c>
      <c r="X82" s="1328">
        <v>-0.33102969081191391</v>
      </c>
    </row>
    <row r="83" spans="2:24" s="86" customFormat="1" ht="14.1" customHeight="1">
      <c r="B83" s="787"/>
      <c r="C83" s="787"/>
      <c r="D83" s="787"/>
      <c r="E83" s="787"/>
      <c r="O83" s="117">
        <f>ROW()</f>
        <v>83</v>
      </c>
      <c r="S83" s="1311">
        <v>-0.28999999999999998</v>
      </c>
      <c r="T83" s="1329">
        <v>-0.40571485394803114</v>
      </c>
      <c r="U83" s="1329">
        <v>-0.44989162193287213</v>
      </c>
      <c r="V83" s="1329">
        <v>-0.37700984007473731</v>
      </c>
      <c r="W83" s="1329">
        <v>-0.46285835727010877</v>
      </c>
      <c r="X83" s="1330">
        <v>-0.33514272325338385</v>
      </c>
    </row>
    <row r="84" spans="2:24" s="86" customFormat="1" ht="14.1" customHeight="1">
      <c r="F84" s="5079" t="s">
        <v>2600</v>
      </c>
      <c r="G84" s="3833"/>
      <c r="H84"/>
      <c r="I84" s="5079" t="s">
        <v>2601</v>
      </c>
      <c r="J84" s="3833"/>
      <c r="K84" s="1577"/>
      <c r="L84" s="3797" t="s">
        <v>291</v>
      </c>
      <c r="M84" s="1577"/>
      <c r="N84" s="1577"/>
      <c r="O84" s="117">
        <f>ROW()</f>
        <v>84</v>
      </c>
      <c r="P84" s="1577"/>
      <c r="Q84" s="1577"/>
      <c r="S84" s="1311">
        <v>-0.28000000000000003</v>
      </c>
      <c r="T84" s="1329">
        <v>-0.40737123953572824</v>
      </c>
      <c r="U84" s="1329">
        <v>-0.45004728599790311</v>
      </c>
      <c r="V84" s="1329">
        <v>-0.37980402211985598</v>
      </c>
      <c r="W84" s="1329">
        <v>-0.46253341674663773</v>
      </c>
      <c r="X84" s="1330">
        <v>-0.3392540379847539</v>
      </c>
    </row>
    <row r="85" spans="2:24" s="86" customFormat="1" ht="14.1" customHeight="1">
      <c r="F85" s="3833"/>
      <c r="G85" s="3833"/>
      <c r="H85"/>
      <c r="I85" s="3833"/>
      <c r="J85" s="3833"/>
      <c r="K85" s="1577"/>
      <c r="L85" s="4254"/>
      <c r="M85" s="1577"/>
      <c r="N85" s="1577"/>
      <c r="O85" s="117">
        <f>ROW()</f>
        <v>85</v>
      </c>
      <c r="P85" s="1577"/>
      <c r="Q85" s="1577"/>
      <c r="S85" s="1311">
        <v>-0.27</v>
      </c>
      <c r="T85" s="1329">
        <v>-0.40902926817217944</v>
      </c>
      <c r="U85" s="1329">
        <v>-0.45020297897343459</v>
      </c>
      <c r="V85" s="1329">
        <v>-0.38258927892573069</v>
      </c>
      <c r="W85" s="1329">
        <v>-0.46221150154195034</v>
      </c>
      <c r="X85" s="1330">
        <v>-0.34336387831442339</v>
      </c>
    </row>
    <row r="86" spans="2:24" s="86" customFormat="1" ht="14.1" customHeight="1">
      <c r="F86" s="242" t="s">
        <v>2065</v>
      </c>
      <c r="G86" s="242" t="s">
        <v>2066</v>
      </c>
      <c r="H86"/>
      <c r="I86" s="242" t="s">
        <v>2065</v>
      </c>
      <c r="J86" s="242" t="s">
        <v>2066</v>
      </c>
      <c r="K86" s="1577"/>
      <c r="L86" s="4521"/>
      <c r="M86" s="1577"/>
      <c r="N86" s="1577"/>
      <c r="O86" s="117">
        <f>ROW()</f>
        <v>86</v>
      </c>
      <c r="P86" s="1577"/>
      <c r="Q86" s="1577"/>
      <c r="S86" s="1311">
        <v>-0.26</v>
      </c>
      <c r="T86" s="1329">
        <v>-0.4106889400412691</v>
      </c>
      <c r="U86" s="1329">
        <v>-0.45035870086275925</v>
      </c>
      <c r="V86" s="1329">
        <v>-0.38536560768166389</v>
      </c>
      <c r="W86" s="1329">
        <v>-0.46189256975498399</v>
      </c>
      <c r="X86" s="1330">
        <v>-0.34747247704377776</v>
      </c>
    </row>
    <row r="87" spans="2:24" s="86" customFormat="1" ht="14.1" customHeight="1">
      <c r="B87"/>
      <c r="C87"/>
      <c r="D87"/>
      <c r="E87"/>
      <c r="H87"/>
      <c r="I87" s="5091" t="s">
        <v>34</v>
      </c>
      <c r="J87" s="3739"/>
      <c r="K87" s="1577"/>
      <c r="L87" s="1577"/>
      <c r="M87" s="1577"/>
      <c r="N87" s="1577"/>
      <c r="O87" s="117">
        <f>ROW()</f>
        <v>87</v>
      </c>
      <c r="P87" s="1577"/>
      <c r="Q87" s="1577"/>
      <c r="S87" s="1311">
        <v>-0.25</v>
      </c>
      <c r="T87" s="1329">
        <v>-0.41235025532038139</v>
      </c>
      <c r="U87" s="1329">
        <v>-0.45051445166916393</v>
      </c>
      <c r="V87" s="1329">
        <v>-0.3881330060424763</v>
      </c>
      <c r="W87" s="1329">
        <v>-0.46157657476627362</v>
      </c>
      <c r="X87" s="1330">
        <v>-0.3515800566367781</v>
      </c>
    </row>
    <row r="88" spans="2:24" s="86" customFormat="1" ht="14.1" customHeight="1">
      <c r="B88" s="5081" t="s">
        <v>591</v>
      </c>
      <c r="C88" s="5081"/>
      <c r="D88" s="5081"/>
      <c r="E88" s="5081"/>
      <c r="F88" s="278">
        <v>0.95</v>
      </c>
      <c r="G88" s="278">
        <v>0.4</v>
      </c>
      <c r="I88" s="3739"/>
      <c r="J88" s="3739"/>
      <c r="K88" s="762"/>
      <c r="L88" s="762"/>
      <c r="M88" s="762"/>
      <c r="N88" s="762"/>
      <c r="O88" s="117">
        <f>ROW()</f>
        <v>88</v>
      </c>
      <c r="P88" s="762"/>
      <c r="Q88" s="762"/>
      <c r="S88" s="1311">
        <v>-0.24</v>
      </c>
      <c r="T88" s="1329">
        <v>-0.41401321418038028</v>
      </c>
      <c r="U88" s="1329">
        <v>-0.45067023139592866</v>
      </c>
      <c r="V88" s="1329">
        <v>-0.39089147212311515</v>
      </c>
      <c r="W88" s="1329">
        <v>-0.46126346525823647</v>
      </c>
      <c r="X88" s="1330">
        <v>-0.3556868294241019</v>
      </c>
    </row>
    <row r="89" spans="2:24" s="86" customFormat="1" ht="14.1" customHeight="1">
      <c r="B89" s="5081"/>
      <c r="C89" s="5081"/>
      <c r="D89" s="5081"/>
      <c r="E89" s="5081"/>
      <c r="F89"/>
      <c r="G89"/>
      <c r="H89"/>
      <c r="I89" s="3833"/>
      <c r="J89" s="3833"/>
      <c r="M89" s="565"/>
      <c r="N89" s="565"/>
      <c r="O89" s="117">
        <f>ROW()</f>
        <v>89</v>
      </c>
      <c r="P89" s="565"/>
      <c r="Q89" s="565"/>
      <c r="S89" s="1311">
        <v>-0.23</v>
      </c>
      <c r="T89" s="1329">
        <v>-0.41567781678559773</v>
      </c>
      <c r="U89" s="1329">
        <v>-0.45082604004633064</v>
      </c>
      <c r="V89" s="1329">
        <v>-0.3936410044932806</v>
      </c>
      <c r="W89" s="1329">
        <v>-0.46095318527086138</v>
      </c>
      <c r="X89" s="1330">
        <v>-0.35979299784255625</v>
      </c>
    </row>
    <row r="90" spans="2:24" s="86" customFormat="1" ht="14.1" customHeight="1">
      <c r="B90"/>
      <c r="C90"/>
      <c r="D90"/>
      <c r="E90"/>
      <c r="F90" s="278"/>
      <c r="G90" s="278"/>
      <c r="H90"/>
      <c r="M90" s="22"/>
      <c r="N90" s="22"/>
      <c r="O90" s="117">
        <f>ROW()</f>
        <v>90</v>
      </c>
      <c r="P90" s="22"/>
      <c r="Q90" s="22"/>
      <c r="S90" s="1311">
        <v>-0.22</v>
      </c>
      <c r="T90" s="1329">
        <v>-0.41734406329381141</v>
      </c>
      <c r="U90" s="1329">
        <v>-0.45098187762364011</v>
      </c>
      <c r="V90" s="1329">
        <v>-0.39638160217208657</v>
      </c>
      <c r="W90" s="1329">
        <v>-0.46064567429335346</v>
      </c>
      <c r="X90" s="1330">
        <v>-0.36389875471015365</v>
      </c>
    </row>
    <row r="91" spans="2:24" s="86" customFormat="1" ht="14.1" customHeight="1">
      <c r="B91" s="5081" t="s">
        <v>523</v>
      </c>
      <c r="C91" s="5081"/>
      <c r="D91" s="5081"/>
      <c r="E91" s="5081"/>
      <c r="F91" s="1914">
        <v>0.95</v>
      </c>
      <c r="G91" s="1915">
        <v>0.5</v>
      </c>
      <c r="H91"/>
      <c r="I91" s="1917">
        <f>F91-I94</f>
        <v>0.90249999999999997</v>
      </c>
      <c r="J91" s="1918">
        <f>G91-J94</f>
        <v>0.47499999999999998</v>
      </c>
      <c r="L91" s="34" t="s">
        <v>2367</v>
      </c>
      <c r="M91" s="240"/>
      <c r="N91" s="240"/>
      <c r="O91" s="117">
        <f>ROW()</f>
        <v>91</v>
      </c>
      <c r="P91" s="240"/>
      <c r="Q91" s="240"/>
      <c r="S91" s="1311">
        <v>-0.21</v>
      </c>
      <c r="T91" s="1329">
        <v>-0.41901195385623458</v>
      </c>
      <c r="U91" s="1329">
        <v>-0.45113774413112118</v>
      </c>
      <c r="V91" s="1329">
        <v>-0.39911326462273089</v>
      </c>
      <c r="W91" s="1329">
        <v>-0.46034086739215158</v>
      </c>
      <c r="X91" s="1330">
        <v>-0.36800428353696241</v>
      </c>
    </row>
    <row r="92" spans="2:24" s="86" customFormat="1" ht="14.1" customHeight="1">
      <c r="B92" s="5081"/>
      <c r="C92" s="5081"/>
      <c r="D92" s="5081"/>
      <c r="E92" s="5081"/>
      <c r="F92"/>
      <c r="G92"/>
      <c r="H92"/>
      <c r="I92" s="5087" t="str">
        <f>CONCATENATE("Note that sums of values in Rows ",O91, " &amp; ",O94, " equal resp. values in Row ",O91, " at left.")</f>
        <v>Note that sums of values in Rows 91 &amp; 94 equal resp. values in Row 91 at left.</v>
      </c>
      <c r="J92" s="5088"/>
      <c r="K92" s="565"/>
      <c r="L92" s="565"/>
      <c r="M92" s="565"/>
      <c r="N92" s="565"/>
      <c r="O92" s="117">
        <f>ROW()</f>
        <v>92</v>
      </c>
      <c r="P92" s="565"/>
      <c r="Q92" s="565"/>
      <c r="S92" s="1311">
        <v>-0.2</v>
      </c>
      <c r="T92" s="1329">
        <v>-0.42068148861749588</v>
      </c>
      <c r="U92" s="1329">
        <v>-0.45129363957203283</v>
      </c>
      <c r="V92" s="1329">
        <v>-0.40183599174720203</v>
      </c>
      <c r="W92" s="1329">
        <v>-0.46003869537559783</v>
      </c>
      <c r="X92" s="1330">
        <v>-0.37210975887150494</v>
      </c>
    </row>
    <row r="93" spans="2:24" s="86" customFormat="1" ht="14.1" customHeight="1">
      <c r="B93"/>
      <c r="C93"/>
      <c r="D93"/>
      <c r="E93"/>
      <c r="F93" s="278"/>
      <c r="G93" s="278"/>
      <c r="H93" s="7"/>
      <c r="I93" s="5089"/>
      <c r="J93" s="5090"/>
      <c r="K93"/>
      <c r="L93"/>
      <c r="M93"/>
      <c r="N93"/>
      <c r="O93" s="117">
        <f>ROW()</f>
        <v>93</v>
      </c>
      <c r="P93"/>
      <c r="Q93"/>
      <c r="S93" s="1311">
        <v>-0.19</v>
      </c>
      <c r="T93" s="1329">
        <v>-0.42235266771562519</v>
      </c>
      <c r="U93" s="1329">
        <v>-0.45144956394962898</v>
      </c>
      <c r="V93" s="1329">
        <v>-0.40454978388100393</v>
      </c>
      <c r="W93" s="1329">
        <v>-0.45973908499538696</v>
      </c>
      <c r="X93" s="1330">
        <v>-0.37621534668216866</v>
      </c>
    </row>
    <row r="94" spans="2:24" s="86" customFormat="1" ht="14.1" customHeight="1">
      <c r="B94" s="5081" t="s">
        <v>741</v>
      </c>
      <c r="C94" s="5081"/>
      <c r="D94" s="5081"/>
      <c r="E94" s="5081"/>
      <c r="F94" s="3832" t="s">
        <v>1104</v>
      </c>
      <c r="G94" s="3832"/>
      <c r="H94" s="1073"/>
      <c r="I94" s="1917">
        <f>$G$111*F91</f>
        <v>4.7500000000000001E-2</v>
      </c>
      <c r="J94" s="1918">
        <f>$G$111*G91</f>
        <v>2.5000000000000001E-2</v>
      </c>
      <c r="K94" s="278"/>
      <c r="L94" s="34" t="s">
        <v>1642</v>
      </c>
      <c r="M94" s="278"/>
      <c r="N94" s="278"/>
      <c r="O94" s="117">
        <f>ROW()</f>
        <v>94</v>
      </c>
      <c r="P94" s="278"/>
      <c r="Q94" s="278"/>
      <c r="S94" s="1311">
        <v>-0.18</v>
      </c>
      <c r="T94" s="1329">
        <v>-0.42402549128203681</v>
      </c>
      <c r="U94" s="1329">
        <v>-0.45160551726715786</v>
      </c>
      <c r="V94" s="1329">
        <v>-0.40725464178790283</v>
      </c>
      <c r="W94" s="1329">
        <v>-0.4594419591847681</v>
      </c>
      <c r="X94" s="1330">
        <v>-0.38032120477274961</v>
      </c>
    </row>
    <row r="95" spans="2:24" s="86" customFormat="1" ht="14.1" customHeight="1">
      <c r="B95" s="5081"/>
      <c r="C95" s="5081"/>
      <c r="D95" s="5081"/>
      <c r="E95" s="5081"/>
      <c r="F95" s="3832"/>
      <c r="G95" s="3832"/>
      <c r="H95" s="1073"/>
      <c r="I95" s="7"/>
      <c r="J95" s="7"/>
      <c r="K95" s="240"/>
      <c r="L95" s="240"/>
      <c r="M95" s="240"/>
      <c r="N95" s="240"/>
      <c r="O95" s="117">
        <f>ROW()</f>
        <v>95</v>
      </c>
      <c r="P95" s="240"/>
      <c r="Q95" s="240"/>
      <c r="S95" s="1311">
        <v>-0.17</v>
      </c>
      <c r="T95" s="1329">
        <v>-0.42569995944151623</v>
      </c>
      <c r="U95" s="1329">
        <v>-0.45176149952786049</v>
      </c>
      <c r="V95" s="1329">
        <v>-0.40995056665470186</v>
      </c>
      <c r="W95" s="1329">
        <v>-0.45914723733330942</v>
      </c>
      <c r="X95" s="1330">
        <v>-0.38442748323093379</v>
      </c>
    </row>
    <row r="96" spans="2:24" s="86" customFormat="1" ht="14.1" customHeight="1">
      <c r="B96"/>
      <c r="C96"/>
      <c r="D96"/>
      <c r="E96"/>
      <c r="F96" s="278"/>
      <c r="G96" s="278"/>
      <c r="H96"/>
      <c r="I96" s="278"/>
      <c r="J96" s="278"/>
      <c r="K96"/>
      <c r="L96"/>
      <c r="M96"/>
      <c r="N96"/>
      <c r="O96" s="117">
        <f>ROW()</f>
        <v>96</v>
      </c>
      <c r="P96"/>
      <c r="Q96"/>
      <c r="S96" s="1311">
        <v>-0.16</v>
      </c>
      <c r="T96" s="1329">
        <v>-0.42737607231220132</v>
      </c>
      <c r="U96" s="1329">
        <v>-0.45191751073497455</v>
      </c>
      <c r="V96" s="1329">
        <v>-0.41263756008603986</v>
      </c>
      <c r="W96" s="1329">
        <v>-0.45885483559786111</v>
      </c>
      <c r="X96" s="1330">
        <v>-0.38853432490817402</v>
      </c>
    </row>
    <row r="97" spans="2:24" s="86" customFormat="1" ht="14.1" customHeight="1">
      <c r="B97" s="5081" t="s">
        <v>1139</v>
      </c>
      <c r="C97" s="5081"/>
      <c r="D97" s="5081"/>
      <c r="E97" s="5081"/>
      <c r="F97" s="1914">
        <v>0.95</v>
      </c>
      <c r="G97" s="1915">
        <v>0.5</v>
      </c>
      <c r="H97"/>
      <c r="I97" s="1917">
        <f>$J$111*F97</f>
        <v>0.90249999999999997</v>
      </c>
      <c r="J97" s="1918">
        <f>$J$111*G97</f>
        <v>0.47499999999999998</v>
      </c>
      <c r="K97" s="278"/>
      <c r="L97" s="34" t="s">
        <v>1911</v>
      </c>
      <c r="M97" s="278"/>
      <c r="N97" s="278"/>
      <c r="O97" s="117">
        <f>ROW()</f>
        <v>97</v>
      </c>
      <c r="P97" s="278"/>
      <c r="Q97" s="278"/>
      <c r="S97" s="1311">
        <v>-0.15</v>
      </c>
      <c r="T97" s="1329">
        <v>-0.42905383000557101</v>
      </c>
      <c r="U97" s="1329">
        <v>-0.45207355089173046</v>
      </c>
      <c r="V97" s="1329">
        <v>-0.41531562409921324</v>
      </c>
      <c r="W97" s="1329">
        <v>-0.4585646672491791</v>
      </c>
      <c r="X97" s="1330">
        <v>-0.39264186592908568</v>
      </c>
    </row>
    <row r="98" spans="2:24" s="86" customFormat="1" ht="14.1" customHeight="1">
      <c r="B98" s="5081"/>
      <c r="C98" s="5081"/>
      <c r="D98" s="5081"/>
      <c r="E98" s="5081"/>
      <c r="F98" s="3"/>
      <c r="G98" s="7"/>
      <c r="H98"/>
      <c r="K98" s="240"/>
      <c r="L98" s="240"/>
      <c r="M98" s="240"/>
      <c r="N98" s="240"/>
      <c r="O98" s="117">
        <f>ROW()</f>
        <v>98</v>
      </c>
      <c r="P98" s="240"/>
      <c r="Q98" s="240"/>
      <c r="S98" s="1311">
        <v>-0.14000000000000001</v>
      </c>
      <c r="T98" s="1329">
        <v>-0.43073323262642615</v>
      </c>
      <c r="U98" s="1329">
        <v>-0.45222962000135325</v>
      </c>
      <c r="V98" s="1329">
        <v>-0.41798476111901894</v>
      </c>
      <c r="W98" s="1329">
        <v>-0.45827664305348331</v>
      </c>
      <c r="X98" s="1330">
        <v>-0.39675023622815536</v>
      </c>
    </row>
    <row r="99" spans="2:24" s="86" customFormat="1" ht="14.1" customHeight="1">
      <c r="B99"/>
      <c r="C99"/>
      <c r="D99"/>
      <c r="E99"/>
      <c r="H99"/>
      <c r="K99"/>
      <c r="L99"/>
      <c r="M99"/>
      <c r="N99"/>
      <c r="O99" s="117">
        <f>ROW()</f>
        <v>99</v>
      </c>
      <c r="P99"/>
      <c r="Q99"/>
      <c r="S99" s="1311">
        <v>-0.13</v>
      </c>
      <c r="T99" s="1329">
        <v>-0.43241428027287798</v>
      </c>
      <c r="U99" s="1329">
        <v>-0.45238571806706251</v>
      </c>
      <c r="V99" s="1329">
        <v>-0.42064497397263167</v>
      </c>
      <c r="W99" s="1329">
        <v>-0.45799067168803748</v>
      </c>
      <c r="X99" s="1330">
        <v>-0.40085956011122453</v>
      </c>
    </row>
    <row r="100" spans="2:24" s="86" customFormat="1" ht="14.1" customHeight="1">
      <c r="B100" s="5081" t="s">
        <v>592</v>
      </c>
      <c r="C100" s="5081"/>
      <c r="D100" s="5081"/>
      <c r="E100" s="5081"/>
      <c r="F100" s="1914">
        <v>0.95</v>
      </c>
      <c r="G100" s="1915">
        <v>0.53</v>
      </c>
      <c r="H100"/>
      <c r="I100" s="1917">
        <f>$J$111*F100</f>
        <v>0.90249999999999997</v>
      </c>
      <c r="J100" s="1918">
        <f>$J$111*G100</f>
        <v>0.50349999999999995</v>
      </c>
      <c r="L100" s="86" t="s">
        <v>1912</v>
      </c>
      <c r="O100" s="117">
        <f>ROW()</f>
        <v>100</v>
      </c>
      <c r="S100" s="1311">
        <v>-0.12</v>
      </c>
      <c r="T100" s="1329">
        <v>-0.43409697303633199</v>
      </c>
      <c r="U100" s="1329">
        <v>-0.45254184509207285</v>
      </c>
      <c r="V100" s="1329">
        <v>-0.42329626588449948</v>
      </c>
      <c r="W100" s="1329">
        <v>-0.45770666018963951</v>
      </c>
      <c r="X100" s="1330">
        <v>-0.40496995683888298</v>
      </c>
    </row>
    <row r="101" spans="2:24" s="86" customFormat="1" ht="14.1" customHeight="1">
      <c r="B101" s="5081"/>
      <c r="C101" s="5081"/>
      <c r="D101" s="5081"/>
      <c r="E101" s="5081"/>
      <c r="F101" s="3"/>
      <c r="G101" s="7"/>
      <c r="H101" s="5087" t="str">
        <f>CONCATENATE("Note that means of Rows ",O97, " &amp; ",O100, " added to Row ",O103, " equals resp. means of values in Rows ",O97, " and ",O100, " at left.")</f>
        <v>Note that means of Rows 97 &amp; 100 added to Row 103 equals resp. means of values in Rows 97 and 100 at left.</v>
      </c>
      <c r="I101" s="5098"/>
      <c r="J101" s="3775"/>
      <c r="K101" s="3776"/>
      <c r="M101" s="603"/>
      <c r="N101" s="603"/>
      <c r="O101" s="117">
        <f>ROW()</f>
        <v>101</v>
      </c>
      <c r="P101" s="603"/>
      <c r="Q101" s="603"/>
      <c r="S101" s="1311">
        <v>-0.11</v>
      </c>
      <c r="T101" s="1329">
        <v>-0.43578131100147238</v>
      </c>
      <c r="U101" s="1329">
        <v>-0.45269800107959124</v>
      </c>
      <c r="V101" s="1329">
        <v>-0.42593864047126379</v>
      </c>
      <c r="W101" s="1329">
        <v>-0.45742451443470994</v>
      </c>
      <c r="X101" s="1330">
        <v>-0.40908154122859886</v>
      </c>
    </row>
    <row r="102" spans="2:24" s="86" customFormat="1" ht="14.1" customHeight="1">
      <c r="B102"/>
      <c r="C102"/>
      <c r="D102"/>
      <c r="E102"/>
      <c r="F102" s="7"/>
      <c r="G102" s="7"/>
      <c r="H102" s="5089"/>
      <c r="I102" s="5099"/>
      <c r="J102" s="3742"/>
      <c r="K102" s="3777"/>
      <c r="M102" s="278"/>
      <c r="N102" s="278"/>
      <c r="O102" s="117">
        <f>ROW()</f>
        <v>102</v>
      </c>
      <c r="P102" s="278"/>
      <c r="Q102" s="278"/>
      <c r="S102" s="1311">
        <v>-0.1</v>
      </c>
      <c r="T102" s="1329">
        <v>-0.43746729424624936</v>
      </c>
      <c r="U102" s="1329">
        <v>-0.45285418603282035</v>
      </c>
      <c r="V102" s="1329">
        <v>-0.42857210173671118</v>
      </c>
      <c r="W102" s="1329">
        <v>-0.45714413964946382</v>
      </c>
      <c r="X102" s="1330">
        <v>-0.41319442427210257</v>
      </c>
    </row>
    <row r="103" spans="2:24" s="86" customFormat="1" ht="14.1" customHeight="1">
      <c r="B103" s="5081" t="s">
        <v>193</v>
      </c>
      <c r="C103" s="5081"/>
      <c r="D103" s="5081"/>
      <c r="E103" s="5081"/>
      <c r="F103" s="3832" t="s">
        <v>1104</v>
      </c>
      <c r="G103" s="3832"/>
      <c r="H103" s="1073"/>
      <c r="I103" s="1917">
        <f>$G$111*AVERAGE(F97:F100)</f>
        <v>4.7500000000000001E-2</v>
      </c>
      <c r="J103" s="1918">
        <f>$G$111*AVERAGE(G97:G100)</f>
        <v>2.5750000000000002E-2</v>
      </c>
      <c r="L103" s="34" t="s">
        <v>2367</v>
      </c>
      <c r="O103" s="117">
        <f>ROW()</f>
        <v>103</v>
      </c>
      <c r="S103" s="1311">
        <v>-0.09</v>
      </c>
      <c r="T103" s="1329">
        <v>-0.43915492284186458</v>
      </c>
      <c r="U103" s="1329">
        <v>-0.45301039995495618</v>
      </c>
      <c r="V103" s="1329">
        <v>-0.43119665406674612</v>
      </c>
      <c r="W103" s="1329">
        <v>-0.45686544094843384</v>
      </c>
      <c r="X103" s="1330">
        <v>-0.41730871376424661</v>
      </c>
    </row>
    <row r="104" spans="2:24" s="86" customFormat="1" ht="14.1" customHeight="1">
      <c r="B104" s="5081"/>
      <c r="C104" s="5081"/>
      <c r="D104" s="5081"/>
      <c r="E104" s="5081"/>
      <c r="F104" s="3832"/>
      <c r="G104" s="3832"/>
      <c r="H104" s="1073"/>
      <c r="I104" s="804"/>
      <c r="J104" s="804"/>
      <c r="M104" s="603"/>
      <c r="N104" s="603"/>
      <c r="O104" s="117">
        <f>ROW()</f>
        <v>104</v>
      </c>
      <c r="P104" s="603"/>
      <c r="Q104" s="603"/>
      <c r="S104" s="1311">
        <v>-0.08</v>
      </c>
      <c r="T104" s="1329">
        <v>-0.44084419685275439</v>
      </c>
      <c r="U104" s="1329">
        <v>-0.45316664284919</v>
      </c>
      <c r="V104" s="1329">
        <v>-0.43381230222439227</v>
      </c>
      <c r="W104" s="1329">
        <v>-0.45658832389940529</v>
      </c>
      <c r="X104" s="1330">
        <v>-0.42142451493931549</v>
      </c>
    </row>
    <row r="105" spans="2:24" s="86" customFormat="1" ht="14.1" customHeight="1">
      <c r="O105" s="117">
        <f>ROW()</f>
        <v>105</v>
      </c>
      <c r="S105" s="1311">
        <v>-7.0000000000000007E-2</v>
      </c>
      <c r="T105" s="1329">
        <v>-0.44253511633658049</v>
      </c>
      <c r="U105" s="1329">
        <v>-0.45332291471870662</v>
      </c>
      <c r="V105" s="1329">
        <v>-0.43641905134482295</v>
      </c>
      <c r="W105" s="1329">
        <v>-0.45631269511261152</v>
      </c>
      <c r="X105" s="1330">
        <v>-0.42554193111046379</v>
      </c>
    </row>
    <row r="106" spans="2:24" s="86" customFormat="1" ht="14.1" customHeight="1">
      <c r="B106" s="4767" t="s">
        <v>2063</v>
      </c>
      <c r="C106" s="3678"/>
      <c r="D106" s="3678"/>
      <c r="E106" s="3678"/>
      <c r="F106" s="3678"/>
      <c r="G106" s="3678"/>
      <c r="H106" s="3678"/>
      <c r="I106" s="3678"/>
      <c r="J106" s="3679"/>
      <c r="K106" s="1407"/>
      <c r="L106" s="1407"/>
      <c r="M106" s="1407"/>
      <c r="N106" s="1407"/>
      <c r="O106" s="117">
        <f>ROW()</f>
        <v>106</v>
      </c>
      <c r="P106" s="1407"/>
      <c r="Q106" s="1407"/>
      <c r="S106" s="1311">
        <v>-0.06</v>
      </c>
      <c r="T106" s="1329">
        <v>-0.44422768134421192</v>
      </c>
      <c r="U106" s="1329">
        <v>-0.45347921556668475</v>
      </c>
      <c r="V106" s="1329">
        <v>-0.43901690693041273</v>
      </c>
      <c r="W106" s="1329">
        <v>-0.45603846285180222</v>
      </c>
      <c r="X106" s="1330">
        <v>-0.42966106430777212</v>
      </c>
    </row>
    <row r="107" spans="2:24" s="86" customFormat="1" ht="14.1" customHeight="1">
      <c r="B107" s="3680"/>
      <c r="C107" s="3681"/>
      <c r="D107" s="3681"/>
      <c r="E107" s="3681"/>
      <c r="F107" s="3681"/>
      <c r="G107" s="3681"/>
      <c r="H107" s="3681"/>
      <c r="I107" s="3681"/>
      <c r="J107" s="3682"/>
      <c r="K107" s="1407"/>
      <c r="L107" s="1407"/>
      <c r="M107" s="1407"/>
      <c r="N107" s="1407"/>
      <c r="O107" s="117">
        <f>ROW()</f>
        <v>107</v>
      </c>
      <c r="P107" s="1407"/>
      <c r="Q107" s="1407"/>
      <c r="S107" s="1311">
        <v>-0.05</v>
      </c>
      <c r="T107" s="1329">
        <v>-0.44592189191971343</v>
      </c>
      <c r="U107" s="1329">
        <v>-0.45363554539629752</v>
      </c>
      <c r="V107" s="1329">
        <v>-0.44160587484582264</v>
      </c>
      <c r="W107" s="1329">
        <v>-0.4557655376646006</v>
      </c>
      <c r="X107" s="1330">
        <v>-0.43378201591018589</v>
      </c>
    </row>
    <row r="108" spans="2:24" s="86" customFormat="1" ht="14.1" customHeight="1">
      <c r="B108" s="3680"/>
      <c r="C108" s="3681"/>
      <c r="D108" s="3681"/>
      <c r="E108" s="3681"/>
      <c r="F108" s="3681"/>
      <c r="G108" s="3681"/>
      <c r="H108" s="3681"/>
      <c r="I108" s="3681"/>
      <c r="J108" s="3682"/>
      <c r="K108" s="1407"/>
      <c r="L108" s="1407"/>
      <c r="M108" s="1407"/>
      <c r="N108" s="1407"/>
      <c r="O108" s="117">
        <f>ROW()</f>
        <v>108</v>
      </c>
      <c r="P108" s="1407"/>
      <c r="Q108" s="1407"/>
      <c r="S108" s="1311">
        <v>-0.04</v>
      </c>
      <c r="T108" s="1329">
        <v>-0.44761774810033272</v>
      </c>
      <c r="U108" s="1329">
        <v>-0.45379190421071347</v>
      </c>
      <c r="V108" s="1329">
        <v>-0.44418596131310795</v>
      </c>
      <c r="W108" s="1329">
        <v>-0.45549383302932545</v>
      </c>
      <c r="X108" s="1330">
        <v>-0.43790488726642057</v>
      </c>
    </row>
    <row r="109" spans="2:24" s="86" customFormat="1" ht="14.1" customHeight="1">
      <c r="B109" s="3683"/>
      <c r="C109" s="3684"/>
      <c r="D109" s="3684"/>
      <c r="E109" s="3684"/>
      <c r="F109" s="3684"/>
      <c r="G109" s="3684"/>
      <c r="H109" s="3684"/>
      <c r="I109" s="3684"/>
      <c r="J109" s="3685"/>
      <c r="K109" s="1407"/>
      <c r="L109" s="1407"/>
      <c r="M109" s="1407"/>
      <c r="N109" s="1407"/>
      <c r="O109" s="117">
        <f>ROW()</f>
        <v>109</v>
      </c>
      <c r="P109" s="1407"/>
      <c r="Q109" s="1407"/>
      <c r="S109" s="1311">
        <v>-0.03</v>
      </c>
      <c r="T109" s="1329">
        <v>-0.44931524991648347</v>
      </c>
      <c r="U109" s="1329">
        <v>-0.45394829201309189</v>
      </c>
      <c r="V109" s="1329">
        <v>-0.44675717290686023</v>
      </c>
      <c r="W109" s="1329">
        <v>-0.45522326601524854</v>
      </c>
      <c r="X109" s="1330">
        <v>-0.44202978029978718</v>
      </c>
    </row>
    <row r="110" spans="2:24" s="86" customFormat="1" ht="14.1" customHeight="1">
      <c r="B110" s="321" t="s">
        <v>1259</v>
      </c>
      <c r="C110"/>
      <c r="D110"/>
      <c r="E110"/>
      <c r="F110"/>
      <c r="G110"/>
      <c r="H110"/>
      <c r="I110" s="1542"/>
      <c r="J110" s="1542"/>
      <c r="K110" s="1542"/>
      <c r="L110" s="1542"/>
      <c r="M110" s="1542"/>
      <c r="N110" s="1542"/>
      <c r="O110" s="117">
        <f>ROW()</f>
        <v>110</v>
      </c>
      <c r="P110" s="1542"/>
      <c r="Q110" s="1542"/>
      <c r="S110" s="1311">
        <v>-0.02</v>
      </c>
      <c r="T110" s="1329">
        <v>-0.45101439739173771</v>
      </c>
      <c r="U110" s="1329">
        <v>-0.45410470880658965</v>
      </c>
      <c r="V110" s="1329">
        <v>-0.44931951654937019</v>
      </c>
      <c r="W110" s="1329">
        <v>-0.45495375795302467</v>
      </c>
      <c r="X110" s="1330">
        <v>-0.44615679809178233</v>
      </c>
    </row>
    <row r="111" spans="2:24" s="86" customFormat="1" ht="14.1" customHeight="1">
      <c r="C111" s="7"/>
      <c r="D111" s="7"/>
      <c r="E111" s="7"/>
      <c r="F111" s="1580" t="s">
        <v>740</v>
      </c>
      <c r="G111" s="969">
        <v>0.05</v>
      </c>
      <c r="I111" s="1580" t="s">
        <v>1351</v>
      </c>
      <c r="J111" s="969">
        <f>1-G111</f>
        <v>0.95</v>
      </c>
      <c r="K111" s="1543"/>
      <c r="L111" s="1543"/>
      <c r="M111" s="1543"/>
      <c r="N111" s="1543"/>
      <c r="O111" s="117">
        <f>ROW()</f>
        <v>111</v>
      </c>
      <c r="P111" s="1543"/>
      <c r="Q111" s="1543"/>
      <c r="S111" s="1311">
        <v>-0.01</v>
      </c>
      <c r="T111" s="1329">
        <v>-0.45271519054280723</v>
      </c>
      <c r="U111" s="1329">
        <v>-0.45426115459435623</v>
      </c>
      <c r="V111" s="1329">
        <v>-0.45187299950582538</v>
      </c>
      <c r="W111" s="1329">
        <v>-0.4546852351118319</v>
      </c>
      <c r="X111" s="1330">
        <v>-0.45028604543920292</v>
      </c>
    </row>
    <row r="112" spans="2:24" s="86" customFormat="1" ht="14.1" customHeight="1">
      <c r="B112" s="265"/>
      <c r="C112" s="7"/>
      <c r="D112" s="7"/>
      <c r="E112" s="7"/>
      <c r="F112" s="7"/>
      <c r="G112" s="7"/>
      <c r="I112" s="215"/>
      <c r="J112"/>
      <c r="K112"/>
      <c r="L112"/>
      <c r="M112"/>
      <c r="N112"/>
      <c r="O112" s="117">
        <f>ROW()</f>
        <v>112</v>
      </c>
      <c r="P112"/>
      <c r="Q112"/>
      <c r="S112" s="1311">
        <v>0.01</v>
      </c>
      <c r="T112" s="1329">
        <v>-0.45612171390487982</v>
      </c>
      <c r="U112" s="1329">
        <v>-0.45457413316526407</v>
      </c>
      <c r="V112" s="1329">
        <v>-0.45695341410718199</v>
      </c>
      <c r="W112" s="1329">
        <v>-0.45415087894197792</v>
      </c>
      <c r="X112" s="1330">
        <v>-0.45855165967937572</v>
      </c>
    </row>
    <row r="113" spans="2:24" s="86" customFormat="1" ht="14.1" customHeight="1">
      <c r="B113" s="4767" t="s">
        <v>2064</v>
      </c>
      <c r="C113" s="3678"/>
      <c r="D113" s="3678"/>
      <c r="E113" s="3678"/>
      <c r="F113" s="3678"/>
      <c r="G113" s="3678"/>
      <c r="H113" s="3678"/>
      <c r="I113" s="3678"/>
      <c r="J113" s="3679"/>
      <c r="K113" s="1407"/>
      <c r="L113" s="1407"/>
      <c r="M113" s="1407"/>
      <c r="N113" s="1407"/>
      <c r="O113" s="117">
        <f>ROW()</f>
        <v>113</v>
      </c>
      <c r="P113" s="1407"/>
      <c r="Q113" s="1407"/>
      <c r="S113" s="1311">
        <v>0.02</v>
      </c>
      <c r="T113" s="1329">
        <v>-0.457827444114905</v>
      </c>
      <c r="U113" s="1329">
        <v>-0.45473066595467432</v>
      </c>
      <c r="V113" s="1329">
        <v>-0.45948036195410874</v>
      </c>
      <c r="W113" s="1329">
        <v>-0.45388492895731614</v>
      </c>
      <c r="X113" s="1330">
        <v>-0.46268824928070246</v>
      </c>
    </row>
    <row r="114" spans="2:24" s="86" customFormat="1" ht="14.1" customHeight="1">
      <c r="B114" s="3680"/>
      <c r="C114" s="3681"/>
      <c r="D114" s="3681"/>
      <c r="E114" s="3681"/>
      <c r="F114" s="3681"/>
      <c r="G114" s="3681"/>
      <c r="H114" s="3681"/>
      <c r="I114" s="3681"/>
      <c r="J114" s="3682"/>
      <c r="K114" s="1407"/>
      <c r="L114" s="1407"/>
      <c r="M114" s="1407"/>
      <c r="N114" s="1407"/>
      <c r="O114" s="117">
        <f>ROW()</f>
        <v>114</v>
      </c>
      <c r="P114" s="1407"/>
      <c r="Q114" s="1407"/>
      <c r="S114" s="1311">
        <v>0.03</v>
      </c>
      <c r="T114" s="1329">
        <v>-0.45953481999876539</v>
      </c>
      <c r="U114" s="1329">
        <v>-0.45488722775089191</v>
      </c>
      <c r="V114" s="1329">
        <v>-0.4619984815096288</v>
      </c>
      <c r="W114" s="1329">
        <v>-0.45361973222109669</v>
      </c>
      <c r="X114" s="1330">
        <v>-0.46682751469993733</v>
      </c>
    </row>
    <row r="115" spans="2:24" s="86" customFormat="1" ht="14.1" customHeight="1">
      <c r="B115" s="3683"/>
      <c r="C115" s="3684"/>
      <c r="D115" s="3684"/>
      <c r="E115" s="3684"/>
      <c r="F115" s="3684"/>
      <c r="G115" s="3684"/>
      <c r="H115" s="3684"/>
      <c r="I115" s="3684"/>
      <c r="J115" s="3685"/>
      <c r="K115" s="1407"/>
      <c r="L115" s="1407"/>
      <c r="M115" s="1407"/>
      <c r="N115" s="1407"/>
      <c r="O115" s="117">
        <f>ROW()</f>
        <v>115</v>
      </c>
      <c r="P115" s="1407"/>
      <c r="Q115" s="1407"/>
      <c r="S115" s="1311">
        <v>0.04</v>
      </c>
      <c r="T115" s="1329">
        <v>-0.46124384153869658</v>
      </c>
      <c r="U115" s="1329">
        <v>-0.45504381855703646</v>
      </c>
      <c r="V115" s="1329">
        <v>-0.46450778168236934</v>
      </c>
      <c r="W115" s="1329">
        <v>-0.45335524981761743</v>
      </c>
      <c r="X115" s="1330">
        <v>-0.4709695763748914</v>
      </c>
    </row>
    <row r="116" spans="2:24" s="86" customFormat="1" ht="14.1" customHeight="1">
      <c r="B116" s="1544"/>
      <c r="C116" s="1544"/>
      <c r="D116" s="1544"/>
      <c r="E116" s="1544"/>
      <c r="F116" s="1544"/>
      <c r="G116" s="1544"/>
      <c r="H116" s="1544"/>
      <c r="I116" s="1544"/>
      <c r="J116" s="1544"/>
      <c r="K116" s="1544"/>
      <c r="L116" s="1544"/>
      <c r="M116" s="1544"/>
      <c r="N116" s="1544"/>
      <c r="O116" s="117">
        <f>ROW()</f>
        <v>116</v>
      </c>
      <c r="P116" s="1544"/>
      <c r="Q116" s="1544"/>
      <c r="S116" s="1311">
        <v>0.05</v>
      </c>
      <c r="T116" s="1329">
        <v>-0.46295450871000088</v>
      </c>
      <c r="U116" s="1329">
        <v>-0.45520043837622165</v>
      </c>
      <c r="V116" s="1329">
        <v>-0.46700827169564824</v>
      </c>
      <c r="W116" s="1329">
        <v>-0.45309145175291282</v>
      </c>
      <c r="X116" s="1330">
        <v>-0.47511455895492821</v>
      </c>
    </row>
    <row r="117" spans="2:24" s="86" customFormat="1" ht="14.1" customHeight="1">
      <c r="B117" s="270" t="s">
        <v>46</v>
      </c>
      <c r="C117" s="787"/>
      <c r="D117" s="787"/>
      <c r="E117" s="787"/>
      <c r="F117" s="39"/>
      <c r="G117" s="278"/>
      <c r="H117" s="278"/>
      <c r="I117" s="39"/>
      <c r="J117"/>
      <c r="K117"/>
      <c r="L117"/>
      <c r="M117"/>
      <c r="N117"/>
      <c r="O117" s="117">
        <f>ROW()</f>
        <v>117</v>
      </c>
      <c r="P117"/>
      <c r="Q117"/>
      <c r="R117"/>
      <c r="S117" s="1311">
        <v>0.06</v>
      </c>
      <c r="T117" s="1329">
        <v>-0.46466682148103511</v>
      </c>
      <c r="U117" s="1329">
        <v>-0.45535708721155499</v>
      </c>
      <c r="V117" s="1329">
        <v>-0.46949996108287678</v>
      </c>
      <c r="W117" s="1329">
        <v>-0.45282831756455993</v>
      </c>
      <c r="X117" s="1330">
        <v>-0.47926259152992656</v>
      </c>
    </row>
    <row r="118" spans="2:24" s="86" customFormat="1" ht="14.1" customHeight="1">
      <c r="B118"/>
      <c r="C118"/>
      <c r="D118"/>
      <c r="E118"/>
      <c r="F118"/>
      <c r="G118"/>
      <c r="H118"/>
      <c r="I118"/>
      <c r="J118"/>
      <c r="K118"/>
      <c r="L118"/>
      <c r="M118"/>
      <c r="N118"/>
      <c r="O118" s="117">
        <f>ROW()</f>
        <v>118</v>
      </c>
      <c r="P118"/>
      <c r="Q118"/>
      <c r="R118"/>
      <c r="S118" s="1311">
        <v>7.0000000000000007E-2</v>
      </c>
      <c r="T118" s="1329">
        <v>-0.46638077981320353</v>
      </c>
      <c r="U118" s="1329">
        <v>-0.45551376506613794</v>
      </c>
      <c r="V118" s="1329">
        <v>-0.47198285968299503</v>
      </c>
      <c r="W118" s="1329">
        <v>-0.45256583690334667</v>
      </c>
      <c r="X118" s="1330">
        <v>-0.4834138077939894</v>
      </c>
    </row>
    <row r="119" spans="2:24" s="86" customFormat="1" ht="14.1" customHeight="1">
      <c r="B119" s="783" t="s">
        <v>1602</v>
      </c>
      <c r="C119"/>
      <c r="D119"/>
      <c r="E119"/>
      <c r="F119"/>
      <c r="G119"/>
      <c r="H119"/>
      <c r="I119"/>
      <c r="J119"/>
      <c r="K119"/>
      <c r="L119"/>
      <c r="M119"/>
      <c r="N119"/>
      <c r="O119" s="117">
        <f>ROW()</f>
        <v>119</v>
      </c>
      <c r="P119"/>
      <c r="Q119"/>
      <c r="R119"/>
      <c r="S119" s="1311">
        <v>0.08</v>
      </c>
      <c r="T119" s="1329">
        <v>-0.46809638366094036</v>
      </c>
      <c r="U119" s="1329">
        <v>-0.45567047194306548</v>
      </c>
      <c r="V119" s="1329">
        <v>-0.47445697763593875</v>
      </c>
      <c r="W119" s="1329">
        <v>-0.45230401008171539</v>
      </c>
      <c r="X119" s="1330">
        <v>-0.48756834614021199</v>
      </c>
    </row>
    <row r="120" spans="2:24" s="86" customFormat="1" ht="14.1" customHeight="1">
      <c r="C120" s="1584"/>
      <c r="D120" s="1584"/>
      <c r="E120" s="1584"/>
      <c r="F120" s="1584"/>
      <c r="G120" s="1584"/>
      <c r="H120" s="1584"/>
      <c r="I120" s="1584"/>
      <c r="J120" s="1584"/>
      <c r="K120" s="217"/>
      <c r="L120" s="217"/>
      <c r="M120" s="217"/>
      <c r="N120" s="217"/>
      <c r="O120" s="117">
        <f>ROW()</f>
        <v>120</v>
      </c>
      <c r="P120" s="217"/>
      <c r="Q120" s="217"/>
      <c r="R120"/>
      <c r="S120" s="1311">
        <v>0.09</v>
      </c>
      <c r="T120" s="1329">
        <v>-0.4698136329717017</v>
      </c>
      <c r="U120" s="1329">
        <v>-0.45582720784542752</v>
      </c>
      <c r="V120" s="1329">
        <v>-0.47692232537814</v>
      </c>
      <c r="W120" s="1329">
        <v>-0.4520428485837823</v>
      </c>
      <c r="X120" s="1330">
        <v>-0.49172634968329465</v>
      </c>
    </row>
    <row r="121" spans="2:24" s="86" customFormat="1" ht="14.1" customHeight="1">
      <c r="B121" s="5101" t="s">
        <v>3271</v>
      </c>
      <c r="C121" s="3659"/>
      <c r="D121" s="3659"/>
      <c r="E121" s="3659"/>
      <c r="F121" s="3659"/>
      <c r="G121" s="3659"/>
      <c r="H121" s="3659"/>
      <c r="I121" s="3659"/>
      <c r="J121" s="3659"/>
      <c r="K121" s="217"/>
      <c r="L121" s="217"/>
      <c r="M121" s="217"/>
      <c r="N121" s="217"/>
      <c r="O121" s="117">
        <f>ROW()</f>
        <v>121</v>
      </c>
      <c r="P121" s="217"/>
      <c r="Q121" s="217"/>
      <c r="R121"/>
      <c r="S121" s="1311">
        <v>0.1</v>
      </c>
      <c r="T121" s="1329">
        <v>-0.47153252768595316</v>
      </c>
      <c r="U121" s="1329">
        <v>-0.45598397277630681</v>
      </c>
      <c r="V121" s="1329">
        <v>-0.47937891363805285</v>
      </c>
      <c r="W121" s="1329">
        <v>-0.45178237553165002</v>
      </c>
      <c r="X121" s="1330">
        <v>-0.49588796620728504</v>
      </c>
    </row>
    <row r="122" spans="2:24" s="86" customFormat="1" ht="14.1" customHeight="1">
      <c r="B122" s="3659"/>
      <c r="C122" s="3659"/>
      <c r="D122" s="3659"/>
      <c r="E122" s="3659"/>
      <c r="F122" s="3659"/>
      <c r="G122" s="3659"/>
      <c r="H122" s="3659"/>
      <c r="I122" s="3659"/>
      <c r="J122" s="3659"/>
      <c r="K122" s="217"/>
      <c r="L122" s="217"/>
      <c r="M122" s="217"/>
      <c r="N122" s="217"/>
      <c r="O122" s="117">
        <f>ROW()</f>
        <v>122</v>
      </c>
      <c r="P122" s="217"/>
      <c r="Q122" s="217"/>
      <c r="R122"/>
      <c r="S122" s="1311">
        <v>0.11</v>
      </c>
      <c r="T122" s="1329">
        <v>-0.47325306773716042</v>
      </c>
      <c r="U122" s="1329">
        <v>-0.4561407667387809</v>
      </c>
      <c r="V122" s="1329">
        <v>-0.4818267534317186</v>
      </c>
      <c r="W122" s="1329">
        <v>-0.45152262610266181</v>
      </c>
      <c r="X122" s="1330">
        <v>-0.50005334803630141</v>
      </c>
    </row>
    <row r="123" spans="2:24" s="86" customFormat="1" ht="14.1" customHeight="1">
      <c r="B123" s="3659"/>
      <c r="C123" s="3659"/>
      <c r="D123" s="3659"/>
      <c r="E123" s="3659"/>
      <c r="F123" s="3659"/>
      <c r="G123" s="3659"/>
      <c r="H123" s="3659"/>
      <c r="I123" s="3659"/>
      <c r="J123" s="3659"/>
      <c r="K123" s="217"/>
      <c r="L123" s="217"/>
      <c r="M123" s="217"/>
      <c r="N123" s="217"/>
      <c r="O123" s="117">
        <f>ROW()</f>
        <v>123</v>
      </c>
      <c r="P123" s="217"/>
      <c r="Q123" s="217"/>
      <c r="R123"/>
      <c r="S123" s="1311">
        <v>0.12</v>
      </c>
      <c r="T123" s="1329">
        <v>-0.47497525305177724</v>
      </c>
      <c r="U123" s="1329">
        <v>-0.45629758973591961</v>
      </c>
      <c r="V123" s="1329">
        <v>-0.48426585605835859</v>
      </c>
      <c r="W123" s="1329">
        <v>-0.45126364789219475</v>
      </c>
      <c r="X123" s="1330">
        <v>-0.50422265182673809</v>
      </c>
    </row>
    <row r="124" spans="2:24" s="86" customFormat="1" ht="14.1" customHeight="1">
      <c r="B124" s="3659"/>
      <c r="C124" s="3659"/>
      <c r="D124" s="3659"/>
      <c r="E124" s="3659"/>
      <c r="F124" s="3659"/>
      <c r="G124" s="3659"/>
      <c r="H124" s="3659"/>
      <c r="I124" s="3659"/>
      <c r="J124" s="3659"/>
      <c r="K124" s="217"/>
      <c r="L124" s="217"/>
      <c r="M124" s="217"/>
      <c r="N124" s="217"/>
      <c r="O124" s="117">
        <f>ROW()</f>
        <v>124</v>
      </c>
      <c r="P124" s="217"/>
      <c r="Q124" s="217"/>
      <c r="R124"/>
      <c r="S124" s="1311">
        <v>0.13</v>
      </c>
      <c r="T124" s="1329">
        <v>-0.4766990835492344</v>
      </c>
      <c r="U124" s="1329">
        <v>-0.45645444177078714</v>
      </c>
      <c r="V124" s="1329">
        <v>-0.48669623309599891</v>
      </c>
      <c r="W124" s="1329">
        <v>-0.45100550121662886</v>
      </c>
      <c r="X124" s="1330">
        <v>-0.50839603828009827</v>
      </c>
    </row>
    <row r="125" spans="2:24" s="86" customFormat="1" ht="14.1" customHeight="1">
      <c r="B125" s="3659"/>
      <c r="C125" s="3659"/>
      <c r="D125" s="3659"/>
      <c r="E125" s="3659"/>
      <c r="F125" s="3659"/>
      <c r="G125" s="3659"/>
      <c r="H125" s="3659"/>
      <c r="I125" s="3659"/>
      <c r="J125" s="3659"/>
      <c r="K125" s="217"/>
      <c r="L125" s="217"/>
      <c r="M125" s="217"/>
      <c r="N125" s="217"/>
      <c r="O125" s="117">
        <f>ROW()</f>
        <v>125</v>
      </c>
      <c r="P125" s="217"/>
      <c r="Q125" s="217"/>
      <c r="R125"/>
      <c r="S125" s="1311">
        <v>0.14000000000000001</v>
      </c>
      <c r="T125" s="1329">
        <v>-0.4784245591419295</v>
      </c>
      <c r="U125" s="1329">
        <v>-0.45661132284644301</v>
      </c>
      <c r="V125" s="1329">
        <v>-0.48911789639713277</v>
      </c>
      <c r="W125" s="1329">
        <v>-0.45074825935109653</v>
      </c>
      <c r="X125" s="1330">
        <v>-0.51257367177637903</v>
      </c>
    </row>
    <row r="126" spans="2:24" s="86" customFormat="1" ht="14.1" customHeight="1">
      <c r="B126" s="3659"/>
      <c r="C126" s="3659"/>
      <c r="D126" s="3659"/>
      <c r="E126" s="3659"/>
      <c r="F126" s="3659"/>
      <c r="G126" s="3659"/>
      <c r="H126" s="3659"/>
      <c r="I126" s="3659"/>
      <c r="J126" s="3659"/>
      <c r="K126" s="217"/>
      <c r="L126" s="217"/>
      <c r="M126" s="217"/>
      <c r="N126" s="217"/>
      <c r="O126" s="117">
        <f>ROW()</f>
        <v>126</v>
      </c>
      <c r="P126" s="217"/>
      <c r="Q126" s="217"/>
      <c r="R126"/>
      <c r="S126" s="1311">
        <v>0.15</v>
      </c>
      <c r="T126" s="1329">
        <v>-0.48015167973521899</v>
      </c>
      <c r="U126" s="1329">
        <v>-0.45676823296593944</v>
      </c>
      <c r="V126" s="1329">
        <v>-0.49153085808440666</v>
      </c>
      <c r="W126" s="1329">
        <v>-0.45049200869672756</v>
      </c>
      <c r="X126" s="1330">
        <v>-0.51675571992866376</v>
      </c>
    </row>
    <row r="127" spans="2:24" s="86" customFormat="1" ht="14.1" customHeight="1">
      <c r="B127" s="4071" t="s">
        <v>5265</v>
      </c>
      <c r="C127" s="3659"/>
      <c r="D127" s="3659"/>
      <c r="E127" s="3659"/>
      <c r="F127" s="3659"/>
      <c r="G127" s="3659"/>
      <c r="H127" s="3659"/>
      <c r="I127" s="3659"/>
      <c r="J127" s="3659"/>
      <c r="K127" s="217"/>
      <c r="L127" s="217"/>
      <c r="M127" s="217"/>
      <c r="N127" s="217"/>
      <c r="O127" s="117">
        <f>ROW()</f>
        <v>127</v>
      </c>
      <c r="P127" s="217"/>
      <c r="Q127" s="217"/>
      <c r="R127"/>
      <c r="S127" s="1311">
        <v>0.16</v>
      </c>
      <c r="T127" s="1329">
        <v>-0.48188044522740314</v>
      </c>
      <c r="U127" s="1329">
        <v>-0.45692517213232142</v>
      </c>
      <c r="V127" s="1329">
        <v>-0.49393513054634874</v>
      </c>
      <c r="W127" s="1329">
        <v>-0.45023684887221244</v>
      </c>
      <c r="X127" s="1330">
        <v>-0.52094235306045877</v>
      </c>
    </row>
    <row r="128" spans="2:24" s="86" customFormat="1" ht="14.1" customHeight="1">
      <c r="B128" s="3659"/>
      <c r="C128" s="3659"/>
      <c r="D128" s="3659"/>
      <c r="E128" s="3659"/>
      <c r="F128" s="3659"/>
      <c r="G128" s="3659"/>
      <c r="H128" s="3659"/>
      <c r="I128" s="3659"/>
      <c r="J128" s="3659"/>
      <c r="K128" s="217"/>
      <c r="L128" s="217"/>
      <c r="M128" s="217"/>
      <c r="N128" s="217"/>
      <c r="O128" s="117">
        <f>ROW()</f>
        <v>128</v>
      </c>
      <c r="P128" s="217"/>
      <c r="Q128" s="217"/>
      <c r="R128"/>
      <c r="S128" s="1311">
        <v>0.17</v>
      </c>
      <c r="T128" s="1329">
        <v>-0.48361085550972155</v>
      </c>
      <c r="U128" s="1329">
        <v>-0.45708214034862849</v>
      </c>
      <c r="V128" s="1329">
        <v>-0.49633072643312337</v>
      </c>
      <c r="W128" s="1329">
        <v>-0.44998289272463032</v>
      </c>
      <c r="X128" s="1330">
        <v>-0.52513374360812171</v>
      </c>
    </row>
    <row r="129" spans="2:24" s="86" customFormat="1" ht="14.1" customHeight="1">
      <c r="B129" s="3659"/>
      <c r="C129" s="3659"/>
      <c r="D129" s="3659"/>
      <c r="E129" s="3659"/>
      <c r="F129" s="3659"/>
      <c r="G129" s="3659"/>
      <c r="H129" s="3659"/>
      <c r="I129" s="3659"/>
      <c r="J129" s="3659"/>
      <c r="K129" s="217"/>
      <c r="L129" s="217"/>
      <c r="M129" s="217"/>
      <c r="N129" s="217"/>
      <c r="O129" s="117">
        <f>ROW()</f>
        <v>129</v>
      </c>
      <c r="P129" s="217"/>
      <c r="Q129" s="217"/>
      <c r="R129"/>
      <c r="S129" s="1311">
        <v>0.18</v>
      </c>
      <c r="T129" s="1329">
        <v>-0.48534291046633971</v>
      </c>
      <c r="U129" s="1329">
        <v>-0.45723913761789409</v>
      </c>
      <c r="V129" s="1329">
        <v>-0.49871765865232187</v>
      </c>
      <c r="W129" s="1329">
        <v>-0.44973026625472773</v>
      </c>
      <c r="X129" s="1330">
        <v>-0.52933006545166905</v>
      </c>
    </row>
    <row r="130" spans="2:24" s="86" customFormat="1" ht="14.1" customHeight="1">
      <c r="B130" s="3659"/>
      <c r="C130" s="3659"/>
      <c r="D130" s="3659"/>
      <c r="E130" s="3659"/>
      <c r="F130" s="3659"/>
      <c r="G130" s="3659"/>
      <c r="H130" s="3659"/>
      <c r="I130" s="3659"/>
      <c r="J130" s="3659"/>
      <c r="K130" s="217"/>
      <c r="L130" s="217"/>
      <c r="M130" s="217"/>
      <c r="N130" s="217"/>
      <c r="O130" s="117">
        <f>ROW()</f>
        <v>130</v>
      </c>
      <c r="P130" s="217"/>
      <c r="Q130" s="217"/>
      <c r="R130"/>
      <c r="S130" s="1311">
        <v>0.19</v>
      </c>
      <c r="T130" s="1329">
        <v>-0.4870766099743406</v>
      </c>
      <c r="U130" s="1329">
        <v>-0.45739616394314536</v>
      </c>
      <c r="V130" s="1329">
        <v>-0.50109594036478589</v>
      </c>
      <c r="W130" s="1329">
        <v>-0.44947910845209299</v>
      </c>
      <c r="X130" s="1330">
        <v>-0.53353149317812232</v>
      </c>
    </row>
    <row r="131" spans="2:24" s="86" customFormat="1" ht="14.1" customHeight="1">
      <c r="B131" s="3659"/>
      <c r="C131" s="3659"/>
      <c r="D131" s="3659"/>
      <c r="E131" s="3659"/>
      <c r="F131" s="3659"/>
      <c r="G131" s="3659"/>
      <c r="H131" s="3659"/>
      <c r="I131" s="3659"/>
      <c r="J131" s="3659"/>
      <c r="K131" s="217"/>
      <c r="L131" s="217"/>
      <c r="M131" s="217"/>
      <c r="N131" s="217"/>
      <c r="O131" s="117">
        <f>ROW()</f>
        <v>131</v>
      </c>
      <c r="P131" s="217"/>
      <c r="Q131" s="217"/>
      <c r="R131"/>
      <c r="S131" s="1311">
        <v>0.2</v>
      </c>
      <c r="T131" s="1329">
        <v>-0.48881195390371607</v>
      </c>
      <c r="U131" s="1329">
        <v>-0.45755321932740256</v>
      </c>
      <c r="V131" s="1329">
        <v>-0.50346558498046312</v>
      </c>
      <c r="W131" s="1329">
        <v>-0.44922957103596889</v>
      </c>
      <c r="X131" s="1330">
        <v>-0.53773820128253269</v>
      </c>
    </row>
    <row r="132" spans="2:24" s="86" customFormat="1" ht="14.1" customHeight="1">
      <c r="B132" s="5100" t="s">
        <v>2493</v>
      </c>
      <c r="C132" s="5100"/>
      <c r="D132" s="5100"/>
      <c r="E132" s="5100"/>
      <c r="F132" s="5100"/>
      <c r="G132" s="5100"/>
      <c r="H132" s="5100"/>
      <c r="I132" s="5100"/>
      <c r="J132" s="5100"/>
      <c r="K132" s="217"/>
      <c r="L132" s="217"/>
      <c r="M132" s="217"/>
      <c r="N132" s="217"/>
      <c r="O132" s="117">
        <f>ROW()</f>
        <v>132</v>
      </c>
      <c r="P132" s="217"/>
      <c r="Q132" s="217"/>
      <c r="R132"/>
      <c r="S132" s="1311">
        <v>0.21</v>
      </c>
      <c r="T132" s="1329">
        <v>-0.49054894211735695</v>
      </c>
      <c r="U132" s="1329">
        <v>-0.45771030377368005</v>
      </c>
      <c r="V132" s="1329">
        <v>-0.50582660615429864</v>
      </c>
      <c r="W132" s="1329">
        <v>-0.44898181809786897</v>
      </c>
      <c r="X132" s="1330">
        <v>-0.54195036331271762</v>
      </c>
    </row>
    <row r="133" spans="2:24" s="86" customFormat="1" ht="14.1" customHeight="1">
      <c r="B133" s="5100"/>
      <c r="C133" s="5100"/>
      <c r="D133" s="5100"/>
      <c r="E133" s="5100"/>
      <c r="F133" s="5100"/>
      <c r="G133" s="5100"/>
      <c r="H133" s="5100"/>
      <c r="I133" s="5100"/>
      <c r="J133" s="5100"/>
      <c r="K133" s="217"/>
      <c r="L133" s="217"/>
      <c r="M133" s="217"/>
      <c r="N133" s="217"/>
      <c r="O133" s="117">
        <f>ROW()</f>
        <v>133</v>
      </c>
      <c r="P133" s="217"/>
      <c r="Q133" s="217"/>
      <c r="R133"/>
      <c r="S133" s="1311">
        <v>0.22</v>
      </c>
      <c r="T133" s="1329">
        <v>-0.49228757447104421</v>
      </c>
      <c r="U133" s="1329">
        <v>-0.4578674172849852</v>
      </c>
      <c r="V133" s="1329">
        <v>-0.50817901778215824</v>
      </c>
      <c r="W133" s="1329">
        <v>-0.4487360256425974</v>
      </c>
      <c r="X133" s="1330">
        <v>-0.5461681509646904</v>
      </c>
    </row>
    <row r="134" spans="2:24" s="86" customFormat="1" ht="14.1" customHeight="1">
      <c r="C134" s="1584"/>
      <c r="D134" s="1584"/>
      <c r="E134" s="1584"/>
      <c r="F134" s="1584"/>
      <c r="G134" s="1584"/>
      <c r="H134" s="1584"/>
      <c r="I134" s="1584"/>
      <c r="J134" s="1584"/>
      <c r="K134" s="217"/>
      <c r="L134" s="217"/>
      <c r="M134" s="217"/>
      <c r="N134" s="217"/>
      <c r="O134" s="117">
        <f>ROW()</f>
        <v>134</v>
      </c>
      <c r="P134" s="217"/>
      <c r="Q134" s="217"/>
      <c r="R134"/>
      <c r="S134" s="1311">
        <v>0.23</v>
      </c>
      <c r="T134" s="1329">
        <v>-0.49402785081343947</v>
      </c>
      <c r="U134" s="1329">
        <v>-0.45802455986432011</v>
      </c>
      <c r="V134" s="1329">
        <v>-0.51052283399678466</v>
      </c>
      <c r="W134" s="1329">
        <v>-0.44849238102482741</v>
      </c>
      <c r="X134" s="1330">
        <v>-0.55039173313667855</v>
      </c>
    </row>
    <row r="135" spans="2:24" s="86" customFormat="1" ht="14.1" customHeight="1">
      <c r="B135" s="3659" t="s">
        <v>1608</v>
      </c>
      <c r="C135" s="3659"/>
      <c r="D135" s="3659"/>
      <c r="E135" s="3659"/>
      <c r="F135" s="3659"/>
      <c r="G135" s="3659"/>
      <c r="H135" s="3659"/>
      <c r="I135" s="3659"/>
      <c r="J135" s="3659"/>
      <c r="K135" s="217"/>
      <c r="L135" s="217"/>
      <c r="M135" s="217"/>
      <c r="N135" s="217"/>
      <c r="O135" s="117">
        <f>ROW()</f>
        <v>135</v>
      </c>
      <c r="P135" s="217"/>
      <c r="Q135" s="217"/>
      <c r="R135"/>
      <c r="S135" s="1311">
        <v>0.24</v>
      </c>
      <c r="T135" s="1329">
        <v>-0.49576977098607822</v>
      </c>
      <c r="U135" s="1329">
        <v>-0.45818173151467906</v>
      </c>
      <c r="V135" s="1329">
        <v>-0.51285806916378829</v>
      </c>
      <c r="W135" s="1329">
        <v>-0.44825108227899713</v>
      </c>
      <c r="X135" s="1330">
        <v>-0.55462127495047997</v>
      </c>
    </row>
    <row r="136" spans="2:24" s="86" customFormat="1" ht="14.1" customHeight="1">
      <c r="B136" s="3659"/>
      <c r="C136" s="3659"/>
      <c r="D136" s="3659"/>
      <c r="E136" s="3659"/>
      <c r="F136" s="3659"/>
      <c r="G136" s="3659"/>
      <c r="H136" s="3659"/>
      <c r="I136" s="3659"/>
      <c r="J136" s="3659"/>
      <c r="K136" s="217"/>
      <c r="L136" s="217"/>
      <c r="M136" s="217"/>
      <c r="N136" s="217"/>
      <c r="O136" s="117">
        <f>ROW()</f>
        <v>136</v>
      </c>
      <c r="P136" s="217"/>
      <c r="Q136" s="217"/>
      <c r="R136"/>
      <c r="S136" s="1311">
        <v>0.25</v>
      </c>
      <c r="T136" s="1329">
        <v>-0.49751333482336024</v>
      </c>
      <c r="U136" s="1329">
        <v>-0.45833893223905042</v>
      </c>
      <c r="V136" s="1329">
        <v>-0.51518473787767483</v>
      </c>
      <c r="W136" s="1329">
        <v>-0.44801233734098805</v>
      </c>
      <c r="X136" s="1330">
        <v>-0.55885693674976999</v>
      </c>
    </row>
    <row r="137" spans="2:24" s="86" customFormat="1" ht="14.1" customHeight="1">
      <c r="B137" s="3659"/>
      <c r="C137" s="3659"/>
      <c r="D137" s="3659"/>
      <c r="E137" s="3659"/>
      <c r="F137" s="3659"/>
      <c r="G137" s="3659"/>
      <c r="H137" s="3659"/>
      <c r="I137" s="3659"/>
      <c r="J137" s="3659"/>
      <c r="K137" s="217"/>
      <c r="L137" s="217"/>
      <c r="M137" s="217"/>
      <c r="N137" s="217"/>
      <c r="O137" s="117">
        <f>ROW()</f>
        <v>137</v>
      </c>
      <c r="P137" s="217"/>
      <c r="Q137" s="217"/>
      <c r="R137"/>
      <c r="S137" s="1311">
        <v>0.26</v>
      </c>
      <c r="T137" s="1329">
        <v>-0.49925854215254106</v>
      </c>
      <c r="U137" s="1329">
        <v>-0.45849616204041649</v>
      </c>
      <c r="V137" s="1329">
        <v>-0.51750285495790005</v>
      </c>
      <c r="W137" s="1329">
        <v>-0.44777636316087516</v>
      </c>
      <c r="X137" s="1330">
        <v>-0.56309887308568574</v>
      </c>
    </row>
    <row r="138" spans="2:24" s="86" customFormat="1" ht="14.1" customHeight="1">
      <c r="B138" s="3659"/>
      <c r="C138" s="3659"/>
      <c r="D138" s="3659"/>
      <c r="E138" s="3659"/>
      <c r="F138" s="3659"/>
      <c r="G138" s="3659"/>
      <c r="H138" s="3659"/>
      <c r="I138" s="3659"/>
      <c r="J138" s="3659"/>
      <c r="K138" s="217"/>
      <c r="L138" s="217"/>
      <c r="M138" s="217"/>
      <c r="N138" s="217"/>
      <c r="O138" s="117">
        <f>ROW()</f>
        <v>138</v>
      </c>
      <c r="P138" s="217"/>
      <c r="Q138" s="217"/>
      <c r="R138"/>
      <c r="S138" s="1311">
        <v>0.27000000000000102</v>
      </c>
      <c r="T138" s="1329">
        <v>-0.50100539279372436</v>
      </c>
      <c r="U138" s="1329">
        <v>-0.45865342092175271</v>
      </c>
      <c r="V138" s="1329">
        <v>-0.51981243544496547</v>
      </c>
      <c r="W138" s="1329">
        <v>-0.44754338470688321</v>
      </c>
      <c r="X138" s="1330">
        <v>-0.56734723170077339</v>
      </c>
    </row>
    <row r="139" spans="2:24" s="86" customFormat="1" ht="14.1" customHeight="1">
      <c r="B139" s="3659"/>
      <c r="C139" s="3659"/>
      <c r="D139" s="3659"/>
      <c r="E139" s="3659"/>
      <c r="F139" s="3659"/>
      <c r="G139" s="3659"/>
      <c r="H139" s="3659"/>
      <c r="I139" s="3659"/>
      <c r="J139" s="3659"/>
      <c r="K139" s="217"/>
      <c r="L139" s="217"/>
      <c r="M139" s="217"/>
      <c r="N139" s="217"/>
      <c r="O139" s="117">
        <f>ROW()</f>
        <v>139</v>
      </c>
      <c r="P139" s="217"/>
      <c r="Q139" s="217"/>
      <c r="R139"/>
      <c r="S139" s="1311">
        <v>0.28000000000000103</v>
      </c>
      <c r="T139" s="1329">
        <v>-0.50275388655985553</v>
      </c>
      <c r="U139" s="1329">
        <v>-0.45881070888602865</v>
      </c>
      <c r="V139" s="1329">
        <v>-0.52211349459654255</v>
      </c>
      <c r="W139" s="1329">
        <v>-0.4473136338617455</v>
      </c>
      <c r="X139" s="1330">
        <v>-0.57160215252290481</v>
      </c>
    </row>
    <row r="140" spans="2:24" s="86" customFormat="1" ht="14.1" customHeight="1">
      <c r="B140" s="3659"/>
      <c r="C140" s="3659"/>
      <c r="D140" s="3659"/>
      <c r="E140" s="3659"/>
      <c r="F140" s="3659"/>
      <c r="G140" s="3659"/>
      <c r="H140" s="3659"/>
      <c r="I140" s="3659"/>
      <c r="J140" s="3659"/>
      <c r="K140" s="217"/>
      <c r="L140" s="217"/>
      <c r="M140" s="217"/>
      <c r="N140" s="217"/>
      <c r="O140" s="117">
        <f>ROW()</f>
        <v>140</v>
      </c>
      <c r="P140" s="217"/>
      <c r="Q140" s="217"/>
      <c r="R140"/>
      <c r="S140" s="1311">
        <v>0.29000000000000098</v>
      </c>
      <c r="T140" s="1329">
        <v>-0.50450402325671218</v>
      </c>
      <c r="U140" s="1329">
        <v>-0.45896802593620528</v>
      </c>
      <c r="V140" s="1329">
        <v>-0.52440604788363376</v>
      </c>
      <c r="W140" s="1329">
        <v>-0.44708734821370261</v>
      </c>
      <c r="X140" s="1330">
        <v>-0.57586376668129891</v>
      </c>
    </row>
    <row r="141" spans="2:24" s="86" customFormat="1" ht="14.1" customHeight="1">
      <c r="B141" s="3659"/>
      <c r="C141" s="3659"/>
      <c r="D141" s="3659"/>
      <c r="E141" s="3659"/>
      <c r="F141" s="3659"/>
      <c r="G141" s="3659"/>
      <c r="H141" s="3659"/>
      <c r="I141" s="3659"/>
      <c r="J141" s="3659"/>
      <c r="K141" s="217"/>
      <c r="L141" s="217"/>
      <c r="M141" s="217"/>
      <c r="N141" s="217"/>
      <c r="O141" s="117">
        <f>ROW()</f>
        <v>141</v>
      </c>
      <c r="P141" s="217"/>
      <c r="Q141" s="217"/>
      <c r="R141"/>
      <c r="S141" s="1311">
        <v>0.30000000000000099</v>
      </c>
      <c r="T141" s="1329">
        <v>-0.5062558026828986</v>
      </c>
      <c r="U141" s="1329">
        <v>-0.45912537207523924</v>
      </c>
      <c r="V141" s="1329">
        <v>-0.52669011098676888</v>
      </c>
      <c r="W141" s="1329">
        <v>-0.44686476974564648</v>
      </c>
      <c r="X141" s="1330">
        <v>-0.58013219555713014</v>
      </c>
    </row>
    <row r="142" spans="2:24" s="86" customFormat="1" ht="14.1" customHeight="1">
      <c r="B142" s="3659"/>
      <c r="C142" s="3659"/>
      <c r="D142" s="3659"/>
      <c r="E142" s="3659"/>
      <c r="F142" s="3659"/>
      <c r="G142" s="3659"/>
      <c r="H142" s="3659"/>
      <c r="I142" s="3659"/>
      <c r="J142" s="3659"/>
      <c r="K142" s="217"/>
      <c r="L142" s="217"/>
      <c r="M142" s="217"/>
      <c r="N142" s="217"/>
      <c r="O142" s="117">
        <f>ROW()</f>
        <v>142</v>
      </c>
      <c r="P142" s="217"/>
      <c r="Q142" s="217"/>
      <c r="R142"/>
      <c r="S142" s="1311">
        <v>0</v>
      </c>
      <c r="T142" s="1329">
        <v>-0.454417629379535</v>
      </c>
      <c r="U142" s="1329">
        <v>-0.454417629379535</v>
      </c>
      <c r="V142" s="1329">
        <v>-0.454417629379535</v>
      </c>
      <c r="W142" s="1329">
        <v>-0.454417629379535</v>
      </c>
      <c r="X142" s="1330">
        <v>-0.454417629379535</v>
      </c>
    </row>
    <row r="143" spans="2:24" s="86" customFormat="1" ht="14.1" customHeight="1">
      <c r="B143" s="4605" t="s">
        <v>4329</v>
      </c>
      <c r="C143" s="3659"/>
      <c r="D143" s="3659"/>
      <c r="E143" s="3659"/>
      <c r="F143" s="3659"/>
      <c r="G143" s="3659"/>
      <c r="H143" s="3659"/>
      <c r="I143" s="3659"/>
      <c r="J143" s="3659"/>
      <c r="K143" s="217"/>
      <c r="L143" s="217"/>
      <c r="M143" s="217"/>
      <c r="N143" s="217"/>
      <c r="O143" s="117">
        <f>ROW()</f>
        <v>143</v>
      </c>
      <c r="P143" s="217"/>
      <c r="Q143" s="217"/>
      <c r="R143"/>
      <c r="S143" s="1312">
        <f t="shared" ref="S143:S174" si="0">S82</f>
        <v>-0.3</v>
      </c>
      <c r="T143" s="1329">
        <f t="shared" ref="T143:X152" si="1">T82/T$142-1</f>
        <v>-0.11081770359476384</v>
      </c>
      <c r="U143" s="1329">
        <f t="shared" si="1"/>
        <v>-1.0302510954260602E-2</v>
      </c>
      <c r="V143" s="1329">
        <f t="shared" si="1"/>
        <v>-0.17651360361403168</v>
      </c>
      <c r="W143" s="1329">
        <f t="shared" si="1"/>
        <v>1.9296634555979075E-2</v>
      </c>
      <c r="X143" s="1330">
        <f t="shared" si="1"/>
        <v>-0.27152982320711427</v>
      </c>
    </row>
    <row r="144" spans="2:24" s="86" customFormat="1" ht="14.1" customHeight="1">
      <c r="B144" s="3659"/>
      <c r="C144" s="3659"/>
      <c r="D144" s="3659"/>
      <c r="E144" s="3659"/>
      <c r="F144" s="3659"/>
      <c r="G144" s="3659"/>
      <c r="H144" s="3659"/>
      <c r="I144" s="3659"/>
      <c r="J144" s="3659"/>
      <c r="K144" s="217"/>
      <c r="L144" s="217"/>
      <c r="M144" s="217"/>
      <c r="N144" s="217"/>
      <c r="O144" s="117">
        <f>ROW()</f>
        <v>144</v>
      </c>
      <c r="P144" s="217"/>
      <c r="Q144" s="217"/>
      <c r="R144"/>
      <c r="S144" s="1312">
        <f t="shared" si="0"/>
        <v>-0.28999999999999998</v>
      </c>
      <c r="T144" s="1329">
        <f t="shared" si="1"/>
        <v>-0.10717624555632443</v>
      </c>
      <c r="U144" s="1329">
        <f t="shared" si="1"/>
        <v>-9.9600172925569108E-3</v>
      </c>
      <c r="V144" s="1329">
        <f t="shared" si="1"/>
        <v>-0.17034504011319018</v>
      </c>
      <c r="W144" s="1329">
        <f t="shared" si="1"/>
        <v>1.8574824885422725E-2</v>
      </c>
      <c r="X144" s="1330">
        <f t="shared" si="1"/>
        <v>-0.2624786064946687</v>
      </c>
    </row>
    <row r="145" spans="2:24" s="86" customFormat="1" ht="14.1" customHeight="1">
      <c r="B145" s="3659"/>
      <c r="C145" s="3659"/>
      <c r="D145" s="3659"/>
      <c r="E145" s="3659"/>
      <c r="F145" s="3659"/>
      <c r="G145" s="3659"/>
      <c r="H145" s="3659"/>
      <c r="I145" s="3659"/>
      <c r="J145" s="3659"/>
      <c r="K145" s="217"/>
      <c r="L145" s="217"/>
      <c r="M145" s="217"/>
      <c r="N145" s="217"/>
      <c r="O145" s="117">
        <f>ROW()</f>
        <v>145</v>
      </c>
      <c r="P145" s="217"/>
      <c r="Q145" s="217"/>
      <c r="R145"/>
      <c r="S145" s="1312">
        <f t="shared" si="0"/>
        <v>-0.28000000000000003</v>
      </c>
      <c r="T145" s="1329">
        <f t="shared" si="1"/>
        <v>-0.10353117221275998</v>
      </c>
      <c r="U145" s="1329">
        <f t="shared" si="1"/>
        <v>-9.6174600171194946E-3</v>
      </c>
      <c r="V145" s="1329">
        <f t="shared" si="1"/>
        <v>-0.1641961104404267</v>
      </c>
      <c r="W145" s="1329">
        <f t="shared" si="1"/>
        <v>1.7859754645047632E-2</v>
      </c>
      <c r="X145" s="1330">
        <f t="shared" si="1"/>
        <v>-0.25343116980744407</v>
      </c>
    </row>
    <row r="146" spans="2:24" s="86" customFormat="1" ht="14.1" customHeight="1">
      <c r="B146" s="3659"/>
      <c r="C146" s="3659"/>
      <c r="D146" s="3659"/>
      <c r="E146" s="3659"/>
      <c r="F146" s="3659"/>
      <c r="G146" s="3659"/>
      <c r="H146" s="3659"/>
      <c r="I146" s="3659"/>
      <c r="J146" s="3659"/>
      <c r="K146" s="217"/>
      <c r="L146" s="217"/>
      <c r="M146" s="217"/>
      <c r="N146" s="217"/>
      <c r="O146" s="117">
        <f>ROW()</f>
        <v>146</v>
      </c>
      <c r="P146" s="217"/>
      <c r="Q146" s="217"/>
      <c r="R146"/>
      <c r="S146" s="1312">
        <f t="shared" si="0"/>
        <v>-0.27</v>
      </c>
      <c r="T146" s="1329">
        <f t="shared" si="1"/>
        <v>-9.9882483145139256E-2</v>
      </c>
      <c r="U146" s="1329">
        <f t="shared" si="1"/>
        <v>-9.2748391206898262E-3</v>
      </c>
      <c r="V146" s="1329">
        <f t="shared" si="1"/>
        <v>-0.15806682181736487</v>
      </c>
      <c r="W146" s="1329">
        <f t="shared" si="1"/>
        <v>1.7151341978208778E-2</v>
      </c>
      <c r="X146" s="1330">
        <f t="shared" si="1"/>
        <v>-0.24438697771639095</v>
      </c>
    </row>
    <row r="147" spans="2:24" s="86" customFormat="1" ht="14.1" customHeight="1">
      <c r="B147" s="3659"/>
      <c r="C147" s="3659"/>
      <c r="D147" s="3659"/>
      <c r="E147" s="3659"/>
      <c r="F147" s="3659"/>
      <c r="G147" s="3659"/>
      <c r="H147" s="3659"/>
      <c r="I147" s="3659"/>
      <c r="J147" s="3659"/>
      <c r="K147" s="217"/>
      <c r="L147" s="217"/>
      <c r="M147" s="217"/>
      <c r="N147" s="217"/>
      <c r="O147" s="117">
        <f>ROW()</f>
        <v>147</v>
      </c>
      <c r="P147" s="217"/>
      <c r="Q147" s="217"/>
      <c r="R147"/>
      <c r="S147" s="1312">
        <f t="shared" si="0"/>
        <v>-0.26</v>
      </c>
      <c r="T147" s="1329">
        <f t="shared" si="1"/>
        <v>-9.6230177948803064E-2</v>
      </c>
      <c r="U147" s="1329">
        <f t="shared" si="1"/>
        <v>-8.9321545960218129E-3</v>
      </c>
      <c r="V147" s="1329">
        <f t="shared" si="1"/>
        <v>-0.15195718042927875</v>
      </c>
      <c r="W147" s="1329">
        <f t="shared" si="1"/>
        <v>1.644949467663781E-2</v>
      </c>
      <c r="X147" s="1330">
        <f t="shared" si="1"/>
        <v>-0.23534551791439273</v>
      </c>
    </row>
    <row r="148" spans="2:24" s="86" customFormat="1" ht="14.1" customHeight="1">
      <c r="B148" s="3659" t="s">
        <v>6312</v>
      </c>
      <c r="C148" s="3659"/>
      <c r="D148" s="3659"/>
      <c r="E148" s="3659"/>
      <c r="F148" s="3659"/>
      <c r="G148" s="3659"/>
      <c r="H148" s="3659"/>
      <c r="I148" s="3659"/>
      <c r="J148" s="3659"/>
      <c r="K148" s="217"/>
      <c r="L148" s="217"/>
      <c r="M148" s="217"/>
      <c r="N148" s="217"/>
      <c r="O148" s="117">
        <f>ROW()</f>
        <v>148</v>
      </c>
      <c r="P148" s="217"/>
      <c r="Q148" s="217"/>
      <c r="R148"/>
      <c r="S148" s="1312">
        <f t="shared" si="0"/>
        <v>-0.25</v>
      </c>
      <c r="T148" s="1329">
        <f t="shared" si="1"/>
        <v>-9.2574256233396324E-2</v>
      </c>
      <c r="U148" s="1329">
        <f t="shared" si="1"/>
        <v>-8.5894064358825739E-3</v>
      </c>
      <c r="V148" s="1329">
        <f t="shared" si="1"/>
        <v>-0.14586719143701399</v>
      </c>
      <c r="W148" s="1329">
        <f t="shared" si="1"/>
        <v>1.5754110148661127E-2</v>
      </c>
      <c r="X148" s="1330">
        <f t="shared" si="1"/>
        <v>-0.2263063008430638</v>
      </c>
    </row>
    <row r="149" spans="2:24" s="86" customFormat="1" ht="14.1" customHeight="1">
      <c r="B149" s="3659"/>
      <c r="C149" s="3659"/>
      <c r="D149" s="3659"/>
      <c r="E149" s="3659"/>
      <c r="F149" s="3659"/>
      <c r="G149" s="3659"/>
      <c r="H149" s="3659"/>
      <c r="I149" s="3659"/>
      <c r="J149" s="3659"/>
      <c r="K149" s="217"/>
      <c r="L149" s="217"/>
      <c r="M149" s="217"/>
      <c r="N149" s="217"/>
      <c r="O149" s="117">
        <f>ROW()</f>
        <v>149</v>
      </c>
      <c r="P149" s="217"/>
      <c r="Q149" s="217"/>
      <c r="R149"/>
      <c r="S149" s="1312">
        <f t="shared" si="0"/>
        <v>-0.24</v>
      </c>
      <c r="T149" s="1329">
        <f t="shared" si="1"/>
        <v>-8.8914717622912587E-2</v>
      </c>
      <c r="U149" s="1329">
        <f t="shared" si="1"/>
        <v>-8.2465946330538831E-3</v>
      </c>
      <c r="V149" s="1329">
        <f t="shared" si="1"/>
        <v>-0.1397968589888533</v>
      </c>
      <c r="W149" s="1329">
        <f t="shared" si="1"/>
        <v>1.506507546383884E-2</v>
      </c>
      <c r="X149" s="1330">
        <f t="shared" si="1"/>
        <v>-0.21726885924351313</v>
      </c>
    </row>
    <row r="150" spans="2:24" s="86" customFormat="1" ht="14.1" customHeight="1">
      <c r="B150" s="3659"/>
      <c r="C150" s="3659"/>
      <c r="D150" s="3659"/>
      <c r="E150" s="3659"/>
      <c r="F150" s="3659"/>
      <c r="G150" s="3659"/>
      <c r="H150" s="3659"/>
      <c r="I150" s="3659"/>
      <c r="J150" s="3659"/>
      <c r="K150" s="217"/>
      <c r="L150" s="217"/>
      <c r="M150" s="217"/>
      <c r="N150" s="217"/>
      <c r="O150" s="117">
        <f>ROW()</f>
        <v>150</v>
      </c>
      <c r="P150" s="217"/>
      <c r="Q150" s="217"/>
      <c r="R150"/>
      <c r="S150" s="1312">
        <f t="shared" si="0"/>
        <v>-0.23</v>
      </c>
      <c r="T150" s="1329">
        <f t="shared" si="1"/>
        <v>-8.5251561755719907E-2</v>
      </c>
      <c r="U150" s="1329">
        <f t="shared" si="1"/>
        <v>-7.9037191803239537E-3</v>
      </c>
      <c r="V150" s="1329">
        <f t="shared" si="1"/>
        <v>-0.13374618623234147</v>
      </c>
      <c r="W150" s="1329">
        <f t="shared" si="1"/>
        <v>1.4382267475516075E-2</v>
      </c>
      <c r="X150" s="1330">
        <f t="shared" si="1"/>
        <v>-0.20823274762948762</v>
      </c>
    </row>
    <row r="151" spans="2:24" s="86" customFormat="1" ht="14.1" customHeight="1">
      <c r="B151" s="3659"/>
      <c r="C151" s="3659"/>
      <c r="D151" s="3659"/>
      <c r="E151" s="3659"/>
      <c r="F151" s="3659"/>
      <c r="G151" s="3659"/>
      <c r="H151" s="3659"/>
      <c r="I151" s="3659"/>
      <c r="J151" s="3659"/>
      <c r="K151" s="217"/>
      <c r="L151" s="217"/>
      <c r="M151" s="217"/>
      <c r="N151" s="217"/>
      <c r="O151" s="117">
        <f>ROW()</f>
        <v>151</v>
      </c>
      <c r="P151" s="217"/>
      <c r="Q151" s="217"/>
      <c r="R151"/>
      <c r="S151" s="1312">
        <f t="shared" si="0"/>
        <v>-0.22</v>
      </c>
      <c r="T151" s="1329">
        <f t="shared" si="1"/>
        <v>-8.1584788284609688E-2</v>
      </c>
      <c r="U151" s="1329">
        <f t="shared" si="1"/>
        <v>-7.5607800704960981E-3</v>
      </c>
      <c r="V151" s="1329">
        <f t="shared" si="1"/>
        <v>-0.12771517532603482</v>
      </c>
      <c r="W151" s="1329">
        <f t="shared" si="1"/>
        <v>1.3705553022496764E-2</v>
      </c>
      <c r="X151" s="1330">
        <f t="shared" si="1"/>
        <v>-0.19919754168203474</v>
      </c>
    </row>
    <row r="152" spans="2:24" s="86" customFormat="1" ht="14.1" customHeight="1">
      <c r="B152" s="5102" t="s">
        <v>6313</v>
      </c>
      <c r="C152" s="5102"/>
      <c r="D152" s="5102"/>
      <c r="E152" s="5102"/>
      <c r="F152" s="5102"/>
      <c r="G152" s="5102"/>
      <c r="H152" s="5102"/>
      <c r="I152" s="5102"/>
      <c r="J152" s="5102"/>
      <c r="K152" s="217"/>
      <c r="L152" s="217"/>
      <c r="M152" s="217"/>
      <c r="N152" s="217"/>
      <c r="O152" s="117">
        <f>ROW()</f>
        <v>152</v>
      </c>
      <c r="P152" s="217"/>
      <c r="Q152" s="217"/>
      <c r="R152"/>
      <c r="S152" s="1312">
        <f t="shared" si="0"/>
        <v>-0.21</v>
      </c>
      <c r="T152" s="1329">
        <f t="shared" si="1"/>
        <v>-7.7914396876819225E-2</v>
      </c>
      <c r="U152" s="1329">
        <f t="shared" si="1"/>
        <v>-7.2177772963875064E-3</v>
      </c>
      <c r="V152" s="1329">
        <f t="shared" si="1"/>
        <v>-0.12170382745123043</v>
      </c>
      <c r="W152" s="1329">
        <f t="shared" si="1"/>
        <v>1.3034789210762288E-2</v>
      </c>
      <c r="X152" s="1330">
        <f t="shared" si="1"/>
        <v>-0.1901628375654395</v>
      </c>
    </row>
    <row r="153" spans="2:24" s="86" customFormat="1" ht="14.1" customHeight="1">
      <c r="B153" s="5102"/>
      <c r="C153" s="5102"/>
      <c r="D153" s="5102"/>
      <c r="E153" s="5102"/>
      <c r="F153" s="5102"/>
      <c r="G153" s="5102"/>
      <c r="H153" s="5102"/>
      <c r="I153" s="5102"/>
      <c r="J153" s="5102"/>
      <c r="K153" s="217"/>
      <c r="L153" s="217"/>
      <c r="M153" s="217"/>
      <c r="N153" s="217"/>
      <c r="O153" s="117">
        <f>ROW()</f>
        <v>153</v>
      </c>
      <c r="P153" s="217"/>
      <c r="Q153" s="217"/>
      <c r="R153"/>
      <c r="S153" s="1312">
        <f t="shared" si="0"/>
        <v>-0.2</v>
      </c>
      <c r="T153" s="1329">
        <f t="shared" ref="T153:X162" si="2">T92/T$142-1</f>
        <v>-7.4240387214075887E-2</v>
      </c>
      <c r="U153" s="1329">
        <f t="shared" si="2"/>
        <v>-6.8747108508261379E-3</v>
      </c>
      <c r="V153" s="1329">
        <f t="shared" si="2"/>
        <v>-0.11571214282361431</v>
      </c>
      <c r="W153" s="1329">
        <f t="shared" si="2"/>
        <v>1.23698237758465E-2</v>
      </c>
      <c r="X153" s="1330">
        <f t="shared" si="2"/>
        <v>-0.18112825116493347</v>
      </c>
    </row>
    <row r="154" spans="2:24" s="86" customFormat="1" ht="14.1" customHeight="1">
      <c r="K154" s="217"/>
      <c r="L154" s="217"/>
      <c r="M154" s="217"/>
      <c r="N154" s="217"/>
      <c r="O154" s="117">
        <f>ROW()</f>
        <v>154</v>
      </c>
      <c r="P154" s="217"/>
      <c r="Q154" s="217"/>
      <c r="R154"/>
      <c r="S154" s="1312">
        <f t="shared" si="0"/>
        <v>-0.19</v>
      </c>
      <c r="T154" s="1329">
        <f t="shared" si="2"/>
        <v>-7.056275899262876E-2</v>
      </c>
      <c r="U154" s="1329">
        <f t="shared" si="2"/>
        <v>-6.531580726651498E-3</v>
      </c>
      <c r="V154" s="1329">
        <f t="shared" si="2"/>
        <v>-0.10974012070487005</v>
      </c>
      <c r="W154" s="1329">
        <f t="shared" si="2"/>
        <v>1.1710495526148224E-2</v>
      </c>
      <c r="X154" s="1330">
        <f t="shared" si="2"/>
        <v>-0.17209341724735527</v>
      </c>
    </row>
    <row r="155" spans="2:24" s="86" customFormat="1" ht="14.1" customHeight="1">
      <c r="B155" s="312" t="str">
        <f>CONCATENATE("See also the new (Dec. 5, 2011) discussion of Port Authority data, in Section X, beginning at Row ",O324, ".")</f>
        <v>See also the new (Dec. 5, 2011) discussion of Port Authority data, in Section X, beginning at Row 324.</v>
      </c>
      <c r="C155" s="312"/>
      <c r="D155" s="312"/>
      <c r="E155" s="312"/>
      <c r="F155" s="312"/>
      <c r="G155" s="312"/>
      <c r="H155" s="312"/>
      <c r="I155" s="312"/>
      <c r="J155" s="312"/>
      <c r="K155" s="217"/>
      <c r="L155" s="217"/>
      <c r="M155" s="217"/>
      <c r="N155" s="217"/>
      <c r="O155" s="117">
        <f>ROW()</f>
        <v>155</v>
      </c>
      <c r="P155" s="217"/>
      <c r="Q155" s="217"/>
      <c r="R155"/>
      <c r="S155" s="1312">
        <f t="shared" si="0"/>
        <v>-0.18</v>
      </c>
      <c r="T155" s="1329">
        <f t="shared" si="2"/>
        <v>-6.6881511923284842E-2</v>
      </c>
      <c r="U155" s="1329">
        <f t="shared" si="2"/>
        <v>-6.188386916715416E-3</v>
      </c>
      <c r="V155" s="1329">
        <f t="shared" si="2"/>
        <v>-0.10378775941423934</v>
      </c>
      <c r="W155" s="1329">
        <f t="shared" si="2"/>
        <v>1.1056634867122828E-2</v>
      </c>
      <c r="X155" s="1330">
        <f t="shared" si="2"/>
        <v>-0.16305798854669695</v>
      </c>
    </row>
    <row r="156" spans="2:24" s="86" customFormat="1" ht="14.1" customHeight="1">
      <c r="B156" s="312"/>
      <c r="C156" s="312"/>
      <c r="D156" s="312"/>
      <c r="E156" s="312"/>
      <c r="F156" s="312"/>
      <c r="G156" s="312"/>
      <c r="H156" s="312"/>
      <c r="I156" s="312"/>
      <c r="J156" s="312"/>
      <c r="K156" s="217"/>
      <c r="L156" s="217"/>
      <c r="M156" s="217"/>
      <c r="N156" s="217"/>
      <c r="O156" s="117">
        <f>ROW()</f>
        <v>156</v>
      </c>
      <c r="P156" s="217"/>
      <c r="Q156" s="217"/>
      <c r="R156"/>
      <c r="S156" s="1312">
        <f t="shared" si="0"/>
        <v>-0.17</v>
      </c>
      <c r="T156" s="1329">
        <f t="shared" si="2"/>
        <v>-6.3196645731438905E-2</v>
      </c>
      <c r="U156" s="1329">
        <f t="shared" si="2"/>
        <v>-5.8451294138857079E-3</v>
      </c>
      <c r="V156" s="1329">
        <f t="shared" si="2"/>
        <v>-9.7855056340020896E-2</v>
      </c>
      <c r="W156" s="1329">
        <f t="shared" si="2"/>
        <v>1.040806440593478E-2</v>
      </c>
      <c r="X156" s="1330">
        <f t="shared" si="2"/>
        <v>-0.15402163477716801</v>
      </c>
    </row>
    <row r="157" spans="2:24" s="86" customFormat="1" ht="14.1" customHeight="1">
      <c r="K157" s="217"/>
      <c r="L157" s="217"/>
      <c r="M157" s="217"/>
      <c r="N157" s="217"/>
      <c r="O157" s="117">
        <f>ROW()</f>
        <v>157</v>
      </c>
      <c r="P157" s="217"/>
      <c r="Q157" s="217"/>
      <c r="R157"/>
      <c r="S157" s="1312">
        <f t="shared" si="0"/>
        <v>-0.16</v>
      </c>
      <c r="T157" s="1329">
        <f t="shared" si="2"/>
        <v>-5.9508160157114576E-2</v>
      </c>
      <c r="U157" s="1329">
        <f t="shared" si="2"/>
        <v>-5.5018082110374067E-3</v>
      </c>
      <c r="V157" s="1329">
        <f t="shared" si="2"/>
        <v>-9.1942007951016258E-2</v>
      </c>
      <c r="W157" s="1329">
        <f t="shared" si="2"/>
        <v>9.7645996357682563E-3</v>
      </c>
      <c r="X157" s="1330">
        <f t="shared" si="2"/>
        <v>-0.14498404157716882</v>
      </c>
    </row>
    <row r="158" spans="2:24" s="86" customFormat="1" ht="14.1" customHeight="1">
      <c r="B158" s="308" t="s">
        <v>264</v>
      </c>
      <c r="C158"/>
      <c r="D158"/>
      <c r="E158"/>
      <c r="F158"/>
      <c r="G158"/>
      <c r="H158"/>
      <c r="I158"/>
      <c r="J158"/>
      <c r="K158"/>
      <c r="L158"/>
      <c r="M158"/>
      <c r="N158"/>
      <c r="O158" s="117">
        <f>ROW()</f>
        <v>158</v>
      </c>
      <c r="P158"/>
      <c r="Q158"/>
      <c r="R158"/>
      <c r="S158" s="1312">
        <f t="shared" si="0"/>
        <v>-0.15</v>
      </c>
      <c r="T158" s="1329">
        <f t="shared" si="2"/>
        <v>-5.5816054954989092E-2</v>
      </c>
      <c r="U158" s="1329">
        <f t="shared" si="2"/>
        <v>-5.1584233010615321E-3</v>
      </c>
      <c r="V158" s="1329">
        <f t="shared" si="2"/>
        <v>-8.6048609807924725E-2</v>
      </c>
      <c r="W158" s="1329">
        <f t="shared" si="2"/>
        <v>9.1260496986143025E-3</v>
      </c>
      <c r="X158" s="1330">
        <f t="shared" si="2"/>
        <v>-0.13594490938830517</v>
      </c>
    </row>
    <row r="159" spans="2:24" s="86" customFormat="1" ht="14.1" customHeight="1">
      <c r="B159"/>
      <c r="C159"/>
      <c r="D159"/>
      <c r="E159"/>
      <c r="F159"/>
      <c r="G159"/>
      <c r="H159"/>
      <c r="I159"/>
      <c r="J159"/>
      <c r="K159"/>
      <c r="L159"/>
      <c r="M159"/>
      <c r="N159"/>
      <c r="O159" s="117">
        <f>ROW()</f>
        <v>159</v>
      </c>
      <c r="P159"/>
      <c r="Q159"/>
      <c r="R159"/>
      <c r="S159" s="1312">
        <f t="shared" si="0"/>
        <v>-0.14000000000000001</v>
      </c>
      <c r="T159" s="1329">
        <f t="shared" si="2"/>
        <v>-5.2120329894435824E-2</v>
      </c>
      <c r="U159" s="1329">
        <f t="shared" si="2"/>
        <v>-4.8149746768612056E-3</v>
      </c>
      <c r="V159" s="1329">
        <f t="shared" si="2"/>
        <v>-8.0174856574692699E-2</v>
      </c>
      <c r="W159" s="1329">
        <f t="shared" si="2"/>
        <v>8.4922182249342892E-3</v>
      </c>
      <c r="X159" s="1330">
        <f t="shared" si="2"/>
        <v>-0.12690395227429685</v>
      </c>
    </row>
    <row r="160" spans="2:24" s="86" customFormat="1" ht="14.1" customHeight="1">
      <c r="B160" s="5100" t="s">
        <v>2704</v>
      </c>
      <c r="C160" s="4187"/>
      <c r="D160" s="4187"/>
      <c r="E160" s="4187"/>
      <c r="F160" s="4187"/>
      <c r="G160" s="4187"/>
      <c r="H160" s="4187"/>
      <c r="I160" s="4187"/>
      <c r="J160" s="4187"/>
      <c r="K160" s="217"/>
      <c r="L160" s="217"/>
      <c r="M160" s="217"/>
      <c r="N160" s="217"/>
      <c r="O160" s="117">
        <f>ROW()</f>
        <v>160</v>
      </c>
      <c r="P160" s="217"/>
      <c r="Q160" s="217"/>
      <c r="R160"/>
      <c r="S160" s="1312">
        <f t="shared" si="0"/>
        <v>-0.13</v>
      </c>
      <c r="T160" s="1329">
        <f t="shared" si="2"/>
        <v>-4.8420984759549368E-2</v>
      </c>
      <c r="U160" s="1329">
        <f t="shared" si="2"/>
        <v>-4.4714623313512059E-3</v>
      </c>
      <c r="V160" s="1329">
        <f t="shared" si="2"/>
        <v>-7.4320742029786002E-2</v>
      </c>
      <c r="W160" s="1329">
        <f t="shared" si="2"/>
        <v>7.8629042481936917E-3</v>
      </c>
      <c r="X160" s="1330">
        <f t="shared" si="2"/>
        <v>-0.11786089668536637</v>
      </c>
    </row>
    <row r="161" spans="2:24" s="86" customFormat="1" ht="14.1" customHeight="1">
      <c r="B161" s="4187"/>
      <c r="C161" s="4187"/>
      <c r="D161" s="4187"/>
      <c r="E161" s="4187"/>
      <c r="F161" s="4187"/>
      <c r="G161" s="4187"/>
      <c r="H161" s="4187"/>
      <c r="I161" s="4187"/>
      <c r="J161" s="4187"/>
      <c r="K161" s="217"/>
      <c r="L161" s="217"/>
      <c r="M161" s="217"/>
      <c r="N161" s="217"/>
      <c r="O161" s="117">
        <f>ROW()</f>
        <v>161</v>
      </c>
      <c r="P161" s="217"/>
      <c r="Q161" s="217"/>
      <c r="R161"/>
      <c r="S161" s="1312">
        <f t="shared" si="0"/>
        <v>-0.12</v>
      </c>
      <c r="T161" s="1329">
        <f t="shared" si="2"/>
        <v>-4.4718019349181071E-2</v>
      </c>
      <c r="U161" s="1329">
        <f t="shared" si="2"/>
        <v>-4.1278862574574138E-3</v>
      </c>
      <c r="V161" s="1329">
        <f t="shared" si="2"/>
        <v>-6.8486259077423672E-2</v>
      </c>
      <c r="W161" s="1329">
        <f t="shared" si="2"/>
        <v>7.2379031918179404E-3</v>
      </c>
      <c r="X161" s="1330">
        <f t="shared" si="2"/>
        <v>-0.10881548017441189</v>
      </c>
    </row>
    <row r="162" spans="2:24" s="86" customFormat="1" ht="14.1" customHeight="1">
      <c r="B162" s="4187"/>
      <c r="C162" s="4187"/>
      <c r="D162" s="4187"/>
      <c r="E162" s="4187"/>
      <c r="F162" s="4187"/>
      <c r="G162" s="4187"/>
      <c r="H162" s="4187"/>
      <c r="I162" s="4187"/>
      <c r="J162" s="4187"/>
      <c r="K162" s="217"/>
      <c r="L162" s="217"/>
      <c r="M162" s="217"/>
      <c r="N162" s="217"/>
      <c r="O162" s="117">
        <f>ROW()</f>
        <v>162</v>
      </c>
      <c r="P162" s="217"/>
      <c r="Q162" s="217"/>
      <c r="R162"/>
      <c r="S162" s="1312">
        <f t="shared" si="0"/>
        <v>-0.11</v>
      </c>
      <c r="T162" s="1329">
        <f t="shared" si="2"/>
        <v>-4.1011433476973114E-2</v>
      </c>
      <c r="U162" s="1329">
        <f t="shared" si="2"/>
        <v>-3.7842464481224747E-3</v>
      </c>
      <c r="V162" s="1329">
        <f t="shared" si="2"/>
        <v>-6.2671399758756352E-2</v>
      </c>
      <c r="W162" s="1329">
        <f t="shared" si="2"/>
        <v>6.617007925683982E-3</v>
      </c>
      <c r="X162" s="1330">
        <f t="shared" si="2"/>
        <v>-9.9767450071948871E-2</v>
      </c>
    </row>
    <row r="163" spans="2:24" s="86" customFormat="1" ht="14.1" customHeight="1">
      <c r="B163" s="281" t="s">
        <v>265</v>
      </c>
      <c r="C163" s="217"/>
      <c r="D163" s="217"/>
      <c r="E163" s="217"/>
      <c r="F163" s="217"/>
      <c r="G163" s="217"/>
      <c r="H163" s="33" t="s">
        <v>266</v>
      </c>
      <c r="I163" s="33"/>
      <c r="J163" s="33"/>
      <c r="K163" s="33"/>
      <c r="L163" s="33"/>
      <c r="M163" s="33"/>
      <c r="N163" s="33"/>
      <c r="O163" s="117">
        <f>ROW()</f>
        <v>163</v>
      </c>
      <c r="P163" s="33"/>
      <c r="Q163" s="33"/>
      <c r="R163" s="33"/>
      <c r="S163" s="1312">
        <f t="shared" si="0"/>
        <v>-0.1</v>
      </c>
      <c r="T163" s="1329">
        <f t="shared" ref="T163:X172" si="3">T102/T$142-1</f>
        <v>-3.7301226971386936E-2</v>
      </c>
      <c r="U163" s="1329">
        <f t="shared" si="3"/>
        <v>-3.4405428962986928E-3</v>
      </c>
      <c r="V163" s="1329">
        <f t="shared" si="3"/>
        <v>-5.6876155262975847E-2</v>
      </c>
      <c r="W163" s="1329">
        <f t="shared" si="3"/>
        <v>6.0000098888144393E-3</v>
      </c>
      <c r="X163" s="1330">
        <f t="shared" si="3"/>
        <v>-9.0716562127483691E-2</v>
      </c>
    </row>
    <row r="164" spans="2:24" s="86" customFormat="1" ht="14.1" customHeight="1">
      <c r="B164"/>
      <c r="C164" s="217"/>
      <c r="D164" s="217"/>
      <c r="E164" s="217"/>
      <c r="F164" s="217"/>
      <c r="G164" s="217"/>
      <c r="H164" s="33" t="s">
        <v>267</v>
      </c>
      <c r="I164" s="33"/>
      <c r="J164" s="33"/>
      <c r="K164" s="33"/>
      <c r="L164" s="33"/>
      <c r="M164" s="33"/>
      <c r="N164" s="33"/>
      <c r="O164" s="117">
        <f>ROW()</f>
        <v>164</v>
      </c>
      <c r="P164" s="33"/>
      <c r="Q164" s="33"/>
      <c r="R164" s="33"/>
      <c r="S164" s="1312">
        <f t="shared" si="0"/>
        <v>-0.09</v>
      </c>
      <c r="T164" s="1329">
        <f t="shared" si="3"/>
        <v>-3.3587399675734875E-2</v>
      </c>
      <c r="U164" s="1329">
        <f t="shared" si="3"/>
        <v>-3.0967755949526943E-3</v>
      </c>
      <c r="V164" s="1329">
        <f t="shared" si="3"/>
        <v>-5.1100515938378055E-2</v>
      </c>
      <c r="W164" s="1329">
        <f t="shared" si="3"/>
        <v>5.3867002744614201E-3</v>
      </c>
      <c r="X164" s="1330">
        <f t="shared" si="3"/>
        <v>-8.1662579125632018E-2</v>
      </c>
    </row>
    <row r="165" spans="2:24" s="86" customFormat="1" ht="14.1" customHeight="1">
      <c r="B165" s="308" t="s">
        <v>619</v>
      </c>
      <c r="C165"/>
      <c r="D165"/>
      <c r="E165"/>
      <c r="F165"/>
      <c r="G165"/>
      <c r="H165" s="33" t="s">
        <v>2710</v>
      </c>
      <c r="I165" s="33"/>
      <c r="J165" s="33"/>
      <c r="K165" s="33"/>
      <c r="L165" s="33"/>
      <c r="M165" s="33"/>
      <c r="N165" s="33"/>
      <c r="O165" s="117">
        <f>ROW()</f>
        <v>165</v>
      </c>
      <c r="P165" s="33"/>
      <c r="Q165" s="33"/>
      <c r="R165" s="33"/>
      <c r="S165" s="1312">
        <f t="shared" si="0"/>
        <v>-0.08</v>
      </c>
      <c r="T165" s="1329">
        <f t="shared" si="3"/>
        <v>-2.9869951448217136E-2</v>
      </c>
      <c r="U165" s="1329">
        <f t="shared" si="3"/>
        <v>-2.7529445370618744E-3</v>
      </c>
      <c r="V165" s="1329">
        <f t="shared" si="3"/>
        <v>-4.5344471303363387E-2</v>
      </c>
      <c r="W165" s="1329">
        <f t="shared" si="3"/>
        <v>4.7768712733133878E-3</v>
      </c>
      <c r="X165" s="1330">
        <f t="shared" si="3"/>
        <v>-7.2605269485844004E-2</v>
      </c>
    </row>
    <row r="166" spans="2:24" s="86" customFormat="1" ht="14.1" customHeight="1">
      <c r="B166" s="281" t="s">
        <v>621</v>
      </c>
      <c r="C166"/>
      <c r="D166"/>
      <c r="E166"/>
      <c r="F166"/>
      <c r="G166"/>
      <c r="H166" s="33" t="s">
        <v>620</v>
      </c>
      <c r="I166" s="33"/>
      <c r="J166" s="33"/>
      <c r="K166" s="33"/>
      <c r="L166" s="33"/>
      <c r="M166" s="33"/>
      <c r="N166" s="33"/>
      <c r="O166" s="117">
        <f>ROW()</f>
        <v>166</v>
      </c>
      <c r="P166" s="33"/>
      <c r="Q166" s="33"/>
      <c r="R166" s="33"/>
      <c r="S166" s="1312">
        <f t="shared" si="0"/>
        <v>-7.0000000000000007E-2</v>
      </c>
      <c r="T166" s="1329">
        <f t="shared" si="3"/>
        <v>-2.6148882161942E-2</v>
      </c>
      <c r="U166" s="1329">
        <f t="shared" si="3"/>
        <v>-2.4090497156176172E-3</v>
      </c>
      <c r="V166" s="1329">
        <f t="shared" si="3"/>
        <v>-3.9608010057372689E-2</v>
      </c>
      <c r="W166" s="1329">
        <f t="shared" si="3"/>
        <v>4.1703173700897711E-3</v>
      </c>
      <c r="X166" s="1330">
        <f t="shared" si="3"/>
        <v>-6.3544405855244457E-2</v>
      </c>
    </row>
    <row r="167" spans="2:24" s="86" customFormat="1" ht="14.1" customHeight="1">
      <c r="B167"/>
      <c r="C167"/>
      <c r="D167"/>
      <c r="E167"/>
      <c r="F167"/>
      <c r="G167"/>
      <c r="H167" s="33" t="s">
        <v>804</v>
      </c>
      <c r="I167"/>
      <c r="J167"/>
      <c r="K167"/>
      <c r="L167"/>
      <c r="M167"/>
      <c r="N167"/>
      <c r="O167" s="117">
        <f>ROW()</f>
        <v>167</v>
      </c>
      <c r="P167"/>
      <c r="Q167"/>
      <c r="R167"/>
      <c r="S167" s="1312">
        <f t="shared" si="0"/>
        <v>-0.06</v>
      </c>
      <c r="T167" s="1329">
        <f t="shared" si="3"/>
        <v>-2.2424191704966456E-2</v>
      </c>
      <c r="U167" s="1329">
        <f t="shared" si="3"/>
        <v>-2.0650911236247405E-3</v>
      </c>
      <c r="V167" s="1329">
        <f t="shared" si="3"/>
        <v>-3.3891120091776639E-2</v>
      </c>
      <c r="W167" s="1329">
        <f t="shared" si="3"/>
        <v>3.5668366882690705E-3</v>
      </c>
      <c r="X167" s="1330">
        <f t="shared" si="3"/>
        <v>-5.4479763704514905E-2</v>
      </c>
    </row>
    <row r="168" spans="2:24" s="86" customFormat="1" ht="14.1" customHeight="1">
      <c r="B168" s="308" t="s">
        <v>501</v>
      </c>
      <c r="C168"/>
      <c r="D168"/>
      <c r="E168"/>
      <c r="F168"/>
      <c r="G168"/>
      <c r="H168"/>
      <c r="I168" s="33"/>
      <c r="J168" s="33"/>
      <c r="K168" s="33"/>
      <c r="L168" s="33"/>
      <c r="M168" s="33"/>
      <c r="N168" s="33"/>
      <c r="O168" s="117">
        <f>ROW()</f>
        <v>168</v>
      </c>
      <c r="P168" s="33"/>
      <c r="Q168" s="33"/>
      <c r="R168" s="33"/>
      <c r="S168" s="1312">
        <f t="shared" si="0"/>
        <v>-0.05</v>
      </c>
      <c r="T168" s="1329">
        <f t="shared" si="3"/>
        <v>-1.8695879980320518E-2</v>
      </c>
      <c r="U168" s="1329">
        <f t="shared" si="3"/>
        <v>-1.7210687541003855E-3</v>
      </c>
      <c r="V168" s="1329">
        <f t="shared" si="3"/>
        <v>-2.8193788500691763E-2</v>
      </c>
      <c r="W168" s="1329">
        <f t="shared" si="3"/>
        <v>2.9662323772650101E-3</v>
      </c>
      <c r="X168" s="1330">
        <f t="shared" si="3"/>
        <v>-4.5411119937237343E-2</v>
      </c>
    </row>
    <row r="169" spans="2:24" s="86" customFormat="1" ht="14.1" customHeight="1">
      <c r="B169" s="265" t="s">
        <v>622</v>
      </c>
      <c r="C169"/>
      <c r="D169"/>
      <c r="E169"/>
      <c r="F169"/>
      <c r="G169"/>
      <c r="H169"/>
      <c r="I169"/>
      <c r="J169"/>
      <c r="K169"/>
      <c r="L169"/>
      <c r="M169"/>
      <c r="N169"/>
      <c r="O169" s="117">
        <f>ROW()</f>
        <v>169</v>
      </c>
      <c r="P169"/>
      <c r="Q169"/>
      <c r="R169"/>
      <c r="S169" s="1312">
        <f t="shared" si="0"/>
        <v>-0.04</v>
      </c>
      <c r="T169" s="1329">
        <f t="shared" si="3"/>
        <v>-1.4963946906036418E-2</v>
      </c>
      <c r="U169" s="1329">
        <f t="shared" si="3"/>
        <v>-1.3769826000719076E-3</v>
      </c>
      <c r="V169" s="1329">
        <f t="shared" si="3"/>
        <v>-2.2516001591746049E-2</v>
      </c>
      <c r="W169" s="1329">
        <f t="shared" si="3"/>
        <v>2.3683140358350396E-3</v>
      </c>
      <c r="X169" s="1330">
        <f t="shared" si="3"/>
        <v>-3.6338251523518217E-2</v>
      </c>
    </row>
    <row r="170" spans="2:24" s="86" customFormat="1" ht="14.1" customHeight="1">
      <c r="B170"/>
      <c r="C170"/>
      <c r="D170"/>
      <c r="E170"/>
      <c r="F170"/>
      <c r="G170"/>
      <c r="H170"/>
      <c r="I170"/>
      <c r="J170"/>
      <c r="K170"/>
      <c r="L170"/>
      <c r="M170"/>
      <c r="N170"/>
      <c r="O170" s="117">
        <f>ROW()</f>
        <v>170</v>
      </c>
      <c r="P170"/>
      <c r="Q170"/>
      <c r="R170"/>
      <c r="S170" s="1312">
        <f t="shared" si="0"/>
        <v>-0.03</v>
      </c>
      <c r="T170" s="1329">
        <f t="shared" si="3"/>
        <v>-1.1228392415185029E-2</v>
      </c>
      <c r="U170" s="1329">
        <f t="shared" si="3"/>
        <v>-1.0328326545868682E-3</v>
      </c>
      <c r="V170" s="1329">
        <f t="shared" si="3"/>
        <v>-1.6857744896769056E-2</v>
      </c>
      <c r="W170" s="1329">
        <f t="shared" si="3"/>
        <v>1.7728991650556303E-3</v>
      </c>
      <c r="X170" s="1330">
        <f t="shared" si="3"/>
        <v>-2.7260934168998441E-2</v>
      </c>
    </row>
    <row r="171" spans="2:24" s="86" customFormat="1" ht="14.1" customHeight="1">
      <c r="I171"/>
      <c r="J171"/>
      <c r="K171"/>
      <c r="L171"/>
      <c r="M171"/>
      <c r="N171"/>
      <c r="O171" s="117">
        <f>ROW()</f>
        <v>171</v>
      </c>
      <c r="P171"/>
      <c r="Q171"/>
      <c r="R171"/>
      <c r="S171" s="1312">
        <f t="shared" si="0"/>
        <v>-0.02</v>
      </c>
      <c r="T171" s="1329">
        <f t="shared" si="3"/>
        <v>-7.4892164558933993E-3</v>
      </c>
      <c r="U171" s="1329">
        <f t="shared" si="3"/>
        <v>-6.8861891069815773E-4</v>
      </c>
      <c r="V171" s="1329">
        <f t="shared" si="3"/>
        <v>-1.1219003182437737E-2</v>
      </c>
      <c r="W171" s="1329">
        <f t="shared" si="3"/>
        <v>1.179814643682997E-3</v>
      </c>
      <c r="X171" s="1330">
        <f t="shared" si="3"/>
        <v>-1.8178941030593587E-2</v>
      </c>
    </row>
    <row r="172" spans="2:24" s="86" customFormat="1" ht="14.1" customHeight="1">
      <c r="I172"/>
      <c r="J172"/>
      <c r="K172"/>
      <c r="L172"/>
      <c r="M172"/>
      <c r="N172"/>
      <c r="O172" s="117">
        <f>ROW()</f>
        <v>172</v>
      </c>
      <c r="P172"/>
      <c r="Q172"/>
      <c r="R172"/>
      <c r="S172" s="1312">
        <f t="shared" si="0"/>
        <v>-0.01</v>
      </c>
      <c r="T172" s="1329">
        <f t="shared" si="3"/>
        <v>-3.7464189913852808E-3</v>
      </c>
      <c r="U172" s="1329">
        <f t="shared" si="3"/>
        <v>-3.4434136147498684E-4</v>
      </c>
      <c r="V172" s="1329">
        <f t="shared" si="3"/>
        <v>-5.5997604608432061E-3</v>
      </c>
      <c r="W172" s="1329">
        <f t="shared" si="3"/>
        <v>5.8889821828067568E-4</v>
      </c>
      <c r="X172" s="1330">
        <f t="shared" si="3"/>
        <v>-9.0920414904971381E-3</v>
      </c>
    </row>
    <row r="173" spans="2:24" s="86" customFormat="1" ht="14.1" customHeight="1">
      <c r="I173"/>
      <c r="J173"/>
      <c r="K173"/>
      <c r="L173"/>
      <c r="M173"/>
      <c r="N173"/>
      <c r="O173" s="117">
        <f>ROW()</f>
        <v>173</v>
      </c>
      <c r="P173"/>
      <c r="Q173"/>
      <c r="R173"/>
      <c r="S173" s="1312">
        <f t="shared" si="0"/>
        <v>0.01</v>
      </c>
      <c r="T173" s="1329">
        <f t="shared" ref="T173:X182" si="4">T112/T$142-1</f>
        <v>3.750040524773679E-3</v>
      </c>
      <c r="U173" s="1329">
        <f t="shared" si="4"/>
        <v>3.4440518063250103E-4</v>
      </c>
      <c r="V173" s="1329">
        <f t="shared" si="4"/>
        <v>5.5802956657058367E-3</v>
      </c>
      <c r="W173" s="1329">
        <f t="shared" si="4"/>
        <v>-5.870160405556657E-4</v>
      </c>
      <c r="X173" s="1330">
        <f t="shared" si="4"/>
        <v>9.0974249953403863E-3</v>
      </c>
    </row>
    <row r="174" spans="2:24" s="86" customFormat="1" ht="14.1" customHeight="1">
      <c r="I174"/>
      <c r="J174"/>
      <c r="K174"/>
      <c r="L174"/>
      <c r="M174"/>
      <c r="N174"/>
      <c r="O174" s="117">
        <f>ROW()</f>
        <v>174</v>
      </c>
      <c r="P174"/>
      <c r="Q174"/>
      <c r="R174"/>
      <c r="S174" s="1312">
        <f t="shared" si="0"/>
        <v>0.02</v>
      </c>
      <c r="T174" s="1329">
        <f t="shared" si="4"/>
        <v>7.5037025742723529E-3</v>
      </c>
      <c r="U174" s="1329">
        <f t="shared" si="4"/>
        <v>6.8887418731256034E-4</v>
      </c>
      <c r="V174" s="1329">
        <f t="shared" si="4"/>
        <v>1.1141144725142826E-2</v>
      </c>
      <c r="W174" s="1329">
        <f t="shared" si="4"/>
        <v>-1.1722705893831842E-3</v>
      </c>
      <c r="X174" s="1330">
        <f t="shared" si="4"/>
        <v>1.820048203776814E-2</v>
      </c>
    </row>
    <row r="175" spans="2:24" s="86" customFormat="1" ht="14.1" customHeight="1">
      <c r="I175"/>
      <c r="J175"/>
      <c r="K175"/>
      <c r="L175"/>
      <c r="M175"/>
      <c r="N175"/>
      <c r="O175" s="117">
        <f>ROW()</f>
        <v>175</v>
      </c>
      <c r="P175"/>
      <c r="Q175"/>
      <c r="R175"/>
      <c r="S175" s="1312">
        <f t="shared" ref="S175:S202" si="5">S114</f>
        <v>0.03</v>
      </c>
      <c r="T175" s="1329">
        <f t="shared" si="4"/>
        <v>1.1260986124630445E-2</v>
      </c>
      <c r="U175" s="1329">
        <f t="shared" si="4"/>
        <v>1.0334070269195639E-3</v>
      </c>
      <c r="V175" s="1329">
        <f t="shared" si="4"/>
        <v>1.6682566080116201E-2</v>
      </c>
      <c r="W175" s="1329">
        <f t="shared" si="4"/>
        <v>-1.7558675254913947E-3</v>
      </c>
      <c r="X175" s="1330">
        <f t="shared" si="4"/>
        <v>2.7309427535518127E-2</v>
      </c>
    </row>
    <row r="176" spans="2:24" s="86" customFormat="1" ht="14.1" customHeight="1">
      <c r="I176"/>
      <c r="J176"/>
      <c r="K176"/>
      <c r="L176"/>
      <c r="M176"/>
      <c r="N176"/>
      <c r="O176" s="117">
        <f>ROW()</f>
        <v>176</v>
      </c>
      <c r="P176"/>
      <c r="Q176"/>
      <c r="R176"/>
      <c r="S176" s="1312">
        <f t="shared" si="5"/>
        <v>0.04</v>
      </c>
      <c r="T176" s="1329">
        <f t="shared" si="4"/>
        <v>1.5021891136754784E-2</v>
      </c>
      <c r="U176" s="1329">
        <f t="shared" si="4"/>
        <v>1.3780037063184647E-3</v>
      </c>
      <c r="V176" s="1329">
        <f t="shared" si="4"/>
        <v>2.2204579335118435E-2</v>
      </c>
      <c r="W176" s="1329">
        <f t="shared" si="4"/>
        <v>-2.337892487507931E-3</v>
      </c>
      <c r="X176" s="1330">
        <f t="shared" si="4"/>
        <v>3.6424526526307011E-2</v>
      </c>
    </row>
    <row r="177" spans="2:24" s="86" customFormat="1" ht="14.1" customHeight="1">
      <c r="B177"/>
      <c r="C177"/>
      <c r="D177"/>
      <c r="E177"/>
      <c r="F177"/>
      <c r="G177"/>
      <c r="H177"/>
      <c r="I177"/>
      <c r="J177"/>
      <c r="K177"/>
      <c r="L177"/>
      <c r="M177"/>
      <c r="N177"/>
      <c r="O177" s="117">
        <f>ROW()</f>
        <v>177</v>
      </c>
      <c r="P177"/>
      <c r="Q177"/>
      <c r="R177"/>
      <c r="S177" s="1312">
        <f t="shared" si="5"/>
        <v>0.05</v>
      </c>
      <c r="T177" s="1329">
        <f t="shared" si="4"/>
        <v>1.8786417556295509E-2</v>
      </c>
      <c r="U177" s="1329">
        <f t="shared" si="4"/>
        <v>1.7226642323615593E-3</v>
      </c>
      <c r="V177" s="1329">
        <f t="shared" si="4"/>
        <v>2.7707204787157158E-2</v>
      </c>
      <c r="W177" s="1329">
        <f t="shared" si="4"/>
        <v>-2.9184114807185857E-3</v>
      </c>
      <c r="X177" s="1330">
        <f t="shared" si="4"/>
        <v>4.554605331587358E-2</v>
      </c>
    </row>
    <row r="178" spans="2:24" s="86" customFormat="1" ht="14.1" customHeight="1">
      <c r="B178" s="308" t="s">
        <v>2250</v>
      </c>
      <c r="C178"/>
      <c r="D178"/>
      <c r="E178"/>
      <c r="F178"/>
      <c r="G178"/>
      <c r="H178"/>
      <c r="I178"/>
      <c r="J178"/>
      <c r="K178"/>
      <c r="L178"/>
      <c r="M178"/>
      <c r="N178"/>
      <c r="O178" s="117">
        <f>ROW()</f>
        <v>178</v>
      </c>
      <c r="P178"/>
      <c r="Q178"/>
      <c r="R178"/>
      <c r="S178" s="1312">
        <f t="shared" si="5"/>
        <v>0.06</v>
      </c>
      <c r="T178" s="1329">
        <f t="shared" si="4"/>
        <v>2.255456531361788E-2</v>
      </c>
      <c r="U178" s="1329">
        <f t="shared" si="4"/>
        <v>2.0673886118871554E-3</v>
      </c>
      <c r="V178" s="1329">
        <f t="shared" si="4"/>
        <v>3.3190463415636584E-2</v>
      </c>
      <c r="W178" s="1329">
        <f t="shared" si="4"/>
        <v>-3.4974695351170926E-3</v>
      </c>
      <c r="X178" s="1330">
        <f t="shared" si="4"/>
        <v>5.4674291981838374E-2</v>
      </c>
    </row>
    <row r="179" spans="2:24" s="86" customFormat="1" ht="14.1" customHeight="1">
      <c r="B179"/>
      <c r="C179"/>
      <c r="D179"/>
      <c r="E179"/>
      <c r="F179"/>
      <c r="G179"/>
      <c r="H179"/>
      <c r="I179"/>
      <c r="J179"/>
      <c r="K179"/>
      <c r="L179"/>
      <c r="M179"/>
      <c r="N179"/>
      <c r="O179" s="117">
        <f>ROW()</f>
        <v>179</v>
      </c>
      <c r="P179"/>
      <c r="Q179"/>
      <c r="R179"/>
      <c r="S179" s="1312">
        <f t="shared" si="5"/>
        <v>7.0000000000000007E-2</v>
      </c>
      <c r="T179" s="1329">
        <f t="shared" si="4"/>
        <v>2.6326334323787393E-2</v>
      </c>
      <c r="U179" s="1329">
        <f t="shared" si="4"/>
        <v>2.412176851720238E-3</v>
      </c>
      <c r="V179" s="1329">
        <f t="shared" si="4"/>
        <v>3.8654376872313989E-2</v>
      </c>
      <c r="W179" s="1329">
        <f t="shared" si="4"/>
        <v>-4.0750894253746006E-3</v>
      </c>
      <c r="X179" s="1330">
        <f t="shared" si="4"/>
        <v>6.3809536733964167E-2</v>
      </c>
    </row>
    <row r="180" spans="2:24" s="86" customFormat="1" ht="14.1" customHeight="1">
      <c r="B180" s="3659" t="s">
        <v>2251</v>
      </c>
      <c r="C180" s="3659"/>
      <c r="D180" s="3659"/>
      <c r="E180" s="3659"/>
      <c r="F180" s="3659"/>
      <c r="G180" s="3659"/>
      <c r="H180" s="3659"/>
      <c r="I180" s="3659"/>
      <c r="J180" s="3659"/>
      <c r="K180" s="217"/>
      <c r="L180" s="217"/>
      <c r="M180" s="217"/>
      <c r="N180" s="217"/>
      <c r="O180" s="117">
        <f>ROW()</f>
        <v>180</v>
      </c>
      <c r="P180" s="217"/>
      <c r="Q180" s="217"/>
      <c r="R180"/>
      <c r="S180" s="1312">
        <f t="shared" si="5"/>
        <v>0.08</v>
      </c>
      <c r="T180" s="1329">
        <f t="shared" si="4"/>
        <v>3.0101724486531145E-2</v>
      </c>
      <c r="U180" s="1329">
        <f t="shared" si="4"/>
        <v>2.7570289586720254E-3</v>
      </c>
      <c r="V180" s="1329">
        <f t="shared" si="4"/>
        <v>4.4098967471322803E-2</v>
      </c>
      <c r="W180" s="1329">
        <f t="shared" si="4"/>
        <v>-4.6512704639244395E-3</v>
      </c>
      <c r="X180" s="1330">
        <f t="shared" si="4"/>
        <v>7.2952092122704926E-2</v>
      </c>
    </row>
    <row r="181" spans="2:24" s="86" customFormat="1" ht="14.1" customHeight="1">
      <c r="B181" s="3659"/>
      <c r="C181" s="3659"/>
      <c r="D181" s="3659"/>
      <c r="E181" s="3659"/>
      <c r="F181" s="3659"/>
      <c r="G181" s="3659"/>
      <c r="H181" s="3659"/>
      <c r="I181" s="3659"/>
      <c r="J181" s="3659"/>
      <c r="K181" s="217"/>
      <c r="L181" s="217"/>
      <c r="M181" s="217"/>
      <c r="N181" s="217"/>
      <c r="O181" s="117">
        <f>ROW()</f>
        <v>181</v>
      </c>
      <c r="P181" s="217"/>
      <c r="Q181" s="217"/>
      <c r="R181"/>
      <c r="S181" s="1312">
        <f t="shared" si="5"/>
        <v>0.09</v>
      </c>
      <c r="T181" s="1329">
        <f t="shared" si="4"/>
        <v>3.3880735686220076E-2</v>
      </c>
      <c r="U181" s="1329">
        <f t="shared" si="4"/>
        <v>3.1019449395419674E-3</v>
      </c>
      <c r="V181" s="1329">
        <f t="shared" si="4"/>
        <v>4.9524258179272307E-2</v>
      </c>
      <c r="W181" s="1329">
        <f t="shared" si="4"/>
        <v>-5.2259873786042466E-3</v>
      </c>
      <c r="X181" s="1330">
        <f t="shared" si="4"/>
        <v>8.2102273088967115E-2</v>
      </c>
    </row>
    <row r="182" spans="2:24" s="86" customFormat="1" ht="14.1" customHeight="1">
      <c r="B182" s="3659"/>
      <c r="C182" s="3659"/>
      <c r="D182" s="3659"/>
      <c r="E182" s="3659"/>
      <c r="F182" s="3659"/>
      <c r="G182" s="3659"/>
      <c r="H182" s="3659"/>
      <c r="I182" s="3659"/>
      <c r="J182" s="3659"/>
      <c r="K182" s="217"/>
      <c r="L182" s="217"/>
      <c r="M182" s="217"/>
      <c r="N182" s="217"/>
      <c r="O182" s="117">
        <f>ROW()</f>
        <v>182</v>
      </c>
      <c r="P182" s="217"/>
      <c r="Q182" s="217"/>
      <c r="R182"/>
      <c r="S182" s="1312">
        <f t="shared" si="5"/>
        <v>0.1</v>
      </c>
      <c r="T182" s="1329">
        <f t="shared" si="4"/>
        <v>3.7663367791841429E-2</v>
      </c>
      <c r="U182" s="1329">
        <f t="shared" si="4"/>
        <v>3.4469248011141929E-3</v>
      </c>
      <c r="V182" s="1329">
        <f t="shared" si="4"/>
        <v>5.4930272605400843E-2</v>
      </c>
      <c r="W182" s="1329">
        <f t="shared" si="4"/>
        <v>-5.7991892864790451E-3</v>
      </c>
      <c r="X182" s="1330">
        <f t="shared" si="4"/>
        <v>9.1260404849111909E-2</v>
      </c>
    </row>
    <row r="183" spans="2:24" s="86" customFormat="1" ht="14.1" customHeight="1">
      <c r="B183" s="3659"/>
      <c r="C183" s="3659"/>
      <c r="D183" s="3659"/>
      <c r="E183" s="3659"/>
      <c r="F183" s="3659"/>
      <c r="G183" s="3659"/>
      <c r="H183" s="3659"/>
      <c r="I183" s="3659"/>
      <c r="J183" s="3659"/>
      <c r="K183" s="217"/>
      <c r="L183" s="217"/>
      <c r="M183" s="217"/>
      <c r="N183" s="217"/>
      <c r="O183" s="117">
        <f>ROW()</f>
        <v>183</v>
      </c>
      <c r="P183" s="217"/>
      <c r="Q183" s="217"/>
      <c r="R183"/>
      <c r="S183" s="1312">
        <f t="shared" si="5"/>
        <v>0.11</v>
      </c>
      <c r="T183" s="1329">
        <f t="shared" ref="T183:X192" si="6">T122/T$142-1</f>
        <v>4.1449620656978992E-2</v>
      </c>
      <c r="U183" s="1329">
        <f t="shared" si="6"/>
        <v>3.7919685501610623E-3</v>
      </c>
      <c r="V183" s="1329">
        <f t="shared" si="6"/>
        <v>6.0317034991816287E-2</v>
      </c>
      <c r="W183" s="1329">
        <f t="shared" si="6"/>
        <v>-6.3707987756241868E-3</v>
      </c>
      <c r="X183" s="1330">
        <f t="shared" si="6"/>
        <v>0.10042682261046454</v>
      </c>
    </row>
    <row r="184" spans="2:24" s="86" customFormat="1" ht="14.1" customHeight="1">
      <c r="B184"/>
      <c r="C184"/>
      <c r="D184"/>
      <c r="E184"/>
      <c r="F184"/>
      <c r="G184"/>
      <c r="H184"/>
      <c r="I184"/>
      <c r="J184"/>
      <c r="K184"/>
      <c r="L184"/>
      <c r="M184"/>
      <c r="N184"/>
      <c r="O184" s="117">
        <f>ROW()</f>
        <v>184</v>
      </c>
      <c r="P184"/>
      <c r="Q184"/>
      <c r="R184"/>
      <c r="S184" s="1312">
        <f t="shared" si="5"/>
        <v>0.12</v>
      </c>
      <c r="T184" s="1329">
        <f t="shared" si="6"/>
        <v>4.523949411978534E-2</v>
      </c>
      <c r="U184" s="1329">
        <f t="shared" si="6"/>
        <v>4.1370761934380607E-3</v>
      </c>
      <c r="V184" s="1329">
        <f t="shared" si="6"/>
        <v>6.5684570203798032E-2</v>
      </c>
      <c r="W184" s="1329">
        <f t="shared" si="6"/>
        <v>-6.9407111067559812E-3</v>
      </c>
      <c r="X184" s="1330">
        <f t="shared" si="6"/>
        <v>0.10960187111403941</v>
      </c>
    </row>
    <row r="185" spans="2:24" s="86" customFormat="1" ht="14.1" customHeight="1">
      <c r="B185"/>
      <c r="C185"/>
      <c r="D185"/>
      <c r="E185"/>
      <c r="F185"/>
      <c r="G185"/>
      <c r="H185"/>
      <c r="I185"/>
      <c r="J185"/>
      <c r="K185"/>
      <c r="L185"/>
      <c r="M185"/>
      <c r="N185"/>
      <c r="O185" s="117">
        <f>ROW()</f>
        <v>185</v>
      </c>
      <c r="P185"/>
      <c r="Q185"/>
      <c r="R185"/>
      <c r="S185" s="1312">
        <f t="shared" si="5"/>
        <v>0.13</v>
      </c>
      <c r="T185" s="1329">
        <f t="shared" si="6"/>
        <v>4.9032988002958078E-2</v>
      </c>
      <c r="U185" s="1329">
        <f t="shared" si="6"/>
        <v>4.4822477376884606E-3</v>
      </c>
      <c r="V185" s="1329">
        <f t="shared" si="6"/>
        <v>7.1032903720168905E-2</v>
      </c>
      <c r="W185" s="1329">
        <f t="shared" si="6"/>
        <v>-7.5087935465115718E-3</v>
      </c>
      <c r="X185" s="1330">
        <f t="shared" si="6"/>
        <v>0.11878590400259292</v>
      </c>
    </row>
    <row r="186" spans="2:24" s="86" customFormat="1" ht="14.1" customHeight="1">
      <c r="B186"/>
      <c r="C186"/>
      <c r="D186"/>
      <c r="E186"/>
      <c r="F186"/>
      <c r="G186"/>
      <c r="H186"/>
      <c r="I186"/>
      <c r="J186"/>
      <c r="K186"/>
      <c r="L186"/>
      <c r="M186"/>
      <c r="N186"/>
      <c r="O186" s="117">
        <f>ROW()</f>
        <v>186</v>
      </c>
      <c r="P186"/>
      <c r="Q186"/>
      <c r="R186"/>
      <c r="S186" s="1312">
        <f t="shared" si="5"/>
        <v>0.14000000000000001</v>
      </c>
      <c r="T186" s="1329">
        <f t="shared" si="6"/>
        <v>5.283010211371808E-2</v>
      </c>
      <c r="U186" s="1329">
        <f t="shared" si="6"/>
        <v>4.8274831896448767E-3</v>
      </c>
      <c r="V186" s="1329">
        <f t="shared" si="6"/>
        <v>7.6362061623748589E-2</v>
      </c>
      <c r="W186" s="1329">
        <f t="shared" si="6"/>
        <v>-8.0748848442536714E-3</v>
      </c>
      <c r="X186" s="1330">
        <f t="shared" si="6"/>
        <v>0.12797928301384487</v>
      </c>
    </row>
    <row r="187" spans="2:24" s="86" customFormat="1" ht="14.1" customHeight="1">
      <c r="B187"/>
      <c r="C187"/>
      <c r="D187"/>
      <c r="E187"/>
      <c r="F187"/>
      <c r="G187"/>
      <c r="H187"/>
      <c r="I187"/>
      <c r="J187"/>
      <c r="K187"/>
      <c r="L187"/>
      <c r="M187"/>
      <c r="N187"/>
      <c r="O187" s="117">
        <f>ROW()</f>
        <v>187</v>
      </c>
      <c r="P187"/>
      <c r="Q187"/>
      <c r="R187"/>
      <c r="S187" s="1312">
        <f t="shared" si="5"/>
        <v>0.15</v>
      </c>
      <c r="T187" s="1329">
        <f t="shared" si="6"/>
        <v>5.6630836243790617E-2</v>
      </c>
      <c r="U187" s="1329">
        <f t="shared" si="6"/>
        <v>5.1727825560243801E-3</v>
      </c>
      <c r="V187" s="1329">
        <f t="shared" si="6"/>
        <v>8.1672070591861434E-2</v>
      </c>
      <c r="W187" s="1329">
        <f t="shared" si="6"/>
        <v>-8.6387948640274104E-3</v>
      </c>
      <c r="X187" s="1330">
        <f t="shared" si="6"/>
        <v>0.13718237700030622</v>
      </c>
    </row>
    <row r="188" spans="2:24" s="86" customFormat="1" ht="14.1" customHeight="1">
      <c r="B188"/>
      <c r="C188"/>
      <c r="D188"/>
      <c r="E188"/>
      <c r="F188"/>
      <c r="G188"/>
      <c r="H188"/>
      <c r="I188"/>
      <c r="J188"/>
      <c r="K188"/>
      <c r="L188"/>
      <c r="M188"/>
      <c r="N188"/>
      <c r="O188" s="117">
        <f>ROW()</f>
        <v>188</v>
      </c>
      <c r="P188"/>
      <c r="Q188"/>
      <c r="R188"/>
      <c r="S188" s="1312">
        <f t="shared" si="5"/>
        <v>0.16</v>
      </c>
      <c r="T188" s="1329">
        <f t="shared" si="6"/>
        <v>6.0435190169373598E-2</v>
      </c>
      <c r="U188" s="1329">
        <f t="shared" si="6"/>
        <v>5.518145843527833E-3</v>
      </c>
      <c r="V188" s="1329">
        <f t="shared" si="6"/>
        <v>8.6962957886935977E-2</v>
      </c>
      <c r="W188" s="1329">
        <f t="shared" si="6"/>
        <v>-9.2003043830650721E-3</v>
      </c>
      <c r="X188" s="1330">
        <f t="shared" si="6"/>
        <v>0.14639556077909455</v>
      </c>
    </row>
    <row r="189" spans="2:24" s="86" customFormat="1" ht="14.1" customHeight="1">
      <c r="B189"/>
      <c r="C189"/>
      <c r="D189"/>
      <c r="E189"/>
      <c r="F189"/>
      <c r="G189"/>
      <c r="H189"/>
      <c r="I189"/>
      <c r="J189"/>
      <c r="K189"/>
      <c r="L189"/>
      <c r="M189"/>
      <c r="N189"/>
      <c r="O189" s="117">
        <f>ROW()</f>
        <v>189</v>
      </c>
      <c r="P189"/>
      <c r="Q189"/>
      <c r="R189"/>
      <c r="S189" s="1312">
        <f t="shared" si="5"/>
        <v>0.17</v>
      </c>
      <c r="T189" s="1329">
        <f t="shared" si="6"/>
        <v>6.42431636511267E-2</v>
      </c>
      <c r="U189" s="1329">
        <f t="shared" si="6"/>
        <v>5.863573058843663E-3</v>
      </c>
      <c r="V189" s="1329">
        <f t="shared" si="6"/>
        <v>9.2234751347162414E-2</v>
      </c>
      <c r="W189" s="1329">
        <f t="shared" si="6"/>
        <v>-9.759165067957154E-3</v>
      </c>
      <c r="X189" s="1330">
        <f t="shared" si="6"/>
        <v>0.1556192138169088</v>
      </c>
    </row>
    <row r="190" spans="2:24" s="86" customFormat="1" ht="14.1" customHeight="1">
      <c r="B190"/>
      <c r="C190"/>
      <c r="D190"/>
      <c r="E190"/>
      <c r="F190"/>
      <c r="G190"/>
      <c r="H190"/>
      <c r="I190"/>
      <c r="J190"/>
      <c r="K190"/>
      <c r="L190"/>
      <c r="M190"/>
      <c r="N190"/>
      <c r="O190" s="117">
        <f>ROW()</f>
        <v>190</v>
      </c>
      <c r="P190"/>
      <c r="Q190"/>
      <c r="R190"/>
      <c r="S190" s="1312">
        <f t="shared" si="5"/>
        <v>0.18</v>
      </c>
      <c r="T190" s="1329">
        <f t="shared" si="6"/>
        <v>6.8054756434142494E-2</v>
      </c>
      <c r="U190" s="1329">
        <f t="shared" si="6"/>
        <v>6.2090642086478631E-3</v>
      </c>
      <c r="V190" s="1329">
        <f t="shared" si="6"/>
        <v>9.7487479377229347E-2</v>
      </c>
      <c r="W190" s="1329">
        <f t="shared" si="6"/>
        <v>-1.0315099639086278E-2</v>
      </c>
      <c r="X190" s="1330">
        <f t="shared" si="6"/>
        <v>0.16485371875739063</v>
      </c>
    </row>
    <row r="191" spans="2:24" s="86" customFormat="1" ht="14.1" customHeight="1">
      <c r="B191"/>
      <c r="C191"/>
      <c r="D191"/>
      <c r="E191"/>
      <c r="F191"/>
      <c r="G191"/>
      <c r="H191"/>
      <c r="I191"/>
      <c r="J191"/>
      <c r="K191"/>
      <c r="L191"/>
      <c r="M191"/>
      <c r="N191"/>
      <c r="O191" s="117">
        <f>ROW()</f>
        <v>191</v>
      </c>
      <c r="P191"/>
      <c r="Q191"/>
      <c r="R191"/>
      <c r="S191" s="1312">
        <f t="shared" si="5"/>
        <v>0.19</v>
      </c>
      <c r="T191" s="1329">
        <f t="shared" si="6"/>
        <v>7.1869968247927352E-2</v>
      </c>
      <c r="U191" s="1329">
        <f t="shared" si="6"/>
        <v>6.5546192996017716E-3</v>
      </c>
      <c r="V191" s="1329">
        <f t="shared" si="6"/>
        <v>0.10272117093913313</v>
      </c>
      <c r="W191" s="1329">
        <f t="shared" si="6"/>
        <v>-1.0867802233344492E-2</v>
      </c>
      <c r="X191" s="1330">
        <f t="shared" si="6"/>
        <v>0.17409945980003005</v>
      </c>
    </row>
    <row r="192" spans="2:24" s="86" customFormat="1" ht="14.1" customHeight="1">
      <c r="B192"/>
      <c r="C192"/>
      <c r="D192"/>
      <c r="E192"/>
      <c r="F192"/>
      <c r="G192"/>
      <c r="H192"/>
      <c r="I192"/>
      <c r="J192"/>
      <c r="K192"/>
      <c r="L192"/>
      <c r="M192"/>
      <c r="N192"/>
      <c r="O192" s="117">
        <f>ROW()</f>
        <v>192</v>
      </c>
      <c r="P192"/>
      <c r="Q192"/>
      <c r="R192"/>
      <c r="S192" s="1312">
        <f t="shared" si="5"/>
        <v>0.2</v>
      </c>
      <c r="T192" s="1329">
        <f t="shared" si="6"/>
        <v>7.5688798806382795E-2</v>
      </c>
      <c r="U192" s="1329">
        <f t="shared" si="6"/>
        <v>6.9002383383516275E-3</v>
      </c>
      <c r="V192" s="1329">
        <f t="shared" si="6"/>
        <v>0.1079358555430574</v>
      </c>
      <c r="W192" s="1329">
        <f t="shared" si="6"/>
        <v>-1.1416938974506574E-2</v>
      </c>
      <c r="X192" s="1330">
        <f t="shared" si="6"/>
        <v>0.18335682094192562</v>
      </c>
    </row>
    <row r="193" spans="2:24" s="86" customFormat="1" ht="14.1" customHeight="1">
      <c r="B193"/>
      <c r="C193"/>
      <c r="D193"/>
      <c r="E193"/>
      <c r="F193"/>
      <c r="G193"/>
      <c r="H193"/>
      <c r="I193"/>
      <c r="J193"/>
      <c r="K193"/>
      <c r="L193"/>
      <c r="M193"/>
      <c r="N193"/>
      <c r="O193" s="117">
        <f>ROW()</f>
        <v>193</v>
      </c>
      <c r="P193"/>
      <c r="Q193"/>
      <c r="R193"/>
      <c r="S193" s="1312">
        <f t="shared" si="5"/>
        <v>0.21</v>
      </c>
      <c r="T193" s="1329">
        <f t="shared" ref="T193:X202" si="7">T132/T$142-1</f>
        <v>7.9511247807783958E-2</v>
      </c>
      <c r="U193" s="1329">
        <f t="shared" si="7"/>
        <v>7.2459213315312354E-3</v>
      </c>
      <c r="V193" s="1329">
        <f t="shared" si="7"/>
        <v>0.11313156323833162</v>
      </c>
      <c r="W193" s="1329">
        <f t="shared" si="7"/>
        <v>-1.1962148759695146E-2</v>
      </c>
      <c r="X193" s="1330">
        <f t="shared" si="7"/>
        <v>0.19262618409567511</v>
      </c>
    </row>
    <row r="194" spans="2:24" s="86" customFormat="1" ht="14.1" customHeight="1">
      <c r="B194"/>
      <c r="C194"/>
      <c r="D194"/>
      <c r="E194"/>
      <c r="F194"/>
      <c r="G194"/>
      <c r="H194"/>
      <c r="I194"/>
      <c r="J194"/>
      <c r="K194"/>
      <c r="L194"/>
      <c r="M194"/>
      <c r="N194"/>
      <c r="O194" s="117">
        <f>ROW()</f>
        <v>194</v>
      </c>
      <c r="P194"/>
      <c r="Q194"/>
      <c r="R194"/>
      <c r="S194" s="1312">
        <f t="shared" si="5"/>
        <v>0.22</v>
      </c>
      <c r="T194" s="1329">
        <f t="shared" si="7"/>
        <v>8.3337314934759599E-2</v>
      </c>
      <c r="U194" s="1329">
        <f t="shared" si="7"/>
        <v>7.5916682857586348E-3</v>
      </c>
      <c r="V194" s="1329">
        <f t="shared" si="7"/>
        <v>0.11830832460446006</v>
      </c>
      <c r="W194" s="1329">
        <f t="shared" si="7"/>
        <v>-1.2503044269420838E-2</v>
      </c>
      <c r="X194" s="1330">
        <f t="shared" si="7"/>
        <v>0.20190792709876204</v>
      </c>
    </row>
    <row r="195" spans="2:24" s="86" customFormat="1" ht="14.1" customHeight="1">
      <c r="B195"/>
      <c r="C195"/>
      <c r="D195"/>
      <c r="E195"/>
      <c r="F195"/>
      <c r="G195"/>
      <c r="H195"/>
      <c r="I195"/>
      <c r="J195"/>
      <c r="K195"/>
      <c r="L195"/>
      <c r="M195"/>
      <c r="N195"/>
      <c r="O195" s="117">
        <f>ROW()</f>
        <v>195</v>
      </c>
      <c r="P195"/>
      <c r="Q195"/>
      <c r="R195"/>
      <c r="S195" s="1312">
        <f t="shared" si="5"/>
        <v>0.23</v>
      </c>
      <c r="T195" s="1329">
        <f t="shared" si="7"/>
        <v>8.7166999854271898E-2</v>
      </c>
      <c r="U195" s="1329">
        <f t="shared" si="7"/>
        <v>7.9374792076398748E-3</v>
      </c>
      <c r="V195" s="1329">
        <f t="shared" si="7"/>
        <v>0.12346617074222244</v>
      </c>
      <c r="W195" s="1329">
        <f t="shared" si="7"/>
        <v>-1.3039213207458489E-2</v>
      </c>
      <c r="X195" s="1330">
        <f t="shared" si="7"/>
        <v>0.21120242163180869</v>
      </c>
    </row>
    <row r="196" spans="2:24" s="86" customFormat="1" ht="14.1" customHeight="1">
      <c r="B196"/>
      <c r="C196"/>
      <c r="D196"/>
      <c r="E196"/>
      <c r="F196"/>
      <c r="G196"/>
      <c r="H196"/>
      <c r="I196"/>
      <c r="J196"/>
      <c r="K196"/>
      <c r="L196"/>
      <c r="M196"/>
      <c r="N196"/>
      <c r="O196" s="117">
        <f>ROW()</f>
        <v>196</v>
      </c>
      <c r="P196"/>
      <c r="Q196"/>
      <c r="R196"/>
      <c r="S196" s="1312">
        <f t="shared" si="5"/>
        <v>0.24</v>
      </c>
      <c r="T196" s="1329">
        <f t="shared" si="7"/>
        <v>9.1000302217600471E-2</v>
      </c>
      <c r="U196" s="1329">
        <f t="shared" si="7"/>
        <v>8.2833541037647951E-3</v>
      </c>
      <c r="V196" s="1329">
        <f t="shared" si="7"/>
        <v>0.12860513326485212</v>
      </c>
      <c r="W196" s="1329">
        <f t="shared" si="7"/>
        <v>-1.3570219775490888E-2</v>
      </c>
      <c r="X196" s="1330">
        <f t="shared" si="7"/>
        <v>0.22051003106495615</v>
      </c>
    </row>
    <row r="197" spans="2:24" s="86" customFormat="1" ht="14.1" customHeight="1">
      <c r="B197"/>
      <c r="C197"/>
      <c r="D197"/>
      <c r="E197"/>
      <c r="F197"/>
      <c r="G197"/>
      <c r="H197"/>
      <c r="I197"/>
      <c r="J197"/>
      <c r="K197"/>
      <c r="L197"/>
      <c r="M197"/>
      <c r="N197"/>
      <c r="O197" s="117">
        <f>ROW()</f>
        <v>197</v>
      </c>
      <c r="P197"/>
      <c r="Q197"/>
      <c r="R197"/>
      <c r="S197" s="1312">
        <f t="shared" si="5"/>
        <v>0.25</v>
      </c>
      <c r="T197" s="1329">
        <f t="shared" si="7"/>
        <v>9.4837221660322601E-2</v>
      </c>
      <c r="U197" s="1329">
        <f t="shared" si="7"/>
        <v>8.6292929807094687E-3</v>
      </c>
      <c r="V197" s="1329">
        <f t="shared" si="7"/>
        <v>0.13372524428929311</v>
      </c>
      <c r="W197" s="1329">
        <f t="shared" si="7"/>
        <v>-1.4095606385898352E-2</v>
      </c>
      <c r="X197" s="1330">
        <f t="shared" si="7"/>
        <v>0.22983110825351805</v>
      </c>
    </row>
    <row r="198" spans="2:24" s="86" customFormat="1" ht="14.1" customHeight="1">
      <c r="B198"/>
      <c r="C198"/>
      <c r="D198"/>
      <c r="E198"/>
      <c r="F198"/>
      <c r="G198"/>
      <c r="H198"/>
      <c r="I198"/>
      <c r="J198"/>
      <c r="K198"/>
      <c r="L198"/>
      <c r="M198"/>
      <c r="N198"/>
      <c r="O198" s="117">
        <f>ROW()</f>
        <v>198</v>
      </c>
      <c r="P198"/>
      <c r="Q198"/>
      <c r="R198"/>
      <c r="S198" s="1312">
        <f t="shared" si="5"/>
        <v>0.26</v>
      </c>
      <c r="T198" s="1329">
        <f t="shared" si="7"/>
        <v>9.8677757802293264E-2</v>
      </c>
      <c r="U198" s="1329">
        <f t="shared" si="7"/>
        <v>8.975295845036424E-3</v>
      </c>
      <c r="V198" s="1329">
        <f t="shared" si="7"/>
        <v>0.13882653642751941</v>
      </c>
      <c r="W198" s="1329">
        <f t="shared" si="7"/>
        <v>-1.4614895614256551E-2</v>
      </c>
      <c r="X198" s="1330">
        <f t="shared" si="7"/>
        <v>0.23916599330564003</v>
      </c>
    </row>
    <row r="199" spans="2:24" s="86" customFormat="1" ht="14.1" customHeight="1">
      <c r="B199"/>
      <c r="C199"/>
      <c r="D199"/>
      <c r="E199"/>
      <c r="F199"/>
      <c r="G199"/>
      <c r="H199"/>
      <c r="I199"/>
      <c r="J199"/>
      <c r="K199"/>
      <c r="L199"/>
      <c r="M199"/>
      <c r="N199"/>
      <c r="O199" s="117">
        <f>ROW()</f>
        <v>199</v>
      </c>
      <c r="P199"/>
      <c r="Q199"/>
      <c r="R199"/>
      <c r="S199" s="1312">
        <f t="shared" si="5"/>
        <v>0.27000000000000102</v>
      </c>
      <c r="T199" s="1329">
        <f t="shared" si="7"/>
        <v>0.1025219102476298</v>
      </c>
      <c r="U199" s="1329">
        <f t="shared" si="7"/>
        <v>9.3213627032939783E-3</v>
      </c>
      <c r="V199" s="1329">
        <f t="shared" si="7"/>
        <v>0.14390904277794192</v>
      </c>
      <c r="W199" s="1329">
        <f t="shared" si="7"/>
        <v>-1.5127592391250166E-2</v>
      </c>
      <c r="X199" s="1330">
        <f t="shared" si="7"/>
        <v>0.2485150113463539</v>
      </c>
    </row>
    <row r="200" spans="2:24" s="86" customFormat="1" ht="14.1" customHeight="1">
      <c r="B200"/>
      <c r="C200"/>
      <c r="D200"/>
      <c r="E200"/>
      <c r="F200"/>
      <c r="G200"/>
      <c r="H200"/>
      <c r="I200"/>
      <c r="J200"/>
      <c r="K200"/>
      <c r="L200"/>
      <c r="M200"/>
      <c r="N200"/>
      <c r="O200" s="117">
        <f>ROW()</f>
        <v>200</v>
      </c>
      <c r="P200"/>
      <c r="Q200"/>
      <c r="R200"/>
      <c r="S200" s="1312">
        <f t="shared" si="5"/>
        <v>0.28000000000000103</v>
      </c>
      <c r="T200" s="1329">
        <f t="shared" si="7"/>
        <v>0.1063696785846957</v>
      </c>
      <c r="U200" s="1329">
        <f t="shared" si="7"/>
        <v>9.6674935620169045E-3</v>
      </c>
      <c r="V200" s="1329">
        <f t="shared" si="7"/>
        <v>0.14897279691688015</v>
      </c>
      <c r="W200" s="1329">
        <f t="shared" si="7"/>
        <v>-1.5633186431365687E-2</v>
      </c>
      <c r="X200" s="1330">
        <f t="shared" si="7"/>
        <v>0.25787847030357147</v>
      </c>
    </row>
    <row r="201" spans="2:24" s="86" customFormat="1" ht="14.1" customHeight="1">
      <c r="B201"/>
      <c r="C201"/>
      <c r="D201"/>
      <c r="E201"/>
      <c r="F201"/>
      <c r="G201"/>
      <c r="H201"/>
      <c r="I201"/>
      <c r="J201"/>
      <c r="K201"/>
      <c r="L201"/>
      <c r="M201"/>
      <c r="N201"/>
      <c r="O201" s="117">
        <f>ROW()</f>
        <v>201</v>
      </c>
      <c r="P201"/>
      <c r="Q201"/>
      <c r="R201"/>
      <c r="S201" s="1312">
        <f t="shared" si="5"/>
        <v>0.29000000000000098</v>
      </c>
      <c r="T201" s="1329">
        <f t="shared" si="7"/>
        <v>0.11022106238608198</v>
      </c>
      <c r="U201" s="1329">
        <f t="shared" si="7"/>
        <v>1.0013688427721101E-2</v>
      </c>
      <c r="V201" s="1329">
        <f t="shared" si="7"/>
        <v>0.15401783289011362</v>
      </c>
      <c r="W201" s="1329">
        <f t="shared" si="7"/>
        <v>-1.6131154893442856E-2</v>
      </c>
      <c r="X201" s="1330">
        <f t="shared" si="7"/>
        <v>0.26725665874272364</v>
      </c>
    </row>
    <row r="202" spans="2:24" s="86" customFormat="1" ht="14.1" customHeight="1" thickBot="1">
      <c r="B202"/>
      <c r="C202"/>
      <c r="D202"/>
      <c r="E202"/>
      <c r="F202"/>
      <c r="G202"/>
      <c r="H202"/>
      <c r="I202"/>
      <c r="J202"/>
      <c r="K202"/>
      <c r="L202"/>
      <c r="M202"/>
      <c r="N202"/>
      <c r="O202" s="117">
        <f>ROW()</f>
        <v>202</v>
      </c>
      <c r="P202"/>
      <c r="Q202"/>
      <c r="R202"/>
      <c r="S202" s="1313">
        <f t="shared" si="5"/>
        <v>0.30000000000000099</v>
      </c>
      <c r="T202" s="1331">
        <f t="shared" si="7"/>
        <v>0.11407606120859315</v>
      </c>
      <c r="U202" s="1331">
        <f t="shared" si="7"/>
        <v>1.035994730691292E-2</v>
      </c>
      <c r="V202" s="1331">
        <f t="shared" si="7"/>
        <v>0.15904418520451169</v>
      </c>
      <c r="W202" s="1331">
        <f t="shared" si="7"/>
        <v>-1.6620965265368826E-2</v>
      </c>
      <c r="X202" s="1332">
        <f t="shared" si="7"/>
        <v>0.27664984377751067</v>
      </c>
    </row>
    <row r="203" spans="2:24" s="86" customFormat="1" ht="14.1" customHeight="1">
      <c r="B203"/>
      <c r="C203"/>
      <c r="D203"/>
      <c r="E203"/>
      <c r="F203"/>
      <c r="G203"/>
      <c r="H203"/>
      <c r="I203"/>
      <c r="J203"/>
      <c r="K203"/>
      <c r="L203"/>
      <c r="M203"/>
      <c r="N203"/>
      <c r="O203" s="117">
        <f>ROW()</f>
        <v>203</v>
      </c>
      <c r="P203"/>
      <c r="Q203"/>
      <c r="R203"/>
      <c r="S203" s="470"/>
      <c r="T203" s="470"/>
      <c r="U203" s="1540"/>
      <c r="V203"/>
    </row>
    <row r="204" spans="2:24" s="86" customFormat="1" ht="14.1" customHeight="1">
      <c r="B204"/>
      <c r="C204"/>
      <c r="D204"/>
      <c r="E204"/>
      <c r="F204"/>
      <c r="G204"/>
      <c r="H204"/>
      <c r="I204"/>
      <c r="J204"/>
      <c r="K204"/>
      <c r="L204"/>
      <c r="M204"/>
      <c r="N204"/>
      <c r="O204" s="117">
        <f>ROW()</f>
        <v>204</v>
      </c>
      <c r="P204"/>
      <c r="Q204"/>
      <c r="R204"/>
      <c r="S204" s="470"/>
      <c r="T204" s="470"/>
      <c r="U204" s="1540"/>
      <c r="V204"/>
    </row>
    <row r="205" spans="2:24" s="86" customFormat="1" ht="14.1" customHeight="1">
      <c r="B205"/>
      <c r="C205"/>
      <c r="D205"/>
      <c r="E205"/>
      <c r="F205"/>
      <c r="G205"/>
      <c r="H205"/>
      <c r="I205"/>
      <c r="J205"/>
      <c r="K205"/>
      <c r="L205"/>
      <c r="M205"/>
      <c r="N205"/>
      <c r="O205" s="117">
        <f>ROW()</f>
        <v>205</v>
      </c>
      <c r="P205"/>
      <c r="Q205"/>
      <c r="R205"/>
      <c r="S205" s="470"/>
      <c r="T205" s="470"/>
      <c r="U205" s="1540"/>
      <c r="V205"/>
    </row>
    <row r="206" spans="2:24" s="86" customFormat="1" ht="14.1" customHeight="1">
      <c r="B206"/>
      <c r="C206"/>
      <c r="D206"/>
      <c r="E206"/>
      <c r="F206"/>
      <c r="G206"/>
      <c r="H206"/>
      <c r="I206"/>
      <c r="J206"/>
      <c r="K206"/>
      <c r="L206"/>
      <c r="M206"/>
      <c r="N206"/>
      <c r="O206" s="117">
        <f>ROW()</f>
        <v>206</v>
      </c>
      <c r="P206"/>
      <c r="Q206"/>
      <c r="R206"/>
      <c r="S206" s="470"/>
      <c r="T206" s="470"/>
      <c r="U206" s="1540"/>
      <c r="V206"/>
    </row>
    <row r="207" spans="2:24" s="86" customFormat="1" ht="14.1" customHeight="1">
      <c r="B207"/>
      <c r="C207"/>
      <c r="D207"/>
      <c r="E207"/>
      <c r="F207"/>
      <c r="G207"/>
      <c r="H207"/>
      <c r="I207"/>
      <c r="J207"/>
      <c r="K207"/>
      <c r="L207"/>
      <c r="M207"/>
      <c r="N207"/>
      <c r="O207" s="117">
        <f>ROW()</f>
        <v>207</v>
      </c>
      <c r="P207"/>
      <c r="Q207"/>
      <c r="R207"/>
      <c r="S207" s="470"/>
      <c r="T207" s="470"/>
      <c r="U207" s="1540"/>
      <c r="V207"/>
    </row>
    <row r="208" spans="2:24" s="86" customFormat="1" ht="14.1" customHeight="1">
      <c r="B208"/>
      <c r="C208"/>
      <c r="D208"/>
      <c r="E208"/>
      <c r="F208"/>
      <c r="G208"/>
      <c r="H208"/>
      <c r="I208"/>
      <c r="J208"/>
      <c r="K208"/>
      <c r="L208"/>
      <c r="M208"/>
      <c r="N208"/>
      <c r="O208" s="117">
        <f>ROW()</f>
        <v>208</v>
      </c>
      <c r="P208"/>
      <c r="Q208"/>
      <c r="R208"/>
      <c r="S208" s="470"/>
      <c r="T208" s="470"/>
      <c r="U208" s="1540"/>
      <c r="V208"/>
    </row>
    <row r="209" spans="2:23" s="86" customFormat="1" ht="14.1" customHeight="1">
      <c r="B209"/>
      <c r="C209"/>
      <c r="D209"/>
      <c r="E209"/>
      <c r="F209"/>
      <c r="G209"/>
      <c r="H209"/>
      <c r="I209"/>
      <c r="J209"/>
      <c r="K209"/>
      <c r="L209"/>
      <c r="M209"/>
      <c r="N209"/>
      <c r="O209" s="117">
        <f>ROW()</f>
        <v>209</v>
      </c>
      <c r="P209"/>
      <c r="Q209"/>
      <c r="R209"/>
      <c r="S209" s="470"/>
      <c r="T209" s="470"/>
      <c r="U209" s="1540"/>
      <c r="V209"/>
    </row>
    <row r="210" spans="2:23" s="86" customFormat="1" ht="14.1" customHeight="1">
      <c r="B210"/>
      <c r="C210"/>
      <c r="D210"/>
      <c r="E210"/>
      <c r="F210"/>
      <c r="G210"/>
      <c r="H210"/>
      <c r="I210"/>
      <c r="J210"/>
      <c r="K210"/>
      <c r="L210"/>
      <c r="M210"/>
      <c r="N210"/>
      <c r="O210" s="117">
        <f>ROW()</f>
        <v>210</v>
      </c>
      <c r="P210"/>
      <c r="Q210"/>
      <c r="R210"/>
      <c r="S210" s="470"/>
      <c r="T210" s="470"/>
      <c r="U210" s="1540"/>
      <c r="V210"/>
    </row>
    <row r="211" spans="2:23" s="86" customFormat="1" ht="14.1" customHeight="1">
      <c r="B211"/>
      <c r="C211"/>
      <c r="D211"/>
      <c r="E211"/>
      <c r="F211"/>
      <c r="G211"/>
      <c r="H211"/>
      <c r="I211"/>
      <c r="J211"/>
      <c r="K211"/>
      <c r="L211"/>
      <c r="M211"/>
      <c r="N211"/>
      <c r="O211" s="117">
        <f>ROW()</f>
        <v>211</v>
      </c>
      <c r="P211"/>
      <c r="Q211"/>
      <c r="R211"/>
      <c r="S211" s="470"/>
      <c r="T211" s="470"/>
      <c r="U211" s="1540"/>
      <c r="V211"/>
    </row>
    <row r="212" spans="2:23" s="86" customFormat="1" ht="14.1" customHeight="1">
      <c r="B212"/>
      <c r="C212"/>
      <c r="D212"/>
      <c r="E212"/>
      <c r="F212"/>
      <c r="G212"/>
      <c r="H212"/>
      <c r="I212"/>
      <c r="J212"/>
      <c r="K212"/>
      <c r="L212"/>
      <c r="M212"/>
      <c r="N212"/>
      <c r="O212" s="117">
        <f>ROW()</f>
        <v>212</v>
      </c>
      <c r="P212"/>
      <c r="Q212"/>
      <c r="R212"/>
      <c r="S212" s="470"/>
      <c r="T212" s="470"/>
      <c r="U212" s="1540"/>
      <c r="V212"/>
    </row>
    <row r="213" spans="2:23" s="86" customFormat="1" ht="14.1" customHeight="1">
      <c r="B213"/>
      <c r="C213"/>
      <c r="D213"/>
      <c r="E213"/>
      <c r="F213"/>
      <c r="G213"/>
      <c r="H213"/>
      <c r="I213"/>
      <c r="J213"/>
      <c r="K213"/>
      <c r="L213"/>
      <c r="M213"/>
      <c r="N213"/>
      <c r="O213" s="117">
        <f>ROW()</f>
        <v>213</v>
      </c>
      <c r="P213"/>
      <c r="Q213"/>
      <c r="R213"/>
      <c r="S213" s="470"/>
      <c r="T213" s="470"/>
      <c r="U213" s="1540"/>
      <c r="V213"/>
    </row>
    <row r="214" spans="2:23" ht="14.1" customHeight="1">
      <c r="O214" s="117">
        <f>ROW()</f>
        <v>214</v>
      </c>
    </row>
    <row r="215" spans="2:23" ht="14.1" customHeight="1">
      <c r="B215" s="308" t="s">
        <v>1968</v>
      </c>
      <c r="O215" s="117">
        <f>ROW()</f>
        <v>215</v>
      </c>
      <c r="W215" s="113"/>
    </row>
    <row r="216" spans="2:23" ht="14.1" customHeight="1">
      <c r="D216" s="118" t="s">
        <v>1969</v>
      </c>
      <c r="E216" s="118" t="s">
        <v>1969</v>
      </c>
      <c r="F216" s="118" t="s">
        <v>1969</v>
      </c>
      <c r="O216" s="117">
        <f>ROW()</f>
        <v>216</v>
      </c>
      <c r="W216" s="113"/>
    </row>
    <row r="217" spans="2:23" ht="14.1" customHeight="1">
      <c r="D217">
        <v>-0.7</v>
      </c>
      <c r="E217">
        <v>-0.4</v>
      </c>
      <c r="F217" s="21">
        <v>-1</v>
      </c>
      <c r="O217" s="117">
        <f>ROW()</f>
        <v>217</v>
      </c>
      <c r="W217" s="113"/>
    </row>
    <row r="218" spans="2:23" ht="14.1" customHeight="1">
      <c r="B218" s="118" t="s">
        <v>2570</v>
      </c>
      <c r="D218" s="118" t="s">
        <v>1966</v>
      </c>
      <c r="E218" s="118" t="s">
        <v>1966</v>
      </c>
      <c r="F218" s="118" t="s">
        <v>1966</v>
      </c>
      <c r="O218" s="117">
        <f>ROW()</f>
        <v>218</v>
      </c>
    </row>
    <row r="219" spans="2:23" ht="14.1" customHeight="1">
      <c r="B219">
        <v>0.5</v>
      </c>
      <c r="C219" s="39">
        <f>B219-1</f>
        <v>-0.5</v>
      </c>
      <c r="D219" s="39">
        <f t="shared" ref="D219:D250" si="8">B219^$D$217-1</f>
        <v>0.62450479271247095</v>
      </c>
      <c r="E219" s="39">
        <f>B219^$E$217-1</f>
        <v>0.3195079107728942</v>
      </c>
      <c r="F219" s="39">
        <f>B219^$F$217-1</f>
        <v>1</v>
      </c>
      <c r="O219" s="117">
        <f>ROW()</f>
        <v>219</v>
      </c>
    </row>
    <row r="220" spans="2:23" ht="14.1" customHeight="1">
      <c r="B220">
        <v>0.52</v>
      </c>
      <c r="C220" s="39">
        <f t="shared" ref="C220:C283" si="9">B220-1</f>
        <v>-0.48</v>
      </c>
      <c r="D220" s="39">
        <f t="shared" si="8"/>
        <v>0.58051149740665897</v>
      </c>
      <c r="E220" s="39">
        <f t="shared" ref="E220:E283" si="10">B220^$E$217-1</f>
        <v>0.29896862858601247</v>
      </c>
      <c r="F220" s="39">
        <f t="shared" ref="F220:F283" si="11">B220^$F$217-1</f>
        <v>0.92307692307692291</v>
      </c>
      <c r="O220" s="117">
        <f>ROW()</f>
        <v>220</v>
      </c>
    </row>
    <row r="221" spans="2:23" ht="14.1" customHeight="1">
      <c r="B221">
        <v>0.54</v>
      </c>
      <c r="C221" s="39">
        <f t="shared" si="9"/>
        <v>-0.45999999999999996</v>
      </c>
      <c r="D221" s="39">
        <f t="shared" si="8"/>
        <v>0.53930389437663351</v>
      </c>
      <c r="E221" s="39">
        <f t="shared" si="10"/>
        <v>0.27950649879125833</v>
      </c>
      <c r="F221" s="39">
        <f t="shared" si="11"/>
        <v>0.85185185185185164</v>
      </c>
      <c r="O221" s="117">
        <f>ROW()</f>
        <v>221</v>
      </c>
    </row>
    <row r="222" spans="2:23" ht="14.1" customHeight="1">
      <c r="B222">
        <v>0.56000000000000005</v>
      </c>
      <c r="C222" s="39">
        <f t="shared" si="9"/>
        <v>-0.43999999999999995</v>
      </c>
      <c r="D222" s="39">
        <f t="shared" si="8"/>
        <v>0.50061188261952716</v>
      </c>
      <c r="E222" s="39">
        <f t="shared" si="10"/>
        <v>0.26102817246499632</v>
      </c>
      <c r="F222" s="39">
        <f t="shared" si="11"/>
        <v>0.78571428571428559</v>
      </c>
      <c r="O222" s="117">
        <f>ROW()</f>
        <v>222</v>
      </c>
    </row>
    <row r="223" spans="2:23" ht="14.1" customHeight="1">
      <c r="B223">
        <v>0.57999999999999996</v>
      </c>
      <c r="C223" s="39">
        <f t="shared" si="9"/>
        <v>-0.42000000000000004</v>
      </c>
      <c r="D223" s="39">
        <f t="shared" si="8"/>
        <v>0.46420000670422823</v>
      </c>
      <c r="E223" s="39">
        <f t="shared" si="10"/>
        <v>0.24345136258694344</v>
      </c>
      <c r="F223" s="39">
        <f t="shared" si="11"/>
        <v>0.72413793103448287</v>
      </c>
      <c r="O223" s="117">
        <f>ROW()</f>
        <v>223</v>
      </c>
    </row>
    <row r="224" spans="2:23" ht="14.1" customHeight="1">
      <c r="B224">
        <v>0.6</v>
      </c>
      <c r="C224" s="39">
        <f t="shared" si="9"/>
        <v>-0.4</v>
      </c>
      <c r="D224" s="39">
        <f t="shared" si="8"/>
        <v>0.42986200074015812</v>
      </c>
      <c r="E224" s="39">
        <f t="shared" si="10"/>
        <v>0.22670320469638883</v>
      </c>
      <c r="F224" s="39">
        <f t="shared" si="11"/>
        <v>0.66666666666666674</v>
      </c>
      <c r="O224" s="117">
        <f>ROW()</f>
        <v>224</v>
      </c>
    </row>
    <row r="225" spans="2:15" ht="14.1" customHeight="1">
      <c r="B225">
        <v>0.62</v>
      </c>
      <c r="C225" s="39">
        <f t="shared" si="9"/>
        <v>-0.38</v>
      </c>
      <c r="D225" s="39">
        <f t="shared" si="8"/>
        <v>0.39741634062581865</v>
      </c>
      <c r="E225" s="39">
        <f t="shared" si="10"/>
        <v>0.21071890600979359</v>
      </c>
      <c r="F225" s="39">
        <f t="shared" si="11"/>
        <v>0.61290322580645173</v>
      </c>
      <c r="O225" s="117">
        <f>ROW()</f>
        <v>225</v>
      </c>
    </row>
    <row r="226" spans="2:15" ht="14.1" customHeight="1">
      <c r="B226">
        <v>0.64</v>
      </c>
      <c r="C226" s="39">
        <f t="shared" si="9"/>
        <v>-0.36</v>
      </c>
      <c r="D226" s="39">
        <f t="shared" si="8"/>
        <v>0.36670259242909764</v>
      </c>
      <c r="E226" s="39">
        <f t="shared" si="10"/>
        <v>0.1954406247375462</v>
      </c>
      <c r="F226" s="39">
        <f t="shared" si="11"/>
        <v>0.5625</v>
      </c>
      <c r="O226" s="117">
        <f>ROW()</f>
        <v>226</v>
      </c>
    </row>
    <row r="227" spans="2:15" ht="14.1" customHeight="1">
      <c r="B227">
        <v>0.66</v>
      </c>
      <c r="C227" s="39">
        <f t="shared" si="9"/>
        <v>-0.33999999999999997</v>
      </c>
      <c r="D227" s="39">
        <f t="shared" si="8"/>
        <v>0.33757839448999349</v>
      </c>
      <c r="E227" s="39">
        <f t="shared" si="10"/>
        <v>0.18081653452824287</v>
      </c>
      <c r="F227" s="39">
        <f t="shared" si="11"/>
        <v>0.51515151515151514</v>
      </c>
      <c r="O227" s="117">
        <f>ROW()</f>
        <v>227</v>
      </c>
    </row>
    <row r="228" spans="2:15" ht="14.1" customHeight="1">
      <c r="B228">
        <v>0.68</v>
      </c>
      <c r="C228" s="39">
        <f t="shared" si="9"/>
        <v>-0.31999999999999995</v>
      </c>
      <c r="D228" s="39">
        <f t="shared" si="8"/>
        <v>0.30991694778829082</v>
      </c>
      <c r="E228" s="39">
        <f t="shared" si="10"/>
        <v>0.16680003887003436</v>
      </c>
      <c r="F228" s="39">
        <f t="shared" si="11"/>
        <v>0.47058823529411753</v>
      </c>
      <c r="O228" s="117">
        <f>ROW()</f>
        <v>228</v>
      </c>
    </row>
    <row r="229" spans="2:15" ht="14.1" customHeight="1">
      <c r="B229">
        <v>0.7</v>
      </c>
      <c r="C229" s="39">
        <f t="shared" si="9"/>
        <v>-0.30000000000000004</v>
      </c>
      <c r="D229" s="39">
        <f t="shared" si="8"/>
        <v>0.28360491684377109</v>
      </c>
      <c r="E229" s="39">
        <f t="shared" si="10"/>
        <v>0.15334910778185318</v>
      </c>
      <c r="F229" s="39">
        <f t="shared" si="11"/>
        <v>0.4285714285714286</v>
      </c>
      <c r="O229" s="117">
        <f>ROW()</f>
        <v>229</v>
      </c>
    </row>
    <row r="230" spans="2:15" ht="14.1" customHeight="1">
      <c r="B230">
        <v>0.72</v>
      </c>
      <c r="C230" s="39">
        <f t="shared" si="9"/>
        <v>-0.28000000000000003</v>
      </c>
      <c r="D230" s="39">
        <f t="shared" si="8"/>
        <v>0.25854066441188706</v>
      </c>
      <c r="E230" s="39">
        <f t="shared" si="10"/>
        <v>0.14042571486438615</v>
      </c>
      <c r="F230" s="39">
        <f t="shared" si="11"/>
        <v>0.38888888888888884</v>
      </c>
      <c r="O230" s="117">
        <f>ROW()</f>
        <v>230</v>
      </c>
    </row>
    <row r="231" spans="2:15" ht="14.1" customHeight="1">
      <c r="B231">
        <v>0.74</v>
      </c>
      <c r="C231" s="39">
        <f t="shared" si="9"/>
        <v>-0.26</v>
      </c>
      <c r="D231" s="39">
        <f t="shared" si="8"/>
        <v>0.23463275927531857</v>
      </c>
      <c r="E231" s="39">
        <f t="shared" si="10"/>
        <v>0.12799535720408217</v>
      </c>
      <c r="F231" s="39">
        <f t="shared" si="11"/>
        <v>0.35135135135135132</v>
      </c>
      <c r="O231" s="117">
        <f>ROW()</f>
        <v>231</v>
      </c>
    </row>
    <row r="232" spans="2:15" ht="14.1" customHeight="1">
      <c r="B232">
        <v>0.76</v>
      </c>
      <c r="C232" s="39">
        <f t="shared" si="9"/>
        <v>-0.24</v>
      </c>
      <c r="D232" s="39">
        <f t="shared" si="8"/>
        <v>0.21179870878232188</v>
      </c>
      <c r="E232" s="39">
        <f t="shared" si="10"/>
        <v>0.11602664406094187</v>
      </c>
      <c r="F232" s="39">
        <f t="shared" si="11"/>
        <v>0.31578947368421062</v>
      </c>
      <c r="O232" s="117">
        <f>ROW()</f>
        <v>232</v>
      </c>
    </row>
    <row r="233" spans="2:15" ht="14.1" customHeight="1">
      <c r="B233">
        <v>0.78</v>
      </c>
      <c r="C233" s="39">
        <f t="shared" si="9"/>
        <v>-0.21999999999999997</v>
      </c>
      <c r="D233" s="39">
        <f t="shared" si="8"/>
        <v>0.18996387736702403</v>
      </c>
      <c r="E233" s="39">
        <f t="shared" si="10"/>
        <v>0.1044909429619223</v>
      </c>
      <c r="F233" s="39">
        <f t="shared" si="11"/>
        <v>0.28205128205128194</v>
      </c>
      <c r="O233" s="117">
        <f>ROW()</f>
        <v>233</v>
      </c>
    </row>
    <row r="234" spans="2:15" ht="14.1" customHeight="1">
      <c r="B234">
        <v>0.8</v>
      </c>
      <c r="C234" s="39">
        <f t="shared" si="9"/>
        <v>-0.19999999999999996</v>
      </c>
      <c r="D234" s="39">
        <f t="shared" si="8"/>
        <v>0.16906055977827661</v>
      </c>
      <c r="E234" s="39">
        <f t="shared" si="10"/>
        <v>9.3362073943278112E-2</v>
      </c>
      <c r="F234" s="39">
        <f t="shared" si="11"/>
        <v>0.25</v>
      </c>
      <c r="O234" s="117">
        <f>ROW()</f>
        <v>234</v>
      </c>
    </row>
    <row r="235" spans="2:15" ht="14.1" customHeight="1">
      <c r="B235">
        <v>0.82</v>
      </c>
      <c r="C235" s="39">
        <f t="shared" si="9"/>
        <v>-0.18000000000000005</v>
      </c>
      <c r="D235" s="39">
        <f t="shared" si="8"/>
        <v>0.14902718363939571</v>
      </c>
      <c r="E235" s="39">
        <f t="shared" si="10"/>
        <v>8.2616044368670538E-2</v>
      </c>
      <c r="F235" s="39">
        <f t="shared" si="11"/>
        <v>0.21951219512195119</v>
      </c>
      <c r="O235" s="117">
        <f>ROW()</f>
        <v>235</v>
      </c>
    </row>
    <row r="236" spans="2:15" ht="14.1" customHeight="1">
      <c r="B236">
        <v>0.84</v>
      </c>
      <c r="C236" s="39">
        <f t="shared" si="9"/>
        <v>-0.16000000000000003</v>
      </c>
      <c r="D236" s="39">
        <f t="shared" si="8"/>
        <v>0.12980762063100393</v>
      </c>
      <c r="E236" s="39">
        <f t="shared" si="10"/>
        <v>7.2230818094147775E-2</v>
      </c>
      <c r="F236" s="39">
        <f t="shared" si="11"/>
        <v>0.19047619047619047</v>
      </c>
      <c r="O236" s="117">
        <f>ROW()</f>
        <v>236</v>
      </c>
    </row>
    <row r="237" spans="2:15" ht="14.1" customHeight="1">
      <c r="B237">
        <v>0.86</v>
      </c>
      <c r="C237" s="39">
        <f t="shared" si="9"/>
        <v>-0.14000000000000001</v>
      </c>
      <c r="D237" s="39">
        <f t="shared" si="8"/>
        <v>0.11135058931079755</v>
      </c>
      <c r="E237" s="39">
        <f t="shared" si="10"/>
        <v>6.2186113830852818E-2</v>
      </c>
      <c r="F237" s="39">
        <f t="shared" si="11"/>
        <v>0.16279069767441867</v>
      </c>
      <c r="O237" s="117">
        <f>ROW()</f>
        <v>237</v>
      </c>
    </row>
    <row r="238" spans="2:15" ht="14.1" customHeight="1">
      <c r="B238">
        <v>0.88</v>
      </c>
      <c r="C238" s="39">
        <f t="shared" si="9"/>
        <v>-0.12</v>
      </c>
      <c r="D238" s="39">
        <f t="shared" si="8"/>
        <v>9.3609135567178203E-2</v>
      </c>
      <c r="E238" s="39">
        <f t="shared" si="10"/>
        <v>5.2463228428471842E-2</v>
      </c>
      <c r="F238" s="39">
        <f t="shared" si="11"/>
        <v>0.13636363636363646</v>
      </c>
      <c r="O238" s="117">
        <f>ROW()</f>
        <v>238</v>
      </c>
    </row>
    <row r="239" spans="2:15" ht="14.1" customHeight="1">
      <c r="B239">
        <v>0.9</v>
      </c>
      <c r="C239" s="39">
        <f t="shared" si="9"/>
        <v>-9.9999999999999978E-2</v>
      </c>
      <c r="D239" s="39">
        <f t="shared" si="8"/>
        <v>7.6540179108070427E-2</v>
      </c>
      <c r="E239" s="39">
        <f t="shared" si="10"/>
        <v>4.3044881510632793E-2</v>
      </c>
      <c r="F239" s="39">
        <f t="shared" si="11"/>
        <v>0.11111111111111116</v>
      </c>
      <c r="O239" s="117">
        <f>ROW()</f>
        <v>239</v>
      </c>
    </row>
    <row r="240" spans="2:15" ht="14.1" customHeight="1">
      <c r="B240">
        <v>0.92</v>
      </c>
      <c r="C240" s="39">
        <f t="shared" si="9"/>
        <v>-7.999999999999996E-2</v>
      </c>
      <c r="D240" s="39">
        <f t="shared" si="8"/>
        <v>6.0104116334333879E-2</v>
      </c>
      <c r="E240" s="39">
        <f t="shared" si="10"/>
        <v>3.391507847147901E-2</v>
      </c>
      <c r="F240" s="39">
        <f t="shared" si="11"/>
        <v>8.6956521739130377E-2</v>
      </c>
      <c r="O240" s="117">
        <f>ROW()</f>
        <v>240</v>
      </c>
    </row>
    <row r="241" spans="2:23" ht="14.1" customHeight="1">
      <c r="B241">
        <v>0.94</v>
      </c>
      <c r="C241" s="39">
        <f t="shared" si="9"/>
        <v>-6.0000000000000053E-2</v>
      </c>
      <c r="D241" s="39">
        <f t="shared" si="8"/>
        <v>4.4264471533470573E-2</v>
      </c>
      <c r="E241" s="39">
        <f t="shared" si="10"/>
        <v>2.5058989316653957E-2</v>
      </c>
      <c r="F241" s="39">
        <f t="shared" si="11"/>
        <v>6.3829787234042534E-2</v>
      </c>
      <c r="O241" s="117">
        <f>ROW()</f>
        <v>241</v>
      </c>
    </row>
    <row r="242" spans="2:23" ht="14.1" customHeight="1">
      <c r="B242">
        <v>0.96</v>
      </c>
      <c r="C242" s="39">
        <f t="shared" si="9"/>
        <v>-4.0000000000000036E-2</v>
      </c>
      <c r="D242" s="39">
        <f t="shared" si="8"/>
        <v>2.8987589627160748E-2</v>
      </c>
      <c r="E242" s="39">
        <f t="shared" si="10"/>
        <v>1.6462841222445457E-2</v>
      </c>
      <c r="F242" s="39">
        <f t="shared" si="11"/>
        <v>4.1666666666666741E-2</v>
      </c>
      <c r="O242" s="117">
        <f>ROW()</f>
        <v>242</v>
      </c>
    </row>
    <row r="243" spans="2:23" ht="14.1" customHeight="1">
      <c r="B243">
        <v>0.98</v>
      </c>
      <c r="C243" s="39">
        <f t="shared" si="9"/>
        <v>-2.0000000000000018E-2</v>
      </c>
      <c r="D243" s="39">
        <f t="shared" si="8"/>
        <v>1.4242364772837357E-2</v>
      </c>
      <c r="E243" s="39">
        <f t="shared" si="10"/>
        <v>8.1138230099973008E-3</v>
      </c>
      <c r="F243" s="39">
        <f t="shared" si="11"/>
        <v>2.0408163265306145E-2</v>
      </c>
      <c r="O243" s="117">
        <f>ROW()</f>
        <v>243</v>
      </c>
    </row>
    <row r="244" spans="2:23" ht="14.1" customHeight="1">
      <c r="B244">
        <v>1</v>
      </c>
      <c r="C244" s="39">
        <f t="shared" si="9"/>
        <v>0</v>
      </c>
      <c r="D244" s="39">
        <f t="shared" si="8"/>
        <v>0</v>
      </c>
      <c r="E244" s="39">
        <f t="shared" si="10"/>
        <v>0</v>
      </c>
      <c r="F244" s="39">
        <f t="shared" si="11"/>
        <v>0</v>
      </c>
      <c r="O244" s="117">
        <f>ROW()</f>
        <v>244</v>
      </c>
    </row>
    <row r="245" spans="2:23" ht="14.1" customHeight="1">
      <c r="B245">
        <v>1.02</v>
      </c>
      <c r="C245" s="39">
        <f t="shared" si="9"/>
        <v>2.0000000000000018E-2</v>
      </c>
      <c r="D245" s="39">
        <f t="shared" si="8"/>
        <v>-1.376620620819724E-2</v>
      </c>
      <c r="E245" s="39">
        <f t="shared" si="10"/>
        <v>-7.8897620626887655E-3</v>
      </c>
      <c r="F245" s="39">
        <f t="shared" si="11"/>
        <v>-1.9607843137254943E-2</v>
      </c>
      <c r="O245" s="117">
        <f>ROW()</f>
        <v>245</v>
      </c>
      <c r="W245" s="113"/>
    </row>
    <row r="246" spans="2:23" ht="14.1" customHeight="1">
      <c r="B246">
        <v>1.04</v>
      </c>
      <c r="C246" s="39">
        <f t="shared" si="9"/>
        <v>4.0000000000000036E-2</v>
      </c>
      <c r="D246" s="39">
        <f t="shared" si="8"/>
        <v>-2.7081049870191776E-2</v>
      </c>
      <c r="E246" s="39">
        <f t="shared" si="10"/>
        <v>-1.556586513744429E-2</v>
      </c>
      <c r="F246" s="39">
        <f t="shared" si="11"/>
        <v>-3.8461538461538547E-2</v>
      </c>
      <c r="O246" s="117">
        <f>ROW()</f>
        <v>246</v>
      </c>
      <c r="W246" s="113"/>
    </row>
    <row r="247" spans="2:23" ht="14.1" customHeight="1">
      <c r="B247">
        <v>1.06</v>
      </c>
      <c r="C247" s="39">
        <f t="shared" si="9"/>
        <v>6.0000000000000053E-2</v>
      </c>
      <c r="D247" s="39">
        <f t="shared" si="8"/>
        <v>-3.996759097282454E-2</v>
      </c>
      <c r="E247" s="39">
        <f t="shared" si="10"/>
        <v>-2.3038040034526475E-2</v>
      </c>
      <c r="F247" s="39">
        <f t="shared" si="11"/>
        <v>-5.6603773584905759E-2</v>
      </c>
      <c r="O247" s="117">
        <f>ROW()</f>
        <v>247</v>
      </c>
      <c r="W247" s="113"/>
    </row>
    <row r="248" spans="2:23" ht="14.1" customHeight="1">
      <c r="B248">
        <v>1.08</v>
      </c>
      <c r="C248" s="39">
        <f t="shared" si="9"/>
        <v>8.0000000000000071E-2</v>
      </c>
      <c r="D248" s="39">
        <f t="shared" si="8"/>
        <v>-5.2447304999067135E-2</v>
      </c>
      <c r="E248" s="39">
        <f t="shared" si="10"/>
        <v>-3.0315401412186582E-2</v>
      </c>
      <c r="F248" s="39">
        <f t="shared" si="11"/>
        <v>-7.4074074074074181E-2</v>
      </c>
      <c r="O248" s="117">
        <f>ROW()</f>
        <v>248</v>
      </c>
      <c r="W248" s="113"/>
    </row>
    <row r="249" spans="2:23" ht="14.1" customHeight="1">
      <c r="B249">
        <v>1.1000000000000001</v>
      </c>
      <c r="C249" s="39">
        <f t="shared" si="9"/>
        <v>0.10000000000000009</v>
      </c>
      <c r="D249" s="39">
        <f t="shared" si="8"/>
        <v>-6.4540218708095343E-2</v>
      </c>
      <c r="E249" s="39">
        <f t="shared" si="10"/>
        <v>-3.7406497343832168E-2</v>
      </c>
      <c r="F249" s="39">
        <f t="shared" si="11"/>
        <v>-9.0909090909090939E-2</v>
      </c>
      <c r="O249" s="117">
        <f>ROW()</f>
        <v>249</v>
      </c>
      <c r="W249" s="113"/>
    </row>
    <row r="250" spans="2:23" ht="14.1" customHeight="1">
      <c r="B250">
        <v>1.1200000000000001</v>
      </c>
      <c r="C250" s="39">
        <f t="shared" si="9"/>
        <v>0.12000000000000011</v>
      </c>
      <c r="D250" s="39">
        <f t="shared" si="8"/>
        <v>-7.6265032056985871E-2</v>
      </c>
      <c r="E250" s="39">
        <f t="shared" si="10"/>
        <v>-4.4319354079236928E-2</v>
      </c>
      <c r="F250" s="39">
        <f t="shared" si="11"/>
        <v>-0.10714285714285721</v>
      </c>
      <c r="O250" s="117">
        <f>ROW()</f>
        <v>250</v>
      </c>
      <c r="W250" s="113"/>
    </row>
    <row r="251" spans="2:23" ht="14.1" customHeight="1">
      <c r="B251">
        <v>1.1399999999999999</v>
      </c>
      <c r="C251" s="39">
        <f t="shared" si="9"/>
        <v>0.1399999999999999</v>
      </c>
      <c r="D251" s="39">
        <f t="shared" ref="D251:D282" si="12">B251^$D$217-1</f>
        <v>-8.7639227897406746E-2</v>
      </c>
      <c r="E251" s="39">
        <f t="shared" si="10"/>
        <v>-5.1061516542330487E-2</v>
      </c>
      <c r="F251" s="39">
        <f t="shared" si="11"/>
        <v>-0.12280701754385959</v>
      </c>
      <c r="O251" s="117">
        <f>ROW()</f>
        <v>251</v>
      </c>
      <c r="W251" s="113"/>
    </row>
    <row r="252" spans="2:23" ht="14.1" customHeight="1">
      <c r="B252">
        <v>1.1599999999999999</v>
      </c>
      <c r="C252" s="39">
        <f t="shared" si="9"/>
        <v>0.15999999999999992</v>
      </c>
      <c r="D252" s="39">
        <f t="shared" si="12"/>
        <v>-9.8679170863250287E-2</v>
      </c>
      <c r="E252" s="39">
        <f t="shared" si="10"/>
        <v>-5.7640085038520805E-2</v>
      </c>
      <c r="F252" s="39">
        <f t="shared" si="11"/>
        <v>-0.13793103448275856</v>
      </c>
      <c r="O252" s="117">
        <f>ROW()</f>
        <v>252</v>
      </c>
      <c r="W252" s="113"/>
    </row>
    <row r="253" spans="2:23" ht="14.1" customHeight="1">
      <c r="B253">
        <v>1.18</v>
      </c>
      <c r="C253" s="39">
        <f t="shared" si="9"/>
        <v>0.17999999999999994</v>
      </c>
      <c r="D253" s="39">
        <f t="shared" si="12"/>
        <v>-0.10940019667987422</v>
      </c>
      <c r="E253" s="39">
        <f t="shared" si="10"/>
        <v>-6.4061748584860689E-2</v>
      </c>
      <c r="F253" s="39">
        <f t="shared" si="11"/>
        <v>-0.15254237288135586</v>
      </c>
      <c r="O253" s="117">
        <f>ROW()</f>
        <v>253</v>
      </c>
      <c r="W253" s="113"/>
    </row>
    <row r="254" spans="2:23" ht="14.1" customHeight="1">
      <c r="B254">
        <v>1.2</v>
      </c>
      <c r="C254" s="39">
        <f t="shared" si="9"/>
        <v>0.19999999999999996</v>
      </c>
      <c r="D254" s="39">
        <f t="shared" si="12"/>
        <v>-0.11981669296728481</v>
      </c>
      <c r="E254" s="39">
        <f t="shared" si="10"/>
        <v>-7.0332815225143785E-2</v>
      </c>
      <c r="F254" s="39">
        <f t="shared" si="11"/>
        <v>-0.16666666666666663</v>
      </c>
      <c r="O254" s="117">
        <f>ROW()</f>
        <v>254</v>
      </c>
      <c r="W254" s="113"/>
    </row>
    <row r="255" spans="2:23" ht="14.1" customHeight="1">
      <c r="B255">
        <v>1.22</v>
      </c>
      <c r="C255" s="39">
        <f t="shared" si="9"/>
        <v>0.21999999999999997</v>
      </c>
      <c r="D255" s="39">
        <f t="shared" si="12"/>
        <v>-0.12994217247388684</v>
      </c>
      <c r="E255" s="39">
        <f t="shared" si="10"/>
        <v>-7.6459239647859389E-2</v>
      </c>
      <c r="F255" s="39">
        <f t="shared" si="11"/>
        <v>-0.18032786885245899</v>
      </c>
      <c r="O255" s="117">
        <f>ROW()</f>
        <v>255</v>
      </c>
      <c r="W255" s="113"/>
    </row>
    <row r="256" spans="2:23" ht="14.1" customHeight="1">
      <c r="B256">
        <v>1.24</v>
      </c>
      <c r="C256" s="39">
        <f t="shared" si="9"/>
        <v>0.24</v>
      </c>
      <c r="D256" s="39">
        <f t="shared" si="12"/>
        <v>-0.13978933956081341</v>
      </c>
      <c r="E256" s="39">
        <f t="shared" si="10"/>
        <v>-8.2446648386805266E-2</v>
      </c>
      <c r="F256" s="39">
        <f t="shared" si="11"/>
        <v>-0.19354838709677413</v>
      </c>
      <c r="O256" s="117">
        <f>ROW()</f>
        <v>256</v>
      </c>
      <c r="W256" s="113"/>
    </row>
    <row r="257" spans="2:23" ht="14.1" customHeight="1">
      <c r="B257">
        <v>1.26</v>
      </c>
      <c r="C257" s="39">
        <f t="shared" si="9"/>
        <v>0.26</v>
      </c>
      <c r="D257" s="39">
        <f t="shared" si="12"/>
        <v>-0.14937015065638293</v>
      </c>
      <c r="E257" s="39">
        <f t="shared" si="10"/>
        <v>-8.8300362851125636E-2</v>
      </c>
      <c r="F257" s="39">
        <f t="shared" si="11"/>
        <v>-0.20634920634920639</v>
      </c>
      <c r="O257" s="117">
        <f>ROW()</f>
        <v>257</v>
      </c>
      <c r="W257" s="113"/>
    </row>
    <row r="258" spans="2:23" ht="14.1" customHeight="1">
      <c r="B258">
        <v>1.28</v>
      </c>
      <c r="C258" s="39">
        <f t="shared" si="9"/>
        <v>0.28000000000000003</v>
      </c>
      <c r="D258" s="39">
        <f t="shared" si="12"/>
        <v>-0.15869586931345125</v>
      </c>
      <c r="E258" s="39">
        <f t="shared" si="10"/>
        <v>-9.4025420402880533E-2</v>
      </c>
      <c r="F258" s="39">
        <f t="shared" si="11"/>
        <v>-0.21875</v>
      </c>
      <c r="O258" s="117">
        <f>ROW()</f>
        <v>258</v>
      </c>
      <c r="W258" s="113"/>
    </row>
    <row r="259" spans="2:23" ht="14.1" customHeight="1">
      <c r="B259">
        <v>1.3</v>
      </c>
      <c r="C259" s="39">
        <f t="shared" si="9"/>
        <v>0.30000000000000004</v>
      </c>
      <c r="D259" s="39">
        <f t="shared" si="12"/>
        <v>-0.16777711642728643</v>
      </c>
      <c r="E259" s="39">
        <f t="shared" si="10"/>
        <v>-9.9626593675292585E-2</v>
      </c>
      <c r="F259" s="39">
        <f t="shared" si="11"/>
        <v>-0.23076923076923084</v>
      </c>
      <c r="O259" s="117">
        <f>ROW()</f>
        <v>259</v>
      </c>
      <c r="W259" s="113"/>
    </row>
    <row r="260" spans="2:23" ht="14.1" customHeight="1">
      <c r="B260">
        <v>1.32</v>
      </c>
      <c r="C260" s="39">
        <f t="shared" si="9"/>
        <v>0.32000000000000006</v>
      </c>
      <c r="D260" s="39">
        <f t="shared" si="12"/>
        <v>-0.17662391610639094</v>
      </c>
      <c r="E260" s="39">
        <f t="shared" si="10"/>
        <v>-0.10510840830307244</v>
      </c>
      <c r="F260" s="39">
        <f t="shared" si="11"/>
        <v>-0.24242424242424243</v>
      </c>
      <c r="O260" s="117">
        <f>ROW()</f>
        <v>260</v>
      </c>
      <c r="W260" s="113"/>
    </row>
    <row r="261" spans="2:23" ht="14.1" customHeight="1">
      <c r="B261">
        <v>1.34</v>
      </c>
      <c r="C261" s="39">
        <f t="shared" si="9"/>
        <v>0.34000000000000008</v>
      </c>
      <c r="D261" s="39">
        <f t="shared" si="12"/>
        <v>-0.18524573763197227</v>
      </c>
      <c r="E261" s="39">
        <f t="shared" si="10"/>
        <v>-0.11047515921719553</v>
      </c>
      <c r="F261" s="39">
        <f t="shared" si="11"/>
        <v>-0.25373134328358216</v>
      </c>
      <c r="O261" s="117">
        <f>ROW()</f>
        <v>261</v>
      </c>
      <c r="W261" s="113"/>
    </row>
    <row r="262" spans="2:23" ht="14.1" customHeight="1">
      <c r="B262">
        <v>1.36</v>
      </c>
      <c r="C262" s="39">
        <f t="shared" si="9"/>
        <v>0.3600000000000001</v>
      </c>
      <c r="D262" s="39">
        <f t="shared" si="12"/>
        <v>-0.19365153389231071</v>
      </c>
      <c r="E262" s="39">
        <f t="shared" si="10"/>
        <v>-0.11573092563985632</v>
      </c>
      <c r="F262" s="39">
        <f t="shared" si="11"/>
        <v>-0.26470588235294124</v>
      </c>
      <c r="O262" s="117">
        <f>ROW()</f>
        <v>262</v>
      </c>
      <c r="W262" s="113"/>
    </row>
    <row r="263" spans="2:23" ht="14.1" customHeight="1">
      <c r="B263">
        <v>1.38</v>
      </c>
      <c r="C263" s="39">
        <f t="shared" si="9"/>
        <v>0.37999999999999989</v>
      </c>
      <c r="D263" s="39">
        <f t="shared" si="12"/>
        <v>-0.20184977663508141</v>
      </c>
      <c r="E263" s="39">
        <f t="shared" si="10"/>
        <v>-0.12087958490069239</v>
      </c>
      <c r="F263" s="39">
        <f t="shared" si="11"/>
        <v>-0.2753623188405796</v>
      </c>
      <c r="O263" s="117">
        <f>ROW()</f>
        <v>263</v>
      </c>
      <c r="W263" s="113"/>
    </row>
    <row r="264" spans="2:23" ht="14.1" customHeight="1">
      <c r="B264">
        <v>1.4</v>
      </c>
      <c r="C264" s="39">
        <f t="shared" si="9"/>
        <v>0.39999999999999991</v>
      </c>
      <c r="D264" s="39">
        <f t="shared" si="12"/>
        <v>-0.20984848884286267</v>
      </c>
      <c r="E264" s="39">
        <f t="shared" si="10"/>
        <v>-0.12592482518252923</v>
      </c>
      <c r="F264" s="39">
        <f t="shared" si="11"/>
        <v>-0.2857142857142857</v>
      </c>
      <c r="O264" s="117">
        <f>ROW()</f>
        <v>264</v>
      </c>
      <c r="W264" s="113"/>
    </row>
    <row r="265" spans="2:23" ht="14.1" customHeight="1">
      <c r="B265">
        <v>1.42</v>
      </c>
      <c r="C265" s="39">
        <f t="shared" si="9"/>
        <v>0.41999999999999993</v>
      </c>
      <c r="D265" s="39">
        <f t="shared" si="12"/>
        <v>-0.21765527450388866</v>
      </c>
      <c r="E265" s="39">
        <f t="shared" si="10"/>
        <v>-0.13087015729354834</v>
      </c>
      <c r="F265" s="39">
        <f t="shared" si="11"/>
        <v>-0.29577464788732388</v>
      </c>
      <c r="O265" s="117">
        <f>ROW()</f>
        <v>265</v>
      </c>
      <c r="W265" s="113"/>
    </row>
    <row r="266" spans="2:23" ht="14.1" customHeight="1">
      <c r="B266">
        <v>1.44</v>
      </c>
      <c r="C266" s="39">
        <f t="shared" si="9"/>
        <v>0.43999999999999995</v>
      </c>
      <c r="D266" s="39">
        <f t="shared" si="12"/>
        <v>-0.22527734602095306</v>
      </c>
      <c r="E266" s="39">
        <f t="shared" si="10"/>
        <v>-0.1357189255527933</v>
      </c>
      <c r="F266" s="39">
        <f t="shared" si="11"/>
        <v>-0.30555555555555558</v>
      </c>
      <c r="O266" s="117">
        <f>ROW()</f>
        <v>266</v>
      </c>
      <c r="W266" s="113"/>
    </row>
    <row r="267" spans="2:23" ht="14.1" customHeight="1">
      <c r="B267">
        <v>1.46</v>
      </c>
      <c r="C267" s="39">
        <f t="shared" si="9"/>
        <v>0.45999999999999996</v>
      </c>
      <c r="D267" s="39">
        <f t="shared" si="12"/>
        <v>-0.23272154947568624</v>
      </c>
      <c r="E267" s="39">
        <f t="shared" si="10"/>
        <v>-0.14047431786707198</v>
      </c>
      <c r="F267" s="39">
        <f t="shared" si="11"/>
        <v>-0.31506849315068497</v>
      </c>
      <c r="O267" s="117">
        <f>ROW()</f>
        <v>267</v>
      </c>
      <c r="W267" s="113"/>
    </row>
    <row r="268" spans="2:23" ht="14.1" customHeight="1">
      <c r="B268">
        <v>1.48</v>
      </c>
      <c r="C268" s="39">
        <f t="shared" si="9"/>
        <v>0.48</v>
      </c>
      <c r="D268" s="39">
        <f t="shared" si="12"/>
        <v>-0.23999438794278638</v>
      </c>
      <c r="E268" s="39">
        <f t="shared" si="10"/>
        <v>-0.14513937506947938</v>
      </c>
      <c r="F268" s="39">
        <f t="shared" si="11"/>
        <v>-0.32432432432432434</v>
      </c>
      <c r="O268" s="117">
        <f>ROW()</f>
        <v>268</v>
      </c>
      <c r="W268" s="113"/>
    </row>
    <row r="269" spans="2:23" ht="14.1" customHeight="1">
      <c r="B269">
        <v>1.5</v>
      </c>
      <c r="C269" s="39">
        <f t="shared" si="9"/>
        <v>0.5</v>
      </c>
      <c r="D269" s="39">
        <f t="shared" si="12"/>
        <v>-0.24710204302876293</v>
      </c>
      <c r="E269" s="39">
        <f t="shared" si="10"/>
        <v>-0.14971699958280615</v>
      </c>
      <c r="F269" s="39">
        <f t="shared" si="11"/>
        <v>-0.33333333333333337</v>
      </c>
      <c r="O269" s="117">
        <f>ROW()</f>
        <v>269</v>
      </c>
      <c r="W269" s="113"/>
    </row>
    <row r="270" spans="2:23" ht="14.1" customHeight="1">
      <c r="B270">
        <v>1.52</v>
      </c>
      <c r="C270" s="39">
        <f t="shared" si="9"/>
        <v>0.52</v>
      </c>
      <c r="D270" s="39">
        <f t="shared" si="12"/>
        <v>-0.25405039479203062</v>
      </c>
      <c r="E270" s="39">
        <f t="shared" si="10"/>
        <v>-0.15420996346491356</v>
      </c>
      <c r="F270" s="39">
        <f t="shared" si="11"/>
        <v>-0.34210526315789469</v>
      </c>
      <c r="O270" s="117">
        <f>ROW()</f>
        <v>270</v>
      </c>
      <c r="W270" s="113"/>
    </row>
    <row r="271" spans="2:23" ht="14.1" customHeight="1">
      <c r="B271">
        <v>1.54</v>
      </c>
      <c r="C271" s="39">
        <f t="shared" si="9"/>
        <v>0.54</v>
      </c>
      <c r="D271" s="39">
        <f t="shared" si="12"/>
        <v>-0.26084504018547638</v>
      </c>
      <c r="E271" s="39">
        <f t="shared" si="10"/>
        <v>-0.15862091588764871</v>
      </c>
      <c r="F271" s="39">
        <f t="shared" si="11"/>
        <v>-0.35064935064935066</v>
      </c>
      <c r="O271" s="117">
        <f>ROW()</f>
        <v>271</v>
      </c>
      <c r="W271" s="113"/>
    </row>
    <row r="272" spans="2:23" ht="14.1" customHeight="1">
      <c r="B272">
        <v>1.56</v>
      </c>
      <c r="C272" s="39">
        <f t="shared" si="9"/>
        <v>0.56000000000000005</v>
      </c>
      <c r="D272" s="39">
        <f t="shared" si="12"/>
        <v>-0.26749131014866667</v>
      </c>
      <c r="E272" s="39">
        <f t="shared" si="10"/>
        <v>-0.16295239009596163</v>
      </c>
      <c r="F272" s="39">
        <f t="shared" si="11"/>
        <v>-0.35897435897435903</v>
      </c>
      <c r="O272" s="117">
        <f>ROW()</f>
        <v>272</v>
      </c>
      <c r="W272" s="113"/>
    </row>
    <row r="273" spans="2:23" ht="14.1" customHeight="1">
      <c r="B273">
        <v>1.58</v>
      </c>
      <c r="C273" s="39">
        <f t="shared" si="9"/>
        <v>0.58000000000000007</v>
      </c>
      <c r="D273" s="39">
        <f t="shared" si="12"/>
        <v>-0.27399428546443683</v>
      </c>
      <c r="E273" s="39">
        <f t="shared" si="10"/>
        <v>-0.16720680988949599</v>
      </c>
      <c r="F273" s="39">
        <f t="shared" si="11"/>
        <v>-0.36708860759493678</v>
      </c>
      <c r="O273" s="117">
        <f>ROW()</f>
        <v>273</v>
      </c>
      <c r="W273" s="113"/>
    </row>
    <row r="274" spans="2:23" ht="14.1" customHeight="1">
      <c r="B274">
        <v>1.6</v>
      </c>
      <c r="C274" s="39">
        <f t="shared" si="9"/>
        <v>0.60000000000000009</v>
      </c>
      <c r="D274" s="39">
        <f t="shared" si="12"/>
        <v>-0.28035881148354713</v>
      </c>
      <c r="E274" s="39">
        <f t="shared" si="10"/>
        <v>-0.1713864956650033</v>
      </c>
      <c r="F274" s="39">
        <f t="shared" si="11"/>
        <v>-0.375</v>
      </c>
      <c r="O274" s="117">
        <f>ROW()</f>
        <v>274</v>
      </c>
      <c r="W274" s="113"/>
    </row>
    <row r="275" spans="2:23" ht="14.1" customHeight="1">
      <c r="B275">
        <v>1.62</v>
      </c>
      <c r="C275" s="39">
        <f t="shared" si="9"/>
        <v>0.62000000000000011</v>
      </c>
      <c r="D275" s="39">
        <f t="shared" si="12"/>
        <v>-0.28658951181120795</v>
      </c>
      <c r="E275" s="39">
        <f t="shared" si="10"/>
        <v>-0.17549367005441174</v>
      </c>
      <c r="F275" s="39">
        <f t="shared" si="11"/>
        <v>-0.38271604938271608</v>
      </c>
      <c r="O275" s="117">
        <f>ROW()</f>
        <v>275</v>
      </c>
      <c r="W275" s="113"/>
    </row>
    <row r="276" spans="2:23" ht="14.1" customHeight="1">
      <c r="B276">
        <v>1.64</v>
      </c>
      <c r="C276" s="39">
        <f t="shared" si="9"/>
        <v>0.6399999999999999</v>
      </c>
      <c r="D276" s="39">
        <f t="shared" si="12"/>
        <v>-0.29269080104045742</v>
      </c>
      <c r="E276" s="39">
        <f t="shared" si="10"/>
        <v>-0.17953046319022481</v>
      </c>
      <c r="F276" s="39">
        <f t="shared" si="11"/>
        <v>-0.3902439024390244</v>
      </c>
      <c r="O276" s="117">
        <f>ROW()</f>
        <v>276</v>
      </c>
      <c r="W276" s="113"/>
    </row>
    <row r="277" spans="2:23" ht="14.1" customHeight="1">
      <c r="B277">
        <v>1.66</v>
      </c>
      <c r="C277" s="39">
        <f t="shared" si="9"/>
        <v>0.65999999999999992</v>
      </c>
      <c r="D277" s="39">
        <f t="shared" si="12"/>
        <v>-0.29866689660947165</v>
      </c>
      <c r="E277" s="39">
        <f t="shared" si="10"/>
        <v>-0.18349891762709347</v>
      </c>
      <c r="F277" s="39">
        <f t="shared" si="11"/>
        <v>-0.39759036144578308</v>
      </c>
      <c r="O277" s="117">
        <f>ROW()</f>
        <v>277</v>
      </c>
      <c r="W277" s="113"/>
    </row>
    <row r="278" spans="2:23" ht="14.1" customHeight="1">
      <c r="B278">
        <v>1.68</v>
      </c>
      <c r="C278" s="39">
        <f t="shared" si="9"/>
        <v>0.67999999999999994</v>
      </c>
      <c r="D278" s="39">
        <f t="shared" si="12"/>
        <v>-0.30452182985281351</v>
      </c>
      <c r="E278" s="39">
        <f t="shared" si="10"/>
        <v>-0.18740099294585155</v>
      </c>
      <c r="F278" s="39">
        <f t="shared" si="11"/>
        <v>-0.40476190476190477</v>
      </c>
      <c r="O278" s="117">
        <f>ROW()</f>
        <v>278</v>
      </c>
      <c r="W278" s="113"/>
    </row>
    <row r="279" spans="2:23" ht="14.1" customHeight="1">
      <c r="B279">
        <v>1.7</v>
      </c>
      <c r="C279" s="39">
        <f t="shared" si="9"/>
        <v>0.7</v>
      </c>
      <c r="D279" s="39">
        <f t="shared" si="12"/>
        <v>-0.31025945631026941</v>
      </c>
      <c r="E279" s="39">
        <f t="shared" si="10"/>
        <v>-0.19123857006401124</v>
      </c>
      <c r="F279" s="39">
        <f t="shared" si="11"/>
        <v>-0.41176470588235292</v>
      </c>
      <c r="O279" s="117">
        <f>ROW()</f>
        <v>279</v>
      </c>
      <c r="W279" s="113"/>
    </row>
    <row r="280" spans="2:23" ht="14.1" customHeight="1">
      <c r="B280">
        <v>1.72</v>
      </c>
      <c r="C280" s="39">
        <f t="shared" si="9"/>
        <v>0.72</v>
      </c>
      <c r="D280" s="39">
        <f t="shared" si="12"/>
        <v>-0.31588346535121559</v>
      </c>
      <c r="E280" s="39">
        <f t="shared" si="10"/>
        <v>-0.19501345527463843</v>
      </c>
      <c r="F280" s="39">
        <f t="shared" si="11"/>
        <v>-0.41860465116279066</v>
      </c>
      <c r="O280" s="117">
        <f>ROW()</f>
        <v>280</v>
      </c>
      <c r="W280" s="113"/>
    </row>
    <row r="281" spans="2:23" ht="14.1" customHeight="1">
      <c r="B281">
        <v>1.74</v>
      </c>
      <c r="C281" s="39">
        <f t="shared" si="9"/>
        <v>0.74</v>
      </c>
      <c r="D281" s="39">
        <f t="shared" si="12"/>
        <v>-0.32139738916731975</v>
      </c>
      <c r="E281" s="39">
        <f t="shared" si="10"/>
        <v>-0.19872738403366197</v>
      </c>
      <c r="F281" s="39">
        <f t="shared" si="11"/>
        <v>-0.42528735632183912</v>
      </c>
      <c r="O281" s="117">
        <f>ROW()</f>
        <v>281</v>
      </c>
      <c r="W281" s="113"/>
    </row>
    <row r="282" spans="2:23" ht="14.1" customHeight="1">
      <c r="B282">
        <v>1.76</v>
      </c>
      <c r="C282" s="39">
        <f t="shared" si="9"/>
        <v>0.76</v>
      </c>
      <c r="D282" s="39">
        <f t="shared" si="12"/>
        <v>-0.32680461118175264</v>
      </c>
      <c r="E282" s="39">
        <f t="shared" si="10"/>
        <v>-0.20238202451397391</v>
      </c>
      <c r="F282" s="39">
        <f t="shared" si="11"/>
        <v>-0.43181818181818177</v>
      </c>
      <c r="O282" s="117">
        <f>ROW()</f>
        <v>282</v>
      </c>
      <c r="W282" s="113"/>
    </row>
    <row r="283" spans="2:23" ht="14.1" customHeight="1">
      <c r="B283">
        <v>1.78</v>
      </c>
      <c r="C283" s="39">
        <f t="shared" si="9"/>
        <v>0.78</v>
      </c>
      <c r="D283" s="39">
        <f t="shared" ref="D283:D294" si="13">B283^$D$217-1</f>
        <v>-0.33210837391891079</v>
      </c>
      <c r="E283" s="39">
        <f t="shared" si="10"/>
        <v>-0.20597898094315015</v>
      </c>
      <c r="F283" s="39">
        <f t="shared" si="11"/>
        <v>-0.4382022471910112</v>
      </c>
      <c r="O283" s="117">
        <f>ROW()</f>
        <v>283</v>
      </c>
      <c r="W283" s="113"/>
    </row>
    <row r="284" spans="2:23" ht="14.1" customHeight="1">
      <c r="B284">
        <v>1.8</v>
      </c>
      <c r="C284" s="39">
        <f t="shared" ref="C284:C294" si="14">B284-1</f>
        <v>0.8</v>
      </c>
      <c r="D284" s="39">
        <f t="shared" si="13"/>
        <v>-0.33731178637488179</v>
      </c>
      <c r="E284" s="39">
        <f t="shared" ref="E284:E294" si="15">B284^$E$217-1</f>
        <v>-0.20951979674022936</v>
      </c>
      <c r="F284" s="39">
        <f t="shared" ref="F284:F294" si="16">B284^$F$217-1</f>
        <v>-0.44444444444444442</v>
      </c>
      <c r="O284" s="117">
        <f>ROW()</f>
        <v>284</v>
      </c>
      <c r="W284" s="113"/>
    </row>
    <row r="285" spans="2:23" ht="14.1" customHeight="1">
      <c r="B285">
        <v>1.82</v>
      </c>
      <c r="C285" s="39">
        <f t="shared" si="14"/>
        <v>0.82000000000000006</v>
      </c>
      <c r="D285" s="39">
        <f t="shared" si="13"/>
        <v>-0.34241783092546996</v>
      </c>
      <c r="E285" s="39">
        <f t="shared" si="15"/>
        <v>-0.21300595746572981</v>
      </c>
      <c r="F285" s="39">
        <f t="shared" si="16"/>
        <v>-0.45054945054945061</v>
      </c>
      <c r="O285" s="117">
        <f>ROW()</f>
        <v>285</v>
      </c>
      <c r="W285" s="113"/>
    </row>
    <row r="286" spans="2:23" ht="14.1" customHeight="1">
      <c r="B286">
        <v>1.84</v>
      </c>
      <c r="C286" s="39">
        <f t="shared" si="14"/>
        <v>0.84000000000000008</v>
      </c>
      <c r="D286" s="39">
        <f t="shared" si="13"/>
        <v>-0.34742936980551786</v>
      </c>
      <c r="E286" s="39">
        <f t="shared" si="15"/>
        <v>-0.21643889359794055</v>
      </c>
      <c r="F286" s="39">
        <f t="shared" si="16"/>
        <v>-0.45652173913043481</v>
      </c>
      <c r="O286" s="117">
        <f>ROW()</f>
        <v>286</v>
      </c>
      <c r="W286" s="113"/>
    </row>
    <row r="287" spans="2:23" ht="14.1" customHeight="1">
      <c r="B287">
        <v>1.86</v>
      </c>
      <c r="C287" s="39">
        <f t="shared" si="14"/>
        <v>0.8600000000000001</v>
      </c>
      <c r="D287" s="39">
        <f t="shared" si="13"/>
        <v>-0.35234915119045795</v>
      </c>
      <c r="E287" s="39">
        <f t="shared" si="15"/>
        <v>-0.21981998314748019</v>
      </c>
      <c r="F287" s="39">
        <f t="shared" si="16"/>
        <v>-0.4623655913978495</v>
      </c>
      <c r="O287" s="117">
        <f>ROW()</f>
        <v>287</v>
      </c>
      <c r="W287" s="113"/>
    </row>
    <row r="288" spans="2:23" ht="14.1" customHeight="1">
      <c r="B288">
        <v>1.88</v>
      </c>
      <c r="C288" s="39">
        <f t="shared" si="14"/>
        <v>0.87999999999999989</v>
      </c>
      <c r="D288" s="39">
        <f t="shared" si="13"/>
        <v>-0.35717981490849315</v>
      </c>
      <c r="E288" s="39">
        <f t="shared" si="15"/>
        <v>-0.22315055412117124</v>
      </c>
      <c r="F288" s="39">
        <f t="shared" si="16"/>
        <v>-0.46808510638297873</v>
      </c>
      <c r="O288" s="117">
        <f>ROW()</f>
        <v>288</v>
      </c>
      <c r="W288" s="113"/>
    </row>
    <row r="289" spans="2:23" ht="14.1" customHeight="1">
      <c r="B289">
        <v>1.9</v>
      </c>
      <c r="C289" s="39">
        <f t="shared" si="14"/>
        <v>0.89999999999999991</v>
      </c>
      <c r="D289" s="39">
        <f t="shared" si="13"/>
        <v>-0.36192389780949774</v>
      </c>
      <c r="E289" s="39">
        <f t="shared" si="15"/>
        <v>-0.22643188684541404</v>
      </c>
      <c r="F289" s="39">
        <f t="shared" si="16"/>
        <v>-0.47368421052631582</v>
      </c>
      <c r="O289" s="117">
        <f>ROW()</f>
        <v>289</v>
      </c>
      <c r="W289" s="113"/>
    </row>
    <row r="290" spans="2:23" ht="14.1" customHeight="1">
      <c r="B290">
        <v>1.92</v>
      </c>
      <c r="C290" s="39">
        <f t="shared" si="14"/>
        <v>0.91999999999999993</v>
      </c>
      <c r="D290" s="39">
        <f t="shared" si="13"/>
        <v>-0.36658383881463485</v>
      </c>
      <c r="E290" s="39">
        <f t="shared" si="15"/>
        <v>-0.22966521615845548</v>
      </c>
      <c r="F290" s="39">
        <f t="shared" si="16"/>
        <v>-0.47916666666666663</v>
      </c>
      <c r="O290" s="117">
        <f>ROW()</f>
        <v>290</v>
      </c>
      <c r="W290" s="113"/>
    </row>
    <row r="291" spans="2:23" ht="14.1" customHeight="1">
      <c r="B291">
        <v>1.94</v>
      </c>
      <c r="C291" s="39">
        <f t="shared" si="14"/>
        <v>0.94</v>
      </c>
      <c r="D291" s="39">
        <f t="shared" si="13"/>
        <v>-0.37116198366877873</v>
      </c>
      <c r="E291" s="39">
        <f t="shared" si="15"/>
        <v>-0.23285173348023247</v>
      </c>
      <c r="F291" s="39">
        <f t="shared" si="16"/>
        <v>-0.48453608247422675</v>
      </c>
      <c r="O291" s="117">
        <f>ROW()</f>
        <v>291</v>
      </c>
      <c r="W291" s="113"/>
    </row>
    <row r="292" spans="2:23" ht="14.1" customHeight="1">
      <c r="B292">
        <v>1.96</v>
      </c>
      <c r="C292" s="39">
        <f t="shared" si="14"/>
        <v>0.96</v>
      </c>
      <c r="D292" s="39">
        <f t="shared" si="13"/>
        <v>-0.37566058941609226</v>
      </c>
      <c r="E292" s="39">
        <f t="shared" si="15"/>
        <v>-0.23599258876780804</v>
      </c>
      <c r="F292" s="39">
        <f t="shared" si="16"/>
        <v>-0.48979591836734693</v>
      </c>
      <c r="O292" s="117">
        <f>ROW()</f>
        <v>292</v>
      </c>
      <c r="W292" s="113"/>
    </row>
    <row r="293" spans="2:23" ht="14.1" customHeight="1">
      <c r="B293">
        <v>1.98</v>
      </c>
      <c r="C293" s="39">
        <f t="shared" si="14"/>
        <v>0.98</v>
      </c>
      <c r="D293" s="39">
        <f t="shared" si="13"/>
        <v>-0.38008182861752393</v>
      </c>
      <c r="E293" s="39">
        <f t="shared" si="15"/>
        <v>-0.23908889236381792</v>
      </c>
      <c r="F293" s="39">
        <f t="shared" si="16"/>
        <v>-0.49494949494949492</v>
      </c>
      <c r="O293" s="117">
        <f>ROW()</f>
        <v>293</v>
      </c>
      <c r="W293" s="113"/>
    </row>
    <row r="294" spans="2:23" ht="14.1" customHeight="1">
      <c r="B294">
        <v>2</v>
      </c>
      <c r="C294" s="39">
        <f t="shared" si="14"/>
        <v>1</v>
      </c>
      <c r="D294" s="39">
        <f t="shared" si="13"/>
        <v>-0.38442779332754184</v>
      </c>
      <c r="E294" s="39">
        <f t="shared" si="15"/>
        <v>-0.24214171674480089</v>
      </c>
      <c r="F294" s="39">
        <f t="shared" si="16"/>
        <v>-0.5</v>
      </c>
      <c r="O294" s="117">
        <f>ROW()</f>
        <v>294</v>
      </c>
      <c r="W294" s="113"/>
    </row>
    <row r="295" spans="2:23" ht="14.1" customHeight="1">
      <c r="O295" s="117">
        <f>ROW()</f>
        <v>295</v>
      </c>
      <c r="W295" s="113"/>
    </row>
    <row r="296" spans="2:23" ht="14.1" customHeight="1">
      <c r="I296" s="113"/>
      <c r="O296" s="117">
        <f>ROW()</f>
        <v>296</v>
      </c>
      <c r="W296" s="113"/>
    </row>
    <row r="297" spans="2:23" ht="14.1" customHeight="1">
      <c r="I297" s="113"/>
      <c r="O297" s="117">
        <f>ROW()</f>
        <v>297</v>
      </c>
      <c r="W297" s="113"/>
    </row>
    <row r="298" spans="2:23" ht="14.1" customHeight="1">
      <c r="I298" s="113"/>
      <c r="O298" s="117">
        <f>ROW()</f>
        <v>298</v>
      </c>
      <c r="W298" s="113"/>
    </row>
    <row r="299" spans="2:23" ht="14.1" customHeight="1">
      <c r="I299" s="113"/>
      <c r="O299" s="117">
        <f>ROW()</f>
        <v>299</v>
      </c>
      <c r="W299" s="113"/>
    </row>
    <row r="300" spans="2:23" ht="14.1" customHeight="1">
      <c r="I300" s="113"/>
      <c r="O300" s="117">
        <f>ROW()</f>
        <v>300</v>
      </c>
      <c r="W300" s="113"/>
    </row>
    <row r="301" spans="2:23" ht="14.1" customHeight="1">
      <c r="I301" s="113"/>
      <c r="O301" s="117">
        <f>ROW()</f>
        <v>301</v>
      </c>
      <c r="W301" s="113"/>
    </row>
    <row r="302" spans="2:23" ht="14.1" customHeight="1">
      <c r="I302" s="113"/>
      <c r="O302" s="117">
        <f>ROW()</f>
        <v>302</v>
      </c>
      <c r="W302" s="113"/>
    </row>
    <row r="303" spans="2:23" ht="14.1" customHeight="1">
      <c r="I303" s="113"/>
      <c r="O303" s="117">
        <f>ROW()</f>
        <v>303</v>
      </c>
      <c r="W303" s="113"/>
    </row>
    <row r="304" spans="2:23" ht="14.1" customHeight="1">
      <c r="I304" s="113"/>
      <c r="O304" s="117">
        <f>ROW()</f>
        <v>304</v>
      </c>
      <c r="W304" s="113"/>
    </row>
    <row r="305" spans="9:23" ht="14.1" customHeight="1">
      <c r="I305" s="113"/>
      <c r="O305" s="117">
        <f>ROW()</f>
        <v>305</v>
      </c>
      <c r="W305" s="113"/>
    </row>
    <row r="306" spans="9:23" ht="14.1" customHeight="1">
      <c r="I306" s="113"/>
      <c r="O306" s="117">
        <f>ROW()</f>
        <v>306</v>
      </c>
      <c r="W306" s="113"/>
    </row>
    <row r="307" spans="9:23" ht="14.1" customHeight="1">
      <c r="I307" s="113"/>
      <c r="O307" s="117">
        <f>ROW()</f>
        <v>307</v>
      </c>
      <c r="W307" s="113"/>
    </row>
    <row r="308" spans="9:23" ht="14.1" customHeight="1">
      <c r="I308" s="113"/>
      <c r="O308" s="117">
        <f>ROW()</f>
        <v>308</v>
      </c>
      <c r="W308" s="113"/>
    </row>
    <row r="309" spans="9:23" ht="14.1" customHeight="1">
      <c r="I309" s="113"/>
      <c r="O309" s="117">
        <f>ROW()</f>
        <v>309</v>
      </c>
      <c r="W309" s="113"/>
    </row>
    <row r="310" spans="9:23" ht="14.1" customHeight="1">
      <c r="I310" s="113"/>
      <c r="O310" s="117">
        <f>ROW()</f>
        <v>310</v>
      </c>
      <c r="W310" s="113"/>
    </row>
    <row r="311" spans="9:23" ht="14.1" customHeight="1">
      <c r="I311" s="113"/>
      <c r="O311" s="117">
        <f>ROW()</f>
        <v>311</v>
      </c>
      <c r="W311" s="113"/>
    </row>
    <row r="312" spans="9:23" ht="14.1" customHeight="1">
      <c r="I312" s="113"/>
      <c r="O312" s="117">
        <f>ROW()</f>
        <v>312</v>
      </c>
      <c r="W312" s="113"/>
    </row>
    <row r="313" spans="9:23" ht="14.1" customHeight="1">
      <c r="I313" s="113"/>
      <c r="O313" s="117">
        <f>ROW()</f>
        <v>313</v>
      </c>
      <c r="W313" s="113"/>
    </row>
    <row r="314" spans="9:23" ht="14.1" customHeight="1">
      <c r="I314" s="113"/>
      <c r="O314" s="117">
        <f>ROW()</f>
        <v>314</v>
      </c>
      <c r="W314" s="113"/>
    </row>
    <row r="315" spans="9:23" ht="14.1" customHeight="1">
      <c r="I315" s="113"/>
      <c r="O315" s="117">
        <f>ROW()</f>
        <v>315</v>
      </c>
      <c r="W315" s="113"/>
    </row>
    <row r="316" spans="9:23" ht="14.1" customHeight="1">
      <c r="I316" s="113"/>
      <c r="O316" s="117">
        <f>ROW()</f>
        <v>316</v>
      </c>
      <c r="W316" s="113"/>
    </row>
    <row r="317" spans="9:23" ht="14.1" customHeight="1">
      <c r="I317" s="113"/>
      <c r="O317" s="117">
        <f>ROW()</f>
        <v>317</v>
      </c>
      <c r="W317" s="113"/>
    </row>
    <row r="318" spans="9:23" ht="14.1" customHeight="1">
      <c r="I318" s="113"/>
      <c r="O318" s="117">
        <f>ROW()</f>
        <v>318</v>
      </c>
      <c r="W318" s="113"/>
    </row>
    <row r="319" spans="9:23" ht="14.1" customHeight="1">
      <c r="I319" s="113"/>
      <c r="O319" s="117">
        <f>ROW()</f>
        <v>319</v>
      </c>
      <c r="W319" s="113"/>
    </row>
    <row r="320" spans="9:23" ht="14.1" customHeight="1">
      <c r="I320" s="113"/>
      <c r="O320" s="117">
        <f>ROW()</f>
        <v>320</v>
      </c>
      <c r="W320" s="113"/>
    </row>
    <row r="321" spans="2:23" ht="14.1" customHeight="1">
      <c r="I321" s="113"/>
      <c r="O321" s="117">
        <f>ROW()</f>
        <v>321</v>
      </c>
      <c r="W321" s="113"/>
    </row>
    <row r="322" spans="2:23" ht="14.1" customHeight="1">
      <c r="I322" s="113"/>
      <c r="O322" s="117">
        <f>ROW()</f>
        <v>322</v>
      </c>
      <c r="W322" s="113"/>
    </row>
    <row r="323" spans="2:23" ht="14.1" customHeight="1">
      <c r="O323" s="117">
        <f>ROW()</f>
        <v>323</v>
      </c>
      <c r="W323" s="113"/>
    </row>
    <row r="324" spans="2:23" ht="14.1" customHeight="1">
      <c r="B324" s="518" t="s">
        <v>6314</v>
      </c>
      <c r="H324" s="4148" t="s">
        <v>6342</v>
      </c>
      <c r="I324" s="4148"/>
      <c r="J324" s="4148"/>
      <c r="K324" s="4148"/>
      <c r="L324" s="4148"/>
      <c r="M324" s="4148"/>
      <c r="O324" s="117">
        <f>ROW()</f>
        <v>324</v>
      </c>
      <c r="W324" s="113"/>
    </row>
    <row r="325" spans="2:23" s="3577" customFormat="1" ht="14.1" customHeight="1">
      <c r="B325" s="518"/>
      <c r="H325" s="4148"/>
      <c r="I325" s="4148"/>
      <c r="J325" s="4148"/>
      <c r="K325" s="4148"/>
      <c r="L325" s="4148"/>
      <c r="M325" s="4148"/>
      <c r="O325" s="117">
        <f>ROW()</f>
        <v>325</v>
      </c>
      <c r="W325" s="3451"/>
    </row>
    <row r="326" spans="2:23" s="3579" customFormat="1" ht="14.1" customHeight="1">
      <c r="B326" s="4071" t="s">
        <v>6347</v>
      </c>
      <c r="C326" s="3659"/>
      <c r="D326" s="3659"/>
      <c r="E326" s="3659"/>
      <c r="F326" s="3659"/>
      <c r="G326" s="3659"/>
      <c r="H326" s="3659"/>
      <c r="I326" s="3659"/>
      <c r="J326" s="3659"/>
      <c r="K326" s="3659"/>
      <c r="L326" s="3659"/>
      <c r="M326" s="3659"/>
      <c r="O326" s="117">
        <f>ROW()</f>
        <v>326</v>
      </c>
      <c r="W326" s="3451"/>
    </row>
    <row r="327" spans="2:23" s="3579" customFormat="1" ht="14.1" customHeight="1">
      <c r="B327" s="3659"/>
      <c r="C327" s="3659"/>
      <c r="D327" s="3659"/>
      <c r="E327" s="3659"/>
      <c r="F327" s="3659"/>
      <c r="G327" s="3659"/>
      <c r="H327" s="3659"/>
      <c r="I327" s="3659"/>
      <c r="J327" s="3659"/>
      <c r="K327" s="3659"/>
      <c r="L327" s="3659"/>
      <c r="M327" s="3659"/>
      <c r="O327" s="117">
        <f>ROW()</f>
        <v>327</v>
      </c>
      <c r="W327" s="3451"/>
    </row>
    <row r="328" spans="2:23" s="3579" customFormat="1" ht="14.1" customHeight="1">
      <c r="B328" s="3659"/>
      <c r="C328" s="3659"/>
      <c r="D328" s="3659"/>
      <c r="E328" s="3659"/>
      <c r="F328" s="3659"/>
      <c r="G328" s="3659"/>
      <c r="H328" s="3659"/>
      <c r="I328" s="3659"/>
      <c r="J328" s="3659"/>
      <c r="K328" s="3659"/>
      <c r="L328" s="3659"/>
      <c r="M328" s="3659"/>
      <c r="O328" s="117">
        <f>ROW()</f>
        <v>328</v>
      </c>
      <c r="W328" s="3451"/>
    </row>
    <row r="329" spans="2:23" s="3579" customFormat="1" ht="14.1" customHeight="1">
      <c r="B329" s="3578"/>
      <c r="C329" s="3578"/>
      <c r="D329" s="3578"/>
      <c r="E329" s="3578"/>
      <c r="F329" s="3578"/>
      <c r="G329" s="3578"/>
      <c r="H329" s="3578"/>
      <c r="I329" s="3578"/>
      <c r="J329" s="3578"/>
      <c r="K329" s="3578"/>
      <c r="L329" s="3578"/>
      <c r="M329" s="3578"/>
      <c r="O329" s="117">
        <f>ROW()</f>
        <v>329</v>
      </c>
      <c r="W329" s="3451"/>
    </row>
    <row r="330" spans="2:23" s="3579" customFormat="1" ht="14.1" customHeight="1">
      <c r="B330" s="2318" t="s">
        <v>6350</v>
      </c>
      <c r="C330" s="1584"/>
      <c r="D330" s="1584"/>
      <c r="E330" s="1584"/>
      <c r="F330" s="1584"/>
      <c r="G330" s="1584"/>
      <c r="H330" s="1584"/>
      <c r="I330" s="1584"/>
      <c r="J330" s="1584"/>
      <c r="K330" s="1584"/>
      <c r="L330" s="1584"/>
      <c r="M330" s="1584"/>
      <c r="O330" s="117">
        <f>ROW()</f>
        <v>330</v>
      </c>
      <c r="W330" s="3451"/>
    </row>
    <row r="331" spans="2:23" s="3579" customFormat="1" ht="14.1" customHeight="1">
      <c r="B331" s="1584"/>
      <c r="C331" s="1584"/>
      <c r="D331" s="1584"/>
      <c r="E331" s="1584"/>
      <c r="F331" s="1584"/>
      <c r="G331" s="1584"/>
      <c r="H331" s="1584"/>
      <c r="I331" s="1584"/>
      <c r="J331" s="1584"/>
      <c r="K331" s="1584"/>
      <c r="L331" s="1584"/>
      <c r="M331" s="1584"/>
      <c r="O331" s="117">
        <f>ROW()</f>
        <v>331</v>
      </c>
      <c r="W331" s="3451"/>
    </row>
    <row r="332" spans="2:23" s="3579" customFormat="1" ht="14.1" customHeight="1">
      <c r="B332" s="4071" t="str">
        <f>CONCATENATE("The net result of the changes is, by my estimate, a ",ROUND(100*I363,0), "% rise in the average toll paid by car drivers. Curiously, this would imply a 25-26 percent increase in revenue rather than the 20% figure in the Times article (since ",ROUND(I364,2), " times (1-4%) equals 1.26.)")</f>
        <v>The net result of the changes is, by my estimate, a 31% rise in the average toll paid by car drivers. Curiously, this would imply a 25-26 percent increase in revenue rather than the 20% figure in the Times article (since 1.31 times (1-4%) equals 1.26.)</v>
      </c>
      <c r="C332" s="3659"/>
      <c r="D332" s="3659"/>
      <c r="E332" s="3659"/>
      <c r="F332" s="3659"/>
      <c r="G332" s="3659"/>
      <c r="H332" s="3659"/>
      <c r="I332" s="3659"/>
      <c r="J332" s="3659"/>
      <c r="K332" s="3659"/>
      <c r="L332" s="3659"/>
      <c r="M332" s="3578"/>
      <c r="O332" s="117">
        <f>ROW()</f>
        <v>332</v>
      </c>
      <c r="W332" s="3451"/>
    </row>
    <row r="333" spans="2:23" s="3579" customFormat="1" ht="14.1" customHeight="1">
      <c r="B333" s="3659"/>
      <c r="C333" s="3659"/>
      <c r="D333" s="3659"/>
      <c r="E333" s="3659"/>
      <c r="F333" s="3659"/>
      <c r="G333" s="3659"/>
      <c r="H333" s="3659"/>
      <c r="I333" s="3659"/>
      <c r="J333" s="3659"/>
      <c r="K333" s="3659"/>
      <c r="L333" s="3659"/>
      <c r="M333" s="3578"/>
      <c r="O333" s="117">
        <f>ROW()</f>
        <v>333</v>
      </c>
      <c r="W333" s="3451"/>
    </row>
    <row r="334" spans="2:23" ht="14.1" customHeight="1">
      <c r="O334" s="117">
        <f>ROW()</f>
        <v>334</v>
      </c>
      <c r="W334" s="113"/>
    </row>
    <row r="335" spans="2:23" s="3579" customFormat="1" ht="14.1" customHeight="1">
      <c r="B335" s="4071" t="str">
        <f>CONCATENATE("Leaving that anomaly aside, I estimate below that, with the toll hike, the average driver's cost of a round-trip using a Hudson River crossing increased in Fall 2011 by ",ROUND(100*I374,0), "%. The implied total-trip price-elasticity, ",ROUND(I380,2), ", is shown in Row ",O380, ".")</f>
        <v>Leaving that anomaly aside, I estimate below that, with the toll hike, the average driver's cost of a round-trip using a Hudson River crossing increased in Fall 2011 by 14%. The implied total-trip price-elasticity, -0.32, is shown in Row 380.</v>
      </c>
      <c r="C335" s="3659"/>
      <c r="D335" s="3659"/>
      <c r="E335" s="3659"/>
      <c r="F335" s="3659"/>
      <c r="G335" s="3659"/>
      <c r="H335" s="3659"/>
      <c r="I335" s="3659"/>
      <c r="J335" s="3659"/>
      <c r="K335" s="3659"/>
      <c r="L335" s="3659"/>
      <c r="O335" s="117">
        <f>ROW()</f>
        <v>335</v>
      </c>
      <c r="W335" s="3451"/>
    </row>
    <row r="336" spans="2:23" s="3579" customFormat="1" ht="14.1" customHeight="1">
      <c r="B336" s="3659"/>
      <c r="C336" s="3659"/>
      <c r="D336" s="3659"/>
      <c r="E336" s="3659"/>
      <c r="F336" s="3659"/>
      <c r="G336" s="3659"/>
      <c r="H336" s="3659"/>
      <c r="I336" s="3659"/>
      <c r="J336" s="3659"/>
      <c r="K336" s="3659"/>
      <c r="L336" s="3659"/>
      <c r="O336" s="117">
        <f>ROW()</f>
        <v>336</v>
      </c>
      <c r="W336" s="3451"/>
    </row>
    <row r="337" spans="2:23" s="3579" customFormat="1" ht="14.1" customHeight="1">
      <c r="O337" s="117">
        <f>ROW()</f>
        <v>337</v>
      </c>
      <c r="W337" s="3451"/>
    </row>
    <row r="338" spans="2:23" ht="14.1" customHeight="1">
      <c r="G338" s="3267">
        <v>2008</v>
      </c>
      <c r="H338" s="3267"/>
      <c r="I338" s="3267">
        <v>2011</v>
      </c>
      <c r="O338" s="117">
        <f>ROW()</f>
        <v>338</v>
      </c>
      <c r="W338" s="113"/>
    </row>
    <row r="339" spans="2:23" s="3579" customFormat="1" ht="14.1" customHeight="1">
      <c r="G339" s="3267"/>
      <c r="H339" s="3267"/>
      <c r="I339" s="3267"/>
      <c r="O339" s="117">
        <f>ROW()</f>
        <v>339</v>
      </c>
      <c r="W339" s="3451"/>
    </row>
    <row r="340" spans="2:23" s="3579" customFormat="1" ht="14.1" customHeight="1">
      <c r="B340" s="1" t="s">
        <v>6345</v>
      </c>
      <c r="G340" s="3582">
        <v>39509</v>
      </c>
      <c r="H340" s="3267"/>
      <c r="I340" s="3582">
        <v>40804</v>
      </c>
      <c r="O340" s="117">
        <f>ROW()</f>
        <v>340</v>
      </c>
      <c r="W340" s="3451"/>
    </row>
    <row r="341" spans="2:23" s="3579" customFormat="1" ht="14.1" customHeight="1">
      <c r="G341" s="3267"/>
      <c r="H341" s="3267"/>
      <c r="I341" s="3267"/>
      <c r="O341" s="117">
        <f>ROW()</f>
        <v>341</v>
      </c>
      <c r="W341" s="3451"/>
    </row>
    <row r="342" spans="2:23" ht="14.1" customHeight="1">
      <c r="B342" s="1" t="s">
        <v>6315</v>
      </c>
      <c r="G342" s="131" t="s">
        <v>6319</v>
      </c>
      <c r="H342" s="118"/>
      <c r="I342" s="131" t="s">
        <v>6320</v>
      </c>
      <c r="O342" s="117">
        <f>ROW()</f>
        <v>342</v>
      </c>
      <c r="W342" s="113"/>
    </row>
    <row r="343" spans="2:23" ht="14.1" customHeight="1">
      <c r="B343" s="1" t="s">
        <v>6316</v>
      </c>
      <c r="G343">
        <v>6</v>
      </c>
      <c r="I343">
        <v>8</v>
      </c>
      <c r="O343" s="117">
        <f>ROW()</f>
        <v>343</v>
      </c>
      <c r="W343" s="113"/>
    </row>
    <row r="344" spans="2:23" ht="14.1" customHeight="1">
      <c r="B344" s="1" t="s">
        <v>6317</v>
      </c>
      <c r="G344">
        <f>G343/24</f>
        <v>0.25</v>
      </c>
      <c r="I344" s="117">
        <f>I343/24</f>
        <v>0.33333333333333331</v>
      </c>
      <c r="O344" s="117">
        <f>ROW()</f>
        <v>344</v>
      </c>
      <c r="W344" s="113"/>
    </row>
    <row r="345" spans="2:23" ht="14.1" customHeight="1">
      <c r="B345" s="1" t="s">
        <v>6318</v>
      </c>
      <c r="G345" s="22">
        <f>SUM('Weekday Hours'!D37:D39)+SUM('Weekday Hours'!D47:D49)</f>
        <v>0.36512386178376877</v>
      </c>
      <c r="I345" s="22">
        <f>SUM('Weekday Hours'!D37:D40)+SUM('Weekday Hours'!D47:D50)</f>
        <v>0.47234587123899452</v>
      </c>
      <c r="J345" s="215" t="s">
        <v>6337</v>
      </c>
      <c r="O345" s="117">
        <f>ROW()</f>
        <v>345</v>
      </c>
      <c r="W345" s="113"/>
    </row>
    <row r="346" spans="2:23" ht="14.1" customHeight="1">
      <c r="B346" s="1" t="s">
        <v>6321</v>
      </c>
      <c r="G346" s="22">
        <f>1-G345</f>
        <v>0.63487613821623123</v>
      </c>
      <c r="I346" s="22">
        <f>1-I345</f>
        <v>0.52765412876100548</v>
      </c>
      <c r="J346" s="215" t="s">
        <v>6348</v>
      </c>
      <c r="O346" s="117">
        <f>ROW()</f>
        <v>346</v>
      </c>
      <c r="W346" s="113"/>
    </row>
    <row r="347" spans="2:23" ht="14.1" customHeight="1">
      <c r="B347" s="1" t="s">
        <v>6324</v>
      </c>
      <c r="G347" s="22">
        <v>0.8</v>
      </c>
      <c r="H347" s="22"/>
      <c r="I347" s="22">
        <f>G347+3.5%</f>
        <v>0.83500000000000008</v>
      </c>
      <c r="J347" s="3785" t="s">
        <v>6349</v>
      </c>
      <c r="K347" s="3785"/>
      <c r="L347" s="3785"/>
      <c r="M347" s="3785"/>
      <c r="N347" s="3785"/>
      <c r="O347" s="117">
        <f>ROW()</f>
        <v>347</v>
      </c>
      <c r="W347" s="113"/>
    </row>
    <row r="348" spans="2:23" ht="14.1" customHeight="1">
      <c r="B348" s="1" t="s">
        <v>6325</v>
      </c>
      <c r="G348" s="22">
        <v>0.75</v>
      </c>
      <c r="I348" s="22">
        <f>G348+3.5%</f>
        <v>0.78500000000000003</v>
      </c>
      <c r="J348" s="3785"/>
      <c r="K348" s="3785"/>
      <c r="L348" s="3785"/>
      <c r="M348" s="3785"/>
      <c r="N348" s="3785"/>
      <c r="O348" s="117">
        <f>ROW()</f>
        <v>348</v>
      </c>
      <c r="W348" s="113"/>
    </row>
    <row r="349" spans="2:23" ht="14.1" customHeight="1">
      <c r="O349" s="117">
        <f>ROW()</f>
        <v>349</v>
      </c>
      <c r="W349" s="113"/>
    </row>
    <row r="350" spans="2:23" ht="14.1" customHeight="1">
      <c r="B350" s="1" t="s">
        <v>6323</v>
      </c>
      <c r="G350" s="25">
        <v>6</v>
      </c>
      <c r="I350" s="25">
        <v>7.5</v>
      </c>
      <c r="O350" s="117">
        <f>ROW()</f>
        <v>350</v>
      </c>
      <c r="W350" s="113"/>
    </row>
    <row r="351" spans="2:23" ht="14.1" customHeight="1">
      <c r="B351" s="1" t="s">
        <v>6330</v>
      </c>
      <c r="G351" s="25">
        <v>8</v>
      </c>
      <c r="I351" s="25">
        <v>12</v>
      </c>
      <c r="O351" s="117">
        <f>ROW()</f>
        <v>351</v>
      </c>
      <c r="W351" s="113"/>
    </row>
    <row r="352" spans="2:23" ht="14.1" customHeight="1">
      <c r="B352" s="1" t="s">
        <v>6322</v>
      </c>
      <c r="G352" s="25">
        <v>8</v>
      </c>
      <c r="I352" s="25">
        <v>9.5</v>
      </c>
      <c r="O352" s="117">
        <f>ROW()</f>
        <v>352</v>
      </c>
      <c r="W352" s="113"/>
    </row>
    <row r="353" spans="2:23" ht="14.1" customHeight="1">
      <c r="B353" s="1" t="s">
        <v>6331</v>
      </c>
      <c r="G353" s="25">
        <v>8</v>
      </c>
      <c r="I353" s="25">
        <v>12</v>
      </c>
      <c r="O353" s="117">
        <f>ROW()</f>
        <v>353</v>
      </c>
      <c r="W353" s="113"/>
    </row>
    <row r="354" spans="2:23" s="3577" customFormat="1" ht="14.1" customHeight="1">
      <c r="O354" s="117">
        <f>ROW()</f>
        <v>354</v>
      </c>
      <c r="W354" s="3451"/>
    </row>
    <row r="355" spans="2:23" ht="14.1" customHeight="1">
      <c r="B355" s="1" t="s">
        <v>6326</v>
      </c>
      <c r="G355" s="22">
        <f>G348*G346</f>
        <v>0.47615710366217345</v>
      </c>
      <c r="H355" s="22"/>
      <c r="I355" s="22">
        <f>I348*I346</f>
        <v>0.41420849107738933</v>
      </c>
      <c r="J355" s="3785" t="str">
        <f>CONCATENATE("Algebra from Rows ",O355, "-",O358, ".")</f>
        <v>Algebra from Rows 355-358.</v>
      </c>
      <c r="O355" s="117">
        <f>ROW()</f>
        <v>355</v>
      </c>
      <c r="W355" s="113"/>
    </row>
    <row r="356" spans="2:23" ht="14.1" customHeight="1">
      <c r="B356" s="1" t="s">
        <v>6327</v>
      </c>
      <c r="G356" s="22">
        <f>G346*(1-G348)</f>
        <v>0.15871903455405781</v>
      </c>
      <c r="H356" s="22"/>
      <c r="I356" s="22">
        <f>I346*(1-I348)</f>
        <v>0.11344563768361617</v>
      </c>
      <c r="J356" s="3786"/>
      <c r="O356" s="117">
        <f>ROW()</f>
        <v>356</v>
      </c>
      <c r="W356" s="113"/>
    </row>
    <row r="357" spans="2:23" ht="14.1" customHeight="1">
      <c r="B357" s="1" t="s">
        <v>6332</v>
      </c>
      <c r="G357" s="22">
        <f>G348*G345</f>
        <v>0.27384289633782655</v>
      </c>
      <c r="H357" s="22"/>
      <c r="I357" s="22">
        <f>I348*I345</f>
        <v>0.3707915089226107</v>
      </c>
      <c r="J357" s="3786"/>
      <c r="O357" s="117">
        <f>ROW()</f>
        <v>357</v>
      </c>
      <c r="W357" s="113"/>
    </row>
    <row r="358" spans="2:23" ht="14.1" customHeight="1">
      <c r="B358" s="1" t="s">
        <v>6328</v>
      </c>
      <c r="G358" s="22">
        <f>(1-G348)*G345</f>
        <v>9.1280965445942192E-2</v>
      </c>
      <c r="H358" s="22"/>
      <c r="I358" s="22">
        <f>(1-I348)*I345</f>
        <v>0.1015543623163838</v>
      </c>
      <c r="J358" s="3786"/>
      <c r="O358" s="117">
        <f>ROW()</f>
        <v>358</v>
      </c>
      <c r="W358" s="113"/>
    </row>
    <row r="359" spans="2:23" ht="14.1" customHeight="1">
      <c r="G359" s="22">
        <f>SUM(G355:G358)</f>
        <v>1</v>
      </c>
      <c r="I359" s="22">
        <f>SUM(I355:I358)</f>
        <v>1</v>
      </c>
      <c r="O359" s="117">
        <f>ROW()</f>
        <v>359</v>
      </c>
      <c r="W359" s="113"/>
    </row>
    <row r="360" spans="2:23" ht="14.1" customHeight="1">
      <c r="O360" s="117">
        <f>ROW()</f>
        <v>360</v>
      </c>
      <c r="W360" s="113"/>
    </row>
    <row r="361" spans="2:23" ht="14.1" customHeight="1">
      <c r="B361" s="1" t="s">
        <v>6329</v>
      </c>
      <c r="G361" s="25">
        <f>SUMPRODUCT(G355:G358,G350:G353)</f>
        <v>7.0476857926756535</v>
      </c>
      <c r="I361" s="25">
        <f>SUMPRODUCT(I355:I358,I350:I353)</f>
        <v>9.2090830178452219</v>
      </c>
      <c r="J361" s="215" t="str">
        <f>CONCATENATE("SumProduct function on Rows ",O350, "-",O353, " and ",O355, "-",O358, ".")</f>
        <v>SumProduct function on Rows 350-353 and 355-358.</v>
      </c>
      <c r="O361" s="117">
        <f>ROW()</f>
        <v>361</v>
      </c>
      <c r="W361" s="113"/>
    </row>
    <row r="362" spans="2:23" ht="14.1" customHeight="1">
      <c r="B362" s="1" t="s">
        <v>6333</v>
      </c>
      <c r="I362" s="26">
        <f>I361-G361</f>
        <v>2.1613972251695683</v>
      </c>
      <c r="O362" s="117">
        <f>ROW()</f>
        <v>362</v>
      </c>
      <c r="W362" s="113"/>
    </row>
    <row r="363" spans="2:23" ht="14.1" customHeight="1">
      <c r="B363" s="1" t="s">
        <v>6334</v>
      </c>
      <c r="I363" s="22">
        <f>I362/G361</f>
        <v>0.30668183695360146</v>
      </c>
      <c r="O363" s="117">
        <f>ROW()</f>
        <v>363</v>
      </c>
      <c r="W363" s="113"/>
    </row>
    <row r="364" spans="2:23" ht="14.1" customHeight="1">
      <c r="B364" s="1" t="s">
        <v>6335</v>
      </c>
      <c r="I364" s="3580">
        <f>1+I363</f>
        <v>1.3066818369536015</v>
      </c>
      <c r="O364" s="117">
        <f>ROW()</f>
        <v>364</v>
      </c>
      <c r="W364" s="113"/>
    </row>
    <row r="365" spans="2:23" ht="14.1" customHeight="1">
      <c r="O365" s="117">
        <f>ROW()</f>
        <v>365</v>
      </c>
      <c r="W365" s="113"/>
    </row>
    <row r="366" spans="2:23" ht="14.1" customHeight="1">
      <c r="B366" s="2" t="s">
        <v>6341</v>
      </c>
      <c r="O366" s="117">
        <f>ROW()</f>
        <v>366</v>
      </c>
      <c r="W366" s="113"/>
    </row>
    <row r="367" spans="2:23" ht="14.1" customHeight="1">
      <c r="B367" s="1" t="s">
        <v>6338</v>
      </c>
      <c r="G367">
        <v>25</v>
      </c>
      <c r="I367">
        <f>G367</f>
        <v>25</v>
      </c>
      <c r="O367" s="117">
        <f>ROW()</f>
        <v>367</v>
      </c>
      <c r="W367" s="113"/>
    </row>
    <row r="368" spans="2:23" s="3577" customFormat="1" ht="14.1" customHeight="1">
      <c r="B368" s="1" t="s">
        <v>6346</v>
      </c>
      <c r="G368" s="25">
        <v>2.8</v>
      </c>
      <c r="I368" s="25">
        <v>3.5</v>
      </c>
      <c r="O368" s="117">
        <f>ROW()</f>
        <v>368</v>
      </c>
      <c r="W368" s="3451"/>
    </row>
    <row r="369" spans="2:15" ht="14.1" customHeight="1">
      <c r="B369" s="1" t="s">
        <v>5989</v>
      </c>
      <c r="G369" s="25">
        <f>G367*G368/18</f>
        <v>3.8888888888888888</v>
      </c>
      <c r="I369" s="25">
        <f>I367*I368/18</f>
        <v>4.8611111111111107</v>
      </c>
      <c r="J369" s="215" t="s">
        <v>6339</v>
      </c>
      <c r="O369" s="117">
        <f>ROW()</f>
        <v>369</v>
      </c>
    </row>
    <row r="370" spans="2:15" ht="14.1" customHeight="1">
      <c r="B370" s="1" t="s">
        <v>6336</v>
      </c>
      <c r="G370" s="25">
        <v>12</v>
      </c>
      <c r="I370" s="25">
        <f>G370</f>
        <v>12</v>
      </c>
      <c r="J370" s="215" t="s">
        <v>6064</v>
      </c>
      <c r="O370" s="117">
        <f>ROW()</f>
        <v>370</v>
      </c>
    </row>
    <row r="371" spans="2:15" ht="14.1" customHeight="1">
      <c r="B371" s="1" t="s">
        <v>5990</v>
      </c>
      <c r="G371" s="26">
        <f>G361</f>
        <v>7.0476857926756535</v>
      </c>
      <c r="I371" s="26">
        <f>I361</f>
        <v>9.2090830178452219</v>
      </c>
      <c r="J371" s="215" t="str">
        <f>CONCATENATE("Row ",O361, ".")</f>
        <v>Row 361.</v>
      </c>
      <c r="O371" s="117">
        <f>ROW()</f>
        <v>371</v>
      </c>
    </row>
    <row r="372" spans="2:15" ht="14.1" customHeight="1">
      <c r="B372" s="1" t="s">
        <v>6340</v>
      </c>
      <c r="G372" s="26">
        <f>SUM(G369:G371)</f>
        <v>22.936574681564544</v>
      </c>
      <c r="I372" s="26">
        <f>SUM(I369:I371)</f>
        <v>26.070194128956331</v>
      </c>
      <c r="J372" s="215" t="str">
        <f>CONCATENATE("Sum of Rows ",O369, "-",O371, ".")</f>
        <v>Sum of Rows 369-371.</v>
      </c>
      <c r="O372" s="117">
        <f>ROW()</f>
        <v>372</v>
      </c>
    </row>
    <row r="373" spans="2:15" ht="14.1" customHeight="1">
      <c r="B373" s="1" t="s">
        <v>6333</v>
      </c>
      <c r="I373" s="26">
        <f>I372-G372</f>
        <v>3.1336194473917871</v>
      </c>
      <c r="O373" s="117">
        <f>ROW()</f>
        <v>373</v>
      </c>
    </row>
    <row r="374" spans="2:15" ht="14.1" customHeight="1">
      <c r="B374" s="1" t="s">
        <v>6334</v>
      </c>
      <c r="I374" s="22">
        <f>I373/G372</f>
        <v>0.13662107315049352</v>
      </c>
      <c r="O374" s="117">
        <f>ROW()</f>
        <v>374</v>
      </c>
    </row>
    <row r="375" spans="2:15" ht="14.1" customHeight="1">
      <c r="B375" s="1" t="s">
        <v>6335</v>
      </c>
      <c r="I375" s="3580">
        <f>1+I374</f>
        <v>1.1366210731504935</v>
      </c>
      <c r="O375" s="117">
        <f>ROW()</f>
        <v>375</v>
      </c>
    </row>
    <row r="376" spans="2:15" ht="14.1" customHeight="1">
      <c r="O376" s="117">
        <f>ROW()</f>
        <v>376</v>
      </c>
    </row>
    <row r="377" spans="2:15" ht="14.1" customHeight="1">
      <c r="B377" s="1" t="s">
        <v>6344</v>
      </c>
      <c r="G377">
        <v>100</v>
      </c>
      <c r="I377">
        <v>96</v>
      </c>
      <c r="J377" s="3785" t="str">
        <f>CONCATENATE("Year-on-year drop in crossings, from NYT story cited at Row ",O324, ".")</f>
        <v>Year-on-year drop in crossings, from NYT story cited at Row 324.</v>
      </c>
      <c r="K377" s="3785"/>
      <c r="L377" s="3785"/>
      <c r="M377" s="3785"/>
      <c r="N377" s="3785"/>
      <c r="O377" s="117">
        <f>ROW()</f>
        <v>377</v>
      </c>
    </row>
    <row r="378" spans="2:15" ht="14.1" customHeight="1">
      <c r="I378">
        <f>I377/G377</f>
        <v>0.96</v>
      </c>
      <c r="J378" s="3785"/>
      <c r="K378" s="3785"/>
      <c r="L378" s="3785"/>
      <c r="M378" s="3785"/>
      <c r="N378" s="3785"/>
      <c r="O378" s="117">
        <f>ROW()</f>
        <v>378</v>
      </c>
    </row>
    <row r="379" spans="2:15" ht="14.1" customHeight="1">
      <c r="O379" s="117">
        <f>ROW()</f>
        <v>379</v>
      </c>
    </row>
    <row r="380" spans="2:15" ht="14.1" customHeight="1">
      <c r="B380" s="2" t="s">
        <v>6343</v>
      </c>
      <c r="I380" s="3581">
        <f>LOG(I378)/LOG(I375)</f>
        <v>-0.31877268088021654</v>
      </c>
      <c r="J380" s="215" t="str">
        <f>CONCATENATE("Calculated on Rows ",O375, " and ",O378, ", using logarithms.")</f>
        <v>Calculated on Rows 375 and 378, using logarithms.</v>
      </c>
      <c r="O380" s="117">
        <f>ROW()</f>
        <v>380</v>
      </c>
    </row>
  </sheetData>
  <customSheetViews>
    <customSheetView guid="{BD5E6263-A0AD-4076-921A-D4EBD62848EF}" showGridLines="0" showRuler="0" topLeftCell="A39">
      <selection activeCell="A55" sqref="A55"/>
      <pageMargins left="0.75" right="0.75" top="1" bottom="1" header="0.5" footer="0.5"/>
      <pageSetup orientation="portrait" r:id="rId1"/>
      <headerFooter alignWithMargins="0"/>
    </customSheetView>
    <customSheetView guid="{1D5AE30A-CA7C-4B32-AEA4-9F37A560AAA8}" showGridLines="0" showRuler="0" topLeftCell="A39">
      <selection activeCell="A55" sqref="A55"/>
      <pageMargins left="0.75" right="0.75" top="1" bottom="1" header="0.5" footer="0.5"/>
      <pageSetup orientation="portrait" r:id="rId2"/>
      <headerFooter alignWithMargins="0"/>
    </customSheetView>
  </customSheetViews>
  <mergeCells count="57">
    <mergeCell ref="J355:J358"/>
    <mergeCell ref="J377:N378"/>
    <mergeCell ref="H324:M325"/>
    <mergeCell ref="B148:J151"/>
    <mergeCell ref="B152:J153"/>
    <mergeCell ref="J347:N348"/>
    <mergeCell ref="B326:M328"/>
    <mergeCell ref="B332:L333"/>
    <mergeCell ref="B335:L336"/>
    <mergeCell ref="H101:K102"/>
    <mergeCell ref="B97:E98"/>
    <mergeCell ref="B180:J183"/>
    <mergeCell ref="B113:J115"/>
    <mergeCell ref="B160:J162"/>
    <mergeCell ref="B143:J147"/>
    <mergeCell ref="B132:J133"/>
    <mergeCell ref="B127:J131"/>
    <mergeCell ref="B135:J142"/>
    <mergeCell ref="B121:J126"/>
    <mergeCell ref="F103:G104"/>
    <mergeCell ref="B100:E101"/>
    <mergeCell ref="B106:J109"/>
    <mergeCell ref="B103:E104"/>
    <mergeCell ref="B35:J38"/>
    <mergeCell ref="B19:J20"/>
    <mergeCell ref="J47:J48"/>
    <mergeCell ref="B43:J45"/>
    <mergeCell ref="G47:G48"/>
    <mergeCell ref="I47:I48"/>
    <mergeCell ref="B7:J9"/>
    <mergeCell ref="B12:J16"/>
    <mergeCell ref="B17:J18"/>
    <mergeCell ref="B28:J34"/>
    <mergeCell ref="B10:J11"/>
    <mergeCell ref="B24:J27"/>
    <mergeCell ref="L46:L48"/>
    <mergeCell ref="I87:J89"/>
    <mergeCell ref="F49:F50"/>
    <mergeCell ref="L84:L86"/>
    <mergeCell ref="H47:H48"/>
    <mergeCell ref="B81:I82"/>
    <mergeCell ref="L37:N44"/>
    <mergeCell ref="F94:G95"/>
    <mergeCell ref="G53:I53"/>
    <mergeCell ref="G54:I54"/>
    <mergeCell ref="F84:G85"/>
    <mergeCell ref="I84:J85"/>
    <mergeCell ref="B58:J61"/>
    <mergeCell ref="B88:E89"/>
    <mergeCell ref="B91:E92"/>
    <mergeCell ref="F53:F54"/>
    <mergeCell ref="I73:M77"/>
    <mergeCell ref="B94:E95"/>
    <mergeCell ref="B56:J57"/>
    <mergeCell ref="F62:I65"/>
    <mergeCell ref="I67:M71"/>
    <mergeCell ref="I92:J93"/>
  </mergeCells>
  <phoneticPr fontId="6" type="noConversion"/>
  <pageMargins left="0.75" right="0.75" top="1" bottom="1" header="0.5" footer="0.5"/>
  <pageSetup orientation="portrait" r:id="rId3"/>
  <headerFooter alignWithMargins="0"/>
  <drawing r:id="rId4"/>
</worksheet>
</file>

<file path=xl/worksheets/sheet38.xml><?xml version="1.0" encoding="utf-8"?>
<worksheet xmlns="http://schemas.openxmlformats.org/spreadsheetml/2006/main" xmlns:r="http://schemas.openxmlformats.org/officeDocument/2006/relationships">
  <sheetPr codeName="Sheet23"/>
  <dimension ref="A1:AA81"/>
  <sheetViews>
    <sheetView showRuler="0" workbookViewId="0"/>
  </sheetViews>
  <sheetFormatPr defaultRowHeight="13.95" customHeight="1"/>
  <cols>
    <col min="1" max="1" width="15.375" customWidth="1"/>
    <col min="3" max="5" width="9.125" bestFit="1" customWidth="1"/>
    <col min="7" max="9" width="9.125" bestFit="1" customWidth="1"/>
    <col min="10" max="10" width="10.125" customWidth="1"/>
    <col min="11" max="26" width="9.125" bestFit="1" customWidth="1"/>
    <col min="27" max="27" width="9.875" bestFit="1" customWidth="1"/>
  </cols>
  <sheetData>
    <row r="1" spans="1:10" ht="13.95" customHeight="1">
      <c r="A1" s="115" t="s">
        <v>89</v>
      </c>
      <c r="J1" s="181">
        <f>'Title Page'!K1</f>
        <v>40914</v>
      </c>
    </row>
    <row r="5" spans="1:10" ht="13.95" customHeight="1">
      <c r="A5" s="5103" t="s">
        <v>3283</v>
      </c>
      <c r="B5" s="3781"/>
      <c r="C5" s="3781"/>
      <c r="D5" s="3781"/>
      <c r="E5" s="3781"/>
      <c r="F5" s="3781"/>
      <c r="G5" s="3781"/>
      <c r="H5" s="3781"/>
      <c r="I5" s="3781"/>
      <c r="J5" s="3781"/>
    </row>
    <row r="6" spans="1:10" ht="13.95" customHeight="1">
      <c r="A6" s="3781"/>
      <c r="B6" s="3781"/>
      <c r="C6" s="3781"/>
      <c r="D6" s="3781"/>
      <c r="E6" s="3781"/>
      <c r="F6" s="3781"/>
      <c r="G6" s="3781"/>
      <c r="H6" s="3781"/>
      <c r="I6" s="3781"/>
      <c r="J6" s="3781"/>
    </row>
    <row r="8" spans="1:10" ht="13.95" customHeight="1">
      <c r="A8" s="5103" t="s">
        <v>3284</v>
      </c>
      <c r="B8" s="3781"/>
      <c r="C8" s="3781"/>
      <c r="D8" s="3781"/>
      <c r="E8" s="3781"/>
      <c r="F8" s="3781"/>
      <c r="G8" s="3781"/>
      <c r="H8" s="3781"/>
      <c r="I8" s="3781"/>
      <c r="J8" s="3781"/>
    </row>
    <row r="9" spans="1:10" ht="13.95" customHeight="1">
      <c r="A9" s="3781"/>
      <c r="B9" s="3781"/>
      <c r="C9" s="3781"/>
      <c r="D9" s="3781"/>
      <c r="E9" s="3781"/>
      <c r="F9" s="3781"/>
      <c r="G9" s="3781"/>
      <c r="H9" s="3781"/>
      <c r="I9" s="3781"/>
      <c r="J9" s="3781"/>
    </row>
    <row r="10" spans="1:10" ht="13.95" customHeight="1">
      <c r="A10" s="3781"/>
      <c r="B10" s="3781"/>
      <c r="C10" s="3781"/>
      <c r="D10" s="3781"/>
      <c r="E10" s="3781"/>
      <c r="F10" s="3781"/>
      <c r="G10" s="3781"/>
      <c r="H10" s="3781"/>
      <c r="I10" s="3781"/>
      <c r="J10" s="3781"/>
    </row>
    <row r="11" spans="1:10" ht="13.95" customHeight="1">
      <c r="A11" s="3781"/>
      <c r="B11" s="3781"/>
      <c r="C11" s="3781"/>
      <c r="D11" s="3781"/>
      <c r="E11" s="3781"/>
      <c r="F11" s="3781"/>
      <c r="G11" s="3781"/>
      <c r="H11" s="3781"/>
      <c r="I11" s="3781"/>
      <c r="J11" s="3781"/>
    </row>
    <row r="12" spans="1:10" ht="13.95" customHeight="1">
      <c r="A12" s="3781"/>
      <c r="B12" s="3781"/>
      <c r="C12" s="3781"/>
      <c r="D12" s="3781"/>
      <c r="E12" s="3781"/>
      <c r="F12" s="3781"/>
      <c r="G12" s="3781"/>
      <c r="H12" s="3781"/>
      <c r="I12" s="3781"/>
      <c r="J12" s="3781"/>
    </row>
    <row r="13" spans="1:10" ht="13.95" customHeight="1">
      <c r="A13" s="45"/>
      <c r="B13" s="45"/>
      <c r="C13" s="45"/>
      <c r="D13" s="45"/>
      <c r="E13" s="45"/>
      <c r="F13" s="45"/>
      <c r="G13" s="45"/>
      <c r="H13" s="45"/>
      <c r="I13" s="45"/>
      <c r="J13" s="45"/>
    </row>
    <row r="14" spans="1:10" ht="13.95" customHeight="1">
      <c r="A14" t="s">
        <v>201</v>
      </c>
    </row>
    <row r="16" spans="1:10" ht="13.95" customHeight="1">
      <c r="A16" s="6" t="s">
        <v>1712</v>
      </c>
    </row>
    <row r="17" spans="1:27" ht="13.95" customHeight="1">
      <c r="A17" s="6"/>
    </row>
    <row r="18" spans="1:27" s="17" customFormat="1" ht="13.95" customHeight="1">
      <c r="A18" s="172" t="s">
        <v>202</v>
      </c>
      <c r="C18" s="732" t="str">
        <f>Subways!P127</f>
        <v>Midnight</v>
      </c>
      <c r="D18" s="732" t="str">
        <f>Subways!Q127</f>
        <v>1 a.m.</v>
      </c>
      <c r="E18" s="732" t="str">
        <f>Subways!R127</f>
        <v>2 a.m.</v>
      </c>
      <c r="F18" s="732" t="str">
        <f>Subways!S127</f>
        <v>3 a.m.</v>
      </c>
      <c r="G18" s="732" t="str">
        <f>Subways!T127</f>
        <v>4 a.m.</v>
      </c>
      <c r="H18" s="732" t="str">
        <f>Subways!U127</f>
        <v>5 a.m.</v>
      </c>
      <c r="I18" s="732" t="str">
        <f>Subways!V127</f>
        <v>6 a.m.</v>
      </c>
      <c r="J18" s="732" t="str">
        <f>Subways!W127</f>
        <v>7 a.m.</v>
      </c>
      <c r="K18" s="732" t="str">
        <f>Subways!X127</f>
        <v>8 a.m.</v>
      </c>
      <c r="L18" s="732" t="str">
        <f>Subways!Y127</f>
        <v>9 a.m.</v>
      </c>
      <c r="M18" s="732" t="str">
        <f>Subways!Z127</f>
        <v>10 a.m.</v>
      </c>
      <c r="N18" s="732" t="str">
        <f>Subways!AA127</f>
        <v>11 a.m.</v>
      </c>
      <c r="O18" s="732" t="str">
        <f>Subways!AB127</f>
        <v>Noon</v>
      </c>
      <c r="P18" s="732" t="str">
        <f>Subways!AC127</f>
        <v>1 p.m.</v>
      </c>
      <c r="Q18" s="732" t="str">
        <f>Subways!AD127</f>
        <v>2 p.m.</v>
      </c>
      <c r="R18" s="732" t="str">
        <f>Subways!AE127</f>
        <v>3 p.m.</v>
      </c>
      <c r="S18" s="732" t="str">
        <f>Subways!AF127</f>
        <v>4 p.m.</v>
      </c>
      <c r="T18" s="732" t="str">
        <f>Subways!AG127</f>
        <v>5 p.m.</v>
      </c>
      <c r="U18" s="732" t="str">
        <f>Subways!AH127</f>
        <v>6 p.m.</v>
      </c>
      <c r="V18" s="732" t="str">
        <f>Subways!AI127</f>
        <v>7 p.m.</v>
      </c>
      <c r="W18" s="732" t="str">
        <f>Subways!AJ127</f>
        <v>8 p.m.</v>
      </c>
      <c r="X18" s="732" t="str">
        <f>Subways!AK127</f>
        <v>9 p.m.</v>
      </c>
      <c r="Y18" s="732" t="str">
        <f>Subways!AL127</f>
        <v>10 p.m.</v>
      </c>
      <c r="Z18" s="732" t="str">
        <f>Subways!AM127</f>
        <v>11 p.m.</v>
      </c>
      <c r="AA18" s="732" t="s">
        <v>1713</v>
      </c>
    </row>
    <row r="19" spans="1:27" ht="13.95" customHeight="1">
      <c r="B19" s="146" t="s">
        <v>491</v>
      </c>
      <c r="C19" s="186">
        <f>Subways!P129</f>
        <v>38517.564949044012</v>
      </c>
      <c r="D19" s="186">
        <f>Subways!Q129</f>
        <v>17691.773825628516</v>
      </c>
      <c r="E19" s="186">
        <f>Subways!R129</f>
        <v>10222.985568350345</v>
      </c>
      <c r="F19" s="186">
        <f>Subways!S129</f>
        <v>7195.4786372082581</v>
      </c>
      <c r="G19" s="186">
        <f>Subways!T129</f>
        <v>11047.938502458428</v>
      </c>
      <c r="H19" s="186">
        <f>Subways!U129</f>
        <v>44175.676973359012</v>
      </c>
      <c r="I19" s="186">
        <f>Subways!V129</f>
        <v>147088.80670703726</v>
      </c>
      <c r="J19" s="186">
        <f>Subways!W129</f>
        <v>321891.40985211957</v>
      </c>
      <c r="K19" s="186">
        <f>Subways!X129</f>
        <v>507282.75114535174</v>
      </c>
      <c r="L19" s="186">
        <f>Subways!Y129</f>
        <v>331096.51804866543</v>
      </c>
      <c r="M19" s="186">
        <f>Subways!Z129</f>
        <v>177500.53082849307</v>
      </c>
      <c r="N19" s="186">
        <f>Subways!AA129</f>
        <v>139611.97993152172</v>
      </c>
      <c r="O19" s="186">
        <f>Subways!AB129</f>
        <v>139936.53510535473</v>
      </c>
      <c r="P19" s="186">
        <f>Subways!AC129</f>
        <v>148061.46741375665</v>
      </c>
      <c r="Q19" s="186">
        <f>Subways!AD129</f>
        <v>184154.41429945984</v>
      </c>
      <c r="R19" s="186">
        <f>Subways!AE129</f>
        <v>238276.75277676029</v>
      </c>
      <c r="S19" s="186">
        <f>Subways!AF129</f>
        <v>313971.45975877013</v>
      </c>
      <c r="T19" s="186">
        <f>Subways!AG129</f>
        <v>435552.0384691353</v>
      </c>
      <c r="U19" s="186">
        <f>Subways!AH129</f>
        <v>359099.70114325511</v>
      </c>
      <c r="V19" s="186">
        <f>Subways!AI129</f>
        <v>236898.1468990547</v>
      </c>
      <c r="W19" s="186">
        <f>Subways!AJ129</f>
        <v>165084.03459612574</v>
      </c>
      <c r="X19" s="186">
        <f>Subways!AK129</f>
        <v>120710.40911117196</v>
      </c>
      <c r="Y19" s="186">
        <f>Subways!AL129</f>
        <v>99108.900977852158</v>
      </c>
      <c r="Z19" s="186">
        <f>Subways!AM129</f>
        <v>62656.23040102754</v>
      </c>
      <c r="AA19" s="10"/>
    </row>
    <row r="20" spans="1:27" ht="13.95" customHeight="1">
      <c r="A20" s="730" t="str">
        <f>C18</f>
        <v>Midnight</v>
      </c>
      <c r="B20" s="186">
        <f>C19</f>
        <v>38517.564949044012</v>
      </c>
      <c r="C20" s="10">
        <f t="shared" ref="C20:C36" si="0">ABS($B20-C$19)</f>
        <v>0</v>
      </c>
      <c r="D20" s="10">
        <f t="shared" ref="D20:S35" si="1">ABS($B20-D$19)</f>
        <v>20825.791123415496</v>
      </c>
      <c r="E20" s="10">
        <f t="shared" si="1"/>
        <v>28294.579380693667</v>
      </c>
      <c r="F20" s="10">
        <f t="shared" si="1"/>
        <v>31322.086311835752</v>
      </c>
      <c r="G20" s="10">
        <f t="shared" si="1"/>
        <v>27469.626446585586</v>
      </c>
      <c r="H20" s="10">
        <f t="shared" si="1"/>
        <v>5658.1120243149999</v>
      </c>
      <c r="I20" s="10">
        <f t="shared" si="1"/>
        <v>108571.24175799325</v>
      </c>
      <c r="J20" s="10">
        <f t="shared" si="1"/>
        <v>283373.84490307554</v>
      </c>
      <c r="K20" s="10">
        <f t="shared" si="1"/>
        <v>468765.18619630771</v>
      </c>
      <c r="L20" s="10">
        <f t="shared" si="1"/>
        <v>292578.9530996214</v>
      </c>
      <c r="M20" s="10">
        <f t="shared" si="1"/>
        <v>138982.96587944904</v>
      </c>
      <c r="N20" s="10">
        <f t="shared" si="1"/>
        <v>101094.41498247771</v>
      </c>
      <c r="O20" s="10">
        <f t="shared" si="1"/>
        <v>101418.97015631072</v>
      </c>
      <c r="P20" s="10">
        <f t="shared" si="1"/>
        <v>109543.90246471264</v>
      </c>
      <c r="Q20" s="10">
        <f t="shared" si="1"/>
        <v>145636.84935041581</v>
      </c>
      <c r="R20" s="10">
        <f t="shared" si="1"/>
        <v>199759.18782771629</v>
      </c>
      <c r="S20" s="10">
        <f t="shared" si="1"/>
        <v>275453.8948097261</v>
      </c>
      <c r="T20" s="10">
        <f t="shared" ref="T20:Z35" si="2">ABS($B20-T$19)</f>
        <v>397034.47352009127</v>
      </c>
      <c r="U20" s="10">
        <f t="shared" si="2"/>
        <v>320582.13619421108</v>
      </c>
      <c r="V20" s="10">
        <f t="shared" si="2"/>
        <v>198380.58195001067</v>
      </c>
      <c r="W20" s="10">
        <f t="shared" si="2"/>
        <v>126566.46964708173</v>
      </c>
      <c r="X20" s="10">
        <f t="shared" si="2"/>
        <v>82192.844162127949</v>
      </c>
      <c r="Y20" s="10">
        <f t="shared" si="2"/>
        <v>60591.336028808146</v>
      </c>
      <c r="Z20" s="10">
        <f t="shared" si="2"/>
        <v>24138.665451983528</v>
      </c>
      <c r="AA20" s="10">
        <f>SUM(C20:Z20)</f>
        <v>3548236.1136689661</v>
      </c>
    </row>
    <row r="21" spans="1:27" ht="13.95" customHeight="1">
      <c r="A21" s="730" t="str">
        <f>D18</f>
        <v>1 a.m.</v>
      </c>
      <c r="B21" s="186">
        <f>D19</f>
        <v>17691.773825628516</v>
      </c>
      <c r="C21" s="10">
        <f t="shared" si="0"/>
        <v>20825.791123415496</v>
      </c>
      <c r="D21" s="10">
        <f t="shared" si="1"/>
        <v>0</v>
      </c>
      <c r="E21" s="10">
        <f t="shared" si="1"/>
        <v>7468.7882572781709</v>
      </c>
      <c r="F21" s="10">
        <f t="shared" si="1"/>
        <v>10496.295188420258</v>
      </c>
      <c r="G21" s="10">
        <f t="shared" si="1"/>
        <v>6643.8353231700876</v>
      </c>
      <c r="H21" s="10">
        <f t="shared" si="1"/>
        <v>26483.903147730496</v>
      </c>
      <c r="I21" s="10">
        <f t="shared" si="1"/>
        <v>129397.03288140876</v>
      </c>
      <c r="J21" s="10">
        <f t="shared" si="1"/>
        <v>304199.63602649106</v>
      </c>
      <c r="K21" s="10">
        <f t="shared" si="1"/>
        <v>489590.97731972323</v>
      </c>
      <c r="L21" s="10">
        <f t="shared" si="1"/>
        <v>313404.74422303692</v>
      </c>
      <c r="M21" s="10">
        <f t="shared" si="1"/>
        <v>159808.75700286456</v>
      </c>
      <c r="N21" s="10">
        <f t="shared" si="1"/>
        <v>121920.20610589322</v>
      </c>
      <c r="O21" s="10">
        <f t="shared" si="1"/>
        <v>122244.76127972623</v>
      </c>
      <c r="P21" s="10">
        <f t="shared" si="1"/>
        <v>130369.69358812814</v>
      </c>
      <c r="Q21" s="10">
        <f t="shared" si="1"/>
        <v>166462.64047383133</v>
      </c>
      <c r="R21" s="10">
        <f t="shared" si="1"/>
        <v>220584.97895113178</v>
      </c>
      <c r="S21" s="10">
        <f t="shared" si="1"/>
        <v>296279.68593314162</v>
      </c>
      <c r="T21" s="10">
        <f t="shared" si="2"/>
        <v>417860.26464350679</v>
      </c>
      <c r="U21" s="10">
        <f t="shared" si="2"/>
        <v>341407.9273176266</v>
      </c>
      <c r="V21" s="10">
        <f t="shared" si="2"/>
        <v>219206.37307342619</v>
      </c>
      <c r="W21" s="10">
        <f t="shared" si="2"/>
        <v>147392.26077049723</v>
      </c>
      <c r="X21" s="10">
        <f t="shared" si="2"/>
        <v>103018.63528554345</v>
      </c>
      <c r="Y21" s="10">
        <f t="shared" si="2"/>
        <v>81417.127152223635</v>
      </c>
      <c r="Z21" s="10">
        <f t="shared" si="2"/>
        <v>44964.456575399025</v>
      </c>
      <c r="AA21" s="10">
        <f t="shared" ref="AA21:AA43" si="3">SUM(C21:Z21)</f>
        <v>3881448.7716436135</v>
      </c>
    </row>
    <row r="22" spans="1:27" ht="13.95" customHeight="1">
      <c r="A22" s="730" t="str">
        <f>E18</f>
        <v>2 a.m.</v>
      </c>
      <c r="B22" s="186">
        <f>E19</f>
        <v>10222.985568350345</v>
      </c>
      <c r="C22" s="10">
        <f t="shared" si="0"/>
        <v>28294.579380693667</v>
      </c>
      <c r="D22" s="10">
        <f t="shared" si="1"/>
        <v>7468.7882572781709</v>
      </c>
      <c r="E22" s="10">
        <f t="shared" si="1"/>
        <v>0</v>
      </c>
      <c r="F22" s="10">
        <f t="shared" si="1"/>
        <v>3027.5069311420866</v>
      </c>
      <c r="G22" s="10">
        <f t="shared" si="1"/>
        <v>824.95293410808335</v>
      </c>
      <c r="H22" s="10">
        <f t="shared" si="1"/>
        <v>33952.691405008663</v>
      </c>
      <c r="I22" s="10">
        <f t="shared" si="1"/>
        <v>136865.82113868691</v>
      </c>
      <c r="J22" s="10">
        <f t="shared" si="1"/>
        <v>311668.42428376921</v>
      </c>
      <c r="K22" s="10">
        <f t="shared" si="1"/>
        <v>497059.76557700138</v>
      </c>
      <c r="L22" s="10">
        <f t="shared" si="1"/>
        <v>320873.53248031507</v>
      </c>
      <c r="M22" s="10">
        <f t="shared" si="1"/>
        <v>167277.54526014271</v>
      </c>
      <c r="N22" s="10">
        <f t="shared" si="1"/>
        <v>129388.99436317138</v>
      </c>
      <c r="O22" s="10">
        <f t="shared" si="1"/>
        <v>129713.54953700439</v>
      </c>
      <c r="P22" s="10">
        <f t="shared" si="1"/>
        <v>137838.48184540629</v>
      </c>
      <c r="Q22" s="10">
        <f t="shared" si="1"/>
        <v>173931.42873110948</v>
      </c>
      <c r="R22" s="10">
        <f t="shared" si="1"/>
        <v>228053.76720840993</v>
      </c>
      <c r="S22" s="10">
        <f t="shared" si="1"/>
        <v>303748.47419041977</v>
      </c>
      <c r="T22" s="10">
        <f t="shared" si="2"/>
        <v>425329.05290078494</v>
      </c>
      <c r="U22" s="10">
        <f t="shared" si="2"/>
        <v>348876.71557490475</v>
      </c>
      <c r="V22" s="10">
        <f t="shared" si="2"/>
        <v>226675.16133070434</v>
      </c>
      <c r="W22" s="10">
        <f t="shared" si="2"/>
        <v>154861.04902777539</v>
      </c>
      <c r="X22" s="10">
        <f t="shared" si="2"/>
        <v>110487.42354282162</v>
      </c>
      <c r="Y22" s="10">
        <f t="shared" si="2"/>
        <v>88885.915409501817</v>
      </c>
      <c r="Z22" s="10">
        <f t="shared" si="2"/>
        <v>52433.244832677199</v>
      </c>
      <c r="AA22" s="10">
        <f t="shared" si="3"/>
        <v>4017536.8661428378</v>
      </c>
    </row>
    <row r="23" spans="1:27" ht="13.95" customHeight="1">
      <c r="A23" s="730" t="str">
        <f>F18</f>
        <v>3 a.m.</v>
      </c>
      <c r="B23" s="186">
        <f>F19</f>
        <v>7195.4786372082581</v>
      </c>
      <c r="C23" s="10">
        <f t="shared" si="0"/>
        <v>31322.086311835752</v>
      </c>
      <c r="D23" s="10">
        <f t="shared" si="1"/>
        <v>10496.295188420258</v>
      </c>
      <c r="E23" s="10">
        <f t="shared" si="1"/>
        <v>3027.5069311420866</v>
      </c>
      <c r="F23" s="10">
        <f t="shared" si="1"/>
        <v>0</v>
      </c>
      <c r="G23" s="10">
        <f t="shared" si="1"/>
        <v>3852.45986525017</v>
      </c>
      <c r="H23" s="10">
        <f t="shared" si="1"/>
        <v>36980.198336150752</v>
      </c>
      <c r="I23" s="10">
        <f t="shared" si="1"/>
        <v>139893.328069829</v>
      </c>
      <c r="J23" s="10">
        <f t="shared" si="1"/>
        <v>314695.93121491134</v>
      </c>
      <c r="K23" s="10">
        <f t="shared" si="1"/>
        <v>500087.27250814351</v>
      </c>
      <c r="L23" s="10">
        <f t="shared" si="1"/>
        <v>323901.0394114572</v>
      </c>
      <c r="M23" s="10">
        <f t="shared" si="1"/>
        <v>170305.05219128481</v>
      </c>
      <c r="N23" s="10">
        <f t="shared" si="1"/>
        <v>132416.50129431346</v>
      </c>
      <c r="O23" s="10">
        <f t="shared" si="1"/>
        <v>132741.05646814647</v>
      </c>
      <c r="P23" s="10">
        <f t="shared" si="1"/>
        <v>140865.98877654839</v>
      </c>
      <c r="Q23" s="10">
        <f t="shared" si="1"/>
        <v>176958.93566225158</v>
      </c>
      <c r="R23" s="10">
        <f t="shared" si="1"/>
        <v>231081.27413955203</v>
      </c>
      <c r="S23" s="10">
        <f t="shared" si="1"/>
        <v>306775.9811215619</v>
      </c>
      <c r="T23" s="10">
        <f t="shared" si="2"/>
        <v>428356.55983192706</v>
      </c>
      <c r="U23" s="10">
        <f t="shared" si="2"/>
        <v>351904.22250604688</v>
      </c>
      <c r="V23" s="10">
        <f t="shared" si="2"/>
        <v>229702.66826184644</v>
      </c>
      <c r="W23" s="10">
        <f t="shared" si="2"/>
        <v>157888.55595891748</v>
      </c>
      <c r="X23" s="10">
        <f t="shared" si="2"/>
        <v>113514.9304739637</v>
      </c>
      <c r="Y23" s="10">
        <f t="shared" si="2"/>
        <v>91913.422340643898</v>
      </c>
      <c r="Z23" s="10">
        <f t="shared" si="2"/>
        <v>55460.75176381928</v>
      </c>
      <c r="AA23" s="10">
        <f t="shared" si="3"/>
        <v>4084142.018627963</v>
      </c>
    </row>
    <row r="24" spans="1:27" ht="13.95" customHeight="1">
      <c r="A24" s="730" t="str">
        <f>G18</f>
        <v>4 a.m.</v>
      </c>
      <c r="B24" s="186">
        <f>G19</f>
        <v>11047.938502458428</v>
      </c>
      <c r="C24" s="10">
        <f t="shared" si="0"/>
        <v>27469.626446585586</v>
      </c>
      <c r="D24" s="10">
        <f t="shared" si="1"/>
        <v>6643.8353231700876</v>
      </c>
      <c r="E24" s="10">
        <f t="shared" si="1"/>
        <v>824.95293410808335</v>
      </c>
      <c r="F24" s="10">
        <f t="shared" si="1"/>
        <v>3852.45986525017</v>
      </c>
      <c r="G24" s="10">
        <f t="shared" si="1"/>
        <v>0</v>
      </c>
      <c r="H24" s="10">
        <f t="shared" si="1"/>
        <v>33127.738470900586</v>
      </c>
      <c r="I24" s="10">
        <f t="shared" si="1"/>
        <v>136040.86820457884</v>
      </c>
      <c r="J24" s="10">
        <f t="shared" si="1"/>
        <v>310843.47134966112</v>
      </c>
      <c r="K24" s="10">
        <f t="shared" si="1"/>
        <v>496234.81264289329</v>
      </c>
      <c r="L24" s="10">
        <f t="shared" si="1"/>
        <v>320048.57954620698</v>
      </c>
      <c r="M24" s="10">
        <f t="shared" si="1"/>
        <v>166452.59232603465</v>
      </c>
      <c r="N24" s="10">
        <f t="shared" si="1"/>
        <v>128564.04142906329</v>
      </c>
      <c r="O24" s="10">
        <f t="shared" si="1"/>
        <v>128888.5966028963</v>
      </c>
      <c r="P24" s="10">
        <f t="shared" si="1"/>
        <v>137013.52891129823</v>
      </c>
      <c r="Q24" s="10">
        <f t="shared" si="1"/>
        <v>173106.47579700142</v>
      </c>
      <c r="R24" s="10">
        <f t="shared" si="1"/>
        <v>227228.81427430187</v>
      </c>
      <c r="S24" s="10">
        <f t="shared" si="1"/>
        <v>302923.52125631168</v>
      </c>
      <c r="T24" s="10">
        <f t="shared" si="2"/>
        <v>424504.09996667685</v>
      </c>
      <c r="U24" s="10">
        <f t="shared" si="2"/>
        <v>348051.76264079666</v>
      </c>
      <c r="V24" s="10">
        <f t="shared" si="2"/>
        <v>225850.20839659628</v>
      </c>
      <c r="W24" s="10">
        <f t="shared" si="2"/>
        <v>154036.09609366732</v>
      </c>
      <c r="X24" s="10">
        <f t="shared" si="2"/>
        <v>109662.47060871353</v>
      </c>
      <c r="Y24" s="10">
        <f t="shared" si="2"/>
        <v>88060.962475393724</v>
      </c>
      <c r="Z24" s="10">
        <f t="shared" si="2"/>
        <v>51608.291898569114</v>
      </c>
      <c r="AA24" s="10">
        <f t="shared" si="3"/>
        <v>4001037.8074606759</v>
      </c>
    </row>
    <row r="25" spans="1:27" ht="13.95" customHeight="1">
      <c r="A25" s="730" t="str">
        <f>H18</f>
        <v>5 a.m.</v>
      </c>
      <c r="B25" s="186">
        <f>H19</f>
        <v>44175.676973359012</v>
      </c>
      <c r="C25" s="10">
        <f t="shared" si="0"/>
        <v>5658.1120243149999</v>
      </c>
      <c r="D25" s="10">
        <f t="shared" si="1"/>
        <v>26483.903147730496</v>
      </c>
      <c r="E25" s="10">
        <f t="shared" si="1"/>
        <v>33952.691405008663</v>
      </c>
      <c r="F25" s="10">
        <f t="shared" si="1"/>
        <v>36980.198336150752</v>
      </c>
      <c r="G25" s="10">
        <f t="shared" si="1"/>
        <v>33127.738470900586</v>
      </c>
      <c r="H25" s="10">
        <f t="shared" si="1"/>
        <v>0</v>
      </c>
      <c r="I25" s="10">
        <f t="shared" si="1"/>
        <v>102913.12973367824</v>
      </c>
      <c r="J25" s="10">
        <f t="shared" si="1"/>
        <v>277715.73287876055</v>
      </c>
      <c r="K25" s="10">
        <f t="shared" si="1"/>
        <v>463107.07417199272</v>
      </c>
      <c r="L25" s="10">
        <f t="shared" si="1"/>
        <v>286920.84107530641</v>
      </c>
      <c r="M25" s="10">
        <f t="shared" si="1"/>
        <v>133324.85385513405</v>
      </c>
      <c r="N25" s="10">
        <f t="shared" si="1"/>
        <v>95436.302958162705</v>
      </c>
      <c r="O25" s="10">
        <f t="shared" si="1"/>
        <v>95760.858131995716</v>
      </c>
      <c r="P25" s="10">
        <f t="shared" si="1"/>
        <v>103885.79044039763</v>
      </c>
      <c r="Q25" s="10">
        <f t="shared" si="1"/>
        <v>139978.73732610082</v>
      </c>
      <c r="R25" s="10">
        <f t="shared" si="1"/>
        <v>194101.07580340127</v>
      </c>
      <c r="S25" s="10">
        <f t="shared" si="1"/>
        <v>269795.78278541111</v>
      </c>
      <c r="T25" s="10">
        <f t="shared" si="2"/>
        <v>391376.36149577628</v>
      </c>
      <c r="U25" s="10">
        <f t="shared" si="2"/>
        <v>314924.02416989609</v>
      </c>
      <c r="V25" s="10">
        <f t="shared" si="2"/>
        <v>192722.46992569568</v>
      </c>
      <c r="W25" s="10">
        <f t="shared" si="2"/>
        <v>120908.35762276672</v>
      </c>
      <c r="X25" s="10">
        <f t="shared" si="2"/>
        <v>76534.732137812942</v>
      </c>
      <c r="Y25" s="10">
        <f t="shared" si="2"/>
        <v>54933.224004493146</v>
      </c>
      <c r="Z25" s="10">
        <f t="shared" si="2"/>
        <v>18480.553427668528</v>
      </c>
      <c r="AA25" s="10">
        <f t="shared" si="3"/>
        <v>3469022.5453285561</v>
      </c>
    </row>
    <row r="26" spans="1:27" ht="13.95" customHeight="1">
      <c r="A26" s="730" t="str">
        <f>I18</f>
        <v>6 a.m.</v>
      </c>
      <c r="B26" s="186">
        <f>I19</f>
        <v>147088.80670703726</v>
      </c>
      <c r="C26" s="10">
        <f t="shared" si="0"/>
        <v>108571.24175799325</v>
      </c>
      <c r="D26" s="10">
        <f t="shared" si="1"/>
        <v>129397.03288140876</v>
      </c>
      <c r="E26" s="10">
        <f t="shared" si="1"/>
        <v>136865.82113868691</v>
      </c>
      <c r="F26" s="10">
        <f t="shared" si="1"/>
        <v>139893.328069829</v>
      </c>
      <c r="G26" s="10">
        <f t="shared" si="1"/>
        <v>136040.86820457884</v>
      </c>
      <c r="H26" s="10">
        <f t="shared" si="1"/>
        <v>102913.12973367824</v>
      </c>
      <c r="I26" s="10">
        <f t="shared" si="1"/>
        <v>0</v>
      </c>
      <c r="J26" s="10">
        <f t="shared" si="1"/>
        <v>174802.60314508231</v>
      </c>
      <c r="K26" s="10">
        <f t="shared" si="1"/>
        <v>360193.94443831447</v>
      </c>
      <c r="L26" s="10">
        <f t="shared" si="1"/>
        <v>184007.71134162816</v>
      </c>
      <c r="M26" s="10">
        <f t="shared" si="1"/>
        <v>30411.724121455802</v>
      </c>
      <c r="N26" s="10">
        <f t="shared" si="1"/>
        <v>7476.8267755155393</v>
      </c>
      <c r="O26" s="10">
        <f t="shared" si="1"/>
        <v>7152.2716016825289</v>
      </c>
      <c r="P26" s="10">
        <f t="shared" si="1"/>
        <v>972.6607067193836</v>
      </c>
      <c r="Q26" s="10">
        <f t="shared" si="1"/>
        <v>37065.607592422573</v>
      </c>
      <c r="R26" s="10">
        <f t="shared" si="1"/>
        <v>91187.946069723024</v>
      </c>
      <c r="S26" s="10">
        <f t="shared" si="1"/>
        <v>166882.65305173286</v>
      </c>
      <c r="T26" s="10">
        <f t="shared" si="2"/>
        <v>288463.23176209803</v>
      </c>
      <c r="U26" s="10">
        <f t="shared" si="2"/>
        <v>212010.89443621784</v>
      </c>
      <c r="V26" s="10">
        <f t="shared" si="2"/>
        <v>89809.340192017436</v>
      </c>
      <c r="W26" s="10">
        <f t="shared" si="2"/>
        <v>17995.227889088477</v>
      </c>
      <c r="X26" s="10">
        <f t="shared" si="2"/>
        <v>26378.397595865303</v>
      </c>
      <c r="Y26" s="10">
        <f t="shared" si="2"/>
        <v>47979.905729185106</v>
      </c>
      <c r="Z26" s="10">
        <f t="shared" si="2"/>
        <v>84432.576306009723</v>
      </c>
      <c r="AA26" s="10">
        <f t="shared" si="3"/>
        <v>2580904.9445409337</v>
      </c>
    </row>
    <row r="27" spans="1:27" ht="13.95" customHeight="1">
      <c r="A27" s="730" t="str">
        <f>J18</f>
        <v>7 a.m.</v>
      </c>
      <c r="B27" s="186">
        <f>J19</f>
        <v>321891.40985211957</v>
      </c>
      <c r="C27" s="10">
        <f t="shared" si="0"/>
        <v>283373.84490307554</v>
      </c>
      <c r="D27" s="10">
        <f t="shared" si="1"/>
        <v>304199.63602649106</v>
      </c>
      <c r="E27" s="10">
        <f t="shared" si="1"/>
        <v>311668.42428376921</v>
      </c>
      <c r="F27" s="10">
        <f t="shared" si="1"/>
        <v>314695.93121491134</v>
      </c>
      <c r="G27" s="10">
        <f t="shared" si="1"/>
        <v>310843.47134966112</v>
      </c>
      <c r="H27" s="10">
        <f t="shared" si="1"/>
        <v>277715.73287876055</v>
      </c>
      <c r="I27" s="10">
        <f t="shared" si="1"/>
        <v>174802.60314508231</v>
      </c>
      <c r="J27" s="10">
        <f t="shared" si="1"/>
        <v>0</v>
      </c>
      <c r="K27" s="10">
        <f t="shared" si="1"/>
        <v>185391.34129323217</v>
      </c>
      <c r="L27" s="10">
        <f t="shared" si="1"/>
        <v>9205.1081965458579</v>
      </c>
      <c r="M27" s="10">
        <f t="shared" si="1"/>
        <v>144390.8790236265</v>
      </c>
      <c r="N27" s="10">
        <f t="shared" si="1"/>
        <v>182279.42992059785</v>
      </c>
      <c r="O27" s="10">
        <f t="shared" si="1"/>
        <v>181954.87474676484</v>
      </c>
      <c r="P27" s="10">
        <f t="shared" si="1"/>
        <v>173829.94243836292</v>
      </c>
      <c r="Q27" s="10">
        <f t="shared" si="1"/>
        <v>137736.99555265973</v>
      </c>
      <c r="R27" s="10">
        <f t="shared" si="1"/>
        <v>83614.657075359282</v>
      </c>
      <c r="S27" s="10">
        <f t="shared" si="1"/>
        <v>7919.9500933494419</v>
      </c>
      <c r="T27" s="10">
        <f t="shared" si="2"/>
        <v>113660.62861701573</v>
      </c>
      <c r="U27" s="10">
        <f t="shared" si="2"/>
        <v>37208.291291135538</v>
      </c>
      <c r="V27" s="10">
        <f t="shared" si="2"/>
        <v>84993.26295306487</v>
      </c>
      <c r="W27" s="10">
        <f t="shared" si="2"/>
        <v>156807.37525599383</v>
      </c>
      <c r="X27" s="10">
        <f t="shared" si="2"/>
        <v>201181.00074094761</v>
      </c>
      <c r="Y27" s="10">
        <f t="shared" si="2"/>
        <v>222782.5088742674</v>
      </c>
      <c r="Z27" s="10">
        <f t="shared" si="2"/>
        <v>259235.17945109203</v>
      </c>
      <c r="AA27" s="10">
        <f t="shared" si="3"/>
        <v>4159491.069325767</v>
      </c>
    </row>
    <row r="28" spans="1:27" ht="13.95" customHeight="1">
      <c r="A28" s="730" t="str">
        <f>K18</f>
        <v>8 a.m.</v>
      </c>
      <c r="B28" s="186">
        <f>K19</f>
        <v>507282.75114535174</v>
      </c>
      <c r="C28" s="10">
        <f t="shared" si="0"/>
        <v>468765.18619630771</v>
      </c>
      <c r="D28" s="10">
        <f t="shared" si="1"/>
        <v>489590.97731972323</v>
      </c>
      <c r="E28" s="10">
        <f t="shared" si="1"/>
        <v>497059.76557700138</v>
      </c>
      <c r="F28" s="10">
        <f t="shared" si="1"/>
        <v>500087.27250814351</v>
      </c>
      <c r="G28" s="10">
        <f t="shared" si="1"/>
        <v>496234.81264289329</v>
      </c>
      <c r="H28" s="10">
        <f t="shared" si="1"/>
        <v>463107.07417199272</v>
      </c>
      <c r="I28" s="10">
        <f t="shared" si="1"/>
        <v>360193.94443831447</v>
      </c>
      <c r="J28" s="10">
        <f t="shared" si="1"/>
        <v>185391.34129323217</v>
      </c>
      <c r="K28" s="10">
        <f t="shared" si="1"/>
        <v>0</v>
      </c>
      <c r="L28" s="10">
        <f t="shared" si="1"/>
        <v>176186.23309668631</v>
      </c>
      <c r="M28" s="10">
        <f t="shared" si="1"/>
        <v>329782.22031685867</v>
      </c>
      <c r="N28" s="10">
        <f t="shared" si="1"/>
        <v>367670.77121382998</v>
      </c>
      <c r="O28" s="10">
        <f t="shared" si="1"/>
        <v>367346.216039997</v>
      </c>
      <c r="P28" s="10">
        <f t="shared" si="1"/>
        <v>359221.28373159509</v>
      </c>
      <c r="Q28" s="10">
        <f t="shared" si="1"/>
        <v>323128.3368458919</v>
      </c>
      <c r="R28" s="10">
        <f t="shared" si="1"/>
        <v>269005.99836859142</v>
      </c>
      <c r="S28" s="10">
        <f t="shared" si="1"/>
        <v>193311.29138658161</v>
      </c>
      <c r="T28" s="10">
        <f t="shared" si="2"/>
        <v>71730.712676216441</v>
      </c>
      <c r="U28" s="10">
        <f t="shared" si="2"/>
        <v>148183.05000209663</v>
      </c>
      <c r="V28" s="10">
        <f t="shared" si="2"/>
        <v>270384.60424629704</v>
      </c>
      <c r="W28" s="10">
        <f t="shared" si="2"/>
        <v>342198.71654922597</v>
      </c>
      <c r="X28" s="10">
        <f t="shared" si="2"/>
        <v>386572.34203417978</v>
      </c>
      <c r="Y28" s="10">
        <f t="shared" si="2"/>
        <v>408173.85016749956</v>
      </c>
      <c r="Z28" s="10">
        <f t="shared" si="2"/>
        <v>444626.5207443242</v>
      </c>
      <c r="AA28" s="10">
        <f t="shared" si="3"/>
        <v>7917952.5215674788</v>
      </c>
    </row>
    <row r="29" spans="1:27" ht="13.95" customHeight="1">
      <c r="A29" s="730" t="str">
        <f>L18</f>
        <v>9 a.m.</v>
      </c>
      <c r="B29" s="186">
        <f>L19</f>
        <v>331096.51804866543</v>
      </c>
      <c r="C29" s="10">
        <f t="shared" si="0"/>
        <v>292578.9530996214</v>
      </c>
      <c r="D29" s="10">
        <f t="shared" si="1"/>
        <v>313404.74422303692</v>
      </c>
      <c r="E29" s="10">
        <f t="shared" si="1"/>
        <v>320873.53248031507</v>
      </c>
      <c r="F29" s="10">
        <f t="shared" si="1"/>
        <v>323901.0394114572</v>
      </c>
      <c r="G29" s="10">
        <f t="shared" si="1"/>
        <v>320048.57954620698</v>
      </c>
      <c r="H29" s="10">
        <f t="shared" si="1"/>
        <v>286920.84107530641</v>
      </c>
      <c r="I29" s="10">
        <f t="shared" si="1"/>
        <v>184007.71134162816</v>
      </c>
      <c r="J29" s="10">
        <f t="shared" si="1"/>
        <v>9205.1081965458579</v>
      </c>
      <c r="K29" s="10">
        <f t="shared" si="1"/>
        <v>176186.23309668631</v>
      </c>
      <c r="L29" s="10">
        <f t="shared" si="1"/>
        <v>0</v>
      </c>
      <c r="M29" s="10">
        <f t="shared" si="1"/>
        <v>153595.98722017236</v>
      </c>
      <c r="N29" s="10">
        <f t="shared" si="1"/>
        <v>191484.5381171437</v>
      </c>
      <c r="O29" s="10">
        <f t="shared" si="1"/>
        <v>191159.98294331069</v>
      </c>
      <c r="P29" s="10">
        <f t="shared" si="1"/>
        <v>183035.05063490878</v>
      </c>
      <c r="Q29" s="10">
        <f t="shared" si="1"/>
        <v>146942.10374920559</v>
      </c>
      <c r="R29" s="10">
        <f t="shared" si="1"/>
        <v>92819.76527190514</v>
      </c>
      <c r="S29" s="10">
        <f t="shared" si="1"/>
        <v>17125.0582898953</v>
      </c>
      <c r="T29" s="10">
        <f t="shared" si="2"/>
        <v>104455.52042046987</v>
      </c>
      <c r="U29" s="10">
        <f t="shared" si="2"/>
        <v>28003.18309458968</v>
      </c>
      <c r="V29" s="10">
        <f t="shared" si="2"/>
        <v>94198.371149610728</v>
      </c>
      <c r="W29" s="10">
        <f t="shared" si="2"/>
        <v>166012.48345253969</v>
      </c>
      <c r="X29" s="10">
        <f t="shared" si="2"/>
        <v>210386.10893749347</v>
      </c>
      <c r="Y29" s="10">
        <f t="shared" si="2"/>
        <v>231987.61707081326</v>
      </c>
      <c r="Z29" s="10">
        <f t="shared" si="2"/>
        <v>268440.28764763789</v>
      </c>
      <c r="AA29" s="10">
        <f t="shared" si="3"/>
        <v>4306772.8004705012</v>
      </c>
    </row>
    <row r="30" spans="1:27" ht="13.95" customHeight="1">
      <c r="A30" s="730" t="str">
        <f>M18</f>
        <v>10 a.m.</v>
      </c>
      <c r="B30" s="186">
        <f>M19</f>
        <v>177500.53082849307</v>
      </c>
      <c r="C30" s="10">
        <f t="shared" si="0"/>
        <v>138982.96587944904</v>
      </c>
      <c r="D30" s="10">
        <f t="shared" si="1"/>
        <v>159808.75700286456</v>
      </c>
      <c r="E30" s="10">
        <f t="shared" si="1"/>
        <v>167277.54526014271</v>
      </c>
      <c r="F30" s="10">
        <f t="shared" si="1"/>
        <v>170305.05219128481</v>
      </c>
      <c r="G30" s="10">
        <f t="shared" si="1"/>
        <v>166452.59232603465</v>
      </c>
      <c r="H30" s="10">
        <f t="shared" si="1"/>
        <v>133324.85385513405</v>
      </c>
      <c r="I30" s="10">
        <f t="shared" si="1"/>
        <v>30411.724121455802</v>
      </c>
      <c r="J30" s="10">
        <f t="shared" si="1"/>
        <v>144390.8790236265</v>
      </c>
      <c r="K30" s="10">
        <f t="shared" si="1"/>
        <v>329782.22031685867</v>
      </c>
      <c r="L30" s="10">
        <f t="shared" si="1"/>
        <v>153595.98722017236</v>
      </c>
      <c r="M30" s="10">
        <f t="shared" si="1"/>
        <v>0</v>
      </c>
      <c r="N30" s="10">
        <f t="shared" si="1"/>
        <v>37888.550896971341</v>
      </c>
      <c r="O30" s="10">
        <f t="shared" si="1"/>
        <v>37563.995723138331</v>
      </c>
      <c r="P30" s="10">
        <f t="shared" si="1"/>
        <v>29439.063414736418</v>
      </c>
      <c r="Q30" s="10">
        <f t="shared" si="1"/>
        <v>6653.8834709667717</v>
      </c>
      <c r="R30" s="10">
        <f t="shared" si="1"/>
        <v>60776.221948267223</v>
      </c>
      <c r="S30" s="10">
        <f t="shared" si="1"/>
        <v>136470.92893027706</v>
      </c>
      <c r="T30" s="10">
        <f t="shared" si="2"/>
        <v>258051.50764064223</v>
      </c>
      <c r="U30" s="10">
        <f t="shared" si="2"/>
        <v>181599.17031476204</v>
      </c>
      <c r="V30" s="10">
        <f t="shared" si="2"/>
        <v>59397.616070561635</v>
      </c>
      <c r="W30" s="10">
        <f t="shared" si="2"/>
        <v>12416.496232367324</v>
      </c>
      <c r="X30" s="10">
        <f t="shared" si="2"/>
        <v>56790.121717321104</v>
      </c>
      <c r="Y30" s="10">
        <f t="shared" si="2"/>
        <v>78391.629850640908</v>
      </c>
      <c r="Z30" s="10">
        <f t="shared" si="2"/>
        <v>114844.30042746552</v>
      </c>
      <c r="AA30" s="10">
        <f t="shared" si="3"/>
        <v>2664616.0638351412</v>
      </c>
    </row>
    <row r="31" spans="1:27" ht="13.95" customHeight="1">
      <c r="A31" s="730" t="str">
        <f>N18</f>
        <v>11 a.m.</v>
      </c>
      <c r="B31" s="186">
        <f>N19</f>
        <v>139611.97993152172</v>
      </c>
      <c r="C31" s="10">
        <f t="shared" si="0"/>
        <v>101094.41498247771</v>
      </c>
      <c r="D31" s="10">
        <f t="shared" si="1"/>
        <v>121920.20610589322</v>
      </c>
      <c r="E31" s="10">
        <f t="shared" si="1"/>
        <v>129388.99436317138</v>
      </c>
      <c r="F31" s="10">
        <f t="shared" si="1"/>
        <v>132416.50129431346</v>
      </c>
      <c r="G31" s="10">
        <f t="shared" si="1"/>
        <v>128564.04142906329</v>
      </c>
      <c r="H31" s="10">
        <f t="shared" si="1"/>
        <v>95436.302958162705</v>
      </c>
      <c r="I31" s="10">
        <f t="shared" si="1"/>
        <v>7476.8267755155393</v>
      </c>
      <c r="J31" s="10">
        <f t="shared" si="1"/>
        <v>182279.42992059785</v>
      </c>
      <c r="K31" s="10">
        <f t="shared" si="1"/>
        <v>367670.77121382998</v>
      </c>
      <c r="L31" s="10">
        <f t="shared" si="1"/>
        <v>191484.5381171437</v>
      </c>
      <c r="M31" s="10">
        <f t="shared" si="1"/>
        <v>37888.550896971341</v>
      </c>
      <c r="N31" s="10">
        <f t="shared" si="1"/>
        <v>0</v>
      </c>
      <c r="O31" s="10">
        <f t="shared" si="1"/>
        <v>324.55517383301049</v>
      </c>
      <c r="P31" s="10">
        <f t="shared" si="1"/>
        <v>8449.4874822349229</v>
      </c>
      <c r="Q31" s="10">
        <f t="shared" si="1"/>
        <v>44542.434367938113</v>
      </c>
      <c r="R31" s="10">
        <f t="shared" si="1"/>
        <v>98664.772845238564</v>
      </c>
      <c r="S31" s="10">
        <f t="shared" si="1"/>
        <v>174359.4798272484</v>
      </c>
      <c r="T31" s="10">
        <f t="shared" si="2"/>
        <v>295940.0585376136</v>
      </c>
      <c r="U31" s="10">
        <f t="shared" si="2"/>
        <v>219487.72121173338</v>
      </c>
      <c r="V31" s="10">
        <f t="shared" si="2"/>
        <v>97286.166967532976</v>
      </c>
      <c r="W31" s="10">
        <f t="shared" si="2"/>
        <v>25472.054664604017</v>
      </c>
      <c r="X31" s="10">
        <f t="shared" si="2"/>
        <v>18901.570820349763</v>
      </c>
      <c r="Y31" s="10">
        <f t="shared" si="2"/>
        <v>40503.078953669567</v>
      </c>
      <c r="Z31" s="10">
        <f t="shared" si="2"/>
        <v>76955.749530494184</v>
      </c>
      <c r="AA31" s="10">
        <f t="shared" si="3"/>
        <v>2596507.7084396305</v>
      </c>
    </row>
    <row r="32" spans="1:27" ht="13.95" customHeight="1">
      <c r="A32" s="730" t="str">
        <f>O18</f>
        <v>Noon</v>
      </c>
      <c r="B32" s="186">
        <f>O19</f>
        <v>139936.53510535473</v>
      </c>
      <c r="C32" s="10">
        <f t="shared" si="0"/>
        <v>101418.97015631072</v>
      </c>
      <c r="D32" s="10">
        <f t="shared" si="1"/>
        <v>122244.76127972623</v>
      </c>
      <c r="E32" s="10">
        <f t="shared" si="1"/>
        <v>129713.54953700439</v>
      </c>
      <c r="F32" s="10">
        <f t="shared" si="1"/>
        <v>132741.05646814647</v>
      </c>
      <c r="G32" s="10">
        <f t="shared" si="1"/>
        <v>128888.5966028963</v>
      </c>
      <c r="H32" s="10">
        <f t="shared" si="1"/>
        <v>95760.858131995716</v>
      </c>
      <c r="I32" s="10">
        <f t="shared" si="1"/>
        <v>7152.2716016825289</v>
      </c>
      <c r="J32" s="10">
        <f t="shared" si="1"/>
        <v>181954.87474676484</v>
      </c>
      <c r="K32" s="10">
        <f t="shared" si="1"/>
        <v>367346.216039997</v>
      </c>
      <c r="L32" s="10">
        <f t="shared" si="1"/>
        <v>191159.98294331069</v>
      </c>
      <c r="M32" s="10">
        <f t="shared" si="1"/>
        <v>37563.995723138331</v>
      </c>
      <c r="N32" s="10">
        <f t="shared" si="1"/>
        <v>324.55517383301049</v>
      </c>
      <c r="O32" s="10">
        <f t="shared" si="1"/>
        <v>0</v>
      </c>
      <c r="P32" s="10">
        <f t="shared" si="1"/>
        <v>8124.9323084019125</v>
      </c>
      <c r="Q32" s="10">
        <f t="shared" si="1"/>
        <v>44217.879194105102</v>
      </c>
      <c r="R32" s="10">
        <f t="shared" si="1"/>
        <v>98340.217671405553</v>
      </c>
      <c r="S32" s="10">
        <f t="shared" si="1"/>
        <v>174034.92465341539</v>
      </c>
      <c r="T32" s="10">
        <f t="shared" si="2"/>
        <v>295615.50336378056</v>
      </c>
      <c r="U32" s="10">
        <f t="shared" si="2"/>
        <v>219163.16603790037</v>
      </c>
      <c r="V32" s="10">
        <f t="shared" si="2"/>
        <v>96961.611793699965</v>
      </c>
      <c r="W32" s="10">
        <f t="shared" si="2"/>
        <v>25147.499490771006</v>
      </c>
      <c r="X32" s="10">
        <f t="shared" si="2"/>
        <v>19226.125994182774</v>
      </c>
      <c r="Y32" s="10">
        <f t="shared" si="2"/>
        <v>40827.634127502577</v>
      </c>
      <c r="Z32" s="10">
        <f t="shared" si="2"/>
        <v>77280.304704327194</v>
      </c>
      <c r="AA32" s="10">
        <f t="shared" si="3"/>
        <v>2595209.4877442988</v>
      </c>
    </row>
    <row r="33" spans="1:27" ht="13.95" customHeight="1">
      <c r="A33" s="730" t="str">
        <f>P18</f>
        <v>1 p.m.</v>
      </c>
      <c r="B33" s="186">
        <f>P19</f>
        <v>148061.46741375665</v>
      </c>
      <c r="C33" s="10">
        <f t="shared" si="0"/>
        <v>109543.90246471264</v>
      </c>
      <c r="D33" s="10">
        <f t="shared" si="1"/>
        <v>130369.69358812814</v>
      </c>
      <c r="E33" s="10">
        <f t="shared" si="1"/>
        <v>137838.48184540629</v>
      </c>
      <c r="F33" s="10">
        <f t="shared" si="1"/>
        <v>140865.98877654839</v>
      </c>
      <c r="G33" s="10">
        <f t="shared" si="1"/>
        <v>137013.52891129823</v>
      </c>
      <c r="H33" s="10">
        <f t="shared" si="1"/>
        <v>103885.79044039763</v>
      </c>
      <c r="I33" s="10">
        <f t="shared" si="1"/>
        <v>972.6607067193836</v>
      </c>
      <c r="J33" s="10">
        <f t="shared" si="1"/>
        <v>173829.94243836292</v>
      </c>
      <c r="K33" s="10">
        <f t="shared" si="1"/>
        <v>359221.28373159509</v>
      </c>
      <c r="L33" s="10">
        <f t="shared" si="1"/>
        <v>183035.05063490878</v>
      </c>
      <c r="M33" s="10">
        <f t="shared" si="1"/>
        <v>29439.063414736418</v>
      </c>
      <c r="N33" s="10">
        <f t="shared" si="1"/>
        <v>8449.4874822349229</v>
      </c>
      <c r="O33" s="10">
        <f t="shared" si="1"/>
        <v>8124.9323084019125</v>
      </c>
      <c r="P33" s="10">
        <f t="shared" si="1"/>
        <v>0</v>
      </c>
      <c r="Q33" s="10">
        <f t="shared" si="1"/>
        <v>36092.94688570319</v>
      </c>
      <c r="R33" s="10">
        <f t="shared" si="1"/>
        <v>90215.285363003641</v>
      </c>
      <c r="S33" s="10">
        <f t="shared" si="1"/>
        <v>165909.99234501348</v>
      </c>
      <c r="T33" s="10">
        <f t="shared" si="2"/>
        <v>287490.57105537865</v>
      </c>
      <c r="U33" s="10">
        <f t="shared" si="2"/>
        <v>211038.23372949846</v>
      </c>
      <c r="V33" s="10">
        <f t="shared" si="2"/>
        <v>88836.679485298053</v>
      </c>
      <c r="W33" s="10">
        <f t="shared" si="2"/>
        <v>17022.567182369094</v>
      </c>
      <c r="X33" s="10">
        <f t="shared" si="2"/>
        <v>27351.058302584686</v>
      </c>
      <c r="Y33" s="10">
        <f t="shared" si="2"/>
        <v>48952.566435904489</v>
      </c>
      <c r="Z33" s="10">
        <f t="shared" si="2"/>
        <v>85405.237012729107</v>
      </c>
      <c r="AA33" s="10">
        <f t="shared" si="3"/>
        <v>2580904.9445409337</v>
      </c>
    </row>
    <row r="34" spans="1:27" ht="13.95" customHeight="1">
      <c r="A34" s="730" t="str">
        <f>Q18</f>
        <v>2 p.m.</v>
      </c>
      <c r="B34" s="186">
        <f>Q19</f>
        <v>184154.41429945984</v>
      </c>
      <c r="C34" s="10">
        <f t="shared" si="0"/>
        <v>145636.84935041581</v>
      </c>
      <c r="D34" s="10">
        <f t="shared" si="1"/>
        <v>166462.64047383133</v>
      </c>
      <c r="E34" s="10">
        <f t="shared" si="1"/>
        <v>173931.42873110948</v>
      </c>
      <c r="F34" s="10">
        <f t="shared" si="1"/>
        <v>176958.93566225158</v>
      </c>
      <c r="G34" s="10">
        <f t="shared" si="1"/>
        <v>173106.47579700142</v>
      </c>
      <c r="H34" s="10">
        <f t="shared" si="1"/>
        <v>139978.73732610082</v>
      </c>
      <c r="I34" s="10">
        <f t="shared" si="1"/>
        <v>37065.607592422573</v>
      </c>
      <c r="J34" s="10">
        <f t="shared" si="1"/>
        <v>137736.99555265973</v>
      </c>
      <c r="K34" s="10">
        <f t="shared" si="1"/>
        <v>323128.3368458919</v>
      </c>
      <c r="L34" s="10">
        <f t="shared" si="1"/>
        <v>146942.10374920559</v>
      </c>
      <c r="M34" s="10">
        <f t="shared" si="1"/>
        <v>6653.8834709667717</v>
      </c>
      <c r="N34" s="10">
        <f t="shared" si="1"/>
        <v>44542.434367938113</v>
      </c>
      <c r="O34" s="10">
        <f t="shared" si="1"/>
        <v>44217.879194105102</v>
      </c>
      <c r="P34" s="10">
        <f t="shared" si="1"/>
        <v>36092.94688570319</v>
      </c>
      <c r="Q34" s="10">
        <f t="shared" si="1"/>
        <v>0</v>
      </c>
      <c r="R34" s="10">
        <f t="shared" si="1"/>
        <v>54122.338477300451</v>
      </c>
      <c r="S34" s="10">
        <f t="shared" si="1"/>
        <v>129817.04545931029</v>
      </c>
      <c r="T34" s="10">
        <f t="shared" si="2"/>
        <v>251397.62416967546</v>
      </c>
      <c r="U34" s="10">
        <f t="shared" si="2"/>
        <v>174945.28684379527</v>
      </c>
      <c r="V34" s="10">
        <f t="shared" si="2"/>
        <v>52743.732599594863</v>
      </c>
      <c r="W34" s="10">
        <f t="shared" si="2"/>
        <v>19070.379703334096</v>
      </c>
      <c r="X34" s="10">
        <f t="shared" si="2"/>
        <v>63444.005188287876</v>
      </c>
      <c r="Y34" s="10">
        <f t="shared" si="2"/>
        <v>85045.513321607679</v>
      </c>
      <c r="Z34" s="10">
        <f t="shared" si="2"/>
        <v>121498.1838984323</v>
      </c>
      <c r="AA34" s="10">
        <f t="shared" si="3"/>
        <v>2704539.3646609415</v>
      </c>
    </row>
    <row r="35" spans="1:27" ht="13.95" customHeight="1">
      <c r="A35" s="730" t="str">
        <f>R18</f>
        <v>3 p.m.</v>
      </c>
      <c r="B35" s="186">
        <f>R19</f>
        <v>238276.75277676029</v>
      </c>
      <c r="C35" s="10">
        <f t="shared" si="0"/>
        <v>199759.18782771629</v>
      </c>
      <c r="D35" s="10">
        <f t="shared" si="1"/>
        <v>220584.97895113178</v>
      </c>
      <c r="E35" s="10">
        <f t="shared" si="1"/>
        <v>228053.76720840993</v>
      </c>
      <c r="F35" s="10">
        <f t="shared" si="1"/>
        <v>231081.27413955203</v>
      </c>
      <c r="G35" s="10">
        <f t="shared" si="1"/>
        <v>227228.81427430187</v>
      </c>
      <c r="H35" s="10">
        <f t="shared" si="1"/>
        <v>194101.07580340127</v>
      </c>
      <c r="I35" s="10">
        <f t="shared" si="1"/>
        <v>91187.946069723024</v>
      </c>
      <c r="J35" s="10">
        <f t="shared" si="1"/>
        <v>83614.657075359282</v>
      </c>
      <c r="K35" s="10">
        <f t="shared" si="1"/>
        <v>269005.99836859142</v>
      </c>
      <c r="L35" s="10">
        <f t="shared" si="1"/>
        <v>92819.76527190514</v>
      </c>
      <c r="M35" s="10">
        <f t="shared" si="1"/>
        <v>60776.221948267223</v>
      </c>
      <c r="N35" s="10">
        <f t="shared" si="1"/>
        <v>98664.772845238564</v>
      </c>
      <c r="O35" s="10">
        <f t="shared" si="1"/>
        <v>98340.217671405553</v>
      </c>
      <c r="P35" s="10">
        <f t="shared" si="1"/>
        <v>90215.285363003641</v>
      </c>
      <c r="Q35" s="10">
        <f t="shared" si="1"/>
        <v>54122.338477300451</v>
      </c>
      <c r="R35" s="10">
        <f t="shared" si="1"/>
        <v>0</v>
      </c>
      <c r="S35" s="10">
        <f t="shared" ref="S35:Z43" si="4">ABS($B35-S$19)</f>
        <v>75694.70698200984</v>
      </c>
      <c r="T35" s="10">
        <f t="shared" si="2"/>
        <v>197275.28569237501</v>
      </c>
      <c r="U35" s="10">
        <f t="shared" si="2"/>
        <v>120822.94836649482</v>
      </c>
      <c r="V35" s="10">
        <f t="shared" si="2"/>
        <v>1378.6058777055878</v>
      </c>
      <c r="W35" s="10">
        <f t="shared" si="2"/>
        <v>73192.718180634547</v>
      </c>
      <c r="X35" s="10">
        <f t="shared" si="2"/>
        <v>117566.34366558833</v>
      </c>
      <c r="Y35" s="10">
        <f t="shared" si="2"/>
        <v>139167.85179890814</v>
      </c>
      <c r="Z35" s="10">
        <f t="shared" si="2"/>
        <v>175620.52237573275</v>
      </c>
      <c r="AA35" s="10">
        <f t="shared" si="3"/>
        <v>3140275.2842347561</v>
      </c>
    </row>
    <row r="36" spans="1:27" ht="13.95" customHeight="1">
      <c r="A36" s="730" t="str">
        <f>S18</f>
        <v>4 p.m.</v>
      </c>
      <c r="B36" s="186">
        <f>S19</f>
        <v>313971.45975877013</v>
      </c>
      <c r="C36" s="10">
        <f t="shared" si="0"/>
        <v>275453.8948097261</v>
      </c>
      <c r="D36" s="10">
        <f t="shared" ref="D36:R36" si="5">ABS($B36-D$19)</f>
        <v>296279.68593314162</v>
      </c>
      <c r="E36" s="10">
        <f t="shared" si="5"/>
        <v>303748.47419041977</v>
      </c>
      <c r="F36" s="10">
        <f t="shared" si="5"/>
        <v>306775.9811215619</v>
      </c>
      <c r="G36" s="10">
        <f t="shared" si="5"/>
        <v>302923.52125631168</v>
      </c>
      <c r="H36" s="10">
        <f t="shared" si="5"/>
        <v>269795.78278541111</v>
      </c>
      <c r="I36" s="10">
        <f t="shared" si="5"/>
        <v>166882.65305173286</v>
      </c>
      <c r="J36" s="10">
        <f t="shared" si="5"/>
        <v>7919.9500933494419</v>
      </c>
      <c r="K36" s="10">
        <f t="shared" si="5"/>
        <v>193311.29138658161</v>
      </c>
      <c r="L36" s="10">
        <f t="shared" si="5"/>
        <v>17125.0582898953</v>
      </c>
      <c r="M36" s="10">
        <f t="shared" si="5"/>
        <v>136470.92893027706</v>
      </c>
      <c r="N36" s="10">
        <f t="shared" si="5"/>
        <v>174359.4798272484</v>
      </c>
      <c r="O36" s="10">
        <f t="shared" si="5"/>
        <v>174034.92465341539</v>
      </c>
      <c r="P36" s="10">
        <f t="shared" si="5"/>
        <v>165909.99234501348</v>
      </c>
      <c r="Q36" s="10">
        <f t="shared" si="5"/>
        <v>129817.04545931029</v>
      </c>
      <c r="R36" s="10">
        <f t="shared" si="5"/>
        <v>75694.70698200984</v>
      </c>
      <c r="S36" s="10">
        <f t="shared" si="4"/>
        <v>0</v>
      </c>
      <c r="T36" s="10">
        <f t="shared" si="4"/>
        <v>121580.57871036517</v>
      </c>
      <c r="U36" s="10">
        <f t="shared" si="4"/>
        <v>45128.24138448498</v>
      </c>
      <c r="V36" s="10">
        <f t="shared" si="4"/>
        <v>77073.312859715428</v>
      </c>
      <c r="W36" s="10">
        <f t="shared" si="4"/>
        <v>148887.42516264439</v>
      </c>
      <c r="X36" s="10">
        <f t="shared" si="4"/>
        <v>193261.05064759817</v>
      </c>
      <c r="Y36" s="10">
        <f t="shared" si="4"/>
        <v>214862.55878091796</v>
      </c>
      <c r="Z36" s="10">
        <f t="shared" si="4"/>
        <v>251315.22935774259</v>
      </c>
      <c r="AA36" s="10">
        <f t="shared" si="3"/>
        <v>4048611.7680188748</v>
      </c>
    </row>
    <row r="37" spans="1:27" ht="13.95" customHeight="1">
      <c r="A37" s="730" t="str">
        <f>T18</f>
        <v>5 p.m.</v>
      </c>
      <c r="B37" s="186">
        <f>T19</f>
        <v>435552.0384691353</v>
      </c>
      <c r="C37" s="10">
        <f t="shared" ref="C37:R43" si="6">ABS($B37-C$19)</f>
        <v>397034.47352009127</v>
      </c>
      <c r="D37" s="10">
        <f t="shared" si="6"/>
        <v>417860.26464350679</v>
      </c>
      <c r="E37" s="10">
        <f t="shared" si="6"/>
        <v>425329.05290078494</v>
      </c>
      <c r="F37" s="10">
        <f t="shared" si="6"/>
        <v>428356.55983192706</v>
      </c>
      <c r="G37" s="10">
        <f t="shared" si="6"/>
        <v>424504.09996667685</v>
      </c>
      <c r="H37" s="10">
        <f t="shared" si="6"/>
        <v>391376.36149577628</v>
      </c>
      <c r="I37" s="10">
        <f t="shared" si="6"/>
        <v>288463.23176209803</v>
      </c>
      <c r="J37" s="10">
        <f t="shared" si="6"/>
        <v>113660.62861701573</v>
      </c>
      <c r="K37" s="10">
        <f t="shared" si="6"/>
        <v>71730.712676216441</v>
      </c>
      <c r="L37" s="10">
        <f t="shared" si="6"/>
        <v>104455.52042046987</v>
      </c>
      <c r="M37" s="10">
        <f t="shared" si="6"/>
        <v>258051.50764064223</v>
      </c>
      <c r="N37" s="10">
        <f t="shared" si="6"/>
        <v>295940.0585376136</v>
      </c>
      <c r="O37" s="10">
        <f t="shared" si="6"/>
        <v>295615.50336378056</v>
      </c>
      <c r="P37" s="10">
        <f t="shared" si="6"/>
        <v>287490.57105537865</v>
      </c>
      <c r="Q37" s="10">
        <f t="shared" si="6"/>
        <v>251397.62416967546</v>
      </c>
      <c r="R37" s="10">
        <f t="shared" si="6"/>
        <v>197275.28569237501</v>
      </c>
      <c r="S37" s="10">
        <f t="shared" si="4"/>
        <v>121580.57871036517</v>
      </c>
      <c r="T37" s="10">
        <f t="shared" si="4"/>
        <v>0</v>
      </c>
      <c r="U37" s="10">
        <f t="shared" si="4"/>
        <v>76452.337325880188</v>
      </c>
      <c r="V37" s="10">
        <f t="shared" si="4"/>
        <v>198653.8915700806</v>
      </c>
      <c r="W37" s="10">
        <f t="shared" si="4"/>
        <v>270468.00387300958</v>
      </c>
      <c r="X37" s="10">
        <f t="shared" si="4"/>
        <v>314841.62935796333</v>
      </c>
      <c r="Y37" s="10">
        <f t="shared" si="4"/>
        <v>336443.13749128312</v>
      </c>
      <c r="Z37" s="10">
        <f t="shared" si="4"/>
        <v>372895.80806810776</v>
      </c>
      <c r="AA37" s="10">
        <f t="shared" si="3"/>
        <v>6339876.8426907184</v>
      </c>
    </row>
    <row r="38" spans="1:27" ht="13.95" customHeight="1">
      <c r="A38" s="730" t="str">
        <f>U18</f>
        <v>6 p.m.</v>
      </c>
      <c r="B38" s="186">
        <f>U19</f>
        <v>359099.70114325511</v>
      </c>
      <c r="C38" s="10">
        <f t="shared" si="6"/>
        <v>320582.13619421108</v>
      </c>
      <c r="D38" s="10">
        <f t="shared" si="6"/>
        <v>341407.9273176266</v>
      </c>
      <c r="E38" s="10">
        <f t="shared" si="6"/>
        <v>348876.71557490475</v>
      </c>
      <c r="F38" s="10">
        <f t="shared" si="6"/>
        <v>351904.22250604688</v>
      </c>
      <c r="G38" s="10">
        <f t="shared" si="6"/>
        <v>348051.76264079666</v>
      </c>
      <c r="H38" s="10">
        <f t="shared" si="6"/>
        <v>314924.02416989609</v>
      </c>
      <c r="I38" s="10">
        <f t="shared" si="6"/>
        <v>212010.89443621784</v>
      </c>
      <c r="J38" s="10">
        <f t="shared" si="6"/>
        <v>37208.291291135538</v>
      </c>
      <c r="K38" s="10">
        <f t="shared" si="6"/>
        <v>148183.05000209663</v>
      </c>
      <c r="L38" s="10">
        <f t="shared" si="6"/>
        <v>28003.18309458968</v>
      </c>
      <c r="M38" s="10">
        <f t="shared" si="6"/>
        <v>181599.17031476204</v>
      </c>
      <c r="N38" s="10">
        <f t="shared" si="6"/>
        <v>219487.72121173338</v>
      </c>
      <c r="O38" s="10">
        <f t="shared" si="6"/>
        <v>219163.16603790037</v>
      </c>
      <c r="P38" s="10">
        <f t="shared" si="6"/>
        <v>211038.23372949846</v>
      </c>
      <c r="Q38" s="10">
        <f t="shared" si="6"/>
        <v>174945.28684379527</v>
      </c>
      <c r="R38" s="10">
        <f t="shared" si="6"/>
        <v>120822.94836649482</v>
      </c>
      <c r="S38" s="10">
        <f t="shared" si="4"/>
        <v>45128.24138448498</v>
      </c>
      <c r="T38" s="10">
        <f t="shared" si="4"/>
        <v>76452.337325880188</v>
      </c>
      <c r="U38" s="10">
        <f t="shared" si="4"/>
        <v>0</v>
      </c>
      <c r="V38" s="10">
        <f t="shared" si="4"/>
        <v>122201.55424420041</v>
      </c>
      <c r="W38" s="10">
        <f t="shared" si="4"/>
        <v>194015.66654712937</v>
      </c>
      <c r="X38" s="10">
        <f t="shared" si="4"/>
        <v>238389.29203208315</v>
      </c>
      <c r="Y38" s="10">
        <f t="shared" si="4"/>
        <v>259990.80016540294</v>
      </c>
      <c r="Z38" s="10">
        <f t="shared" si="4"/>
        <v>296443.47074222757</v>
      </c>
      <c r="AA38" s="10">
        <f t="shared" si="3"/>
        <v>4810830.0961731141</v>
      </c>
    </row>
    <row r="39" spans="1:27" ht="13.95" customHeight="1">
      <c r="A39" s="730" t="str">
        <f>V18</f>
        <v>7 p.m.</v>
      </c>
      <c r="B39" s="186">
        <f>V19</f>
        <v>236898.1468990547</v>
      </c>
      <c r="C39" s="10">
        <f t="shared" si="6"/>
        <v>198380.58195001067</v>
      </c>
      <c r="D39" s="10">
        <f t="shared" si="6"/>
        <v>219206.37307342619</v>
      </c>
      <c r="E39" s="10">
        <f t="shared" si="6"/>
        <v>226675.16133070434</v>
      </c>
      <c r="F39" s="10">
        <f t="shared" si="6"/>
        <v>229702.66826184644</v>
      </c>
      <c r="G39" s="10">
        <f t="shared" si="6"/>
        <v>225850.20839659628</v>
      </c>
      <c r="H39" s="10">
        <f t="shared" si="6"/>
        <v>192722.46992569568</v>
      </c>
      <c r="I39" s="10">
        <f t="shared" si="6"/>
        <v>89809.340192017436</v>
      </c>
      <c r="J39" s="10">
        <f t="shared" si="6"/>
        <v>84993.26295306487</v>
      </c>
      <c r="K39" s="10">
        <f t="shared" si="6"/>
        <v>270384.60424629704</v>
      </c>
      <c r="L39" s="10">
        <f t="shared" si="6"/>
        <v>94198.371149610728</v>
      </c>
      <c r="M39" s="10">
        <f t="shared" si="6"/>
        <v>59397.616070561635</v>
      </c>
      <c r="N39" s="10">
        <f t="shared" si="6"/>
        <v>97286.166967532976</v>
      </c>
      <c r="O39" s="10">
        <f t="shared" si="6"/>
        <v>96961.611793699965</v>
      </c>
      <c r="P39" s="10">
        <f t="shared" si="6"/>
        <v>88836.679485298053</v>
      </c>
      <c r="Q39" s="10">
        <f t="shared" si="6"/>
        <v>52743.732599594863</v>
      </c>
      <c r="R39" s="10">
        <f t="shared" si="6"/>
        <v>1378.6058777055878</v>
      </c>
      <c r="S39" s="10">
        <f t="shared" si="4"/>
        <v>77073.312859715428</v>
      </c>
      <c r="T39" s="10">
        <f t="shared" si="4"/>
        <v>198653.8915700806</v>
      </c>
      <c r="U39" s="10">
        <f t="shared" si="4"/>
        <v>122201.55424420041</v>
      </c>
      <c r="V39" s="10">
        <f t="shared" si="4"/>
        <v>0</v>
      </c>
      <c r="W39" s="10">
        <f t="shared" si="4"/>
        <v>71814.112302928959</v>
      </c>
      <c r="X39" s="10">
        <f t="shared" si="4"/>
        <v>116187.73778788274</v>
      </c>
      <c r="Y39" s="10">
        <f t="shared" si="4"/>
        <v>137789.24592120253</v>
      </c>
      <c r="Z39" s="10">
        <f t="shared" si="4"/>
        <v>174241.91649802716</v>
      </c>
      <c r="AA39" s="10">
        <f t="shared" si="3"/>
        <v>3126489.2254577</v>
      </c>
    </row>
    <row r="40" spans="1:27" ht="13.95" customHeight="1">
      <c r="A40" s="730" t="str">
        <f>W18</f>
        <v>8 p.m.</v>
      </c>
      <c r="B40" s="186">
        <f>W19</f>
        <v>165084.03459612574</v>
      </c>
      <c r="C40" s="10">
        <f t="shared" si="6"/>
        <v>126566.46964708173</v>
      </c>
      <c r="D40" s="10">
        <f t="shared" si="6"/>
        <v>147392.26077049723</v>
      </c>
      <c r="E40" s="10">
        <f t="shared" si="6"/>
        <v>154861.04902777539</v>
      </c>
      <c r="F40" s="10">
        <f t="shared" si="6"/>
        <v>157888.55595891748</v>
      </c>
      <c r="G40" s="10">
        <f t="shared" si="6"/>
        <v>154036.09609366732</v>
      </c>
      <c r="H40" s="10">
        <f t="shared" si="6"/>
        <v>120908.35762276672</v>
      </c>
      <c r="I40" s="10">
        <f t="shared" si="6"/>
        <v>17995.227889088477</v>
      </c>
      <c r="J40" s="10">
        <f t="shared" si="6"/>
        <v>156807.37525599383</v>
      </c>
      <c r="K40" s="10">
        <f t="shared" si="6"/>
        <v>342198.71654922597</v>
      </c>
      <c r="L40" s="10">
        <f t="shared" si="6"/>
        <v>166012.48345253969</v>
      </c>
      <c r="M40" s="10">
        <f t="shared" si="6"/>
        <v>12416.496232367324</v>
      </c>
      <c r="N40" s="10">
        <f t="shared" si="6"/>
        <v>25472.054664604017</v>
      </c>
      <c r="O40" s="10">
        <f t="shared" si="6"/>
        <v>25147.499490771006</v>
      </c>
      <c r="P40" s="10">
        <f t="shared" si="6"/>
        <v>17022.567182369094</v>
      </c>
      <c r="Q40" s="10">
        <f t="shared" si="6"/>
        <v>19070.379703334096</v>
      </c>
      <c r="R40" s="10">
        <f t="shared" si="6"/>
        <v>73192.718180634547</v>
      </c>
      <c r="S40" s="10">
        <f t="shared" si="4"/>
        <v>148887.42516264439</v>
      </c>
      <c r="T40" s="10">
        <f t="shared" si="4"/>
        <v>270468.00387300958</v>
      </c>
      <c r="U40" s="10">
        <f t="shared" si="4"/>
        <v>194015.66654712937</v>
      </c>
      <c r="V40" s="10">
        <f t="shared" si="4"/>
        <v>71814.112302928959</v>
      </c>
      <c r="W40" s="10">
        <f t="shared" si="4"/>
        <v>0</v>
      </c>
      <c r="X40" s="10">
        <f t="shared" si="4"/>
        <v>44373.62548495378</v>
      </c>
      <c r="Y40" s="10">
        <f t="shared" si="4"/>
        <v>65975.133618273583</v>
      </c>
      <c r="Z40" s="10">
        <f t="shared" si="4"/>
        <v>102427.8041950982</v>
      </c>
      <c r="AA40" s="10">
        <f t="shared" si="3"/>
        <v>2614950.0789056718</v>
      </c>
    </row>
    <row r="41" spans="1:27" ht="13.95" customHeight="1">
      <c r="A41" s="730" t="str">
        <f>X18</f>
        <v>9 p.m.</v>
      </c>
      <c r="B41" s="186">
        <f>X19</f>
        <v>120710.40911117196</v>
      </c>
      <c r="C41" s="10">
        <f t="shared" si="6"/>
        <v>82192.844162127949</v>
      </c>
      <c r="D41" s="10">
        <f t="shared" si="6"/>
        <v>103018.63528554345</v>
      </c>
      <c r="E41" s="10">
        <f t="shared" si="6"/>
        <v>110487.42354282162</v>
      </c>
      <c r="F41" s="10">
        <f t="shared" si="6"/>
        <v>113514.9304739637</v>
      </c>
      <c r="G41" s="10">
        <f t="shared" si="6"/>
        <v>109662.47060871353</v>
      </c>
      <c r="H41" s="10">
        <f t="shared" si="6"/>
        <v>76534.732137812942</v>
      </c>
      <c r="I41" s="10">
        <f t="shared" si="6"/>
        <v>26378.397595865303</v>
      </c>
      <c r="J41" s="10">
        <f t="shared" si="6"/>
        <v>201181.00074094761</v>
      </c>
      <c r="K41" s="10">
        <f t="shared" si="6"/>
        <v>386572.34203417978</v>
      </c>
      <c r="L41" s="10">
        <f t="shared" si="6"/>
        <v>210386.10893749347</v>
      </c>
      <c r="M41" s="10">
        <f t="shared" si="6"/>
        <v>56790.121717321104</v>
      </c>
      <c r="N41" s="10">
        <f t="shared" si="6"/>
        <v>18901.570820349763</v>
      </c>
      <c r="O41" s="10">
        <f t="shared" si="6"/>
        <v>19226.125994182774</v>
      </c>
      <c r="P41" s="10">
        <f t="shared" si="6"/>
        <v>27351.058302584686</v>
      </c>
      <c r="Q41" s="10">
        <f t="shared" si="6"/>
        <v>63444.005188287876</v>
      </c>
      <c r="R41" s="10">
        <f t="shared" si="6"/>
        <v>117566.34366558833</v>
      </c>
      <c r="S41" s="10">
        <f t="shared" si="4"/>
        <v>193261.05064759817</v>
      </c>
      <c r="T41" s="10">
        <f t="shared" si="4"/>
        <v>314841.62935796333</v>
      </c>
      <c r="U41" s="10">
        <f t="shared" si="4"/>
        <v>238389.29203208315</v>
      </c>
      <c r="V41" s="10">
        <f t="shared" si="4"/>
        <v>116187.73778788274</v>
      </c>
      <c r="W41" s="10">
        <f t="shared" si="4"/>
        <v>44373.62548495378</v>
      </c>
      <c r="X41" s="10">
        <f t="shared" si="4"/>
        <v>0</v>
      </c>
      <c r="Y41" s="10">
        <f t="shared" si="4"/>
        <v>21601.508133319803</v>
      </c>
      <c r="Z41" s="10">
        <f t="shared" si="4"/>
        <v>58054.178710144421</v>
      </c>
      <c r="AA41" s="10">
        <f t="shared" si="3"/>
        <v>2709917.1333617289</v>
      </c>
    </row>
    <row r="42" spans="1:27" ht="13.95" customHeight="1">
      <c r="A42" s="730" t="str">
        <f>Y18</f>
        <v>10 p.m.</v>
      </c>
      <c r="B42" s="186">
        <f>Y19</f>
        <v>99108.900977852158</v>
      </c>
      <c r="C42" s="10">
        <f t="shared" si="6"/>
        <v>60591.336028808146</v>
      </c>
      <c r="D42" s="10">
        <f t="shared" si="6"/>
        <v>81417.127152223635</v>
      </c>
      <c r="E42" s="10">
        <f t="shared" si="6"/>
        <v>88885.915409501817</v>
      </c>
      <c r="F42" s="10">
        <f t="shared" si="6"/>
        <v>91913.422340643898</v>
      </c>
      <c r="G42" s="10">
        <f t="shared" si="6"/>
        <v>88060.962475393724</v>
      </c>
      <c r="H42" s="10">
        <f t="shared" si="6"/>
        <v>54933.224004493146</v>
      </c>
      <c r="I42" s="10">
        <f t="shared" si="6"/>
        <v>47979.905729185106</v>
      </c>
      <c r="J42" s="10">
        <f t="shared" si="6"/>
        <v>222782.5088742674</v>
      </c>
      <c r="K42" s="10">
        <f t="shared" si="6"/>
        <v>408173.85016749956</v>
      </c>
      <c r="L42" s="10">
        <f t="shared" si="6"/>
        <v>231987.61707081326</v>
      </c>
      <c r="M42" s="10">
        <f t="shared" si="6"/>
        <v>78391.629850640908</v>
      </c>
      <c r="N42" s="10">
        <f t="shared" si="6"/>
        <v>40503.078953669567</v>
      </c>
      <c r="O42" s="10">
        <f t="shared" si="6"/>
        <v>40827.634127502577</v>
      </c>
      <c r="P42" s="10">
        <f t="shared" si="6"/>
        <v>48952.566435904489</v>
      </c>
      <c r="Q42" s="10">
        <f t="shared" si="6"/>
        <v>85045.513321607679</v>
      </c>
      <c r="R42" s="10">
        <f t="shared" si="6"/>
        <v>139167.85179890814</v>
      </c>
      <c r="S42" s="10">
        <f t="shared" si="4"/>
        <v>214862.55878091796</v>
      </c>
      <c r="T42" s="10">
        <f t="shared" si="4"/>
        <v>336443.13749128312</v>
      </c>
      <c r="U42" s="10">
        <f t="shared" si="4"/>
        <v>259990.80016540294</v>
      </c>
      <c r="V42" s="10">
        <f t="shared" si="4"/>
        <v>137789.24592120253</v>
      </c>
      <c r="W42" s="10">
        <f t="shared" si="4"/>
        <v>65975.133618273583</v>
      </c>
      <c r="X42" s="10">
        <f t="shared" si="4"/>
        <v>21601.508133319803</v>
      </c>
      <c r="Y42" s="10">
        <f t="shared" si="4"/>
        <v>0</v>
      </c>
      <c r="Z42" s="10">
        <f t="shared" si="4"/>
        <v>36452.670576824617</v>
      </c>
      <c r="AA42" s="10">
        <f t="shared" si="3"/>
        <v>2882729.1984282872</v>
      </c>
    </row>
    <row r="43" spans="1:27" ht="13.95" customHeight="1">
      <c r="A43" s="730" t="str">
        <f>Z18</f>
        <v>11 p.m.</v>
      </c>
      <c r="B43" s="186">
        <f>Z19</f>
        <v>62656.23040102754</v>
      </c>
      <c r="C43" s="10">
        <f t="shared" si="6"/>
        <v>24138.665451983528</v>
      </c>
      <c r="D43" s="10">
        <f t="shared" si="6"/>
        <v>44964.456575399025</v>
      </c>
      <c r="E43" s="10">
        <f t="shared" si="6"/>
        <v>52433.244832677199</v>
      </c>
      <c r="F43" s="10">
        <f t="shared" si="6"/>
        <v>55460.75176381928</v>
      </c>
      <c r="G43" s="10">
        <f t="shared" si="6"/>
        <v>51608.291898569114</v>
      </c>
      <c r="H43" s="10">
        <f t="shared" si="6"/>
        <v>18480.553427668528</v>
      </c>
      <c r="I43" s="10">
        <f t="shared" si="6"/>
        <v>84432.576306009723</v>
      </c>
      <c r="J43" s="10">
        <f t="shared" si="6"/>
        <v>259235.17945109203</v>
      </c>
      <c r="K43" s="10">
        <f t="shared" si="6"/>
        <v>444626.5207443242</v>
      </c>
      <c r="L43" s="10">
        <f t="shared" si="6"/>
        <v>268440.28764763789</v>
      </c>
      <c r="M43" s="10">
        <f t="shared" si="6"/>
        <v>114844.30042746552</v>
      </c>
      <c r="N43" s="10">
        <f t="shared" si="6"/>
        <v>76955.749530494184</v>
      </c>
      <c r="O43" s="10">
        <f t="shared" si="6"/>
        <v>77280.304704327194</v>
      </c>
      <c r="P43" s="10">
        <f t="shared" si="6"/>
        <v>85405.237012729107</v>
      </c>
      <c r="Q43" s="10">
        <f t="shared" si="6"/>
        <v>121498.1838984323</v>
      </c>
      <c r="R43" s="10">
        <f t="shared" si="6"/>
        <v>175620.52237573275</v>
      </c>
      <c r="S43" s="10">
        <f t="shared" si="4"/>
        <v>251315.22935774259</v>
      </c>
      <c r="T43" s="10">
        <f t="shared" si="4"/>
        <v>372895.80806810776</v>
      </c>
      <c r="U43" s="10">
        <f t="shared" si="4"/>
        <v>296443.47074222757</v>
      </c>
      <c r="V43" s="10">
        <f t="shared" si="4"/>
        <v>174241.91649802716</v>
      </c>
      <c r="W43" s="10">
        <f t="shared" si="4"/>
        <v>102427.8041950982</v>
      </c>
      <c r="X43" s="10">
        <f t="shared" si="4"/>
        <v>58054.178710144421</v>
      </c>
      <c r="Y43" s="10">
        <f t="shared" si="4"/>
        <v>36452.670576824617</v>
      </c>
      <c r="Z43" s="10">
        <f t="shared" si="4"/>
        <v>0</v>
      </c>
      <c r="AA43" s="10">
        <f t="shared" si="3"/>
        <v>3247255.9041965343</v>
      </c>
    </row>
    <row r="44" spans="1:27" ht="13.95" customHeight="1">
      <c r="A44" s="186" t="s">
        <v>489</v>
      </c>
      <c r="B44" s="10">
        <f>AVERAGE(B20:B43)</f>
        <v>177368.06274670674</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f>SUM(AA20:AA43)</f>
        <v>88029258.559465617</v>
      </c>
    </row>
    <row r="45" spans="1:27" ht="13.95" customHeight="1">
      <c r="A45" s="186" t="s">
        <v>492</v>
      </c>
      <c r="B45" s="10">
        <f>COUNTA(A20:A43)</f>
        <v>24</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3.95" customHeight="1">
      <c r="A46" s="731" t="s">
        <v>478</v>
      </c>
      <c r="B46" s="733">
        <f>AA44/(B44*2*B45*(B45-1))</f>
        <v>0.44955470568431449</v>
      </c>
    </row>
    <row r="47" spans="1:27" ht="13.95" customHeight="1">
      <c r="A47" s="10"/>
      <c r="B47" s="117"/>
    </row>
    <row r="48" spans="1:27" ht="13.95" customHeight="1">
      <c r="A48" s="10"/>
      <c r="B48" s="117"/>
    </row>
    <row r="49" spans="1:27" ht="13.95" customHeight="1">
      <c r="A49" s="186" t="s">
        <v>490</v>
      </c>
    </row>
    <row r="50" spans="1:27" ht="13.95" customHeight="1">
      <c r="A50" s="186"/>
    </row>
    <row r="51" spans="1:27" ht="13.95" customHeight="1">
      <c r="A51" s="172" t="s">
        <v>202</v>
      </c>
      <c r="B51" s="17"/>
      <c r="C51" s="732" t="str">
        <f>Subways!P127</f>
        <v>Midnight</v>
      </c>
      <c r="D51" s="732" t="str">
        <f>Subways!Q127</f>
        <v>1 a.m.</v>
      </c>
      <c r="E51" s="732" t="str">
        <f>Subways!R127</f>
        <v>2 a.m.</v>
      </c>
      <c r="F51" s="732" t="str">
        <f>Subways!S127</f>
        <v>3 a.m.</v>
      </c>
      <c r="G51" s="732" t="str">
        <f>Subways!T127</f>
        <v>4 a.m.</v>
      </c>
      <c r="H51" s="732" t="str">
        <f>Subways!U127</f>
        <v>5 a.m.</v>
      </c>
      <c r="I51" s="732" t="str">
        <f>Subways!V127</f>
        <v>6 a.m.</v>
      </c>
      <c r="J51" s="732" t="str">
        <f>Subways!W127</f>
        <v>7 a.m.</v>
      </c>
      <c r="K51" s="732" t="str">
        <f>Subways!X127</f>
        <v>8 a.m.</v>
      </c>
      <c r="L51" s="732" t="str">
        <f>Subways!Y127</f>
        <v>9 a.m.</v>
      </c>
      <c r="M51" s="732" t="str">
        <f>Subways!Z127</f>
        <v>10 a.m.</v>
      </c>
      <c r="N51" s="732" t="str">
        <f>Subways!AA127</f>
        <v>11 a.m.</v>
      </c>
      <c r="O51" s="732" t="str">
        <f>Subways!AB127</f>
        <v>Noon</v>
      </c>
      <c r="P51" s="732" t="str">
        <f>Subways!AC127</f>
        <v>1 p.m.</v>
      </c>
      <c r="Q51" s="732" t="str">
        <f>Subways!AD127</f>
        <v>2 p.m.</v>
      </c>
      <c r="R51" s="732" t="str">
        <f>Subways!AE127</f>
        <v>3 p.m.</v>
      </c>
      <c r="S51" s="732" t="str">
        <f>Subways!AF127</f>
        <v>4 p.m.</v>
      </c>
      <c r="T51" s="732" t="str">
        <f>Subways!AG127</f>
        <v>5 p.m.</v>
      </c>
      <c r="U51" s="732" t="str">
        <f>Subways!AH127</f>
        <v>6 p.m.</v>
      </c>
      <c r="V51" s="732" t="str">
        <f>Subways!AI127</f>
        <v>7 p.m.</v>
      </c>
      <c r="W51" s="732" t="str">
        <f>Subways!AJ127</f>
        <v>8 p.m.</v>
      </c>
      <c r="X51" s="732" t="str">
        <f>Subways!AK127</f>
        <v>9 p.m.</v>
      </c>
      <c r="Y51" s="732" t="str">
        <f>Subways!AL127</f>
        <v>10 p.m.</v>
      </c>
      <c r="Z51" s="732" t="str">
        <f>Subways!AM127</f>
        <v>11 p.m.</v>
      </c>
      <c r="AA51" s="732" t="s">
        <v>1713</v>
      </c>
    </row>
    <row r="52" spans="1:27" ht="13.95" customHeight="1">
      <c r="B52" s="146" t="s">
        <v>491</v>
      </c>
      <c r="C52" s="186">
        <f ca="1">Subways!P399</f>
        <v>42543.164144624323</v>
      </c>
      <c r="D52" s="186">
        <f ca="1">Subways!Q399</f>
        <v>20003.896955805143</v>
      </c>
      <c r="E52" s="186">
        <f ca="1">Subways!R399</f>
        <v>11760.564710876975</v>
      </c>
      <c r="F52" s="186">
        <f ca="1">Subways!S399</f>
        <v>8465.6668309930919</v>
      </c>
      <c r="G52" s="186">
        <f ca="1">Subways!T399</f>
        <v>12726.148164851007</v>
      </c>
      <c r="H52" s="186">
        <f ca="1">Subways!U399</f>
        <v>51744.095515689478</v>
      </c>
      <c r="I52" s="186">
        <f ca="1">Subways!V399</f>
        <v>161957.59032914517</v>
      </c>
      <c r="J52" s="186">
        <f ca="1">Subways!W399</f>
        <v>345813.14968255471</v>
      </c>
      <c r="K52" s="186">
        <f ca="1">Subways!X399</f>
        <v>539588.75987267436</v>
      </c>
      <c r="L52" s="186">
        <f ca="1">Subways!Y399</f>
        <v>354567.88934549631</v>
      </c>
      <c r="M52" s="186">
        <f ca="1">Subways!Z399</f>
        <v>191419.08133186036</v>
      </c>
      <c r="N52" s="186">
        <f ca="1">Subways!AA399</f>
        <v>151544.50609694759</v>
      </c>
      <c r="O52" s="186">
        <f ca="1">Subways!AB399</f>
        <v>151899.84343615235</v>
      </c>
      <c r="P52" s="186">
        <f ca="1">Subways!AC399</f>
        <v>160743.34613605429</v>
      </c>
      <c r="Q52" s="186">
        <f ca="1">Subways!AD399</f>
        <v>200220.26073809073</v>
      </c>
      <c r="R52" s="186">
        <f ca="1">Subways!AE399</f>
        <v>257665.48049069569</v>
      </c>
      <c r="S52" s="186">
        <f ca="1">Subways!AF399</f>
        <v>337552.47889741894</v>
      </c>
      <c r="T52" s="186">
        <f ca="1">Subways!AG399</f>
        <v>465028.2716010377</v>
      </c>
      <c r="U52" s="186">
        <f ca="1">Subways!AH399</f>
        <v>384440.14142758213</v>
      </c>
      <c r="V52" s="186">
        <f ca="1">Subways!AI399</f>
        <v>255697.19551871251</v>
      </c>
      <c r="W52" s="186">
        <f ca="1">Subways!AJ399</f>
        <v>179374.41710496027</v>
      </c>
      <c r="X52" s="186">
        <f ca="1">Subways!AK399</f>
        <v>132277.78530386728</v>
      </c>
      <c r="Y52" s="186">
        <f ca="1">Subways!AL399</f>
        <v>109247.39591911083</v>
      </c>
      <c r="Z52" s="186">
        <f ca="1">Subways!AM399</f>
        <v>68614.354321564155</v>
      </c>
      <c r="AA52" s="10"/>
    </row>
    <row r="53" spans="1:27" ht="13.95" customHeight="1">
      <c r="A53" s="730" t="str">
        <f>C51</f>
        <v>Midnight</v>
      </c>
      <c r="B53" s="186">
        <f ca="1">C52</f>
        <v>42543.164144624323</v>
      </c>
      <c r="C53" s="10">
        <f t="shared" ref="C53:C69" ca="1" si="7">ABS($B53-C$52)</f>
        <v>0</v>
      </c>
      <c r="D53" s="10">
        <f t="shared" ref="D53:S68" ca="1" si="8">ABS($B53-D$52)</f>
        <v>22539.26718881918</v>
      </c>
      <c r="E53" s="10">
        <f t="shared" ca="1" si="8"/>
        <v>30782.599433747346</v>
      </c>
      <c r="F53" s="10">
        <f t="shared" ca="1" si="8"/>
        <v>34077.497313631233</v>
      </c>
      <c r="G53" s="10">
        <f t="shared" ca="1" si="8"/>
        <v>29817.015979773314</v>
      </c>
      <c r="H53" s="10">
        <f t="shared" ca="1" si="8"/>
        <v>9200.931371065155</v>
      </c>
      <c r="I53" s="10">
        <f t="shared" ca="1" si="8"/>
        <v>119414.42618452085</v>
      </c>
      <c r="J53" s="10">
        <f t="shared" ca="1" si="8"/>
        <v>303269.98553793039</v>
      </c>
      <c r="K53" s="10">
        <f t="shared" ca="1" si="8"/>
        <v>497045.59572805004</v>
      </c>
      <c r="L53" s="10">
        <f t="shared" ca="1" si="8"/>
        <v>312024.725200872</v>
      </c>
      <c r="M53" s="10">
        <f t="shared" ca="1" si="8"/>
        <v>148875.91718723605</v>
      </c>
      <c r="N53" s="10">
        <f t="shared" ca="1" si="8"/>
        <v>109001.34195232327</v>
      </c>
      <c r="O53" s="10">
        <f t="shared" ca="1" si="8"/>
        <v>109356.67929152804</v>
      </c>
      <c r="P53" s="10">
        <f t="shared" ca="1" si="8"/>
        <v>118200.18199142997</v>
      </c>
      <c r="Q53" s="10">
        <f t="shared" ca="1" si="8"/>
        <v>157677.09659346641</v>
      </c>
      <c r="R53" s="10">
        <f t="shared" ca="1" si="8"/>
        <v>215122.31634607137</v>
      </c>
      <c r="S53" s="10">
        <f t="shared" ca="1" si="8"/>
        <v>295009.31475279463</v>
      </c>
      <c r="T53" s="10">
        <f t="shared" ref="P53:Z76" ca="1" si="9">ABS($B53-T$52)</f>
        <v>422485.10745641339</v>
      </c>
      <c r="U53" s="10">
        <f t="shared" ca="1" si="9"/>
        <v>341896.97728295781</v>
      </c>
      <c r="V53" s="10">
        <f t="shared" ca="1" si="9"/>
        <v>213154.0313740882</v>
      </c>
      <c r="W53" s="10">
        <f t="shared" ca="1" si="9"/>
        <v>136831.25296033596</v>
      </c>
      <c r="X53" s="10">
        <f t="shared" ca="1" si="9"/>
        <v>89734.621159242961</v>
      </c>
      <c r="Y53" s="10">
        <f t="shared" ca="1" si="9"/>
        <v>66704.231774486514</v>
      </c>
      <c r="Z53" s="10">
        <f t="shared" ca="1" si="9"/>
        <v>26071.190176939832</v>
      </c>
      <c r="AA53" s="10">
        <f t="shared" ref="AA53:AA76" ca="1" si="10">SUM(C53:Z53)</f>
        <v>3808292.3042377238</v>
      </c>
    </row>
    <row r="54" spans="1:27" ht="13.95" customHeight="1">
      <c r="A54" s="730" t="str">
        <f>D51</f>
        <v>1 a.m.</v>
      </c>
      <c r="B54" s="186">
        <f ca="1">D52</f>
        <v>20003.896955805143</v>
      </c>
      <c r="C54" s="10">
        <f t="shared" ca="1" si="7"/>
        <v>22539.26718881918</v>
      </c>
      <c r="D54" s="10">
        <f t="shared" ca="1" si="8"/>
        <v>0</v>
      </c>
      <c r="E54" s="10">
        <f t="shared" ca="1" si="8"/>
        <v>8243.3322449281677</v>
      </c>
      <c r="F54" s="10">
        <f t="shared" ca="1" si="8"/>
        <v>11538.230124812051</v>
      </c>
      <c r="G54" s="10">
        <f t="shared" ca="1" si="8"/>
        <v>7277.748790954136</v>
      </c>
      <c r="H54" s="10">
        <f t="shared" ca="1" si="8"/>
        <v>31740.198559884335</v>
      </c>
      <c r="I54" s="10">
        <f t="shared" ca="1" si="8"/>
        <v>141953.69337334004</v>
      </c>
      <c r="J54" s="10">
        <f t="shared" ca="1" si="8"/>
        <v>325809.25272674958</v>
      </c>
      <c r="K54" s="10">
        <f t="shared" ca="1" si="8"/>
        <v>519584.86291686923</v>
      </c>
      <c r="L54" s="10">
        <f t="shared" ca="1" si="8"/>
        <v>334563.99238969118</v>
      </c>
      <c r="M54" s="10">
        <f t="shared" ca="1" si="8"/>
        <v>171415.18437605523</v>
      </c>
      <c r="N54" s="10">
        <f t="shared" ca="1" si="8"/>
        <v>131540.60914114246</v>
      </c>
      <c r="O54" s="10">
        <f t="shared" ca="1" si="8"/>
        <v>131895.94648034722</v>
      </c>
      <c r="P54" s="10">
        <f t="shared" ca="1" si="9"/>
        <v>140739.44918024915</v>
      </c>
      <c r="Q54" s="10">
        <f t="shared" ca="1" si="9"/>
        <v>180216.3637822856</v>
      </c>
      <c r="R54" s="10">
        <f t="shared" ca="1" si="9"/>
        <v>237661.58353489055</v>
      </c>
      <c r="S54" s="10">
        <f t="shared" ca="1" si="9"/>
        <v>317548.58194161381</v>
      </c>
      <c r="T54" s="10">
        <f t="shared" ca="1" si="9"/>
        <v>445024.37464523257</v>
      </c>
      <c r="U54" s="10">
        <f t="shared" ca="1" si="9"/>
        <v>364436.244471777</v>
      </c>
      <c r="V54" s="10">
        <f t="shared" ca="1" si="9"/>
        <v>235693.29856290738</v>
      </c>
      <c r="W54" s="10">
        <f t="shared" ca="1" si="9"/>
        <v>159370.52014915514</v>
      </c>
      <c r="X54" s="10">
        <f t="shared" ca="1" si="9"/>
        <v>112273.88834806213</v>
      </c>
      <c r="Y54" s="10">
        <f t="shared" ca="1" si="9"/>
        <v>89243.498963305683</v>
      </c>
      <c r="Z54" s="10">
        <f t="shared" ca="1" si="9"/>
        <v>48610.457365759008</v>
      </c>
      <c r="AA54" s="10">
        <f t="shared" ca="1" si="10"/>
        <v>4168920.5792588308</v>
      </c>
    </row>
    <row r="55" spans="1:27" ht="13.95" customHeight="1">
      <c r="A55" s="730" t="str">
        <f>E51</f>
        <v>2 a.m.</v>
      </c>
      <c r="B55" s="186">
        <f ca="1">E52</f>
        <v>11760.564710876975</v>
      </c>
      <c r="C55" s="10">
        <f t="shared" ca="1" si="7"/>
        <v>30782.599433747346</v>
      </c>
      <c r="D55" s="10">
        <f t="shared" ca="1" si="8"/>
        <v>8243.3322449281677</v>
      </c>
      <c r="E55" s="10">
        <f t="shared" ca="1" si="8"/>
        <v>0</v>
      </c>
      <c r="F55" s="10">
        <f t="shared" ca="1" si="8"/>
        <v>3294.8978798838834</v>
      </c>
      <c r="G55" s="10">
        <f t="shared" ca="1" si="8"/>
        <v>965.58345397403173</v>
      </c>
      <c r="H55" s="10">
        <f t="shared" ca="1" si="8"/>
        <v>39983.530804812501</v>
      </c>
      <c r="I55" s="10">
        <f t="shared" ca="1" si="8"/>
        <v>150197.02561826821</v>
      </c>
      <c r="J55" s="10">
        <f t="shared" ca="1" si="8"/>
        <v>334052.58497167774</v>
      </c>
      <c r="K55" s="10">
        <f t="shared" ca="1" si="8"/>
        <v>527828.19516179734</v>
      </c>
      <c r="L55" s="10">
        <f t="shared" ca="1" si="8"/>
        <v>342807.32463461935</v>
      </c>
      <c r="M55" s="10">
        <f t="shared" ca="1" si="8"/>
        <v>179658.5166209834</v>
      </c>
      <c r="N55" s="10">
        <f t="shared" ca="1" si="8"/>
        <v>139783.94138607063</v>
      </c>
      <c r="O55" s="10">
        <f t="shared" ca="1" si="8"/>
        <v>140139.27872527539</v>
      </c>
      <c r="P55" s="10">
        <f t="shared" ca="1" si="9"/>
        <v>148982.78142517732</v>
      </c>
      <c r="Q55" s="10">
        <f t="shared" ca="1" si="9"/>
        <v>188459.69602721377</v>
      </c>
      <c r="R55" s="10">
        <f t="shared" ca="1" si="9"/>
        <v>245904.91577981872</v>
      </c>
      <c r="S55" s="10">
        <f t="shared" ca="1" si="9"/>
        <v>325791.91418654198</v>
      </c>
      <c r="T55" s="10">
        <f t="shared" ca="1" si="9"/>
        <v>453267.70689016074</v>
      </c>
      <c r="U55" s="10">
        <f t="shared" ca="1" si="9"/>
        <v>372679.57671670517</v>
      </c>
      <c r="V55" s="10">
        <f t="shared" ca="1" si="9"/>
        <v>243936.63080783555</v>
      </c>
      <c r="W55" s="10">
        <f t="shared" ca="1" si="9"/>
        <v>167613.85239408331</v>
      </c>
      <c r="X55" s="10">
        <f t="shared" ca="1" si="9"/>
        <v>120517.2205929903</v>
      </c>
      <c r="Y55" s="10">
        <f t="shared" ca="1" si="9"/>
        <v>97486.831208233853</v>
      </c>
      <c r="Z55" s="10">
        <f t="shared" ca="1" si="9"/>
        <v>56853.789610687178</v>
      </c>
      <c r="AA55" s="10">
        <f t="shared" ca="1" si="10"/>
        <v>4319231.7265754864</v>
      </c>
    </row>
    <row r="56" spans="1:27" ht="13.95" customHeight="1">
      <c r="A56" s="730" t="str">
        <f>F51</f>
        <v>3 a.m.</v>
      </c>
      <c r="B56" s="186">
        <f ca="1">F52</f>
        <v>8465.6668309930919</v>
      </c>
      <c r="C56" s="10">
        <f t="shared" ca="1" si="7"/>
        <v>34077.497313631233</v>
      </c>
      <c r="D56" s="10">
        <f t="shared" ca="1" si="8"/>
        <v>11538.230124812051</v>
      </c>
      <c r="E56" s="10">
        <f t="shared" ca="1" si="8"/>
        <v>3294.8978798838834</v>
      </c>
      <c r="F56" s="10">
        <f t="shared" ca="1" si="8"/>
        <v>0</v>
      </c>
      <c r="G56" s="10">
        <f t="shared" ca="1" si="8"/>
        <v>4260.4813338579152</v>
      </c>
      <c r="H56" s="10">
        <f t="shared" ca="1" si="8"/>
        <v>43278.428684696388</v>
      </c>
      <c r="I56" s="10">
        <f t="shared" ca="1" si="8"/>
        <v>153491.92349815209</v>
      </c>
      <c r="J56" s="10">
        <f t="shared" ca="1" si="8"/>
        <v>337347.48285156162</v>
      </c>
      <c r="K56" s="10">
        <f t="shared" ca="1" si="8"/>
        <v>531123.09304168122</v>
      </c>
      <c r="L56" s="10">
        <f t="shared" ca="1" si="8"/>
        <v>346102.22251450323</v>
      </c>
      <c r="M56" s="10">
        <f t="shared" ca="1" si="8"/>
        <v>182953.41450086728</v>
      </c>
      <c r="N56" s="10">
        <f t="shared" ca="1" si="8"/>
        <v>143078.83926595451</v>
      </c>
      <c r="O56" s="10">
        <f t="shared" ca="1" si="8"/>
        <v>143434.17660515927</v>
      </c>
      <c r="P56" s="10">
        <f t="shared" ca="1" si="9"/>
        <v>152277.6793050612</v>
      </c>
      <c r="Q56" s="10">
        <f t="shared" ca="1" si="9"/>
        <v>191754.59390709765</v>
      </c>
      <c r="R56" s="10">
        <f t="shared" ca="1" si="9"/>
        <v>249199.8136597026</v>
      </c>
      <c r="S56" s="10">
        <f t="shared" ca="1" si="9"/>
        <v>329086.81206642586</v>
      </c>
      <c r="T56" s="10">
        <f t="shared" ca="1" si="9"/>
        <v>456562.60477004462</v>
      </c>
      <c r="U56" s="10">
        <f t="shared" ca="1" si="9"/>
        <v>375974.47459658905</v>
      </c>
      <c r="V56" s="10">
        <f t="shared" ca="1" si="9"/>
        <v>247231.52868771943</v>
      </c>
      <c r="W56" s="10">
        <f t="shared" ca="1" si="9"/>
        <v>170908.75027396719</v>
      </c>
      <c r="X56" s="10">
        <f t="shared" ca="1" si="9"/>
        <v>123812.11847287418</v>
      </c>
      <c r="Y56" s="10">
        <f t="shared" ca="1" si="9"/>
        <v>100781.72908811773</v>
      </c>
      <c r="Z56" s="10">
        <f t="shared" ca="1" si="9"/>
        <v>60148.687490571065</v>
      </c>
      <c r="AA56" s="10">
        <f t="shared" ca="1" si="10"/>
        <v>4391719.4799329313</v>
      </c>
    </row>
    <row r="57" spans="1:27" ht="13.95" customHeight="1">
      <c r="A57" s="730" t="str">
        <f>G51</f>
        <v>4 a.m.</v>
      </c>
      <c r="B57" s="186">
        <f ca="1">G52</f>
        <v>12726.148164851007</v>
      </c>
      <c r="C57" s="10">
        <f t="shared" ca="1" si="7"/>
        <v>29817.015979773314</v>
      </c>
      <c r="D57" s="10">
        <f t="shared" ca="1" si="8"/>
        <v>7277.748790954136</v>
      </c>
      <c r="E57" s="10">
        <f t="shared" ca="1" si="8"/>
        <v>965.58345397403173</v>
      </c>
      <c r="F57" s="10">
        <f t="shared" ca="1" si="8"/>
        <v>4260.4813338579152</v>
      </c>
      <c r="G57" s="10">
        <f t="shared" ca="1" si="8"/>
        <v>0</v>
      </c>
      <c r="H57" s="10">
        <f t="shared" ca="1" si="8"/>
        <v>39017.947350838469</v>
      </c>
      <c r="I57" s="10">
        <f t="shared" ca="1" si="8"/>
        <v>149231.44216429416</v>
      </c>
      <c r="J57" s="10">
        <f t="shared" ca="1" si="8"/>
        <v>333087.0015177037</v>
      </c>
      <c r="K57" s="10">
        <f t="shared" ca="1" si="8"/>
        <v>526862.61170782335</v>
      </c>
      <c r="L57" s="10">
        <f t="shared" ca="1" si="8"/>
        <v>341841.7411806453</v>
      </c>
      <c r="M57" s="10">
        <f t="shared" ca="1" si="8"/>
        <v>178692.93316700935</v>
      </c>
      <c r="N57" s="10">
        <f t="shared" ca="1" si="8"/>
        <v>138818.35793209658</v>
      </c>
      <c r="O57" s="10">
        <f t="shared" ca="1" si="8"/>
        <v>139173.69527130135</v>
      </c>
      <c r="P57" s="10">
        <f t="shared" ca="1" si="9"/>
        <v>148017.19797120328</v>
      </c>
      <c r="Q57" s="10">
        <f t="shared" ca="1" si="9"/>
        <v>187494.11257323972</v>
      </c>
      <c r="R57" s="10">
        <f t="shared" ca="1" si="9"/>
        <v>244939.33232584468</v>
      </c>
      <c r="S57" s="10">
        <f t="shared" ca="1" si="9"/>
        <v>324826.33073256793</v>
      </c>
      <c r="T57" s="10">
        <f t="shared" ca="1" si="9"/>
        <v>452302.1234361867</v>
      </c>
      <c r="U57" s="10">
        <f t="shared" ca="1" si="9"/>
        <v>371713.99326273112</v>
      </c>
      <c r="V57" s="10">
        <f t="shared" ca="1" si="9"/>
        <v>242971.0473538615</v>
      </c>
      <c r="W57" s="10">
        <f t="shared" ca="1" si="9"/>
        <v>166648.26894010926</v>
      </c>
      <c r="X57" s="10">
        <f t="shared" ca="1" si="9"/>
        <v>119551.63713901627</v>
      </c>
      <c r="Y57" s="10">
        <f t="shared" ca="1" si="9"/>
        <v>96521.247754259821</v>
      </c>
      <c r="Z57" s="10">
        <f t="shared" ca="1" si="9"/>
        <v>55888.206156713146</v>
      </c>
      <c r="AA57" s="10">
        <f t="shared" ca="1" si="10"/>
        <v>4299920.0574960047</v>
      </c>
    </row>
    <row r="58" spans="1:27" ht="13.95" customHeight="1">
      <c r="A58" s="730" t="str">
        <f>H51</f>
        <v>5 a.m.</v>
      </c>
      <c r="B58" s="186">
        <f ca="1">H52</f>
        <v>51744.095515689478</v>
      </c>
      <c r="C58" s="10">
        <f t="shared" ca="1" si="7"/>
        <v>9200.931371065155</v>
      </c>
      <c r="D58" s="10">
        <f t="shared" ca="1" si="8"/>
        <v>31740.198559884335</v>
      </c>
      <c r="E58" s="10">
        <f t="shared" ca="1" si="8"/>
        <v>39983.530804812501</v>
      </c>
      <c r="F58" s="10">
        <f t="shared" ca="1" si="8"/>
        <v>43278.428684696388</v>
      </c>
      <c r="G58" s="10">
        <f t="shared" ca="1" si="8"/>
        <v>39017.947350838469</v>
      </c>
      <c r="H58" s="10">
        <f t="shared" ca="1" si="8"/>
        <v>0</v>
      </c>
      <c r="I58" s="10">
        <f t="shared" ca="1" si="8"/>
        <v>110213.49481345569</v>
      </c>
      <c r="J58" s="10">
        <f t="shared" ca="1" si="8"/>
        <v>294069.05416686524</v>
      </c>
      <c r="K58" s="10">
        <f t="shared" ca="1" si="8"/>
        <v>487844.6643569849</v>
      </c>
      <c r="L58" s="10">
        <f t="shared" ca="1" si="8"/>
        <v>302823.79382980685</v>
      </c>
      <c r="M58" s="10">
        <f t="shared" ca="1" si="8"/>
        <v>139674.98581617087</v>
      </c>
      <c r="N58" s="10">
        <f t="shared" ca="1" si="8"/>
        <v>99800.410581258111</v>
      </c>
      <c r="O58" s="10">
        <f t="shared" ca="1" si="8"/>
        <v>100155.74792046288</v>
      </c>
      <c r="P58" s="10">
        <f t="shared" ca="1" si="9"/>
        <v>108999.25062036481</v>
      </c>
      <c r="Q58" s="10">
        <f t="shared" ca="1" si="9"/>
        <v>148476.16522240127</v>
      </c>
      <c r="R58" s="10">
        <f t="shared" ca="1" si="9"/>
        <v>205921.38497500622</v>
      </c>
      <c r="S58" s="10">
        <f t="shared" ca="1" si="9"/>
        <v>285808.38338172948</v>
      </c>
      <c r="T58" s="10">
        <f t="shared" ca="1" si="9"/>
        <v>413284.17608534824</v>
      </c>
      <c r="U58" s="10">
        <f t="shared" ca="1" si="9"/>
        <v>332696.04591189267</v>
      </c>
      <c r="V58" s="10">
        <f t="shared" ca="1" si="9"/>
        <v>203953.10000302305</v>
      </c>
      <c r="W58" s="10">
        <f t="shared" ca="1" si="9"/>
        <v>127630.3215892708</v>
      </c>
      <c r="X58" s="10">
        <f t="shared" ca="1" si="9"/>
        <v>80533.689788177799</v>
      </c>
      <c r="Y58" s="10">
        <f t="shared" ca="1" si="9"/>
        <v>57503.300403421352</v>
      </c>
      <c r="Z58" s="10">
        <f t="shared" ca="1" si="9"/>
        <v>16870.258805874677</v>
      </c>
      <c r="AA58" s="10">
        <f t="shared" ca="1" si="10"/>
        <v>3679479.2650428116</v>
      </c>
    </row>
    <row r="59" spans="1:27" ht="13.95" customHeight="1">
      <c r="A59" s="730" t="str">
        <f>I51</f>
        <v>6 a.m.</v>
      </c>
      <c r="B59" s="186">
        <f ca="1">I52</f>
        <v>161957.59032914517</v>
      </c>
      <c r="C59" s="10">
        <f t="shared" ca="1" si="7"/>
        <v>119414.42618452085</v>
      </c>
      <c r="D59" s="10">
        <f t="shared" ca="1" si="8"/>
        <v>141953.69337334004</v>
      </c>
      <c r="E59" s="10">
        <f t="shared" ca="1" si="8"/>
        <v>150197.02561826821</v>
      </c>
      <c r="F59" s="10">
        <f t="shared" ca="1" si="8"/>
        <v>153491.92349815209</v>
      </c>
      <c r="G59" s="10">
        <f t="shared" ca="1" si="8"/>
        <v>149231.44216429416</v>
      </c>
      <c r="H59" s="10">
        <f t="shared" ca="1" si="8"/>
        <v>110213.49481345569</v>
      </c>
      <c r="I59" s="10">
        <f t="shared" ca="1" si="8"/>
        <v>0</v>
      </c>
      <c r="J59" s="10">
        <f t="shared" ca="1" si="8"/>
        <v>183855.55935340954</v>
      </c>
      <c r="K59" s="10">
        <f t="shared" ca="1" si="8"/>
        <v>377631.16954352916</v>
      </c>
      <c r="L59" s="10">
        <f t="shared" ca="1" si="8"/>
        <v>192610.29901635114</v>
      </c>
      <c r="M59" s="10">
        <f t="shared" ca="1" si="8"/>
        <v>29461.491002715193</v>
      </c>
      <c r="N59" s="10">
        <f t="shared" ca="1" si="8"/>
        <v>10413.08423219758</v>
      </c>
      <c r="O59" s="10">
        <f t="shared" ca="1" si="8"/>
        <v>10057.746892992815</v>
      </c>
      <c r="P59" s="10">
        <f t="shared" ca="1" si="9"/>
        <v>1214.2441930908826</v>
      </c>
      <c r="Q59" s="10">
        <f t="shared" ca="1" si="9"/>
        <v>38262.67040894556</v>
      </c>
      <c r="R59" s="10">
        <f t="shared" ca="1" si="9"/>
        <v>95707.890161550516</v>
      </c>
      <c r="S59" s="10">
        <f t="shared" ca="1" si="9"/>
        <v>175594.88856827377</v>
      </c>
      <c r="T59" s="10">
        <f t="shared" ca="1" si="9"/>
        <v>303070.68127189251</v>
      </c>
      <c r="U59" s="10">
        <f t="shared" ca="1" si="9"/>
        <v>222482.55109843696</v>
      </c>
      <c r="V59" s="10">
        <f t="shared" ca="1" si="9"/>
        <v>93739.605189567344</v>
      </c>
      <c r="W59" s="10">
        <f t="shared" ca="1" si="9"/>
        <v>17416.826775815105</v>
      </c>
      <c r="X59" s="10">
        <f t="shared" ca="1" si="9"/>
        <v>29679.805025277892</v>
      </c>
      <c r="Y59" s="10">
        <f t="shared" ca="1" si="9"/>
        <v>52710.194410034339</v>
      </c>
      <c r="Z59" s="10">
        <f t="shared" ca="1" si="9"/>
        <v>93343.236007581014</v>
      </c>
      <c r="AA59" s="10">
        <f t="shared" ca="1" si="10"/>
        <v>2751753.9488036926</v>
      </c>
    </row>
    <row r="60" spans="1:27" ht="13.95" customHeight="1">
      <c r="A60" s="730" t="str">
        <f>J51</f>
        <v>7 a.m.</v>
      </c>
      <c r="B60" s="186">
        <f ca="1">J52</f>
        <v>345813.14968255471</v>
      </c>
      <c r="C60" s="10">
        <f t="shared" ca="1" si="7"/>
        <v>303269.98553793039</v>
      </c>
      <c r="D60" s="10">
        <f t="shared" ca="1" si="8"/>
        <v>325809.25272674958</v>
      </c>
      <c r="E60" s="10">
        <f t="shared" ca="1" si="8"/>
        <v>334052.58497167774</v>
      </c>
      <c r="F60" s="10">
        <f t="shared" ca="1" si="8"/>
        <v>337347.48285156162</v>
      </c>
      <c r="G60" s="10">
        <f t="shared" ca="1" si="8"/>
        <v>333087.0015177037</v>
      </c>
      <c r="H60" s="10">
        <f t="shared" ca="1" si="8"/>
        <v>294069.05416686524</v>
      </c>
      <c r="I60" s="10">
        <f t="shared" ca="1" si="8"/>
        <v>183855.55935340954</v>
      </c>
      <c r="J60" s="10">
        <f t="shared" ca="1" si="8"/>
        <v>0</v>
      </c>
      <c r="K60" s="10">
        <f t="shared" ca="1" si="8"/>
        <v>193775.61019011965</v>
      </c>
      <c r="L60" s="10">
        <f t="shared" ca="1" si="8"/>
        <v>8754.7396629416035</v>
      </c>
      <c r="M60" s="10">
        <f t="shared" ca="1" si="8"/>
        <v>154394.06835069435</v>
      </c>
      <c r="N60" s="10">
        <f t="shared" ca="1" si="8"/>
        <v>194268.64358560712</v>
      </c>
      <c r="O60" s="10">
        <f t="shared" ca="1" si="8"/>
        <v>193913.30624640235</v>
      </c>
      <c r="P60" s="10">
        <f t="shared" ca="1" si="9"/>
        <v>185069.80354650042</v>
      </c>
      <c r="Q60" s="10">
        <f t="shared" ca="1" si="9"/>
        <v>145592.88894446398</v>
      </c>
      <c r="R60" s="10">
        <f t="shared" ca="1" si="9"/>
        <v>88147.669191859022</v>
      </c>
      <c r="S60" s="10">
        <f t="shared" ca="1" si="9"/>
        <v>8260.6707851357642</v>
      </c>
      <c r="T60" s="10">
        <f t="shared" ca="1" si="9"/>
        <v>119215.121918483</v>
      </c>
      <c r="U60" s="10">
        <f t="shared" ca="1" si="9"/>
        <v>38626.991745027422</v>
      </c>
      <c r="V60" s="10">
        <f t="shared" ca="1" si="9"/>
        <v>90115.954163842194</v>
      </c>
      <c r="W60" s="10">
        <f t="shared" ca="1" si="9"/>
        <v>166438.73257759443</v>
      </c>
      <c r="X60" s="10">
        <f t="shared" ca="1" si="9"/>
        <v>213535.36437868743</v>
      </c>
      <c r="Y60" s="10">
        <f t="shared" ca="1" si="9"/>
        <v>236565.75376344388</v>
      </c>
      <c r="Z60" s="10">
        <f t="shared" ca="1" si="9"/>
        <v>277198.79536099057</v>
      </c>
      <c r="AA60" s="10">
        <f t="shared" ca="1" si="10"/>
        <v>4425365.0355376899</v>
      </c>
    </row>
    <row r="61" spans="1:27" ht="13.95" customHeight="1">
      <c r="A61" s="730" t="str">
        <f>K51</f>
        <v>8 a.m.</v>
      </c>
      <c r="B61" s="186">
        <f ca="1">K52</f>
        <v>539588.75987267436</v>
      </c>
      <c r="C61" s="10">
        <f t="shared" ca="1" si="7"/>
        <v>497045.59572805004</v>
      </c>
      <c r="D61" s="10">
        <f t="shared" ca="1" si="8"/>
        <v>519584.86291686923</v>
      </c>
      <c r="E61" s="10">
        <f t="shared" ca="1" si="8"/>
        <v>527828.19516179734</v>
      </c>
      <c r="F61" s="10">
        <f t="shared" ca="1" si="8"/>
        <v>531123.09304168122</v>
      </c>
      <c r="G61" s="10">
        <f t="shared" ca="1" si="8"/>
        <v>526862.61170782335</v>
      </c>
      <c r="H61" s="10">
        <f t="shared" ca="1" si="8"/>
        <v>487844.6643569849</v>
      </c>
      <c r="I61" s="10">
        <f t="shared" ca="1" si="8"/>
        <v>377631.16954352916</v>
      </c>
      <c r="J61" s="10">
        <f t="shared" ca="1" si="8"/>
        <v>193775.61019011965</v>
      </c>
      <c r="K61" s="10">
        <f t="shared" ca="1" si="8"/>
        <v>0</v>
      </c>
      <c r="L61" s="10">
        <f t="shared" ca="1" si="8"/>
        <v>185020.87052717805</v>
      </c>
      <c r="M61" s="10">
        <f t="shared" ca="1" si="8"/>
        <v>348169.67854081397</v>
      </c>
      <c r="N61" s="10">
        <f t="shared" ca="1" si="8"/>
        <v>388044.25377572677</v>
      </c>
      <c r="O61" s="10">
        <f t="shared" ca="1" si="8"/>
        <v>387688.91643652203</v>
      </c>
      <c r="P61" s="10">
        <f t="shared" ca="1" si="9"/>
        <v>378845.4137366201</v>
      </c>
      <c r="Q61" s="10">
        <f t="shared" ca="1" si="9"/>
        <v>339368.49913458363</v>
      </c>
      <c r="R61" s="10">
        <f t="shared" ca="1" si="9"/>
        <v>281923.27938197867</v>
      </c>
      <c r="S61" s="10">
        <f t="shared" ca="1" si="9"/>
        <v>202036.28097525542</v>
      </c>
      <c r="T61" s="10">
        <f t="shared" ca="1" si="9"/>
        <v>74560.488271636656</v>
      </c>
      <c r="U61" s="10">
        <f t="shared" ca="1" si="9"/>
        <v>155148.61844509223</v>
      </c>
      <c r="V61" s="10">
        <f t="shared" ca="1" si="9"/>
        <v>283891.56435396185</v>
      </c>
      <c r="W61" s="10">
        <f t="shared" ca="1" si="9"/>
        <v>360214.34276771406</v>
      </c>
      <c r="X61" s="10">
        <f t="shared" ca="1" si="9"/>
        <v>407310.97456880705</v>
      </c>
      <c r="Y61" s="10">
        <f t="shared" ca="1" si="9"/>
        <v>430341.3639535635</v>
      </c>
      <c r="Z61" s="10">
        <f t="shared" ca="1" si="9"/>
        <v>470974.40555111022</v>
      </c>
      <c r="AA61" s="10">
        <f t="shared" ca="1" si="10"/>
        <v>8355234.7530674171</v>
      </c>
    </row>
    <row r="62" spans="1:27" ht="13.95" customHeight="1">
      <c r="A62" s="730" t="str">
        <f>L51</f>
        <v>9 a.m.</v>
      </c>
      <c r="B62" s="186">
        <f ca="1">L52</f>
        <v>354567.88934549631</v>
      </c>
      <c r="C62" s="10">
        <f t="shared" ca="1" si="7"/>
        <v>312024.725200872</v>
      </c>
      <c r="D62" s="10">
        <f t="shared" ca="1" si="8"/>
        <v>334563.99238969118</v>
      </c>
      <c r="E62" s="10">
        <f t="shared" ca="1" si="8"/>
        <v>342807.32463461935</v>
      </c>
      <c r="F62" s="10">
        <f t="shared" ca="1" si="8"/>
        <v>346102.22251450323</v>
      </c>
      <c r="G62" s="10">
        <f t="shared" ca="1" si="8"/>
        <v>341841.7411806453</v>
      </c>
      <c r="H62" s="10">
        <f t="shared" ca="1" si="8"/>
        <v>302823.79382980685</v>
      </c>
      <c r="I62" s="10">
        <f t="shared" ca="1" si="8"/>
        <v>192610.29901635114</v>
      </c>
      <c r="J62" s="10">
        <f t="shared" ca="1" si="8"/>
        <v>8754.7396629416035</v>
      </c>
      <c r="K62" s="10">
        <f t="shared" ca="1" si="8"/>
        <v>185020.87052717805</v>
      </c>
      <c r="L62" s="10">
        <f t="shared" ca="1" si="8"/>
        <v>0</v>
      </c>
      <c r="M62" s="10">
        <f t="shared" ca="1" si="8"/>
        <v>163148.80801363595</v>
      </c>
      <c r="N62" s="10">
        <f t="shared" ca="1" si="8"/>
        <v>203023.38324854872</v>
      </c>
      <c r="O62" s="10">
        <f t="shared" ca="1" si="8"/>
        <v>202668.04590934396</v>
      </c>
      <c r="P62" s="10">
        <f t="shared" ca="1" si="9"/>
        <v>193824.54320944202</v>
      </c>
      <c r="Q62" s="10">
        <f t="shared" ca="1" si="9"/>
        <v>154347.62860740558</v>
      </c>
      <c r="R62" s="10">
        <f t="shared" ca="1" si="9"/>
        <v>96902.408854800626</v>
      </c>
      <c r="S62" s="10">
        <f t="shared" ca="1" si="9"/>
        <v>17015.410448077368</v>
      </c>
      <c r="T62" s="10">
        <f t="shared" ca="1" si="9"/>
        <v>110460.38225554139</v>
      </c>
      <c r="U62" s="10">
        <f t="shared" ca="1" si="9"/>
        <v>29872.252082085819</v>
      </c>
      <c r="V62" s="10">
        <f t="shared" ca="1" si="9"/>
        <v>98870.693826783798</v>
      </c>
      <c r="W62" s="10">
        <f t="shared" ca="1" si="9"/>
        <v>175193.47224053604</v>
      </c>
      <c r="X62" s="10">
        <f t="shared" ca="1" si="9"/>
        <v>222290.10404162903</v>
      </c>
      <c r="Y62" s="10">
        <f t="shared" ca="1" si="9"/>
        <v>245320.49342638548</v>
      </c>
      <c r="Z62" s="10">
        <f t="shared" ca="1" si="9"/>
        <v>285953.53502393217</v>
      </c>
      <c r="AA62" s="10">
        <f t="shared" ca="1" si="10"/>
        <v>4565440.8701447565</v>
      </c>
    </row>
    <row r="63" spans="1:27" ht="13.95" customHeight="1">
      <c r="A63" s="730" t="str">
        <f>M51</f>
        <v>10 a.m.</v>
      </c>
      <c r="B63" s="186">
        <f ca="1">M52</f>
        <v>191419.08133186036</v>
      </c>
      <c r="C63" s="10">
        <f t="shared" ca="1" si="7"/>
        <v>148875.91718723605</v>
      </c>
      <c r="D63" s="10">
        <f t="shared" ca="1" si="8"/>
        <v>171415.18437605523</v>
      </c>
      <c r="E63" s="10">
        <f t="shared" ca="1" si="8"/>
        <v>179658.5166209834</v>
      </c>
      <c r="F63" s="10">
        <f t="shared" ca="1" si="8"/>
        <v>182953.41450086728</v>
      </c>
      <c r="G63" s="10">
        <f t="shared" ca="1" si="8"/>
        <v>178692.93316700935</v>
      </c>
      <c r="H63" s="10">
        <f t="shared" ca="1" si="8"/>
        <v>139674.98581617087</v>
      </c>
      <c r="I63" s="10">
        <f t="shared" ca="1" si="8"/>
        <v>29461.491002715193</v>
      </c>
      <c r="J63" s="10">
        <f t="shared" ca="1" si="8"/>
        <v>154394.06835069435</v>
      </c>
      <c r="K63" s="10">
        <f t="shared" ca="1" si="8"/>
        <v>348169.67854081397</v>
      </c>
      <c r="L63" s="10">
        <f t="shared" ca="1" si="8"/>
        <v>163148.80801363595</v>
      </c>
      <c r="M63" s="10">
        <f t="shared" ca="1" si="8"/>
        <v>0</v>
      </c>
      <c r="N63" s="10">
        <f t="shared" ca="1" si="8"/>
        <v>39874.575234912772</v>
      </c>
      <c r="O63" s="10">
        <f t="shared" ca="1" si="8"/>
        <v>39519.237895708007</v>
      </c>
      <c r="P63" s="10">
        <f t="shared" ca="1" si="9"/>
        <v>30675.735195806075</v>
      </c>
      <c r="Q63" s="10">
        <f t="shared" ca="1" si="9"/>
        <v>8801.179406230367</v>
      </c>
      <c r="R63" s="10">
        <f t="shared" ca="1" si="9"/>
        <v>66246.399158835324</v>
      </c>
      <c r="S63" s="10">
        <f t="shared" ca="1" si="9"/>
        <v>146133.39756555858</v>
      </c>
      <c r="T63" s="10">
        <f t="shared" ca="1" si="9"/>
        <v>273609.19026917731</v>
      </c>
      <c r="U63" s="10">
        <f t="shared" ca="1" si="9"/>
        <v>193021.06009572177</v>
      </c>
      <c r="V63" s="10">
        <f t="shared" ca="1" si="9"/>
        <v>64278.114186852152</v>
      </c>
      <c r="W63" s="10">
        <f t="shared" ca="1" si="9"/>
        <v>12044.664226900088</v>
      </c>
      <c r="X63" s="10">
        <f t="shared" ca="1" si="9"/>
        <v>59141.296027993085</v>
      </c>
      <c r="Y63" s="10">
        <f t="shared" ca="1" si="9"/>
        <v>82171.685412749532</v>
      </c>
      <c r="Z63" s="10">
        <f t="shared" ca="1" si="9"/>
        <v>122804.72701029621</v>
      </c>
      <c r="AA63" s="10">
        <f t="shared" ca="1" si="10"/>
        <v>2834766.2592629227</v>
      </c>
    </row>
    <row r="64" spans="1:27" ht="13.95" customHeight="1">
      <c r="A64" s="730" t="str">
        <f>N51</f>
        <v>11 a.m.</v>
      </c>
      <c r="B64" s="186">
        <f ca="1">N52</f>
        <v>151544.50609694759</v>
      </c>
      <c r="C64" s="10">
        <f t="shared" ca="1" si="7"/>
        <v>109001.34195232327</v>
      </c>
      <c r="D64" s="10">
        <f t="shared" ca="1" si="8"/>
        <v>131540.60914114246</v>
      </c>
      <c r="E64" s="10">
        <f t="shared" ca="1" si="8"/>
        <v>139783.94138607063</v>
      </c>
      <c r="F64" s="10">
        <f t="shared" ca="1" si="8"/>
        <v>143078.83926595451</v>
      </c>
      <c r="G64" s="10">
        <f t="shared" ca="1" si="8"/>
        <v>138818.35793209658</v>
      </c>
      <c r="H64" s="10">
        <f t="shared" ca="1" si="8"/>
        <v>99800.410581258111</v>
      </c>
      <c r="I64" s="10">
        <f t="shared" ca="1" si="8"/>
        <v>10413.08423219758</v>
      </c>
      <c r="J64" s="10">
        <f t="shared" ca="1" si="8"/>
        <v>194268.64358560712</v>
      </c>
      <c r="K64" s="10">
        <f t="shared" ca="1" si="8"/>
        <v>388044.25377572677</v>
      </c>
      <c r="L64" s="10">
        <f t="shared" ca="1" si="8"/>
        <v>203023.38324854872</v>
      </c>
      <c r="M64" s="10">
        <f t="shared" ca="1" si="8"/>
        <v>39874.575234912772</v>
      </c>
      <c r="N64" s="10">
        <f t="shared" ca="1" si="8"/>
        <v>0</v>
      </c>
      <c r="O64" s="10">
        <f t="shared" ca="1" si="8"/>
        <v>355.33733920476516</v>
      </c>
      <c r="P64" s="10">
        <f t="shared" ca="1" si="9"/>
        <v>9198.8400391066971</v>
      </c>
      <c r="Q64" s="10">
        <f t="shared" ca="1" si="9"/>
        <v>48675.754641143139</v>
      </c>
      <c r="R64" s="10">
        <f t="shared" ca="1" si="9"/>
        <v>106120.9743937481</v>
      </c>
      <c r="S64" s="10">
        <f t="shared" ca="1" si="9"/>
        <v>186007.97280047135</v>
      </c>
      <c r="T64" s="10">
        <f t="shared" ca="1" si="9"/>
        <v>313483.76550409012</v>
      </c>
      <c r="U64" s="10">
        <f t="shared" ca="1" si="9"/>
        <v>232895.63533063454</v>
      </c>
      <c r="V64" s="10">
        <f t="shared" ca="1" si="9"/>
        <v>104152.68942176492</v>
      </c>
      <c r="W64" s="10">
        <f t="shared" ca="1" si="9"/>
        <v>27829.911008012685</v>
      </c>
      <c r="X64" s="10">
        <f t="shared" ca="1" si="9"/>
        <v>19266.720793080312</v>
      </c>
      <c r="Y64" s="10">
        <f t="shared" ca="1" si="9"/>
        <v>42297.110177836759</v>
      </c>
      <c r="Z64" s="10">
        <f t="shared" ca="1" si="9"/>
        <v>82930.151775383434</v>
      </c>
      <c r="AA64" s="10">
        <f t="shared" ca="1" si="10"/>
        <v>2770862.3035603156</v>
      </c>
    </row>
    <row r="65" spans="1:27" ht="13.95" customHeight="1">
      <c r="A65" s="730" t="str">
        <f>O51</f>
        <v>Noon</v>
      </c>
      <c r="B65" s="186">
        <f ca="1">O52</f>
        <v>151899.84343615235</v>
      </c>
      <c r="C65" s="10">
        <f t="shared" ca="1" si="7"/>
        <v>109356.67929152804</v>
      </c>
      <c r="D65" s="10">
        <f t="shared" ca="1" si="8"/>
        <v>131895.94648034722</v>
      </c>
      <c r="E65" s="10">
        <f t="shared" ca="1" si="8"/>
        <v>140139.27872527539</v>
      </c>
      <c r="F65" s="10">
        <f t="shared" ca="1" si="8"/>
        <v>143434.17660515927</v>
      </c>
      <c r="G65" s="10">
        <f t="shared" ca="1" si="8"/>
        <v>139173.69527130135</v>
      </c>
      <c r="H65" s="10">
        <f t="shared" ca="1" si="8"/>
        <v>100155.74792046288</v>
      </c>
      <c r="I65" s="10">
        <f t="shared" ca="1" si="8"/>
        <v>10057.746892992815</v>
      </c>
      <c r="J65" s="10">
        <f t="shared" ca="1" si="8"/>
        <v>193913.30624640235</v>
      </c>
      <c r="K65" s="10">
        <f t="shared" ca="1" si="8"/>
        <v>387688.91643652203</v>
      </c>
      <c r="L65" s="10">
        <f t="shared" ca="1" si="8"/>
        <v>202668.04590934396</v>
      </c>
      <c r="M65" s="10">
        <f t="shared" ca="1" si="8"/>
        <v>39519.237895708007</v>
      </c>
      <c r="N65" s="10">
        <f t="shared" ca="1" si="8"/>
        <v>355.33733920476516</v>
      </c>
      <c r="O65" s="10">
        <f t="shared" ca="1" si="8"/>
        <v>0</v>
      </c>
      <c r="P65" s="10">
        <f t="shared" ca="1" si="9"/>
        <v>8843.5026999019319</v>
      </c>
      <c r="Q65" s="10">
        <f t="shared" ca="1" si="9"/>
        <v>48320.417301938374</v>
      </c>
      <c r="R65" s="10">
        <f t="shared" ca="1" si="9"/>
        <v>105765.63705454333</v>
      </c>
      <c r="S65" s="10">
        <f t="shared" ca="1" si="9"/>
        <v>185652.63546126659</v>
      </c>
      <c r="T65" s="10">
        <f t="shared" ca="1" si="9"/>
        <v>313128.42816488538</v>
      </c>
      <c r="U65" s="10">
        <f t="shared" ca="1" si="9"/>
        <v>232540.29799142978</v>
      </c>
      <c r="V65" s="10">
        <f t="shared" ca="1" si="9"/>
        <v>103797.35208256016</v>
      </c>
      <c r="W65" s="10">
        <f t="shared" ca="1" si="9"/>
        <v>27474.57366880792</v>
      </c>
      <c r="X65" s="10">
        <f t="shared" ca="1" si="9"/>
        <v>19622.058132285078</v>
      </c>
      <c r="Y65" s="10">
        <f t="shared" ca="1" si="9"/>
        <v>42652.447517041524</v>
      </c>
      <c r="Z65" s="10">
        <f t="shared" ca="1" si="9"/>
        <v>83285.489114588199</v>
      </c>
      <c r="AA65" s="10">
        <f t="shared" ca="1" si="10"/>
        <v>2769440.9542034972</v>
      </c>
    </row>
    <row r="66" spans="1:27" ht="13.95" customHeight="1">
      <c r="A66" s="730" t="str">
        <f>P51</f>
        <v>1 p.m.</v>
      </c>
      <c r="B66" s="186">
        <f ca="1">P52</f>
        <v>160743.34613605429</v>
      </c>
      <c r="C66" s="10">
        <f t="shared" ca="1" si="7"/>
        <v>118200.18199142997</v>
      </c>
      <c r="D66" s="10">
        <f t="shared" ca="1" si="8"/>
        <v>140739.44918024915</v>
      </c>
      <c r="E66" s="10">
        <f t="shared" ca="1" si="8"/>
        <v>148982.78142517732</v>
      </c>
      <c r="F66" s="10">
        <f t="shared" ca="1" si="8"/>
        <v>152277.6793050612</v>
      </c>
      <c r="G66" s="10">
        <f t="shared" ca="1" si="8"/>
        <v>148017.19797120328</v>
      </c>
      <c r="H66" s="10">
        <f t="shared" ca="1" si="8"/>
        <v>108999.25062036481</v>
      </c>
      <c r="I66" s="10">
        <f t="shared" ca="1" si="8"/>
        <v>1214.2441930908826</v>
      </c>
      <c r="J66" s="10">
        <f t="shared" ca="1" si="8"/>
        <v>185069.80354650042</v>
      </c>
      <c r="K66" s="10">
        <f t="shared" ca="1" si="8"/>
        <v>378845.4137366201</v>
      </c>
      <c r="L66" s="10">
        <f t="shared" ca="1" si="8"/>
        <v>193824.54320944202</v>
      </c>
      <c r="M66" s="10">
        <f t="shared" ca="1" si="8"/>
        <v>30675.735195806075</v>
      </c>
      <c r="N66" s="10">
        <f t="shared" ca="1" si="8"/>
        <v>9198.8400391066971</v>
      </c>
      <c r="O66" s="10">
        <f t="shared" ca="1" si="8"/>
        <v>8843.5026999019319</v>
      </c>
      <c r="P66" s="10">
        <f t="shared" ca="1" si="9"/>
        <v>0</v>
      </c>
      <c r="Q66" s="10">
        <f t="shared" ca="1" si="9"/>
        <v>39476.914602036442</v>
      </c>
      <c r="R66" s="10">
        <f t="shared" ca="1" si="9"/>
        <v>96922.134354641399</v>
      </c>
      <c r="S66" s="10">
        <f t="shared" ca="1" si="9"/>
        <v>176809.13276136466</v>
      </c>
      <c r="T66" s="10">
        <f t="shared" ca="1" si="9"/>
        <v>304284.92546498345</v>
      </c>
      <c r="U66" s="10">
        <f t="shared" ca="1" si="9"/>
        <v>223696.79529152784</v>
      </c>
      <c r="V66" s="10">
        <f t="shared" ca="1" si="9"/>
        <v>94953.849382658227</v>
      </c>
      <c r="W66" s="10">
        <f t="shared" ca="1" si="9"/>
        <v>18631.070968905988</v>
      </c>
      <c r="X66" s="10">
        <f t="shared" ca="1" si="9"/>
        <v>28465.56083218701</v>
      </c>
      <c r="Y66" s="10">
        <f t="shared" ca="1" si="9"/>
        <v>51495.950216943456</v>
      </c>
      <c r="Z66" s="10">
        <f t="shared" ca="1" si="9"/>
        <v>92128.991814490131</v>
      </c>
      <c r="AA66" s="10">
        <f t="shared" ca="1" si="10"/>
        <v>2751753.9488036912</v>
      </c>
    </row>
    <row r="67" spans="1:27" ht="13.95" customHeight="1">
      <c r="A67" s="730" t="str">
        <f>Q51</f>
        <v>2 p.m.</v>
      </c>
      <c r="B67" s="186">
        <f ca="1">Q52</f>
        <v>200220.26073809073</v>
      </c>
      <c r="C67" s="10">
        <f t="shared" ca="1" si="7"/>
        <v>157677.09659346641</v>
      </c>
      <c r="D67" s="10">
        <f t="shared" ca="1" si="8"/>
        <v>180216.3637822856</v>
      </c>
      <c r="E67" s="10">
        <f t="shared" ca="1" si="8"/>
        <v>188459.69602721377</v>
      </c>
      <c r="F67" s="10">
        <f t="shared" ca="1" si="8"/>
        <v>191754.59390709765</v>
      </c>
      <c r="G67" s="10">
        <f t="shared" ca="1" si="8"/>
        <v>187494.11257323972</v>
      </c>
      <c r="H67" s="10">
        <f t="shared" ca="1" si="8"/>
        <v>148476.16522240127</v>
      </c>
      <c r="I67" s="10">
        <f t="shared" ca="1" si="8"/>
        <v>38262.67040894556</v>
      </c>
      <c r="J67" s="10">
        <f t="shared" ca="1" si="8"/>
        <v>145592.88894446398</v>
      </c>
      <c r="K67" s="10">
        <f t="shared" ca="1" si="8"/>
        <v>339368.49913458363</v>
      </c>
      <c r="L67" s="10">
        <f t="shared" ca="1" si="8"/>
        <v>154347.62860740558</v>
      </c>
      <c r="M67" s="10">
        <f t="shared" ca="1" si="8"/>
        <v>8801.179406230367</v>
      </c>
      <c r="N67" s="10">
        <f t="shared" ca="1" si="8"/>
        <v>48675.754641143139</v>
      </c>
      <c r="O67" s="10">
        <f t="shared" ca="1" si="8"/>
        <v>48320.417301938374</v>
      </c>
      <c r="P67" s="10">
        <f t="shared" ca="1" si="9"/>
        <v>39476.914602036442</v>
      </c>
      <c r="Q67" s="10">
        <f t="shared" ca="1" si="9"/>
        <v>0</v>
      </c>
      <c r="R67" s="10">
        <f t="shared" ca="1" si="9"/>
        <v>57445.219752604957</v>
      </c>
      <c r="S67" s="10">
        <f t="shared" ca="1" si="9"/>
        <v>137332.21815932821</v>
      </c>
      <c r="T67" s="10">
        <f t="shared" ca="1" si="9"/>
        <v>264808.01086294698</v>
      </c>
      <c r="U67" s="10">
        <f t="shared" ca="1" si="9"/>
        <v>184219.8806894914</v>
      </c>
      <c r="V67" s="10">
        <f t="shared" ca="1" si="9"/>
        <v>55476.934780621785</v>
      </c>
      <c r="W67" s="10">
        <f t="shared" ca="1" si="9"/>
        <v>20845.843633130455</v>
      </c>
      <c r="X67" s="10">
        <f t="shared" ca="1" si="9"/>
        <v>67942.475434223452</v>
      </c>
      <c r="Y67" s="10">
        <f t="shared" ca="1" si="9"/>
        <v>90972.864818979899</v>
      </c>
      <c r="Z67" s="10">
        <f t="shared" ca="1" si="9"/>
        <v>131605.90641652659</v>
      </c>
      <c r="AA67" s="10">
        <f t="shared" ca="1" si="10"/>
        <v>2887573.3357003056</v>
      </c>
    </row>
    <row r="68" spans="1:27" ht="13.95" customHeight="1">
      <c r="A68" s="730" t="str">
        <f>R51</f>
        <v>3 p.m.</v>
      </c>
      <c r="B68" s="186">
        <f ca="1">R52</f>
        <v>257665.48049069569</v>
      </c>
      <c r="C68" s="10">
        <f t="shared" ca="1" si="7"/>
        <v>215122.31634607137</v>
      </c>
      <c r="D68" s="10">
        <f t="shared" ca="1" si="8"/>
        <v>237661.58353489055</v>
      </c>
      <c r="E68" s="10">
        <f t="shared" ca="1" si="8"/>
        <v>245904.91577981872</v>
      </c>
      <c r="F68" s="10">
        <f t="shared" ca="1" si="8"/>
        <v>249199.8136597026</v>
      </c>
      <c r="G68" s="10">
        <f t="shared" ca="1" si="8"/>
        <v>244939.33232584468</v>
      </c>
      <c r="H68" s="10">
        <f t="shared" ca="1" si="8"/>
        <v>205921.38497500622</v>
      </c>
      <c r="I68" s="10">
        <f t="shared" ca="1" si="8"/>
        <v>95707.890161550516</v>
      </c>
      <c r="J68" s="10">
        <f t="shared" ca="1" si="8"/>
        <v>88147.669191859022</v>
      </c>
      <c r="K68" s="10">
        <f t="shared" ca="1" si="8"/>
        <v>281923.27938197867</v>
      </c>
      <c r="L68" s="10">
        <f t="shared" ca="1" si="8"/>
        <v>96902.408854800626</v>
      </c>
      <c r="M68" s="10">
        <f t="shared" ca="1" si="8"/>
        <v>66246.399158835324</v>
      </c>
      <c r="N68" s="10">
        <f t="shared" ca="1" si="8"/>
        <v>106120.9743937481</v>
      </c>
      <c r="O68" s="10">
        <f t="shared" ca="1" si="8"/>
        <v>105765.63705454333</v>
      </c>
      <c r="P68" s="10">
        <f t="shared" ca="1" si="9"/>
        <v>96922.134354641399</v>
      </c>
      <c r="Q68" s="10">
        <f t="shared" ca="1" si="9"/>
        <v>57445.219752604957</v>
      </c>
      <c r="R68" s="10">
        <f t="shared" ca="1" si="9"/>
        <v>0</v>
      </c>
      <c r="S68" s="10">
        <f t="shared" ca="1" si="9"/>
        <v>79886.998406723258</v>
      </c>
      <c r="T68" s="10">
        <f t="shared" ca="1" si="9"/>
        <v>207362.79111034202</v>
      </c>
      <c r="U68" s="10">
        <f t="shared" ca="1" si="9"/>
        <v>126774.66093688644</v>
      </c>
      <c r="V68" s="10">
        <f t="shared" ca="1" si="9"/>
        <v>1968.284971983172</v>
      </c>
      <c r="W68" s="10">
        <f t="shared" ca="1" si="9"/>
        <v>78291.063385735411</v>
      </c>
      <c r="X68" s="10">
        <f t="shared" ca="1" si="9"/>
        <v>125387.69518682841</v>
      </c>
      <c r="Y68" s="10">
        <f t="shared" ca="1" si="9"/>
        <v>148418.08457158486</v>
      </c>
      <c r="Z68" s="10">
        <f t="shared" ca="1" si="9"/>
        <v>189051.12616913154</v>
      </c>
      <c r="AA68" s="10">
        <f t="shared" ca="1" si="10"/>
        <v>3351071.6636651112</v>
      </c>
    </row>
    <row r="69" spans="1:27" ht="13.95" customHeight="1">
      <c r="A69" s="730" t="str">
        <f>S51</f>
        <v>4 p.m.</v>
      </c>
      <c r="B69" s="186">
        <f ca="1">S52</f>
        <v>337552.47889741894</v>
      </c>
      <c r="C69" s="10">
        <f t="shared" ca="1" si="7"/>
        <v>295009.31475279463</v>
      </c>
      <c r="D69" s="10">
        <f t="shared" ref="D69:O69" ca="1" si="11">ABS($B69-D$52)</f>
        <v>317548.58194161381</v>
      </c>
      <c r="E69" s="10">
        <f t="shared" ca="1" si="11"/>
        <v>325791.91418654198</v>
      </c>
      <c r="F69" s="10">
        <f t="shared" ca="1" si="11"/>
        <v>329086.81206642586</v>
      </c>
      <c r="G69" s="10">
        <f t="shared" ca="1" si="11"/>
        <v>324826.33073256793</v>
      </c>
      <c r="H69" s="10">
        <f t="shared" ca="1" si="11"/>
        <v>285808.38338172948</v>
      </c>
      <c r="I69" s="10">
        <f t="shared" ca="1" si="11"/>
        <v>175594.88856827377</v>
      </c>
      <c r="J69" s="10">
        <f t="shared" ca="1" si="11"/>
        <v>8260.6707851357642</v>
      </c>
      <c r="K69" s="10">
        <f t="shared" ca="1" si="11"/>
        <v>202036.28097525542</v>
      </c>
      <c r="L69" s="10">
        <f t="shared" ca="1" si="11"/>
        <v>17015.410448077368</v>
      </c>
      <c r="M69" s="10">
        <f t="shared" ca="1" si="11"/>
        <v>146133.39756555858</v>
      </c>
      <c r="N69" s="10">
        <f t="shared" ca="1" si="11"/>
        <v>186007.97280047135</v>
      </c>
      <c r="O69" s="10">
        <f t="shared" ca="1" si="11"/>
        <v>185652.63546126659</v>
      </c>
      <c r="P69" s="10">
        <f t="shared" ca="1" si="9"/>
        <v>176809.13276136466</v>
      </c>
      <c r="Q69" s="10">
        <f t="shared" ca="1" si="9"/>
        <v>137332.21815932821</v>
      </c>
      <c r="R69" s="10">
        <f t="shared" ca="1" si="9"/>
        <v>79886.998406723258</v>
      </c>
      <c r="S69" s="10">
        <f t="shared" ca="1" si="9"/>
        <v>0</v>
      </c>
      <c r="T69" s="10">
        <f t="shared" ca="1" si="9"/>
        <v>127475.79270361876</v>
      </c>
      <c r="U69" s="10">
        <f t="shared" ca="1" si="9"/>
        <v>46887.662530163187</v>
      </c>
      <c r="V69" s="10">
        <f t="shared" ca="1" si="9"/>
        <v>81855.28337870643</v>
      </c>
      <c r="W69" s="10">
        <f t="shared" ca="1" si="9"/>
        <v>158178.06179245867</v>
      </c>
      <c r="X69" s="10">
        <f t="shared" ca="1" si="9"/>
        <v>205274.69359355167</v>
      </c>
      <c r="Y69" s="10">
        <f t="shared" ca="1" si="9"/>
        <v>228305.08297830811</v>
      </c>
      <c r="Z69" s="10">
        <f t="shared" ca="1" si="9"/>
        <v>268938.1245758548</v>
      </c>
      <c r="AA69" s="10">
        <f t="shared" ca="1" si="10"/>
        <v>4309715.6445457907</v>
      </c>
    </row>
    <row r="70" spans="1:27" ht="13.95" customHeight="1">
      <c r="A70" s="730" t="str">
        <f>T51</f>
        <v>5 p.m.</v>
      </c>
      <c r="B70" s="186">
        <f ca="1">T52</f>
        <v>465028.2716010377</v>
      </c>
      <c r="C70" s="10">
        <f t="shared" ref="C70:O76" ca="1" si="12">ABS($B70-C$52)</f>
        <v>422485.10745641339</v>
      </c>
      <c r="D70" s="10">
        <f t="shared" ca="1" si="12"/>
        <v>445024.37464523257</v>
      </c>
      <c r="E70" s="10">
        <f t="shared" ca="1" si="12"/>
        <v>453267.70689016074</v>
      </c>
      <c r="F70" s="10">
        <f t="shared" ca="1" si="12"/>
        <v>456562.60477004462</v>
      </c>
      <c r="G70" s="10">
        <f t="shared" ca="1" si="12"/>
        <v>452302.1234361867</v>
      </c>
      <c r="H70" s="10">
        <f t="shared" ca="1" si="12"/>
        <v>413284.17608534824</v>
      </c>
      <c r="I70" s="10">
        <f t="shared" ca="1" si="12"/>
        <v>303070.68127189251</v>
      </c>
      <c r="J70" s="10">
        <f t="shared" ca="1" si="12"/>
        <v>119215.121918483</v>
      </c>
      <c r="K70" s="10">
        <f t="shared" ca="1" si="12"/>
        <v>74560.488271636656</v>
      </c>
      <c r="L70" s="10">
        <f t="shared" ca="1" si="12"/>
        <v>110460.38225554139</v>
      </c>
      <c r="M70" s="10">
        <f t="shared" ca="1" si="12"/>
        <v>273609.19026917731</v>
      </c>
      <c r="N70" s="10">
        <f t="shared" ca="1" si="12"/>
        <v>313483.76550409012</v>
      </c>
      <c r="O70" s="10">
        <f t="shared" ca="1" si="12"/>
        <v>313128.42816488538</v>
      </c>
      <c r="P70" s="10">
        <f t="shared" ca="1" si="9"/>
        <v>304284.92546498345</v>
      </c>
      <c r="Q70" s="10">
        <f t="shared" ca="1" si="9"/>
        <v>264808.01086294698</v>
      </c>
      <c r="R70" s="10">
        <f t="shared" ca="1" si="9"/>
        <v>207362.79111034202</v>
      </c>
      <c r="S70" s="10">
        <f t="shared" ca="1" si="9"/>
        <v>127475.79270361876</v>
      </c>
      <c r="T70" s="10">
        <f t="shared" ca="1" si="9"/>
        <v>0</v>
      </c>
      <c r="U70" s="10">
        <f t="shared" ca="1" si="9"/>
        <v>80588.130173455575</v>
      </c>
      <c r="V70" s="10">
        <f t="shared" ca="1" si="9"/>
        <v>209331.07608232519</v>
      </c>
      <c r="W70" s="10">
        <f t="shared" ca="1" si="9"/>
        <v>285653.8544960774</v>
      </c>
      <c r="X70" s="10">
        <f t="shared" ca="1" si="9"/>
        <v>332750.4862971704</v>
      </c>
      <c r="Y70" s="10">
        <f t="shared" ca="1" si="9"/>
        <v>355780.87568192685</v>
      </c>
      <c r="Z70" s="10">
        <f t="shared" ca="1" si="9"/>
        <v>396413.91727947356</v>
      </c>
      <c r="AA70" s="10">
        <f t="shared" ca="1" si="10"/>
        <v>6714904.0110914139</v>
      </c>
    </row>
    <row r="71" spans="1:27" ht="13.95" customHeight="1">
      <c r="A71" s="730" t="str">
        <f>U51</f>
        <v>6 p.m.</v>
      </c>
      <c r="B71" s="186">
        <f ca="1">U52</f>
        <v>384440.14142758213</v>
      </c>
      <c r="C71" s="10">
        <f t="shared" ca="1" si="12"/>
        <v>341896.97728295781</v>
      </c>
      <c r="D71" s="10">
        <f t="shared" ca="1" si="12"/>
        <v>364436.244471777</v>
      </c>
      <c r="E71" s="10">
        <f t="shared" ca="1" si="12"/>
        <v>372679.57671670517</v>
      </c>
      <c r="F71" s="10">
        <f t="shared" ca="1" si="12"/>
        <v>375974.47459658905</v>
      </c>
      <c r="G71" s="10">
        <f t="shared" ca="1" si="12"/>
        <v>371713.99326273112</v>
      </c>
      <c r="H71" s="10">
        <f t="shared" ca="1" si="12"/>
        <v>332696.04591189267</v>
      </c>
      <c r="I71" s="10">
        <f t="shared" ca="1" si="12"/>
        <v>222482.55109843696</v>
      </c>
      <c r="J71" s="10">
        <f t="shared" ca="1" si="12"/>
        <v>38626.991745027422</v>
      </c>
      <c r="K71" s="10">
        <f t="shared" ca="1" si="12"/>
        <v>155148.61844509223</v>
      </c>
      <c r="L71" s="10">
        <f t="shared" ca="1" si="12"/>
        <v>29872.252082085819</v>
      </c>
      <c r="M71" s="10">
        <f t="shared" ca="1" si="12"/>
        <v>193021.06009572177</v>
      </c>
      <c r="N71" s="10">
        <f t="shared" ca="1" si="12"/>
        <v>232895.63533063454</v>
      </c>
      <c r="O71" s="10">
        <f t="shared" ca="1" si="12"/>
        <v>232540.29799142978</v>
      </c>
      <c r="P71" s="10">
        <f t="shared" ca="1" si="9"/>
        <v>223696.79529152784</v>
      </c>
      <c r="Q71" s="10">
        <f t="shared" ca="1" si="9"/>
        <v>184219.8806894914</v>
      </c>
      <c r="R71" s="10">
        <f t="shared" ca="1" si="9"/>
        <v>126774.66093688644</v>
      </c>
      <c r="S71" s="10">
        <f t="shared" ca="1" si="9"/>
        <v>46887.662530163187</v>
      </c>
      <c r="T71" s="10">
        <f t="shared" ca="1" si="9"/>
        <v>80588.130173455575</v>
      </c>
      <c r="U71" s="10">
        <f t="shared" ca="1" si="9"/>
        <v>0</v>
      </c>
      <c r="V71" s="10">
        <f t="shared" ca="1" si="9"/>
        <v>128742.94590886962</v>
      </c>
      <c r="W71" s="10">
        <f t="shared" ca="1" si="9"/>
        <v>205065.72432262186</v>
      </c>
      <c r="X71" s="10">
        <f t="shared" ca="1" si="9"/>
        <v>252162.35612371485</v>
      </c>
      <c r="Y71" s="10">
        <f t="shared" ca="1" si="9"/>
        <v>275192.74550847127</v>
      </c>
      <c r="Z71" s="10">
        <f t="shared" ca="1" si="9"/>
        <v>315825.78710601799</v>
      </c>
      <c r="AA71" s="10">
        <f t="shared" ca="1" si="10"/>
        <v>5103141.407622302</v>
      </c>
    </row>
    <row r="72" spans="1:27" ht="13.95" customHeight="1">
      <c r="A72" s="730" t="str">
        <f>V51</f>
        <v>7 p.m.</v>
      </c>
      <c r="B72" s="186">
        <f ca="1">V52</f>
        <v>255697.19551871251</v>
      </c>
      <c r="C72" s="10">
        <f t="shared" ca="1" si="12"/>
        <v>213154.0313740882</v>
      </c>
      <c r="D72" s="10">
        <f t="shared" ca="1" si="12"/>
        <v>235693.29856290738</v>
      </c>
      <c r="E72" s="10">
        <f t="shared" ca="1" si="12"/>
        <v>243936.63080783555</v>
      </c>
      <c r="F72" s="10">
        <f t="shared" ca="1" si="12"/>
        <v>247231.52868771943</v>
      </c>
      <c r="G72" s="10">
        <f t="shared" ca="1" si="12"/>
        <v>242971.0473538615</v>
      </c>
      <c r="H72" s="10">
        <f t="shared" ca="1" si="12"/>
        <v>203953.10000302305</v>
      </c>
      <c r="I72" s="10">
        <f t="shared" ca="1" si="12"/>
        <v>93739.605189567344</v>
      </c>
      <c r="J72" s="10">
        <f t="shared" ca="1" si="12"/>
        <v>90115.954163842194</v>
      </c>
      <c r="K72" s="10">
        <f t="shared" ca="1" si="12"/>
        <v>283891.56435396185</v>
      </c>
      <c r="L72" s="10">
        <f t="shared" ca="1" si="12"/>
        <v>98870.693826783798</v>
      </c>
      <c r="M72" s="10">
        <f t="shared" ca="1" si="12"/>
        <v>64278.114186852152</v>
      </c>
      <c r="N72" s="10">
        <f t="shared" ca="1" si="12"/>
        <v>104152.68942176492</v>
      </c>
      <c r="O72" s="10">
        <f t="shared" ca="1" si="12"/>
        <v>103797.35208256016</v>
      </c>
      <c r="P72" s="10">
        <f t="shared" ca="1" si="9"/>
        <v>94953.849382658227</v>
      </c>
      <c r="Q72" s="10">
        <f t="shared" ca="1" si="9"/>
        <v>55476.934780621785</v>
      </c>
      <c r="R72" s="10">
        <f t="shared" ca="1" si="9"/>
        <v>1968.284971983172</v>
      </c>
      <c r="S72" s="10">
        <f t="shared" ca="1" si="9"/>
        <v>81855.28337870643</v>
      </c>
      <c r="T72" s="10">
        <f t="shared" ca="1" si="9"/>
        <v>209331.07608232519</v>
      </c>
      <c r="U72" s="10">
        <f t="shared" ca="1" si="9"/>
        <v>128742.94590886962</v>
      </c>
      <c r="V72" s="10">
        <f t="shared" ca="1" si="9"/>
        <v>0</v>
      </c>
      <c r="W72" s="10">
        <f t="shared" ca="1" si="9"/>
        <v>76322.778413752239</v>
      </c>
      <c r="X72" s="10">
        <f t="shared" ca="1" si="9"/>
        <v>123419.41021484524</v>
      </c>
      <c r="Y72" s="10">
        <f t="shared" ca="1" si="9"/>
        <v>146449.79959960168</v>
      </c>
      <c r="Z72" s="10">
        <f t="shared" ca="1" si="9"/>
        <v>187082.84119714837</v>
      </c>
      <c r="AA72" s="10">
        <f t="shared" ca="1" si="10"/>
        <v>3331388.8139452795</v>
      </c>
    </row>
    <row r="73" spans="1:27" ht="13.95" customHeight="1">
      <c r="A73" s="730" t="str">
        <f>W51</f>
        <v>8 p.m.</v>
      </c>
      <c r="B73" s="186">
        <f ca="1">W52</f>
        <v>179374.41710496027</v>
      </c>
      <c r="C73" s="10">
        <f t="shared" ca="1" si="12"/>
        <v>136831.25296033596</v>
      </c>
      <c r="D73" s="10">
        <f t="shared" ca="1" si="12"/>
        <v>159370.52014915514</v>
      </c>
      <c r="E73" s="10">
        <f t="shared" ca="1" si="12"/>
        <v>167613.85239408331</v>
      </c>
      <c r="F73" s="10">
        <f t="shared" ca="1" si="12"/>
        <v>170908.75027396719</v>
      </c>
      <c r="G73" s="10">
        <f t="shared" ca="1" si="12"/>
        <v>166648.26894010926</v>
      </c>
      <c r="H73" s="10">
        <f t="shared" ca="1" si="12"/>
        <v>127630.3215892708</v>
      </c>
      <c r="I73" s="10">
        <f t="shared" ca="1" si="12"/>
        <v>17416.826775815105</v>
      </c>
      <c r="J73" s="10">
        <f t="shared" ca="1" si="12"/>
        <v>166438.73257759443</v>
      </c>
      <c r="K73" s="10">
        <f t="shared" ca="1" si="12"/>
        <v>360214.34276771406</v>
      </c>
      <c r="L73" s="10">
        <f t="shared" ca="1" si="12"/>
        <v>175193.47224053604</v>
      </c>
      <c r="M73" s="10">
        <f t="shared" ca="1" si="12"/>
        <v>12044.664226900088</v>
      </c>
      <c r="N73" s="10">
        <f t="shared" ca="1" si="12"/>
        <v>27829.911008012685</v>
      </c>
      <c r="O73" s="10">
        <f t="shared" ca="1" si="12"/>
        <v>27474.57366880792</v>
      </c>
      <c r="P73" s="10">
        <f t="shared" ca="1" si="9"/>
        <v>18631.070968905988</v>
      </c>
      <c r="Q73" s="10">
        <f t="shared" ca="1" si="9"/>
        <v>20845.843633130455</v>
      </c>
      <c r="R73" s="10">
        <f t="shared" ca="1" si="9"/>
        <v>78291.063385735411</v>
      </c>
      <c r="S73" s="10">
        <f t="shared" ca="1" si="9"/>
        <v>158178.06179245867</v>
      </c>
      <c r="T73" s="10">
        <f t="shared" ca="1" si="9"/>
        <v>285653.8544960774</v>
      </c>
      <c r="U73" s="10">
        <f t="shared" ca="1" si="9"/>
        <v>205065.72432262186</v>
      </c>
      <c r="V73" s="10">
        <f t="shared" ca="1" si="9"/>
        <v>76322.778413752239</v>
      </c>
      <c r="W73" s="10">
        <f t="shared" ca="1" si="9"/>
        <v>0</v>
      </c>
      <c r="X73" s="10">
        <f t="shared" ca="1" si="9"/>
        <v>47096.631801092997</v>
      </c>
      <c r="Y73" s="10">
        <f t="shared" ca="1" si="9"/>
        <v>70127.021185849444</v>
      </c>
      <c r="Z73" s="10">
        <f t="shared" ca="1" si="9"/>
        <v>110760.06278339612</v>
      </c>
      <c r="AA73" s="10">
        <f t="shared" ca="1" si="10"/>
        <v>2786587.6023553223</v>
      </c>
    </row>
    <row r="74" spans="1:27" ht="13.95" customHeight="1">
      <c r="A74" s="730" t="str">
        <f>X51</f>
        <v>9 p.m.</v>
      </c>
      <c r="B74" s="186">
        <f ca="1">X52</f>
        <v>132277.78530386728</v>
      </c>
      <c r="C74" s="10">
        <f t="shared" ca="1" si="12"/>
        <v>89734.621159242961</v>
      </c>
      <c r="D74" s="10">
        <f t="shared" ca="1" si="12"/>
        <v>112273.88834806213</v>
      </c>
      <c r="E74" s="10">
        <f t="shared" ca="1" si="12"/>
        <v>120517.2205929903</v>
      </c>
      <c r="F74" s="10">
        <f t="shared" ca="1" si="12"/>
        <v>123812.11847287418</v>
      </c>
      <c r="G74" s="10">
        <f t="shared" ca="1" si="12"/>
        <v>119551.63713901627</v>
      </c>
      <c r="H74" s="10">
        <f t="shared" ca="1" si="12"/>
        <v>80533.689788177799</v>
      </c>
      <c r="I74" s="10">
        <f t="shared" ca="1" si="12"/>
        <v>29679.805025277892</v>
      </c>
      <c r="J74" s="10">
        <f t="shared" ca="1" si="12"/>
        <v>213535.36437868743</v>
      </c>
      <c r="K74" s="10">
        <f t="shared" ca="1" si="12"/>
        <v>407310.97456880705</v>
      </c>
      <c r="L74" s="10">
        <f t="shared" ca="1" si="12"/>
        <v>222290.10404162903</v>
      </c>
      <c r="M74" s="10">
        <f t="shared" ca="1" si="12"/>
        <v>59141.296027993085</v>
      </c>
      <c r="N74" s="10">
        <f t="shared" ca="1" si="12"/>
        <v>19266.720793080312</v>
      </c>
      <c r="O74" s="10">
        <f t="shared" ca="1" si="12"/>
        <v>19622.058132285078</v>
      </c>
      <c r="P74" s="10">
        <f t="shared" ca="1" si="9"/>
        <v>28465.56083218701</v>
      </c>
      <c r="Q74" s="10">
        <f t="shared" ca="1" si="9"/>
        <v>67942.475434223452</v>
      </c>
      <c r="R74" s="10">
        <f t="shared" ca="1" si="9"/>
        <v>125387.69518682841</v>
      </c>
      <c r="S74" s="10">
        <f t="shared" ca="1" si="9"/>
        <v>205274.69359355167</v>
      </c>
      <c r="T74" s="10">
        <f t="shared" ca="1" si="9"/>
        <v>332750.4862971704</v>
      </c>
      <c r="U74" s="10">
        <f t="shared" ca="1" si="9"/>
        <v>252162.35612371485</v>
      </c>
      <c r="V74" s="10">
        <f t="shared" ca="1" si="9"/>
        <v>123419.41021484524</v>
      </c>
      <c r="W74" s="10">
        <f t="shared" ca="1" si="9"/>
        <v>47096.631801092997</v>
      </c>
      <c r="X74" s="10">
        <f t="shared" ca="1" si="9"/>
        <v>0</v>
      </c>
      <c r="Y74" s="10">
        <f t="shared" ca="1" si="9"/>
        <v>23030.389384756447</v>
      </c>
      <c r="Z74" s="10">
        <f t="shared" ca="1" si="9"/>
        <v>63663.430982303122</v>
      </c>
      <c r="AA74" s="10">
        <f t="shared" ca="1" si="10"/>
        <v>2886462.6283187969</v>
      </c>
    </row>
    <row r="75" spans="1:27" ht="13.95" customHeight="1">
      <c r="A75" s="730" t="str">
        <f>Y51</f>
        <v>10 p.m.</v>
      </c>
      <c r="B75" s="186">
        <f ca="1">Y52</f>
        <v>109247.39591911083</v>
      </c>
      <c r="C75" s="10">
        <f t="shared" ca="1" si="12"/>
        <v>66704.231774486514</v>
      </c>
      <c r="D75" s="10">
        <f t="shared" ca="1" si="12"/>
        <v>89243.498963305683</v>
      </c>
      <c r="E75" s="10">
        <f t="shared" ca="1" si="12"/>
        <v>97486.831208233853</v>
      </c>
      <c r="F75" s="10">
        <f t="shared" ca="1" si="12"/>
        <v>100781.72908811773</v>
      </c>
      <c r="G75" s="10">
        <f t="shared" ca="1" si="12"/>
        <v>96521.247754259821</v>
      </c>
      <c r="H75" s="10">
        <f t="shared" ca="1" si="12"/>
        <v>57503.300403421352</v>
      </c>
      <c r="I75" s="10">
        <f t="shared" ca="1" si="12"/>
        <v>52710.194410034339</v>
      </c>
      <c r="J75" s="10">
        <f t="shared" ca="1" si="12"/>
        <v>236565.75376344388</v>
      </c>
      <c r="K75" s="10">
        <f t="shared" ca="1" si="12"/>
        <v>430341.3639535635</v>
      </c>
      <c r="L75" s="10">
        <f t="shared" ca="1" si="12"/>
        <v>245320.49342638548</v>
      </c>
      <c r="M75" s="10">
        <f t="shared" ca="1" si="12"/>
        <v>82171.685412749532</v>
      </c>
      <c r="N75" s="10">
        <f t="shared" ca="1" si="12"/>
        <v>42297.110177836759</v>
      </c>
      <c r="O75" s="10">
        <f t="shared" ca="1" si="12"/>
        <v>42652.447517041524</v>
      </c>
      <c r="P75" s="10">
        <f t="shared" ca="1" si="9"/>
        <v>51495.950216943456</v>
      </c>
      <c r="Q75" s="10">
        <f t="shared" ca="1" si="9"/>
        <v>90972.864818979899</v>
      </c>
      <c r="R75" s="10">
        <f t="shared" ca="1" si="9"/>
        <v>148418.08457158486</v>
      </c>
      <c r="S75" s="10">
        <f t="shared" ca="1" si="9"/>
        <v>228305.08297830811</v>
      </c>
      <c r="T75" s="10">
        <f t="shared" ca="1" si="9"/>
        <v>355780.87568192685</v>
      </c>
      <c r="U75" s="10">
        <f t="shared" ca="1" si="9"/>
        <v>275192.74550847127</v>
      </c>
      <c r="V75" s="10">
        <f t="shared" ca="1" si="9"/>
        <v>146449.79959960168</v>
      </c>
      <c r="W75" s="10">
        <f t="shared" ca="1" si="9"/>
        <v>70127.021185849444</v>
      </c>
      <c r="X75" s="10">
        <f t="shared" ca="1" si="9"/>
        <v>23030.389384756447</v>
      </c>
      <c r="Y75" s="10">
        <f t="shared" ca="1" si="9"/>
        <v>0</v>
      </c>
      <c r="Z75" s="10">
        <f t="shared" ca="1" si="9"/>
        <v>40633.041597546675</v>
      </c>
      <c r="AA75" s="10">
        <f t="shared" ca="1" si="10"/>
        <v>3070705.7433968489</v>
      </c>
    </row>
    <row r="76" spans="1:27" ht="13.95" customHeight="1">
      <c r="A76" s="730" t="str">
        <f>Z51</f>
        <v>11 p.m.</v>
      </c>
      <c r="B76" s="186">
        <f ca="1">Z52</f>
        <v>68614.354321564155</v>
      </c>
      <c r="C76" s="10">
        <f t="shared" ca="1" si="12"/>
        <v>26071.190176939832</v>
      </c>
      <c r="D76" s="10">
        <f t="shared" ca="1" si="12"/>
        <v>48610.457365759008</v>
      </c>
      <c r="E76" s="10">
        <f t="shared" ca="1" si="12"/>
        <v>56853.789610687178</v>
      </c>
      <c r="F76" s="10">
        <f t="shared" ca="1" si="12"/>
        <v>60148.687490571065</v>
      </c>
      <c r="G76" s="10">
        <f t="shared" ca="1" si="12"/>
        <v>55888.206156713146</v>
      </c>
      <c r="H76" s="10">
        <f t="shared" ca="1" si="12"/>
        <v>16870.258805874677</v>
      </c>
      <c r="I76" s="10">
        <f t="shared" ca="1" si="12"/>
        <v>93343.236007581014</v>
      </c>
      <c r="J76" s="10">
        <f t="shared" ca="1" si="12"/>
        <v>277198.79536099057</v>
      </c>
      <c r="K76" s="10">
        <f t="shared" ca="1" si="12"/>
        <v>470974.40555111022</v>
      </c>
      <c r="L76" s="10">
        <f t="shared" ca="1" si="12"/>
        <v>285953.53502393217</v>
      </c>
      <c r="M76" s="10">
        <f t="shared" ca="1" si="12"/>
        <v>122804.72701029621</v>
      </c>
      <c r="N76" s="10">
        <f t="shared" ca="1" si="12"/>
        <v>82930.151775383434</v>
      </c>
      <c r="O76" s="10">
        <f t="shared" ca="1" si="12"/>
        <v>83285.489114588199</v>
      </c>
      <c r="P76" s="10">
        <f t="shared" ca="1" si="9"/>
        <v>92128.991814490131</v>
      </c>
      <c r="Q76" s="10">
        <f t="shared" ca="1" si="9"/>
        <v>131605.90641652659</v>
      </c>
      <c r="R76" s="10">
        <f t="shared" ca="1" si="9"/>
        <v>189051.12616913154</v>
      </c>
      <c r="S76" s="10">
        <f t="shared" ca="1" si="9"/>
        <v>268938.1245758548</v>
      </c>
      <c r="T76" s="10">
        <f t="shared" ca="1" si="9"/>
        <v>396413.91727947356</v>
      </c>
      <c r="U76" s="10">
        <f t="shared" ca="1" si="9"/>
        <v>315825.78710601799</v>
      </c>
      <c r="V76" s="10">
        <f ca="1">ABS($B76-V$52)</f>
        <v>187082.84119714837</v>
      </c>
      <c r="W76" s="10">
        <f ca="1">ABS($B76-W$52)</f>
        <v>110760.06278339612</v>
      </c>
      <c r="X76" s="10">
        <f ca="1">ABS($B76-X$52)</f>
        <v>63663.430982303122</v>
      </c>
      <c r="Y76" s="10">
        <f ca="1">ABS($B76-Y$52)</f>
        <v>40633.041597546675</v>
      </c>
      <c r="Z76" s="10">
        <f ca="1">ABS($B76-Z$52)</f>
        <v>0</v>
      </c>
      <c r="AA76" s="10">
        <f t="shared" ca="1" si="10"/>
        <v>3477036.1593723157</v>
      </c>
    </row>
    <row r="77" spans="1:27" ht="13.95" customHeight="1">
      <c r="A77" s="186" t="s">
        <v>489</v>
      </c>
      <c r="B77" s="10">
        <f ca="1">AVERAGE(B53:B76)</f>
        <v>191453.97849486524</v>
      </c>
      <c r="AA77" s="10">
        <f ca="1">SUM(AA53:AA76)</f>
        <v>93810768.495941252</v>
      </c>
    </row>
    <row r="78" spans="1:27" ht="13.95" customHeight="1">
      <c r="A78" s="186" t="s">
        <v>492</v>
      </c>
      <c r="B78" s="10">
        <f>COUNTA(A53:A76)</f>
        <v>24</v>
      </c>
      <c r="AA78" s="10"/>
    </row>
    <row r="79" spans="1:27" ht="13.95" customHeight="1">
      <c r="A79" s="731" t="s">
        <v>478</v>
      </c>
      <c r="B79" s="733">
        <f ca="1">AA77/(B77*2*B78*(B78-1))</f>
        <v>0.443832626808701</v>
      </c>
    </row>
    <row r="81" spans="1:2" ht="13.95" customHeight="1">
      <c r="A81" s="6" t="s">
        <v>1973</v>
      </c>
      <c r="B81" s="839">
        <f ca="1">B79/B46-1</f>
        <v>-1.2728326059680106E-2</v>
      </c>
    </row>
  </sheetData>
  <customSheetViews>
    <customSheetView guid="{BD5E6263-A0AD-4076-921A-D4EBD62848EF}" showRuler="0">
      <selection activeCell="A3" sqref="A3"/>
      <pageMargins left="0.75" right="0.75" top="1" bottom="1" header="0.5" footer="0.5"/>
      <pageSetup orientation="portrait" horizontalDpi="1200" verticalDpi="1200" r:id="rId1"/>
      <headerFooter alignWithMargins="0"/>
    </customSheetView>
    <customSheetView guid="{1D5AE30A-CA7C-4B32-AEA4-9F37A560AAA8}" showRuler="0">
      <selection activeCell="A3" sqref="A3"/>
      <pageMargins left="0.75" right="0.75" top="1" bottom="1" header="0.5" footer="0.5"/>
      <pageSetup orientation="portrait" horizontalDpi="1200" verticalDpi="1200" r:id="rId2"/>
      <headerFooter alignWithMargins="0"/>
    </customSheetView>
  </customSheetViews>
  <mergeCells count="2">
    <mergeCell ref="A5:J6"/>
    <mergeCell ref="A8:J12"/>
  </mergeCells>
  <phoneticPr fontId="6" type="noConversion"/>
  <pageMargins left="0.75" right="0.75" top="1" bottom="1" header="0.5" footer="0.5"/>
  <pageSetup orientation="portrait" horizontalDpi="1200" verticalDpi="1200" r:id="rId3"/>
  <headerFooter alignWithMargins="0"/>
</worksheet>
</file>

<file path=xl/worksheets/sheet39.xml><?xml version="1.0" encoding="utf-8"?>
<worksheet xmlns="http://schemas.openxmlformats.org/spreadsheetml/2006/main" xmlns:r="http://schemas.openxmlformats.org/officeDocument/2006/relationships">
  <sheetPr codeName="Sheet31"/>
  <dimension ref="A1:N199"/>
  <sheetViews>
    <sheetView showGridLines="0" showRuler="0" workbookViewId="0"/>
  </sheetViews>
  <sheetFormatPr defaultColWidth="12.375" defaultRowHeight="15" customHeight="1"/>
  <cols>
    <col min="1" max="1" width="2.75" style="9" customWidth="1"/>
    <col min="2" max="8" width="12.875" style="9" customWidth="1"/>
    <col min="9" max="9" width="17.625" style="9" customWidth="1"/>
    <col min="10" max="10" width="14.125" style="9" customWidth="1"/>
    <col min="11" max="11" width="21.625" style="9" customWidth="1"/>
    <col min="12" max="12" width="1.75" style="9" customWidth="1"/>
    <col min="13" max="16384" width="12.375" style="9"/>
  </cols>
  <sheetData>
    <row r="1" spans="2:12" ht="15" customHeight="1">
      <c r="L1" s="150">
        <f>ROW()</f>
        <v>1</v>
      </c>
    </row>
    <row r="2" spans="2:12" ht="15" customHeight="1">
      <c r="B2" s="115" t="s">
        <v>235</v>
      </c>
      <c r="H2" s="181">
        <f>'Title Page'!K1</f>
        <v>40914</v>
      </c>
      <c r="L2" s="150">
        <f>ROW()</f>
        <v>2</v>
      </c>
    </row>
    <row r="3" spans="2:12" ht="15" customHeight="1">
      <c r="B3" s="24"/>
      <c r="D3" s="181"/>
      <c r="L3" s="150">
        <f>ROW()</f>
        <v>3</v>
      </c>
    </row>
    <row r="4" spans="2:12" ht="15" customHeight="1">
      <c r="B4" s="4605" t="s">
        <v>2102</v>
      </c>
      <c r="C4" s="3659"/>
      <c r="D4" s="3659"/>
      <c r="E4" s="3659"/>
      <c r="F4" s="3659"/>
      <c r="G4" s="3659"/>
      <c r="H4" s="3659"/>
      <c r="L4" s="150">
        <f>ROW()</f>
        <v>4</v>
      </c>
    </row>
    <row r="5" spans="2:12" ht="15" customHeight="1">
      <c r="B5" s="3659"/>
      <c r="C5" s="3659"/>
      <c r="D5" s="3659"/>
      <c r="E5" s="3659"/>
      <c r="F5" s="3659"/>
      <c r="G5" s="3659"/>
      <c r="H5" s="3659"/>
      <c r="L5" s="150">
        <f>ROW()</f>
        <v>5</v>
      </c>
    </row>
    <row r="6" spans="2:12" ht="15" customHeight="1">
      <c r="B6" s="3659"/>
      <c r="C6" s="3659"/>
      <c r="D6" s="3659"/>
      <c r="E6" s="3659"/>
      <c r="F6" s="3659"/>
      <c r="G6" s="3659"/>
      <c r="H6" s="3659"/>
      <c r="L6" s="150">
        <f>ROW()</f>
        <v>6</v>
      </c>
    </row>
    <row r="7" spans="2:12" ht="15" customHeight="1">
      <c r="B7" s="280"/>
      <c r="L7" s="150">
        <f>ROW()</f>
        <v>7</v>
      </c>
    </row>
    <row r="8" spans="2:12" ht="15" customHeight="1">
      <c r="B8" s="879"/>
      <c r="C8" s="879"/>
      <c r="D8" s="879"/>
      <c r="E8" s="879"/>
      <c r="F8" s="879"/>
      <c r="G8" s="879"/>
      <c r="H8" s="879"/>
      <c r="L8" s="150">
        <f>ROW()</f>
        <v>8</v>
      </c>
    </row>
    <row r="9" spans="2:12" ht="15" customHeight="1">
      <c r="B9" s="24" t="s">
        <v>2103</v>
      </c>
      <c r="L9" s="150">
        <f>ROW()</f>
        <v>9</v>
      </c>
    </row>
    <row r="10" spans="2:12" ht="15" customHeight="1">
      <c r="B10" s="6"/>
      <c r="L10" s="150">
        <f>ROW()</f>
        <v>10</v>
      </c>
    </row>
    <row r="11" spans="2:12" ht="15" customHeight="1">
      <c r="B11" s="2" t="s">
        <v>6235</v>
      </c>
      <c r="L11" s="150">
        <f>ROW()</f>
        <v>11</v>
      </c>
    </row>
    <row r="12" spans="2:12" ht="15" customHeight="1">
      <c r="L12" s="150">
        <f>ROW()</f>
        <v>12</v>
      </c>
    </row>
    <row r="13" spans="2:12" ht="15" customHeight="1">
      <c r="B13" s="312" t="s">
        <v>6236</v>
      </c>
      <c r="H13" s="347">
        <v>224000000</v>
      </c>
      <c r="I13"/>
      <c r="J13"/>
      <c r="L13" s="150">
        <f>ROW()</f>
        <v>13</v>
      </c>
    </row>
    <row r="14" spans="2:12" ht="15" customHeight="1">
      <c r="B14" s="3785" t="s">
        <v>6237</v>
      </c>
      <c r="C14" s="3786"/>
      <c r="D14" s="3786"/>
      <c r="E14" s="3786"/>
      <c r="F14" s="3786"/>
      <c r="G14" s="3786"/>
      <c r="H14" s="3786"/>
      <c r="I14" s="215"/>
      <c r="J14" s="215"/>
      <c r="L14" s="150">
        <f>ROW()</f>
        <v>14</v>
      </c>
    </row>
    <row r="15" spans="2:12" ht="15" customHeight="1">
      <c r="B15" s="3786"/>
      <c r="C15" s="3786"/>
      <c r="D15" s="3786"/>
      <c r="E15" s="3786"/>
      <c r="F15" s="3786"/>
      <c r="G15" s="3786"/>
      <c r="H15" s="3786"/>
      <c r="I15" s="215"/>
      <c r="J15" s="215"/>
      <c r="L15" s="150">
        <f>ROW()</f>
        <v>15</v>
      </c>
    </row>
    <row r="16" spans="2:12" ht="15" customHeight="1">
      <c r="B16" s="3786"/>
      <c r="C16" s="3786"/>
      <c r="D16" s="3786"/>
      <c r="E16" s="3786"/>
      <c r="F16" s="3786"/>
      <c r="G16" s="3786"/>
      <c r="H16" s="3786"/>
      <c r="I16" s="215"/>
      <c r="J16" s="215"/>
      <c r="L16" s="150">
        <f>ROW()</f>
        <v>16</v>
      </c>
    </row>
    <row r="17" spans="2:12" ht="15" customHeight="1">
      <c r="B17" s="3786"/>
      <c r="C17" s="3786"/>
      <c r="D17" s="3786"/>
      <c r="E17" s="3786"/>
      <c r="F17" s="3786"/>
      <c r="G17" s="3786"/>
      <c r="H17" s="3786"/>
      <c r="I17" s="215"/>
      <c r="J17" s="215"/>
      <c r="L17" s="150">
        <f>ROW()</f>
        <v>17</v>
      </c>
    </row>
    <row r="18" spans="2:12" ht="15" customHeight="1">
      <c r="B18" s="3786"/>
      <c r="C18" s="3786"/>
      <c r="D18" s="3786"/>
      <c r="E18" s="3786"/>
      <c r="F18" s="3786"/>
      <c r="G18" s="3786"/>
      <c r="H18" s="3786"/>
      <c r="I18" s="3542"/>
      <c r="J18" s="3542"/>
      <c r="L18" s="150">
        <f>ROW()</f>
        <v>18</v>
      </c>
    </row>
    <row r="19" spans="2:12" ht="15" customHeight="1">
      <c r="B19" s="312" t="s">
        <v>6238</v>
      </c>
      <c r="C19" s="3542"/>
      <c r="D19" s="3542"/>
      <c r="E19" s="3542"/>
      <c r="F19" s="3542"/>
      <c r="G19" s="3542"/>
      <c r="H19" s="329">
        <v>0.25</v>
      </c>
      <c r="I19" s="3542"/>
      <c r="J19" s="3542"/>
      <c r="L19" s="150">
        <f>ROW()</f>
        <v>19</v>
      </c>
    </row>
    <row r="20" spans="2:12" ht="15" customHeight="1">
      <c r="B20" s="215" t="s">
        <v>768</v>
      </c>
      <c r="C20" s="3542"/>
      <c r="D20" s="3542"/>
      <c r="E20" s="3542"/>
      <c r="F20" s="3542"/>
      <c r="G20" s="3542"/>
      <c r="H20" s="3542"/>
      <c r="I20" s="3542"/>
      <c r="J20" s="3542"/>
      <c r="L20" s="150">
        <f>ROW()</f>
        <v>20</v>
      </c>
    </row>
    <row r="21" spans="2:12" ht="15" customHeight="1">
      <c r="B21" s="312" t="s">
        <v>6239</v>
      </c>
      <c r="C21" s="3542"/>
      <c r="D21" s="3542"/>
      <c r="E21" s="3542"/>
      <c r="F21" s="3542"/>
      <c r="G21" s="3542"/>
      <c r="H21" s="329">
        <f>1-H19</f>
        <v>0.75</v>
      </c>
      <c r="I21" s="3542"/>
      <c r="J21" s="3542"/>
      <c r="L21" s="150">
        <f>ROW()</f>
        <v>21</v>
      </c>
    </row>
    <row r="22" spans="2:12" ht="15" customHeight="1">
      <c r="B22" s="215" t="str">
        <f>CONCATENATE("Complement of Row ",L19, ".")</f>
        <v>Complement of Row 19.</v>
      </c>
      <c r="C22" s="3542"/>
      <c r="D22" s="3542"/>
      <c r="E22" s="3542"/>
      <c r="F22" s="3542"/>
      <c r="G22" s="3542"/>
      <c r="H22" s="3542"/>
      <c r="I22" s="3542"/>
      <c r="J22" s="3542"/>
      <c r="L22" s="150">
        <f>ROW()</f>
        <v>22</v>
      </c>
    </row>
    <row r="23" spans="2:12" ht="15" customHeight="1">
      <c r="B23" s="312" t="s">
        <v>6240</v>
      </c>
      <c r="C23" s="3542"/>
      <c r="D23" s="3542"/>
      <c r="E23" s="3542"/>
      <c r="F23" s="3542"/>
      <c r="G23" s="3542"/>
      <c r="H23" s="347">
        <f>H21*H13</f>
        <v>168000000</v>
      </c>
      <c r="I23" s="3542"/>
      <c r="J23" s="3542"/>
      <c r="L23" s="150">
        <f>ROW()</f>
        <v>23</v>
      </c>
    </row>
    <row r="24" spans="2:12" ht="15" customHeight="1">
      <c r="B24" s="215" t="str">
        <f>CONCATENATE("Product of Rows ",L13, " and ",L21, ".")</f>
        <v>Product of Rows 13 and 21.</v>
      </c>
      <c r="C24" s="3542"/>
      <c r="D24" s="3542"/>
      <c r="E24" s="3542"/>
      <c r="F24" s="3542"/>
      <c r="G24" s="3542"/>
      <c r="H24" s="3542"/>
      <c r="I24" s="3542"/>
      <c r="J24" s="3542"/>
      <c r="L24" s="150">
        <f>ROW()</f>
        <v>24</v>
      </c>
    </row>
    <row r="25" spans="2:12" ht="15" customHeight="1">
      <c r="B25" s="312" t="s">
        <v>6241</v>
      </c>
      <c r="H25" s="255">
        <v>340</v>
      </c>
      <c r="I25"/>
      <c r="J25"/>
      <c r="L25" s="150">
        <f>ROW()</f>
        <v>25</v>
      </c>
    </row>
    <row r="26" spans="2:12" ht="15" customHeight="1">
      <c r="B26" s="215" t="s">
        <v>3742</v>
      </c>
      <c r="F26"/>
      <c r="H26" s="346"/>
      <c r="I26"/>
      <c r="J26"/>
      <c r="L26" s="150">
        <f>ROW()</f>
        <v>26</v>
      </c>
    </row>
    <row r="27" spans="2:12" ht="15" customHeight="1">
      <c r="B27" s="312" t="s">
        <v>6242</v>
      </c>
      <c r="H27" s="347">
        <f>ROUND(H23/H25,-5)</f>
        <v>500000</v>
      </c>
      <c r="I27"/>
      <c r="J27"/>
      <c r="L27" s="150">
        <f>ROW()</f>
        <v>27</v>
      </c>
    </row>
    <row r="28" spans="2:12" ht="15" customHeight="1">
      <c r="B28" s="215" t="str">
        <f>CONCATENATE("Ratio of Row ",L13, " to Row ",L25, ".")</f>
        <v>Ratio of Row 13 to Row 25.</v>
      </c>
      <c r="L28" s="150">
        <f>ROW()</f>
        <v>28</v>
      </c>
    </row>
    <row r="29" spans="2:12" ht="15" customHeight="1">
      <c r="B29" s="215"/>
      <c r="L29" s="150">
        <f>ROW()</f>
        <v>29</v>
      </c>
    </row>
    <row r="30" spans="2:12" ht="15" customHeight="1">
      <c r="B30" s="2" t="s">
        <v>6243</v>
      </c>
      <c r="H30" s="159" t="s">
        <v>2308</v>
      </c>
      <c r="I30" s="159" t="s">
        <v>302</v>
      </c>
      <c r="J30" s="159" t="s">
        <v>303</v>
      </c>
      <c r="L30" s="150">
        <f>ROW()</f>
        <v>30</v>
      </c>
    </row>
    <row r="31" spans="2:12" ht="15" customHeight="1">
      <c r="B31" s="215"/>
      <c r="L31" s="150">
        <f>ROW()</f>
        <v>31</v>
      </c>
    </row>
    <row r="32" spans="2:12" ht="15" customHeight="1">
      <c r="B32" s="312" t="s">
        <v>6082</v>
      </c>
      <c r="H32" s="329">
        <v>1</v>
      </c>
      <c r="I32" s="329">
        <v>1</v>
      </c>
      <c r="J32" s="329">
        <v>1</v>
      </c>
      <c r="L32" s="150">
        <f>ROW()</f>
        <v>32</v>
      </c>
    </row>
    <row r="33" spans="2:12" ht="15" customHeight="1">
      <c r="B33" s="280" t="s">
        <v>732</v>
      </c>
      <c r="H33" s="329">
        <v>1</v>
      </c>
      <c r="I33" s="329">
        <v>1.2</v>
      </c>
      <c r="J33" s="329">
        <v>1.5</v>
      </c>
      <c r="L33" s="150">
        <f>ROW()</f>
        <v>33</v>
      </c>
    </row>
    <row r="34" spans="2:12" ht="15" customHeight="1">
      <c r="B34" s="312" t="s">
        <v>3745</v>
      </c>
      <c r="H34" s="2279">
        <f>ROUND($H$27*(1+H32)*(1+H33),-3)</f>
        <v>2000000</v>
      </c>
      <c r="I34" s="2279">
        <f>ROUND($H$27*(1+I32)*(1+I33),-3)</f>
        <v>2200000</v>
      </c>
      <c r="J34" s="2279">
        <f>ROUND($H$27*(1+J32)*(1+J33),-3)</f>
        <v>2500000</v>
      </c>
      <c r="L34" s="150">
        <f>ROW()</f>
        <v>34</v>
      </c>
    </row>
    <row r="35" spans="2:12" ht="15" customHeight="1">
      <c r="B35" s="215" t="str">
        <f>CONCATENATE("Row ",L27, " times one plus Row ",L32, " times one plus Row ",L33, ".")</f>
        <v>Row 27 times one plus Row 32 times one plus Row 33.</v>
      </c>
      <c r="L35" s="150">
        <f>ROW()</f>
        <v>35</v>
      </c>
    </row>
    <row r="36" spans="2:12" ht="15" customHeight="1">
      <c r="B36" s="312" t="s">
        <v>6084</v>
      </c>
      <c r="H36" s="272">
        <f>'User Inputs'!$J$38</f>
        <v>1</v>
      </c>
      <c r="I36" s="272">
        <f>'User Inputs'!$J$38</f>
        <v>1</v>
      </c>
      <c r="J36" s="272">
        <f>'User Inputs'!$J$38</f>
        <v>1</v>
      </c>
      <c r="L36" s="150">
        <f>ROW()</f>
        <v>36</v>
      </c>
    </row>
    <row r="37" spans="2:12" ht="15" customHeight="1">
      <c r="B37" s="215" t="str">
        <f>CONCATENATE("Taken from 'User Inputs' worksheet, Row ",'User Inputs'!$N$38, ".")</f>
        <v>Taken from 'User Inputs' worksheet, Row 38.</v>
      </c>
      <c r="L37" s="150">
        <f>ROW()</f>
        <v>37</v>
      </c>
    </row>
    <row r="38" spans="2:12" ht="15" customHeight="1">
      <c r="B38" s="312" t="s">
        <v>6089</v>
      </c>
      <c r="D38" s="7" t="str">
        <f>CONCATENATE("Komanoff; uses 'IF' statement on value in Row ",L36, ".")</f>
        <v>Komanoff; uses 'IF' statement on value in Row 36.</v>
      </c>
      <c r="H38" s="329">
        <f>IF(H36=2,25%,0%)</f>
        <v>0</v>
      </c>
      <c r="I38" s="329">
        <f>IF(I36=2,25%,0%)</f>
        <v>0</v>
      </c>
      <c r="J38" s="329">
        <f>IF(J36=2,25%,0%)</f>
        <v>0</v>
      </c>
      <c r="L38" s="150">
        <f>ROW()</f>
        <v>38</v>
      </c>
    </row>
    <row r="39" spans="2:12" ht="15" customHeight="1">
      <c r="B39" s="312" t="s">
        <v>6085</v>
      </c>
      <c r="H39" s="1726"/>
      <c r="I39" s="1726"/>
      <c r="J39" s="1726"/>
      <c r="L39" s="150">
        <f>ROW()</f>
        <v>39</v>
      </c>
    </row>
    <row r="40" spans="2:12" ht="15" customHeight="1">
      <c r="B40" s="215" t="str">
        <f>CONCATENATE("Row ",L34, " times one plus Row ",L38, ".")</f>
        <v>Row 34 times one plus Row 38.</v>
      </c>
      <c r="H40" s="2279">
        <f>ROUND(H34*(1+H38),-3)</f>
        <v>2000000</v>
      </c>
      <c r="I40" s="2279">
        <f>ROUND(I34*(1+I38),-3)</f>
        <v>2200000</v>
      </c>
      <c r="J40" s="2279">
        <f>ROUND(J34*(1+J38),-3)</f>
        <v>2500000</v>
      </c>
      <c r="L40" s="150">
        <f>ROW()</f>
        <v>40</v>
      </c>
    </row>
    <row r="41" spans="2:12" ht="15" customHeight="1">
      <c r="B41" s="312" t="s">
        <v>6083</v>
      </c>
      <c r="L41" s="150">
        <f>ROW()</f>
        <v>41</v>
      </c>
    </row>
    <row r="42" spans="2:12" ht="15" customHeight="1">
      <c r="B42" s="316" t="s">
        <v>3743</v>
      </c>
      <c r="H42" s="255">
        <v>12</v>
      </c>
      <c r="I42" s="255"/>
      <c r="J42" s="255"/>
      <c r="L42" s="150">
        <f>ROW()</f>
        <v>42</v>
      </c>
    </row>
    <row r="43" spans="2:12" ht="15" customHeight="1">
      <c r="B43" s="316" t="s">
        <v>3744</v>
      </c>
      <c r="H43" s="255">
        <v>6</v>
      </c>
      <c r="I43" s="255">
        <f>H43+8</f>
        <v>14</v>
      </c>
      <c r="J43" s="255">
        <v>6</v>
      </c>
      <c r="L43" s="150">
        <f>ROW()</f>
        <v>43</v>
      </c>
    </row>
    <row r="44" spans="2:12" ht="15" customHeight="1">
      <c r="B44" s="316" t="s">
        <v>3899</v>
      </c>
      <c r="H44" s="255">
        <v>4</v>
      </c>
      <c r="I44" s="255"/>
      <c r="J44" s="255"/>
      <c r="L44" s="150">
        <f>ROW()</f>
        <v>44</v>
      </c>
    </row>
    <row r="45" spans="2:12" ht="15" customHeight="1">
      <c r="B45" s="323" t="s">
        <v>2860</v>
      </c>
      <c r="H45" s="255">
        <f>SUM(H42:H44)</f>
        <v>22</v>
      </c>
      <c r="I45" s="255">
        <f>SUM(I42:I44)</f>
        <v>14</v>
      </c>
      <c r="J45" s="255">
        <f>SUM(J42:J44)</f>
        <v>6</v>
      </c>
      <c r="L45" s="150">
        <f>ROW()</f>
        <v>45</v>
      </c>
    </row>
    <row r="46" spans="2:12" s="2" customFormat="1" ht="15" customHeight="1">
      <c r="B46" s="518" t="str">
        <f>CONCATENATE("Cost for all Locations (Product of Rows ",L40, " and ",L45, ").")</f>
        <v>Cost for all Locations (Product of Rows 40 and 45).</v>
      </c>
      <c r="H46" s="3548">
        <f>ROUND(H45*H40,-4)</f>
        <v>44000000</v>
      </c>
      <c r="I46" s="3548">
        <f>ROUND(I45*I40,-4)</f>
        <v>30800000</v>
      </c>
      <c r="J46" s="3548">
        <f>ROUND(J45*J40,-4)</f>
        <v>15000000</v>
      </c>
      <c r="L46" s="1824">
        <f>ROW()</f>
        <v>46</v>
      </c>
    </row>
    <row r="47" spans="2:12" ht="15" customHeight="1">
      <c r="L47" s="150">
        <f>ROW()</f>
        <v>47</v>
      </c>
    </row>
    <row r="48" spans="2:12" s="6" customFormat="1" ht="15" customHeight="1">
      <c r="B48" s="2" t="s">
        <v>6244</v>
      </c>
      <c r="H48" s="3548">
        <f>$H$19*$H$13</f>
        <v>56000000</v>
      </c>
      <c r="I48" s="3548">
        <f>$H$19*$H$13</f>
        <v>56000000</v>
      </c>
      <c r="J48" s="3548">
        <f>$H$19*$H$13</f>
        <v>56000000</v>
      </c>
      <c r="L48" s="150">
        <f>ROW()</f>
        <v>48</v>
      </c>
    </row>
    <row r="49" spans="2:12" s="6" customFormat="1" ht="15" customHeight="1">
      <c r="B49" s="215" t="str">
        <f>CONCATENATE("Product of Rows ",L19, " and ",L13, ".")</f>
        <v>Product of Rows 19 and 13.</v>
      </c>
      <c r="C49" s="2234"/>
      <c r="D49" s="2234"/>
      <c r="E49" s="2234"/>
      <c r="F49" s="2234"/>
      <c r="G49" s="2234"/>
      <c r="H49" s="2234"/>
      <c r="I49" s="2234"/>
      <c r="J49" s="2234"/>
      <c r="L49" s="150">
        <f>ROW()</f>
        <v>49</v>
      </c>
    </row>
    <row r="50" spans="2:12" s="6" customFormat="1" ht="15" customHeight="1">
      <c r="B50" s="2234"/>
      <c r="C50" s="2234"/>
      <c r="D50" s="2234"/>
      <c r="E50" s="2234"/>
      <c r="F50" s="2234"/>
      <c r="G50" s="2234"/>
      <c r="H50" s="2234"/>
      <c r="I50" s="2234"/>
      <c r="J50" s="2234"/>
      <c r="L50" s="150">
        <f>ROW()</f>
        <v>50</v>
      </c>
    </row>
    <row r="51" spans="2:12" s="6" customFormat="1" ht="15" customHeight="1">
      <c r="B51" s="2" t="s">
        <v>6245</v>
      </c>
      <c r="C51" s="2234"/>
      <c r="D51" s="2234"/>
      <c r="E51" s="2234"/>
      <c r="F51" s="2234"/>
      <c r="G51" s="2234"/>
      <c r="H51" s="3548">
        <f>ROUND(H46+H48,-6)</f>
        <v>100000000</v>
      </c>
      <c r="I51" s="3548">
        <f>ROUND(I46+I48,-6)</f>
        <v>87000000</v>
      </c>
      <c r="J51" s="3548">
        <f>ROUND(J46+J48,-6)</f>
        <v>71000000</v>
      </c>
      <c r="L51" s="150">
        <f>ROW()</f>
        <v>51</v>
      </c>
    </row>
    <row r="52" spans="2:12" s="6" customFormat="1" ht="15" customHeight="1">
      <c r="B52" s="2234"/>
      <c r="C52" s="2234"/>
      <c r="D52" s="2234"/>
      <c r="E52" s="2234"/>
      <c r="F52" s="2234"/>
      <c r="G52" s="2234"/>
      <c r="H52" s="2234"/>
      <c r="I52" s="2234"/>
      <c r="J52" s="2234"/>
      <c r="L52" s="150">
        <f>ROW()</f>
        <v>52</v>
      </c>
    </row>
    <row r="53" spans="2:12" s="6" customFormat="1" ht="15" customHeight="1">
      <c r="B53" s="280" t="s">
        <v>2861</v>
      </c>
      <c r="C53" s="9"/>
      <c r="D53" s="9"/>
      <c r="E53" s="9"/>
      <c r="F53" s="9"/>
      <c r="G53" s="9"/>
      <c r="H53" s="255">
        <v>5</v>
      </c>
      <c r="I53" s="255">
        <v>5</v>
      </c>
      <c r="J53" s="255">
        <v>5</v>
      </c>
      <c r="L53" s="150">
        <f>ROW()</f>
        <v>53</v>
      </c>
    </row>
    <row r="54" spans="2:12" s="6" customFormat="1" ht="15" customHeight="1">
      <c r="B54" s="308" t="s">
        <v>2862</v>
      </c>
      <c r="H54" s="348">
        <f>ROUND(H51/H53,-6)</f>
        <v>20000000</v>
      </c>
      <c r="I54" s="348">
        <f>ROUND(I51/I53,-6)</f>
        <v>17000000</v>
      </c>
      <c r="J54" s="348">
        <f>ROUND(J51/J53,-6)</f>
        <v>14000000</v>
      </c>
      <c r="L54" s="150">
        <f>ROW()</f>
        <v>54</v>
      </c>
    </row>
    <row r="55" spans="2:12" s="6" customFormat="1" ht="15" customHeight="1">
      <c r="B55" s="2234"/>
      <c r="C55" s="2234"/>
      <c r="D55" s="2234"/>
      <c r="E55" s="2234"/>
      <c r="F55" s="2234"/>
      <c r="G55" s="2234"/>
      <c r="H55" s="2234"/>
      <c r="I55" s="2234"/>
      <c r="J55" s="2234"/>
      <c r="L55" s="150">
        <f>ROW()</f>
        <v>55</v>
      </c>
    </row>
    <row r="56" spans="2:12" ht="15" customHeight="1">
      <c r="B56" s="24" t="s">
        <v>6086</v>
      </c>
      <c r="C56" s="3472"/>
      <c r="D56" s="3472"/>
      <c r="E56" s="3472"/>
      <c r="F56" s="3472"/>
      <c r="H56" s="3474" t="s">
        <v>2308</v>
      </c>
      <c r="I56" s="159" t="s">
        <v>302</v>
      </c>
      <c r="J56" s="159" t="s">
        <v>303</v>
      </c>
      <c r="L56" s="150">
        <f>ROW()</f>
        <v>56</v>
      </c>
    </row>
    <row r="57" spans="2:12" ht="15" customHeight="1">
      <c r="B57" s="24"/>
      <c r="C57" s="3472"/>
      <c r="D57" s="3472"/>
      <c r="E57" s="3472"/>
      <c r="F57" s="3472"/>
      <c r="H57" s="3474"/>
      <c r="I57" s="3477"/>
      <c r="J57" s="3477"/>
      <c r="L57" s="150">
        <f>ROW()</f>
        <v>57</v>
      </c>
    </row>
    <row r="58" spans="2:12" ht="15" customHeight="1">
      <c r="B58" s="2" t="s">
        <v>135</v>
      </c>
      <c r="L58" s="150">
        <f>ROW()</f>
        <v>58</v>
      </c>
    </row>
    <row r="59" spans="2:12" ht="15" customHeight="1">
      <c r="B59" s="2"/>
      <c r="L59" s="150">
        <f>ROW()</f>
        <v>59</v>
      </c>
    </row>
    <row r="60" spans="2:12" ht="15" customHeight="1">
      <c r="B60" s="312" t="s">
        <v>6087</v>
      </c>
      <c r="H60" s="287">
        <f ca="1">ROUND('Motor Vs'!N848-'Motor Vs'!AX848,-2)</f>
        <v>500600</v>
      </c>
      <c r="I60" s="287">
        <f ca="1">ROUND(('River Crossings'!L11+'River Crossings'!L18)*('Motor Vs'!N848-'Motor Vs'!AX848),-2)</f>
        <v>304500</v>
      </c>
      <c r="J60" s="287">
        <f ca="1">ROUND('River Crossings'!L11*('Motor Vs'!N848-'Motor Vs'!AX848),-2)</f>
        <v>158200</v>
      </c>
      <c r="L60" s="150">
        <f>ROW()</f>
        <v>60</v>
      </c>
    </row>
    <row r="61" spans="2:12" ht="15" customHeight="1">
      <c r="B61" s="3785" t="str">
        <f>CONCATENATE("Cordon figure is from Motor V's, Row ",'Motor Vs'!O848, ", with taxi entries substracted from total. Other figures prorate first figure by bridges' shares of pre-toll cordon entries, from 'River Crossings' worksheet, and are only an approximation.")</f>
        <v>Cordon figure is from Motor V's, Row 848, with taxi entries substracted from total. Other figures prorate first figure by bridges' shares of pre-toll cordon entries, from 'River Crossings' worksheet, and are only an approximation.</v>
      </c>
      <c r="C61" s="3785"/>
      <c r="D61" s="3785"/>
      <c r="E61" s="3785"/>
      <c r="F61" s="3785"/>
      <c r="G61" s="3785"/>
      <c r="H61" s="3785"/>
      <c r="I61" s="18"/>
      <c r="L61" s="150">
        <f>ROW()</f>
        <v>61</v>
      </c>
    </row>
    <row r="62" spans="2:12" ht="15" customHeight="1">
      <c r="B62" s="3785"/>
      <c r="C62" s="3785"/>
      <c r="D62" s="3785"/>
      <c r="E62" s="3785"/>
      <c r="F62" s="3785"/>
      <c r="G62" s="3785"/>
      <c r="H62" s="3785"/>
      <c r="I62" s="18"/>
      <c r="L62" s="150">
        <f>ROW()</f>
        <v>62</v>
      </c>
    </row>
    <row r="63" spans="2:12" ht="15" customHeight="1">
      <c r="B63" s="312" t="s">
        <v>6084</v>
      </c>
      <c r="H63" s="272">
        <f>'User Inputs'!$J$38</f>
        <v>1</v>
      </c>
      <c r="I63" s="272">
        <f>'User Inputs'!$J$38</f>
        <v>1</v>
      </c>
      <c r="J63" s="272">
        <f>'User Inputs'!$J$38</f>
        <v>1</v>
      </c>
      <c r="L63" s="150">
        <f>ROW()</f>
        <v>63</v>
      </c>
    </row>
    <row r="64" spans="2:12" ht="15" customHeight="1">
      <c r="B64" s="215" t="str">
        <f>CONCATENATE("Taken from 'User Inputs' worksheet, Row ",'User Inputs'!$N$38, ".")</f>
        <v>Taken from 'User Inputs' worksheet, Row 38.</v>
      </c>
      <c r="L64" s="150">
        <f>ROW()</f>
        <v>64</v>
      </c>
    </row>
    <row r="65" spans="2:12" ht="15" customHeight="1">
      <c r="B65" s="312" t="s">
        <v>6088</v>
      </c>
      <c r="C65" s="3473"/>
      <c r="D65" s="3473"/>
      <c r="E65" s="3473"/>
      <c r="F65" s="3473"/>
      <c r="G65" s="3473"/>
      <c r="H65" s="287">
        <f ca="1">H60*H63</f>
        <v>500600</v>
      </c>
      <c r="I65" s="287">
        <f ca="1">I60*I63</f>
        <v>304500</v>
      </c>
      <c r="J65" s="287">
        <f ca="1">J60*J63</f>
        <v>158200</v>
      </c>
      <c r="L65" s="150">
        <f>ROW()</f>
        <v>65</v>
      </c>
    </row>
    <row r="66" spans="2:12" ht="15" customHeight="1">
      <c r="B66" s="215" t="str">
        <f>CONCATENATE("Product of Rows ",L60, " and ",L63, ".")</f>
        <v>Product of Rows 60 and 63.</v>
      </c>
      <c r="C66"/>
      <c r="D66"/>
      <c r="E66"/>
      <c r="F66"/>
      <c r="G66"/>
      <c r="H66"/>
      <c r="I66" s="18"/>
      <c r="L66" s="150">
        <f>ROW()</f>
        <v>66</v>
      </c>
    </row>
    <row r="67" spans="2:12" ht="15" customHeight="1">
      <c r="B67" s="312" t="s">
        <v>5268</v>
      </c>
      <c r="H67" s="329">
        <v>0.75</v>
      </c>
      <c r="I67" s="329">
        <f>H67-5%</f>
        <v>0.7</v>
      </c>
      <c r="J67" s="329">
        <f>I67</f>
        <v>0.7</v>
      </c>
      <c r="L67" s="150">
        <f>ROW()</f>
        <v>67</v>
      </c>
    </row>
    <row r="68" spans="2:12" ht="15" customHeight="1">
      <c r="B68" s="3785" t="s">
        <v>238</v>
      </c>
      <c r="C68" s="3785"/>
      <c r="D68" s="3785"/>
      <c r="E68" s="3785"/>
      <c r="F68" s="3785"/>
      <c r="G68" s="3785"/>
      <c r="H68" s="3785"/>
      <c r="L68" s="150">
        <f>ROW()</f>
        <v>68</v>
      </c>
    </row>
    <row r="69" spans="2:12" ht="15" customHeight="1">
      <c r="B69" s="3785"/>
      <c r="C69" s="3785"/>
      <c r="D69" s="3785"/>
      <c r="E69" s="3785"/>
      <c r="F69" s="3785"/>
      <c r="G69" s="3785"/>
      <c r="H69" s="3785"/>
      <c r="L69" s="150">
        <f>ROW()</f>
        <v>69</v>
      </c>
    </row>
    <row r="70" spans="2:12" ht="15" customHeight="1">
      <c r="B70" s="312" t="s">
        <v>5269</v>
      </c>
      <c r="H70" s="329">
        <f>1-H67</f>
        <v>0.25</v>
      </c>
      <c r="I70" s="329">
        <f>1-I67</f>
        <v>0.30000000000000004</v>
      </c>
      <c r="J70" s="329">
        <f>1-J67</f>
        <v>0.30000000000000004</v>
      </c>
      <c r="L70" s="150">
        <f>ROW()</f>
        <v>70</v>
      </c>
    </row>
    <row r="71" spans="2:12" ht="15" customHeight="1">
      <c r="B71" s="312"/>
      <c r="H71" s="1726"/>
      <c r="I71" s="1726"/>
      <c r="J71" s="1726"/>
      <c r="L71" s="150">
        <f>ROW()</f>
        <v>71</v>
      </c>
    </row>
    <row r="72" spans="2:12" ht="15" customHeight="1">
      <c r="B72" s="312" t="s">
        <v>5270</v>
      </c>
      <c r="H72" s="329">
        <v>0.05</v>
      </c>
      <c r="I72" s="329">
        <v>0.05</v>
      </c>
      <c r="J72" s="329">
        <v>0.05</v>
      </c>
      <c r="L72" s="150">
        <f>ROW()</f>
        <v>72</v>
      </c>
    </row>
    <row r="73" spans="2:12" ht="15" customHeight="1">
      <c r="B73" s="215" t="s">
        <v>5271</v>
      </c>
      <c r="H73" s="1726"/>
      <c r="I73" s="1726"/>
      <c r="J73" s="1726"/>
      <c r="L73" s="150">
        <f>ROW()</f>
        <v>73</v>
      </c>
    </row>
    <row r="74" spans="2:12" ht="15" customHeight="1">
      <c r="B74" s="312" t="s">
        <v>5272</v>
      </c>
      <c r="H74" s="329">
        <f>IF('User Inputs'!$J$67&gt;0,Cordon!H72,0)</f>
        <v>0.05</v>
      </c>
      <c r="I74" s="329">
        <f>IF('User Inputs'!$J$67&gt;0,Cordon!I72,0)</f>
        <v>0.05</v>
      </c>
      <c r="J74" s="329">
        <f>IF('User Inputs'!$J$67&gt;0,Cordon!J72,0)</f>
        <v>0.05</v>
      </c>
      <c r="L74" s="150">
        <f>ROW()</f>
        <v>74</v>
      </c>
    </row>
    <row r="75" spans="2:12" ht="15" customHeight="1">
      <c r="B75" s="3785" t="str">
        <f>CONCATENATE("Uses 'IF' statement keyed to Row ",'User Inputs'!N67, " of 'User Inputs' worksheet to indicate whether conditional increment in Row ",L72, " actually applies.")</f>
        <v>Uses 'IF' statement keyed to Row 67 of 'User Inputs' worksheet to indicate whether conditional increment in Row 72 actually applies.</v>
      </c>
      <c r="C75" s="3785"/>
      <c r="D75" s="3785"/>
      <c r="E75" s="3785"/>
      <c r="F75" s="3785"/>
      <c r="G75" s="3785"/>
      <c r="H75" s="3785"/>
      <c r="I75" s="1726"/>
      <c r="J75" s="1726"/>
      <c r="L75" s="150">
        <f>ROW()</f>
        <v>75</v>
      </c>
    </row>
    <row r="76" spans="2:12" ht="15" customHeight="1">
      <c r="B76" s="3785"/>
      <c r="C76" s="3785"/>
      <c r="D76" s="3785"/>
      <c r="E76" s="3785"/>
      <c r="F76" s="3785"/>
      <c r="G76" s="3785"/>
      <c r="H76" s="3785"/>
      <c r="I76" s="1726"/>
      <c r="J76" s="1726"/>
      <c r="L76" s="150">
        <f>ROW()</f>
        <v>76</v>
      </c>
    </row>
    <row r="77" spans="2:12" ht="15" customHeight="1">
      <c r="B77" s="312" t="s">
        <v>5273</v>
      </c>
      <c r="H77" s="329">
        <f>H67+H74</f>
        <v>0.8</v>
      </c>
      <c r="I77" s="329">
        <f>I67+I74</f>
        <v>0.75</v>
      </c>
      <c r="J77" s="329">
        <f>J67+J74</f>
        <v>0.75</v>
      </c>
      <c r="L77" s="150">
        <f>ROW()</f>
        <v>77</v>
      </c>
    </row>
    <row r="78" spans="2:12" ht="15" customHeight="1">
      <c r="B78" s="215" t="str">
        <f>CONCATENATE("Sum of Rows ",L67, " (existing percent) and ",L74, " increment due to possible cash surcharge, if applicable.")</f>
        <v>Sum of Rows 67 (existing percent) and 74 increment due to possible cash surcharge, if applicable.</v>
      </c>
      <c r="H78" s="1726"/>
      <c r="I78" s="1726"/>
      <c r="J78" s="1726"/>
      <c r="L78" s="150">
        <f>ROW()</f>
        <v>78</v>
      </c>
    </row>
    <row r="79" spans="2:12" ht="15" customHeight="1">
      <c r="B79" s="312" t="s">
        <v>5274</v>
      </c>
      <c r="H79" s="329">
        <f>1-H77</f>
        <v>0.19999999999999996</v>
      </c>
      <c r="I79" s="329">
        <f>1-I77</f>
        <v>0.25</v>
      </c>
      <c r="J79" s="329">
        <f>1-J77</f>
        <v>0.25</v>
      </c>
      <c r="L79" s="150">
        <f>ROW()</f>
        <v>79</v>
      </c>
    </row>
    <row r="80" spans="2:12" ht="15" customHeight="1">
      <c r="B80" s="215"/>
      <c r="H80" s="1726"/>
      <c r="I80" s="1726"/>
      <c r="J80" s="1726"/>
      <c r="L80" s="150">
        <f>ROW()</f>
        <v>80</v>
      </c>
    </row>
    <row r="81" spans="2:12" ht="15" customHeight="1">
      <c r="B81" s="280" t="s">
        <v>733</v>
      </c>
      <c r="H81" s="1726"/>
      <c r="I81" s="1726"/>
      <c r="J81" s="1726"/>
      <c r="L81" s="150">
        <f>ROW()</f>
        <v>81</v>
      </c>
    </row>
    <row r="82" spans="2:12" ht="15" customHeight="1">
      <c r="C82" s="3014" t="s">
        <v>2093</v>
      </c>
      <c r="D82" s="349">
        <v>0.15</v>
      </c>
      <c r="H82" s="1726"/>
      <c r="I82" s="1726"/>
      <c r="J82" s="1726"/>
      <c r="L82" s="150">
        <f>ROW()</f>
        <v>82</v>
      </c>
    </row>
    <row r="83" spans="2:12" ht="15" customHeight="1">
      <c r="C83" s="3014" t="s">
        <v>5278</v>
      </c>
      <c r="D83" s="349">
        <v>0.5</v>
      </c>
      <c r="H83" s="1726"/>
      <c r="I83" s="1726"/>
      <c r="J83" s="1726"/>
      <c r="L83" s="150">
        <f>ROW()</f>
        <v>83</v>
      </c>
    </row>
    <row r="84" spans="2:12" ht="15" customHeight="1">
      <c r="B84" s="3785" t="s">
        <v>5277</v>
      </c>
      <c r="C84" s="3786"/>
      <c r="D84" s="3786"/>
      <c r="E84" s="3786"/>
      <c r="F84" s="3786"/>
      <c r="G84" s="3786"/>
      <c r="H84" s="3786"/>
      <c r="L84" s="150">
        <f>ROW()</f>
        <v>84</v>
      </c>
    </row>
    <row r="85" spans="2:12" ht="15" customHeight="1">
      <c r="B85" s="3786"/>
      <c r="C85" s="3786"/>
      <c r="D85" s="3786"/>
      <c r="E85" s="3786"/>
      <c r="F85" s="3786"/>
      <c r="G85" s="3786"/>
      <c r="H85" s="3786"/>
      <c r="L85" s="150">
        <f>ROW()</f>
        <v>85</v>
      </c>
    </row>
    <row r="86" spans="2:12" ht="15" customHeight="1">
      <c r="B86" s="3786"/>
      <c r="C86" s="3786"/>
      <c r="D86" s="3786"/>
      <c r="E86" s="3786"/>
      <c r="F86" s="3786"/>
      <c r="G86" s="3786"/>
      <c r="H86" s="3786"/>
      <c r="L86" s="150">
        <f>ROW()</f>
        <v>86</v>
      </c>
    </row>
    <row r="87" spans="2:12" ht="15" customHeight="1">
      <c r="B87" s="3786"/>
      <c r="C87" s="3786"/>
      <c r="D87" s="3786"/>
      <c r="E87" s="3786"/>
      <c r="F87" s="3786"/>
      <c r="G87" s="3786"/>
      <c r="H87" s="3786"/>
      <c r="L87" s="150">
        <f>ROW()</f>
        <v>87</v>
      </c>
    </row>
    <row r="88" spans="2:12" ht="15" customHeight="1">
      <c r="B88" s="1073"/>
      <c r="C88" s="1073"/>
      <c r="D88" s="1073"/>
      <c r="E88" s="1073"/>
      <c r="F88" s="1073"/>
      <c r="G88" s="1073"/>
      <c r="H88" s="159" t="s">
        <v>2308</v>
      </c>
      <c r="I88" s="159" t="s">
        <v>302</v>
      </c>
      <c r="J88" s="159" t="s">
        <v>303</v>
      </c>
      <c r="L88" s="150">
        <f>ROW()</f>
        <v>88</v>
      </c>
    </row>
    <row r="89" spans="2:12" ht="15" customHeight="1">
      <c r="B89" s="280" t="s">
        <v>239</v>
      </c>
      <c r="C89" s="1388"/>
      <c r="D89" s="1388"/>
      <c r="E89" s="1388"/>
      <c r="F89" s="1388"/>
      <c r="G89" s="1388"/>
      <c r="H89" s="287">
        <f ca="1">ROUND(H77*H65,-2)</f>
        <v>400500</v>
      </c>
      <c r="I89" s="287">
        <f ca="1">ROUND(I77*I65,-2)</f>
        <v>228400</v>
      </c>
      <c r="J89" s="287">
        <f ca="1">ROUND(J77*J65,-2)</f>
        <v>118700</v>
      </c>
      <c r="L89" s="150">
        <f>ROW()</f>
        <v>89</v>
      </c>
    </row>
    <row r="90" spans="2:12" ht="15" customHeight="1">
      <c r="B90" s="280" t="s">
        <v>240</v>
      </c>
      <c r="C90" s="1388"/>
      <c r="D90" s="1388"/>
      <c r="E90" s="1388"/>
      <c r="F90" s="1388"/>
      <c r="G90" s="1388"/>
      <c r="H90" s="287">
        <f ca="1">ROUND(H79*H65,-2)</f>
        <v>100100</v>
      </c>
      <c r="I90" s="287">
        <f ca="1">ROUND(I79*I65,-2)</f>
        <v>76100</v>
      </c>
      <c r="J90" s="287">
        <f ca="1">ROUND(J79*J65,-2)</f>
        <v>39600</v>
      </c>
      <c r="L90" s="150">
        <f>ROW()</f>
        <v>90</v>
      </c>
    </row>
    <row r="91" spans="2:12" ht="15" customHeight="1">
      <c r="B91" s="280" t="s">
        <v>3751</v>
      </c>
      <c r="C91" s="1388"/>
      <c r="D91" s="1388"/>
      <c r="E91" s="1388"/>
      <c r="F91" s="1388"/>
      <c r="G91" s="1388"/>
      <c r="H91" s="1728">
        <f t="shared" ref="H91:J92" ca="1" si="0">ROUND(H89*$D82,-2)</f>
        <v>60100</v>
      </c>
      <c r="I91" s="1728">
        <f t="shared" ca="1" si="0"/>
        <v>34300</v>
      </c>
      <c r="J91" s="1728">
        <f t="shared" ca="1" si="0"/>
        <v>17800</v>
      </c>
      <c r="L91" s="150">
        <f>ROW()</f>
        <v>91</v>
      </c>
    </row>
    <row r="92" spans="2:12" ht="15" customHeight="1">
      <c r="B92" s="280" t="s">
        <v>241</v>
      </c>
      <c r="C92" s="1388"/>
      <c r="D92" s="1388"/>
      <c r="E92" s="1388"/>
      <c r="F92" s="1388"/>
      <c r="G92" s="1388"/>
      <c r="H92" s="1728">
        <f t="shared" ca="1" si="0"/>
        <v>50100</v>
      </c>
      <c r="I92" s="1728">
        <f t="shared" ca="1" si="0"/>
        <v>38100</v>
      </c>
      <c r="J92" s="1728">
        <f t="shared" ca="1" si="0"/>
        <v>19800</v>
      </c>
      <c r="L92" s="150">
        <f>ROW()</f>
        <v>92</v>
      </c>
    </row>
    <row r="93" spans="2:12" ht="15" customHeight="1">
      <c r="B93" s="280" t="s">
        <v>3750</v>
      </c>
      <c r="C93" s="1388"/>
      <c r="D93" s="1388"/>
      <c r="E93" s="1388"/>
      <c r="F93" s="1388"/>
      <c r="G93" s="1388"/>
      <c r="H93" s="1730">
        <f ca="1">H91*wkday_per_yr</f>
        <v>15025000</v>
      </c>
      <c r="I93" s="1730">
        <f ca="1">I91*Constants!$J$25</f>
        <v>8575000</v>
      </c>
      <c r="J93" s="1730">
        <f ca="1">J91*Constants!$J$25</f>
        <v>4450000</v>
      </c>
      <c r="L93" s="150">
        <f>ROW()</f>
        <v>93</v>
      </c>
    </row>
    <row r="94" spans="2:12" ht="15" customHeight="1">
      <c r="B94" s="280" t="s">
        <v>245</v>
      </c>
      <c r="C94" s="1388"/>
      <c r="D94" s="1388"/>
      <c r="E94" s="1388"/>
      <c r="F94" s="1388"/>
      <c r="G94" s="1388"/>
      <c r="H94" s="1730">
        <f ca="1">H92*wkday_per_yr</f>
        <v>12525000</v>
      </c>
      <c r="I94" s="1730">
        <f ca="1">I92*Constants!$J$25</f>
        <v>9525000</v>
      </c>
      <c r="J94" s="1730">
        <f ca="1">J92*Constants!$J$25</f>
        <v>4950000</v>
      </c>
      <c r="L94" s="150">
        <f>ROW()</f>
        <v>94</v>
      </c>
    </row>
    <row r="95" spans="2:12" ht="15" customHeight="1">
      <c r="B95" s="280" t="s">
        <v>1099</v>
      </c>
      <c r="C95" s="1388"/>
      <c r="D95" s="1388"/>
      <c r="E95" s="1388"/>
      <c r="F95" s="1388"/>
      <c r="G95" s="1388"/>
      <c r="H95" s="1730">
        <f ca="1">H93+H94</f>
        <v>27550000</v>
      </c>
      <c r="I95" s="1730">
        <f ca="1">I93+I94</f>
        <v>18100000</v>
      </c>
      <c r="J95" s="1730">
        <f ca="1">J93+J94</f>
        <v>9400000</v>
      </c>
      <c r="L95" s="150">
        <f>ROW()</f>
        <v>95</v>
      </c>
    </row>
    <row r="96" spans="2:12" ht="15" customHeight="1">
      <c r="B96" s="280" t="s">
        <v>243</v>
      </c>
      <c r="C96" s="1388"/>
      <c r="D96" s="1388"/>
      <c r="E96" s="1388"/>
      <c r="F96" s="1388"/>
      <c r="G96" s="1388"/>
      <c r="H96" s="329">
        <v>1</v>
      </c>
      <c r="I96" s="329">
        <v>1</v>
      </c>
      <c r="J96" s="329">
        <v>1</v>
      </c>
      <c r="L96" s="150">
        <f>ROW()</f>
        <v>96</v>
      </c>
    </row>
    <row r="97" spans="2:12" ht="15" customHeight="1">
      <c r="B97" s="308" t="s">
        <v>244</v>
      </c>
      <c r="C97" s="1388"/>
      <c r="D97" s="1388"/>
      <c r="E97" s="1388"/>
      <c r="F97" s="1388"/>
      <c r="G97" s="1388"/>
      <c r="H97" s="1731">
        <f ca="1">ROUND(H95*(1+H96),-5)</f>
        <v>55100000</v>
      </c>
      <c r="I97" s="1731">
        <f ca="1">ROUND(I95*(1+I96),-5)</f>
        <v>36200000</v>
      </c>
      <c r="J97" s="1731">
        <f ca="1">ROUND(J95*(1+J96),-5)</f>
        <v>18800000</v>
      </c>
      <c r="L97" s="150">
        <f>ROW()</f>
        <v>97</v>
      </c>
    </row>
    <row r="98" spans="2:12" ht="15" customHeight="1">
      <c r="C98" s="1388"/>
      <c r="D98" s="1388"/>
      <c r="E98" s="1388"/>
      <c r="F98" s="1388"/>
      <c r="G98" s="1388"/>
      <c r="H98" s="1729"/>
      <c r="I98" s="1729"/>
      <c r="J98" s="1729"/>
      <c r="L98" s="150">
        <f>ROW()</f>
        <v>98</v>
      </c>
    </row>
    <row r="99" spans="2:12" s="6" customFormat="1" ht="15" customHeight="1">
      <c r="B99" s="2" t="s">
        <v>6090</v>
      </c>
      <c r="H99" s="856"/>
      <c r="L99" s="150">
        <f>ROW()</f>
        <v>99</v>
      </c>
    </row>
    <row r="100" spans="2:12" s="6" customFormat="1" ht="15" customHeight="1">
      <c r="H100" s="159" t="s">
        <v>2308</v>
      </c>
      <c r="I100" s="159" t="s">
        <v>302</v>
      </c>
      <c r="J100" s="159" t="s">
        <v>303</v>
      </c>
      <c r="L100" s="150">
        <f>ROW()</f>
        <v>100</v>
      </c>
    </row>
    <row r="101" spans="2:12" s="6" customFormat="1" ht="15" customHeight="1">
      <c r="B101" s="312" t="s">
        <v>6091</v>
      </c>
      <c r="C101" s="9"/>
      <c r="D101" s="9"/>
      <c r="E101" s="9"/>
      <c r="F101" s="9"/>
      <c r="G101" s="9"/>
      <c r="H101" s="287">
        <f ca="1">ROUND('Motor Vs Weekends'!N848-'Motor Vs Weekends'!AX848,-2)</f>
        <v>425800</v>
      </c>
      <c r="I101" s="287">
        <f ca="1">ROUND(('River Crossings'!L11+'River Crossings'!L18)*('Motor Vs Weekends'!N848-'Motor Vs Weekends'!AX848),-2)</f>
        <v>259000</v>
      </c>
      <c r="J101" s="287">
        <f ca="1">ROUND('River Crossings'!L11*('Motor Vs Weekends'!N848-'Motor Vs Weekends'!AX848),-2)</f>
        <v>134600</v>
      </c>
      <c r="L101" s="150">
        <f>ROW()</f>
        <v>101</v>
      </c>
    </row>
    <row r="102" spans="2:12" s="6" customFormat="1" ht="15" customHeight="1">
      <c r="B102" s="3785" t="str">
        <f>CONCATENATE("Cordon figure is from Motor V's Weekends, Row ",'Motor Vs'!O848, ", with taxi entries substracted from total. Other figures prorate first figure by bridges' shares of pre-toll cordon entries, from 'River Crossings' worksheet, and are only an approximation.")</f>
        <v>Cordon figure is from Motor V's Weekends, Row 848, with taxi entries substracted from total. Other figures prorate first figure by bridges' shares of pre-toll cordon entries, from 'River Crossings' worksheet, and are only an approximation.</v>
      </c>
      <c r="C102" s="3785"/>
      <c r="D102" s="3785"/>
      <c r="E102" s="3785"/>
      <c r="F102" s="3785"/>
      <c r="G102" s="3785"/>
      <c r="H102" s="3785"/>
      <c r="I102" s="18"/>
      <c r="J102" s="9"/>
      <c r="L102" s="150">
        <f>ROW()</f>
        <v>102</v>
      </c>
    </row>
    <row r="103" spans="2:12" s="6" customFormat="1" ht="15" customHeight="1">
      <c r="B103" s="3785"/>
      <c r="C103" s="3785"/>
      <c r="D103" s="3785"/>
      <c r="E103" s="3785"/>
      <c r="F103" s="3785"/>
      <c r="G103" s="3785"/>
      <c r="H103" s="3785"/>
      <c r="I103" s="18"/>
      <c r="J103" s="9"/>
      <c r="L103" s="150">
        <f>ROW()</f>
        <v>103</v>
      </c>
    </row>
    <row r="104" spans="2:12" s="6" customFormat="1" ht="15" customHeight="1">
      <c r="B104" s="312" t="s">
        <v>6084</v>
      </c>
      <c r="C104" s="9"/>
      <c r="D104" s="9"/>
      <c r="E104" s="9"/>
      <c r="F104" s="9"/>
      <c r="G104" s="9"/>
      <c r="H104" s="272">
        <f>'User Inputs'!$J$38</f>
        <v>1</v>
      </c>
      <c r="I104" s="272">
        <f>'User Inputs'!$J$38</f>
        <v>1</v>
      </c>
      <c r="J104" s="272">
        <f>'User Inputs'!$J$38</f>
        <v>1</v>
      </c>
      <c r="K104" s="9"/>
      <c r="L104" s="150">
        <f>ROW()</f>
        <v>104</v>
      </c>
    </row>
    <row r="105" spans="2:12" s="6" customFormat="1" ht="15" customHeight="1">
      <c r="B105" s="215" t="str">
        <f>CONCATENATE("Taken from 'User Inputs' worksheet, Row ",'User Inputs'!$N$38, ".")</f>
        <v>Taken from 'User Inputs' worksheet, Row 38.</v>
      </c>
      <c r="C105" s="9"/>
      <c r="D105" s="9"/>
      <c r="E105" s="9"/>
      <c r="F105" s="9"/>
      <c r="G105" s="9"/>
      <c r="H105" s="9"/>
      <c r="I105" s="9"/>
      <c r="J105" s="9"/>
      <c r="K105" s="9"/>
      <c r="L105" s="150">
        <f>ROW()</f>
        <v>105</v>
      </c>
    </row>
    <row r="106" spans="2:12" s="6" customFormat="1" ht="15" customHeight="1">
      <c r="B106" s="312" t="s">
        <v>6092</v>
      </c>
      <c r="C106" s="3473"/>
      <c r="D106" s="3473"/>
      <c r="E106" s="3473"/>
      <c r="F106" s="3473"/>
      <c r="G106" s="3473"/>
      <c r="H106" s="287">
        <f ca="1">H101*H104</f>
        <v>425800</v>
      </c>
      <c r="I106" s="287">
        <f ca="1">I101*I104</f>
        <v>259000</v>
      </c>
      <c r="J106" s="287">
        <f ca="1">J101*J104</f>
        <v>134600</v>
      </c>
      <c r="K106" s="9"/>
      <c r="L106" s="150">
        <f>ROW()</f>
        <v>106</v>
      </c>
    </row>
    <row r="107" spans="2:12" s="6" customFormat="1" ht="15" customHeight="1">
      <c r="B107" s="215" t="str">
        <f>CONCATENATE("Product of Rows ",L101, " and ",L104, ".")</f>
        <v>Product of Rows 101 and 104.</v>
      </c>
      <c r="C107" s="3478"/>
      <c r="D107" s="3478"/>
      <c r="E107" s="3478"/>
      <c r="F107" s="3478"/>
      <c r="G107" s="3478"/>
      <c r="H107" s="3478"/>
      <c r="I107" s="18"/>
      <c r="J107" s="9"/>
      <c r="K107" s="9"/>
      <c r="L107" s="150">
        <f>ROW()</f>
        <v>107</v>
      </c>
    </row>
    <row r="108" spans="2:12" s="6" customFormat="1" ht="15" customHeight="1">
      <c r="B108" s="312" t="s">
        <v>3748</v>
      </c>
      <c r="C108" s="9"/>
      <c r="D108" s="9"/>
      <c r="E108" s="9"/>
      <c r="F108" s="9"/>
      <c r="G108" s="9"/>
      <c r="H108" s="329">
        <f>H77-5%</f>
        <v>0.75</v>
      </c>
      <c r="I108" s="329">
        <f>I77-5%</f>
        <v>0.7</v>
      </c>
      <c r="J108" s="329">
        <f>J77-5%</f>
        <v>0.7</v>
      </c>
      <c r="L108" s="150">
        <f>ROW()</f>
        <v>108</v>
      </c>
    </row>
    <row r="109" spans="2:12" s="6" customFormat="1" ht="15" customHeight="1">
      <c r="B109" s="215" t="str">
        <f>CONCATENATE("Reduces Row ",L77, " figure by 5 percentage points.")</f>
        <v>Reduces Row 77 figure by 5 percentage points.</v>
      </c>
      <c r="C109" s="9"/>
      <c r="D109" s="9"/>
      <c r="E109" s="9"/>
      <c r="F109" s="9"/>
      <c r="G109" s="9"/>
      <c r="H109" s="9"/>
      <c r="I109" s="9"/>
      <c r="J109" s="9"/>
      <c r="L109" s="150">
        <f>ROW()</f>
        <v>109</v>
      </c>
    </row>
    <row r="110" spans="2:12" s="6" customFormat="1" ht="15" customHeight="1">
      <c r="B110" s="280" t="s">
        <v>242</v>
      </c>
      <c r="C110" s="9"/>
      <c r="D110" s="9"/>
      <c r="E110" s="9"/>
      <c r="F110" s="9"/>
      <c r="G110" s="9"/>
      <c r="H110" s="329">
        <f>1-H108</f>
        <v>0.25</v>
      </c>
      <c r="I110" s="329">
        <f>1-I108</f>
        <v>0.30000000000000004</v>
      </c>
      <c r="J110" s="329">
        <f>1-J108</f>
        <v>0.30000000000000004</v>
      </c>
      <c r="L110" s="150">
        <f>ROW()</f>
        <v>110</v>
      </c>
    </row>
    <row r="111" spans="2:12" s="6" customFormat="1" ht="15" customHeight="1">
      <c r="B111" s="280" t="s">
        <v>246</v>
      </c>
      <c r="C111" s="1388"/>
      <c r="D111" s="1388"/>
      <c r="E111" s="1388"/>
      <c r="F111" s="1388"/>
      <c r="G111" s="1388"/>
      <c r="H111" s="287">
        <f ca="1">ROUND(H106*H108,-2)</f>
        <v>319400</v>
      </c>
      <c r="I111" s="287">
        <f ca="1">ROUND(I106*I108,-2)</f>
        <v>181300</v>
      </c>
      <c r="J111" s="287">
        <f ca="1">ROUND(J106*J108,-2)</f>
        <v>94200</v>
      </c>
      <c r="L111" s="150">
        <f>ROW()</f>
        <v>111</v>
      </c>
    </row>
    <row r="112" spans="2:12" s="6" customFormat="1" ht="15" customHeight="1">
      <c r="B112" s="280" t="s">
        <v>247</v>
      </c>
      <c r="C112" s="1388"/>
      <c r="D112" s="1388"/>
      <c r="E112" s="1388"/>
      <c r="F112" s="1388"/>
      <c r="G112" s="1388"/>
      <c r="H112" s="287">
        <f ca="1">ROUND(H106*H110,-2)</f>
        <v>106500</v>
      </c>
      <c r="I112" s="287">
        <f ca="1">ROUND(I106*I110,-2)</f>
        <v>77700</v>
      </c>
      <c r="J112" s="287">
        <f ca="1">ROUND(J106*J110,-2)</f>
        <v>40400</v>
      </c>
      <c r="L112" s="150">
        <f>ROW()</f>
        <v>112</v>
      </c>
    </row>
    <row r="113" spans="2:13" s="6" customFormat="1" ht="15" customHeight="1">
      <c r="B113" s="280" t="s">
        <v>3749</v>
      </c>
      <c r="C113" s="1388"/>
      <c r="D113" s="1388"/>
      <c r="E113" s="1388"/>
      <c r="F113" s="1388"/>
      <c r="G113" s="1388"/>
      <c r="H113" s="1728">
        <f t="shared" ref="H113:J114" ca="1" si="1">ROUND(H111*$D82,-2)</f>
        <v>47900</v>
      </c>
      <c r="I113" s="1728">
        <f t="shared" ca="1" si="1"/>
        <v>27200</v>
      </c>
      <c r="J113" s="1728">
        <f t="shared" ca="1" si="1"/>
        <v>14100</v>
      </c>
      <c r="L113" s="150">
        <f>ROW()</f>
        <v>113</v>
      </c>
    </row>
    <row r="114" spans="2:13" s="6" customFormat="1" ht="15" customHeight="1">
      <c r="B114" s="280" t="s">
        <v>248</v>
      </c>
      <c r="C114" s="1388"/>
      <c r="D114" s="1388"/>
      <c r="E114" s="1388"/>
      <c r="F114" s="1388"/>
      <c r="G114" s="1388"/>
      <c r="H114" s="1728">
        <f t="shared" ca="1" si="1"/>
        <v>53300</v>
      </c>
      <c r="I114" s="1728">
        <f t="shared" ca="1" si="1"/>
        <v>38900</v>
      </c>
      <c r="J114" s="1728">
        <f t="shared" ca="1" si="1"/>
        <v>20200</v>
      </c>
      <c r="L114" s="150">
        <f>ROW()</f>
        <v>114</v>
      </c>
    </row>
    <row r="115" spans="2:13" s="6" customFormat="1" ht="15" customHeight="1">
      <c r="B115" s="280" t="s">
        <v>3750</v>
      </c>
      <c r="C115" s="1388"/>
      <c r="D115" s="1388"/>
      <c r="E115" s="1388"/>
      <c r="F115" s="1388"/>
      <c r="G115" s="1388"/>
      <c r="H115" s="1730">
        <f ca="1">H113*Constants!$J$27</f>
        <v>5508500</v>
      </c>
      <c r="I115" s="1730">
        <f ca="1">I113*Constants!$J$27</f>
        <v>3128000</v>
      </c>
      <c r="J115" s="1730">
        <f ca="1">J113*Constants!$J$27</f>
        <v>1621500</v>
      </c>
      <c r="L115" s="150">
        <f>ROW()</f>
        <v>115</v>
      </c>
    </row>
    <row r="116" spans="2:13" s="6" customFormat="1" ht="15" customHeight="1">
      <c r="B116" s="280" t="s">
        <v>245</v>
      </c>
      <c r="C116" s="1388"/>
      <c r="D116" s="1388"/>
      <c r="E116" s="1388"/>
      <c r="F116" s="1388"/>
      <c r="G116" s="1388"/>
      <c r="H116" s="1730">
        <f ca="1">H114*Constants!$J$27</f>
        <v>6129500</v>
      </c>
      <c r="I116" s="1730">
        <f ca="1">I114*Constants!$J$27</f>
        <v>4473500</v>
      </c>
      <c r="J116" s="1730">
        <f ca="1">J114*Constants!$J$27</f>
        <v>2323000</v>
      </c>
      <c r="L116" s="150">
        <f>ROW()</f>
        <v>116</v>
      </c>
    </row>
    <row r="117" spans="2:13" s="6" customFormat="1" ht="15" customHeight="1">
      <c r="B117" s="280" t="s">
        <v>249</v>
      </c>
      <c r="C117" s="1388"/>
      <c r="D117" s="1388"/>
      <c r="E117" s="1388"/>
      <c r="F117" s="1388"/>
      <c r="G117" s="1388"/>
      <c r="H117" s="1730">
        <f ca="1">H115+H116</f>
        <v>11638000</v>
      </c>
      <c r="I117" s="1730">
        <f ca="1">I115+I116</f>
        <v>7601500</v>
      </c>
      <c r="J117" s="1730">
        <f ca="1">J115+J116</f>
        <v>3944500</v>
      </c>
      <c r="L117" s="150">
        <f>ROW()</f>
        <v>117</v>
      </c>
    </row>
    <row r="118" spans="2:13" s="6" customFormat="1" ht="15" customHeight="1">
      <c r="B118" s="280" t="s">
        <v>243</v>
      </c>
      <c r="C118" s="1388"/>
      <c r="D118" s="1388"/>
      <c r="E118" s="1388"/>
      <c r="F118" s="1388"/>
      <c r="G118" s="1388"/>
      <c r="H118" s="329">
        <v>1</v>
      </c>
      <c r="I118" s="329">
        <v>1</v>
      </c>
      <c r="J118" s="329">
        <v>1</v>
      </c>
      <c r="L118" s="150">
        <f>ROW()</f>
        <v>118</v>
      </c>
      <c r="M118" s="6" t="s">
        <v>533</v>
      </c>
    </row>
    <row r="119" spans="2:13" s="6" customFormat="1" ht="15" customHeight="1">
      <c r="B119" s="518" t="s">
        <v>3903</v>
      </c>
      <c r="C119" s="1388"/>
      <c r="D119" s="1388"/>
      <c r="E119" s="1388"/>
      <c r="F119" s="1388"/>
      <c r="G119" s="1388"/>
      <c r="H119" s="1731">
        <f ca="1">ROUND(H117*(1+H118),-5)</f>
        <v>23300000</v>
      </c>
      <c r="I119" s="1731">
        <f ca="1">ROUND(I117*(1+I118),-5)</f>
        <v>15200000</v>
      </c>
      <c r="J119" s="1731">
        <f ca="1">ROUND(J117*(1+J118),-5)</f>
        <v>7900000</v>
      </c>
      <c r="L119" s="150">
        <f>ROW()</f>
        <v>119</v>
      </c>
    </row>
    <row r="120" spans="2:13" s="6" customFormat="1" ht="15" customHeight="1">
      <c r="B120" s="518"/>
      <c r="C120" s="3543"/>
      <c r="D120" s="3543"/>
      <c r="E120" s="3543"/>
      <c r="F120" s="3543"/>
      <c r="G120" s="3543"/>
      <c r="H120" s="3549"/>
      <c r="I120" s="3549"/>
      <c r="J120" s="3549"/>
      <c r="L120" s="150">
        <f>ROW()</f>
        <v>120</v>
      </c>
    </row>
    <row r="121" spans="2:13" s="6" customFormat="1" ht="15" customHeight="1">
      <c r="B121" s="2" t="s">
        <v>6246</v>
      </c>
      <c r="C121" s="3543"/>
      <c r="D121" s="3543"/>
      <c r="E121" s="3543"/>
      <c r="F121" s="3543"/>
      <c r="G121" s="3543"/>
      <c r="H121" s="1731">
        <v>20000000</v>
      </c>
      <c r="I121" s="1731">
        <v>20000000</v>
      </c>
      <c r="J121" s="1731">
        <v>20000000</v>
      </c>
      <c r="L121" s="150">
        <f>ROW()</f>
        <v>121</v>
      </c>
    </row>
    <row r="122" spans="2:13" s="6" customFormat="1" ht="15" customHeight="1">
      <c r="B122" s="3785" t="str">
        <f>CONCATENATE("Komanoff assumption. Is intended to cover office space, computer, legal, administration and other costs not included in the per-transaction cost figures in Rows ",L82, " and ",L83, ".")</f>
        <v>Komanoff assumption. Is intended to cover office space, computer, legal, administration and other costs not included in the per-transaction cost figures in Rows 82 and 83.</v>
      </c>
      <c r="C122" s="3785"/>
      <c r="D122" s="3785"/>
      <c r="E122" s="3785"/>
      <c r="F122" s="3785"/>
      <c r="G122" s="3785"/>
      <c r="H122" s="3785"/>
      <c r="I122" s="3549"/>
      <c r="J122" s="3549"/>
      <c r="L122" s="150">
        <f>ROW()</f>
        <v>122</v>
      </c>
    </row>
    <row r="123" spans="2:13" s="6" customFormat="1" ht="15" customHeight="1">
      <c r="B123" s="3785"/>
      <c r="C123" s="3785"/>
      <c r="D123" s="3785"/>
      <c r="E123" s="3785"/>
      <c r="F123" s="3785"/>
      <c r="G123" s="3785"/>
      <c r="H123" s="3785"/>
      <c r="I123" s="3549"/>
      <c r="J123" s="3549"/>
      <c r="L123" s="150">
        <f>ROW()</f>
        <v>123</v>
      </c>
    </row>
    <row r="124" spans="2:13" s="6" customFormat="1" ht="15" customHeight="1">
      <c r="B124" s="323"/>
      <c r="C124" s="1727"/>
      <c r="D124" s="9"/>
      <c r="E124" s="9"/>
      <c r="F124" s="9"/>
      <c r="G124" s="9"/>
      <c r="H124" s="1726"/>
      <c r="I124" s="1726"/>
      <c r="J124" s="1726"/>
      <c r="L124" s="150">
        <f>ROW()</f>
        <v>124</v>
      </c>
    </row>
    <row r="125" spans="2:13" ht="15" customHeight="1">
      <c r="B125" s="24" t="s">
        <v>5855</v>
      </c>
      <c r="H125" s="348">
        <f ca="1">ROUND(IF('User Inputs'!$J$29&gt;1.99,Cordon!H54+Cordon!H97+Cordon!H119+H121,0),-6)</f>
        <v>118000000</v>
      </c>
      <c r="I125" s="348">
        <f ca="1">ROUND(IF('User Inputs'!$J$29&gt;1.99,Cordon!I54+Cordon!I97+Cordon!I119+I121,0),-6)</f>
        <v>88000000</v>
      </c>
      <c r="J125" s="348">
        <f ca="1">ROUND(IF('User Inputs'!$J$29&gt;1.99,Cordon!J54+Cordon!J97+Cordon!J119+J121,0),-6)</f>
        <v>61000000</v>
      </c>
      <c r="L125" s="150">
        <f>ROW()</f>
        <v>125</v>
      </c>
    </row>
    <row r="126" spans="2:13" ht="15" customHeight="1">
      <c r="B126" s="215" t="str">
        <f>CONCATENATE("Sum of Rows ",L48, ", ", L97, " and ",L119, " with 'IF' statement to indicate that some toll option is invoked.")</f>
        <v>Sum of Rows 48, 97 and 119 with 'IF' statement to indicate that some toll option is invoked.</v>
      </c>
      <c r="H126" s="856"/>
      <c r="I126" s="856"/>
      <c r="J126" s="856"/>
      <c r="L126" s="150">
        <f>ROW()</f>
        <v>126</v>
      </c>
    </row>
    <row r="127" spans="2:13" ht="15" customHeight="1">
      <c r="B127" s="6"/>
      <c r="H127" s="856"/>
      <c r="I127" s="856"/>
      <c r="J127" s="856"/>
      <c r="L127" s="150">
        <f>ROW()</f>
        <v>127</v>
      </c>
    </row>
    <row r="128" spans="2:13" ht="15" customHeight="1">
      <c r="B128" s="24" t="s">
        <v>5856</v>
      </c>
      <c r="H128" s="5105">
        <f ca="1">IF('User Inputs'!$J$42="CORDON",H125,IF('User Inputs'!$J$42="BRIDGES",I125,J125))</f>
        <v>118000000</v>
      </c>
      <c r="I128" s="5106"/>
      <c r="J128" s="5107"/>
      <c r="L128" s="150">
        <f>ROW()</f>
        <v>128</v>
      </c>
    </row>
    <row r="129" spans="2:12" ht="15" customHeight="1">
      <c r="B129" s="215" t="s">
        <v>734</v>
      </c>
      <c r="H129" s="856"/>
      <c r="I129" s="856"/>
      <c r="J129" s="856"/>
      <c r="L129" s="150">
        <f>ROW()</f>
        <v>129</v>
      </c>
    </row>
    <row r="130" spans="2:12" ht="15" customHeight="1">
      <c r="B130" s="6"/>
      <c r="C130" s="6"/>
      <c r="D130" s="163"/>
      <c r="E130" s="6"/>
      <c r="F130" s="6"/>
      <c r="G130" s="6"/>
      <c r="H130" s="122"/>
      <c r="L130" s="150">
        <f>ROW()</f>
        <v>130</v>
      </c>
    </row>
    <row r="131" spans="2:12" ht="15" customHeight="1">
      <c r="B131" s="24" t="s">
        <v>2369</v>
      </c>
      <c r="L131" s="150">
        <f>ROW()</f>
        <v>131</v>
      </c>
    </row>
    <row r="132" spans="2:12" ht="15" customHeight="1">
      <c r="B132" s="5104" t="s">
        <v>80</v>
      </c>
      <c r="C132" s="4187"/>
      <c r="D132" s="4187"/>
      <c r="E132" s="4187"/>
      <c r="F132" s="4187"/>
      <c r="G132" s="4187"/>
      <c r="L132" s="150">
        <f>ROW()</f>
        <v>132</v>
      </c>
    </row>
    <row r="133" spans="2:12" ht="15" customHeight="1">
      <c r="B133" s="4187"/>
      <c r="C133" s="4187"/>
      <c r="D133" s="4187"/>
      <c r="E133" s="4187"/>
      <c r="F133" s="4187"/>
      <c r="G133" s="4187"/>
      <c r="L133" s="150">
        <f>ROW()</f>
        <v>133</v>
      </c>
    </row>
    <row r="134" spans="2:12" ht="15" customHeight="1">
      <c r="B134" s="4187"/>
      <c r="C134" s="4187"/>
      <c r="D134" s="4187"/>
      <c r="E134" s="4187"/>
      <c r="F134" s="4187"/>
      <c r="G134" s="4187"/>
      <c r="L134" s="150">
        <f>ROW()</f>
        <v>134</v>
      </c>
    </row>
    <row r="135" spans="2:12" ht="15" customHeight="1">
      <c r="B135" s="215" t="s">
        <v>81</v>
      </c>
      <c r="L135" s="150">
        <f>ROW()</f>
        <v>135</v>
      </c>
    </row>
    <row r="136" spans="2:12" ht="15" customHeight="1">
      <c r="B136" s="5104" t="s">
        <v>1072</v>
      </c>
      <c r="C136" s="4187"/>
      <c r="D136" s="4187"/>
      <c r="E136" s="4187"/>
      <c r="F136" s="4187"/>
      <c r="G136" s="4187"/>
      <c r="L136" s="150">
        <f>ROW()</f>
        <v>136</v>
      </c>
    </row>
    <row r="137" spans="2:12" ht="15" customHeight="1">
      <c r="B137" s="4187"/>
      <c r="C137" s="4187"/>
      <c r="D137" s="4187"/>
      <c r="E137" s="4187"/>
      <c r="F137" s="4187"/>
      <c r="G137" s="4187"/>
      <c r="L137" s="150">
        <f>ROW()</f>
        <v>137</v>
      </c>
    </row>
    <row r="138" spans="2:12" ht="15" customHeight="1">
      <c r="B138" s="4187"/>
      <c r="C138" s="4187"/>
      <c r="D138" s="4187"/>
      <c r="E138" s="4187"/>
      <c r="F138" s="4187"/>
      <c r="G138" s="4187"/>
      <c r="L138" s="150">
        <f>ROW()</f>
        <v>138</v>
      </c>
    </row>
    <row r="139" spans="2:12" ht="15" customHeight="1">
      <c r="B139" s="4187"/>
      <c r="C139" s="4187"/>
      <c r="D139" s="4187"/>
      <c r="E139" s="4187"/>
      <c r="F139" s="4187"/>
      <c r="G139" s="4187"/>
      <c r="L139" s="150">
        <f>ROW()</f>
        <v>139</v>
      </c>
    </row>
    <row r="140" spans="2:12" ht="15" customHeight="1">
      <c r="B140" s="217"/>
      <c r="C140" s="217"/>
      <c r="D140" s="217"/>
      <c r="E140" s="217"/>
      <c r="F140" s="217"/>
      <c r="G140" s="217"/>
      <c r="L140" s="150">
        <f>ROW()</f>
        <v>140</v>
      </c>
    </row>
    <row r="141" spans="2:12" ht="15" customHeight="1">
      <c r="B141" s="322" t="s">
        <v>1326</v>
      </c>
      <c r="E141" s="8" t="s">
        <v>82</v>
      </c>
      <c r="F141" s="8" t="s">
        <v>83</v>
      </c>
      <c r="G141" s="8" t="s">
        <v>84</v>
      </c>
      <c r="H141" s="757" t="s">
        <v>2868</v>
      </c>
      <c r="I141" s="758"/>
      <c r="J141" s="759">
        <f>200/(3/4)</f>
        <v>266.66666666666669</v>
      </c>
      <c r="L141" s="150">
        <f>ROW()</f>
        <v>141</v>
      </c>
    </row>
    <row r="142" spans="2:12" ht="15" customHeight="1">
      <c r="B142" s="323" t="s">
        <v>2864</v>
      </c>
      <c r="E142" s="582">
        <f>11/16</f>
        <v>0.6875</v>
      </c>
      <c r="F142" s="582">
        <f>1/2</f>
        <v>0.5</v>
      </c>
      <c r="G142" s="582">
        <v>1</v>
      </c>
      <c r="H142" s="4365" t="s">
        <v>1843</v>
      </c>
      <c r="I142" s="4187"/>
      <c r="J142" s="4187"/>
      <c r="L142" s="150">
        <f>ROW()</f>
        <v>142</v>
      </c>
    </row>
    <row r="143" spans="2:12" ht="15" customHeight="1">
      <c r="B143" s="323" t="s">
        <v>2865</v>
      </c>
      <c r="E143" s="582">
        <f>F142</f>
        <v>0.5</v>
      </c>
      <c r="F143" s="582">
        <f>5/16</f>
        <v>0.3125</v>
      </c>
      <c r="G143" s="582">
        <v>1</v>
      </c>
      <c r="H143" s="4187"/>
      <c r="I143" s="4187"/>
      <c r="J143" s="4187"/>
      <c r="L143" s="150">
        <f>ROW()</f>
        <v>143</v>
      </c>
    </row>
    <row r="144" spans="2:12" ht="15" customHeight="1">
      <c r="B144" s="323" t="s">
        <v>2866</v>
      </c>
      <c r="E144" s="582">
        <f>F143</f>
        <v>0.3125</v>
      </c>
      <c r="F144" s="582">
        <f>6.5/16</f>
        <v>0.40625</v>
      </c>
      <c r="G144" s="582">
        <v>1</v>
      </c>
      <c r="H144" s="4187"/>
      <c r="I144" s="4187"/>
      <c r="J144" s="4187"/>
      <c r="L144" s="150">
        <f>ROW()</f>
        <v>144</v>
      </c>
    </row>
    <row r="145" spans="2:12" ht="15" customHeight="1">
      <c r="B145" s="323" t="s">
        <v>2867</v>
      </c>
      <c r="E145" s="582">
        <f>F144</f>
        <v>0.40625</v>
      </c>
      <c r="F145" s="582">
        <f>8.5/16</f>
        <v>0.53125</v>
      </c>
      <c r="G145" s="582">
        <v>1</v>
      </c>
      <c r="H145" s="4187"/>
      <c r="I145" s="4187"/>
      <c r="J145" s="4187"/>
      <c r="L145" s="150">
        <f>ROW()</f>
        <v>145</v>
      </c>
    </row>
    <row r="146" spans="2:12" ht="15" customHeight="1">
      <c r="B146" s="323" t="s">
        <v>6224</v>
      </c>
      <c r="E146" s="582">
        <f>F145</f>
        <v>0.53125</v>
      </c>
      <c r="F146" s="582">
        <f>12.5/16</f>
        <v>0.78125</v>
      </c>
      <c r="G146" s="582">
        <f>1+2.5/16</f>
        <v>1.15625</v>
      </c>
      <c r="H146" s="4187"/>
      <c r="I146" s="4187"/>
      <c r="J146" s="4187"/>
      <c r="L146" s="150">
        <f>ROW()</f>
        <v>146</v>
      </c>
    </row>
    <row r="147" spans="2:12" ht="15" customHeight="1">
      <c r="B147" s="322" t="s">
        <v>2364</v>
      </c>
      <c r="H147" s="217"/>
      <c r="I147" s="217"/>
      <c r="J147" s="217"/>
      <c r="L147" s="150">
        <f>ROW()</f>
        <v>147</v>
      </c>
    </row>
    <row r="148" spans="2:12" ht="15" customHeight="1">
      <c r="B148" s="323" t="s">
        <v>2864</v>
      </c>
      <c r="E148" s="187">
        <f t="shared" ref="E148:G152" si="2">E142*$J$141</f>
        <v>183.33333333333334</v>
      </c>
      <c r="F148" s="187">
        <f t="shared" si="2"/>
        <v>133.33333333333334</v>
      </c>
      <c r="G148" s="187">
        <f t="shared" si="2"/>
        <v>266.66666666666669</v>
      </c>
      <c r="H148" s="217"/>
      <c r="I148" s="217"/>
      <c r="J148" s="217"/>
      <c r="L148" s="150">
        <f>ROW()</f>
        <v>148</v>
      </c>
    </row>
    <row r="149" spans="2:12" ht="15" customHeight="1">
      <c r="B149" s="323" t="s">
        <v>2865</v>
      </c>
      <c r="E149" s="187">
        <f t="shared" si="2"/>
        <v>133.33333333333334</v>
      </c>
      <c r="F149" s="187">
        <f t="shared" si="2"/>
        <v>83.333333333333343</v>
      </c>
      <c r="G149" s="187">
        <f t="shared" si="2"/>
        <v>266.66666666666669</v>
      </c>
      <c r="H149" s="217"/>
      <c r="I149" s="823" t="s">
        <v>2849</v>
      </c>
      <c r="J149" s="796"/>
      <c r="K149" s="796"/>
      <c r="L149" s="150">
        <f>ROW()</f>
        <v>149</v>
      </c>
    </row>
    <row r="150" spans="2:12" ht="15" customHeight="1">
      <c r="B150" s="323" t="s">
        <v>2866</v>
      </c>
      <c r="E150" s="187">
        <f t="shared" si="2"/>
        <v>83.333333333333343</v>
      </c>
      <c r="F150" s="187">
        <f t="shared" si="2"/>
        <v>108.33333333333334</v>
      </c>
      <c r="G150" s="187">
        <f t="shared" si="2"/>
        <v>266.66666666666669</v>
      </c>
      <c r="H150" s="217"/>
      <c r="I150" s="1719" t="s">
        <v>2836</v>
      </c>
      <c r="J150" s="1720">
        <f>Constants!J10</f>
        <v>5280</v>
      </c>
      <c r="K150" s="796"/>
      <c r="L150" s="150">
        <f>ROW()</f>
        <v>150</v>
      </c>
    </row>
    <row r="151" spans="2:12" ht="15" customHeight="1">
      <c r="B151" s="323" t="s">
        <v>2867</v>
      </c>
      <c r="E151" s="187">
        <f t="shared" si="2"/>
        <v>108.33333333333334</v>
      </c>
      <c r="F151" s="187">
        <f t="shared" si="2"/>
        <v>141.66666666666669</v>
      </c>
      <c r="G151" s="187">
        <f t="shared" si="2"/>
        <v>266.66666666666669</v>
      </c>
      <c r="H151" s="217"/>
      <c r="I151" s="1719" t="s">
        <v>296</v>
      </c>
      <c r="J151" s="1721">
        <v>12</v>
      </c>
      <c r="K151" s="1389" t="s">
        <v>1901</v>
      </c>
      <c r="L151" s="150">
        <f>ROW()</f>
        <v>151</v>
      </c>
    </row>
    <row r="152" spans="2:12" ht="15" customHeight="1">
      <c r="B152" s="323" t="s">
        <v>6224</v>
      </c>
      <c r="E152" s="187">
        <f t="shared" si="2"/>
        <v>141.66666666666669</v>
      </c>
      <c r="F152" s="187">
        <f t="shared" si="2"/>
        <v>208.33333333333334</v>
      </c>
      <c r="G152" s="187">
        <f t="shared" si="2"/>
        <v>308.33333333333337</v>
      </c>
      <c r="H152" s="217"/>
      <c r="I152" s="1719" t="s">
        <v>297</v>
      </c>
      <c r="J152" s="1721">
        <v>11</v>
      </c>
      <c r="K152" s="1389" t="s">
        <v>1901</v>
      </c>
      <c r="L152" s="150">
        <f>ROW()</f>
        <v>152</v>
      </c>
    </row>
    <row r="153" spans="2:12" ht="15" customHeight="1">
      <c r="B153" s="323"/>
      <c r="E153" s="187"/>
      <c r="F153" s="187"/>
      <c r="G153" s="187"/>
      <c r="H153" s="217"/>
      <c r="I153" s="1719" t="s">
        <v>298</v>
      </c>
      <c r="J153" s="1722">
        <f>(J151*F184+J152*F177)/F187</f>
        <v>11.573359073359073</v>
      </c>
      <c r="K153" s="1389" t="s">
        <v>2413</v>
      </c>
      <c r="L153" s="150">
        <f>ROW()</f>
        <v>153</v>
      </c>
    </row>
    <row r="154" spans="2:12" ht="15" customHeight="1">
      <c r="B154" s="322" t="s">
        <v>2869</v>
      </c>
      <c r="E154" s="8" t="s">
        <v>2870</v>
      </c>
      <c r="F154" s="8" t="s">
        <v>2871</v>
      </c>
      <c r="I154" s="1719" t="s">
        <v>2835</v>
      </c>
      <c r="J154" s="1719">
        <v>1</v>
      </c>
      <c r="K154" s="796"/>
      <c r="L154" s="150">
        <f>ROW()</f>
        <v>154</v>
      </c>
    </row>
    <row r="155" spans="2:12" ht="15" customHeight="1">
      <c r="B155" s="323" t="s">
        <v>2864</v>
      </c>
      <c r="E155" s="1191">
        <f>AVERAGE(E148:F148)*G148</f>
        <v>42222.222222222226</v>
      </c>
      <c r="F155" s="162">
        <f>E155/Constants!$J$11</f>
        <v>0.96928884807672699</v>
      </c>
      <c r="I155" s="1719" t="s">
        <v>299</v>
      </c>
      <c r="J155" s="1723">
        <f>J153/J150</f>
        <v>2.191924066924067E-3</v>
      </c>
      <c r="K155" s="796"/>
      <c r="L155" s="150">
        <f>ROW()</f>
        <v>155</v>
      </c>
    </row>
    <row r="156" spans="2:12" ht="15" customHeight="1">
      <c r="B156" s="323" t="s">
        <v>2865</v>
      </c>
      <c r="E156" s="1191">
        <f>AVERAGE(E149:F149)*G149</f>
        <v>28888.888888888894</v>
      </c>
      <c r="F156" s="162">
        <f>E156/Constants!$J$11</f>
        <v>0.66319763289460276</v>
      </c>
      <c r="I156" s="1719" t="s">
        <v>300</v>
      </c>
      <c r="J156" s="1723">
        <f>J155*J154</f>
        <v>2.191924066924067E-3</v>
      </c>
      <c r="K156" s="796"/>
      <c r="L156" s="150">
        <f>ROW()</f>
        <v>156</v>
      </c>
    </row>
    <row r="157" spans="2:12" ht="15" customHeight="1">
      <c r="B157" s="323" t="s">
        <v>2866</v>
      </c>
      <c r="E157" s="1191">
        <f>AVERAGE(E150:F150)*G150</f>
        <v>25555.555555555558</v>
      </c>
      <c r="F157" s="162">
        <f>E157/Constants!$J$11</f>
        <v>0.58667482909907154</v>
      </c>
      <c r="I157" s="1719" t="s">
        <v>2837</v>
      </c>
      <c r="J157" s="1724">
        <f>Constants!J11</f>
        <v>43560</v>
      </c>
      <c r="K157" s="820" t="s">
        <v>108</v>
      </c>
      <c r="L157" s="150">
        <f>ROW()</f>
        <v>157</v>
      </c>
    </row>
    <row r="158" spans="2:12" ht="15" customHeight="1">
      <c r="B158" s="323" t="s">
        <v>2867</v>
      </c>
      <c r="E158" s="1191">
        <f>AVERAGE(E151:F151)*G151</f>
        <v>33333.333333333343</v>
      </c>
      <c r="F158" s="162">
        <f>E158/Constants!$J$11</f>
        <v>0.76522803795531091</v>
      </c>
      <c r="I158" s="1719" t="s">
        <v>2838</v>
      </c>
      <c r="J158" s="1720">
        <f>J150^2</f>
        <v>27878400</v>
      </c>
      <c r="L158" s="150">
        <f>ROW()</f>
        <v>158</v>
      </c>
    </row>
    <row r="159" spans="2:12" ht="15" customHeight="1">
      <c r="B159" s="323" t="s">
        <v>6224</v>
      </c>
      <c r="E159" s="1191">
        <f>AVERAGE(E152:F152)*G152</f>
        <v>53958.333333333343</v>
      </c>
      <c r="F159" s="162">
        <f>E159/Constants!$J$11</f>
        <v>1.2387128864401593</v>
      </c>
      <c r="I159" s="1719" t="s">
        <v>107</v>
      </c>
      <c r="J159" s="1723">
        <f>J157/J158</f>
        <v>1.5625000000000001E-3</v>
      </c>
      <c r="L159" s="150">
        <f>ROW()</f>
        <v>159</v>
      </c>
    </row>
    <row r="160" spans="2:12" ht="15" customHeight="1">
      <c r="B160" s="322" t="s">
        <v>1751</v>
      </c>
      <c r="E160" s="1191">
        <f>SUM(E155:E159)</f>
        <v>183958.33333333337</v>
      </c>
      <c r="F160" s="163">
        <f>SUM(F155:F159)</f>
        <v>4.2231022344658715</v>
      </c>
      <c r="I160" s="1719" t="s">
        <v>301</v>
      </c>
      <c r="J160" s="1725">
        <f>J156/J159</f>
        <v>1.4028314028314028</v>
      </c>
      <c r="L160" s="150">
        <f>ROW()</f>
        <v>160</v>
      </c>
    </row>
    <row r="161" spans="2:12" ht="15" customHeight="1">
      <c r="B161" s="760" t="s">
        <v>2921</v>
      </c>
      <c r="C161" s="758"/>
      <c r="D161" s="758"/>
      <c r="E161" s="758"/>
      <c r="F161" s="761">
        <f>F160/F189</f>
        <v>3.325277349973127E-3</v>
      </c>
      <c r="L161" s="150">
        <f>ROW()</f>
        <v>161</v>
      </c>
    </row>
    <row r="162" spans="2:12" ht="15" customHeight="1">
      <c r="B162" s="309" t="s">
        <v>1750</v>
      </c>
      <c r="C162" s="6"/>
      <c r="D162" s="163"/>
      <c r="E162" s="6"/>
      <c r="F162" s="6"/>
      <c r="G162" s="6"/>
      <c r="H162" s="122"/>
      <c r="L162" s="150">
        <f>ROW()</f>
        <v>162</v>
      </c>
    </row>
    <row r="163" spans="2:12" ht="15" customHeight="1">
      <c r="B163" s="309"/>
      <c r="C163" s="6"/>
      <c r="D163" s="163"/>
      <c r="E163" s="6"/>
      <c r="F163" s="6"/>
      <c r="G163" s="6"/>
      <c r="H163" s="122"/>
      <c r="L163" s="150">
        <f>ROW()</f>
        <v>163</v>
      </c>
    </row>
    <row r="164" spans="2:12" ht="15" customHeight="1">
      <c r="B164" s="3583" t="s">
        <v>6351</v>
      </c>
      <c r="C164" s="758"/>
      <c r="D164" s="758"/>
      <c r="E164" s="758"/>
      <c r="F164" s="761">
        <f>1/F187</f>
        <v>1.1031439602868175E-3</v>
      </c>
      <c r="G164" s="6"/>
      <c r="H164" s="122"/>
      <c r="L164" s="150">
        <f>ROW()</f>
        <v>164</v>
      </c>
    </row>
    <row r="165" spans="2:12" ht="15" customHeight="1">
      <c r="B165" s="309" t="str">
        <f>CONCATENATE("Reciprocal of figure in Row ",L187, ".")</f>
        <v>Reciprocal of figure in Row 187.</v>
      </c>
      <c r="C165" s="158"/>
      <c r="D165" s="158"/>
      <c r="E165" s="158"/>
      <c r="F165" s="3584"/>
      <c r="G165" s="6"/>
      <c r="H165" s="122"/>
      <c r="L165" s="150">
        <f>ROW()</f>
        <v>165</v>
      </c>
    </row>
    <row r="166" spans="2:12" ht="15" customHeight="1">
      <c r="B166" s="6"/>
      <c r="C166" s="6"/>
      <c r="D166" s="163"/>
      <c r="E166" s="6"/>
      <c r="F166" s="6"/>
      <c r="G166" s="6"/>
      <c r="H166" s="122"/>
      <c r="L166" s="150">
        <f>ROW()</f>
        <v>166</v>
      </c>
    </row>
    <row r="167" spans="2:12" ht="15" customHeight="1">
      <c r="B167" s="24" t="s">
        <v>628</v>
      </c>
      <c r="L167" s="150">
        <f>ROW()</f>
        <v>167</v>
      </c>
    </row>
    <row r="168" spans="2:12" ht="15" customHeight="1">
      <c r="L168" s="150">
        <f>ROW()</f>
        <v>168</v>
      </c>
    </row>
    <row r="169" spans="2:12" ht="15" customHeight="1">
      <c r="B169" s="308" t="s">
        <v>1933</v>
      </c>
      <c r="L169" s="150">
        <f>ROW()</f>
        <v>169</v>
      </c>
    </row>
    <row r="170" spans="2:12" ht="15" customHeight="1">
      <c r="F170" s="8"/>
      <c r="H170" s="8"/>
      <c r="L170" s="150">
        <f>ROW()</f>
        <v>170</v>
      </c>
    </row>
    <row r="171" spans="2:12" ht="15" customHeight="1">
      <c r="B171" s="308" t="s">
        <v>1897</v>
      </c>
      <c r="G171" s="20" t="s">
        <v>1899</v>
      </c>
      <c r="L171" s="150">
        <f>ROW()</f>
        <v>171</v>
      </c>
    </row>
    <row r="172" spans="2:12" ht="15" customHeight="1">
      <c r="B172" s="280" t="s">
        <v>1900</v>
      </c>
      <c r="F172" s="255">
        <v>5</v>
      </c>
      <c r="G172" s="255" t="s">
        <v>1901</v>
      </c>
      <c r="H172" s="18" t="s">
        <v>1902</v>
      </c>
      <c r="L172" s="150">
        <f>ROW()</f>
        <v>172</v>
      </c>
    </row>
    <row r="173" spans="2:12" ht="15" customHeight="1">
      <c r="B173" s="280" t="s">
        <v>2828</v>
      </c>
      <c r="F173" s="255">
        <v>91</v>
      </c>
      <c r="G173" s="255" t="s">
        <v>1903</v>
      </c>
      <c r="L173" s="150">
        <f>ROW()</f>
        <v>173</v>
      </c>
    </row>
    <row r="174" spans="2:12" ht="15" customHeight="1">
      <c r="B174" s="280" t="s">
        <v>2829</v>
      </c>
      <c r="F174" s="255">
        <v>15</v>
      </c>
      <c r="G174" s="255" t="s">
        <v>1903</v>
      </c>
      <c r="L174" s="150">
        <f>ROW()</f>
        <v>174</v>
      </c>
    </row>
    <row r="175" spans="2:12" ht="15" customHeight="1">
      <c r="B175" s="280" t="s">
        <v>1898</v>
      </c>
      <c r="F175" s="254">
        <f>F173/F174</f>
        <v>6.0666666666666664</v>
      </c>
      <c r="G175" s="255" t="s">
        <v>1903</v>
      </c>
      <c r="L175" s="150">
        <f>ROW()</f>
        <v>175</v>
      </c>
    </row>
    <row r="176" spans="2:12" ht="15" customHeight="1">
      <c r="B176" s="280" t="s">
        <v>2827</v>
      </c>
      <c r="F176" s="254">
        <f>F175*0.85</f>
        <v>5.1566666666666663</v>
      </c>
      <c r="G176" s="255" t="s">
        <v>1901</v>
      </c>
      <c r="H176" s="18" t="s">
        <v>2118</v>
      </c>
      <c r="L176" s="150">
        <f>ROW()</f>
        <v>176</v>
      </c>
    </row>
    <row r="177" spans="1:12" ht="15" customHeight="1">
      <c r="B177" s="308" t="s">
        <v>2580</v>
      </c>
      <c r="F177" s="1672">
        <f>F174*F176*F172</f>
        <v>386.75</v>
      </c>
      <c r="G177" s="175"/>
      <c r="L177" s="150">
        <f>ROW()</f>
        <v>177</v>
      </c>
    </row>
    <row r="178" spans="1:12" ht="15" customHeight="1">
      <c r="B178" s="280" t="s">
        <v>2280</v>
      </c>
      <c r="F178" s="286">
        <f>F177/F176</f>
        <v>75</v>
      </c>
      <c r="G178" s="175"/>
      <c r="L178" s="150">
        <f>ROW()</f>
        <v>178</v>
      </c>
    </row>
    <row r="179" spans="1:12" ht="15" customHeight="1">
      <c r="B179" s="18"/>
      <c r="G179" s="175"/>
      <c r="L179" s="150">
        <f>ROW()</f>
        <v>179</v>
      </c>
    </row>
    <row r="180" spans="1:12" ht="15" customHeight="1">
      <c r="B180" s="308" t="s">
        <v>1896</v>
      </c>
      <c r="G180" s="175"/>
      <c r="L180" s="150">
        <f>ROW()</f>
        <v>180</v>
      </c>
    </row>
    <row r="181" spans="1:12" ht="15" customHeight="1">
      <c r="B181" s="280" t="s">
        <v>2581</v>
      </c>
      <c r="F181" s="255">
        <v>165</v>
      </c>
      <c r="G181" s="350" t="s">
        <v>1903</v>
      </c>
      <c r="L181" s="150">
        <f>ROW()</f>
        <v>181</v>
      </c>
    </row>
    <row r="182" spans="1:12" ht="15" customHeight="1">
      <c r="B182" s="280" t="s">
        <v>2582</v>
      </c>
      <c r="F182" s="255">
        <v>3.5</v>
      </c>
      <c r="G182" s="350" t="s">
        <v>1903</v>
      </c>
      <c r="L182" s="150">
        <f>ROW()</f>
        <v>182</v>
      </c>
    </row>
    <row r="183" spans="1:12" ht="15" customHeight="1">
      <c r="B183" s="280" t="s">
        <v>2583</v>
      </c>
      <c r="F183" s="255">
        <f>F182*0.9</f>
        <v>3.15</v>
      </c>
      <c r="G183" s="350" t="s">
        <v>1901</v>
      </c>
      <c r="H183" s="18" t="s">
        <v>2579</v>
      </c>
      <c r="L183" s="150">
        <f>ROW()</f>
        <v>183</v>
      </c>
    </row>
    <row r="184" spans="1:12" ht="15" customHeight="1">
      <c r="B184" s="308" t="s">
        <v>2580</v>
      </c>
      <c r="F184" s="1672">
        <f>F181*F183</f>
        <v>519.75</v>
      </c>
      <c r="L184" s="150">
        <f>ROW()</f>
        <v>184</v>
      </c>
    </row>
    <row r="185" spans="1:12" ht="15" customHeight="1">
      <c r="B185" s="280" t="s">
        <v>2281</v>
      </c>
      <c r="F185" s="286">
        <f>F184/F183</f>
        <v>165</v>
      </c>
      <c r="L185" s="150">
        <f>ROW()</f>
        <v>185</v>
      </c>
    </row>
    <row r="186" spans="1:12" ht="15" customHeight="1">
      <c r="B186" s="280"/>
      <c r="L186" s="150">
        <f>ROW()</f>
        <v>186</v>
      </c>
    </row>
    <row r="187" spans="1:12" ht="15" customHeight="1">
      <c r="B187" s="1671" t="s">
        <v>2371</v>
      </c>
      <c r="C187" s="796"/>
      <c r="D187" s="796"/>
      <c r="E187" s="796"/>
      <c r="F187" s="1673">
        <f>F184+F177</f>
        <v>906.5</v>
      </c>
      <c r="L187" s="150">
        <f>ROW()</f>
        <v>187</v>
      </c>
    </row>
    <row r="188" spans="1:12" ht="15" customHeight="1">
      <c r="B188" s="1671" t="s">
        <v>2372</v>
      </c>
      <c r="C188" s="796"/>
      <c r="D188" s="796"/>
      <c r="E188" s="796"/>
      <c r="F188" s="821">
        <f>F187*J160</f>
        <v>1271.6666666666667</v>
      </c>
      <c r="L188" s="150">
        <f>ROW()</f>
        <v>188</v>
      </c>
    </row>
    <row r="189" spans="1:12" s="6" customFormat="1" ht="15" customHeight="1">
      <c r="B189" s="822" t="s">
        <v>2370</v>
      </c>
      <c r="C189" s="802"/>
      <c r="D189" s="802"/>
      <c r="E189" s="802"/>
      <c r="F189" s="1673">
        <f>ROUND(F188,-1)</f>
        <v>1270</v>
      </c>
      <c r="L189" s="150">
        <f>ROW()</f>
        <v>189</v>
      </c>
    </row>
    <row r="190" spans="1:12" s="6" customFormat="1" ht="15" customHeight="1">
      <c r="A190"/>
      <c r="B190"/>
      <c r="C190"/>
      <c r="D190"/>
      <c r="E190"/>
      <c r="F190"/>
      <c r="G190"/>
      <c r="H190"/>
      <c r="I190"/>
      <c r="L190" s="150">
        <f>ROW()</f>
        <v>190</v>
      </c>
    </row>
    <row r="191" spans="1:12" s="6" customFormat="1" ht="15" customHeight="1">
      <c r="A191"/>
      <c r="B191" s="24" t="s">
        <v>6093</v>
      </c>
      <c r="C191"/>
      <c r="D191"/>
      <c r="E191"/>
      <c r="F191"/>
      <c r="G191"/>
      <c r="H191"/>
      <c r="I191"/>
      <c r="L191" s="150">
        <f>ROW()</f>
        <v>191</v>
      </c>
    </row>
    <row r="192" spans="1:12" s="6" customFormat="1" ht="15" customHeight="1">
      <c r="A192"/>
      <c r="B192"/>
      <c r="C192"/>
      <c r="D192"/>
      <c r="E192"/>
      <c r="F192"/>
      <c r="G192"/>
      <c r="H192"/>
      <c r="I192"/>
      <c r="L192" s="150">
        <f>ROW()</f>
        <v>192</v>
      </c>
    </row>
    <row r="193" spans="1:14" s="657" customFormat="1" ht="15" customHeight="1">
      <c r="A193"/>
      <c r="B193"/>
      <c r="C193"/>
      <c r="D193"/>
      <c r="E193" s="308" t="s">
        <v>1463</v>
      </c>
      <c r="F193" s="172" t="s">
        <v>2106</v>
      </c>
      <c r="G193" s="6" t="s">
        <v>2378</v>
      </c>
      <c r="H193" s="2087" t="s">
        <v>5717</v>
      </c>
      <c r="I193" s="172" t="s">
        <v>2711</v>
      </c>
      <c r="J193" s="172" t="s">
        <v>2712</v>
      </c>
      <c r="L193" s="150">
        <f>ROW()</f>
        <v>193</v>
      </c>
    </row>
    <row r="194" spans="1:14" ht="15" customHeight="1">
      <c r="A194"/>
      <c r="B194" s="280" t="s">
        <v>2104</v>
      </c>
      <c r="C194"/>
      <c r="D194"/>
      <c r="E194" s="1531">
        <f>'Motor Vs'!N147</f>
        <v>3434067.8375425739</v>
      </c>
      <c r="F194"/>
      <c r="G194" s="1531">
        <f ca="1">'Motor Vs'!N883</f>
        <v>3192349.0669593248</v>
      </c>
      <c r="H194" s="3263"/>
      <c r="I194" s="517">
        <f ca="1">G194/E194-1</f>
        <v>-7.0388466978050013E-2</v>
      </c>
      <c r="J194" s="1530">
        <f ca="1">G194-E194</f>
        <v>-241718.77058324916</v>
      </c>
      <c r="L194" s="150">
        <f>ROW()</f>
        <v>194</v>
      </c>
    </row>
    <row r="195" spans="1:14" ht="15" customHeight="1">
      <c r="A195"/>
      <c r="B195" s="280" t="s">
        <v>2105</v>
      </c>
      <c r="C195"/>
      <c r="D195"/>
      <c r="E195" s="1531">
        <f>'Motor Vs'!N143</f>
        <v>1414400.4106419892</v>
      </c>
      <c r="F195" s="517">
        <f>E195/E$194</f>
        <v>0.41187317128077966</v>
      </c>
      <c r="G195" s="1531">
        <f ca="1">'Motor Vs'!N888</f>
        <v>1441957.2379045459</v>
      </c>
      <c r="H195" s="517">
        <f ca="1">G195/G$194</f>
        <v>0.45169159376358342</v>
      </c>
      <c r="I195" s="517">
        <f ca="1">G195/E195-1</f>
        <v>1.9483045292703727E-2</v>
      </c>
      <c r="J195" s="1530">
        <f ca="1">G195-E195</f>
        <v>27556.827262556646</v>
      </c>
      <c r="L195" s="150">
        <f>ROW()</f>
        <v>195</v>
      </c>
    </row>
    <row r="196" spans="1:14" ht="15" customHeight="1">
      <c r="A196"/>
      <c r="B196" s="312" t="s">
        <v>5716</v>
      </c>
      <c r="C196"/>
      <c r="D196"/>
      <c r="E196" s="1531">
        <f>'Motor Vs'!AX147</f>
        <v>1414561.5384615385</v>
      </c>
      <c r="F196" s="517">
        <f>E196/E$194</f>
        <v>0.41192009167582483</v>
      </c>
      <c r="G196" s="1531">
        <f ca="1">'Motor Vs'!AX883</f>
        <v>1478865.0532994836</v>
      </c>
      <c r="H196" s="517">
        <f ca="1">G196/G$194</f>
        <v>0.46325292826078235</v>
      </c>
      <c r="I196" s="517">
        <f ca="1">G196/E196-1</f>
        <v>4.5458266105468104E-2</v>
      </c>
      <c r="J196" s="1530">
        <f ca="1">G196-E196</f>
        <v>64303.514837945113</v>
      </c>
      <c r="L196" s="150">
        <f>ROW()</f>
        <v>196</v>
      </c>
      <c r="N196" s="796"/>
    </row>
    <row r="197" spans="1:14" ht="15" customHeight="1">
      <c r="A197"/>
      <c r="B197" s="280" t="s">
        <v>2713</v>
      </c>
      <c r="C197"/>
      <c r="D197"/>
      <c r="E197" s="1531">
        <f>E194-E195</f>
        <v>2019667.4269005847</v>
      </c>
      <c r="F197" s="517">
        <f>E197/E$194</f>
        <v>0.58812682871922028</v>
      </c>
      <c r="G197" s="1531">
        <f ca="1">G194-G195</f>
        <v>1750391.8290547789</v>
      </c>
      <c r="H197" s="517">
        <f ca="1">G197/G$194</f>
        <v>0.54830840623641663</v>
      </c>
      <c r="I197" s="517">
        <f ca="1">G197/E197-1</f>
        <v>-0.13332670233684984</v>
      </c>
      <c r="J197" s="1530">
        <f ca="1">G197-E197</f>
        <v>-269275.59784580581</v>
      </c>
      <c r="L197" s="150">
        <f>ROW()</f>
        <v>197</v>
      </c>
      <c r="N197" s="796"/>
    </row>
    <row r="198" spans="1:14" ht="15" customHeight="1">
      <c r="A198"/>
      <c r="B198"/>
      <c r="C198"/>
      <c r="D198"/>
      <c r="E198"/>
      <c r="F198"/>
      <c r="G198"/>
      <c r="H198"/>
      <c r="I198"/>
      <c r="L198" s="150">
        <f>ROW()</f>
        <v>198</v>
      </c>
      <c r="N198" s="796"/>
    </row>
    <row r="199" spans="1:14" ht="15" customHeight="1">
      <c r="L199" s="150"/>
    </row>
  </sheetData>
  <customSheetViews>
    <customSheetView guid="{BD5E6263-A0AD-4076-921A-D4EBD62848EF}" showGridLines="0" showRuler="0" topLeftCell="A74">
      <selection activeCell="H111" sqref="H111"/>
      <pageMargins left="0.75" right="0.75" top="1" bottom="1" header="0.5" footer="0.5"/>
      <pageSetup orientation="portrait" verticalDpi="1200" r:id="rId1"/>
      <headerFooter alignWithMargins="0"/>
    </customSheetView>
    <customSheetView guid="{1D5AE30A-CA7C-4B32-AEA4-9F37A560AAA8}" showGridLines="0" showRuler="0" topLeftCell="A74">
      <selection activeCell="H111" sqref="H111"/>
      <pageMargins left="0.75" right="0.75" top="1" bottom="1" header="0.5" footer="0.5"/>
      <pageSetup orientation="portrait" verticalDpi="1200" r:id="rId2"/>
      <headerFooter alignWithMargins="0"/>
    </customSheetView>
  </customSheetViews>
  <mergeCells count="12">
    <mergeCell ref="H142:J146"/>
    <mergeCell ref="B136:G139"/>
    <mergeCell ref="B4:H6"/>
    <mergeCell ref="B84:H87"/>
    <mergeCell ref="H128:J128"/>
    <mergeCell ref="B68:H69"/>
    <mergeCell ref="B61:H62"/>
    <mergeCell ref="B102:H103"/>
    <mergeCell ref="B132:G134"/>
    <mergeCell ref="B14:H18"/>
    <mergeCell ref="B75:H76"/>
    <mergeCell ref="B122:H123"/>
  </mergeCells>
  <phoneticPr fontId="6" type="noConversion"/>
  <pageMargins left="0.75" right="0.75" top="1" bottom="1" header="0.5" footer="0.5"/>
  <pageSetup orientation="portrait" verticalDpi="1200" r:id="rId3"/>
  <headerFooter alignWithMargins="0"/>
  <drawing r:id="rId4"/>
</worksheet>
</file>

<file path=xl/worksheets/sheet40.xml><?xml version="1.0" encoding="utf-8"?>
<worksheet xmlns="http://schemas.openxmlformats.org/spreadsheetml/2006/main" xmlns:r="http://schemas.openxmlformats.org/officeDocument/2006/relationships">
  <sheetPr codeName="Sheet10"/>
  <dimension ref="B1:AG369"/>
  <sheetViews>
    <sheetView showRuler="0" workbookViewId="0"/>
  </sheetViews>
  <sheetFormatPr defaultColWidth="9.125" defaultRowHeight="11.4"/>
  <cols>
    <col min="1" max="1" width="2.75" style="86" customWidth="1"/>
    <col min="2" max="2" width="9.125" style="86" customWidth="1"/>
    <col min="3" max="3" width="10.375" style="86" bestFit="1" customWidth="1"/>
    <col min="4" max="4" width="10.875" style="86" customWidth="1"/>
    <col min="5" max="6" width="10.125" style="86" customWidth="1"/>
    <col min="7" max="13" width="11.625" style="86" customWidth="1"/>
    <col min="14" max="14" width="11.625" style="965" customWidth="1"/>
    <col min="15" max="15" width="5.125" style="86" customWidth="1"/>
    <col min="16" max="23" width="11.625" style="86" customWidth="1"/>
    <col min="24" max="24" width="5.125" style="86" customWidth="1"/>
    <col min="25" max="29" width="13.375" style="86" customWidth="1"/>
    <col min="30" max="30" width="11.375" style="86" bestFit="1" customWidth="1"/>
    <col min="31" max="32" width="9.125" style="86" customWidth="1"/>
    <col min="33" max="33" width="2.875" style="86" customWidth="1"/>
    <col min="34" max="16384" width="9.125" style="86"/>
  </cols>
  <sheetData>
    <row r="1" spans="2:33">
      <c r="AG1" s="1019">
        <f>ROW()</f>
        <v>1</v>
      </c>
    </row>
    <row r="2" spans="2:33" ht="13.8">
      <c r="B2" s="1281" t="s">
        <v>2279</v>
      </c>
      <c r="J2" s="1007">
        <f>'Title Page'!K1</f>
        <v>40914</v>
      </c>
      <c r="N2" s="89"/>
      <c r="AG2" s="1019">
        <f>ROW()</f>
        <v>2</v>
      </c>
    </row>
    <row r="3" spans="2:33" ht="13.2">
      <c r="B3" s="1006"/>
      <c r="J3" s="1007"/>
      <c r="N3" s="89"/>
      <c r="AG3" s="1019">
        <f>ROW()</f>
        <v>3</v>
      </c>
    </row>
    <row r="4" spans="2:33">
      <c r="AG4" s="1019">
        <f>ROW()</f>
        <v>4</v>
      </c>
    </row>
    <row r="5" spans="2:33" ht="11.7" customHeight="1">
      <c r="B5" s="5110" t="s">
        <v>382</v>
      </c>
      <c r="C5" s="3810"/>
      <c r="D5" s="3810"/>
      <c r="E5" s="3810"/>
      <c r="F5" s="3810"/>
      <c r="G5" s="3810"/>
      <c r="H5" s="3810"/>
      <c r="I5" s="3810"/>
      <c r="J5" s="3810"/>
      <c r="K5" s="1002"/>
      <c r="L5" s="812" t="s">
        <v>1226</v>
      </c>
      <c r="N5" s="89"/>
      <c r="Q5"/>
      <c r="R5"/>
      <c r="S5"/>
      <c r="T5" s="8" t="s">
        <v>1224</v>
      </c>
      <c r="U5" s="8" t="s">
        <v>1225</v>
      </c>
      <c r="AG5" s="1019">
        <f>ROW()</f>
        <v>5</v>
      </c>
    </row>
    <row r="6" spans="2:33">
      <c r="B6" s="3810"/>
      <c r="C6" s="3810"/>
      <c r="D6" s="3810"/>
      <c r="E6" s="3810"/>
      <c r="F6" s="3810"/>
      <c r="G6" s="3810"/>
      <c r="H6" s="3810"/>
      <c r="I6" s="3810"/>
      <c r="J6" s="3810"/>
      <c r="K6" s="1002"/>
      <c r="L6" s="275" t="s">
        <v>2277</v>
      </c>
      <c r="N6" s="89"/>
      <c r="P6"/>
      <c r="R6" s="1029"/>
      <c r="S6" s="1029"/>
      <c r="T6">
        <v>20.8</v>
      </c>
      <c r="U6" s="824">
        <f>$T$6/T6</f>
        <v>1</v>
      </c>
      <c r="AG6" s="1019">
        <f>ROW()</f>
        <v>6</v>
      </c>
    </row>
    <row r="7" spans="2:33">
      <c r="B7" s="3810"/>
      <c r="C7" s="3810"/>
      <c r="D7" s="3810"/>
      <c r="E7" s="3810"/>
      <c r="F7" s="3810"/>
      <c r="G7" s="3810"/>
      <c r="H7" s="3810"/>
      <c r="I7" s="3810"/>
      <c r="J7" s="3810"/>
      <c r="K7" s="1002"/>
      <c r="L7" s="494" t="s">
        <v>1220</v>
      </c>
      <c r="N7" s="89"/>
      <c r="R7" s="1029"/>
      <c r="S7" s="1029"/>
      <c r="U7" s="1029"/>
      <c r="AG7" s="1019">
        <f>ROW()</f>
        <v>7</v>
      </c>
    </row>
    <row r="8" spans="2:33">
      <c r="B8" s="3810"/>
      <c r="C8" s="3810"/>
      <c r="D8" s="3810"/>
      <c r="E8" s="3810"/>
      <c r="F8" s="3810"/>
      <c r="G8" s="3810"/>
      <c r="H8" s="3810"/>
      <c r="I8" s="3810"/>
      <c r="J8" s="3810"/>
      <c r="K8" s="1001"/>
      <c r="L8" s="275" t="s">
        <v>1221</v>
      </c>
      <c r="N8" s="89"/>
      <c r="T8" s="21">
        <v>8</v>
      </c>
      <c r="U8" s="824">
        <f>$T$6/T8</f>
        <v>2.6</v>
      </c>
      <c r="AG8" s="1019">
        <f>ROW()</f>
        <v>8</v>
      </c>
    </row>
    <row r="9" spans="2:33">
      <c r="B9" s="1001"/>
      <c r="C9" s="1001"/>
      <c r="D9" s="1001"/>
      <c r="E9" s="1001"/>
      <c r="F9" s="1001"/>
      <c r="G9" s="1001"/>
      <c r="H9" s="1001"/>
      <c r="I9" s="1001"/>
      <c r="J9" s="1001"/>
      <c r="K9" s="1001"/>
      <c r="L9" s="494" t="s">
        <v>1222</v>
      </c>
      <c r="N9" s="89"/>
      <c r="AG9" s="1019">
        <f>ROW()</f>
        <v>9</v>
      </c>
    </row>
    <row r="10" spans="2:33">
      <c r="B10" s="5111" t="s">
        <v>1725</v>
      </c>
      <c r="C10" s="5026"/>
      <c r="D10" s="5026"/>
      <c r="E10" s="5026"/>
      <c r="F10" s="5026"/>
      <c r="G10" s="5026"/>
      <c r="H10" s="5026"/>
      <c r="I10" s="5026"/>
      <c r="J10" s="5026"/>
      <c r="K10" s="1001"/>
      <c r="L10" s="275" t="s">
        <v>2278</v>
      </c>
      <c r="N10" s="89"/>
      <c r="T10" s="86">
        <v>6.1</v>
      </c>
      <c r="U10" s="824">
        <f>$T$6/T10</f>
        <v>3.4098360655737707</v>
      </c>
      <c r="AG10" s="1019">
        <f>ROW()</f>
        <v>10</v>
      </c>
    </row>
    <row r="11" spans="2:33">
      <c r="B11" s="5026"/>
      <c r="C11" s="5026"/>
      <c r="D11" s="5026"/>
      <c r="E11" s="5026"/>
      <c r="F11" s="5026"/>
      <c r="G11" s="5026"/>
      <c r="H11" s="5026"/>
      <c r="I11" s="5026"/>
      <c r="J11" s="5026"/>
      <c r="K11" s="1001"/>
      <c r="L11" s="494" t="s">
        <v>1223</v>
      </c>
      <c r="N11" s="89"/>
      <c r="AG11" s="1019">
        <f>ROW()</f>
        <v>11</v>
      </c>
    </row>
    <row r="12" spans="2:33">
      <c r="B12" s="5026"/>
      <c r="C12" s="5026"/>
      <c r="D12" s="5026"/>
      <c r="E12" s="5026"/>
      <c r="F12" s="5026"/>
      <c r="G12" s="5026"/>
      <c r="H12" s="5026"/>
      <c r="I12" s="5026"/>
      <c r="J12" s="5026"/>
      <c r="K12" s="1001"/>
      <c r="N12" s="89"/>
      <c r="AG12" s="1019">
        <f>ROW()</f>
        <v>12</v>
      </c>
    </row>
    <row r="13" spans="2:33" ht="12">
      <c r="B13" s="5026"/>
      <c r="C13" s="5026"/>
      <c r="D13" s="5026"/>
      <c r="E13" s="5026"/>
      <c r="F13" s="5026"/>
      <c r="G13" s="5026"/>
      <c r="H13" s="5026"/>
      <c r="I13" s="5026"/>
      <c r="J13" s="5026"/>
      <c r="K13" s="1001"/>
      <c r="L13" s="2078" t="s">
        <v>3918</v>
      </c>
      <c r="N13" s="89"/>
      <c r="Q13" s="1009"/>
      <c r="T13" s="1162">
        <f>U15</f>
        <v>1.1990049751243781</v>
      </c>
      <c r="U13" s="1136"/>
      <c r="AG13" s="1019">
        <f>ROW()</f>
        <v>13</v>
      </c>
    </row>
    <row r="14" spans="2:33">
      <c r="B14" s="5026"/>
      <c r="C14" s="5026"/>
      <c r="D14" s="5026"/>
      <c r="E14" s="5026"/>
      <c r="F14" s="5026"/>
      <c r="G14" s="5026"/>
      <c r="H14" s="5026"/>
      <c r="I14" s="5026"/>
      <c r="J14" s="5026"/>
      <c r="K14" s="1001"/>
      <c r="L14" s="815" t="s">
        <v>472</v>
      </c>
      <c r="N14" s="89"/>
      <c r="Q14" s="1009"/>
      <c r="T14" s="89">
        <v>24.1</v>
      </c>
      <c r="U14" s="1136"/>
      <c r="AG14" s="1019">
        <f>ROW()</f>
        <v>14</v>
      </c>
    </row>
    <row r="15" spans="2:33">
      <c r="K15" s="1001"/>
      <c r="L15" s="815" t="s">
        <v>473</v>
      </c>
      <c r="N15" s="89"/>
      <c r="Q15" s="1009"/>
      <c r="T15" s="89">
        <v>20.100000000000001</v>
      </c>
      <c r="U15" s="1005">
        <f>T14/T15</f>
        <v>1.1990049751243781</v>
      </c>
      <c r="AG15" s="1019">
        <f>ROW()</f>
        <v>15</v>
      </c>
    </row>
    <row r="16" spans="2:33">
      <c r="B16" s="5110" t="s">
        <v>1811</v>
      </c>
      <c r="C16" s="3810"/>
      <c r="D16" s="3810"/>
      <c r="E16" s="3810"/>
      <c r="F16" s="3810"/>
      <c r="G16" s="3810"/>
      <c r="H16" s="3810"/>
      <c r="I16" s="3810"/>
      <c r="J16" s="3810"/>
      <c r="K16" s="1001"/>
      <c r="L16" s="494" t="s">
        <v>1220</v>
      </c>
      <c r="N16" s="89"/>
      <c r="Q16" s="1009"/>
      <c r="T16" s="1009"/>
      <c r="U16" s="1136"/>
      <c r="AG16" s="1019">
        <f>ROW()</f>
        <v>16</v>
      </c>
    </row>
    <row r="17" spans="2:33">
      <c r="B17" s="3810"/>
      <c r="C17" s="3810"/>
      <c r="D17" s="3810"/>
      <c r="E17" s="3810"/>
      <c r="F17" s="3810"/>
      <c r="G17" s="3810"/>
      <c r="H17" s="3810"/>
      <c r="I17" s="3810"/>
      <c r="J17" s="3810"/>
      <c r="K17" s="1001"/>
      <c r="L17" s="1161" t="s">
        <v>471</v>
      </c>
      <c r="N17" s="89"/>
      <c r="Q17" s="1009"/>
      <c r="T17" s="1009"/>
      <c r="U17" s="1136"/>
      <c r="AG17" s="1019">
        <f>ROW()</f>
        <v>17</v>
      </c>
    </row>
    <row r="18" spans="2:33" ht="12">
      <c r="B18" s="3810"/>
      <c r="C18" s="3810"/>
      <c r="D18" s="3810"/>
      <c r="E18" s="3810"/>
      <c r="F18" s="3810"/>
      <c r="G18" s="3810"/>
      <c r="H18" s="3810"/>
      <c r="I18" s="3810"/>
      <c r="J18" s="3810"/>
      <c r="K18" s="1001"/>
      <c r="L18" s="812"/>
      <c r="N18" s="89"/>
      <c r="Q18" s="1009"/>
      <c r="T18" s="1009"/>
      <c r="U18" s="1136"/>
      <c r="AG18" s="1019">
        <f>ROW()</f>
        <v>18</v>
      </c>
    </row>
    <row r="19" spans="2:33">
      <c r="B19" s="3810"/>
      <c r="C19" s="3810"/>
      <c r="D19" s="3810"/>
      <c r="E19" s="3810"/>
      <c r="F19" s="3810"/>
      <c r="G19" s="3810"/>
      <c r="H19" s="3810"/>
      <c r="I19" s="3810"/>
      <c r="J19" s="3810"/>
      <c r="K19" s="1001"/>
      <c r="N19" s="89"/>
      <c r="AG19" s="1019">
        <f>ROW()</f>
        <v>19</v>
      </c>
    </row>
    <row r="20" spans="2:33">
      <c r="K20" s="1001"/>
      <c r="N20" s="89"/>
      <c r="AG20" s="1019">
        <f>ROW()</f>
        <v>20</v>
      </c>
    </row>
    <row r="21" spans="2:33" ht="12">
      <c r="B21" s="812"/>
      <c r="G21" s="5109" t="s">
        <v>467</v>
      </c>
      <c r="H21" s="5109"/>
      <c r="I21" s="5109"/>
      <c r="J21" s="5109"/>
      <c r="K21" s="5109"/>
      <c r="L21" s="5109"/>
      <c r="M21" s="5109"/>
      <c r="N21" s="5109"/>
      <c r="P21" s="5109" t="s">
        <v>468</v>
      </c>
      <c r="Q21" s="5109"/>
      <c r="R21" s="5109"/>
      <c r="S21" s="5109"/>
      <c r="T21" s="5109"/>
      <c r="U21" s="5109"/>
      <c r="V21" s="5109"/>
      <c r="W21" s="5109"/>
      <c r="Y21" s="1149" t="s">
        <v>469</v>
      </c>
      <c r="AG21" s="1019">
        <f>ROW()</f>
        <v>21</v>
      </c>
    </row>
    <row r="22" spans="2:33">
      <c r="B22" s="1023"/>
      <c r="C22" s="1022"/>
      <c r="D22" s="1022"/>
      <c r="E22" s="1022"/>
      <c r="F22" s="1022"/>
      <c r="N22" s="89"/>
      <c r="AG22" s="1019">
        <f>ROW()</f>
        <v>22</v>
      </c>
    </row>
    <row r="23" spans="2:33" ht="21">
      <c r="B23" s="1022"/>
      <c r="C23" s="1022"/>
      <c r="D23" s="1022"/>
      <c r="E23" s="1022"/>
      <c r="F23" s="1022"/>
      <c r="G23" s="1145" t="str">
        <f>'Motor Vs'!G115</f>
        <v>Graveyard</v>
      </c>
      <c r="H23" s="1145" t="str">
        <f>'Motor Vs'!H115</f>
        <v>A.M. Pre-pk</v>
      </c>
      <c r="I23" s="1145" t="str">
        <f>'Motor Vs'!I115</f>
        <v>A.M. Peak</v>
      </c>
      <c r="J23" s="1145" t="str">
        <f>'Motor Vs'!J115</f>
        <v>A.M. Post-pk</v>
      </c>
      <c r="K23" s="1145" t="str">
        <f>'Motor Vs'!K115</f>
        <v>Midday Pk</v>
      </c>
      <c r="L23" s="1145" t="str">
        <f>'Motor Vs'!L115</f>
        <v>P.M. Peak</v>
      </c>
      <c r="M23" s="1145" t="str">
        <f>'Motor Vs'!M115</f>
        <v>P.M. Post-pk</v>
      </c>
      <c r="N23" s="1146" t="str">
        <f>'Motor Vs'!N115</f>
        <v>Totals</v>
      </c>
      <c r="P23" s="1145" t="str">
        <f>'Motor Vs Weekends'!P115</f>
        <v>Graveyard</v>
      </c>
      <c r="Q23" s="1163" t="str">
        <f>'Motor Vs Weekends'!Q115</f>
        <v>Early Shoulder</v>
      </c>
      <c r="R23" s="1145" t="str">
        <f>'Motor Vs Weekends'!R115</f>
        <v>Shoulder 1</v>
      </c>
      <c r="S23" s="1145" t="str">
        <f>'Motor Vs Weekends'!S115</f>
        <v>Peak</v>
      </c>
      <c r="T23" s="1145" t="str">
        <f>'Motor Vs Weekends'!T115</f>
        <v>Shoulder 2</v>
      </c>
      <c r="U23" s="1163" t="str">
        <f>'Motor Vs Weekends'!U115</f>
        <v>Late Shoulder</v>
      </c>
      <c r="V23" s="1145" t="str">
        <f>'Motor Vs Weekends'!V115</f>
        <v>(none)</v>
      </c>
      <c r="W23" s="1145" t="str">
        <f>'Motor Vs Weekends'!W115</f>
        <v>Totals</v>
      </c>
      <c r="Y23" s="5108" t="s">
        <v>1812</v>
      </c>
      <c r="Z23" s="5108" t="s">
        <v>1813</v>
      </c>
      <c r="AA23" s="1159" t="s">
        <v>463</v>
      </c>
      <c r="AG23" s="1019">
        <f>ROW()</f>
        <v>23</v>
      </c>
    </row>
    <row r="24" spans="2:33">
      <c r="B24" s="1022"/>
      <c r="C24" s="1022"/>
      <c r="D24" s="1022"/>
      <c r="E24" s="1022"/>
      <c r="F24" s="1022"/>
      <c r="G24" s="1148" t="str">
        <f>'Motor Vs'!G116</f>
        <v>11 pm - 5 am</v>
      </c>
      <c r="H24" s="1148" t="str">
        <f>'Motor Vs'!H116</f>
        <v>5 am - 6 am</v>
      </c>
      <c r="I24" s="1148" t="str">
        <f>'Motor Vs'!I116</f>
        <v>6 am - 9 am</v>
      </c>
      <c r="J24" s="1148" t="str">
        <f>'Motor Vs'!J116</f>
        <v>9 am - 10 am</v>
      </c>
      <c r="K24" s="1148" t="str">
        <f>'Motor Vs'!K116</f>
        <v>10 am - 2 pm</v>
      </c>
      <c r="L24" s="1148" t="str">
        <f>'Motor Vs'!L116</f>
        <v xml:space="preserve">2 pm - 8 pm </v>
      </c>
      <c r="M24" s="1148" t="str">
        <f>'Motor Vs'!M116</f>
        <v>8 pm - 11 pm</v>
      </c>
      <c r="N24" s="1148"/>
      <c r="P24" s="1148" t="str">
        <f>'Motor Vs Weekends'!G116</f>
        <v>Midnight-10 am</v>
      </c>
      <c r="Q24" s="1164" t="str">
        <f>'Motor Vs Weekends'!H116</f>
        <v>10 am-Noon</v>
      </c>
      <c r="R24" s="1148" t="str">
        <f>'Motor Vs Weekends'!I116</f>
        <v>Noon-5 pm</v>
      </c>
      <c r="S24" s="1148" t="str">
        <f>'Motor Vs Weekends'!J116</f>
        <v>5 pm-8 pm</v>
      </c>
      <c r="T24" s="1148" t="str">
        <f>'Motor Vs Weekends'!K116</f>
        <v>8 pm-10 pm</v>
      </c>
      <c r="U24" s="1164" t="str">
        <f>'Motor Vs Weekends'!L116</f>
        <v>10 pm-Midnight</v>
      </c>
      <c r="V24" s="1147"/>
      <c r="W24" s="1147"/>
      <c r="Y24" s="3833"/>
      <c r="Z24" s="3833"/>
      <c r="AA24" s="1147"/>
      <c r="AG24" s="1019">
        <f>ROW()</f>
        <v>24</v>
      </c>
    </row>
    <row r="25" spans="2:33">
      <c r="B25" s="1022"/>
      <c r="C25" s="1022"/>
      <c r="D25" s="1022"/>
      <c r="E25" s="1022"/>
      <c r="F25" s="1022"/>
      <c r="G25" s="1008"/>
      <c r="H25" s="1008"/>
      <c r="I25" s="1008"/>
      <c r="J25" s="1008"/>
      <c r="K25" s="1008"/>
      <c r="L25" s="1008"/>
      <c r="M25" s="1008"/>
      <c r="N25" s="1008"/>
      <c r="P25" s="1008"/>
      <c r="Q25" s="1008"/>
      <c r="R25" s="1008"/>
      <c r="S25" s="1008"/>
      <c r="T25" s="1008"/>
      <c r="U25" s="1008"/>
      <c r="AG25" s="1019">
        <f>ROW()</f>
        <v>25</v>
      </c>
    </row>
    <row r="26" spans="2:33" s="1153" customFormat="1" ht="12">
      <c r="B26" s="1150" t="s">
        <v>383</v>
      </c>
      <c r="C26" s="1151"/>
      <c r="D26" s="1151"/>
      <c r="E26" s="1151"/>
      <c r="F26" s="1151"/>
      <c r="G26" s="1152"/>
      <c r="H26" s="1152"/>
      <c r="I26" s="1152"/>
      <c r="J26" s="1152"/>
      <c r="K26" s="1152"/>
      <c r="L26" s="1152"/>
      <c r="M26" s="1152"/>
      <c r="N26" s="1152"/>
      <c r="P26" s="1152"/>
      <c r="Q26" s="1152"/>
      <c r="R26" s="1152"/>
      <c r="S26" s="1152"/>
      <c r="T26" s="1152"/>
      <c r="U26" s="1152"/>
      <c r="AG26" s="1019">
        <f>ROW()</f>
        <v>26</v>
      </c>
    </row>
    <row r="27" spans="2:33">
      <c r="B27" s="1022"/>
      <c r="C27" s="1022"/>
      <c r="D27" s="1022"/>
      <c r="E27" s="1022"/>
      <c r="F27" s="1022"/>
      <c r="G27" s="1008"/>
      <c r="H27" s="1008"/>
      <c r="I27" s="1008"/>
      <c r="J27" s="1008"/>
      <c r="K27" s="1008"/>
      <c r="L27" s="1008"/>
      <c r="M27" s="1008"/>
      <c r="N27" s="1008"/>
      <c r="P27" s="1008"/>
      <c r="Q27" s="1008"/>
      <c r="R27" s="1008"/>
      <c r="S27" s="1008"/>
      <c r="T27" s="1008"/>
      <c r="U27" s="1008"/>
      <c r="AG27" s="1019">
        <f>ROW()</f>
        <v>27</v>
      </c>
    </row>
    <row r="28" spans="2:33" ht="12">
      <c r="B28" s="985" t="s">
        <v>2256</v>
      </c>
      <c r="G28" s="1008"/>
      <c r="H28" s="1008"/>
      <c r="I28" s="1008"/>
      <c r="J28" s="1008"/>
      <c r="K28" s="1008"/>
      <c r="L28" s="1008"/>
      <c r="M28" s="1008"/>
      <c r="N28" s="1008"/>
      <c r="AG28" s="1019">
        <f>ROW()</f>
        <v>28</v>
      </c>
    </row>
    <row r="29" spans="2:33">
      <c r="B29" s="275" t="s">
        <v>1929</v>
      </c>
      <c r="G29" s="1028">
        <f>'Motor Vs'!G184</f>
        <v>21.069959679339988</v>
      </c>
      <c r="H29" s="1028">
        <f>'Motor Vs'!H184</f>
        <v>20.198796211465559</v>
      </c>
      <c r="I29" s="1028">
        <f>'Motor Vs'!I184</f>
        <v>9.18464960823135</v>
      </c>
      <c r="J29" s="1028">
        <f>'Motor Vs'!J184</f>
        <v>9.7946762584405249</v>
      </c>
      <c r="K29" s="1028">
        <f>'Motor Vs'!K184</f>
        <v>12.090312708203816</v>
      </c>
      <c r="L29" s="1028">
        <f>'Motor Vs'!L184</f>
        <v>8.1810393307876197</v>
      </c>
      <c r="M29" s="1028">
        <f>'Motor Vs'!M184</f>
        <v>11.923235598532427</v>
      </c>
      <c r="N29" s="1137"/>
      <c r="O29" s="1029"/>
      <c r="P29" s="1028">
        <f>'Motor Vs Weekends'!G184</f>
        <v>19.55302538817131</v>
      </c>
      <c r="Q29" s="1028">
        <f>'Motor Vs Weekends'!H184</f>
        <v>14.463163590642981</v>
      </c>
      <c r="R29" s="1028">
        <f>'Motor Vs Weekends'!I184</f>
        <v>10.942583528894987</v>
      </c>
      <c r="S29" s="1028">
        <f>'Motor Vs Weekends'!J184</f>
        <v>9.6014485895675374</v>
      </c>
      <c r="T29" s="1028">
        <f>'Motor Vs Weekends'!K184</f>
        <v>11.888482146116795</v>
      </c>
      <c r="U29" s="1028">
        <f>'Motor Vs Weekends'!L184</f>
        <v>14.083954279243196</v>
      </c>
      <c r="AG29" s="1019">
        <f>ROW()</f>
        <v>29</v>
      </c>
    </row>
    <row r="30" spans="2:33">
      <c r="B30" s="494" t="str">
        <f>CONCATENATE("From Motor Vs (Motor Vs Weekends) worksheet, Row ",'Motor Vs'!O184, ".")</f>
        <v>From Motor Vs (Motor Vs Weekends) worksheet, Row 184.</v>
      </c>
      <c r="G30" s="1028"/>
      <c r="H30" s="1028"/>
      <c r="I30" s="1028"/>
      <c r="J30" s="1028"/>
      <c r="K30" s="1028"/>
      <c r="L30" s="1028"/>
      <c r="M30" s="1028"/>
      <c r="N30" s="1137"/>
      <c r="O30" s="1029"/>
      <c r="AG30" s="1019">
        <f>ROW()</f>
        <v>30</v>
      </c>
    </row>
    <row r="31" spans="2:33">
      <c r="B31" s="275" t="s">
        <v>652</v>
      </c>
      <c r="G31" s="135"/>
      <c r="H31" s="135"/>
      <c r="I31" s="135"/>
      <c r="J31" s="135"/>
      <c r="K31" s="135"/>
      <c r="L31" s="135"/>
      <c r="M31" s="135"/>
      <c r="N31" s="1137"/>
      <c r="O31" s="1029"/>
      <c r="AG31" s="1019">
        <f>ROW()</f>
        <v>31</v>
      </c>
    </row>
    <row r="32" spans="2:33">
      <c r="B32" s="912" t="s">
        <v>1388</v>
      </c>
      <c r="G32" s="135">
        <f>'Motor Vs'!P147+'Motor Vs'!Y147+'Motor Vs'!AH147+'Motor Vs'!AQ147</f>
        <v>410609.23173023388</v>
      </c>
      <c r="H32" s="135">
        <f>'Motor Vs'!Q147+'Motor Vs'!Z147+'Motor Vs'!AI147+'Motor Vs'!AR147</f>
        <v>78904.19223524745</v>
      </c>
      <c r="I32" s="135">
        <f>'Motor Vs'!R147+'Motor Vs'!AA147+'Motor Vs'!AJ147+'Motor Vs'!AS147</f>
        <v>472770.64477415045</v>
      </c>
      <c r="J32" s="135">
        <f>'Motor Vs'!S147+'Motor Vs'!AB147+'Motor Vs'!AK147+'Motor Vs'!AT147</f>
        <v>154294.09832104814</v>
      </c>
      <c r="K32" s="135">
        <f>'Motor Vs'!T147+'Motor Vs'!AC147+'Motor Vs'!AL147+'Motor Vs'!AU147</f>
        <v>555848.75201872597</v>
      </c>
      <c r="L32" s="135">
        <f>'Motor Vs'!U147+'Motor Vs'!AD147+'Motor Vs'!AM147+'Motor Vs'!AV147</f>
        <v>994264.10844542203</v>
      </c>
      <c r="M32" s="135">
        <f>'Motor Vs'!V147+'Motor Vs'!AE147+'Motor Vs'!AN147+'Motor Vs'!AW147</f>
        <v>423747.33633353573</v>
      </c>
      <c r="N32" s="1138">
        <f>SUM(G32:M32)</f>
        <v>3090438.3638583636</v>
      </c>
      <c r="O32" s="1029"/>
      <c r="P32" s="135">
        <f>'Motor Vs Weekends'!P147+'Motor Vs Weekends'!Y147+'Motor Vs Weekends'!AH147+'Motor Vs Weekends'!AQ147</f>
        <v>932379.47949903749</v>
      </c>
      <c r="Q32" s="135">
        <f>'Motor Vs Weekends'!Q147+'Motor Vs Weekends'!Z147+'Motor Vs Weekends'!AI147+'Motor Vs Weekends'!AR147</f>
        <v>264789.90004963987</v>
      </c>
      <c r="R32" s="135">
        <f>'Motor Vs Weekends'!R147+'Motor Vs Weekends'!AA147+'Motor Vs Weekends'!AJ147+'Motor Vs Weekends'!AS147</f>
        <v>780079.05345674395</v>
      </c>
      <c r="S32" s="135">
        <f>'Motor Vs Weekends'!S147+'Motor Vs Weekends'!AB147+'Motor Vs Weekends'!AK147+'Motor Vs Weekends'!AT147</f>
        <v>497574.31701235578</v>
      </c>
      <c r="T32" s="135">
        <f>'Motor Vs Weekends'!T147+'Motor Vs Weekends'!AC147+'Motor Vs Weekends'!AL147+'Motor Vs Weekends'!AU147</f>
        <v>299337.06062669173</v>
      </c>
      <c r="U32" s="135">
        <f>'Motor Vs Weekends'!U147+'Motor Vs Weekends'!AD147+'Motor Vs Weekends'!AM147+'Motor Vs Weekends'!AV147</f>
        <v>270150.29924564069</v>
      </c>
      <c r="W32" s="135">
        <f>SUM(P32:V32)</f>
        <v>3044310.1098901094</v>
      </c>
      <c r="Y32" s="817">
        <f>N32*wkday_per_yr</f>
        <v>772609590.96459091</v>
      </c>
      <c r="Z32" s="817">
        <f>W32*wkend_per_yr</f>
        <v>350095662.6373626</v>
      </c>
      <c r="AA32" s="817">
        <f>Y32+Z32</f>
        <v>1122705253.6019535</v>
      </c>
      <c r="AG32" s="1019">
        <f>ROW()</f>
        <v>32</v>
      </c>
    </row>
    <row r="33" spans="2:33">
      <c r="B33" s="912" t="s">
        <v>1509</v>
      </c>
      <c r="G33" s="135">
        <f>'Motor Vs'!AZ147</f>
        <v>28989.597067263538</v>
      </c>
      <c r="H33" s="135">
        <f>'Motor Vs'!BA147</f>
        <v>7908.5035403541197</v>
      </c>
      <c r="I33" s="135">
        <f>'Motor Vs'!BB147</f>
        <v>45603.294146374516</v>
      </c>
      <c r="J33" s="135">
        <f>'Motor Vs'!BC147</f>
        <v>13899.791114855994</v>
      </c>
      <c r="K33" s="135">
        <f>'Motor Vs'!BD147</f>
        <v>50038.448533512012</v>
      </c>
      <c r="L33" s="135">
        <f>'Motor Vs'!BE147</f>
        <v>93709.011172569153</v>
      </c>
      <c r="M33" s="135">
        <f>'Motor Vs'!BF147</f>
        <v>34891.354425070676</v>
      </c>
      <c r="N33" s="1138">
        <f>SUM(G33:M33)</f>
        <v>275040</v>
      </c>
      <c r="O33" s="1029"/>
      <c r="P33" s="135">
        <f>'Motor Vs Weekends'!AZ147</f>
        <v>24709.195456849127</v>
      </c>
      <c r="Q33" s="135">
        <f>'Motor Vs Weekends'!BA147</f>
        <v>8215.4241694341872</v>
      </c>
      <c r="R33" s="135">
        <f>'Motor Vs Weekends'!BB147</f>
        <v>25027.39074765638</v>
      </c>
      <c r="S33" s="135">
        <f>'Motor Vs Weekends'!BC147</f>
        <v>16013.35927547022</v>
      </c>
      <c r="T33" s="135">
        <f>'Motor Vs Weekends'!BD147</f>
        <v>9251.7283835452617</v>
      </c>
      <c r="U33" s="135">
        <f>'Motor Vs Weekends'!BE147</f>
        <v>8150.9019670448106</v>
      </c>
      <c r="W33" s="135">
        <f>SUM(P33:V33)</f>
        <v>91367.999999999971</v>
      </c>
      <c r="Y33" s="817">
        <f>N33*wkday_per_yr</f>
        <v>68760000</v>
      </c>
      <c r="Z33" s="817">
        <f>W33*wkend_per_yr</f>
        <v>10507319.999999996</v>
      </c>
      <c r="AA33" s="817">
        <f>Y33+Z33</f>
        <v>79267320</v>
      </c>
      <c r="AG33" s="1019">
        <f>ROW()</f>
        <v>33</v>
      </c>
    </row>
    <row r="34" spans="2:33">
      <c r="B34" s="912" t="s">
        <v>810</v>
      </c>
      <c r="G34" s="135">
        <f>'Motor Vs'!BI147</f>
        <v>7229.4255568678709</v>
      </c>
      <c r="H34" s="135">
        <f>'Motor Vs'!BJ147</f>
        <v>1972.2225693084813</v>
      </c>
      <c r="I34" s="135">
        <f>'Motor Vs'!BK147</f>
        <v>11372.549242895822</v>
      </c>
      <c r="J34" s="135">
        <f>'Motor Vs'!BL147</f>
        <v>3466.3298316188138</v>
      </c>
      <c r="K34" s="135">
        <f>'Motor Vs'!BM147</f>
        <v>12478.588019517327</v>
      </c>
      <c r="L34" s="135">
        <f>'Motor Vs'!BN147</f>
        <v>23369.152689769933</v>
      </c>
      <c r="M34" s="135">
        <f>'Motor Vs'!BO147</f>
        <v>8701.2057742322831</v>
      </c>
      <c r="N34" s="1138">
        <f>SUM(G34:M34)</f>
        <v>68589.473684210534</v>
      </c>
      <c r="O34" s="1029"/>
      <c r="P34" s="135">
        <f>'Motor Vs Weekends'!BI147</f>
        <v>9259.7282685679274</v>
      </c>
      <c r="Q34" s="135">
        <f>'Motor Vs Weekends'!BJ147</f>
        <v>3078.7160008036362</v>
      </c>
      <c r="R34" s="135">
        <f>'Motor Vs Weekends'!BK147</f>
        <v>9378.9714035521702</v>
      </c>
      <c r="S34" s="135">
        <f>'Motor Vs Weekends'!BL147</f>
        <v>6000.9786970503937</v>
      </c>
      <c r="T34" s="135">
        <f>'Motor Vs Weekends'!BM147</f>
        <v>3467.0692129913082</v>
      </c>
      <c r="U34" s="135">
        <f>'Motor Vs Weekends'!BN147</f>
        <v>3054.5364170345679</v>
      </c>
      <c r="W34" s="135">
        <f>SUM(P34:V34)</f>
        <v>34240.000000000007</v>
      </c>
      <c r="Y34" s="817">
        <f>N34*wkday_per_yr</f>
        <v>17147368.421052635</v>
      </c>
      <c r="Z34" s="817">
        <f>W34*wkend_per_yr</f>
        <v>3937600.0000000009</v>
      </c>
      <c r="AA34" s="817">
        <f>Y34+Z34</f>
        <v>21084968.421052635</v>
      </c>
      <c r="AG34" s="1019">
        <f>ROW()</f>
        <v>34</v>
      </c>
    </row>
    <row r="35" spans="2:33">
      <c r="B35" s="912"/>
      <c r="G35" s="135"/>
      <c r="H35" s="135"/>
      <c r="I35" s="135"/>
      <c r="J35" s="135"/>
      <c r="K35" s="135"/>
      <c r="L35" s="135"/>
      <c r="M35" s="135"/>
      <c r="N35" s="1138"/>
      <c r="O35" s="1029"/>
      <c r="P35" s="135"/>
      <c r="Q35" s="135"/>
      <c r="R35" s="135"/>
      <c r="S35" s="135"/>
      <c r="T35" s="135"/>
      <c r="U35" s="135"/>
      <c r="W35" s="135"/>
      <c r="AG35" s="1019">
        <f>ROW()</f>
        <v>35</v>
      </c>
    </row>
    <row r="36" spans="2:33">
      <c r="B36" s="275" t="s">
        <v>650</v>
      </c>
      <c r="G36" s="1030">
        <f t="shared" ref="G36:M36" si="0">EXP(barthB0+barthB1*G29+barthB2*G29^2+barthB3*G29^3+barthB4*G29^4)</f>
        <v>410.13876589633304</v>
      </c>
      <c r="H36" s="1030">
        <f t="shared" si="0"/>
        <v>421.65288259286302</v>
      </c>
      <c r="I36" s="1030">
        <f t="shared" si="0"/>
        <v>760.90553543736314</v>
      </c>
      <c r="J36" s="1030">
        <f t="shared" si="0"/>
        <v>726.07550883321699</v>
      </c>
      <c r="K36" s="1030">
        <f t="shared" si="0"/>
        <v>619.07347539851708</v>
      </c>
      <c r="L36" s="1030">
        <f t="shared" si="0"/>
        <v>825.46792457203549</v>
      </c>
      <c r="M36" s="1030">
        <f t="shared" si="0"/>
        <v>625.75866380011234</v>
      </c>
      <c r="N36" s="1137"/>
      <c r="O36" s="1029"/>
      <c r="P36" s="1030">
        <f t="shared" ref="P36:U36" si="1">EXP(barthB0+barthB1*P29+barthB2*P29^2+barthB3*P29^3+barthB4*P29^4)</f>
        <v>431.02731102268052</v>
      </c>
      <c r="Q36" s="1030">
        <f t="shared" si="1"/>
        <v>538.7394038394383</v>
      </c>
      <c r="R36" s="1030">
        <f t="shared" si="1"/>
        <v>668.26664952119995</v>
      </c>
      <c r="S36" s="1030">
        <f t="shared" si="1"/>
        <v>736.77576198724262</v>
      </c>
      <c r="T36" s="1030">
        <f t="shared" si="1"/>
        <v>627.16859841749874</v>
      </c>
      <c r="U36" s="1030">
        <f t="shared" si="1"/>
        <v>549.93773014611349</v>
      </c>
      <c r="AG36" s="1019">
        <f>ROW()</f>
        <v>36</v>
      </c>
    </row>
    <row r="37" spans="2:33">
      <c r="B37" s="497" t="s">
        <v>1387</v>
      </c>
      <c r="G37" s="1030"/>
      <c r="H37" s="1030"/>
      <c r="I37" s="1030"/>
      <c r="J37" s="1030"/>
      <c r="K37" s="1030"/>
      <c r="L37" s="1030"/>
      <c r="M37" s="1030"/>
      <c r="N37" s="1137"/>
      <c r="O37" s="1029"/>
      <c r="AG37" s="1019">
        <f>ROW()</f>
        <v>37</v>
      </c>
    </row>
    <row r="38" spans="2:33">
      <c r="B38" s="497"/>
      <c r="G38" s="1030"/>
      <c r="H38" s="1030"/>
      <c r="I38" s="1030"/>
      <c r="J38" s="1030"/>
      <c r="K38" s="1030"/>
      <c r="L38" s="1030"/>
      <c r="M38" s="1030"/>
      <c r="N38" s="1137"/>
      <c r="O38" s="1029"/>
      <c r="AG38" s="1019">
        <f>ROW()</f>
        <v>38</v>
      </c>
    </row>
    <row r="39" spans="2:33">
      <c r="B39" s="1101" t="s">
        <v>651</v>
      </c>
      <c r="G39" s="1030"/>
      <c r="H39" s="1030"/>
      <c r="I39" s="1030"/>
      <c r="J39" s="1030"/>
      <c r="K39" s="1030"/>
      <c r="L39" s="1030"/>
      <c r="M39" s="1030"/>
      <c r="N39" s="1137"/>
      <c r="O39" s="1029"/>
      <c r="P39" s="1030"/>
      <c r="Q39" s="1030"/>
      <c r="R39" s="1030"/>
      <c r="S39" s="1030"/>
      <c r="T39" s="1030"/>
      <c r="U39" s="1030"/>
      <c r="V39" s="1030"/>
      <c r="AG39" s="1019">
        <f>ROW()</f>
        <v>39</v>
      </c>
    </row>
    <row r="40" spans="2:33">
      <c r="B40" s="496" t="s">
        <v>541</v>
      </c>
      <c r="G40" s="1098"/>
      <c r="H40" s="1098"/>
      <c r="I40" s="1098"/>
      <c r="J40" s="1098"/>
      <c r="K40" s="1098"/>
      <c r="L40" s="1098"/>
      <c r="M40" s="1098"/>
      <c r="N40" s="1137"/>
      <c r="O40" s="1029"/>
      <c r="P40" s="1030"/>
      <c r="Q40" s="1030"/>
      <c r="R40" s="1030"/>
      <c r="S40" s="1030"/>
      <c r="T40" s="1030"/>
      <c r="U40" s="1030"/>
      <c r="V40" s="1030"/>
      <c r="AG40" s="1019">
        <f>ROW()</f>
        <v>40</v>
      </c>
    </row>
    <row r="41" spans="2:33">
      <c r="B41" s="1099" t="s">
        <v>2494</v>
      </c>
      <c r="G41" s="1030">
        <f>G36*$T$13</f>
        <v>491.75842080107594</v>
      </c>
      <c r="H41" s="1030">
        <f t="shared" ref="H41:M41" si="2">H36*$T$13</f>
        <v>505.56390400437806</v>
      </c>
      <c r="I41" s="1030">
        <f t="shared" si="2"/>
        <v>912.32952258907721</v>
      </c>
      <c r="J41" s="1030">
        <f t="shared" si="2"/>
        <v>870.56814740699144</v>
      </c>
      <c r="K41" s="1030">
        <f t="shared" si="2"/>
        <v>742.27217697036122</v>
      </c>
      <c r="L41" s="1030">
        <f t="shared" si="2"/>
        <v>989.74014836746539</v>
      </c>
      <c r="M41" s="1030">
        <f t="shared" si="2"/>
        <v>750.28775112351775</v>
      </c>
      <c r="N41" s="1137"/>
      <c r="O41" s="1029"/>
      <c r="P41" s="1030">
        <f t="shared" ref="P41:U41" si="3">P36*$T$13</f>
        <v>516.80389033067661</v>
      </c>
      <c r="Q41" s="1030">
        <f t="shared" si="3"/>
        <v>645.95122549902794</v>
      </c>
      <c r="R41" s="1030">
        <f t="shared" si="3"/>
        <v>801.25503748561789</v>
      </c>
      <c r="S41" s="1030">
        <f t="shared" si="3"/>
        <v>883.39780417375857</v>
      </c>
      <c r="T41" s="1030">
        <f t="shared" si="3"/>
        <v>751.97826974436418</v>
      </c>
      <c r="U41" s="1030">
        <f t="shared" si="3"/>
        <v>659.37807445379781</v>
      </c>
      <c r="V41" s="1030"/>
      <c r="AG41" s="1019">
        <f>ROW()</f>
        <v>41</v>
      </c>
    </row>
    <row r="42" spans="2:33">
      <c r="B42" s="1099" t="s">
        <v>1057</v>
      </c>
      <c r="G42" s="1098">
        <f>EMFAC!$E52*G$29^2 + EMFAC!$F52*G$29 + EMFAC!$G52</f>
        <v>0.24163766598849201</v>
      </c>
      <c r="H42" s="1098">
        <f>EMFAC!$E52*H$29^2 + EMFAC!$F52*H$29 + EMFAC!$G52</f>
        <v>0.25546615333016776</v>
      </c>
      <c r="I42" s="1098">
        <f>EMFAC!$E52*I$29^2 + EMFAC!$F52*I$29 + EMFAC!$G52</f>
        <v>0.48238000423050498</v>
      </c>
      <c r="J42" s="1098">
        <f>EMFAC!$E52*J$29^2 + EMFAC!$F52*J$29 + EMFAC!$G52</f>
        <v>0.46728720587759331</v>
      </c>
      <c r="K42" s="1098">
        <f>EMFAC!$E52*K$29^2 + EMFAC!$F52*K$29 + EMFAC!$G52</f>
        <v>0.4131441094187292</v>
      </c>
      <c r="L42" s="1098">
        <f>EMFAC!$E52*L$29^2 + EMFAC!$F52*L$29 + EMFAC!$G52</f>
        <v>0.50785482531114379</v>
      </c>
      <c r="M42" s="1098">
        <f>EMFAC!$E52*M$29^2 + EMFAC!$F52*M$29 + EMFAC!$G52</f>
        <v>0.41694317498310329</v>
      </c>
      <c r="N42" s="1137"/>
      <c r="O42" s="1029"/>
      <c r="P42" s="1098">
        <f>EMFAC!$E52*P$29^2 + EMFAC!$F52*P$29 + EMFAC!$G52</f>
        <v>0.26610657220167672</v>
      </c>
      <c r="Q42" s="1098">
        <f>EMFAC!$E52*Q$29^2 + EMFAC!$F52*Q$29 + EMFAC!$G52</f>
        <v>0.36158701525264703</v>
      </c>
      <c r="R42" s="1098">
        <f>EMFAC!$E52*R$29^2 + EMFAC!$F52*R$29 + EMFAC!$G52</f>
        <v>0.43968940861309252</v>
      </c>
      <c r="S42" s="1098">
        <f>EMFAC!$E52*S$29^2 + EMFAC!$F52*S$29 + EMFAC!$G52</f>
        <v>0.47203585161752093</v>
      </c>
      <c r="T42" s="1098">
        <f>EMFAC!$E52*T$29^2 + EMFAC!$F52*T$29 + EMFAC!$G52</f>
        <v>0.41773620333609546</v>
      </c>
      <c r="U42" s="1098">
        <f>EMFAC!$E52*U$29^2 + EMFAC!$F52*U$29 + EMFAC!$G52</f>
        <v>0.36952567165033112</v>
      </c>
      <c r="V42" s="1098"/>
      <c r="AG42" s="1019">
        <f>ROW()</f>
        <v>42</v>
      </c>
    </row>
    <row r="43" spans="2:33">
      <c r="B43" s="1099" t="s">
        <v>1058</v>
      </c>
      <c r="G43" s="1098">
        <f>EMFAC!$E53*G$29^2 + EMFAC!$F53*G$29 + EMFAC!$G53</f>
        <v>4.1428215587012094</v>
      </c>
      <c r="H43" s="1098">
        <f>EMFAC!$E53*H$29^2 + EMFAC!$F53*H$29 + EMFAC!$G53</f>
        <v>4.2396067403898607</v>
      </c>
      <c r="I43" s="1098">
        <f>EMFAC!$E53*I$29^2 + EMFAC!$F53*I$29 + EMFAC!$G53</f>
        <v>5.7541804137165879</v>
      </c>
      <c r="J43" s="1098">
        <f>EMFAC!$E53*J$29^2 + EMFAC!$F53*J$29 + EMFAC!$G53</f>
        <v>5.6561900613258986</v>
      </c>
      <c r="K43" s="1098">
        <f>EMFAC!$E53*K$29^2 + EMFAC!$F53*K$29 + EMFAC!$G53</f>
        <v>5.3022589245167193</v>
      </c>
      <c r="L43" s="1098">
        <f>EMFAC!$E53*L$29^2 + EMFAC!$F53*L$29 + EMFAC!$G53</f>
        <v>5.9189922038160532</v>
      </c>
      <c r="M43" s="1098">
        <f>EMFAC!$E53*M$29^2 + EMFAC!$F53*M$29 + EMFAC!$G53</f>
        <v>5.3272278089651222</v>
      </c>
      <c r="N43" s="1137"/>
      <c r="O43" s="1029"/>
      <c r="P43" s="1098">
        <f>EMFAC!$E53*P$29^2 + EMFAC!$F53*P$29 + EMFAC!$G53</f>
        <v>4.3135280407512404</v>
      </c>
      <c r="Q43" s="1098">
        <f>EMFAC!$E53*Q$29^2 + EMFAC!$F53*Q$29 + EMFAC!$G53</f>
        <v>4.9610411808065216</v>
      </c>
      <c r="R43" s="1098">
        <f>EMFAC!$E53*R$29^2 + EMFAC!$F53*R$29 + EMFAC!$G53</f>
        <v>5.4762828933671388</v>
      </c>
      <c r="S43" s="1098">
        <f>EMFAC!$E53*S$29^2 + EMFAC!$F53*S$29 + EMFAC!$G53</f>
        <v>5.6870498040992548</v>
      </c>
      <c r="T43" s="1098">
        <f>EMFAC!$E53*T$29^2 + EMFAC!$F53*T$29 + EMFAC!$G53</f>
        <v>5.3324371361932874</v>
      </c>
      <c r="U43" s="1098">
        <f>EMFAC!$E53*U$29^2 + EMFAC!$F53*U$29 + EMFAC!$G53</f>
        <v>5.0138916783560514</v>
      </c>
      <c r="V43" s="1098"/>
      <c r="AG43" s="1019">
        <f>ROW()</f>
        <v>43</v>
      </c>
    </row>
    <row r="44" spans="2:33">
      <c r="B44" s="1099" t="s">
        <v>1044</v>
      </c>
      <c r="G44" s="1098">
        <f>EMFAC!$E54*G$29^2 + EMFAC!$F54*G$29 + EMFAC!$G54</f>
        <v>0.49170762937452228</v>
      </c>
      <c r="H44" s="1098">
        <f>EMFAC!$E54*H$29^2 + EMFAC!$F54*H$29 + EMFAC!$G54</f>
        <v>0.49993374099094684</v>
      </c>
      <c r="I44" s="1098">
        <f>EMFAC!$E54*I$29^2 + EMFAC!$F54*I$29 + EMFAC!$G54</f>
        <v>0.63423353659158477</v>
      </c>
      <c r="J44" s="1098">
        <f>EMFAC!$E54*J$29^2 + EMFAC!$F54*J$29 + EMFAC!$G54</f>
        <v>0.62532635160619243</v>
      </c>
      <c r="K44" s="1098">
        <f>EMFAC!$E54*K$29^2 + EMFAC!$F54*K$29 + EMFAC!$G54</f>
        <v>0.59335083913823183</v>
      </c>
      <c r="L44" s="1098">
        <f>EMFAC!$E54*L$29^2 + EMFAC!$F54*L$29 + EMFAC!$G54</f>
        <v>0.64926236200366894</v>
      </c>
      <c r="M44" s="1098">
        <f>EMFAC!$E54*M$29^2 + EMFAC!$F54*M$29 + EMFAC!$G54</f>
        <v>0.59559571924350774</v>
      </c>
      <c r="N44" s="1137"/>
      <c r="O44" s="1029"/>
      <c r="P44" s="1098">
        <f>EMFAC!$E54*P$29^2 + EMFAC!$F54*P$29 + EMFAC!$G54</f>
        <v>0.5062582588678386</v>
      </c>
      <c r="Q44" s="1098">
        <f>EMFAC!$E54*Q$29^2 + EMFAC!$F54*Q$29 + EMFAC!$G54</f>
        <v>0.56286360909560673</v>
      </c>
      <c r="R44" s="1098">
        <f>EMFAC!$E54*R$29^2 + EMFAC!$F54*R$29 + EMFAC!$G54</f>
        <v>0.60903243795763951</v>
      </c>
      <c r="S44" s="1098">
        <f>EMFAC!$E54*S$29^2 + EMFAC!$F54*S$29 + EMFAC!$G54</f>
        <v>0.62812908828976477</v>
      </c>
      <c r="T44" s="1098">
        <f>EMFAC!$E54*T$29^2 + EMFAC!$F54*T$29 + EMFAC!$G54</f>
        <v>0.59606429667984751</v>
      </c>
      <c r="U44" s="1098">
        <f>EMFAC!$E54*U$29^2 + EMFAC!$F54*U$29 + EMFAC!$G54</f>
        <v>0.56756085565888093</v>
      </c>
      <c r="V44" s="1098"/>
      <c r="AG44" s="1019">
        <f>ROW()</f>
        <v>44</v>
      </c>
    </row>
    <row r="45" spans="2:33">
      <c r="B45" s="1099" t="s">
        <v>1054</v>
      </c>
      <c r="G45" s="1098">
        <f>EMFAC!$E55*G$29^2 + EMFAC!$F55*G$29 + EMFAC!$G55</f>
        <v>4.7246928206995401E-2</v>
      </c>
      <c r="H45" s="1098">
        <f>EMFAC!$E55*H$29^2 + EMFAC!$F55*H$29 + EMFAC!$G55</f>
        <v>4.8973265549904887E-2</v>
      </c>
      <c r="I45" s="1098">
        <f>EMFAC!$E55*I$29^2 + EMFAC!$F55*I$29 + EMFAC!$G55</f>
        <v>7.7393700965829995E-2</v>
      </c>
      <c r="J45" s="1098">
        <f>EMFAC!$E55*J$29^2 + EMFAC!$F55*J$29 + EMFAC!$G55</f>
        <v>7.5499900307213028E-2</v>
      </c>
      <c r="K45" s="1098">
        <f>EMFAC!$E55*K$29^2 + EMFAC!$F55*K$29 + EMFAC!$G55</f>
        <v>6.8709211506899126E-2</v>
      </c>
      <c r="L45" s="1098">
        <f>EMFAC!$E55*L$29^2 + EMFAC!$F55*L$29 + EMFAC!$G55</f>
        <v>8.059094349173733E-2</v>
      </c>
      <c r="M45" s="1098">
        <f>EMFAC!$E55*M$29^2 + EMFAC!$F55*M$29 + EMFAC!$G55</f>
        <v>6.9185525156926497E-2</v>
      </c>
      <c r="N45" s="1137"/>
      <c r="O45" s="1029"/>
      <c r="P45" s="1098">
        <f>EMFAC!$E55*P$29^2 + EMFAC!$F55*P$29 + EMFAC!$G55</f>
        <v>5.0302300584851183E-2</v>
      </c>
      <c r="Q45" s="1098">
        <f>EMFAC!$E55*Q$29^2 + EMFAC!$F55*Q$29 + EMFAC!$G55</f>
        <v>6.2248141136477565E-2</v>
      </c>
      <c r="R45" s="1098">
        <f>EMFAC!$E55*R$29^2 + EMFAC!$F55*R$29 + EMFAC!$G55</f>
        <v>7.2037925301349809E-2</v>
      </c>
      <c r="S45" s="1098">
        <f>EMFAC!$E55*S$29^2 + EMFAC!$F55*S$29 + EMFAC!$G55</f>
        <v>7.6095710045062256E-2</v>
      </c>
      <c r="T45" s="1098">
        <f>EMFAC!$E55*T$29^2 + EMFAC!$F55*T$29 + EMFAC!$G55</f>
        <v>6.9284955765594652E-2</v>
      </c>
      <c r="U45" s="1098">
        <f>EMFAC!$E55*U$29^2 + EMFAC!$F55*U$29 + EMFAC!$G55</f>
        <v>6.3242612523883607E-2</v>
      </c>
      <c r="V45" s="1098"/>
      <c r="AG45" s="1019">
        <f>ROW()</f>
        <v>45</v>
      </c>
    </row>
    <row r="46" spans="2:33">
      <c r="B46" s="496" t="s">
        <v>1509</v>
      </c>
      <c r="G46" s="1030"/>
      <c r="H46" s="1030"/>
      <c r="I46" s="1030"/>
      <c r="J46" s="1030"/>
      <c r="K46" s="1030"/>
      <c r="L46" s="1030"/>
      <c r="M46" s="1030"/>
      <c r="N46" s="1137"/>
      <c r="O46" s="1029"/>
      <c r="P46" s="1030"/>
      <c r="Q46" s="1030"/>
      <c r="R46" s="1030"/>
      <c r="S46" s="1030"/>
      <c r="T46" s="1030"/>
      <c r="U46" s="1030"/>
      <c r="V46" s="1030"/>
      <c r="AG46" s="1019">
        <f>ROW()</f>
        <v>46</v>
      </c>
    </row>
    <row r="47" spans="2:33">
      <c r="B47" s="1099" t="s">
        <v>2494</v>
      </c>
      <c r="G47" s="1030">
        <f t="shared" ref="G47:M47" si="4">G41*$U$8</f>
        <v>1278.5718940827976</v>
      </c>
      <c r="H47" s="1030">
        <f t="shared" si="4"/>
        <v>1314.4661504113831</v>
      </c>
      <c r="I47" s="1030">
        <f t="shared" si="4"/>
        <v>2372.0567587316009</v>
      </c>
      <c r="J47" s="1030">
        <f t="shared" si="4"/>
        <v>2263.4771832581778</v>
      </c>
      <c r="K47" s="1030">
        <f t="shared" si="4"/>
        <v>1929.9076601229392</v>
      </c>
      <c r="L47" s="1030">
        <f t="shared" si="4"/>
        <v>2573.3243857554103</v>
      </c>
      <c r="M47" s="1030">
        <f t="shared" si="4"/>
        <v>1950.7481529211461</v>
      </c>
      <c r="N47" s="1137"/>
      <c r="O47" s="1029"/>
      <c r="P47" s="1030">
        <f t="shared" ref="P47:U47" si="5">P41*$U$8</f>
        <v>1343.6901148597592</v>
      </c>
      <c r="Q47" s="1030">
        <f t="shared" si="5"/>
        <v>1679.4731862974727</v>
      </c>
      <c r="R47" s="1030">
        <f t="shared" si="5"/>
        <v>2083.2630974626068</v>
      </c>
      <c r="S47" s="1030">
        <f t="shared" si="5"/>
        <v>2296.8342908517725</v>
      </c>
      <c r="T47" s="1030">
        <f t="shared" si="5"/>
        <v>1955.1435013353469</v>
      </c>
      <c r="U47" s="1030">
        <f t="shared" si="5"/>
        <v>1714.3829935798744</v>
      </c>
      <c r="V47" s="1030"/>
      <c r="AG47" s="1019">
        <f>ROW()</f>
        <v>47</v>
      </c>
    </row>
    <row r="48" spans="2:33">
      <c r="B48" s="1099" t="s">
        <v>1057</v>
      </c>
      <c r="G48" s="1098">
        <f>EMFAC!$M52*G$29^2 + EMFAC!$N52*G$29 + EMFAC!$O52</f>
        <v>0.49247835047513955</v>
      </c>
      <c r="H48" s="1098">
        <f>EMFAC!$M52*H$29^2 + EMFAC!$N52*H$29 + EMFAC!$O52</f>
        <v>0.51903927623188417</v>
      </c>
      <c r="I48" s="1098">
        <f>EMFAC!$M52*I$29^2 + EMFAC!$N52*I$29 + EMFAC!$O52</f>
        <v>0.94288363268206998</v>
      </c>
      <c r="J48" s="1098">
        <f>EMFAC!$M52*J$29^2 + EMFAC!$N52*J$29 + EMFAC!$O52</f>
        <v>0.91514052682786873</v>
      </c>
      <c r="K48" s="1098">
        <f>EMFAC!$M52*K$29^2 + EMFAC!$N52*K$29 + EMFAC!$O52</f>
        <v>0.81522415314695085</v>
      </c>
      <c r="L48" s="1098">
        <f>EMFAC!$M52*L$29^2 + EMFAC!$N52*L$29 + EMFAC!$O52</f>
        <v>0.98961541469248071</v>
      </c>
      <c r="M48" s="1098">
        <f>EMFAC!$M52*M$29^2 + EMFAC!$N52*M$29 + EMFAC!$O52</f>
        <v>0.82225693569515301</v>
      </c>
      <c r="N48" s="1137"/>
      <c r="O48" s="1029"/>
      <c r="P48" s="1098">
        <f>EMFAC!$M52*P$29^2 + EMFAC!$N52*P$29 + EMFAC!$O52</f>
        <v>0.53938696857033164</v>
      </c>
      <c r="Q48" s="1098">
        <f>EMFAC!$M52*Q$29^2 + EMFAC!$N52*Q$29 + EMFAC!$O52</f>
        <v>0.71939668785899757</v>
      </c>
      <c r="R48" s="1098">
        <f>EMFAC!$M52*R$29^2 + EMFAC!$N52*R$29 + EMFAC!$O52</f>
        <v>0.8642924636045447</v>
      </c>
      <c r="S48" s="1098">
        <f>EMFAC!$M52*S$29^2 + EMFAC!$N52*S$29 + EMFAC!$O52</f>
        <v>0.92387407352497952</v>
      </c>
      <c r="T48" s="1098">
        <f>EMFAC!$M52*T$29^2 + EMFAC!$N52*T$29 + EMFAC!$O52</f>
        <v>0.8237245310424941</v>
      </c>
      <c r="U48" s="1098">
        <f>EMFAC!$M52*U$29^2 + EMFAC!$N52*U$29 + EMFAC!$O52</f>
        <v>0.73420262729908559</v>
      </c>
      <c r="V48" s="1098"/>
      <c r="AG48" s="1019">
        <f>ROW()</f>
        <v>48</v>
      </c>
    </row>
    <row r="49" spans="2:33">
      <c r="B49" s="1099" t="s">
        <v>1058</v>
      </c>
      <c r="G49" s="1098">
        <f>EMFAC!$M53*G$29^2 + EMFAC!$N53*G$29 + EMFAC!$O53</f>
        <v>4.9742533896296024</v>
      </c>
      <c r="H49" s="1098">
        <f>EMFAC!$M53*H$29^2 + EMFAC!$N53*H$29 + EMFAC!$O53</f>
        <v>5.2459953319261121</v>
      </c>
      <c r="I49" s="1098">
        <f>EMFAC!$M53*I$29^2 + EMFAC!$N53*I$29 + EMFAC!$O53</f>
        <v>9.6961431349329441</v>
      </c>
      <c r="J49" s="1098">
        <f>EMFAC!$M53*J$29^2 + EMFAC!$N53*J$29 + EMFAC!$O53</f>
        <v>9.4004817389943209</v>
      </c>
      <c r="K49" s="1098">
        <f>EMFAC!$M53*K$29^2 + EMFAC!$N53*K$29 + EMFAC!$O53</f>
        <v>8.3395506296868582</v>
      </c>
      <c r="L49" s="1098">
        <f>EMFAC!$M53*L$29^2 + EMFAC!$N53*L$29 + EMFAC!$O53</f>
        <v>10.195113156601359</v>
      </c>
      <c r="M49" s="1098">
        <f>EMFAC!$M53*M$29^2 + EMFAC!$N53*M$29 + EMFAC!$O53</f>
        <v>8.4140094077481642</v>
      </c>
      <c r="N49" s="1137"/>
      <c r="O49" s="1029"/>
      <c r="P49" s="1098">
        <f>EMFAC!$M53*P$29^2 + EMFAC!$N53*P$29 + EMFAC!$O53</f>
        <v>5.4550222566856217</v>
      </c>
      <c r="Q49" s="1098">
        <f>EMFAC!$M53*Q$29^2 + EMFAC!$N53*Q$29 + EMFAC!$O53</f>
        <v>7.3287846997404067</v>
      </c>
      <c r="R49" s="1098">
        <f>EMFAC!$M53*R$29^2 + EMFAC!$N53*R$29 + EMFAC!$O53</f>
        <v>8.8597647084154367</v>
      </c>
      <c r="S49" s="1098">
        <f>EMFAC!$M53*S$29^2 + EMFAC!$N53*S$29 + EMFAC!$O53</f>
        <v>9.4935091730157417</v>
      </c>
      <c r="T49" s="1098">
        <f>EMFAC!$M53*T$29^2 + EMFAC!$N53*T$29 + EMFAC!$O53</f>
        <v>8.4295518234026723</v>
      </c>
      <c r="U49" s="1098">
        <f>EMFAC!$M53*U$29^2 + EMFAC!$N53*U$29 + EMFAC!$O53</f>
        <v>7.4844579680103234</v>
      </c>
      <c r="V49" s="1098"/>
      <c r="AG49" s="1019">
        <f>ROW()</f>
        <v>49</v>
      </c>
    </row>
    <row r="50" spans="2:33">
      <c r="B50" s="1099" t="s">
        <v>1044</v>
      </c>
      <c r="G50" s="1098">
        <f>EMFAC!$M54*G$29^2 + EMFAC!$N54*G$29 + EMFAC!$O54</f>
        <v>4.1705750233660659</v>
      </c>
      <c r="H50" s="1098">
        <f>EMFAC!$M54*H$29^2 + EMFAC!$N54*H$29 + EMFAC!$O54</f>
        <v>4.2320709938599625</v>
      </c>
      <c r="I50" s="1098">
        <f>EMFAC!$M54*I$29^2 + EMFAC!$N54*I$29 + EMFAC!$O54</f>
        <v>5.3773611579767513</v>
      </c>
      <c r="J50" s="1098">
        <f>EMFAC!$M54*J$29^2 + EMFAC!$N54*J$29 + EMFAC!$O54</f>
        <v>5.2960964890397779</v>
      </c>
      <c r="K50" s="1098">
        <f>EMFAC!$M54*K$29^2 + EMFAC!$N54*K$29 + EMFAC!$O54</f>
        <v>5.0090243850077112</v>
      </c>
      <c r="L50" s="1098">
        <f>EMFAC!$M54*L$29^2 + EMFAC!$N54*L$29 + EMFAC!$O54</f>
        <v>5.5156070877632288</v>
      </c>
      <c r="M50" s="1098">
        <f>EMFAC!$M54*M$29^2 + EMFAC!$N54*M$29 + EMFAC!$O54</f>
        <v>5.0289183917620015</v>
      </c>
      <c r="N50" s="1137"/>
      <c r="O50" s="1029"/>
      <c r="P50" s="1098">
        <f>EMFAC!$M54*P$29^2 + EMFAC!$N54*P$29 + EMFAC!$O54</f>
        <v>4.280408616518546</v>
      </c>
      <c r="Q50" s="1098">
        <f>EMFAC!$M54*Q$29^2 + EMFAC!$N54*Q$29 + EMFAC!$O54</f>
        <v>4.7434201888913847</v>
      </c>
      <c r="R50" s="1098">
        <f>EMFAC!$M54*R$29^2 + EMFAC!$N54*R$29 + EMFAC!$O54</f>
        <v>5.1488476944842363</v>
      </c>
      <c r="S50" s="1098">
        <f>EMFAC!$M54*S$29^2 + EMFAC!$N54*S$29 + EMFAC!$O54</f>
        <v>5.321611026219438</v>
      </c>
      <c r="T50" s="1098">
        <f>EMFAC!$M54*T$29^2 + EMFAC!$N54*T$29 + EMFAC!$O54</f>
        <v>5.0330762208705968</v>
      </c>
      <c r="U50" s="1098">
        <f>EMFAC!$M54*U$29^2 + EMFAC!$N54*U$29 + EMFAC!$O54</f>
        <v>4.7837427678891817</v>
      </c>
      <c r="V50" s="1098"/>
      <c r="AG50" s="1019">
        <f>ROW()</f>
        <v>50</v>
      </c>
    </row>
    <row r="51" spans="2:33">
      <c r="B51" s="1099" t="s">
        <v>1054</v>
      </c>
      <c r="G51" s="1098">
        <f>EMFAC!$M55*G$29^2 + EMFAC!$N55*G$29 + EMFAC!$O55</f>
        <v>0.16399479434010822</v>
      </c>
      <c r="H51" s="1098">
        <f>EMFAC!$M55*H$29^2 + EMFAC!$N55*H$29 + EMFAC!$O55</f>
        <v>0.16899204752663316</v>
      </c>
      <c r="I51" s="1098">
        <f>EMFAC!$M55*I$29^2 + EMFAC!$N55*I$29 + EMFAC!$O55</f>
        <v>0.24651218951629372</v>
      </c>
      <c r="J51" s="1098">
        <f>EMFAC!$M55*J$29^2 + EMFAC!$N55*J$29 + EMFAC!$O55</f>
        <v>0.24152344142658977</v>
      </c>
      <c r="K51" s="1098">
        <f>EMFAC!$M55*K$29^2 + EMFAC!$N55*K$29 + EMFAC!$O55</f>
        <v>0.22348059470086379</v>
      </c>
      <c r="L51" s="1098">
        <f>EMFAC!$M55*L$29^2 + EMFAC!$N55*L$29 + EMFAC!$O55</f>
        <v>0.25489703090625693</v>
      </c>
      <c r="M51" s="1098">
        <f>EMFAC!$M55*M$29^2 + EMFAC!$N55*M$29 + EMFAC!$O55</f>
        <v>0.22475480182407148</v>
      </c>
      <c r="N51" s="1137"/>
      <c r="O51" s="1029"/>
      <c r="P51" s="1098">
        <f>EMFAC!$M55*P$29^2 + EMFAC!$N55*P$29 + EMFAC!$O55</f>
        <v>0.17280368744336902</v>
      </c>
      <c r="Q51" s="1098">
        <f>EMFAC!$M55*Q$29^2 + EMFAC!$N55*Q$29 + EMFAC!$O55</f>
        <v>0.20604433226901853</v>
      </c>
      <c r="R51" s="1098">
        <f>EMFAC!$M55*R$29^2 + EMFAC!$N55*R$29 + EMFAC!$O55</f>
        <v>0.2323569985697887</v>
      </c>
      <c r="S51" s="1098">
        <f>EMFAC!$M55*S$29^2 + EMFAC!$N55*S$29 + EMFAC!$O55</f>
        <v>0.24309481934648458</v>
      </c>
      <c r="T51" s="1098">
        <f>EMFAC!$M55*T$29^2 + EMFAC!$N55*T$29 + EMFAC!$O55</f>
        <v>0.22502061604527362</v>
      </c>
      <c r="U51" s="1098">
        <f>EMFAC!$M55*U$29^2 + EMFAC!$N55*U$29 + EMFAC!$O55</f>
        <v>0.2087480365651771</v>
      </c>
      <c r="V51" s="1098"/>
      <c r="AG51" s="1019">
        <f>ROW()</f>
        <v>51</v>
      </c>
    </row>
    <row r="52" spans="2:33">
      <c r="B52" s="496" t="s">
        <v>810</v>
      </c>
      <c r="C52" s="912"/>
      <c r="G52" s="1030"/>
      <c r="H52" s="1030"/>
      <c r="I52" s="1030"/>
      <c r="J52" s="1030"/>
      <c r="K52" s="1030"/>
      <c r="L52" s="1030"/>
      <c r="M52" s="1030"/>
      <c r="N52" s="1137"/>
      <c r="O52" s="1029"/>
      <c r="P52" s="1030"/>
      <c r="Q52" s="1030"/>
      <c r="R52" s="1030"/>
      <c r="S52" s="1030"/>
      <c r="T52" s="1030"/>
      <c r="U52" s="1030"/>
      <c r="V52" s="1030"/>
      <c r="AG52" s="1019">
        <f>ROW()</f>
        <v>52</v>
      </c>
    </row>
    <row r="53" spans="2:33">
      <c r="B53" s="1099" t="s">
        <v>2494</v>
      </c>
      <c r="C53" s="912"/>
      <c r="G53" s="1030">
        <f t="shared" ref="G53:M53" si="6">G41*$U$10</f>
        <v>1676.8155987971115</v>
      </c>
      <c r="H53" s="1030">
        <f t="shared" si="6"/>
        <v>1723.8900333264039</v>
      </c>
      <c r="I53" s="1030">
        <f t="shared" si="6"/>
        <v>3110.8941098119358</v>
      </c>
      <c r="J53" s="1030">
        <f t="shared" si="6"/>
        <v>2968.4946665681023</v>
      </c>
      <c r="K53" s="1030">
        <f t="shared" si="6"/>
        <v>2531.0264395054942</v>
      </c>
      <c r="L53" s="1030">
        <f t="shared" si="6"/>
        <v>3374.8516534497185</v>
      </c>
      <c r="M53" s="1030">
        <f t="shared" si="6"/>
        <v>2558.3582333392083</v>
      </c>
      <c r="N53" s="1137"/>
      <c r="O53" s="1029"/>
      <c r="P53" s="1030">
        <f t="shared" ref="P53:U53" si="7">P41*$U$10</f>
        <v>1762.2165440783729</v>
      </c>
      <c r="Q53" s="1030">
        <f t="shared" si="7"/>
        <v>2202.5877853081611</v>
      </c>
      <c r="R53" s="1030">
        <f t="shared" si="7"/>
        <v>2732.1483245411237</v>
      </c>
      <c r="S53" s="1030">
        <f t="shared" si="7"/>
        <v>3012.2416929203573</v>
      </c>
      <c r="T53" s="1030">
        <f t="shared" si="7"/>
        <v>2564.1226247020945</v>
      </c>
      <c r="U53" s="1030">
        <f t="shared" si="7"/>
        <v>2248.3711391211468</v>
      </c>
      <c r="V53" s="1030"/>
      <c r="AG53" s="1019">
        <f>ROW()</f>
        <v>53</v>
      </c>
    </row>
    <row r="54" spans="2:33">
      <c r="B54" s="1099" t="s">
        <v>1057</v>
      </c>
      <c r="G54" s="1098">
        <f>EMFAC!$U52*G$29^2 + EMFAC!$V52*G$29 + EMFAC!$W52</f>
        <v>1.2890466235691345</v>
      </c>
      <c r="H54" s="1098">
        <f>EMFAC!$U52*H$29^2 + EMFAC!$V52*H$29 + EMFAC!$W52</f>
        <v>1.3579387210056044</v>
      </c>
      <c r="I54" s="1098">
        <f>EMFAC!$U52*I$29^2 + EMFAC!$V52*I$29 + EMFAC!$W52</f>
        <v>2.4594110584602884</v>
      </c>
      <c r="J54" s="1098">
        <f>EMFAC!$U52*J$29^2 + EMFAC!$V52*J$29 + EMFAC!$W52</f>
        <v>2.3872313618006666</v>
      </c>
      <c r="K54" s="1098">
        <f>EMFAC!$U52*K$29^2 + EMFAC!$V52*K$29 + EMFAC!$W52</f>
        <v>2.1273500744478824</v>
      </c>
      <c r="L54" s="1098">
        <f>EMFAC!$U52*L$29^2 + EMFAC!$V52*L$29 + EMFAC!$W52</f>
        <v>2.5810115803204656</v>
      </c>
      <c r="M54" s="1098">
        <f>EMFAC!$U52*M$29^2 + EMFAC!$V52*M$29 + EMFAC!$W52</f>
        <v>2.1456382021588682</v>
      </c>
      <c r="N54" s="1137"/>
      <c r="O54" s="1029"/>
      <c r="P54" s="1098">
        <f>EMFAC!$U52*P$29^2 + EMFAC!$V52*P$29 + EMFAC!$W52</f>
        <v>1.4107312610247629</v>
      </c>
      <c r="Q54" s="1098">
        <f>EMFAC!$U52*Q$29^2 + EMFAC!$V52*Q$29 + EMFAC!$W52</f>
        <v>1.8782303037889694</v>
      </c>
      <c r="R54" s="1098">
        <f>EMFAC!$U52*R$29^2 + EMFAC!$V52*R$29 + EMFAC!$W52</f>
        <v>2.2549611374078662</v>
      </c>
      <c r="S54" s="1098">
        <f>EMFAC!$U52*S$29^2 + EMFAC!$V52*S$29 + EMFAC!$W52</f>
        <v>2.4099526955865631</v>
      </c>
      <c r="T54" s="1098">
        <f>EMFAC!$U52*T$29^2 + EMFAC!$V52*T$29 + EMFAC!$W52</f>
        <v>2.1494546364908746</v>
      </c>
      <c r="U54" s="1098">
        <f>EMFAC!$U52*U$29^2 + EMFAC!$V52*U$29 + EMFAC!$W52</f>
        <v>1.9167115671914834</v>
      </c>
      <c r="V54" s="1098"/>
      <c r="AG54" s="1019">
        <f>ROW()</f>
        <v>54</v>
      </c>
    </row>
    <row r="55" spans="2:33">
      <c r="B55" s="1099" t="s">
        <v>1058</v>
      </c>
      <c r="G55" s="1098">
        <f>EMFAC!$U53*G$29^2 + EMFAC!$V53*G$29 + EMFAC!$W53</f>
        <v>10.640024196340061</v>
      </c>
      <c r="H55" s="1098">
        <f>EMFAC!$U53*H$29^2 + EMFAC!$V53*H$29 + EMFAC!$W53</f>
        <v>11.249879897667562</v>
      </c>
      <c r="I55" s="1098">
        <f>EMFAC!$U53*I$29^2 + EMFAC!$V53*I$29 + EMFAC!$W53</f>
        <v>21.257031465522942</v>
      </c>
      <c r="J55" s="1098">
        <f>EMFAC!$U53*J$29^2 + EMFAC!$V53*J$29 + EMFAC!$W53</f>
        <v>20.591424911300503</v>
      </c>
      <c r="K55" s="1098">
        <f>EMFAC!$U53*K$29^2 + EMFAC!$V53*K$29 + EMFAC!$W53</f>
        <v>18.203661392853494</v>
      </c>
      <c r="L55" s="1098">
        <f>EMFAC!$U53*L$29^2 + EMFAC!$V53*L$29 + EMFAC!$W53</f>
        <v>22.380494415616997</v>
      </c>
      <c r="M55" s="1098">
        <f>EMFAC!$U53*M$29^2 + EMFAC!$V53*M$29 + EMFAC!$W53</f>
        <v>18.371204024495171</v>
      </c>
      <c r="N55" s="1137"/>
      <c r="O55" s="1029"/>
      <c r="P55" s="1098">
        <f>EMFAC!$U53*P$29^2 + EMFAC!$V53*P$29 + EMFAC!$W53</f>
        <v>11.719136797718878</v>
      </c>
      <c r="Q55" s="1098">
        <f>EMFAC!$U53*Q$29^2 + EMFAC!$V53*Q$29 + EMFAC!$W53</f>
        <v>15.929939246554639</v>
      </c>
      <c r="R55" s="1098">
        <f>EMFAC!$U53*R$29^2 + EMFAC!$V53*R$29 + EMFAC!$W53</f>
        <v>19.374335513757124</v>
      </c>
      <c r="S55" s="1098">
        <f>EMFAC!$U53*S$29^2 + EMFAC!$V53*S$29 + EMFAC!$W53</f>
        <v>20.800844666199058</v>
      </c>
      <c r="T55" s="1098">
        <f>EMFAC!$U53*T$29^2 + EMFAC!$V53*T$29 + EMFAC!$W53</f>
        <v>18.406177373953724</v>
      </c>
      <c r="U55" s="1098">
        <f>EMFAC!$U53*U$29^2 + EMFAC!$V53*U$29 + EMFAC!$W53</f>
        <v>16.280042639557809</v>
      </c>
      <c r="V55" s="1098"/>
      <c r="AG55" s="1019">
        <f>ROW()</f>
        <v>55</v>
      </c>
    </row>
    <row r="56" spans="2:33">
      <c r="B56" s="1099" t="s">
        <v>1044</v>
      </c>
      <c r="G56" s="1098">
        <f>EMFAC!$U54*G$29^2 + EMFAC!$V54*G$29 + EMFAC!$W54</f>
        <v>14.9222024225251</v>
      </c>
      <c r="H56" s="1098">
        <f>EMFAC!$U54*H$29^2 + EMFAC!$V54*H$29 + EMFAC!$W54</f>
        <v>15.268639843460646</v>
      </c>
      <c r="I56" s="1098">
        <f>EMFAC!$U54*I$29^2 + EMFAC!$V54*I$29 + EMFAC!$W54</f>
        <v>21.561329255456211</v>
      </c>
      <c r="J56" s="1098">
        <f>EMFAC!$U54*J$29^2 + EMFAC!$V54*J$29 + EMFAC!$W54</f>
        <v>21.120071296245129</v>
      </c>
      <c r="K56" s="1098">
        <f>EMFAC!$U54*K$29^2 + EMFAC!$V54*K$29 + EMFAC!$W54</f>
        <v>19.557000966574765</v>
      </c>
      <c r="L56" s="1098">
        <f>EMFAC!$U54*L$29^2 + EMFAC!$V54*L$29 + EMFAC!$W54</f>
        <v>22.31094472708704</v>
      </c>
      <c r="M56" s="1098">
        <f>EMFAC!$U54*M$29^2 + EMFAC!$V54*M$29 + EMFAC!$W54</f>
        <v>19.665565546523705</v>
      </c>
      <c r="N56" s="1137"/>
      <c r="O56" s="1029"/>
      <c r="P56" s="1098">
        <f>EMFAC!$U54*P$29^2 + EMFAC!$V54*P$29 + EMFAC!$W54</f>
        <v>15.539757672918988</v>
      </c>
      <c r="Q56" s="1098">
        <f>EMFAC!$U54*Q$29^2 + EMFAC!$V54*Q$29 + EMFAC!$W54</f>
        <v>18.10321102139504</v>
      </c>
      <c r="R56" s="1098">
        <f>EMFAC!$U54*R$29^2 + EMFAC!$V54*R$29 + EMFAC!$W54</f>
        <v>20.319225755551571</v>
      </c>
      <c r="S56" s="1098">
        <f>EMFAC!$U54*S$29^2 + EMFAC!$V54*S$29 + EMFAC!$W54</f>
        <v>21.258664280009352</v>
      </c>
      <c r="T56" s="1098">
        <f>EMFAC!$U54*T$29^2 + EMFAC!$V54*T$29 + EMFAC!$W54</f>
        <v>19.688250383485084</v>
      </c>
      <c r="U56" s="1098">
        <f>EMFAC!$U54*U$29^2 + EMFAC!$V54*U$29 + EMFAC!$W54</f>
        <v>18.324497655481451</v>
      </c>
      <c r="V56" s="1098"/>
      <c r="AG56" s="1019">
        <f>ROW()</f>
        <v>56</v>
      </c>
    </row>
    <row r="57" spans="2:33">
      <c r="B57" s="1099" t="s">
        <v>1054</v>
      </c>
      <c r="G57" s="1098">
        <f>EMFAC!$U55*G$29^2 + EMFAC!$V55*G$29 + EMFAC!$W55</f>
        <v>0.41000033101706501</v>
      </c>
      <c r="H57" s="1098">
        <f>EMFAC!$U55*H$29^2 + EMFAC!$V55*H$29 + EMFAC!$W55</f>
        <v>0.42556469419184328</v>
      </c>
      <c r="I57" s="1098">
        <f>EMFAC!$U55*I$29^2 + EMFAC!$V55*I$29 + EMFAC!$W55</f>
        <v>0.67021295598489616</v>
      </c>
      <c r="J57" s="1098">
        <f>EMFAC!$U55*J$29^2 + EMFAC!$V55*J$29 + EMFAC!$W55</f>
        <v>0.65434215168179644</v>
      </c>
      <c r="K57" s="1098">
        <f>EMFAC!$U55*K$29^2 + EMFAC!$V55*K$29 + EMFAC!$W55</f>
        <v>0.59705664452945229</v>
      </c>
      <c r="L57" s="1098">
        <f>EMFAC!$U55*L$29^2 + EMFAC!$V55*L$29 + EMFAC!$W55</f>
        <v>0.6969156341635967</v>
      </c>
      <c r="M57" s="1098">
        <f>EMFAC!$U55*M$29^2 + EMFAC!$V55*M$29 + EMFAC!$W55</f>
        <v>0.6010958592901694</v>
      </c>
      <c r="N57" s="1137"/>
      <c r="O57" s="1029"/>
      <c r="P57" s="1098">
        <f>EMFAC!$U55*P$29^2 + EMFAC!$V55*P$29 + EMFAC!$W55</f>
        <v>0.4374603512926023</v>
      </c>
      <c r="Q57" s="1098">
        <f>EMFAC!$U55*Q$29^2 + EMFAC!$V55*Q$29 + EMFAC!$W55</f>
        <v>0.54189498709191009</v>
      </c>
      <c r="R57" s="1098">
        <f>EMFAC!$U55*R$29^2 + EMFAC!$V55*R$29 + EMFAC!$W55</f>
        <v>0.62521542136546659</v>
      </c>
      <c r="S57" s="1098">
        <f>EMFAC!$U55*S$29^2 + EMFAC!$V55*S$29 + EMFAC!$W55</f>
        <v>0.65933982453830842</v>
      </c>
      <c r="T57" s="1098">
        <f>EMFAC!$U55*T$29^2 + EMFAC!$V55*T$29 + EMFAC!$W55</f>
        <v>0.60193861500089008</v>
      </c>
      <c r="U57" s="1098">
        <f>EMFAC!$U55*U$29^2 + EMFAC!$V55*U$29 + EMFAC!$W55</f>
        <v>0.55043402170541833</v>
      </c>
      <c r="V57" s="1098"/>
      <c r="AG57" s="1019">
        <f>ROW()</f>
        <v>57</v>
      </c>
    </row>
    <row r="58" spans="2:33">
      <c r="B58" s="1099"/>
      <c r="G58" s="1098"/>
      <c r="H58" s="1098"/>
      <c r="I58" s="1098"/>
      <c r="J58" s="1098"/>
      <c r="K58" s="1098"/>
      <c r="L58" s="1098"/>
      <c r="M58" s="1098"/>
      <c r="N58" s="1137"/>
      <c r="O58" s="1029"/>
      <c r="P58" s="1098"/>
      <c r="Q58" s="1098"/>
      <c r="R58" s="1098"/>
      <c r="S58" s="1098"/>
      <c r="T58" s="1098"/>
      <c r="U58" s="1098"/>
      <c r="V58" s="1098"/>
      <c r="AG58" s="1019">
        <f>ROW()</f>
        <v>58</v>
      </c>
    </row>
    <row r="59" spans="2:33">
      <c r="B59" s="275" t="s">
        <v>465</v>
      </c>
      <c r="E59"/>
      <c r="F59"/>
      <c r="G59" s="135"/>
      <c r="H59" s="135"/>
      <c r="I59" s="135"/>
      <c r="J59" s="135"/>
      <c r="K59" s="135"/>
      <c r="L59" s="135"/>
      <c r="M59" s="135"/>
      <c r="N59" s="1138"/>
      <c r="O59" s="1029"/>
      <c r="AG59" s="1019">
        <f>ROW()</f>
        <v>59</v>
      </c>
    </row>
    <row r="60" spans="2:33">
      <c r="B60" s="496" t="s">
        <v>541</v>
      </c>
      <c r="E60"/>
      <c r="F60"/>
      <c r="G60" s="135"/>
      <c r="H60" s="135"/>
      <c r="I60" s="135"/>
      <c r="J60" s="135"/>
      <c r="K60" s="135"/>
      <c r="L60" s="135"/>
      <c r="M60" s="135"/>
      <c r="N60" s="1138"/>
      <c r="O60" s="1029"/>
      <c r="AG60" s="1019">
        <f>ROW()</f>
        <v>60</v>
      </c>
    </row>
    <row r="61" spans="2:33">
      <c r="B61" s="1099" t="s">
        <v>2494</v>
      </c>
      <c r="E61"/>
      <c r="F61"/>
      <c r="G61" s="135">
        <f>G41*G$32/1000</f>
        <v>201920.54736200284</v>
      </c>
      <c r="H61" s="135">
        <f t="shared" ref="H61:M61" si="8">H41*H$32/1000</f>
        <v>39891.111468763636</v>
      </c>
      <c r="I61" s="135">
        <f t="shared" si="8"/>
        <v>431322.61664093088</v>
      </c>
      <c r="J61" s="135">
        <f t="shared" si="8"/>
        <v>134323.52733118707</v>
      </c>
      <c r="K61" s="135">
        <f t="shared" si="8"/>
        <v>412591.0632271982</v>
      </c>
      <c r="L61" s="135">
        <f t="shared" si="8"/>
        <v>984063.10620921769</v>
      </c>
      <c r="M61" s="135">
        <f t="shared" si="8"/>
        <v>317932.43602226942</v>
      </c>
      <c r="N61" s="1138">
        <f>SUM(G61:M61)</f>
        <v>2522044.4082615697</v>
      </c>
      <c r="O61" s="1029"/>
      <c r="P61" s="135">
        <f t="shared" ref="P61:U61" si="9">P41*P$32/1000</f>
        <v>481857.34226959391</v>
      </c>
      <c r="Q61" s="135">
        <f t="shared" si="9"/>
        <v>171041.36043682997</v>
      </c>
      <c r="R61" s="135">
        <f t="shared" si="9"/>
        <v>625042.27121922874</v>
      </c>
      <c r="S61" s="135">
        <f t="shared" si="9"/>
        <v>439556.05906197272</v>
      </c>
      <c r="T61" s="135">
        <f t="shared" si="9"/>
        <v>225094.96492042349</v>
      </c>
      <c r="U61" s="135">
        <f t="shared" si="9"/>
        <v>178131.18412970781</v>
      </c>
      <c r="W61" s="135">
        <f>SUM(P61:V61)</f>
        <v>2120723.1820377563</v>
      </c>
      <c r="Y61" s="817">
        <f>N61*wkday_per_yr</f>
        <v>630511102.06539237</v>
      </c>
      <c r="Z61" s="817">
        <f>W61*wkend_per_yr</f>
        <v>243883165.93434197</v>
      </c>
      <c r="AA61" s="817">
        <f>Y61+Z61</f>
        <v>874394267.9997344</v>
      </c>
      <c r="AB61" s="817"/>
      <c r="AG61" s="1019">
        <f>ROW()</f>
        <v>61</v>
      </c>
    </row>
    <row r="62" spans="2:33">
      <c r="B62" s="1099" t="s">
        <v>1057</v>
      </c>
      <c r="E62"/>
      <c r="F62"/>
      <c r="G62" s="135">
        <f t="shared" ref="G62:M62" si="10">G42*G$32/1000</f>
        <v>99.218656388621568</v>
      </c>
      <c r="H62" s="135">
        <f t="shared" si="10"/>
        <v>20.157350471962758</v>
      </c>
      <c r="I62" s="135">
        <f t="shared" si="10"/>
        <v>228.05510562621325</v>
      </c>
      <c r="J62" s="135">
        <f t="shared" si="10"/>
        <v>72.099658087845256</v>
      </c>
      <c r="K62" s="135">
        <f t="shared" si="10"/>
        <v>229.64563762428858</v>
      </c>
      <c r="L62" s="135">
        <f t="shared" si="10"/>
        <v>504.94182510768997</v>
      </c>
      <c r="M62" s="135">
        <f t="shared" si="10"/>
        <v>176.67855980153732</v>
      </c>
      <c r="N62" s="1138">
        <f>SUM(G62:M62)</f>
        <v>1330.7967931081587</v>
      </c>
      <c r="O62" s="1029"/>
      <c r="P62" s="135">
        <f t="shared" ref="P62:U62" si="11">P42*P$32/1000</f>
        <v>248.11230728067235</v>
      </c>
      <c r="Q62" s="135">
        <f t="shared" si="11"/>
        <v>95.744589627996021</v>
      </c>
      <c r="R62" s="135">
        <f t="shared" si="11"/>
        <v>342.99249768585673</v>
      </c>
      <c r="S62" s="135">
        <f t="shared" si="11"/>
        <v>234.87291647393369</v>
      </c>
      <c r="T62" s="135">
        <f t="shared" si="11"/>
        <v>125.04392722398083</v>
      </c>
      <c r="U62" s="135">
        <f t="shared" si="11"/>
        <v>99.827470775283317</v>
      </c>
      <c r="W62" s="135">
        <f>SUM(P62:V62)</f>
        <v>1146.5937090677228</v>
      </c>
      <c r="Y62" s="817">
        <f>N62*wkday_per_yr</f>
        <v>332699.19827703969</v>
      </c>
      <c r="Z62" s="817">
        <f>W62*wkend_per_yr</f>
        <v>131858.27654278811</v>
      </c>
      <c r="AA62" s="817">
        <f>Y62+Z62</f>
        <v>464557.47481982782</v>
      </c>
      <c r="AB62" s="817"/>
      <c r="AG62" s="1019">
        <f>ROW()</f>
        <v>62</v>
      </c>
    </row>
    <row r="63" spans="2:33">
      <c r="B63" s="1099" t="s">
        <v>1058</v>
      </c>
      <c r="E63"/>
      <c r="F63"/>
      <c r="G63" s="135">
        <f t="shared" ref="G63:M63" si="12">G43*G$32/1000</f>
        <v>1701.0807774137536</v>
      </c>
      <c r="H63" s="135">
        <f t="shared" si="12"/>
        <v>334.52274524557242</v>
      </c>
      <c r="I63" s="135">
        <f t="shared" si="12"/>
        <v>2720.407584339579</v>
      </c>
      <c r="J63" s="135">
        <f t="shared" si="12"/>
        <v>872.71674544475343</v>
      </c>
      <c r="K63" s="135">
        <f t="shared" si="12"/>
        <v>2947.2540060727702</v>
      </c>
      <c r="L63" s="135">
        <f t="shared" si="12"/>
        <v>5885.0415064225717</v>
      </c>
      <c r="M63" s="135">
        <f t="shared" si="12"/>
        <v>2257.3985940909083</v>
      </c>
      <c r="N63" s="1138">
        <f>SUM(G63:M63)</f>
        <v>16718.421959029907</v>
      </c>
      <c r="O63" s="1029"/>
      <c r="P63" s="135">
        <f t="shared" ref="P63:U63" si="13">P43*P$32/1000</f>
        <v>4021.8450294401446</v>
      </c>
      <c r="Q63" s="135">
        <f t="shared" si="13"/>
        <v>1313.6335984079062</v>
      </c>
      <c r="R63" s="135">
        <f t="shared" si="13"/>
        <v>4271.9335759191972</v>
      </c>
      <c r="S63" s="135">
        <f t="shared" si="13"/>
        <v>2829.7299220899386</v>
      </c>
      <c r="T63" s="135">
        <f t="shared" si="13"/>
        <v>1596.1960583247126</v>
      </c>
      <c r="U63" s="135">
        <f t="shared" si="13"/>
        <v>1354.504337293115</v>
      </c>
      <c r="W63" s="135">
        <f>SUM(P63:V63)</f>
        <v>15387.842521475013</v>
      </c>
      <c r="Y63" s="817">
        <f>N63*wkday_per_yr</f>
        <v>4179605.4897574768</v>
      </c>
      <c r="Z63" s="817">
        <f>W63*wkend_per_yr</f>
        <v>1769601.8899696264</v>
      </c>
      <c r="AA63" s="817">
        <f>Y63+Z63</f>
        <v>5949207.3797271028</v>
      </c>
      <c r="AB63" s="817"/>
      <c r="AG63" s="1019">
        <f>ROW()</f>
        <v>63</v>
      </c>
    </row>
    <row r="64" spans="2:33">
      <c r="B64" s="1099" t="s">
        <v>1044</v>
      </c>
      <c r="E64"/>
      <c r="F64"/>
      <c r="G64" s="135">
        <f t="shared" ref="G64:M64" si="14">G44*G$32/1000</f>
        <v>201.89969193336717</v>
      </c>
      <c r="H64" s="135">
        <f t="shared" si="14"/>
        <v>39.446868004036077</v>
      </c>
      <c r="I64" s="135">
        <f t="shared" si="14"/>
        <v>299.84699803179331</v>
      </c>
      <c r="J64" s="135">
        <f t="shared" si="14"/>
        <v>96.484165577468175</v>
      </c>
      <c r="K64" s="135">
        <f t="shared" si="14"/>
        <v>329.81332344424999</v>
      </c>
      <c r="L64" s="135">
        <f t="shared" si="14"/>
        <v>645.53826350474674</v>
      </c>
      <c r="M64" s="135">
        <f t="shared" si="14"/>
        <v>252.38209956109279</v>
      </c>
      <c r="N64" s="1138">
        <f>SUM(G64:M64)</f>
        <v>1865.411410056754</v>
      </c>
      <c r="O64" s="1029"/>
      <c r="P64" s="135">
        <f t="shared" ref="P64:U64" si="15">P44*P$32/1000</f>
        <v>472.02481189528436</v>
      </c>
      <c r="Q64" s="135">
        <f t="shared" si="15"/>
        <v>149.04059879400526</v>
      </c>
      <c r="R64" s="135">
        <f t="shared" si="15"/>
        <v>475.09344772644852</v>
      </c>
      <c r="S64" s="135">
        <f t="shared" si="15"/>
        <v>312.54090210137343</v>
      </c>
      <c r="T64" s="135">
        <f t="shared" si="15"/>
        <v>178.42413451266188</v>
      </c>
      <c r="U64" s="135">
        <f t="shared" si="15"/>
        <v>153.32673499635857</v>
      </c>
      <c r="W64" s="135">
        <f>SUM(P64:V64)</f>
        <v>1740.4506300261316</v>
      </c>
      <c r="Y64" s="817">
        <f>N64*wkday_per_yr</f>
        <v>466352.8525141885</v>
      </c>
      <c r="Z64" s="817">
        <f>W64*wkend_per_yr</f>
        <v>200151.82245300515</v>
      </c>
      <c r="AA64" s="817">
        <f>Y64+Z64</f>
        <v>666504.67496719363</v>
      </c>
      <c r="AB64" s="817"/>
      <c r="AG64" s="1019">
        <f>ROW()</f>
        <v>64</v>
      </c>
    </row>
    <row r="65" spans="2:33">
      <c r="B65" s="1099" t="s">
        <v>1054</v>
      </c>
      <c r="E65"/>
      <c r="F65"/>
      <c r="G65" s="135">
        <f t="shared" ref="G65:M65" si="16">G45*G$32/1000</f>
        <v>19.400024892687899</v>
      </c>
      <c r="H65" s="135">
        <f t="shared" si="16"/>
        <v>3.8641959593375166</v>
      </c>
      <c r="I65" s="135">
        <f t="shared" si="16"/>
        <v>36.589469907073237</v>
      </c>
      <c r="J65" s="135">
        <f t="shared" si="16"/>
        <v>11.649189041230459</v>
      </c>
      <c r="K65" s="135">
        <f t="shared" si="16"/>
        <v>38.191929468300565</v>
      </c>
      <c r="L65" s="135">
        <f t="shared" si="16"/>
        <v>80.128682579587604</v>
      </c>
      <c r="M65" s="135">
        <f t="shared" si="16"/>
        <v>29.317181998084429</v>
      </c>
      <c r="N65" s="1138">
        <f>SUM(G65:M65)</f>
        <v>219.14067384630172</v>
      </c>
      <c r="O65" s="1029"/>
      <c r="P65" s="135">
        <f t="shared" ref="P65:U65" si="17">P45*P$32/1000</f>
        <v>46.900832836907675</v>
      </c>
      <c r="Q65" s="135">
        <f t="shared" si="17"/>
        <v>16.482679069803769</v>
      </c>
      <c r="R65" s="135">
        <f t="shared" si="17"/>
        <v>56.195276582064587</v>
      </c>
      <c r="S65" s="135">
        <f t="shared" si="17"/>
        <v>37.863270953242115</v>
      </c>
      <c r="T65" s="135">
        <f t="shared" si="17"/>
        <v>20.73955500452346</v>
      </c>
      <c r="U65" s="135">
        <f t="shared" si="17"/>
        <v>17.085010698403259</v>
      </c>
      <c r="W65" s="135">
        <f>SUM(P65:V65)</f>
        <v>195.26662514494487</v>
      </c>
      <c r="Y65" s="817">
        <f>N65*wkday_per_yr</f>
        <v>54785.168461575428</v>
      </c>
      <c r="Z65" s="817">
        <f>W65*wkend_per_yr</f>
        <v>22455.66189166866</v>
      </c>
      <c r="AA65" s="817">
        <f>Y65+Z65</f>
        <v>77240.830353244091</v>
      </c>
      <c r="AB65" s="817"/>
      <c r="AG65" s="1019">
        <f>ROW()</f>
        <v>65</v>
      </c>
    </row>
    <row r="66" spans="2:33">
      <c r="B66" s="496" t="s">
        <v>1509</v>
      </c>
      <c r="E66"/>
      <c r="F66"/>
      <c r="G66" s="135"/>
      <c r="H66" s="135"/>
      <c r="I66" s="135"/>
      <c r="J66" s="135"/>
      <c r="K66" s="135"/>
      <c r="L66" s="135"/>
      <c r="M66" s="135"/>
      <c r="N66" s="1138"/>
      <c r="O66" s="1029"/>
      <c r="Y66" s="817"/>
      <c r="Z66" s="817"/>
      <c r="AA66" s="817"/>
      <c r="AG66" s="1019">
        <f>ROW()</f>
        <v>66</v>
      </c>
    </row>
    <row r="67" spans="2:33">
      <c r="B67" s="1099" t="s">
        <v>2494</v>
      </c>
      <c r="E67"/>
      <c r="F67"/>
      <c r="G67" s="135">
        <f t="shared" ref="G67:M71" si="18">G47*G$33/1000</f>
        <v>37065.284030988252</v>
      </c>
      <c r="H67" s="135">
        <f t="shared" si="18"/>
        <v>10395.460204204073</v>
      </c>
      <c r="I67" s="135">
        <f t="shared" si="18"/>
        <v>108173.60210033292</v>
      </c>
      <c r="J67" s="135">
        <f t="shared" si="18"/>
        <v>31461.860040531294</v>
      </c>
      <c r="K67" s="135">
        <f t="shared" si="18"/>
        <v>96569.585125492289</v>
      </c>
      <c r="L67" s="135">
        <f t="shared" si="18"/>
        <v>241143.68361539842</v>
      </c>
      <c r="M67" s="135">
        <f t="shared" si="18"/>
        <v>68064.245197623692</v>
      </c>
      <c r="N67" s="1138">
        <f>SUM(G67:M67)</f>
        <v>592873.72031457094</v>
      </c>
      <c r="O67" s="1029"/>
      <c r="P67" s="135">
        <f t="shared" ref="P67:U71" si="19">P47*P$33/1000</f>
        <v>33201.501681505841</v>
      </c>
      <c r="Q67" s="135">
        <f t="shared" si="19"/>
        <v>13797.584606624903</v>
      </c>
      <c r="R67" s="135">
        <f t="shared" si="19"/>
        <v>52138.639570369618</v>
      </c>
      <c r="S67" s="135">
        <f t="shared" si="19"/>
        <v>36780.032695629299</v>
      </c>
      <c r="T67" s="135">
        <f t="shared" si="19"/>
        <v>18088.456625208291</v>
      </c>
      <c r="U67" s="135">
        <f t="shared" si="19"/>
        <v>13973.767714638368</v>
      </c>
      <c r="W67" s="135">
        <f>SUM(P67:V67)</f>
        <v>167979.98289397632</v>
      </c>
      <c r="Y67" s="817">
        <f>N67*wkday_per_yr</f>
        <v>148218430.07864273</v>
      </c>
      <c r="Z67" s="817">
        <f>W67*wkend_per_yr</f>
        <v>19317698.032807276</v>
      </c>
      <c r="AA67" s="817">
        <f>Y67+Z67</f>
        <v>167536128.11145002</v>
      </c>
      <c r="AB67" s="817"/>
      <c r="AG67" s="1019">
        <f>ROW()</f>
        <v>67</v>
      </c>
    </row>
    <row r="68" spans="2:33">
      <c r="B68" s="1099" t="s">
        <v>1057</v>
      </c>
      <c r="E68"/>
      <c r="F68"/>
      <c r="G68" s="135">
        <f t="shared" si="18"/>
        <v>14.27674894462489</v>
      </c>
      <c r="H68" s="135">
        <f t="shared" si="18"/>
        <v>4.104823953662696</v>
      </c>
      <c r="I68" s="135">
        <f t="shared" si="18"/>
        <v>42.998599647002578</v>
      </c>
      <c r="J68" s="135">
        <f t="shared" si="18"/>
        <v>12.720262163646643</v>
      </c>
      <c r="K68" s="135">
        <f t="shared" si="18"/>
        <v>40.792551830519614</v>
      </c>
      <c r="L68" s="135">
        <f t="shared" si="18"/>
        <v>92.73588195196433</v>
      </c>
      <c r="M68" s="135">
        <f t="shared" si="18"/>
        <v>28.68965817181213</v>
      </c>
      <c r="N68" s="1138">
        <f>SUM(G68:M68)</f>
        <v>236.31852666323289</v>
      </c>
      <c r="O68" s="1029"/>
      <c r="P68" s="135">
        <f t="shared" si="19"/>
        <v>13.327818033281661</v>
      </c>
      <c r="Q68" s="135">
        <f t="shared" si="19"/>
        <v>5.9101489368477109</v>
      </c>
      <c r="R68" s="135">
        <f t="shared" si="19"/>
        <v>21.630985206885523</v>
      </c>
      <c r="S68" s="135">
        <f t="shared" si="19"/>
        <v>14.794327464647688</v>
      </c>
      <c r="T68" s="135">
        <f t="shared" si="19"/>
        <v>7.6208756240683524</v>
      </c>
      <c r="U68" s="135">
        <f t="shared" si="19"/>
        <v>5.984413639061585</v>
      </c>
      <c r="W68" s="135">
        <f>SUM(P68:V68)</f>
        <v>69.268568904792517</v>
      </c>
      <c r="Y68" s="817">
        <f>N68*wkday_per_yr</f>
        <v>59079.631665808221</v>
      </c>
      <c r="Z68" s="817">
        <f>W68*wkend_per_yr</f>
        <v>7965.8854240511391</v>
      </c>
      <c r="AA68" s="817">
        <f>Y68+Z68</f>
        <v>67045.517089859364</v>
      </c>
      <c r="AB68" s="817"/>
      <c r="AG68" s="1019">
        <f>ROW()</f>
        <v>68</v>
      </c>
    </row>
    <row r="69" spans="2:33">
      <c r="B69" s="1099" t="s">
        <v>1058</v>
      </c>
      <c r="E69"/>
      <c r="F69"/>
      <c r="G69" s="135">
        <f t="shared" si="18"/>
        <v>144.20160147583204</v>
      </c>
      <c r="H69" s="135">
        <f t="shared" si="18"/>
        <v>41.487972655218847</v>
      </c>
      <c r="I69" s="135">
        <f t="shared" si="18"/>
        <v>442.17606746769695</v>
      </c>
      <c r="J69" s="135">
        <f t="shared" si="18"/>
        <v>130.66473255103929</v>
      </c>
      <c r="K69" s="135">
        <f t="shared" si="18"/>
        <v>417.29817497620354</v>
      </c>
      <c r="L69" s="135">
        <f t="shared" si="18"/>
        <v>955.37397269756343</v>
      </c>
      <c r="M69" s="135">
        <f t="shared" si="18"/>
        <v>293.57618438162018</v>
      </c>
      <c r="N69" s="1138">
        <f>SUM(G69:M69)</f>
        <v>2424.7787062051743</v>
      </c>
      <c r="O69" s="1029"/>
      <c r="P69" s="135">
        <f t="shared" si="19"/>
        <v>134.78921116190725</v>
      </c>
      <c r="Q69" s="135">
        <f t="shared" si="19"/>
        <v>60.209074954826804</v>
      </c>
      <c r="R69" s="135">
        <f t="shared" si="19"/>
        <v>221.73679328980901</v>
      </c>
      <c r="S69" s="135">
        <f t="shared" si="19"/>
        <v>152.02297317247326</v>
      </c>
      <c r="T69" s="135">
        <f t="shared" si="19"/>
        <v>77.987923865140218</v>
      </c>
      <c r="U69" s="135">
        <f t="shared" si="19"/>
        <v>61.005083173719548</v>
      </c>
      <c r="W69" s="135">
        <f>SUM(P69:V69)</f>
        <v>707.75105961787608</v>
      </c>
      <c r="Y69" s="817">
        <f>N69*wkday_per_yr</f>
        <v>606194.67655129358</v>
      </c>
      <c r="Z69" s="817">
        <f>W69*wkend_per_yr</f>
        <v>81391.371856055746</v>
      </c>
      <c r="AA69" s="817">
        <f>Y69+Z69</f>
        <v>687586.04840734927</v>
      </c>
      <c r="AB69" s="817"/>
      <c r="AG69" s="1019">
        <f>ROW()</f>
        <v>69</v>
      </c>
    </row>
    <row r="70" spans="2:33">
      <c r="B70" s="1099" t="s">
        <v>1044</v>
      </c>
      <c r="E70"/>
      <c r="F70"/>
      <c r="G70" s="135">
        <f t="shared" si="18"/>
        <v>120.90328946617547</v>
      </c>
      <c r="H70" s="135">
        <f t="shared" si="18"/>
        <v>33.46934843797149</v>
      </c>
      <c r="I70" s="135">
        <f t="shared" si="18"/>
        <v>245.22538261850286</v>
      </c>
      <c r="J70" s="135">
        <f t="shared" si="18"/>
        <v>73.614634921775121</v>
      </c>
      <c r="K70" s="135">
        <f t="shared" si="18"/>
        <v>250.64380889231501</v>
      </c>
      <c r="L70" s="135">
        <f t="shared" si="18"/>
        <v>516.86208621070602</v>
      </c>
      <c r="M70" s="135">
        <f t="shared" si="18"/>
        <v>175.46577398172442</v>
      </c>
      <c r="N70" s="1138">
        <f>SUM(G70:M70)</f>
        <v>1416.1843245291702</v>
      </c>
      <c r="O70" s="1029"/>
      <c r="P70" s="135">
        <f t="shared" si="19"/>
        <v>105.7654531407379</v>
      </c>
      <c r="Q70" s="135">
        <f t="shared" si="19"/>
        <v>38.969208865600365</v>
      </c>
      <c r="R70" s="135">
        <f t="shared" si="19"/>
        <v>128.86222315002667</v>
      </c>
      <c r="S70" s="135">
        <f t="shared" si="19"/>
        <v>85.216869287155646</v>
      </c>
      <c r="T70" s="135">
        <f t="shared" si="19"/>
        <v>46.564654129175224</v>
      </c>
      <c r="U70" s="135">
        <f t="shared" si="19"/>
        <v>38.99181833662432</v>
      </c>
      <c r="W70" s="135">
        <f>SUM(P70:V70)</f>
        <v>444.37022690932008</v>
      </c>
      <c r="Y70" s="817">
        <f>N70*wkday_per_yr</f>
        <v>354046.08113229257</v>
      </c>
      <c r="Z70" s="817">
        <f>W70*wkend_per_yr</f>
        <v>51102.576094571807</v>
      </c>
      <c r="AA70" s="817">
        <f>Y70+Z70</f>
        <v>405148.65722686436</v>
      </c>
      <c r="AB70" s="817"/>
      <c r="AG70" s="1019">
        <f>ROW()</f>
        <v>70</v>
      </c>
    </row>
    <row r="71" spans="2:33">
      <c r="B71" s="1099" t="s">
        <v>1054</v>
      </c>
      <c r="E71"/>
      <c r="F71"/>
      <c r="G71" s="135">
        <f t="shared" si="18"/>
        <v>4.7541430090484882</v>
      </c>
      <c r="H71" s="135">
        <f t="shared" si="18"/>
        <v>1.3364742061560702</v>
      </c>
      <c r="I71" s="135">
        <f t="shared" si="18"/>
        <v>11.241767889178364</v>
      </c>
      <c r="J71" s="135">
        <f t="shared" si="18"/>
        <v>3.3571253851707548</v>
      </c>
      <c r="K71" s="135">
        <f t="shared" si="18"/>
        <v>11.18262223617783</v>
      </c>
      <c r="L71" s="135">
        <f t="shared" si="18"/>
        <v>23.886148717049135</v>
      </c>
      <c r="M71" s="135">
        <f t="shared" si="18"/>
        <v>7.8419994491801992</v>
      </c>
      <c r="N71" s="1138">
        <f>SUM(G71:M71)</f>
        <v>63.600280891960843</v>
      </c>
      <c r="O71" s="1029"/>
      <c r="P71" s="135">
        <f t="shared" si="19"/>
        <v>4.2698400887024697</v>
      </c>
      <c r="Q71" s="135">
        <f t="shared" si="19"/>
        <v>1.6927415872978231</v>
      </c>
      <c r="R71" s="135">
        <f t="shared" si="19"/>
        <v>5.815289396158736</v>
      </c>
      <c r="S71" s="135">
        <f t="shared" si="19"/>
        <v>3.8927646802007865</v>
      </c>
      <c r="T71" s="135">
        <f t="shared" si="19"/>
        <v>2.0818296203488984</v>
      </c>
      <c r="U71" s="135">
        <f t="shared" si="19"/>
        <v>1.7014847818558438</v>
      </c>
      <c r="W71" s="135">
        <f>SUM(P71:V71)</f>
        <v>19.453950154564556</v>
      </c>
      <c r="Y71" s="817">
        <f>N71*wkday_per_yr</f>
        <v>15900.070222990211</v>
      </c>
      <c r="Z71" s="817">
        <f>W71*wkend_per_yr</f>
        <v>2237.2042677749241</v>
      </c>
      <c r="AA71" s="817">
        <f>Y71+Z71</f>
        <v>18137.274490765136</v>
      </c>
      <c r="AB71" s="817"/>
      <c r="AG71" s="1019">
        <f>ROW()</f>
        <v>71</v>
      </c>
    </row>
    <row r="72" spans="2:33">
      <c r="B72" s="496" t="s">
        <v>810</v>
      </c>
      <c r="C72" s="912"/>
      <c r="E72"/>
      <c r="F72"/>
      <c r="G72" s="135"/>
      <c r="H72" s="135"/>
      <c r="I72" s="135"/>
      <c r="J72" s="135"/>
      <c r="K72" s="135"/>
      <c r="L72" s="135"/>
      <c r="M72" s="135"/>
      <c r="N72" s="1138"/>
      <c r="O72" s="1029"/>
      <c r="AG72" s="1019">
        <f>ROW()</f>
        <v>72</v>
      </c>
    </row>
    <row r="73" spans="2:33">
      <c r="B73" s="1099" t="s">
        <v>2494</v>
      </c>
      <c r="C73" s="912"/>
      <c r="E73"/>
      <c r="F73"/>
      <c r="G73" s="135">
        <f t="shared" ref="G73:M77" si="20">G53*G$34/1000</f>
        <v>12122.413544098541</v>
      </c>
      <c r="H73" s="135">
        <f t="shared" si="20"/>
        <v>3399.8948307322835</v>
      </c>
      <c r="I73" s="135">
        <f t="shared" si="20"/>
        <v>35378.796453270799</v>
      </c>
      <c r="J73" s="135">
        <f t="shared" si="20"/>
        <v>10289.781617726358</v>
      </c>
      <c r="K73" s="135">
        <f t="shared" si="20"/>
        <v>31583.636205094856</v>
      </c>
      <c r="L73" s="135">
        <f t="shared" si="20"/>
        <v>78867.423594788997</v>
      </c>
      <c r="M73" s="135">
        <f t="shared" si="20"/>
        <v>22260.801432485823</v>
      </c>
      <c r="N73" s="1138">
        <f>SUM(G73:M73)</f>
        <v>193902.74767819763</v>
      </c>
      <c r="O73" s="1029"/>
      <c r="P73" s="135">
        <f t="shared" ref="P73:U77" si="21">P53*P$34/1000</f>
        <v>16317.646348540589</v>
      </c>
      <c r="Q73" s="135">
        <f t="shared" si="21"/>
        <v>6781.1422578028796</v>
      </c>
      <c r="R73" s="135">
        <f t="shared" si="21"/>
        <v>25624.741006134172</v>
      </c>
      <c r="S73" s="135">
        <f t="shared" si="21"/>
        <v>18076.398229582079</v>
      </c>
      <c r="T73" s="135">
        <f t="shared" si="21"/>
        <v>8889.9906104390975</v>
      </c>
      <c r="U73" s="135">
        <f t="shared" si="21"/>
        <v>6867.7315234550379</v>
      </c>
      <c r="W73" s="135">
        <f>SUM(P73:V73)</f>
        <v>82557.649975953856</v>
      </c>
      <c r="Y73" s="817">
        <f>N73*wkday_per_yr</f>
        <v>48475686.919549406</v>
      </c>
      <c r="Z73" s="817">
        <f>W73*wkend_per_yr</f>
        <v>9494129.7472346928</v>
      </c>
      <c r="AA73" s="817">
        <f>Y73+Z73</f>
        <v>57969816.6667841</v>
      </c>
      <c r="AB73" s="817"/>
      <c r="AG73" s="1019">
        <f>ROW()</f>
        <v>73</v>
      </c>
    </row>
    <row r="74" spans="2:33">
      <c r="B74" s="1099" t="s">
        <v>1057</v>
      </c>
      <c r="E74"/>
      <c r="F74"/>
      <c r="G74" s="135">
        <f t="shared" si="20"/>
        <v>9.3190666044249397</v>
      </c>
      <c r="H74" s="135">
        <f t="shared" si="20"/>
        <v>2.6781573933051459</v>
      </c>
      <c r="I74" s="135">
        <f t="shared" si="20"/>
        <v>27.969773370862168</v>
      </c>
      <c r="J74" s="135">
        <f t="shared" si="20"/>
        <v>8.2749312843856568</v>
      </c>
      <c r="K74" s="135">
        <f t="shared" si="20"/>
        <v>26.546325152324641</v>
      </c>
      <c r="L74" s="135">
        <f t="shared" si="20"/>
        <v>60.316053714573357</v>
      </c>
      <c r="M74" s="135">
        <f t="shared" si="20"/>
        <v>18.669639514038121</v>
      </c>
      <c r="N74" s="1138">
        <f>SUM(G74:M74)</f>
        <v>153.77394703391406</v>
      </c>
      <c r="O74" s="1029"/>
      <c r="P74" s="135">
        <f t="shared" si="21"/>
        <v>13.062988137063476</v>
      </c>
      <c r="Q74" s="135">
        <f t="shared" si="21"/>
        <v>5.7825376894693745</v>
      </c>
      <c r="R74" s="135">
        <f t="shared" si="21"/>
        <v>21.149216023869851</v>
      </c>
      <c r="S74" s="135">
        <f t="shared" si="21"/>
        <v>14.462074787114137</v>
      </c>
      <c r="T74" s="135">
        <f t="shared" si="21"/>
        <v>7.452307994898935</v>
      </c>
      <c r="U74" s="135">
        <f t="shared" si="21"/>
        <v>5.854665282937785</v>
      </c>
      <c r="W74" s="135">
        <f>SUM(P74:V74)</f>
        <v>67.763789915353556</v>
      </c>
      <c r="Y74" s="817">
        <f>N74*wkday_per_yr</f>
        <v>38443.486758478517</v>
      </c>
      <c r="Z74" s="817">
        <f>W74*wkend_per_yr</f>
        <v>7792.8358402656586</v>
      </c>
      <c r="AA74" s="817">
        <f>Y74+Z74</f>
        <v>46236.322598744177</v>
      </c>
      <c r="AB74" s="817"/>
      <c r="AG74" s="1019">
        <f>ROW()</f>
        <v>74</v>
      </c>
    </row>
    <row r="75" spans="2:33">
      <c r="B75" s="1099" t="s">
        <v>1058</v>
      </c>
      <c r="E75"/>
      <c r="F75"/>
      <c r="G75" s="135">
        <f t="shared" si="20"/>
        <v>76.921262850713362</v>
      </c>
      <c r="H75" s="135">
        <f t="shared" si="20"/>
        <v>22.187267036189755</v>
      </c>
      <c r="I75" s="135">
        <f t="shared" si="20"/>
        <v>241.74663709944562</v>
      </c>
      <c r="J75" s="135">
        <f t="shared" si="20"/>
        <v>71.376670445579734</v>
      </c>
      <c r="K75" s="135">
        <f t="shared" si="20"/>
        <v>227.15599096821171</v>
      </c>
      <c r="L75" s="135">
        <f t="shared" si="20"/>
        <v>523.01319127109696</v>
      </c>
      <c r="M75" s="135">
        <f t="shared" si="20"/>
        <v>159.85162653753673</v>
      </c>
      <c r="N75" s="1138">
        <f>SUM(G75:M75)</f>
        <v>1322.252646208774</v>
      </c>
      <c r="O75" s="1029"/>
      <c r="P75" s="135">
        <f t="shared" si="21"/>
        <v>108.51602228905212</v>
      </c>
      <c r="Q75" s="135">
        <f t="shared" si="21"/>
        <v>49.043758850197591</v>
      </c>
      <c r="R75" s="135">
        <f t="shared" si="21"/>
        <v>181.71133874635331</v>
      </c>
      <c r="S75" s="135">
        <f t="shared" si="21"/>
        <v>124.82542572251486</v>
      </c>
      <c r="T75" s="135">
        <f t="shared" si="21"/>
        <v>63.815490902092165</v>
      </c>
      <c r="U75" s="135">
        <f t="shared" si="21"/>
        <v>49.727983113404903</v>
      </c>
      <c r="W75" s="135">
        <f>SUM(P75:V75)</f>
        <v>577.64001962361499</v>
      </c>
      <c r="Y75" s="817">
        <f>N75*wkday_per_yr</f>
        <v>330563.16155219352</v>
      </c>
      <c r="Z75" s="817">
        <f>W75*wkend_per_yr</f>
        <v>66428.60225671572</v>
      </c>
      <c r="AA75" s="817">
        <f>Y75+Z75</f>
        <v>396991.76380890922</v>
      </c>
      <c r="AB75" s="817"/>
      <c r="AG75" s="1019">
        <f>ROW()</f>
        <v>75</v>
      </c>
    </row>
    <row r="76" spans="2:33">
      <c r="B76" s="1099" t="s">
        <v>1044</v>
      </c>
      <c r="E76" s="1020"/>
      <c r="F76" s="902"/>
      <c r="G76" s="135">
        <f t="shared" si="20"/>
        <v>107.87895155815862</v>
      </c>
      <c r="H76" s="135">
        <f t="shared" si="20"/>
        <v>30.113156101915802</v>
      </c>
      <c r="I76" s="135">
        <f t="shared" si="20"/>
        <v>245.20727869996608</v>
      </c>
      <c r="J76" s="135">
        <f t="shared" si="20"/>
        <v>73.209133180090717</v>
      </c>
      <c r="K76" s="135">
        <f t="shared" si="20"/>
        <v>244.04375795918867</v>
      </c>
      <c r="L76" s="135">
        <f t="shared" si="20"/>
        <v>521.38787398031445</v>
      </c>
      <c r="M76" s="135">
        <f t="shared" si="20"/>
        <v>171.11413248695553</v>
      </c>
      <c r="N76" s="1138">
        <f>SUM(G76:M76)</f>
        <v>1392.9542839665899</v>
      </c>
      <c r="O76" s="1029"/>
      <c r="P76" s="135">
        <f t="shared" si="21"/>
        <v>143.8939334106233</v>
      </c>
      <c r="Q76" s="135">
        <f t="shared" si="21"/>
        <v>55.734645437493654</v>
      </c>
      <c r="R76" s="135">
        <f t="shared" si="21"/>
        <v>190.57343730363894</v>
      </c>
      <c r="S76" s="135">
        <f t="shared" si="21"/>
        <v>127.57279147208227</v>
      </c>
      <c r="T76" s="135">
        <f t="shared" si="21"/>
        <v>68.260526762245462</v>
      </c>
      <c r="U76" s="135">
        <f t="shared" si="21"/>
        <v>55.972845412532656</v>
      </c>
      <c r="V76" s="135"/>
      <c r="W76" s="135">
        <f>SUM(P76:V76)</f>
        <v>642.00817979861631</v>
      </c>
      <c r="Y76" s="817">
        <f>N76*wkday_per_yr</f>
        <v>348238.57099164749</v>
      </c>
      <c r="Z76" s="817">
        <f>W76*wkend_per_yr</f>
        <v>73830.940676840881</v>
      </c>
      <c r="AA76" s="817">
        <f>Y76+Z76</f>
        <v>422069.51166848838</v>
      </c>
      <c r="AB76" s="817"/>
      <c r="AG76" s="1019">
        <f>ROW()</f>
        <v>76</v>
      </c>
    </row>
    <row r="77" spans="2:33">
      <c r="B77" s="1099" t="s">
        <v>1054</v>
      </c>
      <c r="E77" s="1020"/>
      <c r="F77" s="902"/>
      <c r="G77" s="135">
        <f t="shared" si="20"/>
        <v>2.9640668713790563</v>
      </c>
      <c r="H77" s="135">
        <f t="shared" si="20"/>
        <v>0.8393082945860153</v>
      </c>
      <c r="I77" s="135">
        <f t="shared" si="20"/>
        <v>7.6220298451650024</v>
      </c>
      <c r="J77" s="135">
        <f t="shared" si="20"/>
        <v>2.2681657204602539</v>
      </c>
      <c r="K77" s="135">
        <f t="shared" si="20"/>
        <v>7.4504238913984384</v>
      </c>
      <c r="L77" s="135">
        <f t="shared" si="20"/>
        <v>16.286327866656936</v>
      </c>
      <c r="M77" s="135">
        <f t="shared" si="20"/>
        <v>5.2302587617227383</v>
      </c>
      <c r="N77" s="1138">
        <f>SUM(G77:M77)</f>
        <v>42.660581251368441</v>
      </c>
      <c r="O77" s="1029"/>
      <c r="P77" s="135">
        <f t="shared" si="21"/>
        <v>4.050763981241766</v>
      </c>
      <c r="Q77" s="135">
        <f t="shared" si="21"/>
        <v>1.6683407675151434</v>
      </c>
      <c r="R77" s="135">
        <f t="shared" si="21"/>
        <v>5.8638775580465321</v>
      </c>
      <c r="S77" s="135">
        <f t="shared" si="21"/>
        <v>3.9566842411713332</v>
      </c>
      <c r="T77" s="135">
        <f t="shared" si="21"/>
        <v>2.0869628401802136</v>
      </c>
      <c r="U77" s="135">
        <f t="shared" si="21"/>
        <v>1.6813207644739963</v>
      </c>
      <c r="V77" s="135"/>
      <c r="W77" s="135">
        <f>SUM(P77:V77)</f>
        <v>19.307950152628983</v>
      </c>
      <c r="Y77" s="817">
        <f>N77*wkday_per_yr</f>
        <v>10665.145312842111</v>
      </c>
      <c r="Z77" s="817">
        <f>W77*wkend_per_yr</f>
        <v>2220.4142675523331</v>
      </c>
      <c r="AA77" s="817">
        <f>Y77+Z77</f>
        <v>12885.559580394443</v>
      </c>
      <c r="AB77" s="817"/>
      <c r="AG77" s="1019">
        <f>ROW()</f>
        <v>77</v>
      </c>
    </row>
    <row r="78" spans="2:33">
      <c r="B78" s="1066" t="s">
        <v>653</v>
      </c>
      <c r="E78" s="1020"/>
      <c r="F78" s="902"/>
      <c r="G78" s="135"/>
      <c r="H78" s="135"/>
      <c r="I78" s="135"/>
      <c r="J78" s="135"/>
      <c r="K78" s="135"/>
      <c r="L78" s="135"/>
      <c r="M78" s="135"/>
      <c r="N78" s="1138"/>
      <c r="O78" s="1029"/>
      <c r="P78" s="135"/>
      <c r="Q78" s="135"/>
      <c r="R78" s="135"/>
      <c r="S78" s="135"/>
      <c r="T78" s="135"/>
      <c r="U78" s="135"/>
      <c r="V78" s="135"/>
      <c r="W78" s="135"/>
      <c r="AG78" s="1019">
        <f>ROW()</f>
        <v>78</v>
      </c>
    </row>
    <row r="79" spans="2:33">
      <c r="B79" s="1099" t="s">
        <v>2494</v>
      </c>
      <c r="E79" s="1020"/>
      <c r="F79" s="902"/>
      <c r="G79" s="135">
        <f t="shared" ref="G79:M81" si="22">G61+G67+G73</f>
        <v>251108.24493708962</v>
      </c>
      <c r="H79" s="135">
        <f t="shared" si="22"/>
        <v>53686.466503699994</v>
      </c>
      <c r="I79" s="135">
        <f t="shared" si="22"/>
        <v>574875.01519453467</v>
      </c>
      <c r="J79" s="135">
        <f t="shared" si="22"/>
        <v>176075.1689894447</v>
      </c>
      <c r="K79" s="135">
        <f t="shared" si="22"/>
        <v>540744.28455778537</v>
      </c>
      <c r="L79" s="135">
        <f t="shared" si="22"/>
        <v>1304074.2134194053</v>
      </c>
      <c r="M79" s="135">
        <f t="shared" si="22"/>
        <v>408257.48265237891</v>
      </c>
      <c r="N79" s="1138">
        <f>SUM(G79:M79)</f>
        <v>3308820.8762543383</v>
      </c>
      <c r="O79" s="1029"/>
      <c r="P79" s="135">
        <f t="shared" ref="P79:U81" si="23">P61+P67+P73</f>
        <v>531376.49029964034</v>
      </c>
      <c r="Q79" s="135">
        <f t="shared" si="23"/>
        <v>191620.08730125776</v>
      </c>
      <c r="R79" s="135">
        <f t="shared" si="23"/>
        <v>702805.65179573256</v>
      </c>
      <c r="S79" s="135">
        <f t="shared" si="23"/>
        <v>494412.48998718406</v>
      </c>
      <c r="T79" s="135">
        <f t="shared" si="23"/>
        <v>252073.41215607087</v>
      </c>
      <c r="U79" s="135">
        <f t="shared" si="23"/>
        <v>198972.68336780122</v>
      </c>
      <c r="V79" s="135"/>
      <c r="W79" s="135">
        <f>SUM(P79:V79)</f>
        <v>2371260.8149076868</v>
      </c>
      <c r="Y79" s="817">
        <f>N79*wkday_per_yr</f>
        <v>827205219.06358457</v>
      </c>
      <c r="Z79" s="817">
        <f>W79*wkend_per_yr</f>
        <v>272694993.71438396</v>
      </c>
      <c r="AA79" s="817">
        <f>Y79+Z79</f>
        <v>1099900212.7779684</v>
      </c>
      <c r="AB79" s="817"/>
      <c r="AG79" s="1019">
        <f>ROW()</f>
        <v>79</v>
      </c>
    </row>
    <row r="80" spans="2:33">
      <c r="B80" s="1099" t="s">
        <v>1057</v>
      </c>
      <c r="E80" s="1020"/>
      <c r="F80" s="902"/>
      <c r="G80" s="135">
        <f t="shared" si="22"/>
        <v>122.81447193767139</v>
      </c>
      <c r="H80" s="135">
        <f t="shared" si="22"/>
        <v>26.940331818930598</v>
      </c>
      <c r="I80" s="135">
        <f t="shared" si="22"/>
        <v>299.02347864407801</v>
      </c>
      <c r="J80" s="135">
        <f t="shared" si="22"/>
        <v>93.094851535877552</v>
      </c>
      <c r="K80" s="135">
        <f t="shared" si="22"/>
        <v>296.98451460713284</v>
      </c>
      <c r="L80" s="135">
        <f t="shared" si="22"/>
        <v>657.99376077422767</v>
      </c>
      <c r="M80" s="135">
        <f t="shared" si="22"/>
        <v>224.03785748738758</v>
      </c>
      <c r="N80" s="1138">
        <f>SUM(G80:M80)</f>
        <v>1720.8892668053056</v>
      </c>
      <c r="O80" s="1029"/>
      <c r="P80" s="135">
        <f t="shared" si="23"/>
        <v>274.5031134510175</v>
      </c>
      <c r="Q80" s="135">
        <f t="shared" si="23"/>
        <v>107.4372762543131</v>
      </c>
      <c r="R80" s="135">
        <f t="shared" si="23"/>
        <v>385.77269891661206</v>
      </c>
      <c r="S80" s="135">
        <f t="shared" si="23"/>
        <v>264.1293187256955</v>
      </c>
      <c r="T80" s="135">
        <f t="shared" si="23"/>
        <v>140.11711084294814</v>
      </c>
      <c r="U80" s="135">
        <f t="shared" si="23"/>
        <v>111.66654969728269</v>
      </c>
      <c r="V80" s="135"/>
      <c r="W80" s="135">
        <f>SUM(P80:V80)</f>
        <v>1283.6260678878689</v>
      </c>
      <c r="Y80" s="817">
        <f>N80*wkday_per_yr</f>
        <v>430222.3167013264</v>
      </c>
      <c r="Z80" s="817">
        <f>W80*wkend_per_yr</f>
        <v>147616.99780710493</v>
      </c>
      <c r="AA80" s="817">
        <f>Y80+Z80</f>
        <v>577839.31450843136</v>
      </c>
      <c r="AB80" s="817"/>
      <c r="AG80" s="1019">
        <f>ROW()</f>
        <v>80</v>
      </c>
    </row>
    <row r="81" spans="2:33">
      <c r="B81" s="1099" t="s">
        <v>1058</v>
      </c>
      <c r="E81" s="1020"/>
      <c r="F81" s="902"/>
      <c r="G81" s="135">
        <f t="shared" si="22"/>
        <v>1922.2036417402992</v>
      </c>
      <c r="H81" s="135">
        <f t="shared" si="22"/>
        <v>398.19798493698107</v>
      </c>
      <c r="I81" s="135">
        <f t="shared" si="22"/>
        <v>3404.3302889067218</v>
      </c>
      <c r="J81" s="135">
        <f t="shared" si="22"/>
        <v>1074.7581484413724</v>
      </c>
      <c r="K81" s="135">
        <f t="shared" si="22"/>
        <v>3591.7081720171855</v>
      </c>
      <c r="L81" s="135">
        <f t="shared" si="22"/>
        <v>7363.4286703912321</v>
      </c>
      <c r="M81" s="135">
        <f t="shared" si="22"/>
        <v>2710.8264050100652</v>
      </c>
      <c r="N81" s="1138">
        <f>SUM(G81:M81)</f>
        <v>20465.453311443856</v>
      </c>
      <c r="O81" s="1029"/>
      <c r="P81" s="135">
        <f t="shared" si="23"/>
        <v>4265.1502628911039</v>
      </c>
      <c r="Q81" s="135">
        <f t="shared" si="23"/>
        <v>1422.8864322129305</v>
      </c>
      <c r="R81" s="135">
        <f t="shared" si="23"/>
        <v>4675.3817079553592</v>
      </c>
      <c r="S81" s="135">
        <f t="shared" si="23"/>
        <v>3106.5783209849264</v>
      </c>
      <c r="T81" s="135">
        <f t="shared" si="23"/>
        <v>1737.9994730919448</v>
      </c>
      <c r="U81" s="135">
        <f t="shared" si="23"/>
        <v>1465.2374035802395</v>
      </c>
      <c r="V81" s="135"/>
      <c r="W81" s="135">
        <f>SUM(P81:V81)</f>
        <v>16673.233600716503</v>
      </c>
      <c r="Y81" s="817">
        <f>N81*wkday_per_yr</f>
        <v>5116363.3278609645</v>
      </c>
      <c r="Z81" s="817">
        <f>W81*wkend_per_yr</f>
        <v>1917421.8640823979</v>
      </c>
      <c r="AA81" s="817">
        <f>Y81+Z81</f>
        <v>7033785.1919433624</v>
      </c>
      <c r="AB81" s="817"/>
      <c r="AG81" s="1019">
        <f>ROW()</f>
        <v>81</v>
      </c>
    </row>
    <row r="82" spans="2:33">
      <c r="B82" s="1099" t="s">
        <v>1044</v>
      </c>
      <c r="E82" s="1020"/>
      <c r="F82" s="902"/>
      <c r="G82" s="135">
        <f t="shared" ref="G82:M82" si="24">G64+G70+G76</f>
        <v>430.68193295770129</v>
      </c>
      <c r="H82" s="135">
        <f t="shared" si="24"/>
        <v>103.02937254392337</v>
      </c>
      <c r="I82" s="135">
        <f t="shared" si="24"/>
        <v>790.27965935026225</v>
      </c>
      <c r="J82" s="135">
        <f t="shared" si="24"/>
        <v>243.30793367933398</v>
      </c>
      <c r="K82" s="135">
        <f t="shared" si="24"/>
        <v>824.50089029575361</v>
      </c>
      <c r="L82" s="135">
        <f t="shared" si="24"/>
        <v>1683.7882236957671</v>
      </c>
      <c r="M82" s="135">
        <f t="shared" si="24"/>
        <v>598.96200602977274</v>
      </c>
      <c r="N82" s="1138">
        <f>SUM(G82:M82)</f>
        <v>4674.5500185525143</v>
      </c>
      <c r="O82" s="1029"/>
      <c r="P82" s="135">
        <f t="shared" ref="P82:U82" si="25">P64+P70+P76</f>
        <v>721.6841984466455</v>
      </c>
      <c r="Q82" s="135">
        <f t="shared" si="25"/>
        <v>243.74445309709927</v>
      </c>
      <c r="R82" s="135">
        <f t="shared" si="25"/>
        <v>794.52910818011412</v>
      </c>
      <c r="S82" s="135">
        <f t="shared" si="25"/>
        <v>525.33056286061139</v>
      </c>
      <c r="T82" s="135">
        <f t="shared" si="25"/>
        <v>293.24931540408261</v>
      </c>
      <c r="U82" s="135">
        <f t="shared" si="25"/>
        <v>248.29139874551555</v>
      </c>
      <c r="V82" s="135"/>
      <c r="W82" s="135">
        <f>SUM(P82:V82)</f>
        <v>2826.8290367340683</v>
      </c>
      <c r="Y82" s="817">
        <f>N82*wkday_per_yr</f>
        <v>1168637.5046381287</v>
      </c>
      <c r="Z82" s="817">
        <f>W82*wkend_per_yr</f>
        <v>325085.33922441787</v>
      </c>
      <c r="AA82" s="817">
        <f>Y82+Z82</f>
        <v>1493722.8438625466</v>
      </c>
      <c r="AB82" s="817"/>
      <c r="AG82" s="1019">
        <f>ROW()</f>
        <v>82</v>
      </c>
    </row>
    <row r="83" spans="2:33">
      <c r="B83" s="1099" t="s">
        <v>1054</v>
      </c>
      <c r="E83" s="1020"/>
      <c r="F83" s="902"/>
      <c r="G83" s="135">
        <f t="shared" ref="G83:M83" si="26">G65+G71+G77</f>
        <v>27.118234773115443</v>
      </c>
      <c r="H83" s="135">
        <f t="shared" si="26"/>
        <v>6.0399784600796016</v>
      </c>
      <c r="I83" s="135">
        <f t="shared" si="26"/>
        <v>55.453267641416602</v>
      </c>
      <c r="J83" s="135">
        <f t="shared" si="26"/>
        <v>17.274480146861467</v>
      </c>
      <c r="K83" s="135">
        <f t="shared" si="26"/>
        <v>56.824975595876829</v>
      </c>
      <c r="L83" s="135">
        <f t="shared" si="26"/>
        <v>120.30115916329368</v>
      </c>
      <c r="M83" s="135">
        <f t="shared" si="26"/>
        <v>42.389440208987367</v>
      </c>
      <c r="N83" s="1138">
        <f>SUM(G83:M83)</f>
        <v>325.40153598963099</v>
      </c>
      <c r="O83" s="1029"/>
      <c r="P83" s="135">
        <f t="shared" ref="P83:U83" si="27">P65+P71+P77</f>
        <v>55.221436906851913</v>
      </c>
      <c r="Q83" s="135">
        <f t="shared" si="27"/>
        <v>19.843761424616737</v>
      </c>
      <c r="R83" s="135">
        <f t="shared" si="27"/>
        <v>67.874443536269865</v>
      </c>
      <c r="S83" s="135">
        <f t="shared" si="27"/>
        <v>45.71271987461423</v>
      </c>
      <c r="T83" s="135">
        <f t="shared" si="27"/>
        <v>24.908347465052572</v>
      </c>
      <c r="U83" s="135">
        <f t="shared" si="27"/>
        <v>20.467816244733097</v>
      </c>
      <c r="V83" s="135"/>
      <c r="W83" s="135">
        <f>SUM(P83:V83)</f>
        <v>234.02852545213841</v>
      </c>
      <c r="Y83" s="817">
        <f>N83*wkday_per_yr</f>
        <v>81350.383997407742</v>
      </c>
      <c r="Z83" s="817">
        <f>W83*wkend_per_yr</f>
        <v>26913.280426995916</v>
      </c>
      <c r="AA83" s="817">
        <f>Y83+Z83</f>
        <v>108263.66442440366</v>
      </c>
      <c r="AB83" s="817"/>
      <c r="AG83" s="1019">
        <f>ROW()</f>
        <v>83</v>
      </c>
    </row>
    <row r="84" spans="2:33" ht="12">
      <c r="B84" s="1021"/>
      <c r="E84" s="1020"/>
      <c r="F84" s="902"/>
      <c r="G84" s="135"/>
      <c r="H84" s="135"/>
      <c r="I84" s="135"/>
      <c r="J84" s="135"/>
      <c r="K84" s="135"/>
      <c r="L84" s="135"/>
      <c r="M84" s="135"/>
      <c r="N84" s="1138"/>
      <c r="O84" s="1029"/>
      <c r="P84" s="135"/>
      <c r="Q84" s="135"/>
      <c r="R84" s="135"/>
      <c r="S84" s="135"/>
      <c r="T84" s="135"/>
      <c r="U84" s="135"/>
      <c r="V84" s="135"/>
      <c r="W84" s="135"/>
      <c r="AG84" s="1019">
        <f>ROW()</f>
        <v>84</v>
      </c>
    </row>
    <row r="85" spans="2:33" ht="12">
      <c r="B85" s="985" t="s">
        <v>466</v>
      </c>
      <c r="G85" s="1031"/>
      <c r="H85" s="1031"/>
      <c r="I85" s="1031"/>
      <c r="J85" s="1031"/>
      <c r="K85" s="1031"/>
      <c r="L85" s="1031"/>
      <c r="M85" s="1031"/>
      <c r="N85" s="1137"/>
      <c r="O85" s="1029"/>
      <c r="AG85" s="1019">
        <f>ROW()</f>
        <v>85</v>
      </c>
    </row>
    <row r="86" spans="2:33">
      <c r="B86" s="275" t="s">
        <v>1930</v>
      </c>
      <c r="G86" s="1028">
        <f>'Motor Vs'!G200</f>
        <v>55</v>
      </c>
      <c r="H86" s="1028">
        <f>'Motor Vs'!H200</f>
        <v>44.21060782845241</v>
      </c>
      <c r="I86" s="1028">
        <f>'Motor Vs'!I200</f>
        <v>17.071636237590194</v>
      </c>
      <c r="J86" s="1028">
        <f>'Motor Vs'!J200</f>
        <v>20.301370221590386</v>
      </c>
      <c r="K86" s="1028">
        <f>'Motor Vs'!K200</f>
        <v>24.008086562678411</v>
      </c>
      <c r="L86" s="1028">
        <f>'Motor Vs'!L200</f>
        <v>15.481363917407503</v>
      </c>
      <c r="M86" s="1028">
        <f>'Motor Vs'!M200</f>
        <v>25.879955628508849</v>
      </c>
      <c r="N86" s="1137"/>
      <c r="O86" s="1029"/>
      <c r="P86" s="1028">
        <f>'Motor Vs Weekends'!G200</f>
        <v>53.892819398314273</v>
      </c>
      <c r="Q86" s="1028">
        <f>'Motor Vs Weekends'!H200</f>
        <v>30.025936900764989</v>
      </c>
      <c r="R86" s="1028">
        <f>'Motor Vs Weekends'!I200</f>
        <v>22.417363279123798</v>
      </c>
      <c r="S86" s="1028">
        <f>'Motor Vs Weekends'!J200</f>
        <v>20.15974744174078</v>
      </c>
      <c r="T86" s="1028">
        <f>'Motor Vs Weekends'!K200</f>
        <v>25.611658347782868</v>
      </c>
      <c r="U86" s="1028">
        <f>'Motor Vs Weekends'!L200</f>
        <v>31.144695461388313</v>
      </c>
      <c r="V86" s="1028"/>
      <c r="AG86" s="1019">
        <f>ROW()</f>
        <v>86</v>
      </c>
    </row>
    <row r="87" spans="2:33">
      <c r="B87" s="494" t="str">
        <f>CONCATENATE("From Motor Vs (Motor Vs Weekend) worksheet, Row ",'Motor Vs'!O200, ".")</f>
        <v>From Motor Vs (Motor Vs Weekend) worksheet, Row 200.</v>
      </c>
      <c r="G87" s="1028"/>
      <c r="H87" s="1028"/>
      <c r="I87" s="1028"/>
      <c r="J87" s="1028"/>
      <c r="K87" s="1028"/>
      <c r="L87" s="1028"/>
      <c r="M87" s="1028"/>
      <c r="N87" s="1137"/>
      <c r="O87" s="1029"/>
      <c r="P87" s="1028"/>
      <c r="Q87" s="1028"/>
      <c r="R87" s="1028"/>
      <c r="S87" s="1028"/>
      <c r="T87" s="1028"/>
      <c r="U87" s="1028"/>
      <c r="V87" s="1028"/>
      <c r="AG87" s="1019">
        <f>ROW()</f>
        <v>87</v>
      </c>
    </row>
    <row r="88" spans="2:33">
      <c r="B88" s="275" t="s">
        <v>1927</v>
      </c>
      <c r="G88" s="135"/>
      <c r="H88" s="135"/>
      <c r="I88" s="135"/>
      <c r="J88" s="135"/>
      <c r="K88" s="135"/>
      <c r="L88" s="135"/>
      <c r="M88" s="135"/>
      <c r="N88" s="1137"/>
      <c r="O88" s="1029"/>
      <c r="AG88" s="1019">
        <f>ROW()</f>
        <v>88</v>
      </c>
    </row>
    <row r="89" spans="2:33">
      <c r="B89" s="912" t="s">
        <v>1388</v>
      </c>
      <c r="G89" s="135">
        <f>'Motor Vs'!P167+'Motor Vs'!Y167+'Motor Vs'!AH167+'Motor Vs'!AQ167</f>
        <v>7033756.0206940044</v>
      </c>
      <c r="H89" s="135">
        <f>'Motor Vs'!Q167+'Motor Vs'!Z167+'Motor Vs'!AI167+'Motor Vs'!AR167</f>
        <v>1851470.4311690645</v>
      </c>
      <c r="I89" s="135">
        <f>'Motor Vs'!R167+'Motor Vs'!AA167+'Motor Vs'!AJ167+'Motor Vs'!AS167</f>
        <v>10417700.743045818</v>
      </c>
      <c r="J89" s="135">
        <f>'Motor Vs'!S167+'Motor Vs'!AB167+'Motor Vs'!AK167+'Motor Vs'!AT167</f>
        <v>3176989.5671238368</v>
      </c>
      <c r="K89" s="135">
        <f>'Motor Vs'!T167+'Motor Vs'!AC167+'Motor Vs'!AL167+'Motor Vs'!AU167</f>
        <v>11571236.831595188</v>
      </c>
      <c r="L89" s="135">
        <f>'Motor Vs'!U167+'Motor Vs'!AD167+'Motor Vs'!AM167+'Motor Vs'!AV167</f>
        <v>21863887.082072739</v>
      </c>
      <c r="M89" s="135">
        <f>'Motor Vs'!V167+'Motor Vs'!AE167+'Motor Vs'!AN167+'Motor Vs'!AW167</f>
        <v>8307952.5022629173</v>
      </c>
      <c r="N89" s="1138">
        <f>SUM(G89:M89)</f>
        <v>64222993.17796357</v>
      </c>
      <c r="O89" s="1029"/>
      <c r="P89" s="135">
        <f>'Motor Vs Weekends'!P167+'Motor Vs Weekends'!Y167+'Motor Vs Weekends'!AH167+'Motor Vs Weekends'!AQ167</f>
        <v>15652667.194414049</v>
      </c>
      <c r="Q89" s="135">
        <f>'Motor Vs Weekends'!Q167+'Motor Vs Weekends'!Z167+'Motor Vs Weekends'!AI167+'Motor Vs Weekends'!AR167</f>
        <v>5198626.5961009832</v>
      </c>
      <c r="R89" s="135">
        <f>'Motor Vs Weekends'!R167+'Motor Vs Weekends'!AA167+'Motor Vs Weekends'!AJ167+'Motor Vs Weekends'!AS167</f>
        <v>15572788.360310931</v>
      </c>
      <c r="S89" s="135">
        <f>'Motor Vs Weekends'!S167+'Motor Vs Weekends'!AB167+'Motor Vs Weekends'!AK167+'Motor Vs Weekends'!AT167</f>
        <v>9904829.9308961481</v>
      </c>
      <c r="T89" s="135">
        <f>'Motor Vs Weekends'!T167+'Motor Vs Weekends'!AC167+'Motor Vs Weekends'!AL167+'Motor Vs Weekends'!AU167</f>
        <v>5758364.1521058371</v>
      </c>
      <c r="U89" s="135">
        <f>'Motor Vs Weekends'!U167+'Motor Vs Weekends'!AD167+'Motor Vs Weekends'!AM167+'Motor Vs Weekends'!AV167</f>
        <v>5066919.9324313039</v>
      </c>
      <c r="W89" s="135">
        <f>SUM(P89:V89)</f>
        <v>57154196.166259252</v>
      </c>
      <c r="Y89" s="817">
        <f>N89*wkday_per_yr</f>
        <v>16055748294.490892</v>
      </c>
      <c r="Z89" s="817">
        <f>W89*wkend_per_yr</f>
        <v>6572732559.1198139</v>
      </c>
      <c r="AA89" s="817">
        <f>Y89+Z89</f>
        <v>22628480853.610706</v>
      </c>
      <c r="AB89" s="817"/>
      <c r="AG89" s="1019">
        <f>ROW()</f>
        <v>89</v>
      </c>
    </row>
    <row r="90" spans="2:33">
      <c r="B90" s="912" t="s">
        <v>1509</v>
      </c>
      <c r="G90" s="135">
        <f>'Motor Vs'!AZ167</f>
        <v>297715.81306110707</v>
      </c>
      <c r="H90" s="135">
        <f>'Motor Vs'!BA167</f>
        <v>81218.326565565541</v>
      </c>
      <c r="I90" s="135">
        <f>'Motor Vs'!BB167</f>
        <v>468334.27051610599</v>
      </c>
      <c r="J90" s="135">
        <f>'Motor Vs'!BC167</f>
        <v>142747.331173221</v>
      </c>
      <c r="K90" s="135">
        <f>'Motor Vs'!BD167</f>
        <v>513882.18176697521</v>
      </c>
      <c r="L90" s="135">
        <f>'Motor Vs'!BE167</f>
        <v>962367.78964749083</v>
      </c>
      <c r="M90" s="135">
        <f>'Motor Vs'!BF167</f>
        <v>358325.36503908422</v>
      </c>
      <c r="N90" s="1138">
        <f>SUM(G90:M90)</f>
        <v>2824591.0777695496</v>
      </c>
      <c r="O90" s="1029"/>
      <c r="P90" s="135">
        <f>'Motor Vs Weekends'!AZ167</f>
        <v>258042.66941903418</v>
      </c>
      <c r="Q90" s="135">
        <f>'Motor Vs Weekends'!BA167</f>
        <v>85795.184500951727</v>
      </c>
      <c r="R90" s="135">
        <f>'Motor Vs Weekends'!BB167</f>
        <v>261365.64132153333</v>
      </c>
      <c r="S90" s="135">
        <f>'Motor Vs Weekends'!BC167</f>
        <v>167230.4539831953</v>
      </c>
      <c r="T90" s="135">
        <f>'Motor Vs Weekends'!BD167</f>
        <v>96617.499869592866</v>
      </c>
      <c r="U90" s="135">
        <f>'Motor Vs Weekends'!BE167</f>
        <v>85121.367282968014</v>
      </c>
      <c r="W90" s="135">
        <f>SUM(P90:V90)</f>
        <v>954172.81637727551</v>
      </c>
      <c r="Y90" s="817">
        <f>N90*wkday_per_yr</f>
        <v>706147769.44238734</v>
      </c>
      <c r="Z90" s="817">
        <f>W90*wkend_per_yr</f>
        <v>109729873.88338669</v>
      </c>
      <c r="AA90" s="817">
        <f>Y90+Z90</f>
        <v>815877643.32577407</v>
      </c>
      <c r="AB90" s="817"/>
      <c r="AG90" s="1019">
        <f>ROW()</f>
        <v>90</v>
      </c>
    </row>
    <row r="91" spans="2:33">
      <c r="B91" s="912" t="s">
        <v>810</v>
      </c>
      <c r="G91" s="135">
        <f>'Motor Vs'!BI167</f>
        <v>123582.23819088546</v>
      </c>
      <c r="H91" s="135">
        <f>'Motor Vs'!BJ167</f>
        <v>33713.837622157764</v>
      </c>
      <c r="I91" s="135">
        <f>'Motor Vs'!BK167</f>
        <v>194406.19151793729</v>
      </c>
      <c r="J91" s="135">
        <f>'Motor Vs'!BL167</f>
        <v>59254.610968686888</v>
      </c>
      <c r="K91" s="135">
        <f>'Motor Vs'!BM167</f>
        <v>213313.19131558284</v>
      </c>
      <c r="L91" s="135">
        <f>'Motor Vs'!BN167</f>
        <v>399480.17602626001</v>
      </c>
      <c r="M91" s="135">
        <f>'Motor Vs'!BO167</f>
        <v>148741.34550255461</v>
      </c>
      <c r="N91" s="1138">
        <f>SUM(G91:M91)</f>
        <v>1172491.5911440649</v>
      </c>
      <c r="O91" s="1029"/>
      <c r="P91" s="135">
        <f>'Motor Vs Weekends'!BI167</f>
        <v>158982.35594959324</v>
      </c>
      <c r="Q91" s="135">
        <f>'Motor Vs Weekends'!BJ167</f>
        <v>52859.167019937842</v>
      </c>
      <c r="R91" s="135">
        <f>'Motor Vs Weekends'!BK167</f>
        <v>161029.66813638405</v>
      </c>
      <c r="S91" s="135">
        <f>'Motor Vs Weekends'!BL167</f>
        <v>103032.15208797283</v>
      </c>
      <c r="T91" s="135">
        <f>'Motor Vs Weekends'!BM167</f>
        <v>59526.890610031602</v>
      </c>
      <c r="U91" s="135">
        <f>'Motor Vs Weekends'!BN167</f>
        <v>52444.022311368375</v>
      </c>
      <c r="W91" s="135">
        <f>SUM(P91:V91)</f>
        <v>587874.25611528789</v>
      </c>
      <c r="Y91" s="817">
        <f>N91*wkday_per_yr</f>
        <v>293122897.78601623</v>
      </c>
      <c r="Z91" s="817">
        <f>W91*wkend_per_yr</f>
        <v>67605539.453258112</v>
      </c>
      <c r="AA91" s="817">
        <f>Y91+Z91</f>
        <v>360728437.23927432</v>
      </c>
      <c r="AB91" s="817"/>
      <c r="AG91" s="1019">
        <f>ROW()</f>
        <v>91</v>
      </c>
    </row>
    <row r="92" spans="2:33">
      <c r="B92" s="275"/>
      <c r="G92" s="1028"/>
      <c r="H92" s="1028"/>
      <c r="I92" s="1028"/>
      <c r="J92" s="1028"/>
      <c r="K92" s="1028"/>
      <c r="L92" s="1028"/>
      <c r="M92" s="1028"/>
      <c r="N92" s="1137"/>
      <c r="O92" s="1029"/>
      <c r="P92" s="1028"/>
      <c r="Q92" s="1028"/>
      <c r="R92" s="1028"/>
      <c r="S92" s="1028"/>
      <c r="T92" s="1028"/>
      <c r="U92" s="1028"/>
      <c r="V92" s="1028"/>
      <c r="AG92" s="1019">
        <f>ROW()</f>
        <v>92</v>
      </c>
    </row>
    <row r="93" spans="2:33">
      <c r="B93" s="275" t="s">
        <v>650</v>
      </c>
      <c r="G93" s="1030">
        <f t="shared" ref="G93:M93" si="28">EXP(barthB0+barthB1*G86+barthB2*G86^2+barthB3*G86^3+barthB4*G86^4)</f>
        <v>327.5710223658815</v>
      </c>
      <c r="H93" s="1030">
        <f t="shared" si="28"/>
        <v>323.17495401652508</v>
      </c>
      <c r="I93" s="1030">
        <f t="shared" si="28"/>
        <v>474.96015752072384</v>
      </c>
      <c r="J93" s="1030">
        <f t="shared" si="28"/>
        <v>420.23173216251354</v>
      </c>
      <c r="K93" s="1030">
        <f t="shared" si="28"/>
        <v>379.3293432286444</v>
      </c>
      <c r="L93" s="1030">
        <f t="shared" si="28"/>
        <v>511.27293102968639</v>
      </c>
      <c r="M93" s="1030">
        <f t="shared" si="28"/>
        <v>364.86768575624825</v>
      </c>
      <c r="N93" s="1137"/>
      <c r="O93" s="1029"/>
      <c r="P93" s="1030">
        <f t="shared" ref="P93:U93" si="29">EXP(barthB0+barthB1*P86+barthB2*P86^2+barthB3*P86^3+barthB4*P86^4)</f>
        <v>326.8313629812975</v>
      </c>
      <c r="Q93" s="1030">
        <f t="shared" si="29"/>
        <v>343.06842571116999</v>
      </c>
      <c r="R93" s="1030">
        <f t="shared" si="29"/>
        <v>394.60756572029464</v>
      </c>
      <c r="S93" s="1030">
        <f t="shared" si="29"/>
        <v>422.19866472796349</v>
      </c>
      <c r="T93" s="1030">
        <f t="shared" si="29"/>
        <v>366.73433892383684</v>
      </c>
      <c r="U93" s="1030">
        <f t="shared" si="29"/>
        <v>339.04154789400883</v>
      </c>
      <c r="AG93" s="1019">
        <f>ROW()</f>
        <v>93</v>
      </c>
    </row>
    <row r="94" spans="2:33">
      <c r="B94" s="275"/>
      <c r="G94" s="1030"/>
      <c r="H94" s="1030"/>
      <c r="I94" s="1030"/>
      <c r="J94" s="1030"/>
      <c r="K94" s="1030"/>
      <c r="L94" s="1030"/>
      <c r="M94" s="1030"/>
      <c r="N94" s="1137"/>
      <c r="O94" s="1029"/>
      <c r="P94" s="1030"/>
      <c r="Q94" s="1030"/>
      <c r="R94" s="1030"/>
      <c r="S94" s="1030"/>
      <c r="T94" s="1030"/>
      <c r="U94" s="1030"/>
      <c r="AG94" s="1019">
        <f>ROW()</f>
        <v>94</v>
      </c>
    </row>
    <row r="95" spans="2:33">
      <c r="B95" s="1101" t="s">
        <v>651</v>
      </c>
      <c r="G95" s="1030"/>
      <c r="H95" s="1030"/>
      <c r="I95" s="1030"/>
      <c r="J95" s="1030"/>
      <c r="K95" s="1030"/>
      <c r="L95" s="1030"/>
      <c r="M95" s="1030"/>
      <c r="N95" s="1137"/>
      <c r="O95" s="1029"/>
      <c r="P95" s="1030"/>
      <c r="Q95" s="1030"/>
      <c r="R95" s="1030"/>
      <c r="S95" s="1030"/>
      <c r="T95" s="1030"/>
      <c r="U95" s="1030"/>
      <c r="V95" s="1030"/>
      <c r="AG95" s="1019">
        <f>ROW()</f>
        <v>95</v>
      </c>
    </row>
    <row r="96" spans="2:33">
      <c r="B96" s="496" t="s">
        <v>541</v>
      </c>
      <c r="G96" s="1098"/>
      <c r="H96" s="1098"/>
      <c r="I96" s="1098"/>
      <c r="J96" s="1098"/>
      <c r="K96" s="1098"/>
      <c r="L96" s="1098"/>
      <c r="M96" s="1098"/>
      <c r="N96" s="1137"/>
      <c r="O96" s="1029"/>
      <c r="P96" s="1030"/>
      <c r="Q96" s="1030"/>
      <c r="R96" s="1030"/>
      <c r="S96" s="1030"/>
      <c r="T96" s="1030"/>
      <c r="U96" s="1030"/>
      <c r="V96" s="1030"/>
      <c r="AG96" s="1019">
        <f>ROW()</f>
        <v>96</v>
      </c>
    </row>
    <row r="97" spans="2:33">
      <c r="B97" s="1099" t="s">
        <v>2494</v>
      </c>
      <c r="G97" s="1030">
        <f>G93</f>
        <v>327.5710223658815</v>
      </c>
      <c r="H97" s="1030">
        <f t="shared" ref="H97:M97" si="30">H93</f>
        <v>323.17495401652508</v>
      </c>
      <c r="I97" s="1030">
        <f t="shared" si="30"/>
        <v>474.96015752072384</v>
      </c>
      <c r="J97" s="1030">
        <f t="shared" si="30"/>
        <v>420.23173216251354</v>
      </c>
      <c r="K97" s="1030">
        <f t="shared" si="30"/>
        <v>379.3293432286444</v>
      </c>
      <c r="L97" s="1030">
        <f t="shared" si="30"/>
        <v>511.27293102968639</v>
      </c>
      <c r="M97" s="1030">
        <f t="shared" si="30"/>
        <v>364.86768575624825</v>
      </c>
      <c r="N97" s="1137"/>
      <c r="O97" s="1029"/>
      <c r="P97" s="1030">
        <f t="shared" ref="P97:U97" si="31">P93</f>
        <v>326.8313629812975</v>
      </c>
      <c r="Q97" s="1030">
        <f t="shared" si="31"/>
        <v>343.06842571116999</v>
      </c>
      <c r="R97" s="1030">
        <f t="shared" si="31"/>
        <v>394.60756572029464</v>
      </c>
      <c r="S97" s="1030">
        <f t="shared" si="31"/>
        <v>422.19866472796349</v>
      </c>
      <c r="T97" s="1030">
        <f t="shared" si="31"/>
        <v>366.73433892383684</v>
      </c>
      <c r="U97" s="1030">
        <f t="shared" si="31"/>
        <v>339.04154789400883</v>
      </c>
      <c r="V97" s="1030"/>
      <c r="AG97" s="1019">
        <f>ROW()</f>
        <v>97</v>
      </c>
    </row>
    <row r="98" spans="2:33">
      <c r="B98" s="1099" t="s">
        <v>1057</v>
      </c>
      <c r="G98" s="1098">
        <f>EMFAC!$E52*G$86^2 + EMFAC!$F52*G$86 + EMFAC!$G52</f>
        <v>0.17281822612085818</v>
      </c>
      <c r="H98" s="1098">
        <f>EMFAC!$E52*H$86^2 + EMFAC!$F52*H$86 + EMFAC!$G52</f>
        <v>9.5371964135343545E-2</v>
      </c>
      <c r="I98" s="1098">
        <f>EMFAC!$E52*I$86^2 + EMFAC!$F52*I$86 + EMFAC!$G52</f>
        <v>0.31007974420549683</v>
      </c>
      <c r="J98" s="1098">
        <f>EMFAC!$E52*J$86^2 + EMFAC!$F52*J$86 + EMFAC!$G52</f>
        <v>0.2538065714320818</v>
      </c>
      <c r="K98" s="1098">
        <f>EMFAC!$E52*K$86^2 + EMFAC!$F52*K$86 + EMFAC!$G52</f>
        <v>0.19945175528396675</v>
      </c>
      <c r="L98" s="1098">
        <f>EMFAC!$E52*L$86^2 + EMFAC!$F52*L$86 + EMFAC!$G52</f>
        <v>0.34083729832429122</v>
      </c>
      <c r="M98" s="1098">
        <f>EMFAC!$E52*M$86^2 + EMFAC!$F52*M$86 + EMFAC!$G52</f>
        <v>0.17615730267007312</v>
      </c>
      <c r="N98" s="1137"/>
      <c r="O98" s="1029"/>
      <c r="P98" s="1098">
        <f>EMFAC!$E52*P$86^2 + EMFAC!$F52*P$86 + EMFAC!$G52</f>
        <v>0.16060605579733145</v>
      </c>
      <c r="Q98" s="1098">
        <f>EMFAC!$E52*Q$86^2 + EMFAC!$F52*Q$86 + EMFAC!$G52</f>
        <v>0.13448875314858499</v>
      </c>
      <c r="R98" s="1098">
        <f>EMFAC!$E52*R$86^2 + EMFAC!$F52*R$86 + EMFAC!$G52</f>
        <v>0.22143880559447582</v>
      </c>
      <c r="S98" s="1098">
        <f>EMFAC!$E52*S$86^2 + EMFAC!$F52*S$86 + EMFAC!$G52</f>
        <v>0.2561001375893816</v>
      </c>
      <c r="T98" s="1098">
        <f>EMFAC!$E52*T$86^2 + EMFAC!$F52*T$86 + EMFAC!$G52</f>
        <v>0.17932496076272486</v>
      </c>
      <c r="U98" s="1098">
        <f>EMFAC!$E52*U$86^2 + EMFAC!$F52*U$86 + EMFAC!$G52</f>
        <v>0.12558810832069134</v>
      </c>
      <c r="V98" s="1098"/>
      <c r="AG98" s="1019">
        <f>ROW()</f>
        <v>98</v>
      </c>
    </row>
    <row r="99" spans="2:33">
      <c r="B99" s="1099" t="s">
        <v>1058</v>
      </c>
      <c r="G99" s="1098">
        <f>EMFAC!$E53*G$86^2 + EMFAC!$F53*G$86 + EMFAC!$G53</f>
        <v>2.9973600217864922</v>
      </c>
      <c r="H99" s="1098">
        <f>EMFAC!$E53*H$86^2 + EMFAC!$F53*H$86 + EMFAC!$G53</f>
        <v>2.806751291891616</v>
      </c>
      <c r="I99" s="1098">
        <f>EMFAC!$E53*I$86^2 + EMFAC!$F53*I$86 + EMFAC!$G53</f>
        <v>4.6148168297671717</v>
      </c>
      <c r="J99" s="1098">
        <f>EMFAC!$E53*J$86^2 + EMFAC!$F53*J$86 + EMFAC!$G53</f>
        <v>4.2280356936289536</v>
      </c>
      <c r="K99" s="1098">
        <f>EMFAC!$E53*K$86^2 + EMFAC!$F53*K$86 + EMFAC!$G53</f>
        <v>3.8412718533027608</v>
      </c>
      <c r="L99" s="1098">
        <f>EMFAC!$E53*L$86^2 + EMFAC!$F53*L$86 + EMFAC!$G53</f>
        <v>4.8222963497665967</v>
      </c>
      <c r="M99" s="1098">
        <f>EMFAC!$E53*M$86^2 + EMFAC!$F53*M$86 + EMFAC!$G53</f>
        <v>3.6691647460647099</v>
      </c>
      <c r="N99" s="1137"/>
      <c r="O99" s="1029"/>
      <c r="P99" s="1098">
        <f>EMFAC!$E53*P$86^2 + EMFAC!$F53*P$86 + EMFAC!$G53</f>
        <v>2.9539771027603088</v>
      </c>
      <c r="Q99" s="1098">
        <f>EMFAC!$E53*Q$86^2 + EMFAC!$F53*Q$86 + EMFAC!$G53</f>
        <v>3.3434132281783482</v>
      </c>
      <c r="R99" s="1098">
        <f>EMFAC!$E53*R$86^2 + EMFAC!$F53*R$86 + EMFAC!$G53</f>
        <v>3.9997698676038973</v>
      </c>
      <c r="S99" s="1098">
        <f>EMFAC!$E53*S$86^2 + EMFAC!$F53*S$86 + EMFAC!$G53</f>
        <v>4.2440239973331479</v>
      </c>
      <c r="T99" s="1098">
        <f>EMFAC!$E53*T$86^2 + EMFAC!$F53*T$86 + EMFAC!$G53</f>
        <v>3.6928769525426617</v>
      </c>
      <c r="U99" s="1098">
        <f>EMFAC!$E53*U$86^2 + EMFAC!$F53*U$86 + EMFAC!$G53</f>
        <v>3.2686012677271989</v>
      </c>
      <c r="V99" s="1098"/>
      <c r="AG99" s="1019">
        <f>ROW()</f>
        <v>99</v>
      </c>
    </row>
    <row r="100" spans="2:33">
      <c r="B100" s="1099" t="s">
        <v>1044</v>
      </c>
      <c r="G100" s="1098">
        <f>EMFAC!$E54*G$86^2 + EMFAC!$F54*G$86 + EMFAC!$G54</f>
        <v>0.44460136452241728</v>
      </c>
      <c r="H100" s="1098">
        <f>EMFAC!$E54*H$86^2 + EMFAC!$F54*H$86 + EMFAC!$G54</f>
        <v>0.40179659377299759</v>
      </c>
      <c r="I100" s="1098">
        <f>EMFAC!$E54*I$86^2 + EMFAC!$F54*I$86 + EMFAC!$G54</f>
        <v>0.53235625676566212</v>
      </c>
      <c r="J100" s="1098">
        <f>EMFAC!$E54*J$86^2 + EMFAC!$F54*J$86 + EMFAC!$G54</f>
        <v>0.49894692218587799</v>
      </c>
      <c r="K100" s="1098">
        <f>EMFAC!$E54*K$86^2 + EMFAC!$F54*K$86 + EMFAC!$G54</f>
        <v>0.46655415922998072</v>
      </c>
      <c r="L100" s="1098">
        <f>EMFAC!$E54*L$86^2 + EMFAC!$F54*L$86 + EMFAC!$G54</f>
        <v>0.55058051375176409</v>
      </c>
      <c r="M100" s="1098">
        <f>EMFAC!$E54*M$86^2 + EMFAC!$F54*M$86 + EMFAC!$G54</f>
        <v>0.45261278110288028</v>
      </c>
      <c r="N100" s="1137"/>
      <c r="O100" s="1029"/>
      <c r="P100" s="1098">
        <f>EMFAC!$E54*P$86^2 + EMFAC!$F54*P$86 + EMFAC!$G54</f>
        <v>0.43772783482853994</v>
      </c>
      <c r="Q100" s="1098">
        <f>EMFAC!$E54*Q$86^2 + EMFAC!$F54*Q$86 + EMFAC!$G54</f>
        <v>0.42750854875338395</v>
      </c>
      <c r="R100" s="1098">
        <f>EMFAC!$E54*R$86^2 + EMFAC!$F54*R$86 + EMFAC!$G54</f>
        <v>0.47967637826921888</v>
      </c>
      <c r="S100" s="1098">
        <f>EMFAC!$E54*S$86^2 + EMFAC!$F54*S$86 + EMFAC!$G54</f>
        <v>0.50031069168936071</v>
      </c>
      <c r="T100" s="1098">
        <f>EMFAC!$E54*T$86^2 + EMFAC!$F54*T$86 + EMFAC!$G54</f>
        <v>0.45451144317484327</v>
      </c>
      <c r="U100" s="1098">
        <f>EMFAC!$E54*U$86^2 + EMFAC!$F54*U$86 + EMFAC!$G54</f>
        <v>0.42209754682036843</v>
      </c>
      <c r="V100" s="1098"/>
      <c r="AG100" s="1019">
        <f>ROW()</f>
        <v>100</v>
      </c>
    </row>
    <row r="101" spans="2:33">
      <c r="B101" s="1099" t="s">
        <v>1054</v>
      </c>
      <c r="G101" s="1098">
        <f>EMFAC!$E55*G$86^2 + EMFAC!$F55*G$86 + EMFAC!$G55</f>
        <v>3.9491658066735505E-2</v>
      </c>
      <c r="H101" s="1098">
        <f>EMFAC!$E55*H$86^2 + EMFAC!$F55*H$86 + EMFAC!$G55</f>
        <v>2.9380673019907252E-2</v>
      </c>
      <c r="I101" s="1098">
        <f>EMFAC!$E55*I$86^2 + EMFAC!$F55*I$86 + EMFAC!$G55</f>
        <v>5.580003601028595E-2</v>
      </c>
      <c r="J101" s="1098">
        <f>EMFAC!$E55*J$86^2 + EMFAC!$F55*J$86 + EMFAC!$G55</f>
        <v>4.87660288455396E-2</v>
      </c>
      <c r="K101" s="1098">
        <f>EMFAC!$E55*K$86^2 + EMFAC!$F55*K$86 + EMFAC!$G55</f>
        <v>4.1988397572939262E-2</v>
      </c>
      <c r="L101" s="1098">
        <f>EMFAC!$E55*L$86^2 + EMFAC!$F55*L$86 + EMFAC!$G55</f>
        <v>5.9649598718868282E-2</v>
      </c>
      <c r="M101" s="1098">
        <f>EMFAC!$E55*M$86^2 + EMFAC!$F55*M$86 + EMFAC!$G55</f>
        <v>3.909176079814948E-2</v>
      </c>
      <c r="N101" s="1137"/>
      <c r="O101" s="1029"/>
      <c r="P101" s="1098">
        <f>EMFAC!$E55*P$86^2 + EMFAC!$F55*P$86 + EMFAC!$G55</f>
        <v>3.7914085772288372E-2</v>
      </c>
      <c r="Q101" s="1098">
        <f>EMFAC!$E55*Q$86^2 + EMFAC!$F55*Q$86 + EMFAC!$G55</f>
        <v>3.3932861730519764E-2</v>
      </c>
      <c r="R101" s="1098">
        <f>EMFAC!$E55*R$86^2 + EMFAC!$F55*R$86 + EMFAC!$G55</f>
        <v>4.4727435205805258E-2</v>
      </c>
      <c r="S101" s="1098">
        <f>EMFAC!$E55*S$86^2 + EMFAC!$F55*S$86 + EMFAC!$G55</f>
        <v>4.9052436806454838E-2</v>
      </c>
      <c r="T101" s="1098">
        <f>EMFAC!$E55*T$86^2 + EMFAC!$F55*T$86 + EMFAC!$G55</f>
        <v>3.9485266640217079E-2</v>
      </c>
      <c r="U101" s="1098">
        <f>EMFAC!$E55*U$86^2 + EMFAC!$F55*U$86 + EMFAC!$G55</f>
        <v>3.2837477787179728E-2</v>
      </c>
      <c r="V101" s="1098"/>
      <c r="AG101" s="1019">
        <f>ROW()</f>
        <v>101</v>
      </c>
    </row>
    <row r="102" spans="2:33">
      <c r="B102" s="496" t="s">
        <v>1509</v>
      </c>
      <c r="G102" s="1030"/>
      <c r="H102" s="1030"/>
      <c r="I102" s="1030"/>
      <c r="J102" s="1030"/>
      <c r="K102" s="1030"/>
      <c r="L102" s="1030"/>
      <c r="M102" s="1030"/>
      <c r="N102" s="1137"/>
      <c r="O102" s="1029"/>
      <c r="P102" s="1030"/>
      <c r="Q102" s="1030"/>
      <c r="R102" s="1030"/>
      <c r="S102" s="1030"/>
      <c r="T102" s="1030"/>
      <c r="U102" s="1030"/>
      <c r="V102" s="1030"/>
      <c r="AG102" s="1019">
        <f>ROW()</f>
        <v>102</v>
      </c>
    </row>
    <row r="103" spans="2:33">
      <c r="B103" s="1099" t="s">
        <v>2494</v>
      </c>
      <c r="G103" s="1030">
        <f t="shared" ref="G103:M103" si="32">G97*$U$8</f>
        <v>851.68465815129196</v>
      </c>
      <c r="H103" s="1030">
        <f t="shared" si="32"/>
        <v>840.25488044296526</v>
      </c>
      <c r="I103" s="1030">
        <f t="shared" si="32"/>
        <v>1234.896409553882</v>
      </c>
      <c r="J103" s="1030">
        <f t="shared" si="32"/>
        <v>1092.6025036225353</v>
      </c>
      <c r="K103" s="1030">
        <f t="shared" si="32"/>
        <v>986.25629239447551</v>
      </c>
      <c r="L103" s="1030">
        <f t="shared" si="32"/>
        <v>1329.3096206771847</v>
      </c>
      <c r="M103" s="1030">
        <f t="shared" si="32"/>
        <v>948.65598296624546</v>
      </c>
      <c r="N103" s="1137"/>
      <c r="O103" s="1029"/>
      <c r="P103" s="1030">
        <f t="shared" ref="P103:U103" si="33">P97*$U$8</f>
        <v>849.76154375137355</v>
      </c>
      <c r="Q103" s="1030">
        <f t="shared" si="33"/>
        <v>891.97790684904203</v>
      </c>
      <c r="R103" s="1030">
        <f t="shared" si="33"/>
        <v>1025.9796708727661</v>
      </c>
      <c r="S103" s="1030">
        <f t="shared" si="33"/>
        <v>1097.7165282927051</v>
      </c>
      <c r="T103" s="1030">
        <f t="shared" si="33"/>
        <v>953.5092812019758</v>
      </c>
      <c r="U103" s="1030">
        <f t="shared" si="33"/>
        <v>881.50802452442304</v>
      </c>
      <c r="V103" s="1030"/>
      <c r="AG103" s="1019">
        <f>ROW()</f>
        <v>103</v>
      </c>
    </row>
    <row r="104" spans="2:33">
      <c r="B104" s="1099" t="s">
        <v>1057</v>
      </c>
      <c r="G104" s="1098">
        <f>EMFAC!$M52*G$86^2 + EMFAC!$N52*G$86 + EMFAC!$O52</f>
        <v>0.25206854145166879</v>
      </c>
      <c r="H104" s="1098">
        <f>EMFAC!$M52*H$86^2 + EMFAC!$N52*H$86 + EMFAC!$O52</f>
        <v>0.16061257551892716</v>
      </c>
      <c r="I104" s="1098">
        <f>EMFAC!$M52*I$86^2 + EMFAC!$N52*I$86 + EMFAC!$O52</f>
        <v>0.62279178694398585</v>
      </c>
      <c r="J104" s="1098">
        <f>EMFAC!$M52*J$86^2 + EMFAC!$N52*J$86 + EMFAC!$O52</f>
        <v>0.51585887701068012</v>
      </c>
      <c r="K104" s="1098">
        <f>EMFAC!$M52*K$86^2 + EMFAC!$N52*K$86 + EMFAC!$O52</f>
        <v>0.41042438604812737</v>
      </c>
      <c r="L104" s="1098">
        <f>EMFAC!$M52*L$86^2 + EMFAC!$N52*L$86 + EMFAC!$O52</f>
        <v>0.68059868182477212</v>
      </c>
      <c r="M104" s="1098">
        <f>EMFAC!$M52*M$86^2 + EMFAC!$N52*M$86 + EMFAC!$O52</f>
        <v>0.36420304309353702</v>
      </c>
      <c r="N104" s="1137"/>
      <c r="O104" s="1029"/>
      <c r="P104" s="1098">
        <f>EMFAC!$M52*P$86^2 + EMFAC!$N52*P$86 + EMFAC!$O52</f>
        <v>0.23547446037515396</v>
      </c>
      <c r="Q104" s="1098">
        <f>EMFAC!$M52*Q$86^2 + EMFAC!$N52*Q$86 + EMFAC!$O52</f>
        <v>0.27860655460901684</v>
      </c>
      <c r="R104" s="1098">
        <f>EMFAC!$M52*R$86^2 + EMFAC!$N52*R$86 + EMFAC!$O52</f>
        <v>0.45340761409746022</v>
      </c>
      <c r="S104" s="1098">
        <f>EMFAC!$M52*S$86^2 + EMFAC!$N52*S$86 + EMFAC!$O52</f>
        <v>0.52025373739306169</v>
      </c>
      <c r="T104" s="1098">
        <f>EMFAC!$M52*T$86^2 + EMFAC!$N52*T$86 + EMFAC!$O52</f>
        <v>0.37053867529310169</v>
      </c>
      <c r="U104" s="1098">
        <f>EMFAC!$M52*U$86^2 + EMFAC!$N52*U$86 + EMFAC!$O52</f>
        <v>0.25947002032786592</v>
      </c>
      <c r="V104" s="1098"/>
      <c r="AG104" s="1019">
        <f>ROW()</f>
        <v>104</v>
      </c>
    </row>
    <row r="105" spans="2:33">
      <c r="B105" s="1099" t="s">
        <v>1058</v>
      </c>
      <c r="G105" s="1098">
        <f>EMFAC!$M53*G$86^2 + EMFAC!$N53*G$86 + EMFAC!$O53</f>
        <v>3.5415296697626424</v>
      </c>
      <c r="H105" s="1098">
        <f>EMFAC!$M53*H$86^2 + EMFAC!$N53*H$86 + EMFAC!$O53</f>
        <v>2.0621883176060418</v>
      </c>
      <c r="I105" s="1098">
        <f>EMFAC!$M53*I$86^2 + EMFAC!$N53*I$86 + EMFAC!$O53</f>
        <v>6.3183495069662392</v>
      </c>
      <c r="J105" s="1098">
        <f>EMFAC!$M53*J$86^2 + EMFAC!$N53*J$86 + EMFAC!$O53</f>
        <v>5.2133884529279104</v>
      </c>
      <c r="K105" s="1098">
        <f>EMFAC!$M53*K$86^2 + EMFAC!$N53*K$86 + EMFAC!$O53</f>
        <v>4.1445014328700367</v>
      </c>
      <c r="L105" s="1098">
        <f>EMFAC!$M53*L$86^2 + EMFAC!$N53*L$86 + EMFAC!$O53</f>
        <v>6.9218192174991549</v>
      </c>
      <c r="M105" s="1098">
        <f>EMFAC!$M53*M$86^2 + EMFAC!$N53*M$86 + EMFAC!$O53</f>
        <v>3.6856469144135922</v>
      </c>
      <c r="N105" s="1137"/>
      <c r="O105" s="1029"/>
      <c r="P105" s="1098">
        <f>EMFAC!$M53*P$86^2 + EMFAC!$N53*P$86 + EMFAC!$O53</f>
        <v>3.3066452858154811</v>
      </c>
      <c r="Q105" s="1098">
        <f>EMFAC!$M53*Q$86^2 + EMFAC!$N53*Q$86 + EMFAC!$O53</f>
        <v>2.862693246902527</v>
      </c>
      <c r="R105" s="1098">
        <f>EMFAC!$M53*R$86^2 + EMFAC!$N53*R$86 + EMFAC!$O53</f>
        <v>4.5771245715832567</v>
      </c>
      <c r="S105" s="1098">
        <f>EMFAC!$M53*S$86^2 + EMFAC!$N53*S$86 + EMFAC!$O53</f>
        <v>5.2584512614878545</v>
      </c>
      <c r="T105" s="1098">
        <f>EMFAC!$M53*T$86^2 + EMFAC!$N53*T$86 + EMFAC!$O53</f>
        <v>3.7480808449297349</v>
      </c>
      <c r="U105" s="1098">
        <f>EMFAC!$M53*U$86^2 + EMFAC!$N53*U$86 + EMFAC!$O53</f>
        <v>2.6862724473754227</v>
      </c>
      <c r="V105" s="1098"/>
      <c r="AG105" s="1019">
        <f>ROW()</f>
        <v>105</v>
      </c>
    </row>
    <row r="106" spans="2:33">
      <c r="B106" s="1099" t="s">
        <v>1044</v>
      </c>
      <c r="G106" s="1098">
        <f>EMFAC!$M54*G$86^2 + EMFAC!$N54*G$86 + EMFAC!$O54</f>
        <v>5.0930227038183702</v>
      </c>
      <c r="H106" s="1098">
        <f>EMFAC!$M54*H$86^2 + EMFAC!$N54*H$86 + EMFAC!$O54</f>
        <v>4.0982120205100676</v>
      </c>
      <c r="I106" s="1098">
        <f>EMFAC!$M54*I$86^2 + EMFAC!$N54*I$86 + EMFAC!$O54</f>
        <v>4.4879486728002043</v>
      </c>
      <c r="J106" s="1098">
        <f>EMFAC!$M54*J$86^2 + EMFAC!$N54*J$86 + EMFAC!$O54</f>
        <v>4.2246087296602379</v>
      </c>
      <c r="K106" s="1098">
        <f>EMFAC!$M54*K$86^2 + EMFAC!$N54*K$86 + EMFAC!$O54</f>
        <v>3.9946163377452053</v>
      </c>
      <c r="L106" s="1098">
        <f>EMFAC!$M54*L$86^2 + EMFAC!$N54*L$86 + EMFAC!$O54</f>
        <v>4.6391492000170391</v>
      </c>
      <c r="M106" s="1098">
        <f>EMFAC!$M54*M$86^2 + EMFAC!$N54*M$86 + EMFAC!$O54</f>
        <v>3.9078104765336734</v>
      </c>
      <c r="N106" s="1137"/>
      <c r="O106" s="1029"/>
      <c r="P106" s="1098">
        <f>EMFAC!$M54*P$86^2 + EMFAC!$N54*P$86 + EMFAC!$O54</f>
        <v>4.9608189404824579</v>
      </c>
      <c r="Q106" s="1098">
        <f>EMFAC!$M54*Q$86^2 + EMFAC!$N54*Q$86 + EMFAC!$O54</f>
        <v>3.785644335216424</v>
      </c>
      <c r="R106" s="1098">
        <f>EMFAC!$M54*R$86^2 + EMFAC!$N54*R$86 + EMFAC!$O54</f>
        <v>4.0838597106851964</v>
      </c>
      <c r="S106" s="1098">
        <f>EMFAC!$M54*S$86^2 + EMFAC!$N54*S$86 + EMFAC!$O54</f>
        <v>4.2349273313699216</v>
      </c>
      <c r="T106" s="1098">
        <f>EMFAC!$M54*T$86^2 + EMFAC!$N54*T$86 + EMFAC!$O54</f>
        <v>3.9190436824637418</v>
      </c>
      <c r="U106" s="1098">
        <f>EMFAC!$M54*U$86^2 + EMFAC!$N54*U$86 + EMFAC!$O54</f>
        <v>3.7692272710141901</v>
      </c>
      <c r="V106" s="1098"/>
      <c r="AG106" s="1019">
        <f>ROW()</f>
        <v>106</v>
      </c>
    </row>
    <row r="107" spans="2:33">
      <c r="B107" s="1099" t="s">
        <v>1054</v>
      </c>
      <c r="G107" s="1098">
        <f>EMFAC!$M55*G$86^2 + EMFAC!$N55*G$86 + EMFAC!$O55</f>
        <v>9.8709408324733405E-2</v>
      </c>
      <c r="H107" s="1098">
        <f>EMFAC!$M55*H$86^2 + EMFAC!$N55*H$86 + EMFAC!$O55</f>
        <v>9.2119823501715298E-2</v>
      </c>
      <c r="I107" s="1098">
        <f>EMFAC!$M55*I$86^2 + EMFAC!$N55*I$86 + EMFAC!$O55</f>
        <v>0.18830001118428236</v>
      </c>
      <c r="J107" s="1098">
        <f>EMFAC!$M55*J$86^2 + EMFAC!$N55*J$86 + EMFAC!$O55</f>
        <v>0.16839501647981328</v>
      </c>
      <c r="K107" s="1098">
        <f>EMFAC!$M55*K$86^2 + EMFAC!$N55*K$86 + EMFAC!$O55</f>
        <v>0.14836683261093581</v>
      </c>
      <c r="L107" s="1098">
        <f>EMFAC!$M55*L$86^2 + EMFAC!$N55*L$86 + EMFAC!$O55</f>
        <v>0.1989405804524666</v>
      </c>
      <c r="M107" s="1098">
        <f>EMFAC!$M55*M$86^2 + EMFAC!$N55*M$86 + EMFAC!$O55</f>
        <v>0.13939659775619798</v>
      </c>
      <c r="N107" s="1137"/>
      <c r="O107" s="1029"/>
      <c r="P107" s="1098">
        <f>EMFAC!$M55*P$86^2 + EMFAC!$N55*P$86 + EMFAC!$O55</f>
        <v>9.6858920035256368E-2</v>
      </c>
      <c r="Q107" s="1098">
        <f>EMFAC!$M55*Q$86^2 + EMFAC!$N55*Q$86 + EMFAC!$O55</f>
        <v>0.12226157969775067</v>
      </c>
      <c r="R107" s="1098">
        <f>EMFAC!$M55*R$86^2 + EMFAC!$N55*R$86 + EMFAC!$O55</f>
        <v>0.15659313922779178</v>
      </c>
      <c r="S107" s="1098">
        <f>EMFAC!$M55*S$86^2 + EMFAC!$N55*S$86 + EMFAC!$O55</f>
        <v>0.16921993630465382</v>
      </c>
      <c r="T107" s="1098">
        <f>EMFAC!$M55*T$86^2 + EMFAC!$N55*T$86 + EMFAC!$O55</f>
        <v>0.14063518395464392</v>
      </c>
      <c r="U107" s="1098">
        <f>EMFAC!$M55*U$86^2 + EMFAC!$N55*U$86 + EMFAC!$O55</f>
        <v>0.11828303478058297</v>
      </c>
      <c r="V107" s="1098"/>
      <c r="AG107" s="1019">
        <f>ROW()</f>
        <v>107</v>
      </c>
    </row>
    <row r="108" spans="2:33">
      <c r="B108" s="496" t="s">
        <v>810</v>
      </c>
      <c r="C108" s="912"/>
      <c r="G108" s="1030"/>
      <c r="H108" s="1030"/>
      <c r="I108" s="1030"/>
      <c r="J108" s="1030"/>
      <c r="K108" s="1030"/>
      <c r="L108" s="1030"/>
      <c r="M108" s="1030"/>
      <c r="N108" s="1137"/>
      <c r="O108" s="1029"/>
      <c r="P108" s="1030"/>
      <c r="Q108" s="1030"/>
      <c r="R108" s="1030"/>
      <c r="S108" s="1030"/>
      <c r="T108" s="1030"/>
      <c r="U108" s="1030"/>
      <c r="V108" s="1030"/>
      <c r="AG108" s="1019">
        <f>ROW()</f>
        <v>108</v>
      </c>
    </row>
    <row r="109" spans="2:33">
      <c r="B109" s="1099" t="s">
        <v>2494</v>
      </c>
      <c r="C109" s="912"/>
      <c r="G109" s="1030">
        <f t="shared" ref="G109:M109" si="34">G97*$U$10</f>
        <v>1116.963486100055</v>
      </c>
      <c r="H109" s="1030">
        <f t="shared" si="34"/>
        <v>1101.9736136956922</v>
      </c>
      <c r="I109" s="1030">
        <f t="shared" si="34"/>
        <v>1619.5362748247633</v>
      </c>
      <c r="J109" s="1030">
        <f t="shared" si="34"/>
        <v>1432.9213162262758</v>
      </c>
      <c r="K109" s="1030">
        <f t="shared" si="34"/>
        <v>1293.4508752714432</v>
      </c>
      <c r="L109" s="1030">
        <f t="shared" si="34"/>
        <v>1743.3568795766357</v>
      </c>
      <c r="M109" s="1030">
        <f t="shared" si="34"/>
        <v>1244.1389940540926</v>
      </c>
      <c r="N109" s="1137"/>
      <c r="O109" s="1029"/>
      <c r="P109" s="1030">
        <f t="shared" ref="P109:U109" si="35">P97*$U$10</f>
        <v>1114.4413688542604</v>
      </c>
      <c r="Q109" s="1030">
        <f t="shared" si="35"/>
        <v>1169.8070909495634</v>
      </c>
      <c r="R109" s="1030">
        <f t="shared" si="35"/>
        <v>1345.5471093413325</v>
      </c>
      <c r="S109" s="1030">
        <f t="shared" si="35"/>
        <v>1439.6282338264984</v>
      </c>
      <c r="T109" s="1030">
        <f t="shared" si="35"/>
        <v>1250.5039753468536</v>
      </c>
      <c r="U109" s="1030">
        <f t="shared" si="35"/>
        <v>1156.0760977369482</v>
      </c>
      <c r="V109" s="1030"/>
      <c r="AG109" s="1019">
        <f>ROW()</f>
        <v>109</v>
      </c>
    </row>
    <row r="110" spans="2:33">
      <c r="B110" s="1099" t="s">
        <v>1057</v>
      </c>
      <c r="G110" s="1098">
        <f>EMFAC!$U52*G$86^2 + EMFAC!$V52*G$86 + EMFAC!$W52</f>
        <v>0.68470748767343315</v>
      </c>
      <c r="H110" s="1098">
        <f>EMFAC!$U52*H$86^2 + EMFAC!$V52*H$86 + EMFAC!$W52</f>
        <v>0.4373183670514047</v>
      </c>
      <c r="I110" s="1098">
        <f>EMFAC!$U52*I$86^2 + EMFAC!$V52*I$86 + EMFAC!$W52</f>
        <v>1.627249138336115</v>
      </c>
      <c r="J110" s="1098">
        <f>EMFAC!$U52*J$86^2 + EMFAC!$V52*J$86 + EMFAC!$W52</f>
        <v>1.3496883135895108</v>
      </c>
      <c r="K110" s="1098">
        <f>EMFAC!$U52*K$86^2 + EMFAC!$V52*K$86 + EMFAC!$W52</f>
        <v>1.0764022769527082</v>
      </c>
      <c r="L110" s="1098">
        <f>EMFAC!$U52*L$86^2 + EMFAC!$V52*L$86 + EMFAC!$W52</f>
        <v>1.7774107296081847</v>
      </c>
      <c r="M110" s="1098">
        <f>EMFAC!$U52*M$86^2 + EMFAC!$V52*M$86 + EMFAC!$W52</f>
        <v>0.95677882788513102</v>
      </c>
      <c r="N110" s="1137"/>
      <c r="O110" s="1029"/>
      <c r="P110" s="1098">
        <f>EMFAC!$U52*P$86^2 + EMFAC!$V52*P$86 + EMFAC!$W52</f>
        <v>0.64044801918821603</v>
      </c>
      <c r="Q110" s="1098">
        <f>EMFAC!$U52*Q$86^2 + EMFAC!$V52*Q$86 + EMFAC!$W52</f>
        <v>0.73575174445847447</v>
      </c>
      <c r="R110" s="1098">
        <f>EMFAC!$U52*R$86^2 + EMFAC!$V52*R$86 + EMFAC!$W52</f>
        <v>1.1877560075338809</v>
      </c>
      <c r="S110" s="1098">
        <f>EMFAC!$U52*S$86^2 + EMFAC!$V52*S$86 + EMFAC!$W52</f>
        <v>1.3610892943144162</v>
      </c>
      <c r="T110" s="1098">
        <f>EMFAC!$U52*T$86^2 + EMFAC!$V52*T$86 + EMFAC!$W52</f>
        <v>0.97316715496953776</v>
      </c>
      <c r="U110" s="1098">
        <f>EMFAC!$U52*U$86^2 + EMFAC!$V52*U$86 + EMFAC!$W52</f>
        <v>0.68647901158276881</v>
      </c>
      <c r="V110" s="1098"/>
      <c r="AG110" s="1019">
        <f>ROW()</f>
        <v>110</v>
      </c>
    </row>
    <row r="111" spans="2:33">
      <c r="B111" s="1099" t="s">
        <v>1058</v>
      </c>
      <c r="G111" s="1098">
        <f>EMFAC!$U53*G$86^2 + EMFAC!$V53*G$86 + EMFAC!$W53</f>
        <v>7.6043791709666309</v>
      </c>
      <c r="H111" s="1098">
        <f>EMFAC!$U53*H$86^2 + EMFAC!$V53*H$86 + EMFAC!$W53</f>
        <v>4.189213868053848</v>
      </c>
      <c r="I111" s="1098">
        <f>EMFAC!$U53*I$86^2 + EMFAC!$V53*I$86 + EMFAC!$W53</f>
        <v>13.658409439288192</v>
      </c>
      <c r="J111" s="1098">
        <f>EMFAC!$U53*J$86^2 + EMFAC!$V53*J$86 + EMFAC!$W53</f>
        <v>11.176690047388128</v>
      </c>
      <c r="K111" s="1098">
        <f>EMFAC!$U53*K$86^2 + EMFAC!$V53*K$86 + EMFAC!$W53</f>
        <v>8.7795605298737875</v>
      </c>
      <c r="L111" s="1098">
        <f>EMFAC!$U53*L$86^2 + EMFAC!$V53*L$86 + EMFAC!$W53</f>
        <v>15.014853573456669</v>
      </c>
      <c r="M111" s="1098">
        <f>EMFAC!$U53*M$86^2 + EMFAC!$V53*M$86 + EMFAC!$W53</f>
        <v>7.7522341233534391</v>
      </c>
      <c r="N111" s="1137"/>
      <c r="O111" s="1029"/>
      <c r="P111" s="1098">
        <f>EMFAC!$U53*P$86^2 + EMFAC!$V53*P$86 + EMFAC!$W53</f>
        <v>7.0658440692317797</v>
      </c>
      <c r="Q111" s="1098">
        <f>EMFAC!$U53*Q$86^2 + EMFAC!$V53*Q$86 + EMFAC!$W53</f>
        <v>5.9145611957888988</v>
      </c>
      <c r="R111" s="1098">
        <f>EMFAC!$U53*R$86^2 + EMFAC!$V53*R$86 + EMFAC!$W53</f>
        <v>9.7492245548658332</v>
      </c>
      <c r="S111" s="1098">
        <f>EMFAC!$U53*S$86^2 + EMFAC!$V53*S$86 + EMFAC!$W53</f>
        <v>11.277839474959066</v>
      </c>
      <c r="T111" s="1098">
        <f>EMFAC!$U53*T$86^2 + EMFAC!$V53*T$86 + EMFAC!$W53</f>
        <v>7.8919337108733032</v>
      </c>
      <c r="U111" s="1098">
        <f>EMFAC!$U53*U$86^2 + EMFAC!$V53*U$86 + EMFAC!$W53</f>
        <v>5.5220187424239562</v>
      </c>
      <c r="V111" s="1098"/>
      <c r="AG111" s="1019">
        <f>ROW()</f>
        <v>111</v>
      </c>
    </row>
    <row r="112" spans="2:33">
      <c r="B112" s="1099" t="s">
        <v>1044</v>
      </c>
      <c r="G112" s="1098">
        <f>EMFAC!$U54*G$86^2 + EMFAC!$V54*G$86 + EMFAC!$W54</f>
        <v>18.681885018919857</v>
      </c>
      <c r="H112" s="1098">
        <f>EMFAC!$U54*H$86^2 + EMFAC!$V54*H$86 + EMFAC!$W54</f>
        <v>13.838375832501413</v>
      </c>
      <c r="I112" s="1098">
        <f>EMFAC!$U54*I$86^2 + EMFAC!$V54*I$86 + EMFAC!$W54</f>
        <v>16.694910813471665</v>
      </c>
      <c r="J112" s="1098">
        <f>EMFAC!$U54*J$86^2 + EMFAC!$V54*J$86 + EMFAC!$W54</f>
        <v>15.226697130930216</v>
      </c>
      <c r="K112" s="1098">
        <f>EMFAC!$U54*K$86^2 + EMFAC!$V54*K$86 + EMFAC!$W54</f>
        <v>13.917319761004295</v>
      </c>
      <c r="L112" s="1098">
        <f>EMFAC!$U54*L$86^2 + EMFAC!$V54*L$86 + EMFAC!$W54</f>
        <v>17.529831899548356</v>
      </c>
      <c r="M112" s="1098">
        <f>EMFAC!$U54*M$86^2 + EMFAC!$V54*M$86 + EMFAC!$W54</f>
        <v>13.408665427173329</v>
      </c>
      <c r="N112" s="1137"/>
      <c r="O112" s="1029"/>
      <c r="P112" s="1098">
        <f>EMFAC!$U54*P$86^2 + EMFAC!$V54*P$86 + EMFAC!$W54</f>
        <v>18.02822728037939</v>
      </c>
      <c r="Q112" s="1098">
        <f>EMFAC!$U54*Q$86^2 + EMFAC!$V54*Q$86 + EMFAC!$W54</f>
        <v>12.646594721598113</v>
      </c>
      <c r="R112" s="1098">
        <f>EMFAC!$U54*R$86^2 + EMFAC!$V54*R$86 + EMFAC!$W54</f>
        <v>14.430054201221601</v>
      </c>
      <c r="S112" s="1098">
        <f>EMFAC!$U54*S$86^2 + EMFAC!$V54*S$86 + EMFAC!$W54</f>
        <v>15.284687762925028</v>
      </c>
      <c r="T112" s="1098">
        <f>EMFAC!$U54*T$86^2 + EMFAC!$V54*T$86 + EMFAC!$W54</f>
        <v>13.475285343154482</v>
      </c>
      <c r="U112" s="1098">
        <f>EMFAC!$U54*U$86^2 + EMFAC!$V54*U$86 + EMFAC!$W54</f>
        <v>12.527014440463944</v>
      </c>
      <c r="V112" s="1098"/>
      <c r="AG112" s="1019">
        <f>ROW()</f>
        <v>112</v>
      </c>
    </row>
    <row r="113" spans="2:33">
      <c r="B113" s="1099" t="s">
        <v>1054</v>
      </c>
      <c r="G113" s="1098">
        <f>EMFAC!$U55*G$86^2 + EMFAC!$V55*G$86 + EMFAC!$W55</f>
        <v>0.23557599472537571</v>
      </c>
      <c r="H113" s="1098">
        <f>EMFAC!$U55*H$86^2 + EMFAC!$V55*H$86 + EMFAC!$W55</f>
        <v>0.19974498103918048</v>
      </c>
      <c r="I113" s="1098">
        <f>EMFAC!$U55*I$86^2 + EMFAC!$V55*I$86 + EMFAC!$W55</f>
        <v>0.4860071126442006</v>
      </c>
      <c r="J113" s="1098">
        <f>EMFAC!$U55*J$86^2 + EMFAC!$V55*J$86 + EMFAC!$W55</f>
        <v>0.42370326068291775</v>
      </c>
      <c r="K113" s="1098">
        <f>EMFAC!$U55*K$86^2 + EMFAC!$V55*K$86 + EMFAC!$W55</f>
        <v>0.36159978107231749</v>
      </c>
      <c r="L113" s="1098">
        <f>EMFAC!$U55*L$86^2 + EMFAC!$V55*L$86 + EMFAC!$W55</f>
        <v>0.51948743337556658</v>
      </c>
      <c r="M113" s="1098">
        <f>EMFAC!$U55*M$86^2 + EMFAC!$V55*M$86 + EMFAC!$W55</f>
        <v>0.33405628509133356</v>
      </c>
      <c r="N113" s="1137"/>
      <c r="O113" s="1029"/>
      <c r="P113" s="1098">
        <f>EMFAC!$U55*P$86^2 + EMFAC!$V55*P$86 + EMFAC!$W55</f>
        <v>0.22797922530943993</v>
      </c>
      <c r="Q113" s="1098">
        <f>EMFAC!$U55*Q$86^2 + EMFAC!$V55*Q$86 + EMFAC!$W55</f>
        <v>0.28217373866026429</v>
      </c>
      <c r="R113" s="1098">
        <f>EMFAC!$U55*R$86^2 + EMFAC!$V55*R$86 + EMFAC!$W55</f>
        <v>0.3870204510679337</v>
      </c>
      <c r="S113" s="1098">
        <f>EMFAC!$U55*S$86^2 + EMFAC!$V55*S$86 + EMFAC!$W55</f>
        <v>0.42627534313354742</v>
      </c>
      <c r="T113" s="1098">
        <f>EMFAC!$U55*T$86^2 + EMFAC!$V55*T$86 + EMFAC!$W55</f>
        <v>0.33784680786302246</v>
      </c>
      <c r="U113" s="1098">
        <f>EMFAC!$U55*U$86^2 + EMFAC!$V55*U$86 + EMFAC!$W55</f>
        <v>0.27032740373443342</v>
      </c>
      <c r="V113" s="1098"/>
      <c r="AG113" s="1019">
        <f>ROW()</f>
        <v>113</v>
      </c>
    </row>
    <row r="114" spans="2:33">
      <c r="B114" s="1099"/>
      <c r="G114" s="1098"/>
      <c r="H114" s="1098"/>
      <c r="I114" s="1098"/>
      <c r="J114" s="1098"/>
      <c r="K114" s="1098"/>
      <c r="L114" s="1098"/>
      <c r="M114" s="1098"/>
      <c r="N114" s="1137"/>
      <c r="O114" s="1029"/>
      <c r="P114" s="1098"/>
      <c r="Q114" s="1098"/>
      <c r="R114" s="1098"/>
      <c r="S114" s="1098"/>
      <c r="T114" s="1098"/>
      <c r="U114" s="1098"/>
      <c r="V114" s="1098"/>
      <c r="AG114" s="1019">
        <f>ROW()</f>
        <v>114</v>
      </c>
    </row>
    <row r="115" spans="2:33">
      <c r="B115" s="275" t="s">
        <v>465</v>
      </c>
      <c r="E115"/>
      <c r="F115"/>
      <c r="G115" s="135"/>
      <c r="H115" s="135"/>
      <c r="I115" s="135"/>
      <c r="J115" s="135"/>
      <c r="K115" s="135"/>
      <c r="L115" s="135"/>
      <c r="M115" s="135"/>
      <c r="N115" s="1138"/>
      <c r="O115" s="1029"/>
      <c r="AG115" s="1019">
        <f>ROW()</f>
        <v>115</v>
      </c>
    </row>
    <row r="116" spans="2:33">
      <c r="B116" s="496" t="s">
        <v>541</v>
      </c>
      <c r="E116"/>
      <c r="F116"/>
      <c r="G116" s="135"/>
      <c r="H116" s="135"/>
      <c r="I116" s="135"/>
      <c r="J116" s="135"/>
      <c r="K116" s="135"/>
      <c r="L116" s="135"/>
      <c r="M116" s="135"/>
      <c r="N116" s="1138"/>
      <c r="O116" s="1029"/>
      <c r="AG116" s="1019">
        <f>ROW()</f>
        <v>116</v>
      </c>
    </row>
    <row r="117" spans="2:33">
      <c r="B117" s="1099" t="s">
        <v>2494</v>
      </c>
      <c r="E117"/>
      <c r="F117"/>
      <c r="G117" s="135">
        <f t="shared" ref="G117:M119" si="36">G97*G$89/1000</f>
        <v>2304054.6507709092</v>
      </c>
      <c r="H117" s="135">
        <f t="shared" si="36"/>
        <v>598348.8714560183</v>
      </c>
      <c r="I117" s="135">
        <f t="shared" si="36"/>
        <v>4947992.7859208034</v>
      </c>
      <c r="J117" s="135">
        <f t="shared" si="36"/>
        <v>1335071.828854684</v>
      </c>
      <c r="K117" s="135">
        <f t="shared" si="36"/>
        <v>4389309.6676721033</v>
      </c>
      <c r="L117" s="135">
        <f t="shared" si="36"/>
        <v>11178413.632153427</v>
      </c>
      <c r="M117" s="135">
        <f t="shared" si="36"/>
        <v>3031303.4028735021</v>
      </c>
      <c r="N117" s="1138">
        <f>SUM(G117:M117)</f>
        <v>27784494.839701444</v>
      </c>
      <c r="O117" s="1029"/>
      <c r="P117" s="135">
        <f t="shared" ref="P117:U119" si="37">P97*P$89/1000</f>
        <v>5115782.5534429858</v>
      </c>
      <c r="Q117" s="135">
        <f t="shared" si="37"/>
        <v>1783484.6421845828</v>
      </c>
      <c r="R117" s="135">
        <f t="shared" si="37"/>
        <v>6145140.1063396353</v>
      </c>
      <c r="S117" s="135">
        <f t="shared" si="37"/>
        <v>4181805.9711819207</v>
      </c>
      <c r="T117" s="135">
        <f t="shared" si="37"/>
        <v>2111789.8706052545</v>
      </c>
      <c r="U117" s="135">
        <f t="shared" si="37"/>
        <v>1717896.3769465159</v>
      </c>
      <c r="W117" s="135">
        <f>SUM(P117:V117)</f>
        <v>21055899.520700894</v>
      </c>
      <c r="Y117" s="817">
        <f>N117*wkday_per_yr</f>
        <v>6946123709.9253607</v>
      </c>
      <c r="Z117" s="817">
        <f>W117*wkend_per_yr</f>
        <v>2421428444.8806028</v>
      </c>
      <c r="AA117" s="817">
        <f>Y117+Z117</f>
        <v>9367552154.8059635</v>
      </c>
      <c r="AG117" s="1019">
        <f>ROW()</f>
        <v>117</v>
      </c>
    </row>
    <row r="118" spans="2:33">
      <c r="B118" s="1099" t="s">
        <v>1057</v>
      </c>
      <c r="E118"/>
      <c r="F118"/>
      <c r="G118" s="135">
        <f t="shared" si="36"/>
        <v>1215.5612384632439</v>
      </c>
      <c r="H118" s="135">
        <f t="shared" si="36"/>
        <v>176.57837155910505</v>
      </c>
      <c r="I118" s="135">
        <f t="shared" si="36"/>
        <v>3230.3179816130614</v>
      </c>
      <c r="J118" s="135">
        <f t="shared" si="36"/>
        <v>806.34082950719471</v>
      </c>
      <c r="K118" s="135">
        <f t="shared" si="36"/>
        <v>2307.9034968681462</v>
      </c>
      <c r="L118" s="135">
        <f t="shared" si="36"/>
        <v>7452.0282039210433</v>
      </c>
      <c r="M118" s="135">
        <f t="shared" si="36"/>
        <v>1463.50650350972</v>
      </c>
      <c r="N118" s="1138">
        <f>SUM(G118:M118)</f>
        <v>16652.236625441517</v>
      </c>
      <c r="O118" s="1029"/>
      <c r="P118" s="135">
        <f t="shared" si="37"/>
        <v>2513.9131408031226</v>
      </c>
      <c r="Q118" s="135">
        <f t="shared" si="37"/>
        <v>699.15680899469385</v>
      </c>
      <c r="R118" s="135">
        <f t="shared" si="37"/>
        <v>3448.4196542828076</v>
      </c>
      <c r="S118" s="135">
        <f t="shared" si="37"/>
        <v>2536.6283081019287</v>
      </c>
      <c r="T118" s="135">
        <f t="shared" si="37"/>
        <v>1032.6184256338606</v>
      </c>
      <c r="U118" s="135">
        <f t="shared" si="37"/>
        <v>636.34488932645263</v>
      </c>
      <c r="W118" s="135">
        <f>SUM(P118:V118)</f>
        <v>10867.081227142866</v>
      </c>
      <c r="Y118" s="817">
        <f>N118*wkday_per_yr</f>
        <v>4163059.1563603794</v>
      </c>
      <c r="Z118" s="817">
        <f>W118*wkend_per_yr</f>
        <v>1249714.3411214296</v>
      </c>
      <c r="AA118" s="817">
        <f>Y118+Z118</f>
        <v>5412773.497481809</v>
      </c>
      <c r="AG118" s="1019">
        <f>ROW()</f>
        <v>118</v>
      </c>
    </row>
    <row r="119" spans="2:33">
      <c r="B119" s="1099" t="s">
        <v>1058</v>
      </c>
      <c r="E119"/>
      <c r="F119"/>
      <c r="G119" s="135">
        <f t="shared" si="36"/>
        <v>21082.69909942825</v>
      </c>
      <c r="H119" s="135">
        <f t="shared" si="36"/>
        <v>5196.6170245828989</v>
      </c>
      <c r="I119" s="135">
        <f t="shared" si="36"/>
        <v>48075.780716485817</v>
      </c>
      <c r="J119" s="135">
        <f t="shared" si="36"/>
        <v>13432.425288086381</v>
      </c>
      <c r="K119" s="135">
        <f t="shared" si="36"/>
        <v>44448.266349106809</v>
      </c>
      <c r="L119" s="135">
        <f t="shared" si="36"/>
        <v>105434.14286758841</v>
      </c>
      <c r="M119" s="135">
        <f t="shared" si="36"/>
        <v>30483.246433283188</v>
      </c>
      <c r="N119" s="1138">
        <f>SUM(G119:M119)</f>
        <v>268153.17777856172</v>
      </c>
      <c r="O119" s="1029"/>
      <c r="P119" s="135">
        <f t="shared" si="37"/>
        <v>46237.620489426547</v>
      </c>
      <c r="Q119" s="135">
        <f t="shared" si="37"/>
        <v>17381.156929763805</v>
      </c>
      <c r="R119" s="135">
        <f t="shared" si="37"/>
        <v>62287.569638144363</v>
      </c>
      <c r="S119" s="135">
        <f t="shared" si="37"/>
        <v>42036.335916226875</v>
      </c>
      <c r="T119" s="135">
        <f t="shared" si="37"/>
        <v>21264.930261659509</v>
      </c>
      <c r="U119" s="135">
        <f t="shared" si="37"/>
        <v>16561.740914617174</v>
      </c>
      <c r="W119" s="135">
        <f>SUM(P119:V119)</f>
        <v>205769.35414983824</v>
      </c>
      <c r="Y119" s="817">
        <f>N119*wkday_per_yr</f>
        <v>67038294.444640428</v>
      </c>
      <c r="Z119" s="817">
        <f>W119*wkend_per_yr</f>
        <v>23663475.727231398</v>
      </c>
      <c r="AA119" s="817">
        <f>Y119+Z119</f>
        <v>90701770.171871826</v>
      </c>
      <c r="AG119" s="1019">
        <f>ROW()</f>
        <v>119</v>
      </c>
    </row>
    <row r="120" spans="2:33">
      <c r="B120" s="1099" t="s">
        <v>1044</v>
      </c>
      <c r="E120"/>
      <c r="F120"/>
      <c r="G120" s="135">
        <f t="shared" ref="G120:M120" si="38">G100*G$89/1000</f>
        <v>3127.2175245183221</v>
      </c>
      <c r="H120" s="135">
        <f>H100*H$89/1000</f>
        <v>743.91451271515325</v>
      </c>
      <c r="I120" s="135">
        <f t="shared" si="38"/>
        <v>5545.9281716727291</v>
      </c>
      <c r="J120" s="135">
        <f t="shared" si="38"/>
        <v>1585.1491663330833</v>
      </c>
      <c r="K120" s="135">
        <f t="shared" si="38"/>
        <v>5398.6086712158785</v>
      </c>
      <c r="L120" s="135">
        <f t="shared" si="38"/>
        <v>12037.830182258167</v>
      </c>
      <c r="M120" s="135">
        <f t="shared" si="38"/>
        <v>3760.2854873198521</v>
      </c>
      <c r="N120" s="1138">
        <f>SUM(G120:M120)</f>
        <v>32198.933716033185</v>
      </c>
      <c r="O120" s="1029"/>
      <c r="P120" s="135">
        <f t="shared" ref="P120:U120" si="39">P100*P$89/1000</f>
        <v>6851.6081203025788</v>
      </c>
      <c r="Q120" s="135">
        <f t="shared" si="39"/>
        <v>2222.4573116098759</v>
      </c>
      <c r="R120" s="135">
        <f t="shared" si="39"/>
        <v>7469.8987202269946</v>
      </c>
      <c r="S120" s="135">
        <f t="shared" si="39"/>
        <v>4955.4923137921351</v>
      </c>
      <c r="T120" s="135">
        <f t="shared" si="39"/>
        <v>2617.2424010999066</v>
      </c>
      <c r="U120" s="135">
        <f t="shared" si="39"/>
        <v>2138.7344734144804</v>
      </c>
      <c r="W120" s="135">
        <f>SUM(P120:V120)</f>
        <v>26255.433340445972</v>
      </c>
      <c r="Y120" s="817">
        <f>N120*wkday_per_yr</f>
        <v>8049733.4290082967</v>
      </c>
      <c r="Z120" s="817">
        <f>W120*wkend_per_yr</f>
        <v>3019374.8341512866</v>
      </c>
      <c r="AA120" s="817">
        <f>Y120+Z120</f>
        <v>11069108.263159584</v>
      </c>
      <c r="AG120" s="1019">
        <f>ROW()</f>
        <v>120</v>
      </c>
    </row>
    <row r="121" spans="2:33">
      <c r="B121" s="1099" t="s">
        <v>1054</v>
      </c>
      <c r="E121"/>
      <c r="F121"/>
      <c r="G121" s="135">
        <f t="shared" ref="G121:M121" si="40">G101*G$89/1000</f>
        <v>277.77468769408978</v>
      </c>
      <c r="H121" s="135">
        <f t="shared" si="40"/>
        <v>54.397447344204977</v>
      </c>
      <c r="I121" s="135">
        <f t="shared" si="40"/>
        <v>581.30807660633934</v>
      </c>
      <c r="J121" s="135">
        <f t="shared" si="40"/>
        <v>154.92916487233941</v>
      </c>
      <c r="K121" s="135">
        <f t="shared" si="40"/>
        <v>485.85769249565681</v>
      </c>
      <c r="L121" s="135">
        <f t="shared" si="40"/>
        <v>1304.172090880287</v>
      </c>
      <c r="M121" s="135">
        <f t="shared" si="40"/>
        <v>324.77249194084942</v>
      </c>
      <c r="N121" s="1138">
        <f>SUM(G121:M121)</f>
        <v>3183.2116518337662</v>
      </c>
      <c r="O121" s="1029"/>
      <c r="P121" s="135">
        <f t="shared" ref="P121:U121" si="41">P101*P$89/1000</f>
        <v>593.4565665740987</v>
      </c>
      <c r="Q121" s="135">
        <f t="shared" si="41"/>
        <v>176.40427747409726</v>
      </c>
      <c r="R121" s="135">
        <f t="shared" si="41"/>
        <v>696.53088235952544</v>
      </c>
      <c r="S121" s="135">
        <f t="shared" si="41"/>
        <v>485.85604426396571</v>
      </c>
      <c r="T121" s="135">
        <f t="shared" si="41"/>
        <v>227.37054395736652</v>
      </c>
      <c r="U121" s="135">
        <f t="shared" si="41"/>
        <v>166.38487073063115</v>
      </c>
      <c r="W121" s="135">
        <f>SUM(P121:V121)</f>
        <v>2346.0031853596847</v>
      </c>
      <c r="Y121" s="817">
        <f>N121*wkday_per_yr</f>
        <v>795802.91295844154</v>
      </c>
      <c r="Z121" s="817">
        <f>W121*wkend_per_yr</f>
        <v>269790.36631636374</v>
      </c>
      <c r="AA121" s="817">
        <f>Y121+Z121</f>
        <v>1065593.2792748052</v>
      </c>
      <c r="AG121" s="1019">
        <f>ROW()</f>
        <v>121</v>
      </c>
    </row>
    <row r="122" spans="2:33">
      <c r="B122" s="496" t="s">
        <v>1509</v>
      </c>
      <c r="E122"/>
      <c r="F122"/>
      <c r="G122" s="135"/>
      <c r="H122" s="135"/>
      <c r="I122" s="135"/>
      <c r="J122" s="135"/>
      <c r="K122" s="135"/>
      <c r="L122" s="135"/>
      <c r="M122" s="135"/>
      <c r="N122" s="1138"/>
      <c r="O122" s="1029"/>
      <c r="AG122" s="1019">
        <f>ROW()</f>
        <v>122</v>
      </c>
    </row>
    <row r="123" spans="2:33">
      <c r="B123" s="1099" t="s">
        <v>2494</v>
      </c>
      <c r="E123"/>
      <c r="F123"/>
      <c r="G123" s="135">
        <f t="shared" ref="G123:M125" si="42">G103*G$90/1000</f>
        <v>253559.99047318293</v>
      </c>
      <c r="H123" s="135">
        <f t="shared" si="42"/>
        <v>68244.095278126988</v>
      </c>
      <c r="I123" s="135">
        <f t="shared" si="42"/>
        <v>578344.30913137575</v>
      </c>
      <c r="J123" s="135">
        <f t="shared" si="42"/>
        <v>155966.09142529644</v>
      </c>
      <c r="K123" s="135">
        <f t="shared" si="42"/>
        <v>506819.53531708091</v>
      </c>
      <c r="L123" s="135">
        <f t="shared" si="42"/>
        <v>1279284.7614082468</v>
      </c>
      <c r="M123" s="135">
        <f t="shared" si="42"/>
        <v>339927.50139289116</v>
      </c>
      <c r="N123" s="1138">
        <f>SUM(G123:M123)</f>
        <v>3182146.2844262007</v>
      </c>
      <c r="O123" s="1029"/>
      <c r="P123" s="135">
        <f t="shared" ref="P123:U125" si="43">P103*P$90/1000</f>
        <v>219274.73711924383</v>
      </c>
      <c r="Q123" s="135">
        <f t="shared" si="43"/>
        <v>76527.409088886285</v>
      </c>
      <c r="R123" s="135">
        <f t="shared" si="43"/>
        <v>268155.83466051618</v>
      </c>
      <c r="S123" s="135">
        <f t="shared" si="43"/>
        <v>183571.63337124613</v>
      </c>
      <c r="T123" s="135">
        <f t="shared" si="43"/>
        <v>92125.682852187485</v>
      </c>
      <c r="U123" s="135">
        <f t="shared" si="43"/>
        <v>75035.168318426993</v>
      </c>
      <c r="W123" s="135">
        <f>SUM(P123:V123)</f>
        <v>914690.46541050682</v>
      </c>
      <c r="Y123" s="817">
        <f>N123*wkday_per_yr</f>
        <v>795536571.10655022</v>
      </c>
      <c r="Z123" s="817">
        <f>W123*wkend_per_yr</f>
        <v>105189403.52220829</v>
      </c>
      <c r="AA123" s="817">
        <f>Y123+Z123</f>
        <v>900725974.62875855</v>
      </c>
      <c r="AG123" s="1019">
        <f>ROW()</f>
        <v>123</v>
      </c>
    </row>
    <row r="124" spans="2:33">
      <c r="B124" s="1099" t="s">
        <v>1057</v>
      </c>
      <c r="E124"/>
      <c r="F124"/>
      <c r="G124" s="135">
        <f t="shared" si="42"/>
        <v>75.044790765410937</v>
      </c>
      <c r="H124" s="135">
        <f t="shared" si="42"/>
        <v>13.044684609032783</v>
      </c>
      <c r="I124" s="135">
        <f t="shared" si="42"/>
        <v>291.67473722183371</v>
      </c>
      <c r="J124" s="135">
        <f t="shared" si="42"/>
        <v>73.637477955289427</v>
      </c>
      <c r="K124" s="135">
        <f t="shared" si="42"/>
        <v>210.909778952783</v>
      </c>
      <c r="L124" s="135">
        <f t="shared" si="42"/>
        <v>654.98624906470184</v>
      </c>
      <c r="M124" s="135">
        <f t="shared" si="42"/>
        <v>130.50318836483697</v>
      </c>
      <c r="N124" s="1138">
        <f>SUM(G124:M124)</f>
        <v>1449.8009069338884</v>
      </c>
      <c r="O124" s="1029"/>
      <c r="P124" s="135">
        <f t="shared" si="43"/>
        <v>60.762458335211321</v>
      </c>
      <c r="Q124" s="135">
        <f t="shared" si="43"/>
        <v>23.903100755855085</v>
      </c>
      <c r="R124" s="135">
        <f t="shared" si="43"/>
        <v>118.50517183864898</v>
      </c>
      <c r="S124" s="135">
        <f t="shared" si="43"/>
        <v>87.002268690695772</v>
      </c>
      <c r="T124" s="135">
        <f t="shared" si="43"/>
        <v>35.800520411810368</v>
      </c>
      <c r="U124" s="135">
        <f t="shared" si="43"/>
        <v>22.086442899247452</v>
      </c>
      <c r="W124" s="135">
        <f>SUM(P124:V124)</f>
        <v>348.05996293146893</v>
      </c>
      <c r="Y124" s="817">
        <f>N124*wkday_per_yr</f>
        <v>362450.22673347208</v>
      </c>
      <c r="Z124" s="817">
        <f>W124*wkend_per_yr</f>
        <v>40026.895737118924</v>
      </c>
      <c r="AA124" s="817">
        <f>Y124+Z124</f>
        <v>402477.12247059098</v>
      </c>
      <c r="AG124" s="1019">
        <f>ROW()</f>
        <v>124</v>
      </c>
    </row>
    <row r="125" spans="2:33">
      <c r="B125" s="1099" t="s">
        <v>1058</v>
      </c>
      <c r="E125"/>
      <c r="F125"/>
      <c r="G125" s="135">
        <f t="shared" si="42"/>
        <v>1054.369385113419</v>
      </c>
      <c r="H125" s="135">
        <f t="shared" si="42"/>
        <v>167.4874842190217</v>
      </c>
      <c r="I125" s="135">
        <f t="shared" si="42"/>
        <v>2959.0996072108319</v>
      </c>
      <c r="J125" s="135">
        <f t="shared" si="42"/>
        <v>744.19728802474674</v>
      </c>
      <c r="K125" s="135">
        <f t="shared" si="42"/>
        <v>2129.7854386596091</v>
      </c>
      <c r="L125" s="135">
        <f t="shared" si="42"/>
        <v>6661.3358606841866</v>
      </c>
      <c r="M125" s="135">
        <f t="shared" si="42"/>
        <v>1320.6607760124248</v>
      </c>
      <c r="N125" s="1138">
        <f>SUM(G125:M125)</f>
        <v>15036.935839924239</v>
      </c>
      <c r="O125" s="1029"/>
      <c r="P125" s="135">
        <f t="shared" si="43"/>
        <v>853.25557637369207</v>
      </c>
      <c r="Q125" s="135">
        <f t="shared" si="43"/>
        <v>245.60529528763087</v>
      </c>
      <c r="R125" s="135">
        <f t="shared" si="43"/>
        <v>1196.3030990604063</v>
      </c>
      <c r="S125" s="135">
        <f t="shared" si="43"/>
        <v>879.37319170711987</v>
      </c>
      <c r="T125" s="135">
        <f t="shared" si="43"/>
        <v>362.13020054622217</v>
      </c>
      <c r="U125" s="135">
        <f t="shared" si="43"/>
        <v>228.65918361516071</v>
      </c>
      <c r="W125" s="135">
        <f>SUM(P125:V125)</f>
        <v>3765.3265465902318</v>
      </c>
      <c r="Y125" s="817">
        <f>N125*wkday_per_yr</f>
        <v>3759233.9599810597</v>
      </c>
      <c r="Z125" s="817">
        <f>W125*wkend_per_yr</f>
        <v>433012.55285787664</v>
      </c>
      <c r="AA125" s="817">
        <f>Y125+Z125</f>
        <v>4192246.5128389364</v>
      </c>
      <c r="AG125" s="1019">
        <f>ROW()</f>
        <v>125</v>
      </c>
    </row>
    <row r="126" spans="2:33">
      <c r="B126" s="1099" t="s">
        <v>1044</v>
      </c>
      <c r="E126"/>
      <c r="F126"/>
      <c r="G126" s="135">
        <f t="shared" ref="G126:M126" si="44">G106*G$90/1000</f>
        <v>1516.2733952059639</v>
      </c>
      <c r="H126" s="135">
        <f t="shared" si="44"/>
        <v>332.84992221671286</v>
      </c>
      <c r="I126" s="135">
        <f t="shared" si="44"/>
        <v>2101.8601677896095</v>
      </c>
      <c r="J126" s="135">
        <f t="shared" si="44"/>
        <v>603.05162141009043</v>
      </c>
      <c r="K126" s="135">
        <f t="shared" si="44"/>
        <v>2052.7621589625105</v>
      </c>
      <c r="L126" s="135">
        <f>L106*L$90/1000</f>
        <v>4464.5677614653232</v>
      </c>
      <c r="M126" s="135">
        <f t="shared" si="44"/>
        <v>1400.2676155074862</v>
      </c>
      <c r="N126" s="1138">
        <f>SUM(G126:M126)</f>
        <v>12471.632642557697</v>
      </c>
      <c r="O126" s="1029"/>
      <c r="P126" s="135">
        <f t="shared" ref="P126:U126" si="45">P106*P$90/1000</f>
        <v>1280.1029619065982</v>
      </c>
      <c r="Q126" s="135">
        <f t="shared" si="45"/>
        <v>324.79005419487584</v>
      </c>
      <c r="R126" s="135">
        <f>R106*R$90/1000</f>
        <v>1067.380612350408</v>
      </c>
      <c r="S126" s="135">
        <f t="shared" si="45"/>
        <v>708.20882021083378</v>
      </c>
      <c r="T126" s="135">
        <f t="shared" si="45"/>
        <v>378.64820247936927</v>
      </c>
      <c r="U126" s="135">
        <f t="shared" si="45"/>
        <v>320.84177890897809</v>
      </c>
      <c r="W126" s="135">
        <f>SUM(P126:V126)</f>
        <v>4079.9724300510634</v>
      </c>
      <c r="Y126" s="817">
        <f>N126*wkday_per_yr</f>
        <v>3117908.1606394243</v>
      </c>
      <c r="Z126" s="817">
        <f>W126*wkend_per_yr</f>
        <v>469196.8294558723</v>
      </c>
      <c r="AA126" s="817">
        <f>Y126+Z126</f>
        <v>3587104.9900952969</v>
      </c>
      <c r="AG126" s="1019">
        <f>ROW()</f>
        <v>126</v>
      </c>
    </row>
    <row r="127" spans="2:33">
      <c r="B127" s="1099" t="s">
        <v>1054</v>
      </c>
      <c r="E127"/>
      <c r="F127"/>
      <c r="G127" s="135">
        <f t="shared" ref="G127:M127" si="46">G107*G$90/1000</f>
        <v>29.387351756178816</v>
      </c>
      <c r="H127" s="135">
        <f t="shared" si="46"/>
        <v>7.4818179083245724</v>
      </c>
      <c r="I127" s="135">
        <f t="shared" si="46"/>
        <v>88.187348376165474</v>
      </c>
      <c r="J127" s="135">
        <f t="shared" si="46"/>
        <v>24.037939185363914</v>
      </c>
      <c r="K127" s="135">
        <f t="shared" si="46"/>
        <v>76.24307164396329</v>
      </c>
      <c r="L127" s="135">
        <f t="shared" si="46"/>
        <v>191.45400668122912</v>
      </c>
      <c r="M127" s="135">
        <f t="shared" si="46"/>
        <v>49.949336776196027</v>
      </c>
      <c r="N127" s="1138">
        <f>SUM(G127:M127)</f>
        <v>466.74087232742119</v>
      </c>
      <c r="O127" s="1029"/>
      <c r="P127" s="135">
        <f t="shared" ref="P127:U127" si="47">P107*P$90/1000</f>
        <v>24.993734282942324</v>
      </c>
      <c r="Q127" s="135">
        <f t="shared" si="47"/>
        <v>10.489454787546332</v>
      </c>
      <c r="R127" s="135">
        <f t="shared" si="47"/>
        <v>40.928066260823961</v>
      </c>
      <c r="S127" s="135">
        <f t="shared" si="47"/>
        <v>28.298726771234652</v>
      </c>
      <c r="T127" s="135">
        <f t="shared" si="47"/>
        <v>13.587819867397977</v>
      </c>
      <c r="U127" s="135">
        <f t="shared" si="47"/>
        <v>10.068413646902084</v>
      </c>
      <c r="W127" s="135">
        <f>SUM(P127:V127)</f>
        <v>128.36621561684734</v>
      </c>
      <c r="Y127" s="817">
        <f>N127*wkday_per_yr</f>
        <v>116685.2180818553</v>
      </c>
      <c r="Z127" s="817">
        <f>W127*wkend_per_yr</f>
        <v>14762.114795937445</v>
      </c>
      <c r="AA127" s="817">
        <f>Y127+Z127</f>
        <v>131447.33287779274</v>
      </c>
      <c r="AG127" s="1019">
        <f>ROW()</f>
        <v>127</v>
      </c>
    </row>
    <row r="128" spans="2:33">
      <c r="B128" s="496" t="s">
        <v>810</v>
      </c>
      <c r="C128" s="912"/>
      <c r="E128"/>
      <c r="F128"/>
      <c r="G128" s="135"/>
      <c r="H128" s="135"/>
      <c r="I128" s="135"/>
      <c r="J128" s="135"/>
      <c r="K128" s="135"/>
      <c r="L128" s="135"/>
      <c r="M128" s="135"/>
      <c r="N128" s="1138"/>
      <c r="O128" s="1029"/>
      <c r="AG128" s="1019">
        <f>ROW()</f>
        <v>128</v>
      </c>
    </row>
    <row r="129" spans="2:33">
      <c r="B129" s="1099" t="s">
        <v>2494</v>
      </c>
      <c r="C129" s="912"/>
      <c r="E129"/>
      <c r="F129"/>
      <c r="G129" s="135">
        <f t="shared" ref="G129:M131" si="48">G109*G$91/1000</f>
        <v>138036.84758973878</v>
      </c>
      <c r="H129" s="135">
        <f t="shared" si="48"/>
        <v>37151.759476038969</v>
      </c>
      <c r="I129" s="135">
        <f t="shared" si="48"/>
        <v>314847.87921382964</v>
      </c>
      <c r="J129" s="135">
        <f t="shared" si="48"/>
        <v>84907.195141726726</v>
      </c>
      <c r="K129" s="135">
        <f t="shared" si="48"/>
        <v>275910.13401408546</v>
      </c>
      <c r="L129" s="135">
        <f t="shared" si="48"/>
        <v>696436.51312986575</v>
      </c>
      <c r="M129" s="135">
        <f t="shared" si="48"/>
        <v>185054.90796780054</v>
      </c>
      <c r="N129" s="1138">
        <f>SUM(G129:M129)</f>
        <v>1732345.2365330858</v>
      </c>
      <c r="O129" s="1029"/>
      <c r="P129" s="135">
        <f t="shared" ref="P129:U131" si="49">P109*P$91/1000</f>
        <v>177176.51438813997</v>
      </c>
      <c r="Q129" s="135">
        <f t="shared" si="49"/>
        <v>61835.028401610587</v>
      </c>
      <c r="R129" s="135">
        <f t="shared" si="49"/>
        <v>216673.00447910564</v>
      </c>
      <c r="S129" s="135">
        <f t="shared" si="49"/>
        <v>148327.99513775151</v>
      </c>
      <c r="T129" s="135">
        <f t="shared" si="49"/>
        <v>74438.613347881808</v>
      </c>
      <c r="U129" s="135">
        <f t="shared" si="49"/>
        <v>60629.2806633562</v>
      </c>
      <c r="W129" s="135">
        <f>SUM(P129:V129)</f>
        <v>739080.43641784566</v>
      </c>
      <c r="Y129" s="817">
        <f>N129*wkday_per_yr</f>
        <v>433086309.13327146</v>
      </c>
      <c r="Z129" s="817">
        <f>W129*wkend_per_yr</f>
        <v>84994250.188052252</v>
      </c>
      <c r="AA129" s="817">
        <f>Y129+Z129</f>
        <v>518080559.32132369</v>
      </c>
      <c r="AG129" s="1019">
        <f>ROW()</f>
        <v>129</v>
      </c>
    </row>
    <row r="130" spans="2:33">
      <c r="B130" s="1099" t="s">
        <v>1057</v>
      </c>
      <c r="E130"/>
      <c r="F130"/>
      <c r="G130" s="135">
        <f t="shared" si="48"/>
        <v>84.61768383274098</v>
      </c>
      <c r="H130" s="135">
        <f t="shared" si="48"/>
        <v>14.743680415958247</v>
      </c>
      <c r="I130" s="135">
        <f t="shared" si="48"/>
        <v>316.34730763476921</v>
      </c>
      <c r="J130" s="135">
        <f t="shared" si="48"/>
        <v>79.975255950729533</v>
      </c>
      <c r="K130" s="135">
        <f t="shared" si="48"/>
        <v>229.61080483614202</v>
      </c>
      <c r="L130" s="135">
        <f t="shared" si="48"/>
        <v>710.04035113484088</v>
      </c>
      <c r="M130" s="135">
        <f t="shared" si="48"/>
        <v>142.31257020799151</v>
      </c>
      <c r="N130" s="1138">
        <f>SUM(G130:M130)</f>
        <v>1577.6476540131725</v>
      </c>
      <c r="O130" s="1029"/>
      <c r="P130" s="135">
        <f t="shared" si="49"/>
        <v>101.81993495379288</v>
      </c>
      <c r="Q130" s="135">
        <f t="shared" si="49"/>
        <v>38.891224345541133</v>
      </c>
      <c r="R130" s="135">
        <f t="shared" si="49"/>
        <v>191.26395572017731</v>
      </c>
      <c r="S130" s="135">
        <f t="shared" si="49"/>
        <v>140.23595917711452</v>
      </c>
      <c r="T130" s="135">
        <f t="shared" si="49"/>
        <v>57.92961477914735</v>
      </c>
      <c r="U130" s="135">
        <f t="shared" si="49"/>
        <v>36.001720599732835</v>
      </c>
      <c r="W130" s="135">
        <f>SUM(P130:V130)</f>
        <v>566.14240957550601</v>
      </c>
      <c r="Y130" s="817">
        <f>N130*wkday_per_yr</f>
        <v>394411.91350329312</v>
      </c>
      <c r="Z130" s="817">
        <f>W130*wkend_per_yr</f>
        <v>65106.377101183192</v>
      </c>
      <c r="AA130" s="817">
        <f>Y130+Z130</f>
        <v>459518.29060447629</v>
      </c>
      <c r="AG130" s="1019">
        <f>ROW()</f>
        <v>130</v>
      </c>
    </row>
    <row r="131" spans="2:33">
      <c r="B131" s="1099" t="s">
        <v>1058</v>
      </c>
      <c r="E131"/>
      <c r="F131"/>
      <c r="G131" s="135">
        <f t="shared" si="48"/>
        <v>939.76619800020626</v>
      </c>
      <c r="H131" s="135">
        <f t="shared" si="48"/>
        <v>141.23447611205887</v>
      </c>
      <c r="I131" s="135">
        <f t="shared" si="48"/>
        <v>2655.2793612846631</v>
      </c>
      <c r="J131" s="135">
        <f t="shared" si="48"/>
        <v>662.27042067557818</v>
      </c>
      <c r="K131" s="135">
        <f t="shared" si="48"/>
        <v>1872.7960749757071</v>
      </c>
      <c r="L131" s="135">
        <f t="shared" si="48"/>
        <v>5998.1363485329894</v>
      </c>
      <c r="M131" s="135">
        <f t="shared" si="48"/>
        <v>1153.0777341584073</v>
      </c>
      <c r="N131" s="1138">
        <f>SUM(G131:M131)</f>
        <v>13422.56061373961</v>
      </c>
      <c r="O131" s="1029"/>
      <c r="P131" s="135">
        <f t="shared" si="49"/>
        <v>1123.3445368989292</v>
      </c>
      <c r="Q131" s="135">
        <f t="shared" si="49"/>
        <v>312.63877809784867</v>
      </c>
      <c r="R131" s="135">
        <f t="shared" si="49"/>
        <v>1569.9143946571314</v>
      </c>
      <c r="S131" s="135">
        <f t="shared" si="49"/>
        <v>1161.9800720077262</v>
      </c>
      <c r="T131" s="135">
        <f t="shared" si="49"/>
        <v>469.78227470877584</v>
      </c>
      <c r="U131" s="135">
        <f t="shared" si="49"/>
        <v>289.59687413147628</v>
      </c>
      <c r="W131" s="135">
        <f>SUM(P131:V131)</f>
        <v>4927.2569305018878</v>
      </c>
      <c r="Y131" s="817">
        <f>N131*wkday_per_yr</f>
        <v>3355640.1534349024</v>
      </c>
      <c r="Z131" s="817">
        <f>W131*wkend_per_yr</f>
        <v>566634.54700771708</v>
      </c>
      <c r="AA131" s="817">
        <f>Y131+Z131</f>
        <v>3922274.7004426196</v>
      </c>
      <c r="AG131" s="1019">
        <f>ROW()</f>
        <v>131</v>
      </c>
    </row>
    <row r="132" spans="2:33">
      <c r="B132" s="1099" t="s">
        <v>1044</v>
      </c>
      <c r="E132" s="1020"/>
      <c r="F132" s="902"/>
      <c r="G132" s="135">
        <f t="shared" ref="G132:M132" si="50">G112*G$91/1000</f>
        <v>2308.7491642628884</v>
      </c>
      <c r="H132" s="135">
        <f t="shared" si="50"/>
        <v>466.54475577134485</v>
      </c>
      <c r="I132" s="135">
        <f t="shared" si="50"/>
        <v>3245.5940289786545</v>
      </c>
      <c r="J132" s="135">
        <f t="shared" si="50"/>
        <v>902.25201483129069</v>
      </c>
      <c r="K132" s="135">
        <f t="shared" si="50"/>
        <v>2968.7478927792508</v>
      </c>
      <c r="L132" s="135">
        <f t="shared" si="50"/>
        <v>7002.820332942325</v>
      </c>
      <c r="M132" s="135">
        <f t="shared" si="50"/>
        <v>1994.4229370313471</v>
      </c>
      <c r="N132" s="1138">
        <f>SUM(G132:M132)</f>
        <v>18889.131126597102</v>
      </c>
      <c r="O132" s="1029"/>
      <c r="P132" s="135">
        <f t="shared" ref="P132:U132" si="51">P112*P$91/1000</f>
        <v>2866.1700466294437</v>
      </c>
      <c r="Q132" s="135">
        <f t="shared" si="51"/>
        <v>668.48846262241898</v>
      </c>
      <c r="R132" s="135">
        <f t="shared" si="51"/>
        <v>2323.6668392127485</v>
      </c>
      <c r="S132" s="135">
        <f t="shared" si="51"/>
        <v>1574.8142742068687</v>
      </c>
      <c r="T132" s="135">
        <f t="shared" si="51"/>
        <v>802.14183656091905</v>
      </c>
      <c r="U132" s="135">
        <f t="shared" si="51"/>
        <v>656.96702481052489</v>
      </c>
      <c r="V132" s="135"/>
      <c r="W132" s="135">
        <f>SUM(P132:V132)</f>
        <v>8892.2484840429242</v>
      </c>
      <c r="Y132" s="817">
        <f>N132*wkday_per_yr</f>
        <v>4722282.7816492757</v>
      </c>
      <c r="Z132" s="817">
        <f>W132*wkend_per_yr</f>
        <v>1022608.5756649363</v>
      </c>
      <c r="AA132" s="817">
        <f>Y132+Z132</f>
        <v>5744891.3573142122</v>
      </c>
      <c r="AG132" s="1019">
        <f>ROW()</f>
        <v>132</v>
      </c>
    </row>
    <row r="133" spans="2:33">
      <c r="B133" s="1099" t="s">
        <v>1054</v>
      </c>
      <c r="E133" s="1020"/>
      <c r="F133" s="902"/>
      <c r="G133" s="135">
        <f t="shared" ref="G133:M133" si="52">G113*G$91/1000</f>
        <v>29.113008692206158</v>
      </c>
      <c r="H133" s="135">
        <f t="shared" si="52"/>
        <v>6.7341698565959121</v>
      </c>
      <c r="I133" s="135">
        <f t="shared" si="52"/>
        <v>94.482791819788176</v>
      </c>
      <c r="J133" s="135">
        <f t="shared" si="52"/>
        <v>25.106371877930417</v>
      </c>
      <c r="K133" s="135">
        <f t="shared" si="52"/>
        <v>77.134003279552132</v>
      </c>
      <c r="L133" s="135">
        <f t="shared" si="52"/>
        <v>207.52493132830134</v>
      </c>
      <c r="M133" s="135">
        <f t="shared" si="52"/>
        <v>49.68798131806993</v>
      </c>
      <c r="N133" s="1138">
        <f>SUM(G133:M133)</f>
        <v>489.78325817244405</v>
      </c>
      <c r="O133" s="1029"/>
      <c r="P133" s="135">
        <f t="shared" ref="P133:U133" si="53">P113*P$91/1000</f>
        <v>36.244674347257899</v>
      </c>
      <c r="Q133" s="135">
        <f t="shared" si="53"/>
        <v>14.915468780483202</v>
      </c>
      <c r="R133" s="135">
        <f t="shared" si="53"/>
        <v>62.321774797463029</v>
      </c>
      <c r="S133" s="135">
        <f t="shared" si="53"/>
        <v>43.920065985088463</v>
      </c>
      <c r="T133" s="135">
        <f t="shared" si="53"/>
        <v>20.110969974610505</v>
      </c>
      <c r="U133" s="135">
        <f t="shared" si="53"/>
        <v>14.177056392822912</v>
      </c>
      <c r="V133" s="135"/>
      <c r="W133" s="135">
        <f>SUM(P133:V133)</f>
        <v>191.690010277726</v>
      </c>
      <c r="Y133" s="817">
        <f>N133*wkday_per_yr</f>
        <v>122445.81454311102</v>
      </c>
      <c r="Z133" s="817">
        <f>W133*wkend_per_yr</f>
        <v>22044.351181938491</v>
      </c>
      <c r="AA133" s="817">
        <f>Y133+Z133</f>
        <v>144490.1657250495</v>
      </c>
      <c r="AG133" s="1019">
        <f>ROW()</f>
        <v>133</v>
      </c>
    </row>
    <row r="134" spans="2:33">
      <c r="B134" s="1066" t="s">
        <v>653</v>
      </c>
      <c r="E134" s="1020"/>
      <c r="F134" s="902"/>
      <c r="G134" s="135"/>
      <c r="H134" s="135"/>
      <c r="I134" s="135"/>
      <c r="J134" s="135"/>
      <c r="K134" s="135"/>
      <c r="L134" s="135"/>
      <c r="M134" s="135"/>
      <c r="N134" s="1138"/>
      <c r="O134" s="1029"/>
      <c r="P134" s="135"/>
      <c r="Q134" s="135"/>
      <c r="R134" s="135"/>
      <c r="S134" s="135"/>
      <c r="T134" s="135"/>
      <c r="U134" s="135"/>
      <c r="V134" s="135"/>
      <c r="W134" s="135"/>
      <c r="AG134" s="1019">
        <f>ROW()</f>
        <v>134</v>
      </c>
    </row>
    <row r="135" spans="2:33">
      <c r="B135" s="1099" t="s">
        <v>2494</v>
      </c>
      <c r="E135" s="1020"/>
      <c r="F135" s="902"/>
      <c r="G135" s="135">
        <f t="shared" ref="G135:M135" si="54">G117+G123+G129</f>
        <v>2695651.4888338307</v>
      </c>
      <c r="H135" s="135">
        <f t="shared" si="54"/>
        <v>703744.72621018428</v>
      </c>
      <c r="I135" s="135">
        <f t="shared" si="54"/>
        <v>5841184.9742660085</v>
      </c>
      <c r="J135" s="135">
        <f t="shared" si="54"/>
        <v>1575945.115421707</v>
      </c>
      <c r="K135" s="135">
        <f t="shared" si="54"/>
        <v>5172039.3370032702</v>
      </c>
      <c r="L135" s="135">
        <f t="shared" si="54"/>
        <v>13154134.90669154</v>
      </c>
      <c r="M135" s="135">
        <f t="shared" si="54"/>
        <v>3556285.812234194</v>
      </c>
      <c r="N135" s="1138">
        <f>SUM(G135:M135)</f>
        <v>32698986.360660732</v>
      </c>
      <c r="O135" s="1029"/>
      <c r="P135" s="135">
        <f t="shared" ref="P135:U135" si="55">P117+P123+P129</f>
        <v>5512233.8049503695</v>
      </c>
      <c r="Q135" s="135">
        <f t="shared" si="55"/>
        <v>1921847.0796750798</v>
      </c>
      <c r="R135" s="135">
        <f t="shared" si="55"/>
        <v>6629968.945479257</v>
      </c>
      <c r="S135" s="135">
        <f t="shared" si="55"/>
        <v>4513705.5996909179</v>
      </c>
      <c r="T135" s="135">
        <f t="shared" si="55"/>
        <v>2278354.1668053241</v>
      </c>
      <c r="U135" s="135">
        <f t="shared" si="55"/>
        <v>1853560.825928299</v>
      </c>
      <c r="V135" s="135"/>
      <c r="W135" s="135">
        <f>SUM(P135:V135)</f>
        <v>22709670.422529247</v>
      </c>
      <c r="Y135" s="817">
        <f>N135*wkday_per_yr</f>
        <v>8174746590.1651831</v>
      </c>
      <c r="Z135" s="817">
        <f>W135*wkend_per_yr</f>
        <v>2611612098.5908632</v>
      </c>
      <c r="AA135" s="817">
        <f>Y135+Z135</f>
        <v>10786358688.756046</v>
      </c>
      <c r="AG135" s="1019">
        <f>ROW()</f>
        <v>135</v>
      </c>
    </row>
    <row r="136" spans="2:33">
      <c r="B136" s="1099" t="s">
        <v>1057</v>
      </c>
      <c r="E136" s="1020"/>
      <c r="F136" s="902"/>
      <c r="G136" s="135">
        <f t="shared" ref="G136:M136" si="56">G118+G124+G130</f>
        <v>1375.2237130613958</v>
      </c>
      <c r="H136" s="135">
        <f t="shared" si="56"/>
        <v>204.36673658409606</v>
      </c>
      <c r="I136" s="135">
        <f t="shared" si="56"/>
        <v>3838.3400264696643</v>
      </c>
      <c r="J136" s="135">
        <f t="shared" si="56"/>
        <v>959.95356341321371</v>
      </c>
      <c r="K136" s="135">
        <f t="shared" si="56"/>
        <v>2748.4240806570715</v>
      </c>
      <c r="L136" s="135">
        <f t="shared" si="56"/>
        <v>8817.0548041205857</v>
      </c>
      <c r="M136" s="135">
        <f t="shared" si="56"/>
        <v>1736.3222620825484</v>
      </c>
      <c r="N136" s="1138">
        <f>SUM(G136:M136)</f>
        <v>19679.685186388575</v>
      </c>
      <c r="O136" s="1029"/>
      <c r="P136" s="135">
        <f t="shared" ref="P136:U136" si="57">P118+P124+P130</f>
        <v>2676.4955340921269</v>
      </c>
      <c r="Q136" s="135">
        <f t="shared" si="57"/>
        <v>761.95113409609007</v>
      </c>
      <c r="R136" s="135">
        <f t="shared" si="57"/>
        <v>3758.188781841634</v>
      </c>
      <c r="S136" s="135">
        <f t="shared" si="57"/>
        <v>2763.8665359697393</v>
      </c>
      <c r="T136" s="135">
        <f t="shared" si="57"/>
        <v>1126.3485608248184</v>
      </c>
      <c r="U136" s="135">
        <f t="shared" si="57"/>
        <v>694.43305282543292</v>
      </c>
      <c r="V136" s="135"/>
      <c r="W136" s="135">
        <f>SUM(P136:V136)</f>
        <v>11781.28359964984</v>
      </c>
      <c r="Y136" s="817">
        <f>N136*wkday_per_yr</f>
        <v>4919921.2965971436</v>
      </c>
      <c r="Z136" s="817">
        <f>W136*wkend_per_yr</f>
        <v>1354847.6139597315</v>
      </c>
      <c r="AA136" s="817">
        <f>Y136+Z136</f>
        <v>6274768.9105568752</v>
      </c>
      <c r="AG136" s="1019">
        <f>ROW()</f>
        <v>136</v>
      </c>
    </row>
    <row r="137" spans="2:33">
      <c r="B137" s="1099" t="s">
        <v>1058</v>
      </c>
      <c r="E137" s="1020"/>
      <c r="F137" s="902"/>
      <c r="G137" s="135">
        <f t="shared" ref="G137:M137" si="58">G119+G125+G131</f>
        <v>23076.834682541874</v>
      </c>
      <c r="H137" s="135">
        <f t="shared" si="58"/>
        <v>5505.3389849139794</v>
      </c>
      <c r="I137" s="135">
        <f t="shared" si="58"/>
        <v>53690.159684981314</v>
      </c>
      <c r="J137" s="135">
        <f t="shared" si="58"/>
        <v>14838.892996786706</v>
      </c>
      <c r="K137" s="135">
        <f t="shared" si="58"/>
        <v>48450.847862742121</v>
      </c>
      <c r="L137" s="135">
        <f t="shared" si="58"/>
        <v>118093.6150768056</v>
      </c>
      <c r="M137" s="135">
        <f t="shared" si="58"/>
        <v>32956.984943454023</v>
      </c>
      <c r="N137" s="1138">
        <f>SUM(G137:M137)</f>
        <v>296612.67423222563</v>
      </c>
      <c r="O137" s="1029"/>
      <c r="P137" s="135">
        <f t="shared" ref="P137:U137" si="59">P119+P125+P131</f>
        <v>48214.220602699163</v>
      </c>
      <c r="Q137" s="135">
        <f t="shared" si="59"/>
        <v>17939.401003149283</v>
      </c>
      <c r="R137" s="135">
        <f t="shared" si="59"/>
        <v>65053.787131861907</v>
      </c>
      <c r="S137" s="135">
        <f t="shared" si="59"/>
        <v>44077.689179941721</v>
      </c>
      <c r="T137" s="135">
        <f t="shared" si="59"/>
        <v>22096.84273691451</v>
      </c>
      <c r="U137" s="135">
        <f t="shared" si="59"/>
        <v>17079.99697236381</v>
      </c>
      <c r="V137" s="135"/>
      <c r="W137" s="135">
        <f>SUM(P137:V137)</f>
        <v>214461.93762693042</v>
      </c>
      <c r="Y137" s="817">
        <f>N137*wkday_per_yr</f>
        <v>74153168.558056414</v>
      </c>
      <c r="Z137" s="817">
        <f>W137*wkend_per_yr</f>
        <v>24663122.827096999</v>
      </c>
      <c r="AA137" s="817">
        <f>Y137+Z137</f>
        <v>98816291.385153413</v>
      </c>
      <c r="AG137" s="1019">
        <f>ROW()</f>
        <v>137</v>
      </c>
    </row>
    <row r="138" spans="2:33">
      <c r="B138" s="1099" t="s">
        <v>1044</v>
      </c>
      <c r="E138" s="1020"/>
      <c r="F138" s="902"/>
      <c r="G138" s="135">
        <f t="shared" ref="G138:M138" si="60">G120+G126+G132</f>
        <v>6952.2400839871743</v>
      </c>
      <c r="H138" s="135">
        <f t="shared" si="60"/>
        <v>1543.309190703211</v>
      </c>
      <c r="I138" s="135">
        <f t="shared" si="60"/>
        <v>10893.382368440993</v>
      </c>
      <c r="J138" s="135">
        <f t="shared" si="60"/>
        <v>3090.4528025744644</v>
      </c>
      <c r="K138" s="135">
        <f t="shared" si="60"/>
        <v>10420.118722957639</v>
      </c>
      <c r="L138" s="135">
        <f t="shared" si="60"/>
        <v>23505.218276665815</v>
      </c>
      <c r="M138" s="135">
        <f t="shared" si="60"/>
        <v>7154.976039858685</v>
      </c>
      <c r="N138" s="1138">
        <f>SUM(G138:M138)</f>
        <v>63559.697485187986</v>
      </c>
      <c r="O138" s="1029"/>
      <c r="P138" s="135">
        <f t="shared" ref="P138:U138" si="61">P120+P126+P132</f>
        <v>10997.88112883862</v>
      </c>
      <c r="Q138" s="135">
        <f t="shared" si="61"/>
        <v>3215.7358284271704</v>
      </c>
      <c r="R138" s="135">
        <f t="shared" si="61"/>
        <v>10860.94617179015</v>
      </c>
      <c r="S138" s="135">
        <f t="shared" si="61"/>
        <v>7238.515408209837</v>
      </c>
      <c r="T138" s="135">
        <f t="shared" si="61"/>
        <v>3798.0324401401949</v>
      </c>
      <c r="U138" s="135">
        <f t="shared" si="61"/>
        <v>3116.5432771339833</v>
      </c>
      <c r="V138" s="135"/>
      <c r="W138" s="135">
        <f>SUM(P138:V138)</f>
        <v>39227.654254539957</v>
      </c>
      <c r="Y138" s="817">
        <f>N138*wkday_per_yr</f>
        <v>15889924.371296996</v>
      </c>
      <c r="Z138" s="817">
        <f>W138*wkend_per_yr</f>
        <v>4511180.2392720953</v>
      </c>
      <c r="AA138" s="817">
        <f>Y138+Z138</f>
        <v>20401104.61056909</v>
      </c>
      <c r="AG138" s="1019">
        <f>ROW()</f>
        <v>138</v>
      </c>
    </row>
    <row r="139" spans="2:33">
      <c r="B139" s="1099" t="s">
        <v>1054</v>
      </c>
      <c r="E139" s="1020"/>
      <c r="F139" s="902"/>
      <c r="G139" s="135">
        <f t="shared" ref="G139:M139" si="62">G121+G127+G133</f>
        <v>336.27504814247476</v>
      </c>
      <c r="H139" s="135">
        <f t="shared" si="62"/>
        <v>68.613435109125462</v>
      </c>
      <c r="I139" s="135">
        <f t="shared" si="62"/>
        <v>763.97821680229299</v>
      </c>
      <c r="J139" s="135">
        <f t="shared" si="62"/>
        <v>204.07347593563375</v>
      </c>
      <c r="K139" s="135">
        <f t="shared" si="62"/>
        <v>639.23476741917216</v>
      </c>
      <c r="L139" s="135">
        <f t="shared" si="62"/>
        <v>1703.1510288898176</v>
      </c>
      <c r="M139" s="135">
        <f t="shared" si="62"/>
        <v>424.40981003511541</v>
      </c>
      <c r="N139" s="1138">
        <f>SUM(G139:M139)</f>
        <v>4139.7357823336324</v>
      </c>
      <c r="O139" s="1029"/>
      <c r="P139" s="135">
        <f t="shared" ref="P139:U139" si="63">P121+P127+P133</f>
        <v>654.694975204299</v>
      </c>
      <c r="Q139" s="135">
        <f t="shared" si="63"/>
        <v>201.80920104212677</v>
      </c>
      <c r="R139" s="135">
        <f t="shared" si="63"/>
        <v>799.7807234178124</v>
      </c>
      <c r="S139" s="135">
        <f t="shared" si="63"/>
        <v>558.0748370202889</v>
      </c>
      <c r="T139" s="135">
        <f t="shared" si="63"/>
        <v>261.06933379937499</v>
      </c>
      <c r="U139" s="135">
        <f t="shared" si="63"/>
        <v>190.63034077035616</v>
      </c>
      <c r="V139" s="135"/>
      <c r="W139" s="135">
        <f>SUM(P139:V139)</f>
        <v>2666.0594112542581</v>
      </c>
      <c r="Y139" s="817">
        <f>N139*wkday_per_yr</f>
        <v>1034933.9455834081</v>
      </c>
      <c r="Z139" s="817">
        <f>W139*wkend_per_yr</f>
        <v>306596.83229423966</v>
      </c>
      <c r="AA139" s="817">
        <f>Y139+Z139</f>
        <v>1341530.7778776479</v>
      </c>
      <c r="AG139" s="1019">
        <f>ROW()</f>
        <v>139</v>
      </c>
    </row>
    <row r="140" spans="2:33">
      <c r="B140" s="275"/>
      <c r="G140" s="1030"/>
      <c r="H140" s="1030"/>
      <c r="I140" s="1030"/>
      <c r="J140" s="1030"/>
      <c r="K140" s="1030"/>
      <c r="L140" s="1030"/>
      <c r="M140" s="1030"/>
      <c r="N140" s="1137"/>
      <c r="O140" s="1029"/>
      <c r="P140" s="1030"/>
      <c r="Q140" s="1030"/>
      <c r="R140" s="1030"/>
      <c r="S140" s="1030"/>
      <c r="T140" s="1030"/>
      <c r="U140" s="1030"/>
      <c r="AG140" s="1019">
        <f>ROW()</f>
        <v>140</v>
      </c>
    </row>
    <row r="141" spans="2:33" ht="12">
      <c r="B141" s="985" t="s">
        <v>1928</v>
      </c>
      <c r="C141"/>
      <c r="D141"/>
      <c r="E141"/>
      <c r="F141"/>
      <c r="G141"/>
      <c r="H141"/>
      <c r="I141"/>
      <c r="J141"/>
      <c r="K141"/>
      <c r="L141"/>
      <c r="M141"/>
      <c r="N141" s="1137"/>
      <c r="O141" s="1029"/>
      <c r="AG141" s="1019">
        <f>ROW()</f>
        <v>141</v>
      </c>
    </row>
    <row r="142" spans="2:33">
      <c r="B142" s="275" t="s">
        <v>465</v>
      </c>
      <c r="E142"/>
      <c r="F142"/>
      <c r="G142" s="135"/>
      <c r="H142" s="135"/>
      <c r="I142" s="135"/>
      <c r="J142" s="135"/>
      <c r="K142" s="135"/>
      <c r="L142" s="135"/>
      <c r="M142" s="135"/>
      <c r="N142" s="1138"/>
      <c r="O142" s="1029"/>
      <c r="AG142" s="1019">
        <f>ROW()</f>
        <v>142</v>
      </c>
    </row>
    <row r="143" spans="2:33">
      <c r="B143" s="496" t="s">
        <v>541</v>
      </c>
      <c r="E143"/>
      <c r="F143"/>
      <c r="G143" s="135"/>
      <c r="H143" s="135"/>
      <c r="I143" s="135"/>
      <c r="J143" s="135"/>
      <c r="K143" s="135"/>
      <c r="L143" s="135"/>
      <c r="M143" s="135"/>
      <c r="N143" s="1138"/>
      <c r="O143" s="1029"/>
      <c r="AG143" s="1019">
        <f>ROW()</f>
        <v>143</v>
      </c>
    </row>
    <row r="144" spans="2:33">
      <c r="B144" s="1099" t="s">
        <v>2494</v>
      </c>
      <c r="E144"/>
      <c r="F144"/>
      <c r="G144" s="135">
        <f t="shared" ref="G144:M148" si="64">G61+G117</f>
        <v>2505975.1981329122</v>
      </c>
      <c r="H144" s="135">
        <f t="shared" si="64"/>
        <v>638239.98292478197</v>
      </c>
      <c r="I144" s="135">
        <f t="shared" si="64"/>
        <v>5379315.4025617344</v>
      </c>
      <c r="J144" s="135">
        <f t="shared" si="64"/>
        <v>1469395.3561858712</v>
      </c>
      <c r="K144" s="135">
        <f t="shared" si="64"/>
        <v>4801900.7308993014</v>
      </c>
      <c r="L144" s="135">
        <f t="shared" si="64"/>
        <v>12162476.738362646</v>
      </c>
      <c r="M144" s="135">
        <f t="shared" si="64"/>
        <v>3349235.8388957717</v>
      </c>
      <c r="N144" s="1138">
        <f>SUM(G144:M144)</f>
        <v>30306539.247963015</v>
      </c>
      <c r="O144" s="1029"/>
      <c r="P144" s="135">
        <f t="shared" ref="P144:U148" si="65">P61+P117</f>
        <v>5597639.8957125796</v>
      </c>
      <c r="Q144" s="135">
        <f t="shared" si="65"/>
        <v>1954526.0026214127</v>
      </c>
      <c r="R144" s="135">
        <f t="shared" si="65"/>
        <v>6770182.3775588637</v>
      </c>
      <c r="S144" s="135">
        <f t="shared" si="65"/>
        <v>4621362.0302438932</v>
      </c>
      <c r="T144" s="135">
        <f t="shared" si="65"/>
        <v>2336884.835525678</v>
      </c>
      <c r="U144" s="135">
        <f t="shared" si="65"/>
        <v>1896027.5610762236</v>
      </c>
      <c r="W144" s="135">
        <f>SUM(P144:V144)</f>
        <v>23176622.70273865</v>
      </c>
      <c r="Y144" s="817">
        <f>N144*wkday_per_yr</f>
        <v>7576634811.9907541</v>
      </c>
      <c r="Z144" s="817">
        <f>W144*wkend_per_yr</f>
        <v>2665311610.8149447</v>
      </c>
      <c r="AA144" s="817">
        <f>Y144+Z144</f>
        <v>10241946422.805698</v>
      </c>
      <c r="AG144" s="1019">
        <f>ROW()</f>
        <v>144</v>
      </c>
    </row>
    <row r="145" spans="2:33">
      <c r="B145" s="1099" t="s">
        <v>1057</v>
      </c>
      <c r="E145"/>
      <c r="F145"/>
      <c r="G145" s="135">
        <f t="shared" si="64"/>
        <v>1314.7798948518655</v>
      </c>
      <c r="H145" s="135">
        <f t="shared" si="64"/>
        <v>196.73572203106781</v>
      </c>
      <c r="I145" s="135">
        <f t="shared" si="64"/>
        <v>3458.3730872392748</v>
      </c>
      <c r="J145" s="135">
        <f t="shared" si="64"/>
        <v>878.44048759503994</v>
      </c>
      <c r="K145" s="135">
        <f t="shared" si="64"/>
        <v>2537.5491344924349</v>
      </c>
      <c r="L145" s="135">
        <f t="shared" si="64"/>
        <v>7956.9700290287328</v>
      </c>
      <c r="M145" s="135">
        <f t="shared" si="64"/>
        <v>1640.1850633112574</v>
      </c>
      <c r="N145" s="1138">
        <f>SUM(G145:M145)</f>
        <v>17983.033418549676</v>
      </c>
      <c r="O145" s="1029"/>
      <c r="P145" s="135">
        <f t="shared" si="65"/>
        <v>2762.0254480837948</v>
      </c>
      <c r="Q145" s="135">
        <f t="shared" si="65"/>
        <v>794.90139862268984</v>
      </c>
      <c r="R145" s="135">
        <f t="shared" si="65"/>
        <v>3791.4121519686641</v>
      </c>
      <c r="S145" s="135">
        <f t="shared" si="65"/>
        <v>2771.5012245758626</v>
      </c>
      <c r="T145" s="135">
        <f t="shared" si="65"/>
        <v>1157.6623528578414</v>
      </c>
      <c r="U145" s="135">
        <f t="shared" si="65"/>
        <v>736.17236010173599</v>
      </c>
      <c r="W145" s="135">
        <f>SUM(P145:V145)</f>
        <v>12013.674936210591</v>
      </c>
      <c r="Y145" s="817">
        <f>N145*wkday_per_yr</f>
        <v>4495758.3546374189</v>
      </c>
      <c r="Z145" s="817">
        <f>W145*wkend_per_yr</f>
        <v>1381572.6176642179</v>
      </c>
      <c r="AA145" s="817">
        <f>Y145+Z145</f>
        <v>5877330.9723016368</v>
      </c>
      <c r="AG145" s="1019">
        <f>ROW()</f>
        <v>145</v>
      </c>
    </row>
    <row r="146" spans="2:33">
      <c r="B146" s="1099" t="s">
        <v>1058</v>
      </c>
      <c r="E146"/>
      <c r="F146"/>
      <c r="G146" s="135">
        <f t="shared" si="64"/>
        <v>22783.779876842003</v>
      </c>
      <c r="H146" s="135">
        <f t="shared" si="64"/>
        <v>5531.1397698284709</v>
      </c>
      <c r="I146" s="135">
        <f t="shared" si="64"/>
        <v>50796.188300825394</v>
      </c>
      <c r="J146" s="135">
        <f t="shared" si="64"/>
        <v>14305.142033531134</v>
      </c>
      <c r="K146" s="135">
        <f t="shared" si="64"/>
        <v>47395.520355179578</v>
      </c>
      <c r="L146" s="135">
        <f t="shared" si="64"/>
        <v>111319.18437401098</v>
      </c>
      <c r="M146" s="135">
        <f t="shared" si="64"/>
        <v>32740.645027374096</v>
      </c>
      <c r="N146" s="1138">
        <f>SUM(G146:M146)</f>
        <v>284871.59973759169</v>
      </c>
      <c r="O146" s="1029"/>
      <c r="P146" s="135">
        <f t="shared" si="65"/>
        <v>50259.465518866695</v>
      </c>
      <c r="Q146" s="135">
        <f t="shared" si="65"/>
        <v>18694.79052817171</v>
      </c>
      <c r="R146" s="135">
        <f t="shared" si="65"/>
        <v>66559.503214063559</v>
      </c>
      <c r="S146" s="135">
        <f t="shared" si="65"/>
        <v>44866.065838316812</v>
      </c>
      <c r="T146" s="135">
        <f t="shared" si="65"/>
        <v>22861.126319984221</v>
      </c>
      <c r="U146" s="135">
        <f t="shared" si="65"/>
        <v>17916.245251910288</v>
      </c>
      <c r="W146" s="135">
        <f>SUM(P146:V146)</f>
        <v>221157.19667131326</v>
      </c>
      <c r="Y146" s="817">
        <f>N146*wkday_per_yr</f>
        <v>71217899.934397921</v>
      </c>
      <c r="Z146" s="817">
        <f>W146*wkend_per_yr</f>
        <v>25433077.617201023</v>
      </c>
      <c r="AA146" s="817">
        <f>Y146+Z146</f>
        <v>96650977.551598936</v>
      </c>
      <c r="AG146" s="1019">
        <f>ROW()</f>
        <v>146</v>
      </c>
    </row>
    <row r="147" spans="2:33">
      <c r="B147" s="1099" t="s">
        <v>1044</v>
      </c>
      <c r="E147"/>
      <c r="F147"/>
      <c r="G147" s="135">
        <f t="shared" si="64"/>
        <v>3329.1172164516893</v>
      </c>
      <c r="H147" s="135">
        <f t="shared" si="64"/>
        <v>783.36138071918936</v>
      </c>
      <c r="I147" s="135">
        <f t="shared" si="64"/>
        <v>5845.7751697045223</v>
      </c>
      <c r="J147" s="135">
        <f t="shared" si="64"/>
        <v>1681.6333319105515</v>
      </c>
      <c r="K147" s="135">
        <f t="shared" si="64"/>
        <v>5728.4219946601288</v>
      </c>
      <c r="L147" s="135">
        <f t="shared" si="64"/>
        <v>12683.368445762913</v>
      </c>
      <c r="M147" s="135">
        <f t="shared" si="64"/>
        <v>4012.6675868809448</v>
      </c>
      <c r="N147" s="1138">
        <f>SUM(G147:M147)</f>
        <v>34064.345126089938</v>
      </c>
      <c r="O147" s="1029"/>
      <c r="P147" s="135">
        <f t="shared" si="65"/>
        <v>7323.6329321978628</v>
      </c>
      <c r="Q147" s="135">
        <f t="shared" si="65"/>
        <v>2371.4979104038812</v>
      </c>
      <c r="R147" s="135">
        <f t="shared" si="65"/>
        <v>7944.9921679534427</v>
      </c>
      <c r="S147" s="135">
        <f t="shared" si="65"/>
        <v>5268.0332158935089</v>
      </c>
      <c r="T147" s="135">
        <f t="shared" si="65"/>
        <v>2795.6665356125686</v>
      </c>
      <c r="U147" s="135">
        <f t="shared" si="65"/>
        <v>2292.0612084108388</v>
      </c>
      <c r="W147" s="135">
        <f>SUM(P147:V147)</f>
        <v>27995.883970472107</v>
      </c>
      <c r="Y147" s="817">
        <f>N147*wkday_per_yr</f>
        <v>8516086.2815224845</v>
      </c>
      <c r="Z147" s="817">
        <f>W147*wkend_per_yr</f>
        <v>3219526.6566042923</v>
      </c>
      <c r="AA147" s="817">
        <f>Y147+Z147</f>
        <v>11735612.938126776</v>
      </c>
      <c r="AG147" s="1019">
        <f>ROW()</f>
        <v>147</v>
      </c>
    </row>
    <row r="148" spans="2:33">
      <c r="B148" s="1099" t="s">
        <v>1054</v>
      </c>
      <c r="E148"/>
      <c r="F148"/>
      <c r="G148" s="135">
        <f t="shared" si="64"/>
        <v>297.17471258677767</v>
      </c>
      <c r="H148" s="135">
        <f t="shared" si="64"/>
        <v>58.261643303542492</v>
      </c>
      <c r="I148" s="135">
        <f t="shared" si="64"/>
        <v>617.89754651341264</v>
      </c>
      <c r="J148" s="135">
        <f t="shared" si="64"/>
        <v>166.57835391356988</v>
      </c>
      <c r="K148" s="135">
        <f t="shared" si="64"/>
        <v>524.04962196395741</v>
      </c>
      <c r="L148" s="135">
        <f t="shared" si="64"/>
        <v>1384.3007734598746</v>
      </c>
      <c r="M148" s="135">
        <f t="shared" si="64"/>
        <v>354.08967393893386</v>
      </c>
      <c r="N148" s="1138">
        <f>SUM(G148:M148)</f>
        <v>3402.3523256800681</v>
      </c>
      <c r="O148" s="1029"/>
      <c r="P148" s="135">
        <f t="shared" si="65"/>
        <v>640.35739941100633</v>
      </c>
      <c r="Q148" s="135">
        <f t="shared" si="65"/>
        <v>192.88695654390102</v>
      </c>
      <c r="R148" s="135">
        <f t="shared" si="65"/>
        <v>752.72615894159003</v>
      </c>
      <c r="S148" s="135">
        <f t="shared" si="65"/>
        <v>523.71931521720785</v>
      </c>
      <c r="T148" s="135">
        <f t="shared" si="65"/>
        <v>248.11009896188997</v>
      </c>
      <c r="U148" s="135">
        <f t="shared" si="65"/>
        <v>183.46988142903442</v>
      </c>
      <c r="W148" s="135">
        <f>SUM(P148:V148)</f>
        <v>2541.2698105046297</v>
      </c>
      <c r="Y148" s="817">
        <f>N148*wkday_per_yr</f>
        <v>850588.08142001706</v>
      </c>
      <c r="Z148" s="817">
        <f>W148*wkend_per_yr</f>
        <v>292246.02820803243</v>
      </c>
      <c r="AA148" s="817">
        <f>Y148+Z148</f>
        <v>1142834.1096280494</v>
      </c>
      <c r="AG148" s="1019">
        <f>ROW()</f>
        <v>148</v>
      </c>
    </row>
    <row r="149" spans="2:33">
      <c r="B149" s="496" t="s">
        <v>1509</v>
      </c>
      <c r="E149"/>
      <c r="F149"/>
      <c r="G149" s="135"/>
      <c r="H149" s="135"/>
      <c r="I149" s="135"/>
      <c r="J149" s="135"/>
      <c r="K149" s="135"/>
      <c r="L149" s="135"/>
      <c r="M149" s="135"/>
      <c r="N149" s="1138"/>
      <c r="O149" s="1029"/>
      <c r="AG149" s="1019">
        <f>ROW()</f>
        <v>149</v>
      </c>
    </row>
    <row r="150" spans="2:33">
      <c r="B150" s="1099" t="s">
        <v>2494</v>
      </c>
      <c r="E150"/>
      <c r="F150"/>
      <c r="G150" s="135">
        <f t="shared" ref="G150:M154" si="66">G67+G123</f>
        <v>290625.27450417116</v>
      </c>
      <c r="H150" s="135">
        <f t="shared" si="66"/>
        <v>78639.555482331067</v>
      </c>
      <c r="I150" s="135">
        <f t="shared" si="66"/>
        <v>686517.91123170871</v>
      </c>
      <c r="J150" s="135">
        <f t="shared" si="66"/>
        <v>187427.95146582773</v>
      </c>
      <c r="K150" s="135">
        <f t="shared" si="66"/>
        <v>603389.12044257321</v>
      </c>
      <c r="L150" s="135">
        <f t="shared" si="66"/>
        <v>1520428.4450236452</v>
      </c>
      <c r="M150" s="135">
        <f t="shared" si="66"/>
        <v>407991.74659051484</v>
      </c>
      <c r="N150" s="1138">
        <f>SUM(G150:M150)</f>
        <v>3775020.0047407718</v>
      </c>
      <c r="O150" s="1029"/>
      <c r="P150" s="135">
        <f t="shared" ref="P150:U154" si="67">P67+P123</f>
        <v>252476.23880074968</v>
      </c>
      <c r="Q150" s="135">
        <f t="shared" si="67"/>
        <v>90324.993695511192</v>
      </c>
      <c r="R150" s="135">
        <f t="shared" si="67"/>
        <v>320294.4742308858</v>
      </c>
      <c r="S150" s="135">
        <f t="shared" si="67"/>
        <v>220351.66606687545</v>
      </c>
      <c r="T150" s="135">
        <f t="shared" si="67"/>
        <v>110214.13947739577</v>
      </c>
      <c r="U150" s="135">
        <f t="shared" si="67"/>
        <v>89008.936033065358</v>
      </c>
      <c r="W150" s="135">
        <f>SUM(P150:V150)</f>
        <v>1082670.4483044832</v>
      </c>
      <c r="Y150" s="817">
        <f>N150*wkday_per_yr</f>
        <v>943755001.18519294</v>
      </c>
      <c r="Z150" s="817">
        <f>W150*wkend_per_yr</f>
        <v>124507101.55501556</v>
      </c>
      <c r="AA150" s="817">
        <f>Y150+Z150</f>
        <v>1068262102.7402085</v>
      </c>
      <c r="AG150" s="1019">
        <f>ROW()</f>
        <v>150</v>
      </c>
    </row>
    <row r="151" spans="2:33">
      <c r="B151" s="1099" t="s">
        <v>1057</v>
      </c>
      <c r="E151"/>
      <c r="F151"/>
      <c r="G151" s="135">
        <f t="shared" si="66"/>
        <v>89.321539710035822</v>
      </c>
      <c r="H151" s="135">
        <f t="shared" si="66"/>
        <v>17.14950856269548</v>
      </c>
      <c r="I151" s="135">
        <f t="shared" si="66"/>
        <v>334.67333686883626</v>
      </c>
      <c r="J151" s="135">
        <f t="shared" si="66"/>
        <v>86.357740118936064</v>
      </c>
      <c r="K151" s="135">
        <f t="shared" si="66"/>
        <v>251.70233078330261</v>
      </c>
      <c r="L151" s="135">
        <f t="shared" si="66"/>
        <v>747.72213101666614</v>
      </c>
      <c r="M151" s="135">
        <f t="shared" si="66"/>
        <v>159.19284653664911</v>
      </c>
      <c r="N151" s="1138">
        <f>SUM(G151:M151)</f>
        <v>1686.1194335971213</v>
      </c>
      <c r="O151" s="1029"/>
      <c r="P151" s="135">
        <f t="shared" si="67"/>
        <v>74.090276368492979</v>
      </c>
      <c r="Q151" s="135">
        <f t="shared" si="67"/>
        <v>29.813249692702797</v>
      </c>
      <c r="R151" s="135">
        <f t="shared" si="67"/>
        <v>140.1361570455345</v>
      </c>
      <c r="S151" s="135">
        <f t="shared" si="67"/>
        <v>101.79659615534347</v>
      </c>
      <c r="T151" s="135">
        <f t="shared" si="67"/>
        <v>43.421396035878722</v>
      </c>
      <c r="U151" s="135">
        <f t="shared" si="67"/>
        <v>28.070856538309037</v>
      </c>
      <c r="W151" s="135">
        <f>SUM(P151:V151)</f>
        <v>417.3285318362615</v>
      </c>
      <c r="Y151" s="817">
        <f>N151*wkday_per_yr</f>
        <v>421529.85839928035</v>
      </c>
      <c r="Z151" s="817">
        <f>W151*wkend_per_yr</f>
        <v>47992.781161170074</v>
      </c>
      <c r="AA151" s="817">
        <f>Y151+Z151</f>
        <v>469522.63956045045</v>
      </c>
      <c r="AG151" s="1019">
        <f>ROW()</f>
        <v>151</v>
      </c>
    </row>
    <row r="152" spans="2:33">
      <c r="B152" s="1099" t="s">
        <v>1058</v>
      </c>
      <c r="E152"/>
      <c r="F152"/>
      <c r="G152" s="135">
        <f t="shared" si="66"/>
        <v>1198.5709865892509</v>
      </c>
      <c r="H152" s="135">
        <f t="shared" si="66"/>
        <v>208.97545687424054</v>
      </c>
      <c r="I152" s="135">
        <f t="shared" si="66"/>
        <v>3401.275674678529</v>
      </c>
      <c r="J152" s="135">
        <f t="shared" si="66"/>
        <v>874.862020575786</v>
      </c>
      <c r="K152" s="135">
        <f t="shared" si="66"/>
        <v>2547.0836136358125</v>
      </c>
      <c r="L152" s="135">
        <f t="shared" si="66"/>
        <v>7616.7098333817503</v>
      </c>
      <c r="M152" s="135">
        <f t="shared" si="66"/>
        <v>1614.2369603940449</v>
      </c>
      <c r="N152" s="1138">
        <f>SUM(G152:M152)</f>
        <v>17461.714546129413</v>
      </c>
      <c r="O152" s="1029"/>
      <c r="P152" s="135">
        <f t="shared" si="67"/>
        <v>988.04478753559931</v>
      </c>
      <c r="Q152" s="135">
        <f t="shared" si="67"/>
        <v>305.8143702424577</v>
      </c>
      <c r="R152" s="135">
        <f t="shared" si="67"/>
        <v>1418.0398923502153</v>
      </c>
      <c r="S152" s="135">
        <f t="shared" si="67"/>
        <v>1031.396164879593</v>
      </c>
      <c r="T152" s="135">
        <f t="shared" si="67"/>
        <v>440.11812441136237</v>
      </c>
      <c r="U152" s="135">
        <f t="shared" si="67"/>
        <v>289.66426678888024</v>
      </c>
      <c r="W152" s="135">
        <f>SUM(P152:V152)</f>
        <v>4473.0776062081077</v>
      </c>
      <c r="Y152" s="817">
        <f>N152*wkday_per_yr</f>
        <v>4365428.6365323532</v>
      </c>
      <c r="Z152" s="817">
        <f>W152*wkend_per_yr</f>
        <v>514403.92471393239</v>
      </c>
      <c r="AA152" s="817">
        <f>Y152+Z152</f>
        <v>4879832.5612462852</v>
      </c>
      <c r="AG152" s="1019">
        <f>ROW()</f>
        <v>152</v>
      </c>
    </row>
    <row r="153" spans="2:33">
      <c r="B153" s="1099" t="s">
        <v>1044</v>
      </c>
      <c r="E153"/>
      <c r="F153"/>
      <c r="G153" s="135">
        <f t="shared" si="66"/>
        <v>1637.1766846721393</v>
      </c>
      <c r="H153" s="135">
        <f t="shared" si="66"/>
        <v>366.31927065468437</v>
      </c>
      <c r="I153" s="135">
        <f t="shared" si="66"/>
        <v>2347.0855504081123</v>
      </c>
      <c r="J153" s="135">
        <f t="shared" si="66"/>
        <v>676.6662563318655</v>
      </c>
      <c r="K153" s="135">
        <f t="shared" si="66"/>
        <v>2303.4059678548256</v>
      </c>
      <c r="L153" s="135">
        <f t="shared" si="66"/>
        <v>4981.4298476760296</v>
      </c>
      <c r="M153" s="135">
        <f t="shared" si="66"/>
        <v>1575.7333894892106</v>
      </c>
      <c r="N153" s="1138">
        <f>SUM(G153:M153)</f>
        <v>13887.816967086866</v>
      </c>
      <c r="O153" s="1029"/>
      <c r="P153" s="135">
        <f t="shared" si="67"/>
        <v>1385.8684150473362</v>
      </c>
      <c r="Q153" s="135">
        <f t="shared" si="67"/>
        <v>363.7592630604762</v>
      </c>
      <c r="R153" s="135">
        <f t="shared" si="67"/>
        <v>1196.2428355004347</v>
      </c>
      <c r="S153" s="135">
        <f t="shared" si="67"/>
        <v>793.42568949798942</v>
      </c>
      <c r="T153" s="135">
        <f t="shared" si="67"/>
        <v>425.21285660854448</v>
      </c>
      <c r="U153" s="135">
        <f t="shared" si="67"/>
        <v>359.83359724560239</v>
      </c>
      <c r="W153" s="135">
        <f>SUM(P153:V153)</f>
        <v>4524.3426569603835</v>
      </c>
      <c r="Y153" s="817">
        <f>N153*wkday_per_yr</f>
        <v>3471954.2417717166</v>
      </c>
      <c r="Z153" s="817">
        <f>W153*wkend_per_yr</f>
        <v>520299.40555044409</v>
      </c>
      <c r="AA153" s="817">
        <f>Y153+Z153</f>
        <v>3992253.6473221607</v>
      </c>
      <c r="AG153" s="1019">
        <f>ROW()</f>
        <v>153</v>
      </c>
    </row>
    <row r="154" spans="2:33">
      <c r="B154" s="1099" t="s">
        <v>1054</v>
      </c>
      <c r="E154"/>
      <c r="F154"/>
      <c r="G154" s="135">
        <f t="shared" si="66"/>
        <v>34.141494765227307</v>
      </c>
      <c r="H154" s="135">
        <f t="shared" si="66"/>
        <v>8.8182921144806432</v>
      </c>
      <c r="I154" s="135">
        <f t="shared" si="66"/>
        <v>99.429116265343836</v>
      </c>
      <c r="J154" s="135">
        <f t="shared" si="66"/>
        <v>27.395064570534668</v>
      </c>
      <c r="K154" s="135">
        <f t="shared" si="66"/>
        <v>87.425693880141125</v>
      </c>
      <c r="L154" s="135">
        <f t="shared" si="66"/>
        <v>215.34015539827826</v>
      </c>
      <c r="M154" s="135">
        <f t="shared" si="66"/>
        <v>57.791336225376227</v>
      </c>
      <c r="N154" s="1138">
        <f>SUM(G154:M154)</f>
        <v>530.34115321938202</v>
      </c>
      <c r="O154" s="1029"/>
      <c r="P154" s="135">
        <f t="shared" si="67"/>
        <v>29.263574371644793</v>
      </c>
      <c r="Q154" s="135">
        <f t="shared" si="67"/>
        <v>12.182196374844155</v>
      </c>
      <c r="R154" s="135">
        <f t="shared" si="67"/>
        <v>46.7433556569827</v>
      </c>
      <c r="S154" s="135">
        <f t="shared" si="67"/>
        <v>32.191491451435439</v>
      </c>
      <c r="T154" s="135">
        <f t="shared" si="67"/>
        <v>15.669649487746875</v>
      </c>
      <c r="U154" s="135">
        <f t="shared" si="67"/>
        <v>11.769898428757926</v>
      </c>
      <c r="W154" s="135">
        <f>SUM(P154:V154)</f>
        <v>147.82016577141189</v>
      </c>
      <c r="Y154" s="817">
        <f>N154*wkday_per_yr</f>
        <v>132585.28830484551</v>
      </c>
      <c r="Z154" s="817">
        <f>W154*wkend_per_yr</f>
        <v>16999.319063712366</v>
      </c>
      <c r="AA154" s="817">
        <f>Y154+Z154</f>
        <v>149584.60736855789</v>
      </c>
      <c r="AG154" s="1019">
        <f>ROW()</f>
        <v>154</v>
      </c>
    </row>
    <row r="155" spans="2:33">
      <c r="B155" s="496" t="s">
        <v>810</v>
      </c>
      <c r="C155" s="912"/>
      <c r="E155"/>
      <c r="F155"/>
      <c r="G155" s="135"/>
      <c r="H155" s="135"/>
      <c r="I155" s="135"/>
      <c r="J155" s="135"/>
      <c r="K155" s="135"/>
      <c r="L155" s="135"/>
      <c r="M155" s="135"/>
      <c r="N155" s="1138"/>
      <c r="O155" s="1029"/>
      <c r="AG155" s="1019">
        <f>ROW()</f>
        <v>155</v>
      </c>
    </row>
    <row r="156" spans="2:33">
      <c r="B156" s="1099" t="s">
        <v>2494</v>
      </c>
      <c r="C156" s="912"/>
      <c r="E156"/>
      <c r="F156"/>
      <c r="G156" s="135">
        <f t="shared" ref="G156:M160" si="68">G73+G129</f>
        <v>150159.26113383734</v>
      </c>
      <c r="H156" s="135">
        <f t="shared" si="68"/>
        <v>40551.654306771256</v>
      </c>
      <c r="I156" s="135">
        <f t="shared" si="68"/>
        <v>350226.67566710047</v>
      </c>
      <c r="J156" s="135">
        <f t="shared" si="68"/>
        <v>95196.976759453086</v>
      </c>
      <c r="K156" s="135">
        <f t="shared" si="68"/>
        <v>307493.77021918033</v>
      </c>
      <c r="L156" s="135">
        <f t="shared" si="68"/>
        <v>775303.93672465475</v>
      </c>
      <c r="M156" s="135">
        <f t="shared" si="68"/>
        <v>207315.70940028637</v>
      </c>
      <c r="N156" s="1138">
        <f>SUM(G156:M156)</f>
        <v>1926247.9842112837</v>
      </c>
      <c r="O156" s="1029"/>
      <c r="P156" s="135">
        <f t="shared" ref="P156:U160" si="69">P73+P129</f>
        <v>193494.16073668055</v>
      </c>
      <c r="Q156" s="135">
        <f t="shared" si="69"/>
        <v>68616.170659413474</v>
      </c>
      <c r="R156" s="135">
        <f t="shared" si="69"/>
        <v>242297.74548523981</v>
      </c>
      <c r="S156" s="135">
        <f t="shared" si="69"/>
        <v>166404.3933673336</v>
      </c>
      <c r="T156" s="135">
        <f t="shared" si="69"/>
        <v>83328.603958320906</v>
      </c>
      <c r="U156" s="135">
        <f t="shared" si="69"/>
        <v>67497.012186811233</v>
      </c>
      <c r="W156" s="135">
        <f>SUM(P156:V156)</f>
        <v>821638.08639379952</v>
      </c>
      <c r="Y156" s="817">
        <f>N156*wkday_per_yr</f>
        <v>481561996.05282092</v>
      </c>
      <c r="Z156" s="817">
        <f>W156*wkend_per_yr</f>
        <v>94488379.935286939</v>
      </c>
      <c r="AA156" s="817">
        <f>Y156+Z156</f>
        <v>576050375.98810792</v>
      </c>
      <c r="AG156" s="1019">
        <f>ROW()</f>
        <v>156</v>
      </c>
    </row>
    <row r="157" spans="2:33">
      <c r="B157" s="1099" t="s">
        <v>1057</v>
      </c>
      <c r="E157"/>
      <c r="F157"/>
      <c r="G157" s="135">
        <f t="shared" si="68"/>
        <v>93.936750437165927</v>
      </c>
      <c r="H157" s="135">
        <f t="shared" si="68"/>
        <v>17.421837809263394</v>
      </c>
      <c r="I157" s="135">
        <f t="shared" si="68"/>
        <v>344.31708100563139</v>
      </c>
      <c r="J157" s="135">
        <f t="shared" si="68"/>
        <v>88.250187235115192</v>
      </c>
      <c r="K157" s="135">
        <f t="shared" si="68"/>
        <v>256.15712998846664</v>
      </c>
      <c r="L157" s="135">
        <f t="shared" si="68"/>
        <v>770.35640484941428</v>
      </c>
      <c r="M157" s="135">
        <f t="shared" si="68"/>
        <v>160.98220972202964</v>
      </c>
      <c r="N157" s="1138">
        <f>SUM(G157:M157)</f>
        <v>1731.4216010470866</v>
      </c>
      <c r="O157" s="1029"/>
      <c r="P157" s="135">
        <f t="shared" si="69"/>
        <v>114.88292309085635</v>
      </c>
      <c r="Q157" s="135">
        <f t="shared" si="69"/>
        <v>44.673762035010505</v>
      </c>
      <c r="R157" s="135">
        <f t="shared" si="69"/>
        <v>212.41317174404716</v>
      </c>
      <c r="S157" s="135">
        <f t="shared" si="69"/>
        <v>154.69803396422867</v>
      </c>
      <c r="T157" s="135">
        <f t="shared" si="69"/>
        <v>65.381922774046288</v>
      </c>
      <c r="U157" s="135">
        <f t="shared" si="69"/>
        <v>41.856385882670622</v>
      </c>
      <c r="W157" s="135">
        <f>SUM(P157:V157)</f>
        <v>633.90619949085954</v>
      </c>
      <c r="Y157" s="817">
        <f>N157*wkday_per_yr</f>
        <v>432855.40026177163</v>
      </c>
      <c r="Z157" s="817">
        <f>W157*wkend_per_yr</f>
        <v>72899.212941448845</v>
      </c>
      <c r="AA157" s="817">
        <f>Y157+Z157</f>
        <v>505754.61320322048</v>
      </c>
      <c r="AG157" s="1019">
        <f>ROW()</f>
        <v>157</v>
      </c>
    </row>
    <row r="158" spans="2:33">
      <c r="B158" s="1099" t="s">
        <v>1058</v>
      </c>
      <c r="E158"/>
      <c r="F158"/>
      <c r="G158" s="135">
        <f t="shared" si="68"/>
        <v>1016.6874608509196</v>
      </c>
      <c r="H158" s="135">
        <f t="shared" si="68"/>
        <v>163.42174314824862</v>
      </c>
      <c r="I158" s="135">
        <f t="shared" si="68"/>
        <v>2897.0259983841088</v>
      </c>
      <c r="J158" s="135">
        <f t="shared" si="68"/>
        <v>733.64709112115793</v>
      </c>
      <c r="K158" s="135">
        <f t="shared" si="68"/>
        <v>2099.952065943919</v>
      </c>
      <c r="L158" s="135">
        <f t="shared" si="68"/>
        <v>6521.1495398040861</v>
      </c>
      <c r="M158" s="135">
        <f t="shared" si="68"/>
        <v>1312.9293606959441</v>
      </c>
      <c r="N158" s="1138">
        <f>SUM(G158:M158)</f>
        <v>14744.813259948383</v>
      </c>
      <c r="O158" s="1029"/>
      <c r="P158" s="135">
        <f t="shared" si="69"/>
        <v>1231.8605591879814</v>
      </c>
      <c r="Q158" s="135">
        <f t="shared" si="69"/>
        <v>361.68253694804628</v>
      </c>
      <c r="R158" s="135">
        <f t="shared" si="69"/>
        <v>1751.6257334034847</v>
      </c>
      <c r="S158" s="135">
        <f t="shared" si="69"/>
        <v>1286.8054977302411</v>
      </c>
      <c r="T158" s="135">
        <f t="shared" si="69"/>
        <v>533.59776561086801</v>
      </c>
      <c r="U158" s="135">
        <f t="shared" si="69"/>
        <v>339.32485724488117</v>
      </c>
      <c r="W158" s="135">
        <f>SUM(P158:V158)</f>
        <v>5504.8969501255024</v>
      </c>
      <c r="Y158" s="817">
        <f>N158*wkday_per_yr</f>
        <v>3686203.314987096</v>
      </c>
      <c r="Z158" s="817">
        <f>W158*wkend_per_yr</f>
        <v>633063.14926443272</v>
      </c>
      <c r="AA158" s="817">
        <f>Y158+Z158</f>
        <v>4319266.4642515285</v>
      </c>
      <c r="AG158" s="1019">
        <f>ROW()</f>
        <v>158</v>
      </c>
    </row>
    <row r="159" spans="2:33">
      <c r="B159" s="1099" t="s">
        <v>1044</v>
      </c>
      <c r="E159" s="1020"/>
      <c r="F159" s="902"/>
      <c r="G159" s="135">
        <f t="shared" si="68"/>
        <v>2416.6281158210468</v>
      </c>
      <c r="H159" s="135">
        <f t="shared" si="68"/>
        <v>496.65791187326067</v>
      </c>
      <c r="I159" s="135">
        <f t="shared" si="68"/>
        <v>3490.8013076786206</v>
      </c>
      <c r="J159" s="135">
        <f t="shared" si="68"/>
        <v>975.4611480113814</v>
      </c>
      <c r="K159" s="135">
        <f t="shared" si="68"/>
        <v>3212.7916507384393</v>
      </c>
      <c r="L159" s="135">
        <f t="shared" si="68"/>
        <v>7524.2082069226399</v>
      </c>
      <c r="M159" s="135">
        <f t="shared" si="68"/>
        <v>2165.5370695183028</v>
      </c>
      <c r="N159" s="1138">
        <f>SUM(G159:M159)</f>
        <v>20282.08541056369</v>
      </c>
      <c r="O159" s="1029"/>
      <c r="P159" s="135">
        <f t="shared" si="69"/>
        <v>3010.0639800400672</v>
      </c>
      <c r="Q159" s="135">
        <f t="shared" si="69"/>
        <v>724.22310805991265</v>
      </c>
      <c r="R159" s="135">
        <f t="shared" si="69"/>
        <v>2514.2402765163874</v>
      </c>
      <c r="S159" s="135">
        <f t="shared" si="69"/>
        <v>1702.3870656789511</v>
      </c>
      <c r="T159" s="135">
        <f t="shared" si="69"/>
        <v>870.40236332316454</v>
      </c>
      <c r="U159" s="135">
        <f t="shared" si="69"/>
        <v>712.9398702230576</v>
      </c>
      <c r="V159" s="135"/>
      <c r="W159" s="135">
        <f>SUM(P159:V159)</f>
        <v>9534.256663841541</v>
      </c>
      <c r="Y159" s="817">
        <f>N159*wkday_per_yr</f>
        <v>5070521.3526409222</v>
      </c>
      <c r="Z159" s="817">
        <f>W159*wkend_per_yr</f>
        <v>1096439.5163417773</v>
      </c>
      <c r="AA159" s="817">
        <f>Y159+Z159</f>
        <v>6166960.8689826997</v>
      </c>
      <c r="AG159" s="1019">
        <f>ROW()</f>
        <v>159</v>
      </c>
    </row>
    <row r="160" spans="2:33">
      <c r="B160" s="1099" t="s">
        <v>1054</v>
      </c>
      <c r="E160" s="1020"/>
      <c r="F160" s="902"/>
      <c r="G160" s="135">
        <f t="shared" si="68"/>
        <v>32.077075563585211</v>
      </c>
      <c r="H160" s="135">
        <f t="shared" si="68"/>
        <v>7.5734781511819271</v>
      </c>
      <c r="I160" s="135">
        <f t="shared" si="68"/>
        <v>102.10482166495318</v>
      </c>
      <c r="J160" s="135">
        <f t="shared" si="68"/>
        <v>27.37453759839067</v>
      </c>
      <c r="K160" s="135">
        <f t="shared" si="68"/>
        <v>84.584427170950576</v>
      </c>
      <c r="L160" s="135">
        <f t="shared" si="68"/>
        <v>223.81125919495827</v>
      </c>
      <c r="M160" s="135">
        <f t="shared" si="68"/>
        <v>54.918240079792668</v>
      </c>
      <c r="N160" s="1138">
        <f>SUM(G160:M160)</f>
        <v>532.44383942381251</v>
      </c>
      <c r="O160" s="1029"/>
      <c r="P160" s="135">
        <f t="shared" si="69"/>
        <v>40.295438328499664</v>
      </c>
      <c r="Q160" s="135">
        <f t="shared" si="69"/>
        <v>16.583809547998346</v>
      </c>
      <c r="R160" s="135">
        <f t="shared" si="69"/>
        <v>68.185652355509561</v>
      </c>
      <c r="S160" s="135">
        <f t="shared" si="69"/>
        <v>47.876750226259794</v>
      </c>
      <c r="T160" s="135">
        <f t="shared" si="69"/>
        <v>22.197932814790718</v>
      </c>
      <c r="U160" s="135">
        <f t="shared" si="69"/>
        <v>15.858377157296909</v>
      </c>
      <c r="V160" s="135"/>
      <c r="W160" s="135">
        <f>SUM(P160:V160)</f>
        <v>210.99796043035496</v>
      </c>
      <c r="Y160" s="817">
        <f>N160*wkday_per_yr</f>
        <v>133110.95985595312</v>
      </c>
      <c r="Z160" s="817">
        <f>W160*wkend_per_yr</f>
        <v>24264.76544949082</v>
      </c>
      <c r="AA160" s="817">
        <f>Y160+Z160</f>
        <v>157375.72530544392</v>
      </c>
      <c r="AG160" s="1019">
        <f>ROW()</f>
        <v>160</v>
      </c>
    </row>
    <row r="161" spans="2:33">
      <c r="B161" s="1066" t="s">
        <v>653</v>
      </c>
      <c r="E161" s="1020"/>
      <c r="F161" s="902"/>
      <c r="G161" s="135"/>
      <c r="H161" s="135"/>
      <c r="I161" s="135"/>
      <c r="J161" s="135"/>
      <c r="K161" s="135"/>
      <c r="L161" s="135"/>
      <c r="M161" s="135"/>
      <c r="N161" s="1138"/>
      <c r="O161" s="1029"/>
      <c r="P161" s="135"/>
      <c r="Q161" s="135"/>
      <c r="R161" s="135"/>
      <c r="S161" s="135"/>
      <c r="T161" s="135"/>
      <c r="U161" s="135"/>
      <c r="V161" s="135"/>
      <c r="W161" s="135"/>
      <c r="AG161" s="1019">
        <f>ROW()</f>
        <v>161</v>
      </c>
    </row>
    <row r="162" spans="2:33">
      <c r="B162" s="1099" t="s">
        <v>2494</v>
      </c>
      <c r="E162" s="1020"/>
      <c r="F162" s="902"/>
      <c r="G162" s="135">
        <f t="shared" ref="G162:M162" si="70">G144+G150+G156</f>
        <v>2946759.7337709209</v>
      </c>
      <c r="H162" s="135">
        <f t="shared" si="70"/>
        <v>757431.19271388429</v>
      </c>
      <c r="I162" s="135">
        <f t="shared" si="70"/>
        <v>6416059.9894605437</v>
      </c>
      <c r="J162" s="135">
        <f t="shared" si="70"/>
        <v>1752020.2844111519</v>
      </c>
      <c r="K162" s="135">
        <f t="shared" si="70"/>
        <v>5712783.6215610551</v>
      </c>
      <c r="L162" s="135">
        <f t="shared" si="70"/>
        <v>14458209.120110946</v>
      </c>
      <c r="M162" s="135">
        <f t="shared" si="70"/>
        <v>3964543.2948865728</v>
      </c>
      <c r="N162" s="1138">
        <f>SUM(G162:M162)</f>
        <v>36007807.236915074</v>
      </c>
      <c r="O162" s="1029"/>
      <c r="P162" s="135">
        <f t="shared" ref="P162:U162" si="71">P144+P150+P156</f>
        <v>6043610.2952500107</v>
      </c>
      <c r="Q162" s="135">
        <f t="shared" si="71"/>
        <v>2113467.1669763373</v>
      </c>
      <c r="R162" s="135">
        <f t="shared" si="71"/>
        <v>7332774.5972749889</v>
      </c>
      <c r="S162" s="135">
        <f t="shared" si="71"/>
        <v>5008118.0896781022</v>
      </c>
      <c r="T162" s="135">
        <f t="shared" si="71"/>
        <v>2530427.5789613947</v>
      </c>
      <c r="U162" s="135">
        <f t="shared" si="71"/>
        <v>2052533.5092961004</v>
      </c>
      <c r="V162" s="135"/>
      <c r="W162" s="135">
        <f>SUM(P162:V162)</f>
        <v>25080931.237436935</v>
      </c>
      <c r="Y162" s="817">
        <f>N162*wkday_per_yr</f>
        <v>9001951809.2287693</v>
      </c>
      <c r="Z162" s="817">
        <f>W162*wkend_per_yr</f>
        <v>2884307092.3052478</v>
      </c>
      <c r="AA162" s="817">
        <f>Y162+Z162</f>
        <v>11886258901.534018</v>
      </c>
      <c r="AG162" s="1019">
        <f>ROW()</f>
        <v>162</v>
      </c>
    </row>
    <row r="163" spans="2:33">
      <c r="B163" s="1099" t="s">
        <v>1057</v>
      </c>
      <c r="E163" s="1020"/>
      <c r="F163" s="902"/>
      <c r="G163" s="135">
        <f t="shared" ref="G163:M163" si="72">G145+G151+G157</f>
        <v>1498.0381849990672</v>
      </c>
      <c r="H163" s="135">
        <f t="shared" si="72"/>
        <v>231.30706840302668</v>
      </c>
      <c r="I163" s="135">
        <f t="shared" si="72"/>
        <v>4137.3635051137426</v>
      </c>
      <c r="J163" s="135">
        <f t="shared" si="72"/>
        <v>1053.0484149490912</v>
      </c>
      <c r="K163" s="135">
        <f t="shared" si="72"/>
        <v>3045.408595264204</v>
      </c>
      <c r="L163" s="135">
        <f t="shared" si="72"/>
        <v>9475.0485648948124</v>
      </c>
      <c r="M163" s="135">
        <f t="shared" si="72"/>
        <v>1960.3601195699362</v>
      </c>
      <c r="N163" s="1138">
        <f>SUM(G163:M163)</f>
        <v>21400.574453193884</v>
      </c>
      <c r="O163" s="1029"/>
      <c r="P163" s="135">
        <f t="shared" ref="P163:U163" si="73">P145+P151+P157</f>
        <v>2950.9986475431442</v>
      </c>
      <c r="Q163" s="135">
        <f t="shared" si="73"/>
        <v>869.38841035040321</v>
      </c>
      <c r="R163" s="135">
        <f t="shared" si="73"/>
        <v>4143.9614807582457</v>
      </c>
      <c r="S163" s="135">
        <f t="shared" si="73"/>
        <v>3027.9958546954349</v>
      </c>
      <c r="T163" s="135">
        <f t="shared" si="73"/>
        <v>1266.4656716677662</v>
      </c>
      <c r="U163" s="135">
        <f t="shared" si="73"/>
        <v>806.09960252271571</v>
      </c>
      <c r="V163" s="135"/>
      <c r="W163" s="135">
        <f>SUM(P163:V163)</f>
        <v>13064.90966753771</v>
      </c>
      <c r="Y163" s="817">
        <f>N163*wkday_per_yr</f>
        <v>5350143.6132984711</v>
      </c>
      <c r="Z163" s="817">
        <f>W163*wkend_per_yr</f>
        <v>1502464.6117668366</v>
      </c>
      <c r="AA163" s="817">
        <f>Y163+Z163</f>
        <v>6852608.2250653077</v>
      </c>
      <c r="AG163" s="1019">
        <f>ROW()</f>
        <v>163</v>
      </c>
    </row>
    <row r="164" spans="2:33">
      <c r="B164" s="1099" t="s">
        <v>1058</v>
      </c>
      <c r="E164" s="1020"/>
      <c r="F164" s="902"/>
      <c r="G164" s="135">
        <f t="shared" ref="G164:M164" si="74">G146+G152+G158</f>
        <v>24999.038324282174</v>
      </c>
      <c r="H164" s="135">
        <f t="shared" si="74"/>
        <v>5903.5369698509603</v>
      </c>
      <c r="I164" s="135">
        <f t="shared" si="74"/>
        <v>57094.489973888034</v>
      </c>
      <c r="J164" s="135">
        <f t="shared" si="74"/>
        <v>15913.651145228077</v>
      </c>
      <c r="K164" s="135">
        <f t="shared" si="74"/>
        <v>52042.556034759313</v>
      </c>
      <c r="L164" s="135">
        <f t="shared" si="74"/>
        <v>125457.04374719682</v>
      </c>
      <c r="M164" s="135">
        <f t="shared" si="74"/>
        <v>35667.811348464085</v>
      </c>
      <c r="N164" s="1138">
        <f>SUM(G164:M164)</f>
        <v>317078.12754366949</v>
      </c>
      <c r="O164" s="1029"/>
      <c r="P164" s="135">
        <f t="shared" ref="P164:U164" si="75">P146+P152+P158</f>
        <v>52479.370865590274</v>
      </c>
      <c r="Q164" s="135">
        <f t="shared" si="75"/>
        <v>19362.287435362214</v>
      </c>
      <c r="R164" s="135">
        <f t="shared" si="75"/>
        <v>69729.16883981727</v>
      </c>
      <c r="S164" s="135">
        <f t="shared" si="75"/>
        <v>47184.267500926646</v>
      </c>
      <c r="T164" s="135">
        <f t="shared" si="75"/>
        <v>23834.842210006449</v>
      </c>
      <c r="U164" s="135">
        <f t="shared" si="75"/>
        <v>18545.234375944052</v>
      </c>
      <c r="V164" s="135"/>
      <c r="W164" s="135">
        <f>SUM(P164:V164)</f>
        <v>231135.1712276469</v>
      </c>
      <c r="Y164" s="817">
        <f>N164*wkday_per_yr</f>
        <v>79269531.885917366</v>
      </c>
      <c r="Z164" s="817">
        <f>W164*wkend_per_yr</f>
        <v>26580544.691179395</v>
      </c>
      <c r="AA164" s="817">
        <f>Y164+Z164</f>
        <v>105850076.57709676</v>
      </c>
      <c r="AG164" s="1019">
        <f>ROW()</f>
        <v>164</v>
      </c>
    </row>
    <row r="165" spans="2:33">
      <c r="B165" s="1099" t="s">
        <v>1044</v>
      </c>
      <c r="E165" s="1020"/>
      <c r="F165" s="902"/>
      <c r="G165" s="135">
        <f t="shared" ref="G165:M165" si="76">G147+G153+G159</f>
        <v>7382.9220169448754</v>
      </c>
      <c r="H165" s="135">
        <f t="shared" si="76"/>
        <v>1646.3385632471345</v>
      </c>
      <c r="I165" s="135">
        <f t="shared" si="76"/>
        <v>11683.662027791255</v>
      </c>
      <c r="J165" s="135">
        <f t="shared" si="76"/>
        <v>3333.7607362537983</v>
      </c>
      <c r="K165" s="135">
        <f t="shared" si="76"/>
        <v>11244.619613253393</v>
      </c>
      <c r="L165" s="135">
        <f t="shared" si="76"/>
        <v>25189.006500361582</v>
      </c>
      <c r="M165" s="135">
        <f t="shared" si="76"/>
        <v>7753.938045888458</v>
      </c>
      <c r="N165" s="1138">
        <f>SUM(G165:M165)</f>
        <v>68234.247503740495</v>
      </c>
      <c r="O165" s="1029"/>
      <c r="P165" s="135">
        <f t="shared" ref="P165:U165" si="77">P147+P153+P159</f>
        <v>11719.565327285267</v>
      </c>
      <c r="Q165" s="135">
        <f t="shared" si="77"/>
        <v>3459.4802815242701</v>
      </c>
      <c r="R165" s="135">
        <f t="shared" si="77"/>
        <v>11655.475279970266</v>
      </c>
      <c r="S165" s="135">
        <f t="shared" si="77"/>
        <v>7763.8459710704501</v>
      </c>
      <c r="T165" s="135">
        <f t="shared" si="77"/>
        <v>4091.2817555442775</v>
      </c>
      <c r="U165" s="135">
        <f t="shared" si="77"/>
        <v>3364.8346758794987</v>
      </c>
      <c r="V165" s="135"/>
      <c r="W165" s="135">
        <f>SUM(P165:V165)</f>
        <v>42054.483291274031</v>
      </c>
      <c r="Y165" s="817">
        <f>N165*wkday_per_yr</f>
        <v>17058561.875935122</v>
      </c>
      <c r="Z165" s="817">
        <f>W165*wkend_per_yr</f>
        <v>4836265.5784965139</v>
      </c>
      <c r="AA165" s="817">
        <f>Y165+Z165</f>
        <v>21894827.454431638</v>
      </c>
      <c r="AG165" s="1019">
        <f>ROW()</f>
        <v>165</v>
      </c>
    </row>
    <row r="166" spans="2:33">
      <c r="B166" s="1099" t="s">
        <v>1054</v>
      </c>
      <c r="E166" s="1020"/>
      <c r="F166" s="902"/>
      <c r="G166" s="135">
        <f t="shared" ref="G166:M166" si="78">G148+G154+G160</f>
        <v>363.39328291559019</v>
      </c>
      <c r="H166" s="135">
        <f t="shared" si="78"/>
        <v>74.653413569205071</v>
      </c>
      <c r="I166" s="135">
        <f t="shared" si="78"/>
        <v>819.43148444370968</v>
      </c>
      <c r="J166" s="135">
        <f t="shared" si="78"/>
        <v>221.34795608249522</v>
      </c>
      <c r="K166" s="135">
        <f t="shared" si="78"/>
        <v>696.05974301504909</v>
      </c>
      <c r="L166" s="135">
        <f t="shared" si="78"/>
        <v>1823.4521880531111</v>
      </c>
      <c r="M166" s="135">
        <f t="shared" si="78"/>
        <v>466.79925024410272</v>
      </c>
      <c r="N166" s="1138">
        <f>SUM(G166:M166)</f>
        <v>4465.1373183232636</v>
      </c>
      <c r="O166" s="1029"/>
      <c r="P166" s="135">
        <f t="shared" ref="P166:U166" si="79">P148+P154+P160</f>
        <v>709.91641211115086</v>
      </c>
      <c r="Q166" s="135">
        <f t="shared" si="79"/>
        <v>221.65296246674353</v>
      </c>
      <c r="R166" s="135">
        <f t="shared" si="79"/>
        <v>867.65516695408223</v>
      </c>
      <c r="S166" s="135">
        <f t="shared" si="79"/>
        <v>603.7875568949031</v>
      </c>
      <c r="T166" s="135">
        <f t="shared" si="79"/>
        <v>285.97768126442753</v>
      </c>
      <c r="U166" s="135">
        <f t="shared" si="79"/>
        <v>211.09815701508924</v>
      </c>
      <c r="V166" s="135"/>
      <c r="W166" s="135">
        <f>SUM(P166:V166)</f>
        <v>2900.0879367063967</v>
      </c>
      <c r="Y166" s="817">
        <f>N166*wkday_per_yr</f>
        <v>1116284.329580816</v>
      </c>
      <c r="Z166" s="817">
        <f>W166*wkend_per_yr</f>
        <v>333510.11272123561</v>
      </c>
      <c r="AA166" s="817">
        <f>Y166+Z166</f>
        <v>1449794.4423020515</v>
      </c>
      <c r="AG166" s="1019">
        <f>ROW()</f>
        <v>166</v>
      </c>
    </row>
    <row r="167" spans="2:33" ht="12">
      <c r="B167" s="985"/>
      <c r="G167" s="135"/>
      <c r="H167" s="135"/>
      <c r="I167" s="135"/>
      <c r="J167" s="135"/>
      <c r="K167" s="135"/>
      <c r="L167" s="135"/>
      <c r="M167" s="135"/>
      <c r="N167" s="1137"/>
      <c r="O167" s="1029"/>
      <c r="AG167" s="1019">
        <f>ROW()</f>
        <v>167</v>
      </c>
    </row>
    <row r="168" spans="2:33">
      <c r="B168" s="275"/>
      <c r="G168" s="135"/>
      <c r="H168" s="135"/>
      <c r="I168" s="135"/>
      <c r="J168" s="135"/>
      <c r="K168" s="135"/>
      <c r="L168" s="135"/>
      <c r="M168" s="135"/>
      <c r="N168" s="1137"/>
      <c r="O168" s="1029"/>
      <c r="AG168" s="1019">
        <f>ROW()</f>
        <v>168</v>
      </c>
    </row>
    <row r="169" spans="2:33" s="1153" customFormat="1" ht="12">
      <c r="B169" s="1150" t="s">
        <v>384</v>
      </c>
      <c r="G169" s="1154"/>
      <c r="H169" s="1154"/>
      <c r="I169" s="1154"/>
      <c r="J169" s="1154"/>
      <c r="K169" s="1154"/>
      <c r="L169" s="1154"/>
      <c r="M169" s="1154"/>
      <c r="N169" s="1144"/>
      <c r="O169" s="1154"/>
      <c r="AG169" s="1019">
        <f>ROW()</f>
        <v>169</v>
      </c>
    </row>
    <row r="170" spans="2:33" ht="12">
      <c r="B170" s="812"/>
      <c r="G170" s="1029"/>
      <c r="H170" s="1029"/>
      <c r="I170" s="1029"/>
      <c r="J170" s="1029"/>
      <c r="K170" s="1029"/>
      <c r="L170" s="1029"/>
      <c r="M170" s="1029"/>
      <c r="N170" s="1137"/>
      <c r="O170" s="1029"/>
      <c r="AG170" s="1019">
        <f>ROW()</f>
        <v>170</v>
      </c>
    </row>
    <row r="171" spans="2:33" ht="12">
      <c r="B171" s="985" t="s">
        <v>2256</v>
      </c>
      <c r="G171" s="1031"/>
      <c r="H171" s="1031"/>
      <c r="I171" s="1031"/>
      <c r="J171" s="1031"/>
      <c r="K171" s="1031"/>
      <c r="L171" s="1031"/>
      <c r="M171" s="1031"/>
      <c r="N171" s="1031"/>
      <c r="O171" s="1029"/>
      <c r="AG171" s="1019">
        <f>ROW()</f>
        <v>171</v>
      </c>
    </row>
    <row r="172" spans="2:33">
      <c r="B172" s="275" t="s">
        <v>1931</v>
      </c>
      <c r="G172" s="1028">
        <f ca="1">'Motor Vs'!G919</f>
        <v>21.210461440631573</v>
      </c>
      <c r="H172" s="1028">
        <f ca="1">'Motor Vs'!H919</f>
        <v>20.949462201742392</v>
      </c>
      <c r="I172" s="1028">
        <f ca="1">'Motor Vs'!I919</f>
        <v>10.964902053667966</v>
      </c>
      <c r="J172" s="1028">
        <f ca="1">'Motor Vs'!J919</f>
        <v>11.462896896554316</v>
      </c>
      <c r="K172" s="1028">
        <f ca="1">'Motor Vs'!K919</f>
        <v>13.393734239697183</v>
      </c>
      <c r="L172" s="1028">
        <f ca="1">'Motor Vs'!L919</f>
        <v>9.890240850748194</v>
      </c>
      <c r="M172" s="1028">
        <f ca="1">'Motor Vs'!M919</f>
        <v>13.572020112896869</v>
      </c>
      <c r="N172" s="1137"/>
      <c r="O172" s="1029"/>
      <c r="P172" s="1019">
        <f ca="1">'Motor Vs Weekends'!G919</f>
        <v>20.158788035353126</v>
      </c>
      <c r="Q172" s="1019">
        <f ca="1">'Motor Vs Weekends'!H919</f>
        <v>15.82021621818007</v>
      </c>
      <c r="R172" s="1019">
        <f ca="1">'Motor Vs Weekends'!I919</f>
        <v>12.344759252267739</v>
      </c>
      <c r="S172" s="1019">
        <f ca="1">'Motor Vs Weekends'!J919</f>
        <v>10.858438994482485</v>
      </c>
      <c r="T172" s="1019">
        <f ca="1">'Motor Vs Weekends'!K919</f>
        <v>13.47681535363655</v>
      </c>
      <c r="U172" s="1019">
        <f ca="1">'Motor Vs Weekends'!L919</f>
        <v>16.069184977442493</v>
      </c>
      <c r="AG172" s="1019">
        <f>ROW()</f>
        <v>172</v>
      </c>
    </row>
    <row r="173" spans="2:33">
      <c r="B173" s="494" t="str">
        <f>CONCATENATE("From Motor Vs (Motor Vs Weekend) worksheet, Row ",'Motor Vs'!O919, ".")</f>
        <v>From Motor Vs (Motor Vs Weekend) worksheet, Row 919.</v>
      </c>
      <c r="G173" s="1028"/>
      <c r="H173" s="1028"/>
      <c r="I173" s="1028"/>
      <c r="J173" s="1028"/>
      <c r="K173" s="1028"/>
      <c r="L173" s="1028"/>
      <c r="M173" s="1028"/>
      <c r="N173" s="1137"/>
      <c r="O173" s="1029"/>
      <c r="AG173" s="1019">
        <f>ROW()</f>
        <v>173</v>
      </c>
    </row>
    <row r="174" spans="2:33">
      <c r="B174" s="275" t="s">
        <v>2689</v>
      </c>
      <c r="G174" s="135"/>
      <c r="H174" s="135"/>
      <c r="I174" s="135"/>
      <c r="J174" s="135"/>
      <c r="K174" s="135"/>
      <c r="L174" s="135"/>
      <c r="M174" s="135"/>
      <c r="N174" s="1137"/>
      <c r="O174" s="1029"/>
      <c r="AG174" s="1019">
        <f>ROW()</f>
        <v>174</v>
      </c>
    </row>
    <row r="175" spans="2:33">
      <c r="B175" s="912" t="s">
        <v>1388</v>
      </c>
      <c r="G175" s="135">
        <f ca="1">'Motor Vs'!P864+'Motor Vs'!Y864+'Motor Vs'!AH864+'Motor Vs'!AQ864</f>
        <v>391078.8831889251</v>
      </c>
      <c r="H175" s="135">
        <f ca="1">'Motor Vs'!Q864+'Motor Vs'!Z864+'Motor Vs'!AI864+'Motor Vs'!AR864</f>
        <v>67864.637956521707</v>
      </c>
      <c r="I175" s="135">
        <f ca="1">'Motor Vs'!R864+'Motor Vs'!AA864+'Motor Vs'!AJ864+'Motor Vs'!AS864</f>
        <v>432340.47730326594</v>
      </c>
      <c r="J175" s="135">
        <f ca="1">'Motor Vs'!S864+'Motor Vs'!AB864+'Motor Vs'!AK864+'Motor Vs'!AT864</f>
        <v>142218.86653845309</v>
      </c>
      <c r="K175" s="135">
        <f ca="1">'Motor Vs'!T864+'Motor Vs'!AC864+'Motor Vs'!AL864+'Motor Vs'!AU864</f>
        <v>519587.07512964786</v>
      </c>
      <c r="L175" s="135">
        <f ca="1">'Motor Vs'!U864+'Motor Vs'!AD864+'Motor Vs'!AM864+'Motor Vs'!AV864</f>
        <v>909877.7407918151</v>
      </c>
      <c r="M175" s="135">
        <f ca="1">'Motor Vs'!V864+'Motor Vs'!AE864+'Motor Vs'!AN864+'Motor Vs'!AW864</f>
        <v>389915.61705947749</v>
      </c>
      <c r="N175" s="1138">
        <f ca="1">SUM(G175:M175)</f>
        <v>2852883.2979681063</v>
      </c>
      <c r="O175" s="1029"/>
      <c r="P175" s="817">
        <f ca="1">'Motor Vs Weekends'!P864+'Motor Vs Weekends'!Y864+'Motor Vs Weekends'!AH864+'Motor Vs Weekends'!AQ864</f>
        <v>859939.94888692815</v>
      </c>
      <c r="Q175" s="817">
        <f ca="1">'Motor Vs Weekends'!Q864+'Motor Vs Weekends'!Z864+'Motor Vs Weekends'!AI864+'Motor Vs Weekends'!AR864</f>
        <v>245728.55074277689</v>
      </c>
      <c r="R175" s="817">
        <f ca="1">'Motor Vs Weekends'!R864+'Motor Vs Weekends'!AA864+'Motor Vs Weekends'!AJ864+'Motor Vs Weekends'!AS864</f>
        <v>729770.90965118282</v>
      </c>
      <c r="S175" s="817">
        <f ca="1">'Motor Vs Weekends'!S864+'Motor Vs Weekends'!AB864+'Motor Vs Weekends'!AK864+'Motor Vs Weekends'!AT864</f>
        <v>468673.6259302806</v>
      </c>
      <c r="T175" s="817">
        <f ca="1">'Motor Vs Weekends'!T864+'Motor Vs Weekends'!AC864+'Motor Vs Weekends'!AL864+'Motor Vs Weekends'!AU864</f>
        <v>277132.5906686075</v>
      </c>
      <c r="U175" s="817">
        <f ca="1">'Motor Vs Weekends'!U864+'Motor Vs Weekends'!AD864+'Motor Vs Weekends'!AM864+'Motor Vs Weekends'!AV864</f>
        <v>242133.77567659179</v>
      </c>
      <c r="W175" s="135">
        <f ca="1">SUM(P175:V175)</f>
        <v>2823379.4015563675</v>
      </c>
      <c r="Y175" s="817">
        <f ca="1">N175*wkday_per_yr</f>
        <v>713220824.49202657</v>
      </c>
      <c r="Z175" s="817">
        <f ca="1">W175*wkend_per_yr</f>
        <v>324688631.17898226</v>
      </c>
      <c r="AA175" s="817">
        <f ca="1">Y175+Z175</f>
        <v>1037909455.6710088</v>
      </c>
      <c r="AG175" s="1019">
        <f>ROW()</f>
        <v>175</v>
      </c>
    </row>
    <row r="176" spans="2:33">
      <c r="B176" s="912" t="s">
        <v>1509</v>
      </c>
      <c r="G176" s="135">
        <f ca="1">'Motor Vs'!AZ864</f>
        <v>29581.653628019856</v>
      </c>
      <c r="H176" s="135">
        <f ca="1">'Motor Vs'!BA864</f>
        <v>7121.3979076159922</v>
      </c>
      <c r="I176" s="135">
        <f ca="1">'Motor Vs'!BB864</f>
        <v>44162.711715396697</v>
      </c>
      <c r="J176" s="135">
        <f ca="1">'Motor Vs'!BC864</f>
        <v>13335.338789742998</v>
      </c>
      <c r="K176" s="135">
        <f ca="1">'Motor Vs'!BD864</f>
        <v>49403.22076402438</v>
      </c>
      <c r="L176" s="135">
        <f ca="1">'Motor Vs'!BE864</f>
        <v>91392.728720221945</v>
      </c>
      <c r="M176" s="135">
        <f ca="1">'Motor Vs'!BF864</f>
        <v>33868.167089979863</v>
      </c>
      <c r="N176" s="1138">
        <f ca="1">SUM(G176:M176)</f>
        <v>268865.21861500171</v>
      </c>
      <c r="O176" s="1029"/>
      <c r="P176" s="817">
        <f ca="1">'Motor Vs Weekends'!AZ864</f>
        <v>23945.702387077246</v>
      </c>
      <c r="Q176" s="817">
        <f ca="1">'Motor Vs Weekends'!BA864</f>
        <v>8031.2027763019105</v>
      </c>
      <c r="R176" s="817">
        <f ca="1">'Motor Vs Weekends'!BB864</f>
        <v>24584.676964193128</v>
      </c>
      <c r="S176" s="817">
        <f ca="1">'Motor Vs Weekends'!BC864</f>
        <v>15743.0064055162</v>
      </c>
      <c r="T176" s="817">
        <f ca="1">'Motor Vs Weekends'!BD864</f>
        <v>9088.8901496883009</v>
      </c>
      <c r="U176" s="817">
        <f ca="1">'Motor Vs Weekends'!BE864</f>
        <v>8004.5817754475647</v>
      </c>
      <c r="W176" s="135">
        <f ca="1">SUM(P176:V176)</f>
        <v>89398.060458224354</v>
      </c>
      <c r="Y176" s="817">
        <f ca="1">N176*wkday_per_yr</f>
        <v>67216304.65375042</v>
      </c>
      <c r="Z176" s="817">
        <f ca="1">W176*wkend_per_yr</f>
        <v>10280776.9526958</v>
      </c>
      <c r="AA176" s="817">
        <f ca="1">Y176+Z176</f>
        <v>77497081.606446221</v>
      </c>
      <c r="AG176" s="1019">
        <f>ROW()</f>
        <v>176</v>
      </c>
    </row>
    <row r="177" spans="2:33">
      <c r="B177" s="912" t="s">
        <v>810</v>
      </c>
      <c r="G177" s="135">
        <f ca="1">'Motor Vs'!BI864</f>
        <v>7529.8530617497518</v>
      </c>
      <c r="H177" s="135">
        <f ca="1">'Motor Vs'!BJ864</f>
        <v>1898.5996121497362</v>
      </c>
      <c r="I177" s="135">
        <f ca="1">'Motor Vs'!BK864</f>
        <v>11692.53608907236</v>
      </c>
      <c r="J177" s="135">
        <f ca="1">'Motor Vs'!BL864</f>
        <v>3533.4823305782602</v>
      </c>
      <c r="K177" s="135">
        <f ca="1">'Motor Vs'!BM864</f>
        <v>12869.189835590207</v>
      </c>
      <c r="L177" s="135">
        <f ca="1">'Motor Vs'!BN864</f>
        <v>24176.647373107608</v>
      </c>
      <c r="M177" s="135">
        <f ca="1">'Motor Vs'!BO864</f>
        <v>8900.242073969006</v>
      </c>
      <c r="N177" s="1138">
        <f ca="1">SUM(G177:M177)</f>
        <v>70600.550376216939</v>
      </c>
      <c r="O177" s="1029"/>
      <c r="P177" s="817">
        <f ca="1">'Motor Vs Weekends'!BI864</f>
        <v>9295.8114584373343</v>
      </c>
      <c r="Q177" s="817">
        <f ca="1">'Motor Vs Weekends'!BJ864</f>
        <v>3131.9452160843884</v>
      </c>
      <c r="R177" s="817">
        <f ca="1">'Motor Vs Weekends'!BK864</f>
        <v>9603.2936283042418</v>
      </c>
      <c r="S177" s="817">
        <f ca="1">'Motor Vs Weekends'!BL864</f>
        <v>6147.4813254855699</v>
      </c>
      <c r="T177" s="817">
        <f ca="1">'Motor Vs Weekends'!BM864</f>
        <v>3555.2502957550914</v>
      </c>
      <c r="U177" s="817">
        <f ca="1">'Motor Vs Weekends'!BN864</f>
        <v>3135.2792984625175</v>
      </c>
      <c r="W177" s="135">
        <f ca="1">SUM(P177:V177)</f>
        <v>34869.061222529141</v>
      </c>
      <c r="Y177" s="817">
        <f ca="1">N177*wkday_per_yr</f>
        <v>17650137.594054233</v>
      </c>
      <c r="Z177" s="817">
        <f ca="1">W177*wkend_per_yr</f>
        <v>4009942.0405908511</v>
      </c>
      <c r="AA177" s="817">
        <f ca="1">Y177+Z177</f>
        <v>21660079.634645086</v>
      </c>
      <c r="AG177" s="1019">
        <f>ROW()</f>
        <v>177</v>
      </c>
    </row>
    <row r="178" spans="2:33">
      <c r="B178" s="494"/>
      <c r="G178" s="1028"/>
      <c r="H178" s="1028"/>
      <c r="I178" s="1028"/>
      <c r="J178" s="1028"/>
      <c r="K178" s="1028"/>
      <c r="L178" s="1028"/>
      <c r="M178" s="1028"/>
      <c r="N178" s="1137"/>
      <c r="O178" s="1029"/>
      <c r="AG178" s="1019">
        <f>ROW()</f>
        <v>178</v>
      </c>
    </row>
    <row r="179" spans="2:33">
      <c r="B179" s="275" t="s">
        <v>650</v>
      </c>
      <c r="G179" s="1030">
        <f t="shared" ref="G179:M179" ca="1" si="80">EXP(barthB0+barthB1*G172+barthB2*G172^2+barthB3*G172^3+barthB4*G172^4)</f>
        <v>408.39539365220747</v>
      </c>
      <c r="H179" s="1030">
        <f t="shared" ca="1" si="80"/>
        <v>411.65828782261241</v>
      </c>
      <c r="I179" s="1030">
        <f t="shared" ca="1" si="80"/>
        <v>667.23322665646322</v>
      </c>
      <c r="J179" s="1030">
        <f t="shared" ca="1" si="80"/>
        <v>644.99350999012904</v>
      </c>
      <c r="K179" s="1030">
        <f t="shared" ca="1" si="80"/>
        <v>571.81574555747636</v>
      </c>
      <c r="L179" s="1030">
        <f t="shared" ca="1" si="80"/>
        <v>720.89285124732294</v>
      </c>
      <c r="M179" s="1030">
        <f t="shared" ca="1" si="80"/>
        <v>565.97133916570613</v>
      </c>
      <c r="N179" s="1137"/>
      <c r="O179" s="1029"/>
      <c r="P179" s="1030">
        <f t="shared" ref="P179:U179" ca="1" si="81">EXP(barthB0+barthB1*P172+barthB2*P172^2+barthB3*P172^3+barthB4*P172^4)</f>
        <v>422.2121075683836</v>
      </c>
      <c r="Q179" s="1030">
        <f t="shared" ca="1" si="81"/>
        <v>502.90526086040654</v>
      </c>
      <c r="R179" s="1030">
        <f t="shared" ca="1" si="81"/>
        <v>609.18140815313848</v>
      </c>
      <c r="S179" s="1030">
        <f t="shared" ca="1" si="81"/>
        <v>672.19208460117648</v>
      </c>
      <c r="T179" s="1030">
        <f t="shared" ca="1" si="81"/>
        <v>569.07499250279</v>
      </c>
      <c r="U179" s="1030">
        <f t="shared" ca="1" si="81"/>
        <v>496.98491248494059</v>
      </c>
      <c r="V179" s="1030"/>
      <c r="AG179" s="1019">
        <f>ROW()</f>
        <v>179</v>
      </c>
    </row>
    <row r="180" spans="2:33">
      <c r="B180" s="497" t="s">
        <v>273</v>
      </c>
      <c r="G180" s="1030"/>
      <c r="H180" s="1030"/>
      <c r="I180" s="1030"/>
      <c r="J180" s="1030"/>
      <c r="K180" s="1030"/>
      <c r="L180" s="1030"/>
      <c r="M180" s="1030"/>
      <c r="N180" s="1137"/>
      <c r="O180" s="1029"/>
      <c r="AG180" s="1019">
        <f>ROW()</f>
        <v>180</v>
      </c>
    </row>
    <row r="181" spans="2:33">
      <c r="B181" s="497"/>
      <c r="G181" s="1030"/>
      <c r="H181" s="1030"/>
      <c r="I181" s="1030"/>
      <c r="J181" s="1030"/>
      <c r="K181" s="1030"/>
      <c r="L181" s="1030"/>
      <c r="M181" s="1030"/>
      <c r="N181" s="1137"/>
      <c r="O181" s="1029"/>
      <c r="AG181" s="1019">
        <f>ROW()</f>
        <v>181</v>
      </c>
    </row>
    <row r="182" spans="2:33">
      <c r="B182" s="1101" t="s">
        <v>651</v>
      </c>
      <c r="G182" s="1030"/>
      <c r="H182" s="1030"/>
      <c r="I182" s="1030"/>
      <c r="J182" s="1030"/>
      <c r="K182" s="1030"/>
      <c r="L182" s="1030"/>
      <c r="M182" s="1030"/>
      <c r="N182" s="1137"/>
      <c r="O182" s="1029"/>
      <c r="P182" s="1030"/>
      <c r="Q182" s="1030"/>
      <c r="R182" s="1030"/>
      <c r="S182" s="1030"/>
      <c r="T182" s="1030"/>
      <c r="U182" s="1030"/>
      <c r="V182" s="1030"/>
      <c r="AG182" s="1019">
        <f>ROW()</f>
        <v>182</v>
      </c>
    </row>
    <row r="183" spans="2:33">
      <c r="B183" s="496" t="s">
        <v>541</v>
      </c>
      <c r="G183" s="1098"/>
      <c r="H183" s="1098"/>
      <c r="I183" s="1098"/>
      <c r="J183" s="1098"/>
      <c r="K183" s="1098"/>
      <c r="L183" s="1098"/>
      <c r="M183" s="1098"/>
      <c r="N183" s="1137"/>
      <c r="O183" s="1029"/>
      <c r="P183" s="1030"/>
      <c r="Q183" s="1030"/>
      <c r="R183" s="1030"/>
      <c r="S183" s="1030"/>
      <c r="T183" s="1030"/>
      <c r="U183" s="1030"/>
      <c r="V183" s="1030"/>
      <c r="AG183" s="1019">
        <f>ROW()</f>
        <v>183</v>
      </c>
    </row>
    <row r="184" spans="2:33">
      <c r="B184" s="1099" t="s">
        <v>2494</v>
      </c>
      <c r="G184" s="1030">
        <f t="shared" ref="G184:M184" ca="1" si="82">G179*$T$13</f>
        <v>489.66810880687564</v>
      </c>
      <c r="H184" s="1030">
        <f t="shared" ca="1" si="82"/>
        <v>493.58033515049544</v>
      </c>
      <c r="I184" s="1030">
        <f t="shared" ca="1" si="82"/>
        <v>800.0159583293912</v>
      </c>
      <c r="J184" s="1030">
        <f t="shared" ca="1" si="82"/>
        <v>773.35042740109998</v>
      </c>
      <c r="K184" s="1030">
        <f t="shared" ca="1" si="82"/>
        <v>685.60992377786965</v>
      </c>
      <c r="L184" s="1030">
        <f t="shared" ca="1" si="82"/>
        <v>864.3541151771384</v>
      </c>
      <c r="M184" s="1030">
        <f t="shared" ca="1" si="82"/>
        <v>678.60245143748841</v>
      </c>
      <c r="N184" s="1137"/>
      <c r="O184" s="1029"/>
      <c r="P184" s="1030">
        <f t="shared" ref="P184:U184" ca="1" si="83">P179*$T$13</f>
        <v>506.23441753224103</v>
      </c>
      <c r="Q184" s="1030">
        <f t="shared" ca="1" si="83"/>
        <v>602.98590978785057</v>
      </c>
      <c r="R184" s="1030">
        <f t="shared" ca="1" si="83"/>
        <v>730.4115391288874</v>
      </c>
      <c r="S184" s="1030">
        <f t="shared" ca="1" si="83"/>
        <v>805.96165367603749</v>
      </c>
      <c r="T184" s="1030">
        <f t="shared" ca="1" si="83"/>
        <v>682.32374722971338</v>
      </c>
      <c r="U184" s="1030">
        <f t="shared" ca="1" si="83"/>
        <v>595.8873826311974</v>
      </c>
      <c r="V184" s="1030"/>
      <c r="AG184" s="1019">
        <f>ROW()</f>
        <v>184</v>
      </c>
    </row>
    <row r="185" spans="2:33">
      <c r="B185" s="1099" t="s">
        <v>1057</v>
      </c>
      <c r="G185" s="1098">
        <f ca="1">EMFAC!$E52*G$172^2 + EMFAC!$F52*G$172 + EMFAC!$G52</f>
        <v>0.23946394861264242</v>
      </c>
      <c r="H185" s="1098">
        <f ca="1">EMFAC!$E52*H$172^2 + EMFAC!$F52*H$172 + EMFAC!$G52</f>
        <v>0.24351440697678151</v>
      </c>
      <c r="I185" s="1098">
        <f ca="1">EMFAC!$E52*I$172^2 + EMFAC!$F52*I$172 + EMFAC!$G52</f>
        <v>0.43916322099231919</v>
      </c>
      <c r="J185" s="1098">
        <f ca="1">EMFAC!$E52*J$172^2 + EMFAC!$F52*J$172 + EMFAC!$G52</f>
        <v>0.42752544455722974</v>
      </c>
      <c r="K185" s="1098">
        <f ca="1">EMFAC!$E52*K$172^2 + EMFAC!$F52*K$172 + EMFAC!$G52</f>
        <v>0.38426892561766457</v>
      </c>
      <c r="L185" s="1098">
        <f ca="1">EMFAC!$E52*L$172^2 + EMFAC!$F52*L$172 + EMFAC!$G52</f>
        <v>0.4649496482575004</v>
      </c>
      <c r="M185" s="1098">
        <f ca="1">EMFAC!$E52*M$172^2 + EMFAC!$F52*M$172 + EMFAC!$G52</f>
        <v>0.38042438850152815</v>
      </c>
      <c r="N185" s="1137"/>
      <c r="O185" s="1029"/>
      <c r="P185" s="1098">
        <f ca="1">EMFAC!$E52*P$172^2 + EMFAC!$F52*P$172 + EMFAC!$G52</f>
        <v>0.25611572949805006</v>
      </c>
      <c r="Q185" s="1098">
        <f ca="1">EMFAC!$E52*Q$172^2 + EMFAC!$F52*Q$172 + EMFAC!$G52</f>
        <v>0.33411483259559921</v>
      </c>
      <c r="R185" s="1098">
        <f ca="1">EMFAC!$E52*R$172^2 + EMFAC!$F52*R$172 + EMFAC!$G52</f>
        <v>0.40740107343563325</v>
      </c>
      <c r="S185" s="1098">
        <f ca="1">EMFAC!$E52*S$172^2 + EMFAC!$F52*S$172 + EMFAC!$G52</f>
        <v>0.44167678704552465</v>
      </c>
      <c r="T185" s="1098">
        <f ca="1">EMFAC!$E52*T$172^2 + EMFAC!$F52*T$172 + EMFAC!$G52</f>
        <v>0.38247422674015125</v>
      </c>
      <c r="U185" s="1098">
        <f ca="1">EMFAC!$E52*U$172^2 + EMFAC!$F52*U$172 + EMFAC!$G52</f>
        <v>0.32923378331349384</v>
      </c>
      <c r="V185" s="1098"/>
      <c r="AG185" s="1019">
        <f>ROW()</f>
        <v>185</v>
      </c>
    </row>
    <row r="186" spans="2:33">
      <c r="B186" s="1099" t="s">
        <v>1058</v>
      </c>
      <c r="G186" s="1098">
        <f ca="1">EMFAC!$E53*G$172^2 + EMFAC!$F53*G$172 + EMFAC!$G53</f>
        <v>4.1275278687072916</v>
      </c>
      <c r="H186" s="1098">
        <f ca="1">EMFAC!$E53*H$172^2 + EMFAC!$F53*H$172 + EMFAC!$G53</f>
        <v>4.1560076632452425</v>
      </c>
      <c r="I186" s="1098">
        <f ca="1">EMFAC!$E53*I$172^2 + EMFAC!$F53*I$172 + EMFAC!$G53</f>
        <v>5.472843037129195</v>
      </c>
      <c r="J186" s="1098">
        <f ca="1">EMFAC!$E53*J$172^2 + EMFAC!$F53*J$172 + EMFAC!$G53</f>
        <v>5.3966651099863174</v>
      </c>
      <c r="K186" s="1098">
        <f ca="1">EMFAC!$E53*K$172^2 + EMFAC!$F53*K$172 + EMFAC!$G53</f>
        <v>5.1117282030416389</v>
      </c>
      <c r="L186" s="1098">
        <f ca="1">EMFAC!$E53*L$172^2 + EMFAC!$F53*L$172 + EMFAC!$G53</f>
        <v>5.6409890930391615</v>
      </c>
      <c r="M186" s="1098">
        <f ca="1">EMFAC!$E53*M$172^2 + EMFAC!$F53*M$172 + EMFAC!$G53</f>
        <v>5.0862539078538855</v>
      </c>
      <c r="N186" s="1137"/>
      <c r="O186" s="1029"/>
      <c r="P186" s="1098">
        <f ca="1">EMFAC!$E53*P$172^2 + EMFAC!$F53*P$172 + EMFAC!$G53</f>
        <v>4.2441326121622129</v>
      </c>
      <c r="Q186" s="1098">
        <f ca="1">EMFAC!$E53*Q$172^2 + EMFAC!$F53*Q$172 + EMFAC!$G53</f>
        <v>4.7771446301118363</v>
      </c>
      <c r="R186" s="1098">
        <f ca="1">EMFAC!$E53*R$172^2 + EMFAC!$F53*R$172 + EMFAC!$G53</f>
        <v>5.264471445962247</v>
      </c>
      <c r="S186" s="1098">
        <f ca="1">EMFAC!$E53*S$172^2 + EMFAC!$F53*S$172 + EMFAC!$G53</f>
        <v>5.4892716291688721</v>
      </c>
      <c r="T186" s="1098">
        <f ca="1">EMFAC!$E53*T$172^2 + EMFAC!$F53*T$172 + EMFAC!$G53</f>
        <v>5.0998396183103996</v>
      </c>
      <c r="U186" s="1098">
        <f ca="1">EMFAC!$E53*U$172^2 + EMFAC!$F53*U$172 + EMFAC!$G53</f>
        <v>4.7442950334882346</v>
      </c>
      <c r="V186" s="1098"/>
      <c r="AG186" s="1019">
        <f>ROW()</f>
        <v>186</v>
      </c>
    </row>
    <row r="187" spans="2:33">
      <c r="B187" s="1099" t="s">
        <v>1044</v>
      </c>
      <c r="G187" s="1098">
        <f ca="1">EMFAC!$E54*G$172^2 + EMFAC!$F54*G$172 + EMFAC!$G54</f>
        <v>0.49041381404792661</v>
      </c>
      <c r="H187" s="1098">
        <f ca="1">EMFAC!$E54*H$172^2 + EMFAC!$F54*H$172 + EMFAC!$G54</f>
        <v>0.49282451324546905</v>
      </c>
      <c r="I187" s="1098">
        <f ca="1">EMFAC!$E54*I$172^2 + EMFAC!$F54*I$172 + EMFAC!$G54</f>
        <v>0.60872168339246568</v>
      </c>
      <c r="J187" s="1098">
        <f ca="1">EMFAC!$E54*J$172^2 + EMFAC!$F54*J$172 + EMFAC!$G54</f>
        <v>0.60184776331299905</v>
      </c>
      <c r="K187" s="1098">
        <f ca="1">EMFAC!$E54*K$172^2 + EMFAC!$F54*K$172 + EMFAC!$G54</f>
        <v>0.57628141074762418</v>
      </c>
      <c r="L187" s="1098">
        <f ca="1">EMFAC!$E54*L$172^2 + EMFAC!$F54*L$172 + EMFAC!$G54</f>
        <v>0.62394658966708971</v>
      </c>
      <c r="M187" s="1098">
        <f ca="1">EMFAC!$E54*M$172^2 + EMFAC!$F54*M$172 + EMFAC!$G54</f>
        <v>0.57400774209599215</v>
      </c>
      <c r="N187" s="1137"/>
      <c r="O187" s="1029"/>
      <c r="P187" s="1098">
        <f ca="1">EMFAC!$E54*P$172^2 + EMFAC!$F54*P$172 + EMFAC!$G54</f>
        <v>0.50031996204032025</v>
      </c>
      <c r="Q187" s="1098">
        <f ca="1">EMFAC!$E54*Q$172^2 + EMFAC!$F54*Q$172 + EMFAC!$G54</f>
        <v>0.54659918190520362</v>
      </c>
      <c r="R187" s="1098">
        <f ca="1">EMFAC!$E54*R$172^2 + EMFAC!$F54*R$172 + EMFAC!$G54</f>
        <v>0.58995686953670456</v>
      </c>
      <c r="S187" s="1098">
        <f ca="1">EMFAC!$E54*S$172^2 + EMFAC!$F54*S$172 + EMFAC!$G54</f>
        <v>0.61020610742206038</v>
      </c>
      <c r="T187" s="1098">
        <f ca="1">EMFAC!$E54*T$172^2 + EMFAC!$F54*T$172 + EMFAC!$G54</f>
        <v>0.57522005185615643</v>
      </c>
      <c r="U187" s="1098">
        <f ca="1">EMFAC!$E54*U$172^2 + EMFAC!$F54*U$172 + EMFAC!$G54</f>
        <v>0.5437078040208112</v>
      </c>
      <c r="V187" s="1098"/>
      <c r="AG187" s="1019">
        <f>ROW()</f>
        <v>187</v>
      </c>
    </row>
    <row r="188" spans="2:33">
      <c r="B188" s="1099" t="s">
        <v>1054</v>
      </c>
      <c r="G188" s="1098">
        <f ca="1">EMFAC!$E55*G$172^2 + EMFAC!$F55*G$172 + EMFAC!$G55</f>
        <v>4.6975663707192722E-2</v>
      </c>
      <c r="H188" s="1098">
        <f ca="1">EMFAC!$E55*H$172^2 + EMFAC!$F55*H$172 + EMFAC!$G55</f>
        <v>4.7481155009476694E-2</v>
      </c>
      <c r="I188" s="1098">
        <f ca="1">EMFAC!$E55*I$172^2 + EMFAC!$F55*I$172 + EMFAC!$G55</f>
        <v>7.1971930490155933E-2</v>
      </c>
      <c r="J188" s="1098">
        <f ca="1">EMFAC!$E55*J$172^2 + EMFAC!$F55*J$172 + EMFAC!$G55</f>
        <v>7.051243614019323E-2</v>
      </c>
      <c r="K188" s="1098">
        <f ca="1">EMFAC!$E55*K$172^2 + EMFAC!$F55*K$172 + EMFAC!$G55</f>
        <v>6.5089888634039222E-2</v>
      </c>
      <c r="L188" s="1098">
        <f ca="1">EMFAC!$E55*L$172^2 + EMFAC!$F55*L$172 + EMFAC!$G55</f>
        <v>7.520662097433338E-2</v>
      </c>
      <c r="M188" s="1098">
        <f ca="1">EMFAC!$E55*M$172^2 + EMFAC!$F55*M$172 + EMFAC!$G55</f>
        <v>6.460813408752164E-2</v>
      </c>
      <c r="N188" s="1137"/>
      <c r="O188" s="1029"/>
      <c r="P188" s="1098">
        <f ca="1">EMFAC!$E55*P$172^2 + EMFAC!$F55*P$172 + EMFAC!$G55</f>
        <v>4.9054383933421916E-2</v>
      </c>
      <c r="Q188" s="1098">
        <f ca="1">EMFAC!$E55*Q$172^2 + EMFAC!$F55*Q$172 + EMFAC!$G55</f>
        <v>5.8807980015779859E-2</v>
      </c>
      <c r="R188" s="1098">
        <f ca="1">EMFAC!$E55*R$172^2 + EMFAC!$F55*R$172 + EMFAC!$G55</f>
        <v>6.7989222611662403E-2</v>
      </c>
      <c r="S188" s="1098">
        <f ca="1">EMFAC!$E55*S$172^2 + EMFAC!$F55*S$172 + EMFAC!$G55</f>
        <v>7.2287187933995245E-2</v>
      </c>
      <c r="T188" s="1098">
        <f ca="1">EMFAC!$E55*T$172^2 + EMFAC!$F55*T$172 + EMFAC!$G55</f>
        <v>6.48649928487324E-2</v>
      </c>
      <c r="U188" s="1098">
        <f ca="1">EMFAC!$E55*U$172^2 + EMFAC!$F55*U$172 + EMFAC!$G55</f>
        <v>5.819698024997149E-2</v>
      </c>
      <c r="V188" s="1098"/>
      <c r="AG188" s="1019">
        <f>ROW()</f>
        <v>188</v>
      </c>
    </row>
    <row r="189" spans="2:33">
      <c r="B189" s="496" t="s">
        <v>1509</v>
      </c>
      <c r="G189" s="1030"/>
      <c r="H189" s="1030"/>
      <c r="I189" s="1030"/>
      <c r="J189" s="1030"/>
      <c r="K189" s="1030"/>
      <c r="L189" s="1030"/>
      <c r="M189" s="1030"/>
      <c r="N189" s="1137"/>
      <c r="O189" s="1029"/>
      <c r="P189" s="1030"/>
      <c r="Q189" s="1030"/>
      <c r="R189" s="1030"/>
      <c r="S189" s="1030"/>
      <c r="T189" s="1030"/>
      <c r="U189" s="1030"/>
      <c r="V189" s="1030"/>
      <c r="AG189" s="1019">
        <f>ROW()</f>
        <v>189</v>
      </c>
    </row>
    <row r="190" spans="2:33">
      <c r="B190" s="1099" t="s">
        <v>2494</v>
      </c>
      <c r="G190" s="1030">
        <f t="shared" ref="G190:M190" ca="1" si="84">G184*$U$8</f>
        <v>1273.1370828978768</v>
      </c>
      <c r="H190" s="1030">
        <f t="shared" ca="1" si="84"/>
        <v>1283.3088713912882</v>
      </c>
      <c r="I190" s="1030">
        <f t="shared" ca="1" si="84"/>
        <v>2080.0414916564173</v>
      </c>
      <c r="J190" s="1030">
        <f t="shared" ca="1" si="84"/>
        <v>2010.7111112428599</v>
      </c>
      <c r="K190" s="1030">
        <f t="shared" ca="1" si="84"/>
        <v>1782.5858018224612</v>
      </c>
      <c r="L190" s="1030">
        <f t="shared" ca="1" si="84"/>
        <v>2247.3206994605598</v>
      </c>
      <c r="M190" s="1030">
        <f t="shared" ca="1" si="84"/>
        <v>1764.36637373747</v>
      </c>
      <c r="N190" s="1137"/>
      <c r="O190" s="1029"/>
      <c r="P190" s="1030">
        <f t="shared" ref="P190:U190" ca="1" si="85">P184*$U$8</f>
        <v>1316.2094855838268</v>
      </c>
      <c r="Q190" s="1030">
        <f t="shared" ca="1" si="85"/>
        <v>1567.7633654484116</v>
      </c>
      <c r="R190" s="1030">
        <f t="shared" ca="1" si="85"/>
        <v>1899.0700017351073</v>
      </c>
      <c r="S190" s="1030">
        <f t="shared" ca="1" si="85"/>
        <v>2095.5002995576974</v>
      </c>
      <c r="T190" s="1030">
        <f t="shared" ca="1" si="85"/>
        <v>1774.0417427972548</v>
      </c>
      <c r="U190" s="1030">
        <f t="shared" ca="1" si="85"/>
        <v>1549.3071948411132</v>
      </c>
      <c r="V190" s="1030"/>
      <c r="AG190" s="1019">
        <f>ROW()</f>
        <v>190</v>
      </c>
    </row>
    <row r="191" spans="2:33">
      <c r="B191" s="1099" t="s">
        <v>1057</v>
      </c>
      <c r="G191" s="1098">
        <f ca="1">EMFAC!$M52*G$172^2 + EMFAC!$N52*G$172 + EMFAC!$O52</f>
        <v>0.48829017727451163</v>
      </c>
      <c r="H191" s="1098">
        <f ca="1">EMFAC!$M52*H$172^2 + EMFAC!$N52*H$172 + EMFAC!$O52</f>
        <v>0.49609137195997266</v>
      </c>
      <c r="I191" s="1098">
        <f ca="1">EMFAC!$M52*I$172^2 + EMFAC!$N52*I$172 + EMFAC!$O52</f>
        <v>0.86332139916048722</v>
      </c>
      <c r="J191" s="1098">
        <f ca="1">EMFAC!$M52*J$172^2 + EMFAC!$N52*J$172 + EMFAC!$O52</f>
        <v>0.84182822058269247</v>
      </c>
      <c r="K191" s="1098">
        <f ca="1">EMFAC!$M52*K$172^2 + EMFAC!$N52*K$172 + EMFAC!$O52</f>
        <v>0.76164813944017351</v>
      </c>
      <c r="L191" s="1098">
        <f ca="1">EMFAC!$M52*L$172^2 + EMFAC!$N52*L$172 + EMFAC!$O52</f>
        <v>0.91083973703269749</v>
      </c>
      <c r="M191" s="1098">
        <f ca="1">EMFAC!$M52*M$172^2 + EMFAC!$N52*M$172 + EMFAC!$O52</f>
        <v>0.75449750378598479</v>
      </c>
      <c r="N191" s="1137"/>
      <c r="O191" s="1029"/>
      <c r="P191" s="1098">
        <f ca="1">EMFAC!$M52*P$172^2 + EMFAC!$N52*P$172 + EMFAC!$O52</f>
        <v>0.52028360183620248</v>
      </c>
      <c r="Q191" s="1098">
        <f ca="1">EMFAC!$M52*Q$172^2 + EMFAC!$N52*Q$172 + EMFAC!$O52</f>
        <v>0.66799612660659358</v>
      </c>
      <c r="R191" s="1098">
        <f ca="1">EMFAC!$M52*R$172^2 + EMFAC!$N52*R$172 + EMFAC!$O52</f>
        <v>0.80458585438807217</v>
      </c>
      <c r="S191" s="1098">
        <f ca="1">EMFAC!$M52*S$172^2 + EMFAC!$N52*S$172 + EMFAC!$O52</f>
        <v>0.86795956175471378</v>
      </c>
      <c r="T191" s="1098">
        <f ca="1">EMFAC!$M52*T$172^2 + EMFAC!$N52*T$172 + EMFAC!$O52</f>
        <v>0.75831062812471084</v>
      </c>
      <c r="U191" s="1098">
        <f ca="1">EMFAC!$M52*U$172^2 + EMFAC!$N52*U$172 + EMFAC!$O52</f>
        <v>0.65883492832212132</v>
      </c>
      <c r="V191" s="1098"/>
      <c r="AG191" s="1019">
        <f>ROW()</f>
        <v>191</v>
      </c>
    </row>
    <row r="192" spans="2:33">
      <c r="B192" s="1099" t="s">
        <v>1058</v>
      </c>
      <c r="G192" s="1098">
        <f ca="1">EMFAC!$M53*G$172^2 + EMFAC!$N53*G$172 + EMFAC!$O53</f>
        <v>4.9315282572417551</v>
      </c>
      <c r="H192" s="1098">
        <f ca="1">EMFAC!$M53*H$172^2 + EMFAC!$N53*H$172 + EMFAC!$O53</f>
        <v>5.0111391570809012</v>
      </c>
      <c r="I192" s="1098">
        <f ca="1">EMFAC!$M53*I$172^2 + EMFAC!$N53*I$172 + EMFAC!$O53</f>
        <v>8.8494540668398383</v>
      </c>
      <c r="J192" s="1098">
        <f ca="1">EMFAC!$M53*J$172^2 + EMFAC!$N53*J$172 + EMFAC!$O53</f>
        <v>8.6214000720234747</v>
      </c>
      <c r="K192" s="1098">
        <f ca="1">EMFAC!$M53*K$172^2 + EMFAC!$N53*K$172 + EMFAC!$O53</f>
        <v>7.773528061147533</v>
      </c>
      <c r="L192" s="1098">
        <f ca="1">EMFAC!$M53*L$172^2 + EMFAC!$N53*L$172 + EMFAC!$O53</f>
        <v>9.3546870513843245</v>
      </c>
      <c r="M192" s="1098">
        <f ca="1">EMFAC!$M53*M$172^2 + EMFAC!$N53*M$172 + EMFAC!$O53</f>
        <v>7.6981530693380078</v>
      </c>
      <c r="N192" s="1137"/>
      <c r="O192" s="1029"/>
      <c r="P192" s="1098">
        <f ca="1">EMFAC!$M53*P$172^2 + EMFAC!$N53*P$172 + EMFAC!$O53</f>
        <v>5.258757594167383</v>
      </c>
      <c r="Q192" s="1098">
        <f ca="1">EMFAC!$M53*Q$172^2 + EMFAC!$N53*Q$172 + EMFAC!$O53</f>
        <v>6.7899467046598936</v>
      </c>
      <c r="R192" s="1098">
        <f ca="1">EMFAC!$M53*R$172^2 + EMFAC!$N53*R$172 + EMFAC!$O53</f>
        <v>8.2269864232512333</v>
      </c>
      <c r="S192" s="1098">
        <f ca="1">EMFAC!$M53*S$172^2 + EMFAC!$N53*S$172 + EMFAC!$O53</f>
        <v>8.8987069599873667</v>
      </c>
      <c r="T192" s="1098">
        <f ca="1">EMFAC!$M53*T$172^2 + EMFAC!$N53*T$172 + EMFAC!$O53</f>
        <v>7.7383420593784074</v>
      </c>
      <c r="U192" s="1098">
        <f ca="1">EMFAC!$M53*U$172^2 + EMFAC!$N53*U$172 + EMFAC!$O53</f>
        <v>6.6941887145484511</v>
      </c>
      <c r="V192" s="1098"/>
      <c r="AG192" s="1019">
        <f>ROW()</f>
        <v>192</v>
      </c>
    </row>
    <row r="193" spans="2:33">
      <c r="B193" s="1099" t="s">
        <v>1044</v>
      </c>
      <c r="G193" s="1098">
        <f ca="1">EMFAC!$M54*G$172^2 + EMFAC!$N54*G$172 + EMFAC!$O54</f>
        <v>4.1610562750252642</v>
      </c>
      <c r="H193" s="1098">
        <f ca="1">EMFAC!$M54*H$172^2 + EMFAC!$N54*H$172 + EMFAC!$O54</f>
        <v>4.1788268776491027</v>
      </c>
      <c r="I193" s="1098">
        <f ca="1">EMFAC!$M54*I$172^2 + EMFAC!$N54*I$172 + EMFAC!$O54</f>
        <v>5.1460581467444264</v>
      </c>
      <c r="J193" s="1098">
        <f ca="1">EMFAC!$M54*J$172^2 + EMFAC!$N54*J$172 + EMFAC!$O54</f>
        <v>5.0845427723850838</v>
      </c>
      <c r="K193" s="1098">
        <f ca="1">EMFAC!$M54*K$172^2 + EMFAC!$N54*K$172 + EMFAC!$O54</f>
        <v>4.859210025921441</v>
      </c>
      <c r="L193" s="1098">
        <f ca="1">EMFAC!$M54*L$172^2 + EMFAC!$N54*L$172 + EMFAC!$O54</f>
        <v>5.2835553066412251</v>
      </c>
      <c r="M193" s="1098">
        <f ca="1">EMFAC!$M54*M$172^2 + EMFAC!$N54*M$172 + EMFAC!$O54</f>
        <v>4.8394601767162895</v>
      </c>
      <c r="N193" s="1137"/>
      <c r="O193" s="1029"/>
      <c r="P193" s="1098">
        <f ca="1">EMFAC!$M54*P$172^2 + EMFAC!$N54*P$172 + EMFAC!$O54</f>
        <v>4.2349976178256075</v>
      </c>
      <c r="Q193" s="1098">
        <f ca="1">EMFAC!$M54*Q$172^2 + EMFAC!$N54*Q$172 + EMFAC!$O54</f>
        <v>4.6057402696576064</v>
      </c>
      <c r="R193" s="1098">
        <f ca="1">EMFAC!$M54*R$172^2 + EMFAC!$N54*R$172 + EMFAC!$O54</f>
        <v>4.9790285729930863</v>
      </c>
      <c r="S193" s="1098">
        <f ca="1">EMFAC!$M54*S$172^2 + EMFAC!$N54*S$172 + EMFAC!$O54</f>
        <v>5.159389920595336</v>
      </c>
      <c r="T193" s="1098">
        <f ca="1">EMFAC!$M54*T$172^2 + EMFAC!$N54*T$172 + EMFAC!$O54</f>
        <v>4.8499843844761008</v>
      </c>
      <c r="U193" s="1098">
        <f ca="1">EMFAC!$M54*U$172^2 + EMFAC!$N54*U$172 + EMFAC!$O54</f>
        <v>4.581604532788762</v>
      </c>
      <c r="V193" s="1098"/>
      <c r="AG193" s="1019">
        <f>ROW()</f>
        <v>193</v>
      </c>
    </row>
    <row r="194" spans="2:33">
      <c r="B194" s="1099" t="s">
        <v>1054</v>
      </c>
      <c r="G194" s="1098">
        <f ca="1">EMFAC!$M55*G$172^2 + EMFAC!$N55*G$172 + EMFAC!$O55</f>
        <v>0.16320440470757824</v>
      </c>
      <c r="H194" s="1098">
        <f ca="1">EMFAC!$M55*H$172^2 + EMFAC!$N55*H$172 + EMFAC!$O55</f>
        <v>0.16467609536216965</v>
      </c>
      <c r="I194" s="1098">
        <f ca="1">EMFAC!$M55*I$172^2 + EMFAC!$N55*I$172 + EMFAC!$O55</f>
        <v>0.23218163828488675</v>
      </c>
      <c r="J194" s="1098">
        <f ca="1">EMFAC!$M55*J$172^2 + EMFAC!$N55*J$172 + EMFAC!$O55</f>
        <v>0.22829719537901849</v>
      </c>
      <c r="K194" s="1098">
        <f ca="1">EMFAC!$M55*K$172^2 + EMFAC!$N55*K$172 + EMFAC!$O55</f>
        <v>0.21375005693273899</v>
      </c>
      <c r="L194" s="1098">
        <f ca="1">EMFAC!$M55*L$172^2 + EMFAC!$N55*L$172 + EMFAC!$O55</f>
        <v>0.2407493083421462</v>
      </c>
      <c r="M194" s="1098">
        <f ca="1">EMFAC!$M55*M$172^2 + EMFAC!$N55*M$172 + EMFAC!$O55</f>
        <v>0.21244802237679153</v>
      </c>
      <c r="N194" s="1137"/>
      <c r="O194" s="1029"/>
      <c r="P194" s="1098">
        <f ca="1">EMFAC!$M55*P$172^2 + EMFAC!$N55*P$172 + EMFAC!$O55</f>
        <v>0.16922553960886846</v>
      </c>
      <c r="Q194" s="1098">
        <f ca="1">EMFAC!$M55*Q$172^2 + EMFAC!$N55*Q$172 + EMFAC!$O55</f>
        <v>0.19662685677759509</v>
      </c>
      <c r="R194" s="1098">
        <f ca="1">EMFAC!$M55*R$172^2 + EMFAC!$N55*R$172 + EMFAC!$O55</f>
        <v>0.22155181687388828</v>
      </c>
      <c r="S194" s="1098">
        <f ca="1">EMFAC!$M55*S$172^2 + EMFAC!$N55*S$172 + EMFAC!$O55</f>
        <v>0.23301911718912199</v>
      </c>
      <c r="T194" s="1098">
        <f ca="1">EMFAC!$M55*T$172^2 + EMFAC!$N55*T$172 + EMFAC!$O55</f>
        <v>0.21314244313838471</v>
      </c>
      <c r="U194" s="1098">
        <f ca="1">EMFAC!$M55*U$172^2 + EMFAC!$N55*U$172 + EMFAC!$O55</f>
        <v>0.19494289989416885</v>
      </c>
      <c r="V194" s="1098"/>
      <c r="AG194" s="1019">
        <f>ROW()</f>
        <v>194</v>
      </c>
    </row>
    <row r="195" spans="2:33">
      <c r="B195" s="496" t="s">
        <v>810</v>
      </c>
      <c r="C195" s="912"/>
      <c r="G195" s="1030"/>
      <c r="H195" s="1030"/>
      <c r="I195" s="1030"/>
      <c r="J195" s="1030"/>
      <c r="K195" s="1030"/>
      <c r="L195" s="1030"/>
      <c r="M195" s="1030"/>
      <c r="N195" s="1137"/>
      <c r="O195" s="1029"/>
      <c r="P195" s="1030"/>
      <c r="Q195" s="1030"/>
      <c r="R195" s="1030"/>
      <c r="S195" s="1030"/>
      <c r="T195" s="1030"/>
      <c r="U195" s="1030"/>
      <c r="V195" s="1030"/>
      <c r="AG195" s="1019">
        <f>ROW()</f>
        <v>195</v>
      </c>
    </row>
    <row r="196" spans="2:33">
      <c r="B196" s="1099" t="s">
        <v>2494</v>
      </c>
      <c r="C196" s="912"/>
      <c r="G196" s="1030">
        <f t="shared" ref="G196:M196" ca="1" si="86">G184*$U$10</f>
        <v>1669.6879775709858</v>
      </c>
      <c r="H196" s="1030">
        <f t="shared" ca="1" si="86"/>
        <v>1683.0280280541485</v>
      </c>
      <c r="I196" s="1030">
        <f t="shared" ca="1" si="86"/>
        <v>2727.9232677461209</v>
      </c>
      <c r="J196" s="1030">
        <f t="shared" ca="1" si="86"/>
        <v>2636.9981786791609</v>
      </c>
      <c r="K196" s="1030">
        <f t="shared" ca="1" si="86"/>
        <v>2337.8174450130641</v>
      </c>
      <c r="L196" s="1030">
        <f t="shared" ca="1" si="86"/>
        <v>2947.3058353581114</v>
      </c>
      <c r="M196" s="1030">
        <f t="shared" ca="1" si="86"/>
        <v>2313.9231130983212</v>
      </c>
      <c r="N196" s="1137"/>
      <c r="O196" s="1029"/>
      <c r="P196" s="1030">
        <f t="shared" ref="P196:U196" ca="1" si="87">P184*$U$10</f>
        <v>1726.1763745361663</v>
      </c>
      <c r="Q196" s="1030">
        <f t="shared" ca="1" si="87"/>
        <v>2056.0831022274251</v>
      </c>
      <c r="R196" s="1030">
        <f t="shared" ca="1" si="87"/>
        <v>2490.5836088329279</v>
      </c>
      <c r="S196" s="1030">
        <f t="shared" ca="1" si="87"/>
        <v>2748.1971141740296</v>
      </c>
      <c r="T196" s="1030">
        <f t="shared" ca="1" si="87"/>
        <v>2326.6121217013178</v>
      </c>
      <c r="U196" s="1030">
        <f t="shared" ca="1" si="87"/>
        <v>2031.8782883162141</v>
      </c>
      <c r="V196" s="1030"/>
      <c r="AG196" s="1019">
        <f>ROW()</f>
        <v>196</v>
      </c>
    </row>
    <row r="197" spans="2:33">
      <c r="B197" s="1099" t="s">
        <v>1057</v>
      </c>
      <c r="G197" s="1098">
        <f ca="1">EMFAC!$U52*G$172^2 + EMFAC!$V52*G$172 + EMFAC!$W52</f>
        <v>1.2781859109792397</v>
      </c>
      <c r="H197" s="1098">
        <f ca="1">EMFAC!$U52*H$172^2 + EMFAC!$V52*H$172 + EMFAC!$W52</f>
        <v>1.2984163843361154</v>
      </c>
      <c r="I197" s="1098">
        <f ca="1">EMFAC!$U52*I$172^2 + EMFAC!$V52*I$172 + EMFAC!$W52</f>
        <v>2.2524354161823537</v>
      </c>
      <c r="J197" s="1098">
        <f ca="1">EMFAC!$U52*J$172^2 + EMFAC!$V52*J$172 + EMFAC!$W52</f>
        <v>2.1965349993080698</v>
      </c>
      <c r="K197" s="1098">
        <f ca="1">EMFAC!$U52*K$172^2 + EMFAC!$V52*K$172 + EMFAC!$W52</f>
        <v>1.9880529977661194</v>
      </c>
      <c r="L197" s="1098">
        <f ca="1">EMFAC!$U52*L$172^2 + EMFAC!$V52*L$172 + EMFAC!$W52</f>
        <v>2.3760426618105042</v>
      </c>
      <c r="M197" s="1098">
        <f ca="1">EMFAC!$U52*M$172^2 + EMFAC!$V52*M$172 + EMFAC!$W52</f>
        <v>1.9694646092662145</v>
      </c>
      <c r="N197" s="1137"/>
      <c r="O197" s="1029"/>
      <c r="P197" s="1098">
        <f ca="1">EMFAC!$U52*P$172^2 + EMFAC!$V52*P$172 + EMFAC!$W52</f>
        <v>1.3611667697120051</v>
      </c>
      <c r="Q197" s="1098">
        <f ca="1">EMFAC!$U52*Q$172^2 + EMFAC!$V52*Q$172 + EMFAC!$W52</f>
        <v>1.7446680191132407</v>
      </c>
      <c r="R197" s="1098">
        <f ca="1">EMFAC!$U52*R$172^2 + EMFAC!$V52*R$172 + EMFAC!$W52</f>
        <v>2.0996873859749074</v>
      </c>
      <c r="S197" s="1098">
        <f ca="1">EMFAC!$U52*S$172^2 + EMFAC!$V52*S$172 + EMFAC!$W52</f>
        <v>2.2644992961966111</v>
      </c>
      <c r="T197" s="1098">
        <f ca="1">EMFAC!$U52*T$172^2 + EMFAC!$V52*T$172 + EMFAC!$W52</f>
        <v>1.9793768940140481</v>
      </c>
      <c r="U197" s="1098">
        <f ca="1">EMFAC!$U52*U$172^2 + EMFAC!$V52*U$172 + EMFAC!$W52</f>
        <v>1.7208682542031877</v>
      </c>
      <c r="V197" s="1098"/>
      <c r="AG197" s="1019">
        <f>ROW()</f>
        <v>197</v>
      </c>
    </row>
    <row r="198" spans="2:33">
      <c r="B198" s="1099" t="s">
        <v>1058</v>
      </c>
      <c r="G198" s="1098">
        <f ca="1">EMFAC!$U53*G$172^2 + EMFAC!$V53*G$172 + EMFAC!$W53</f>
        <v>10.544160135486205</v>
      </c>
      <c r="H198" s="1098">
        <f ca="1">EMFAC!$U53*H$172^2 + EMFAC!$V53*H$172 + EMFAC!$W53</f>
        <v>10.72279115491763</v>
      </c>
      <c r="I198" s="1098">
        <f ca="1">EMFAC!$U53*I$172^2 + EMFAC!$V53*I$172 + EMFAC!$W53</f>
        <v>19.351130124771572</v>
      </c>
      <c r="J198" s="1098">
        <f ca="1">EMFAC!$U53*J$172^2 + EMFAC!$V53*J$172 + EMFAC!$W53</f>
        <v>18.837892705357369</v>
      </c>
      <c r="K198" s="1098">
        <f ca="1">EMFAC!$U53*K$172^2 + EMFAC!$V53*K$172 + EMFAC!$W53</f>
        <v>16.930235906492204</v>
      </c>
      <c r="L198" s="1098">
        <f ca="1">EMFAC!$U53*L$172^2 + EMFAC!$V53*L$172 + EMFAC!$W53</f>
        <v>20.488336406812568</v>
      </c>
      <c r="M198" s="1098">
        <f ca="1">EMFAC!$U53*M$172^2 + EMFAC!$V53*M$172 + EMFAC!$W53</f>
        <v>16.760687743286041</v>
      </c>
      <c r="N198" s="1137"/>
      <c r="O198" s="1029"/>
      <c r="P198" s="1098">
        <f ca="1">EMFAC!$U53*P$172^2 + EMFAC!$V53*P$172 + EMFAC!$W53</f>
        <v>11.278527099544203</v>
      </c>
      <c r="Q198" s="1098">
        <f ca="1">EMFAC!$U53*Q$172^2 + EMFAC!$V53*Q$172 + EMFAC!$W53</f>
        <v>14.718385147211784</v>
      </c>
      <c r="R198" s="1098">
        <f ca="1">EMFAC!$U53*R$172^2 + EMFAC!$V53*R$172 + EMFAC!$W53</f>
        <v>17.95038766194871</v>
      </c>
      <c r="S198" s="1098">
        <f ca="1">EMFAC!$U53*S$172^2 + EMFAC!$V53*S$172 + EMFAC!$W53</f>
        <v>19.461980844287218</v>
      </c>
      <c r="T198" s="1098">
        <f ca="1">EMFAC!$U53*T$172^2 + EMFAC!$V53*T$172 + EMFAC!$W53</f>
        <v>16.851087786077912</v>
      </c>
      <c r="U198" s="1098">
        <f ca="1">EMFAC!$U53*U$172^2 + EMFAC!$V53*U$172 + EMFAC!$W53</f>
        <v>14.503125231445477</v>
      </c>
      <c r="V198" s="1098"/>
      <c r="AG198" s="1019">
        <f>ROW()</f>
        <v>198</v>
      </c>
    </row>
    <row r="199" spans="2:33">
      <c r="B199" s="1099" t="s">
        <v>1044</v>
      </c>
      <c r="G199" s="1098">
        <f ca="1">EMFAC!$U54*G$172^2 + EMFAC!$V54*G$172 + EMFAC!$W54</f>
        <v>14.868405602452491</v>
      </c>
      <c r="H199" s="1098">
        <f ca="1">EMFAC!$U54*H$172^2 + EMFAC!$V54*H$172 + EMFAC!$W54</f>
        <v>14.968799299135545</v>
      </c>
      <c r="I199" s="1098">
        <f ca="1">EMFAC!$U54*I$172^2 + EMFAC!$V54*I$172 + EMFAC!$W54</f>
        <v>20.304036685432557</v>
      </c>
      <c r="J199" s="1098">
        <f ca="1">EMFAC!$U54*J$172^2 + EMFAC!$V54*J$172 + EMFAC!$W54</f>
        <v>19.968907770525117</v>
      </c>
      <c r="K199" s="1098">
        <f ca="1">EMFAC!$U54*K$172^2 + EMFAC!$V54*K$172 + EMFAC!$W54</f>
        <v>18.738058770361228</v>
      </c>
      <c r="L199" s="1098">
        <f ca="1">EMFAC!$U54*L$172^2 + EMFAC!$V54*L$172 + EMFAC!$W54</f>
        <v>21.051930613548798</v>
      </c>
      <c r="M199" s="1098">
        <f ca="1">EMFAC!$U54*M$172^2 + EMFAC!$V54*M$172 + EMFAC!$W54</f>
        <v>18.629901162303625</v>
      </c>
      <c r="N199" s="1137"/>
      <c r="O199" s="1029"/>
      <c r="P199" s="1098">
        <f ca="1">EMFAC!$U54*P$172^2 + EMFAC!$V54*P$172 + EMFAC!$W54</f>
        <v>15.285082612140947</v>
      </c>
      <c r="Q199" s="1098">
        <f ca="1">EMFAC!$U54*Q$172^2 + EMFAC!$V54*Q$172 + EMFAC!$W54</f>
        <v>17.345732722834242</v>
      </c>
      <c r="R199" s="1098">
        <f ca="1">EMFAC!$U54*R$172^2 + EMFAC!$V54*R$172 + EMFAC!$W54</f>
        <v>19.393231941902346</v>
      </c>
      <c r="S199" s="1098">
        <f ca="1">EMFAC!$U54*S$172^2 + EMFAC!$V54*S$172 + EMFAC!$W54</f>
        <v>20.376621954401038</v>
      </c>
      <c r="T199" s="1098">
        <f ca="1">EMFAC!$U54*T$172^2 + EMFAC!$V54*T$172 + EMFAC!$W54</f>
        <v>18.687541818904297</v>
      </c>
      <c r="U199" s="1098">
        <f ca="1">EMFAC!$U54*U$172^2 + EMFAC!$V54*U$172 + EMFAC!$W54</f>
        <v>17.212605766304314</v>
      </c>
      <c r="V199" s="1098"/>
      <c r="AG199" s="1019">
        <f>ROW()</f>
        <v>199</v>
      </c>
    </row>
    <row r="200" spans="2:33">
      <c r="B200" s="1099" t="s">
        <v>1054</v>
      </c>
      <c r="G200" s="1098">
        <f ca="1">EMFAC!$U55*G$172^2 + EMFAC!$V55*G$172 + EMFAC!$W55</f>
        <v>0.40754207674056531</v>
      </c>
      <c r="H200" s="1098">
        <f ca="1">EMFAC!$U55*H$172^2 + EMFAC!$V55*H$172 + EMFAC!$W55</f>
        <v>0.41212008527278654</v>
      </c>
      <c r="I200" s="1098">
        <f ca="1">EMFAC!$U55*I$172^2 + EMFAC!$V55*I$172 + EMFAC!$W55</f>
        <v>0.62465866659631941</v>
      </c>
      <c r="J200" s="1098">
        <f ca="1">EMFAC!$U55*J$172^2 + EMFAC!$V55*J$172 + EMFAC!$W55</f>
        <v>0.61233050541892631</v>
      </c>
      <c r="K200" s="1098">
        <f ca="1">EMFAC!$U55*K$172^2 + EMFAC!$V55*K$172 + EMFAC!$W55</f>
        <v>0.56624630560802158</v>
      </c>
      <c r="L200" s="1098">
        <f ca="1">EMFAC!$U55*L$172^2 + EMFAC!$V55*L$172 + EMFAC!$W55</f>
        <v>0.65188054468046375</v>
      </c>
      <c r="M200" s="1098">
        <f ca="1">EMFAC!$U55*M$172^2 + EMFAC!$V55*M$172 + EMFAC!$W55</f>
        <v>0.56212857181792819</v>
      </c>
      <c r="N200" s="1137"/>
      <c r="O200" s="1029"/>
      <c r="P200" s="1098">
        <f ca="1">EMFAC!$U55*P$172^2 + EMFAC!$V55*P$172 + EMFAC!$W55</f>
        <v>0.42629281741537228</v>
      </c>
      <c r="Q200" s="1098">
        <f ca="1">EMFAC!$U55*Q$172^2 + EMFAC!$V55*Q$172 + EMFAC!$W55</f>
        <v>0.51219845054760127</v>
      </c>
      <c r="R200" s="1098">
        <f ca="1">EMFAC!$U55*R$172^2 + EMFAC!$V55*R$172 + EMFAC!$W55</f>
        <v>0.59094442714902695</v>
      </c>
      <c r="S200" s="1098">
        <f ca="1">EMFAC!$U55*S$172^2 + EMFAC!$V55*S$172 + EMFAC!$W55</f>
        <v>0.62731775474892459</v>
      </c>
      <c r="T200" s="1098">
        <f ca="1">EMFAC!$U55*T$172^2 + EMFAC!$V55*T$172 + EMFAC!$W55</f>
        <v>0.56432455175772178</v>
      </c>
      <c r="U200" s="1098">
        <f ca="1">EMFAC!$U55*U$172^2 + EMFAC!$V55*U$172 + EMFAC!$W55</f>
        <v>0.50689644855833182</v>
      </c>
      <c r="V200" s="1098"/>
      <c r="AG200" s="1019">
        <f>ROW()</f>
        <v>200</v>
      </c>
    </row>
    <row r="201" spans="2:33">
      <c r="B201" s="1099"/>
      <c r="G201" s="1098"/>
      <c r="H201" s="1098"/>
      <c r="I201" s="1098"/>
      <c r="J201" s="1098"/>
      <c r="K201" s="1098"/>
      <c r="L201" s="1098"/>
      <c r="M201" s="1098"/>
      <c r="N201" s="1137"/>
      <c r="O201" s="1029"/>
      <c r="P201" s="1098"/>
      <c r="Q201" s="1098"/>
      <c r="R201" s="1098"/>
      <c r="S201" s="1098"/>
      <c r="T201" s="1098"/>
      <c r="U201" s="1098"/>
      <c r="V201" s="1098"/>
      <c r="AG201" s="1019">
        <f>ROW()</f>
        <v>201</v>
      </c>
    </row>
    <row r="202" spans="2:33">
      <c r="B202" s="275" t="s">
        <v>465</v>
      </c>
      <c r="E202"/>
      <c r="F202"/>
      <c r="G202" s="135"/>
      <c r="H202" s="135"/>
      <c r="I202" s="135"/>
      <c r="J202" s="135"/>
      <c r="K202" s="135"/>
      <c r="L202" s="135"/>
      <c r="M202" s="135"/>
      <c r="N202" s="1138"/>
      <c r="O202" s="1029"/>
      <c r="AG202" s="1019">
        <f>ROW()</f>
        <v>202</v>
      </c>
    </row>
    <row r="203" spans="2:33">
      <c r="B203" s="496" t="s">
        <v>541</v>
      </c>
      <c r="E203"/>
      <c r="F203"/>
      <c r="G203" s="135"/>
      <c r="H203" s="135"/>
      <c r="I203" s="135"/>
      <c r="J203" s="135"/>
      <c r="K203" s="135"/>
      <c r="L203" s="135"/>
      <c r="M203" s="135"/>
      <c r="N203" s="1138"/>
      <c r="O203" s="1029"/>
      <c r="AG203" s="1019">
        <f>ROW()</f>
        <v>203</v>
      </c>
    </row>
    <row r="204" spans="2:33">
      <c r="B204" s="1099" t="s">
        <v>2494</v>
      </c>
      <c r="E204"/>
      <c r="F204"/>
      <c r="G204" s="135">
        <f t="shared" ref="G204:M206" ca="1" si="88">G184*G$175/1000</f>
        <v>191498.857125426</v>
      </c>
      <c r="H204" s="135">
        <f t="shared" ca="1" si="88"/>
        <v>33496.65074744702</v>
      </c>
      <c r="I204" s="135">
        <f t="shared" ca="1" si="88"/>
        <v>345879.28127435868</v>
      </c>
      <c r="J204" s="135">
        <f t="shared" ca="1" si="88"/>
        <v>109985.0212220127</v>
      </c>
      <c r="K204" s="135">
        <f t="shared" ca="1" si="88"/>
        <v>356234.05497560411</v>
      </c>
      <c r="L204" s="135">
        <f t="shared" ca="1" si="88"/>
        <v>786456.56956148299</v>
      </c>
      <c r="M204" s="135">
        <f t="shared" ca="1" si="88"/>
        <v>264597.69359032239</v>
      </c>
      <c r="N204" s="1138">
        <f ca="1">SUM(G204:M204)</f>
        <v>2088148.1284966539</v>
      </c>
      <c r="O204" s="1029"/>
      <c r="P204" s="135">
        <f t="shared" ref="P204:U204" ca="1" si="89">P184*P$175/1000</f>
        <v>435331.19913747918</v>
      </c>
      <c r="Q204" s="135">
        <f t="shared" ca="1" si="89"/>
        <v>148170.85373048333</v>
      </c>
      <c r="R204" s="135">
        <f t="shared" ca="1" si="89"/>
        <v>533033.09332980867</v>
      </c>
      <c r="S204" s="135">
        <f t="shared" ca="1" si="89"/>
        <v>377732.97058911354</v>
      </c>
      <c r="T204" s="135">
        <f t="shared" ca="1" si="89"/>
        <v>189094.14774448259</v>
      </c>
      <c r="U204" s="135">
        <f t="shared" ca="1" si="89"/>
        <v>144284.46183453378</v>
      </c>
      <c r="W204" s="135">
        <f ca="1">SUM(P204:V204)</f>
        <v>1827646.7263659011</v>
      </c>
      <c r="Y204" s="817">
        <f ca="1">N204*wkday_per_yr</f>
        <v>522037032.12416345</v>
      </c>
      <c r="Z204" s="817">
        <f ca="1">W204*wkend_per_yr</f>
        <v>210179373.53207862</v>
      </c>
      <c r="AA204" s="817">
        <f ca="1">Y204+Z204</f>
        <v>732216405.65624213</v>
      </c>
      <c r="AG204" s="1019">
        <f>ROW()</f>
        <v>204</v>
      </c>
    </row>
    <row r="205" spans="2:33">
      <c r="B205" s="1099" t="s">
        <v>1057</v>
      </c>
      <c r="E205"/>
      <c r="F205"/>
      <c r="G205" s="135">
        <f t="shared" ca="1" si="88"/>
        <v>93.649293587442344</v>
      </c>
      <c r="H205" s="135">
        <f t="shared" ca="1" si="88"/>
        <v>16.52601706667636</v>
      </c>
      <c r="I205" s="135">
        <f t="shared" ca="1" si="88"/>
        <v>189.86803657785893</v>
      </c>
      <c r="J205" s="135">
        <f t="shared" ca="1" si="88"/>
        <v>60.802184141277479</v>
      </c>
      <c r="K205" s="135">
        <f t="shared" ca="1" si="88"/>
        <v>199.66116712489455</v>
      </c>
      <c r="L205" s="135">
        <f t="shared" ca="1" si="88"/>
        <v>423.04733553848359</v>
      </c>
      <c r="M205" s="135">
        <f t="shared" ca="1" si="88"/>
        <v>148.33341018704772</v>
      </c>
      <c r="N205" s="1138">
        <f ca="1">SUM(G205:M205)</f>
        <v>1131.8874442236809</v>
      </c>
      <c r="O205" s="1029"/>
      <c r="P205" s="135">
        <f t="shared" ref="P205:U205" ca="1" si="90">P185*P$175/1000</f>
        <v>220.24414733369147</v>
      </c>
      <c r="Q205" s="135">
        <f t="shared" ca="1" si="90"/>
        <v>82.101553595382114</v>
      </c>
      <c r="R205" s="135">
        <f t="shared" ca="1" si="90"/>
        <v>297.30945195399045</v>
      </c>
      <c r="S205" s="135">
        <f t="shared" ca="1" si="90"/>
        <v>207.00226127386242</v>
      </c>
      <c r="T205" s="135">
        <f t="shared" ca="1" si="90"/>
        <v>105.9960733204705</v>
      </c>
      <c r="U205" s="135">
        <f t="shared" ca="1" si="90"/>
        <v>79.718619033985149</v>
      </c>
      <c r="W205" s="135">
        <f ca="1">SUM(P205:V205)</f>
        <v>992.37210651138219</v>
      </c>
      <c r="Y205" s="817">
        <f ca="1">N205*wkday_per_yr</f>
        <v>282971.86105592019</v>
      </c>
      <c r="Z205" s="817">
        <f ca="1">W205*wkend_per_yr</f>
        <v>114122.79224880895</v>
      </c>
      <c r="AA205" s="817">
        <f ca="1">Y205+Z205</f>
        <v>397094.65330472915</v>
      </c>
      <c r="AG205" s="1019">
        <f>ROW()</f>
        <v>205</v>
      </c>
    </row>
    <row r="206" spans="2:33">
      <c r="B206" s="1099" t="s">
        <v>1058</v>
      </c>
      <c r="E206"/>
      <c r="F206"/>
      <c r="G206" s="135">
        <f t="shared" ca="1" si="88"/>
        <v>1614.1889892252118</v>
      </c>
      <c r="H206" s="135">
        <f t="shared" ca="1" si="88"/>
        <v>282.04595541066817</v>
      </c>
      <c r="I206" s="135">
        <f t="shared" ca="1" si="88"/>
        <v>2366.1315708782918</v>
      </c>
      <c r="J206" s="135">
        <f t="shared" ca="1" si="88"/>
        <v>767.50759502987034</v>
      </c>
      <c r="K206" s="135">
        <f t="shared" ca="1" si="88"/>
        <v>2655.9879058761358</v>
      </c>
      <c r="L206" s="135">
        <f t="shared" ca="1" si="88"/>
        <v>5132.6104118057428</v>
      </c>
      <c r="M206" s="135">
        <f t="shared" ca="1" si="88"/>
        <v>1983.2098310020265</v>
      </c>
      <c r="N206" s="1138">
        <f ca="1">SUM(G206:M206)</f>
        <v>14801.682259227948</v>
      </c>
      <c r="O206" s="1029"/>
      <c r="P206" s="135">
        <f t="shared" ref="P206:U206" ca="1" si="91">P186*P$175/1000</f>
        <v>3649.6991815721185</v>
      </c>
      <c r="Q206" s="135">
        <f t="shared" ca="1" si="91"/>
        <v>1173.8808266460203</v>
      </c>
      <c r="R206" s="135">
        <f t="shared" ca="1" si="91"/>
        <v>3841.8581159525465</v>
      </c>
      <c r="S206" s="135">
        <f t="shared" ca="1" si="91"/>
        <v>2572.6768381587935</v>
      </c>
      <c r="T206" s="135">
        <f t="shared" ca="1" si="91"/>
        <v>1413.3317654167636</v>
      </c>
      <c r="U206" s="135">
        <f t="shared" ca="1" si="91"/>
        <v>1148.7540693822086</v>
      </c>
      <c r="W206" s="135">
        <f ca="1">SUM(P206:V206)</f>
        <v>13800.200797128451</v>
      </c>
      <c r="Y206" s="817">
        <f ca="1">N206*wkday_per_yr</f>
        <v>3700420.5648069871</v>
      </c>
      <c r="Z206" s="817">
        <f ca="1">W206*wkend_per_yr</f>
        <v>1587023.0916697718</v>
      </c>
      <c r="AA206" s="817">
        <f ca="1">Y206+Z206</f>
        <v>5287443.6564767584</v>
      </c>
      <c r="AG206" s="1019">
        <f>ROW()</f>
        <v>206</v>
      </c>
    </row>
    <row r="207" spans="2:33">
      <c r="B207" s="1099" t="s">
        <v>1044</v>
      </c>
      <c r="E207"/>
      <c r="F207"/>
      <c r="G207" s="135">
        <f t="shared" ref="G207:M207" ca="1" si="92">G187*G$175/1000</f>
        <v>191.79048669828433</v>
      </c>
      <c r="H207" s="135">
        <f t="shared" ca="1" si="92"/>
        <v>33.445357167502792</v>
      </c>
      <c r="I207" s="135">
        <f t="shared" ca="1" si="92"/>
        <v>263.17502314274611</v>
      </c>
      <c r="J207" s="135">
        <f t="shared" ca="1" si="92"/>
        <v>85.594106727077914</v>
      </c>
      <c r="K207" s="135">
        <f t="shared" ca="1" si="92"/>
        <v>299.42837266194522</v>
      </c>
      <c r="L207" s="135">
        <f t="shared" ca="1" si="92"/>
        <v>567.71511338104926</v>
      </c>
      <c r="M207" s="135">
        <f t="shared" ca="1" si="92"/>
        <v>223.81458295627618</v>
      </c>
      <c r="N207" s="1138">
        <f ca="1">SUM(G207:M207)</f>
        <v>1664.9630427348818</v>
      </c>
      <c r="O207" s="1029"/>
      <c r="P207" s="135">
        <f t="shared" ref="P207:U207" ca="1" si="93">P187*P$175/1000</f>
        <v>430.24512258406281</v>
      </c>
      <c r="Q207" s="135">
        <f t="shared" ca="1" si="93"/>
        <v>134.31502480675314</v>
      </c>
      <c r="R207" s="135">
        <f t="shared" ca="1" si="93"/>
        <v>430.53336133676504</v>
      </c>
      <c r="S207" s="135">
        <f t="shared" ca="1" si="93"/>
        <v>285.98750893029938</v>
      </c>
      <c r="T207" s="135">
        <f t="shared" ca="1" si="93"/>
        <v>159.41222317542739</v>
      </c>
      <c r="U207" s="135">
        <f t="shared" ca="1" si="93"/>
        <v>131.65002345238742</v>
      </c>
      <c r="W207" s="135">
        <f ca="1">SUM(P207:V207)</f>
        <v>1572.1432642856951</v>
      </c>
      <c r="Y207" s="817">
        <f ca="1">N207*wkday_per_yr</f>
        <v>416240.76068372047</v>
      </c>
      <c r="Z207" s="817">
        <f ca="1">W207*wkend_per_yr</f>
        <v>180796.47539285495</v>
      </c>
      <c r="AA207" s="817">
        <f ca="1">Y207+Z207</f>
        <v>597037.23607657547</v>
      </c>
      <c r="AG207" s="1019">
        <f>ROW()</f>
        <v>207</v>
      </c>
    </row>
    <row r="208" spans="2:33">
      <c r="B208" s="1099" t="s">
        <v>1054</v>
      </c>
      <c r="E208"/>
      <c r="F208"/>
      <c r="G208" s="135">
        <f t="shared" ref="G208:M208" ca="1" si="94">G188*G$175/1000</f>
        <v>18.371190099667452</v>
      </c>
      <c r="H208" s="135">
        <f t="shared" ca="1" si="94"/>
        <v>3.2222913944756226</v>
      </c>
      <c r="I208" s="135">
        <f t="shared" ca="1" si="94"/>
        <v>31.116378780551496</v>
      </c>
      <c r="J208" s="135">
        <f t="shared" ca="1" si="94"/>
        <v>10.028198744723337</v>
      </c>
      <c r="K208" s="135">
        <f t="shared" ca="1" si="94"/>
        <v>33.819864855874947</v>
      </c>
      <c r="L208" s="135">
        <f t="shared" ca="1" si="94"/>
        <v>68.428830384712796</v>
      </c>
      <c r="M208" s="135">
        <f t="shared" ca="1" si="94"/>
        <v>25.191720469797463</v>
      </c>
      <c r="N208" s="1138">
        <f ca="1">SUM(G208:M208)</f>
        <v>190.17847472980313</v>
      </c>
      <c r="O208" s="1029"/>
      <c r="P208" s="135">
        <f t="shared" ref="P208:U208" ca="1" si="95">P188*P$175/1000</f>
        <v>42.183824412386592</v>
      </c>
      <c r="Q208" s="135">
        <f t="shared" ca="1" si="95"/>
        <v>14.450799701387771</v>
      </c>
      <c r="R208" s="135">
        <f t="shared" ca="1" si="95"/>
        <v>49.616556831789637</v>
      </c>
      <c r="S208" s="135">
        <f t="shared" ca="1" si="95"/>
        <v>33.87909847732918</v>
      </c>
      <c r="T208" s="135">
        <f t="shared" ca="1" si="95"/>
        <v>17.976203511869908</v>
      </c>
      <c r="U208" s="135">
        <f t="shared" ca="1" si="95"/>
        <v>14.091454560901639</v>
      </c>
      <c r="W208" s="135">
        <f ca="1">SUM(P208:V208)</f>
        <v>172.19793749566472</v>
      </c>
      <c r="Y208" s="817">
        <f ca="1">N208*wkday_per_yr</f>
        <v>47544.618682450782</v>
      </c>
      <c r="Z208" s="817">
        <f ca="1">W208*wkend_per_yr</f>
        <v>19802.762812001441</v>
      </c>
      <c r="AA208" s="817">
        <f ca="1">Y208+Z208</f>
        <v>67347.381494452216</v>
      </c>
      <c r="AG208" s="1019">
        <f>ROW()</f>
        <v>208</v>
      </c>
    </row>
    <row r="209" spans="2:33">
      <c r="B209" s="496" t="s">
        <v>1509</v>
      </c>
      <c r="E209"/>
      <c r="F209"/>
      <c r="G209" s="135"/>
      <c r="H209" s="135"/>
      <c r="I209" s="135"/>
      <c r="J209" s="135"/>
      <c r="K209" s="135"/>
      <c r="L209" s="135"/>
      <c r="M209" s="135"/>
      <c r="N209" s="1138"/>
      <c r="O209" s="1029"/>
      <c r="AG209" s="1019">
        <f>ROW()</f>
        <v>209</v>
      </c>
    </row>
    <row r="210" spans="2:33">
      <c r="B210" s="1099" t="s">
        <v>2494</v>
      </c>
      <c r="E210"/>
      <c r="F210"/>
      <c r="G210" s="135">
        <f t="shared" ref="G210:M211" ca="1" si="96">G190*G$176/1000</f>
        <v>37661.500207272598</v>
      </c>
      <c r="H210" s="135">
        <f t="shared" ca="1" si="96"/>
        <v>9138.9531115509599</v>
      </c>
      <c r="I210" s="135">
        <f t="shared" ca="1" si="96"/>
        <v>91860.272752086094</v>
      </c>
      <c r="J210" s="135">
        <f t="shared" ca="1" si="96"/>
        <v>26813.513876724162</v>
      </c>
      <c r="K210" s="135">
        <f t="shared" ca="1" si="96"/>
        <v>88065.479898250458</v>
      </c>
      <c r="L210" s="135">
        <f t="shared" ca="1" si="96"/>
        <v>205388.77103313836</v>
      </c>
      <c r="M210" s="135">
        <f t="shared" ca="1" si="96"/>
        <v>59755.855153682496</v>
      </c>
      <c r="N210" s="1138">
        <f ca="1">SUM(G210:M210)</f>
        <v>518684.34603270516</v>
      </c>
      <c r="O210" s="1029"/>
      <c r="P210" s="135">
        <f t="shared" ref="P210:U210" ca="1" si="97">P190*P$176/1000</f>
        <v>31517.560620838354</v>
      </c>
      <c r="Q210" s="135">
        <f t="shared" ca="1" si="97"/>
        <v>12591.025493173709</v>
      </c>
      <c r="R210" s="135">
        <f t="shared" ca="1" si="97"/>
        <v>46688.022525047294</v>
      </c>
      <c r="S210" s="135">
        <f t="shared" ca="1" si="97"/>
        <v>32989.474638697946</v>
      </c>
      <c r="T210" s="135">
        <f t="shared" ca="1" si="97"/>
        <v>16124.070521245836</v>
      </c>
      <c r="U210" s="135">
        <f t="shared" ca="1" si="97"/>
        <v>12401.556136394964</v>
      </c>
      <c r="W210" s="135">
        <f ca="1">SUM(P210:V210)</f>
        <v>152311.7099353981</v>
      </c>
      <c r="Y210" s="817">
        <f ca="1">N210*wkday_per_yr</f>
        <v>129671086.5081763</v>
      </c>
      <c r="Z210" s="817">
        <f ca="1">W210*wkend_per_yr</f>
        <v>17515846.642570782</v>
      </c>
      <c r="AA210" s="817">
        <f ca="1">Y210+Z210</f>
        <v>147186933.15074709</v>
      </c>
      <c r="AG210" s="1019">
        <f>ROW()</f>
        <v>210</v>
      </c>
    </row>
    <row r="211" spans="2:33">
      <c r="B211" s="1099" t="s">
        <v>1057</v>
      </c>
      <c r="E211"/>
      <c r="F211"/>
      <c r="G211" s="135">
        <f t="shared" ca="1" si="96"/>
        <v>14.444430894099016</v>
      </c>
      <c r="H211" s="135">
        <f t="shared" ca="1" si="96"/>
        <v>3.532864058262096</v>
      </c>
      <c r="I211" s="135">
        <f t="shared" ca="1" si="96"/>
        <v>38.126614068857521</v>
      </c>
      <c r="J211" s="135">
        <f t="shared" ca="1" si="96"/>
        <v>11.226064524236705</v>
      </c>
      <c r="K211" s="135">
        <f t="shared" ca="1" si="96"/>
        <v>37.627871177271317</v>
      </c>
      <c r="L211" s="135">
        <f t="shared" ca="1" si="96"/>
        <v>83.244128994227623</v>
      </c>
      <c r="M211" s="135">
        <f t="shared" ca="1" si="96"/>
        <v>25.553447527196447</v>
      </c>
      <c r="N211" s="1138">
        <f ca="1">SUM(G211:M211)</f>
        <v>213.75542124415074</v>
      </c>
      <c r="O211" s="1029"/>
      <c r="P211" s="135">
        <f t="shared" ref="P211:U211" ca="1" si="98">P191*P$176/1000</f>
        <v>12.458556286446301</v>
      </c>
      <c r="Q211" s="135">
        <f t="shared" ca="1" si="98"/>
        <v>5.3648123465617967</v>
      </c>
      <c r="R211" s="135">
        <f t="shared" ca="1" si="98"/>
        <v>19.780483320090084</v>
      </c>
      <c r="S211" s="135">
        <f t="shared" ca="1" si="98"/>
        <v>13.664292940433494</v>
      </c>
      <c r="T211" s="135">
        <f t="shared" ca="1" si="98"/>
        <v>6.8922019983666321</v>
      </c>
      <c r="U211" s="135">
        <f t="shared" ca="1" si="98"/>
        <v>5.2736980602755548</v>
      </c>
      <c r="W211" s="135">
        <f ca="1">SUM(P211:V211)</f>
        <v>63.434044952173871</v>
      </c>
      <c r="Y211" s="817">
        <f ca="1">N211*wkday_per_yr</f>
        <v>53438.855311037682</v>
      </c>
      <c r="Z211" s="817">
        <f ca="1">W211*wkend_per_yr</f>
        <v>7294.9151694999955</v>
      </c>
      <c r="AA211" s="817">
        <f ca="1">Y211+Z211</f>
        <v>60733.770480537678</v>
      </c>
      <c r="AG211" s="1019">
        <f>ROW()</f>
        <v>211</v>
      </c>
    </row>
    <row r="212" spans="2:33">
      <c r="B212" s="1099" t="s">
        <v>1058</v>
      </c>
      <c r="E212"/>
      <c r="F212"/>
      <c r="G212" s="135">
        <f t="shared" ref="G212:M212" ca="1" si="99">G192*G$176/1000</f>
        <v>145.88276076251802</v>
      </c>
      <c r="H212" s="135">
        <f ca="1">H192*H$176/1000</f>
        <v>35.686315908008496</v>
      </c>
      <c r="I212" s="135">
        <f t="shared" ca="1" si="99"/>
        <v>390.81588879249267</v>
      </c>
      <c r="J212" s="135">
        <f t="shared" ca="1" si="99"/>
        <v>114.96929080234771</v>
      </c>
      <c r="K212" s="135">
        <f t="shared" ca="1" si="99"/>
        <v>384.03732292020999</v>
      </c>
      <c r="L212" s="135">
        <f t="shared" ca="1" si="99"/>
        <v>854.95037594974053</v>
      </c>
      <c r="M212" s="135">
        <f t="shared" ca="1" si="99"/>
        <v>260.72233443658098</v>
      </c>
      <c r="N212" s="1138">
        <f ca="1">SUM(G212:M212)</f>
        <v>2187.0642895718984</v>
      </c>
      <c r="O212" s="1029"/>
      <c r="P212" s="135">
        <f t="shared" ref="P212:U212" ca="1" si="100">P192*P$176/1000</f>
        <v>125.9246442757145</v>
      </c>
      <c r="Q212" s="135">
        <f t="shared" ca="1" si="100"/>
        <v>54.531438825406546</v>
      </c>
      <c r="R212" s="135">
        <f t="shared" ca="1" si="100"/>
        <v>202.2578036044342</v>
      </c>
      <c r="S212" s="135">
        <f t="shared" ca="1" si="100"/>
        <v>140.0924006718927</v>
      </c>
      <c r="T212" s="135">
        <f t="shared" ca="1" si="100"/>
        <v>70.332940918403082</v>
      </c>
      <c r="U212" s="135">
        <f t="shared" ca="1" si="100"/>
        <v>53.584180985881289</v>
      </c>
      <c r="W212" s="135">
        <f ca="1">SUM(P212:V212)</f>
        <v>646.7234092817323</v>
      </c>
      <c r="Y212" s="817">
        <f ca="1">N212*wkday_per_yr</f>
        <v>546766.07239297463</v>
      </c>
      <c r="Z212" s="817">
        <f ca="1">W212*wkend_per_yr</f>
        <v>74373.192067399214</v>
      </c>
      <c r="AA212" s="817">
        <f ca="1">Y212+Z212</f>
        <v>621139.2644603739</v>
      </c>
      <c r="AG212" s="1019">
        <f>ROW()</f>
        <v>212</v>
      </c>
    </row>
    <row r="213" spans="2:33">
      <c r="B213" s="1099" t="s">
        <v>1044</v>
      </c>
      <c r="E213"/>
      <c r="F213"/>
      <c r="G213" s="135">
        <f t="shared" ref="G213:M213" ca="1" si="101">G193*G$176/1000</f>
        <v>123.0909254544959</v>
      </c>
      <c r="H213" s="135">
        <f t="shared" ca="1" si="101"/>
        <v>29.75908898277979</v>
      </c>
      <c r="I213" s="135">
        <f t="shared" ca="1" si="101"/>
        <v>227.26388240534271</v>
      </c>
      <c r="J213" s="135">
        <f t="shared" ca="1" si="101"/>
        <v>67.804100460694215</v>
      </c>
      <c r="K213" s="135">
        <f t="shared" ca="1" si="101"/>
        <v>240.0606256493576</v>
      </c>
      <c r="L213" s="135">
        <f t="shared" ca="1" si="101"/>
        <v>482.87853681815056</v>
      </c>
      <c r="M213" s="135">
        <f t="shared" ca="1" si="101"/>
        <v>163.90364589033078</v>
      </c>
      <c r="N213" s="1138">
        <f ca="1">SUM(G213:M213)</f>
        <v>1334.7608056611516</v>
      </c>
      <c r="O213" s="1029"/>
      <c r="P213" s="135">
        <f t="shared" ref="P213:U213" ca="1" si="102">P193*P$176/1000</f>
        <v>101.40999256643309</v>
      </c>
      <c r="Q213" s="135">
        <f t="shared" ca="1" si="102"/>
        <v>36.989634040599682</v>
      </c>
      <c r="R213" s="135">
        <f t="shared" ca="1" si="102"/>
        <v>122.40780906252252</v>
      </c>
      <c r="S213" s="135">
        <f t="shared" ca="1" si="102"/>
        <v>81.224308568488098</v>
      </c>
      <c r="T213" s="135">
        <f t="shared" ca="1" si="102"/>
        <v>44.080975298206909</v>
      </c>
      <c r="U213" s="135">
        <f t="shared" ca="1" si="102"/>
        <v>36.673828145468875</v>
      </c>
      <c r="W213" s="135">
        <f ca="1">SUM(P213:V213)</f>
        <v>422.78654768171913</v>
      </c>
      <c r="Y213" s="817">
        <f ca="1">N213*wkday_per_yr</f>
        <v>333690.20141528791</v>
      </c>
      <c r="Z213" s="817">
        <f ca="1">W213*wkend_per_yr</f>
        <v>48620.452983397699</v>
      </c>
      <c r="AA213" s="817">
        <f ca="1">Y213+Z213</f>
        <v>382310.65439868561</v>
      </c>
      <c r="AG213" s="1019">
        <f>ROW()</f>
        <v>213</v>
      </c>
    </row>
    <row r="214" spans="2:33">
      <c r="B214" s="1099" t="s">
        <v>1054</v>
      </c>
      <c r="E214"/>
      <c r="F214"/>
      <c r="G214" s="135">
        <f t="shared" ref="G214:M214" ca="1" si="103">G194*G$176/1000</f>
        <v>4.8278561706267524</v>
      </c>
      <c r="H214" s="135">
        <f t="shared" ca="1" si="103"/>
        <v>1.1727240009465265</v>
      </c>
      <c r="I214" s="135">
        <f t="shared" ca="1" si="103"/>
        <v>10.253770757183965</v>
      </c>
      <c r="J214" s="135">
        <f t="shared" ca="1" si="103"/>
        <v>3.0444204451273613</v>
      </c>
      <c r="K214" s="135">
        <f t="shared" ca="1" si="103"/>
        <v>10.559941250970883</v>
      </c>
      <c r="L214" s="135">
        <f t="shared" ca="1" si="103"/>
        <v>22.002736226894836</v>
      </c>
      <c r="M214" s="135">
        <f t="shared" ca="1" si="103"/>
        <v>7.1952251197929566</v>
      </c>
      <c r="N214" s="1138">
        <f ca="1">SUM(G214:M214)</f>
        <v>59.056673971543283</v>
      </c>
      <c r="O214" s="1029"/>
      <c r="P214" s="135">
        <f t="shared" ref="P214:U214" ca="1" si="104">P194*P$176/1000</f>
        <v>4.0522244077665173</v>
      </c>
      <c r="Q214" s="135">
        <f t="shared" ca="1" si="104"/>
        <v>1.5791501580477398</v>
      </c>
      <c r="R214" s="135">
        <f t="shared" ca="1" si="104"/>
        <v>5.4467798486746153</v>
      </c>
      <c r="S214" s="135">
        <f t="shared" ca="1" si="104"/>
        <v>3.6684214545160776</v>
      </c>
      <c r="T214" s="135">
        <f t="shared" ca="1" si="104"/>
        <v>1.9372282519209634</v>
      </c>
      <c r="U214" s="135">
        <f t="shared" ca="1" si="104"/>
        <v>1.5604363837457629</v>
      </c>
      <c r="W214" s="135">
        <f ca="1">SUM(P214:V214)</f>
        <v>18.244240504671676</v>
      </c>
      <c r="Y214" s="817">
        <f ca="1">N214*wkday_per_yr</f>
        <v>14764.168492885821</v>
      </c>
      <c r="Z214" s="817">
        <f ca="1">W214*wkend_per_yr</f>
        <v>2098.0876580372428</v>
      </c>
      <c r="AA214" s="817">
        <f ca="1">Y214+Z214</f>
        <v>16862.256150923065</v>
      </c>
      <c r="AG214" s="1019">
        <f>ROW()</f>
        <v>214</v>
      </c>
    </row>
    <row r="215" spans="2:33">
      <c r="B215" s="496" t="s">
        <v>810</v>
      </c>
      <c r="C215" s="912"/>
      <c r="E215"/>
      <c r="F215"/>
      <c r="G215" s="135"/>
      <c r="H215" s="135"/>
      <c r="I215" s="135"/>
      <c r="J215" s="135"/>
      <c r="K215" s="135"/>
      <c r="L215" s="135"/>
      <c r="M215" s="135"/>
      <c r="N215" s="1138"/>
      <c r="O215" s="1029"/>
      <c r="AG215" s="1019">
        <f>ROW()</f>
        <v>215</v>
      </c>
    </row>
    <row r="216" spans="2:33">
      <c r="B216" s="1099" t="s">
        <v>2494</v>
      </c>
      <c r="C216" s="912"/>
      <c r="E216"/>
      <c r="F216"/>
      <c r="G216" s="135">
        <f t="shared" ref="G216:M218" ca="1" si="105">G196*G$177/1000</f>
        <v>12572.505130079639</v>
      </c>
      <c r="H216" s="135">
        <f t="shared" ca="1" si="105"/>
        <v>3195.3963613007418</v>
      </c>
      <c r="I216" s="135">
        <f t="shared" ca="1" si="105"/>
        <v>31896.341256341722</v>
      </c>
      <c r="J216" s="135">
        <f t="shared" ca="1" si="105"/>
        <v>9317.7864701298677</v>
      </c>
      <c r="K216" s="135">
        <f t="shared" ca="1" si="105"/>
        <v>30085.81650082759</v>
      </c>
      <c r="L216" s="135">
        <f t="shared" ca="1" si="105"/>
        <v>71255.973882155406</v>
      </c>
      <c r="M216" s="135">
        <f t="shared" ca="1" si="105"/>
        <v>20594.475847127022</v>
      </c>
      <c r="N216" s="1138">
        <f ca="1">SUM(G216:M216)</f>
        <v>178918.29544796201</v>
      </c>
      <c r="O216" s="1029"/>
      <c r="P216" s="135">
        <f t="shared" ref="P216:U216" ca="1" si="106">P196*P$177/1000</f>
        <v>16046.210121697111</v>
      </c>
      <c r="Q216" s="135">
        <f t="shared" ca="1" si="106"/>
        <v>6439.539635893133</v>
      </c>
      <c r="R216" s="135">
        <f t="shared" ca="1" si="106"/>
        <v>23917.80570146424</v>
      </c>
      <c r="S216" s="135">
        <f t="shared" ca="1" si="106"/>
        <v>16894.490438138182</v>
      </c>
      <c r="T216" s="135">
        <f t="shared" ca="1" si="106"/>
        <v>8271.6884337859901</v>
      </c>
      <c r="U216" s="135">
        <f t="shared" ca="1" si="106"/>
        <v>6370.5059343532812</v>
      </c>
      <c r="W216" s="135">
        <f ca="1">SUM(P216:V216)</f>
        <v>77940.240265331944</v>
      </c>
      <c r="Y216" s="817">
        <f ca="1">N216*wkday_per_yr</f>
        <v>44729573.861990504</v>
      </c>
      <c r="Z216" s="817">
        <f ca="1">W216*wkend_per_yr</f>
        <v>8963127.6305131745</v>
      </c>
      <c r="AA216" s="817">
        <f ca="1">Y216+Z216</f>
        <v>53692701.49250368</v>
      </c>
      <c r="AG216" s="1019">
        <f>ROW()</f>
        <v>216</v>
      </c>
    </row>
    <row r="217" spans="2:33">
      <c r="B217" s="1099" t="s">
        <v>1057</v>
      </c>
      <c r="E217"/>
      <c r="F217"/>
      <c r="G217" s="135">
        <f t="shared" ca="1" si="105"/>
        <v>9.6245520952724242</v>
      </c>
      <c r="H217" s="135">
        <f t="shared" ca="1" si="105"/>
        <v>2.4651728437094116</v>
      </c>
      <c r="I217" s="135">
        <f t="shared" ca="1" si="105"/>
        <v>26.336682392016893</v>
      </c>
      <c r="J217" s="135">
        <f t="shared" ca="1" si="105"/>
        <v>7.7614176085517954</v>
      </c>
      <c r="K217" s="135">
        <f t="shared" ca="1" si="105"/>
        <v>25.584631431466384</v>
      </c>
      <c r="L217" s="135">
        <f t="shared" ca="1" si="105"/>
        <v>57.444745578052533</v>
      </c>
      <c r="M217" s="135">
        <f t="shared" ca="1" si="105"/>
        <v>17.528711778584089</v>
      </c>
      <c r="N217" s="1138">
        <f ca="1">SUM(G217:M217)</f>
        <v>146.74591372765354</v>
      </c>
      <c r="O217" s="1029"/>
      <c r="P217" s="135">
        <f t="shared" ref="P217:U217" ca="1" si="107">P197*P$177/1000</f>
        <v>12.65314965473299</v>
      </c>
      <c r="Q217" s="135">
        <f t="shared" ca="1" si="107"/>
        <v>5.4642046561171398</v>
      </c>
      <c r="R217" s="135">
        <f t="shared" ca="1" si="107"/>
        <v>20.16391449516362</v>
      </c>
      <c r="S217" s="135">
        <f t="shared" ca="1" si="107"/>
        <v>13.920967134943883</v>
      </c>
      <c r="T217" s="135">
        <f t="shared" ca="1" si="107"/>
        <v>7.0371802878542393</v>
      </c>
      <c r="U217" s="135">
        <f t="shared" ca="1" si="107"/>
        <v>5.3954026127845873</v>
      </c>
      <c r="W217" s="135">
        <f ca="1">SUM(P217:V217)</f>
        <v>64.63481884159647</v>
      </c>
      <c r="Y217" s="817">
        <f ca="1">N217*wkday_per_yr</f>
        <v>36686.478431913383</v>
      </c>
      <c r="Z217" s="817">
        <f ca="1">W217*wkend_per_yr</f>
        <v>7433.004166783594</v>
      </c>
      <c r="AA217" s="817">
        <f ca="1">Y217+Z217</f>
        <v>44119.482598696981</v>
      </c>
      <c r="AG217" s="1019">
        <f>ROW()</f>
        <v>217</v>
      </c>
    </row>
    <row r="218" spans="2:33">
      <c r="B218" s="1099" t="s">
        <v>1058</v>
      </c>
      <c r="E218"/>
      <c r="F218"/>
      <c r="G218" s="135">
        <f t="shared" ca="1" si="105"/>
        <v>79.395976479770482</v>
      </c>
      <c r="H218" s="135">
        <f t="shared" ca="1" si="105"/>
        <v>20.358287127889234</v>
      </c>
      <c r="I218" s="135">
        <f t="shared" ca="1" si="105"/>
        <v>226.26378734822694</v>
      </c>
      <c r="J218" s="135">
        <f t="shared" ca="1" si="105"/>
        <v>66.563361019709362</v>
      </c>
      <c r="K218" s="135">
        <f t="shared" ca="1" si="105"/>
        <v>217.87841984197382</v>
      </c>
      <c r="L218" s="135">
        <f t="shared" ca="1" si="105"/>
        <v>495.33928456911002</v>
      </c>
      <c r="M218" s="135">
        <f t="shared" ca="1" si="105"/>
        <v>149.17417824145107</v>
      </c>
      <c r="N218" s="1138">
        <f ca="1">SUM(G218:M218)</f>
        <v>1254.973294628131</v>
      </c>
      <c r="O218" s="1029"/>
      <c r="P218" s="135">
        <f t="shared" ref="P218:U218" ca="1" si="108">P198*P$177/1000</f>
        <v>104.84306144623899</v>
      </c>
      <c r="Q218" s="135">
        <f t="shared" ca="1" si="108"/>
        <v>46.097175950297462</v>
      </c>
      <c r="R218" s="135">
        <f t="shared" ca="1" si="108"/>
        <v>172.38284345958311</v>
      </c>
      <c r="S218" s="135">
        <f t="shared" ca="1" si="108"/>
        <v>119.64216379721357</v>
      </c>
      <c r="T218" s="135">
        <f t="shared" ca="1" si="108"/>
        <v>59.909834835248503</v>
      </c>
      <c r="U218" s="135">
        <f t="shared" ca="1" si="108"/>
        <v>45.471348301160411</v>
      </c>
      <c r="W218" s="135">
        <f ca="1">SUM(P218:V218)</f>
        <v>548.34642778974205</v>
      </c>
      <c r="Y218" s="817">
        <f ca="1">N218*wkday_per_yr</f>
        <v>313743.32365703274</v>
      </c>
      <c r="Z218" s="817">
        <f ca="1">W218*wkend_per_yr</f>
        <v>63059.839195820336</v>
      </c>
      <c r="AA218" s="817">
        <f ca="1">Y218+Z218</f>
        <v>376803.16285285307</v>
      </c>
      <c r="AG218" s="1019">
        <f>ROW()</f>
        <v>218</v>
      </c>
    </row>
    <row r="219" spans="2:33">
      <c r="B219" s="1099" t="s">
        <v>1044</v>
      </c>
      <c r="E219" s="1020"/>
      <c r="F219" s="902"/>
      <c r="G219" s="135">
        <f t="shared" ref="G219:M219" ca="1" si="109">G199*G$177/1000</f>
        <v>111.95690944896405</v>
      </c>
      <c r="H219" s="135">
        <f t="shared" ca="1" si="109"/>
        <v>28.419756543685992</v>
      </c>
      <c r="I219" s="135">
        <f t="shared" ca="1" si="109"/>
        <v>237.40568169826932</v>
      </c>
      <c r="J219" s="135">
        <f t="shared" ca="1" si="109"/>
        <v>70.559782768097421</v>
      </c>
      <c r="K219" s="135">
        <f t="shared" ca="1" si="109"/>
        <v>241.14363546622462</v>
      </c>
      <c r="L219" s="135">
        <f t="shared" ca="1" si="109"/>
        <v>508.9651029668982</v>
      </c>
      <c r="M219" s="135">
        <f t="shared" ca="1" si="109"/>
        <v>165.81063015861881</v>
      </c>
      <c r="N219" s="1138">
        <f ca="1">SUM(G219:M219)</f>
        <v>1364.2614990507584</v>
      </c>
      <c r="O219" s="1029"/>
      <c r="P219" s="135">
        <f t="shared" ref="P219:U219" ca="1" si="110">P199*P$177/1000</f>
        <v>142.08724608910106</v>
      </c>
      <c r="Q219" s="135">
        <f t="shared" ca="1" si="110"/>
        <v>54.32588462075914</v>
      </c>
      <c r="R219" s="135">
        <f t="shared" ca="1" si="110"/>
        <v>186.2389007398971</v>
      </c>
      <c r="S219" s="135">
        <f t="shared" ca="1" si="110"/>
        <v>125.26490294115966</v>
      </c>
      <c r="T219" s="135">
        <f t="shared" ca="1" si="110"/>
        <v>66.43888857859514</v>
      </c>
      <c r="U219" s="135">
        <f t="shared" ca="1" si="110"/>
        <v>53.96632653169047</v>
      </c>
      <c r="V219" s="135"/>
      <c r="W219" s="135">
        <f ca="1">SUM(P219:V219)</f>
        <v>628.32214950120249</v>
      </c>
      <c r="Y219" s="817">
        <f ca="1">N219*wkday_per_yr</f>
        <v>341065.37476268958</v>
      </c>
      <c r="Z219" s="817">
        <f ca="1">W219*wkend_per_yr</f>
        <v>72257.047192638289</v>
      </c>
      <c r="AA219" s="817">
        <f ca="1">Y219+Z219</f>
        <v>413322.42195532785</v>
      </c>
      <c r="AG219" s="1019">
        <f>ROW()</f>
        <v>219</v>
      </c>
    </row>
    <row r="220" spans="2:33">
      <c r="B220" s="1099" t="s">
        <v>1054</v>
      </c>
      <c r="E220" s="1020"/>
      <c r="F220" s="902"/>
      <c r="G220" s="135">
        <f t="shared" ref="G220:M220" ca="1" si="111">G200*G$177/1000</f>
        <v>3.0687319543367981</v>
      </c>
      <c r="H220" s="135">
        <f t="shared" ca="1" si="111"/>
        <v>0.78245103405802874</v>
      </c>
      <c r="I220" s="135">
        <f t="shared" ca="1" si="111"/>
        <v>7.3038440025292841</v>
      </c>
      <c r="J220" s="135">
        <f t="shared" ca="1" si="111"/>
        <v>2.1636590213718319</v>
      </c>
      <c r="K220" s="135">
        <f t="shared" ca="1" si="111"/>
        <v>7.287131200571257</v>
      </c>
      <c r="L220" s="135">
        <f t="shared" ca="1" si="111"/>
        <v>15.760286058128889</v>
      </c>
      <c r="M220" s="135">
        <f t="shared" ca="1" si="111"/>
        <v>5.0030803658740322</v>
      </c>
      <c r="N220" s="1138">
        <f ca="1">SUM(G220:M220)</f>
        <v>41.369183636870119</v>
      </c>
      <c r="O220" s="1029"/>
      <c r="P220" s="135">
        <f t="shared" ref="P220:U220" ca="1" si="112">P200*P$177/1000</f>
        <v>3.962737656779352</v>
      </c>
      <c r="Q220" s="135">
        <f t="shared" ca="1" si="112"/>
        <v>1.604177486878396</v>
      </c>
      <c r="R220" s="135">
        <f t="shared" ca="1" si="112"/>
        <v>5.6750128519221503</v>
      </c>
      <c r="S220" s="135">
        <f t="shared" ca="1" si="112"/>
        <v>3.8564241824645507</v>
      </c>
      <c r="T220" s="135">
        <f t="shared" ca="1" si="112"/>
        <v>2.0063150295384999</v>
      </c>
      <c r="U220" s="135">
        <f t="shared" ca="1" si="112"/>
        <v>1.5892619416291081</v>
      </c>
      <c r="V220" s="135"/>
      <c r="W220" s="135">
        <f ca="1">SUM(P220:V220)</f>
        <v>18.693929149212057</v>
      </c>
      <c r="Y220" s="817">
        <f ca="1">N220*wkday_per_yr</f>
        <v>10342.29590921753</v>
      </c>
      <c r="Z220" s="817">
        <f ca="1">W220*wkend_per_yr</f>
        <v>2149.8018521593867</v>
      </c>
      <c r="AA220" s="817">
        <f ca="1">Y220+Z220</f>
        <v>12492.097761376917</v>
      </c>
      <c r="AG220" s="1019">
        <f>ROW()</f>
        <v>220</v>
      </c>
    </row>
    <row r="221" spans="2:33">
      <c r="B221" s="1066" t="s">
        <v>653</v>
      </c>
      <c r="E221" s="1020"/>
      <c r="F221" s="902"/>
      <c r="G221" s="135"/>
      <c r="H221" s="135"/>
      <c r="I221" s="135"/>
      <c r="J221" s="135"/>
      <c r="K221" s="135"/>
      <c r="L221" s="135"/>
      <c r="M221" s="135"/>
      <c r="N221" s="1138"/>
      <c r="O221" s="1029"/>
      <c r="P221" s="135"/>
      <c r="Q221" s="135"/>
      <c r="R221" s="135"/>
      <c r="S221" s="135"/>
      <c r="T221" s="135"/>
      <c r="U221" s="135"/>
      <c r="V221" s="135"/>
      <c r="W221" s="135"/>
      <c r="AG221" s="1019">
        <f>ROW()</f>
        <v>221</v>
      </c>
    </row>
    <row r="222" spans="2:33">
      <c r="B222" s="1099" t="s">
        <v>2494</v>
      </c>
      <c r="E222" s="1020"/>
      <c r="F222" s="902"/>
      <c r="G222" s="135">
        <f t="shared" ref="G222:M222" ca="1" si="113">G204+G210+G216</f>
        <v>241732.86246277823</v>
      </c>
      <c r="H222" s="135">
        <f t="shared" ca="1" si="113"/>
        <v>45831.000220298723</v>
      </c>
      <c r="I222" s="135">
        <f t="shared" ca="1" si="113"/>
        <v>469635.89528278651</v>
      </c>
      <c r="J222" s="135">
        <f t="shared" ca="1" si="113"/>
        <v>146116.32156886673</v>
      </c>
      <c r="K222" s="135">
        <f t="shared" ca="1" si="113"/>
        <v>474385.35137468221</v>
      </c>
      <c r="L222" s="135">
        <f t="shared" ca="1" si="113"/>
        <v>1063101.3144767769</v>
      </c>
      <c r="M222" s="135">
        <f t="shared" ca="1" si="113"/>
        <v>344948.02459113195</v>
      </c>
      <c r="N222" s="1138">
        <f ca="1">SUM(G222:M222)</f>
        <v>2785750.7699773214</v>
      </c>
      <c r="O222" s="1029"/>
      <c r="P222" s="135">
        <f t="shared" ref="P222:U222" ca="1" si="114">P204+P210+P216</f>
        <v>482894.96988001466</v>
      </c>
      <c r="Q222" s="135">
        <f t="shared" ca="1" si="114"/>
        <v>167201.41885955018</v>
      </c>
      <c r="R222" s="135">
        <f t="shared" ca="1" si="114"/>
        <v>603638.92155632027</v>
      </c>
      <c r="S222" s="135">
        <f t="shared" ca="1" si="114"/>
        <v>427616.93566594966</v>
      </c>
      <c r="T222" s="135">
        <f t="shared" ca="1" si="114"/>
        <v>213489.90669951439</v>
      </c>
      <c r="U222" s="135">
        <f t="shared" ca="1" si="114"/>
        <v>163056.52390528203</v>
      </c>
      <c r="V222" s="135"/>
      <c r="W222" s="135">
        <f ca="1">SUM(P222:V222)</f>
        <v>2057898.6765666311</v>
      </c>
      <c r="Y222" s="817">
        <f ca="1">N222*wkday_per_yr</f>
        <v>696437692.49433029</v>
      </c>
      <c r="Z222" s="817">
        <f ca="1">W222*wkend_per_yr</f>
        <v>236658347.80516258</v>
      </c>
      <c r="AA222" s="817">
        <f ca="1">Y222+Z222</f>
        <v>933096040.29949284</v>
      </c>
      <c r="AG222" s="1019">
        <f>ROW()</f>
        <v>222</v>
      </c>
    </row>
    <row r="223" spans="2:33">
      <c r="B223" s="1099" t="s">
        <v>1057</v>
      </c>
      <c r="E223" s="1020"/>
      <c r="F223" s="902"/>
      <c r="G223" s="135">
        <f t="shared" ref="G223:M223" ca="1" si="115">G205+G211+G217</f>
        <v>117.71827657681378</v>
      </c>
      <c r="H223" s="135">
        <f t="shared" ca="1" si="115"/>
        <v>22.524053968647866</v>
      </c>
      <c r="I223" s="135">
        <f t="shared" ca="1" si="115"/>
        <v>254.33133303873333</v>
      </c>
      <c r="J223" s="135">
        <f t="shared" ca="1" si="115"/>
        <v>79.789666274065979</v>
      </c>
      <c r="K223" s="135">
        <f t="shared" ca="1" si="115"/>
        <v>262.87366973363225</v>
      </c>
      <c r="L223" s="135">
        <f t="shared" ca="1" si="115"/>
        <v>563.73621011076375</v>
      </c>
      <c r="M223" s="135">
        <f t="shared" ca="1" si="115"/>
        <v>191.41556949282827</v>
      </c>
      <c r="N223" s="1138">
        <f ca="1">SUM(G223:M223)</f>
        <v>1492.3887791954853</v>
      </c>
      <c r="O223" s="1029"/>
      <c r="P223" s="135">
        <f t="shared" ref="P223:U223" ca="1" si="116">P205+P211+P217</f>
        <v>245.35585327487078</v>
      </c>
      <c r="Q223" s="135">
        <f t="shared" ca="1" si="116"/>
        <v>92.930570598061053</v>
      </c>
      <c r="R223" s="135">
        <f t="shared" ca="1" si="116"/>
        <v>337.25384976924414</v>
      </c>
      <c r="S223" s="135">
        <f t="shared" ca="1" si="116"/>
        <v>234.58752134923978</v>
      </c>
      <c r="T223" s="135">
        <f t="shared" ca="1" si="116"/>
        <v>119.92545560669137</v>
      </c>
      <c r="U223" s="135">
        <f t="shared" ca="1" si="116"/>
        <v>90.387719707045292</v>
      </c>
      <c r="V223" s="135"/>
      <c r="W223" s="135">
        <f ca="1">SUM(P223:V223)</f>
        <v>1120.4409703051524</v>
      </c>
      <c r="Y223" s="817">
        <f ca="1">N223*wkday_per_yr</f>
        <v>373097.19479887135</v>
      </c>
      <c r="Z223" s="817">
        <f ca="1">W223*wkend_per_yr</f>
        <v>128850.71158509253</v>
      </c>
      <c r="AA223" s="817">
        <f ca="1">Y223+Z223</f>
        <v>501947.90638396388</v>
      </c>
      <c r="AG223" s="1019">
        <f>ROW()</f>
        <v>223</v>
      </c>
    </row>
    <row r="224" spans="2:33">
      <c r="B224" s="1099" t="s">
        <v>1058</v>
      </c>
      <c r="E224" s="1020"/>
      <c r="F224" s="902"/>
      <c r="G224" s="135">
        <f t="shared" ref="G224:M224" ca="1" si="117">G206+G212+G218</f>
        <v>1839.4677264675004</v>
      </c>
      <c r="H224" s="135">
        <f t="shared" ca="1" si="117"/>
        <v>338.09055844656592</v>
      </c>
      <c r="I224" s="135">
        <f t="shared" ca="1" si="117"/>
        <v>2983.2112470190114</v>
      </c>
      <c r="J224" s="135">
        <f t="shared" ca="1" si="117"/>
        <v>949.04024685192735</v>
      </c>
      <c r="K224" s="135">
        <f t="shared" ca="1" si="117"/>
        <v>3257.9036486383197</v>
      </c>
      <c r="L224" s="135">
        <f t="shared" ca="1" si="117"/>
        <v>6482.9000723245927</v>
      </c>
      <c r="M224" s="135">
        <f t="shared" ca="1" si="117"/>
        <v>2393.1063436800587</v>
      </c>
      <c r="N224" s="1138">
        <f ca="1">SUM(G224:M224)</f>
        <v>18243.719843427974</v>
      </c>
      <c r="O224" s="1029"/>
      <c r="P224" s="135">
        <f t="shared" ref="P224:U224" ca="1" si="118">P206+P212+P218</f>
        <v>3880.466887294072</v>
      </c>
      <c r="Q224" s="135">
        <f t="shared" ca="1" si="118"/>
        <v>1274.5094414217242</v>
      </c>
      <c r="R224" s="135">
        <f t="shared" ca="1" si="118"/>
        <v>4216.4987630165642</v>
      </c>
      <c r="S224" s="135">
        <f t="shared" ca="1" si="118"/>
        <v>2832.4114026278999</v>
      </c>
      <c r="T224" s="135">
        <f t="shared" ca="1" si="118"/>
        <v>1543.5745411704152</v>
      </c>
      <c r="U224" s="135">
        <f t="shared" ca="1" si="118"/>
        <v>1247.8095986692504</v>
      </c>
      <c r="V224" s="135"/>
      <c r="W224" s="135">
        <f ca="1">SUM(P224:V224)</f>
        <v>14995.270634199927</v>
      </c>
      <c r="Y224" s="817">
        <f ca="1">N224*wkday_per_yr</f>
        <v>4560929.9608569937</v>
      </c>
      <c r="Z224" s="817">
        <f ca="1">W224*wkend_per_yr</f>
        <v>1724456.1229329917</v>
      </c>
      <c r="AA224" s="817">
        <f ca="1">Y224+Z224</f>
        <v>6285386.0837899856</v>
      </c>
      <c r="AG224" s="1019">
        <f>ROW()</f>
        <v>224</v>
      </c>
    </row>
    <row r="225" spans="2:33">
      <c r="B225" s="1099" t="s">
        <v>1044</v>
      </c>
      <c r="E225" s="1020"/>
      <c r="F225" s="902"/>
      <c r="G225" s="135">
        <f t="shared" ref="G225:M225" ca="1" si="119">G207+G213+G219</f>
        <v>426.83832160174427</v>
      </c>
      <c r="H225" s="135">
        <f t="shared" ca="1" si="119"/>
        <v>91.62420269396857</v>
      </c>
      <c r="I225" s="135">
        <f t="shared" ca="1" si="119"/>
        <v>727.84458724635817</v>
      </c>
      <c r="J225" s="135">
        <f t="shared" ca="1" si="119"/>
        <v>223.95798995586955</v>
      </c>
      <c r="K225" s="135">
        <f t="shared" ca="1" si="119"/>
        <v>780.63263377752742</v>
      </c>
      <c r="L225" s="135">
        <f t="shared" ca="1" si="119"/>
        <v>1559.5587531660981</v>
      </c>
      <c r="M225" s="135">
        <f t="shared" ca="1" si="119"/>
        <v>553.52885900522574</v>
      </c>
      <c r="N225" s="1138">
        <f ca="1">SUM(G225:M225)</f>
        <v>4363.9853474467918</v>
      </c>
      <c r="O225" s="1029"/>
      <c r="P225" s="135">
        <f t="shared" ref="P225:U225" ca="1" si="120">P207+P213+P219</f>
        <v>673.74236123959702</v>
      </c>
      <c r="Q225" s="135">
        <f t="shared" ca="1" si="120"/>
        <v>225.63054346811197</v>
      </c>
      <c r="R225" s="135">
        <f t="shared" ca="1" si="120"/>
        <v>739.18007113918463</v>
      </c>
      <c r="S225" s="135">
        <f t="shared" ca="1" si="120"/>
        <v>492.47672043994714</v>
      </c>
      <c r="T225" s="135">
        <f t="shared" ca="1" si="120"/>
        <v>269.93208705222946</v>
      </c>
      <c r="U225" s="135">
        <f t="shared" ca="1" si="120"/>
        <v>222.29017812954675</v>
      </c>
      <c r="V225" s="135"/>
      <c r="W225" s="135">
        <f ca="1">SUM(P225:V225)</f>
        <v>2623.2519614686171</v>
      </c>
      <c r="Y225" s="817">
        <f ca="1">N225*wkday_per_yr</f>
        <v>1090996.336861698</v>
      </c>
      <c r="Z225" s="817">
        <f ca="1">W225*wkend_per_yr</f>
        <v>301673.97556889098</v>
      </c>
      <c r="AA225" s="817">
        <f ca="1">Y225+Z225</f>
        <v>1392670.312430589</v>
      </c>
      <c r="AG225" s="1019">
        <f>ROW()</f>
        <v>225</v>
      </c>
    </row>
    <row r="226" spans="2:33">
      <c r="B226" s="1099" t="s">
        <v>1054</v>
      </c>
      <c r="E226" s="1020"/>
      <c r="F226" s="902"/>
      <c r="G226" s="135">
        <f t="shared" ref="G226:M226" ca="1" si="121">G208+G214+G220</f>
        <v>26.267778224631002</v>
      </c>
      <c r="H226" s="135">
        <f t="shared" ca="1" si="121"/>
        <v>5.1774664294801775</v>
      </c>
      <c r="I226" s="135">
        <f t="shared" ca="1" si="121"/>
        <v>48.673993540264739</v>
      </c>
      <c r="J226" s="135">
        <f t="shared" ca="1" si="121"/>
        <v>15.23627821122253</v>
      </c>
      <c r="K226" s="135">
        <f t="shared" ca="1" si="121"/>
        <v>51.666937307417093</v>
      </c>
      <c r="L226" s="135">
        <f t="shared" ca="1" si="121"/>
        <v>106.19185266973652</v>
      </c>
      <c r="M226" s="135">
        <f t="shared" ca="1" si="121"/>
        <v>37.390025955464452</v>
      </c>
      <c r="N226" s="1138">
        <f ca="1">SUM(G226:M226)</f>
        <v>290.60433233821652</v>
      </c>
      <c r="O226" s="1029"/>
      <c r="P226" s="135">
        <f t="shared" ref="P226:U226" ca="1" si="122">P208+P214+P220</f>
        <v>50.198786476932462</v>
      </c>
      <c r="Q226" s="135">
        <f t="shared" ca="1" si="122"/>
        <v>17.634127346313907</v>
      </c>
      <c r="R226" s="135">
        <f t="shared" ca="1" si="122"/>
        <v>60.738349532386401</v>
      </c>
      <c r="S226" s="135">
        <f t="shared" ca="1" si="122"/>
        <v>41.403944114309809</v>
      </c>
      <c r="T226" s="135">
        <f t="shared" ca="1" si="122"/>
        <v>21.91974679332937</v>
      </c>
      <c r="U226" s="135">
        <f t="shared" ca="1" si="122"/>
        <v>17.24115288627651</v>
      </c>
      <c r="V226" s="135"/>
      <c r="W226" s="135">
        <f ca="1">SUM(P226:V226)</f>
        <v>209.13610714954848</v>
      </c>
      <c r="Y226" s="817">
        <f ca="1">N226*wkday_per_yr</f>
        <v>72651.083084554135</v>
      </c>
      <c r="Z226" s="817">
        <f ca="1">W226*wkend_per_yr</f>
        <v>24050.652322198075</v>
      </c>
      <c r="AA226" s="817">
        <f ca="1">Y226+Z226</f>
        <v>96701.73540675221</v>
      </c>
      <c r="AG226" s="1019">
        <f>ROW()</f>
        <v>226</v>
      </c>
    </row>
    <row r="227" spans="2:33">
      <c r="B227" s="497"/>
      <c r="G227" s="1030"/>
      <c r="H227" s="1030"/>
      <c r="I227" s="1030"/>
      <c r="J227" s="1030"/>
      <c r="K227" s="1030"/>
      <c r="L227" s="1030"/>
      <c r="M227" s="1030"/>
      <c r="N227" s="1137"/>
      <c r="O227" s="1029"/>
      <c r="AG227" s="1019">
        <f>ROW()</f>
        <v>227</v>
      </c>
    </row>
    <row r="228" spans="2:33" ht="12">
      <c r="B228" s="985" t="s">
        <v>466</v>
      </c>
      <c r="G228" s="1029"/>
      <c r="H228" s="1029"/>
      <c r="I228" s="1029"/>
      <c r="J228" s="1029"/>
      <c r="K228" s="1029"/>
      <c r="L228" s="1029"/>
      <c r="M228" s="1029"/>
      <c r="N228" s="1137"/>
      <c r="O228" s="1029"/>
      <c r="AG228" s="1019">
        <f>ROW()</f>
        <v>228</v>
      </c>
    </row>
    <row r="229" spans="2:33">
      <c r="B229" s="275" t="s">
        <v>1460</v>
      </c>
      <c r="G229" s="1102">
        <f ca="1">'Motor Vs'!G922</f>
        <v>54.993824726326125</v>
      </c>
      <c r="H229" s="1102">
        <f ca="1">'Motor Vs'!H922</f>
        <v>47.593444206267705</v>
      </c>
      <c r="I229" s="1102">
        <f ca="1">'Motor Vs'!I922</f>
        <v>18.264843405236153</v>
      </c>
      <c r="J229" s="1102">
        <f ca="1">'Motor Vs'!J922</f>
        <v>21.652799807514995</v>
      </c>
      <c r="K229" s="1102">
        <f ca="1">'Motor Vs'!K922</f>
        <v>25.225757191819934</v>
      </c>
      <c r="L229" s="1102">
        <f ca="1">'Motor Vs'!L922</f>
        <v>16.45336060912414</v>
      </c>
      <c r="M229" s="1102">
        <f ca="1">'Motor Vs'!M922</f>
        <v>27.507327896832347</v>
      </c>
      <c r="N229" s="1137"/>
      <c r="O229" s="1029"/>
      <c r="P229" s="1019">
        <f ca="1">'Motor Vs Weekends'!G922</f>
        <v>54.484915530600617</v>
      </c>
      <c r="Q229" s="1019">
        <f ca="1">'Motor Vs Weekends'!H922</f>
        <v>31.472172763726586</v>
      </c>
      <c r="R229" s="1019">
        <f ca="1">'Motor Vs Weekends'!I922</f>
        <v>23.442930898207145</v>
      </c>
      <c r="S229" s="1019">
        <f ca="1">'Motor Vs Weekends'!J922</f>
        <v>21.015835554139219</v>
      </c>
      <c r="T229" s="1019">
        <f ca="1">'Motor Vs Weekends'!K922</f>
        <v>27.024431009255988</v>
      </c>
      <c r="U229" s="1019">
        <f ca="1">'Motor Vs Weekends'!L922</f>
        <v>33.122081339665172</v>
      </c>
      <c r="AG229" s="1019">
        <f>ROW()</f>
        <v>229</v>
      </c>
    </row>
    <row r="230" spans="2:33">
      <c r="B230" s="494" t="str">
        <f>CONCATENATE("From Motor Vs (Motor Vs Weekend) worksheet, Row ",'Motor Vs'!O435, ".")</f>
        <v>From Motor Vs (Motor Vs Weekend) worksheet, Row 435.</v>
      </c>
      <c r="G230" s="1032"/>
      <c r="H230" s="1029"/>
      <c r="I230" s="1029"/>
      <c r="J230" s="1029"/>
      <c r="K230" s="1029"/>
      <c r="L230" s="1029"/>
      <c r="M230" s="1029"/>
      <c r="N230" s="1137"/>
      <c r="O230" s="1029"/>
      <c r="AG230" s="1019">
        <f>ROW()</f>
        <v>230</v>
      </c>
    </row>
    <row r="231" spans="2:33">
      <c r="B231" s="275" t="s">
        <v>842</v>
      </c>
      <c r="G231" s="1032"/>
      <c r="H231" s="1029"/>
      <c r="I231" s="1029"/>
      <c r="J231" s="1029"/>
      <c r="K231" s="1029"/>
      <c r="L231" s="1029"/>
      <c r="M231" s="1029"/>
      <c r="N231" s="1137"/>
      <c r="O231" s="1029"/>
      <c r="AG231" s="1019">
        <f>ROW()</f>
        <v>231</v>
      </c>
    </row>
    <row r="232" spans="2:33">
      <c r="B232" s="912" t="s">
        <v>1388</v>
      </c>
      <c r="G232" s="135">
        <f ca="1">'Motor Vs'!P908+'Motor Vs'!Y908+'Motor Vs'!AH908+'Motor Vs'!AQ908</f>
        <v>6599779.2044383967</v>
      </c>
      <c r="H232" s="135">
        <f ca="1">'Motor Vs'!Q908+'Motor Vs'!Z908+'Motor Vs'!AI908+'Motor Vs'!AR908</f>
        <v>1729899.5499262835</v>
      </c>
      <c r="I232" s="135">
        <f ca="1">'Motor Vs'!R908+'Motor Vs'!AA908+'Motor Vs'!AJ908+'Motor Vs'!AS908</f>
        <v>10090188.412731063</v>
      </c>
      <c r="J232" s="135">
        <f ca="1">'Motor Vs'!S908+'Motor Vs'!AB908+'Motor Vs'!AK908+'Motor Vs'!AT908</f>
        <v>3072534.6036757869</v>
      </c>
      <c r="K232" s="135">
        <f ca="1">'Motor Vs'!T908+'Motor Vs'!AC908+'Motor Vs'!AL908+'Motor Vs'!AU908</f>
        <v>11250227.670359548</v>
      </c>
      <c r="L232" s="135">
        <f ca="1">'Motor Vs'!U908+'Motor Vs'!AD908+'Motor Vs'!AM908+'Motor Vs'!AV908</f>
        <v>21278029.972758099</v>
      </c>
      <c r="M232" s="135">
        <f ca="1">'Motor Vs'!V908+'Motor Vs'!AE908+'Motor Vs'!AN908+'Motor Vs'!AW908</f>
        <v>8009577.0358446697</v>
      </c>
      <c r="N232" s="1137"/>
      <c r="O232" s="1029"/>
      <c r="P232" s="817">
        <f ca="1">'Motor Vs Weekends'!P908+'Motor Vs Weekends'!Y908+'Motor Vs Weekends'!AH908+'Motor Vs Weekends'!AQ908</f>
        <v>14551477.580322774</v>
      </c>
      <c r="Q232" s="817">
        <f ca="1">'Motor Vs Weekends'!Q908+'Motor Vs Weekends'!Z908+'Motor Vs Weekends'!AI908+'Motor Vs Weekends'!AR908</f>
        <v>5036430.4772594599</v>
      </c>
      <c r="R232" s="817">
        <f ca="1">'Motor Vs Weekends'!R908+'Motor Vs Weekends'!AA908+'Motor Vs Weekends'!AJ908+'Motor Vs Weekends'!AS908</f>
        <v>15188631.534881921</v>
      </c>
      <c r="S232" s="817">
        <f ca="1">'Motor Vs Weekends'!S908+'Motor Vs Weekends'!AB908+'Motor Vs Weekends'!AK908+'Motor Vs Weekends'!AT908</f>
        <v>9690799.3331546132</v>
      </c>
      <c r="T232" s="817">
        <f ca="1">'Motor Vs Weekends'!T908+'Motor Vs Weekends'!AC908+'Motor Vs Weekends'!AL908+'Motor Vs Weekends'!AU908</f>
        <v>5573461.4749261029</v>
      </c>
      <c r="U232" s="817">
        <f ca="1">'Motor Vs Weekends'!U908+'Motor Vs Weekends'!AD908+'Motor Vs Weekends'!AM908+'Motor Vs Weekends'!AV908</f>
        <v>4854448.0689707026</v>
      </c>
      <c r="AG232" s="1019">
        <f>ROW()</f>
        <v>232</v>
      </c>
    </row>
    <row r="233" spans="2:33">
      <c r="B233" s="912" t="s">
        <v>1509</v>
      </c>
      <c r="G233" s="135">
        <f ca="1">'Motor Vs'!AZ908</f>
        <v>279364.698780348</v>
      </c>
      <c r="H233" s="135">
        <f ca="1">'Motor Vs'!BA908</f>
        <v>72249.767170558509</v>
      </c>
      <c r="I233" s="135">
        <f ca="1">'Motor Vs'!BB908</f>
        <v>433744.74262851721</v>
      </c>
      <c r="J233" s="135">
        <f ca="1">'Motor Vs'!BC908</f>
        <v>132310.49895751293</v>
      </c>
      <c r="K233" s="135">
        <f ca="1">'Motor Vs'!BD908</f>
        <v>483659.00876591518</v>
      </c>
      <c r="L233" s="135">
        <f ca="1">'Motor Vs'!BE908</f>
        <v>899341.99742226407</v>
      </c>
      <c r="M233" s="135">
        <f ca="1">'Motor Vs'!BF908</f>
        <v>331913.56507842935</v>
      </c>
      <c r="N233" s="1137"/>
      <c r="O233" s="1029"/>
      <c r="P233" s="817">
        <f ca="1">'Motor Vs Weekends'!AZ908</f>
        <v>238132.98623450039</v>
      </c>
      <c r="Q233" s="817">
        <f ca="1">'Motor Vs Weekends'!BA908</f>
        <v>80621.084917344546</v>
      </c>
      <c r="R233" s="817">
        <f ca="1">'Motor Vs Weekends'!BB908</f>
        <v>247653.7871981629</v>
      </c>
      <c r="S233" s="817">
        <f ca="1">'Motor Vs Weekends'!BC908</f>
        <v>159253.91394106761</v>
      </c>
      <c r="T233" s="817">
        <f ca="1">'Motor Vs Weekends'!BD908</f>
        <v>90327.781138016799</v>
      </c>
      <c r="U233" s="817">
        <f ca="1">'Motor Vs Weekends'!BE908</f>
        <v>78350.09052752456</v>
      </c>
      <c r="AG233" s="1019">
        <f>ROW()</f>
        <v>233</v>
      </c>
    </row>
    <row r="234" spans="2:33">
      <c r="B234" s="912" t="s">
        <v>810</v>
      </c>
      <c r="G234" s="135">
        <f ca="1">'Motor Vs'!BI908</f>
        <v>115962.90919251372</v>
      </c>
      <c r="H234" s="135">
        <f ca="1">'Motor Vs'!BJ908</f>
        <v>30364.034870099924</v>
      </c>
      <c r="I234" s="135">
        <f ca="1">'Motor Vs'!BK908</f>
        <v>182082.70906669344</v>
      </c>
      <c r="J234" s="135">
        <f ca="1">'Motor Vs'!BL908</f>
        <v>55508.040381822786</v>
      </c>
      <c r="K234" s="135">
        <f ca="1">'Motor Vs'!BM908</f>
        <v>202398.78954769243</v>
      </c>
      <c r="L234" s="135">
        <f ca="1">'Motor Vs'!BN908</f>
        <v>377147.0395034019</v>
      </c>
      <c r="M234" s="135">
        <f ca="1">'Motor Vs'!BO908</f>
        <v>139159.01310784271</v>
      </c>
      <c r="N234" s="1137"/>
      <c r="O234" s="1029"/>
      <c r="P234" s="817">
        <f ca="1">'Motor Vs Weekends'!BI908</f>
        <v>146987.07073230523</v>
      </c>
      <c r="Q234" s="817">
        <f ca="1">'Motor Vs Weekends'!BJ908</f>
        <v>50052.085131932421</v>
      </c>
      <c r="R234" s="817">
        <f ca="1">'Motor Vs Weekends'!BK908</f>
        <v>153690.06603969092</v>
      </c>
      <c r="S234" s="817">
        <f ca="1">'Motor Vs Weekends'!BL908</f>
        <v>98784.831567395871</v>
      </c>
      <c r="T234" s="817">
        <f ca="1">'Motor Vs Weekends'!BM908</f>
        <v>56136.980241560253</v>
      </c>
      <c r="U234" s="817">
        <f ca="1">'Motor Vs Weekends'!BN908</f>
        <v>48758.918054517708</v>
      </c>
      <c r="AG234" s="1019">
        <f>ROW()</f>
        <v>234</v>
      </c>
    </row>
    <row r="235" spans="2:33">
      <c r="B235" s="275"/>
      <c r="G235" s="1029"/>
      <c r="H235" s="1029"/>
      <c r="I235" s="1029"/>
      <c r="J235" s="1029"/>
      <c r="K235" s="1029"/>
      <c r="L235" s="1029"/>
      <c r="M235" s="1029"/>
      <c r="N235" s="1137"/>
      <c r="O235" s="1029"/>
      <c r="AG235" s="1019">
        <f>ROW()</f>
        <v>235</v>
      </c>
    </row>
    <row r="236" spans="2:33">
      <c r="B236" s="275" t="s">
        <v>650</v>
      </c>
      <c r="G236" s="1030">
        <f t="shared" ref="G236:M236" ca="1" si="123">EXP(barthB0+barthB1*G229+barthB2*G229^2+barthB3*G229^3+barthB4*G229^4)</f>
        <v>327.56670569557463</v>
      </c>
      <c r="H236" s="1030">
        <f t="shared" ca="1" si="123"/>
        <v>323.80490034156497</v>
      </c>
      <c r="I236" s="1030">
        <f t="shared" ca="1" si="123"/>
        <v>452.13273027374112</v>
      </c>
      <c r="J236" s="1030">
        <f t="shared" ca="1" si="123"/>
        <v>403.10088060483787</v>
      </c>
      <c r="K236" s="1030">
        <f t="shared" ca="1" si="123"/>
        <v>369.53462636654888</v>
      </c>
      <c r="L236" s="1030">
        <f t="shared" ca="1" si="123"/>
        <v>488.21100364023937</v>
      </c>
      <c r="M236" s="1030">
        <f t="shared" ca="1" si="123"/>
        <v>354.84196612213771</v>
      </c>
      <c r="N236" s="1137"/>
      <c r="O236" s="1029"/>
      <c r="P236" s="1030">
        <f t="shared" ref="P236:U236" ca="1" si="124">EXP(barthB0+barthB1*P229+barthB2*P229^2+barthB3*P229^3+barthB4*P229^4)</f>
        <v>327.2184824722288</v>
      </c>
      <c r="Q236" s="1030">
        <f t="shared" ca="1" si="124"/>
        <v>337.9837151439886</v>
      </c>
      <c r="R236" s="1030">
        <f t="shared" ca="1" si="124"/>
        <v>384.41280506821528</v>
      </c>
      <c r="S236" s="1030">
        <f t="shared" ca="1" si="124"/>
        <v>410.81848742138027</v>
      </c>
      <c r="T236" s="1030">
        <f t="shared" ca="1" si="124"/>
        <v>357.59659544166601</v>
      </c>
      <c r="U236" s="1030">
        <f t="shared" ca="1" si="124"/>
        <v>333.39859193865624</v>
      </c>
      <c r="AG236" s="1019">
        <f>ROW()</f>
        <v>236</v>
      </c>
    </row>
    <row r="237" spans="2:33">
      <c r="B237" s="275"/>
      <c r="G237" s="1029"/>
      <c r="H237" s="1029"/>
      <c r="I237" s="1029"/>
      <c r="J237" s="1029"/>
      <c r="K237" s="1029"/>
      <c r="L237" s="1029"/>
      <c r="M237" s="1029"/>
      <c r="N237" s="1137"/>
      <c r="O237" s="1029"/>
      <c r="AG237" s="1019">
        <f>ROW()</f>
        <v>237</v>
      </c>
    </row>
    <row r="238" spans="2:33">
      <c r="B238" s="1101" t="s">
        <v>651</v>
      </c>
      <c r="G238" s="1029"/>
      <c r="H238" s="1029"/>
      <c r="I238" s="1029"/>
      <c r="J238" s="1029"/>
      <c r="K238" s="1029"/>
      <c r="L238" s="1029"/>
      <c r="M238" s="1029"/>
      <c r="N238" s="1137"/>
      <c r="O238" s="1029"/>
      <c r="AG238" s="1019">
        <f>ROW()</f>
        <v>238</v>
      </c>
    </row>
    <row r="239" spans="2:33">
      <c r="B239" s="496" t="s">
        <v>541</v>
      </c>
      <c r="G239" s="1029"/>
      <c r="H239" s="1029"/>
      <c r="I239" s="1029"/>
      <c r="J239" s="1029"/>
      <c r="K239" s="1029"/>
      <c r="L239" s="1029"/>
      <c r="M239" s="1029"/>
      <c r="N239" s="1137"/>
      <c r="O239" s="1029"/>
      <c r="AG239" s="1019">
        <f>ROW()</f>
        <v>239</v>
      </c>
    </row>
    <row r="240" spans="2:33">
      <c r="B240" s="1099" t="s">
        <v>2494</v>
      </c>
      <c r="G240" s="1103">
        <f ca="1">G236</f>
        <v>327.56670569557463</v>
      </c>
      <c r="H240" s="1103">
        <f t="shared" ref="H240:M240" ca="1" si="125">H236</f>
        <v>323.80490034156497</v>
      </c>
      <c r="I240" s="1103">
        <f t="shared" ca="1" si="125"/>
        <v>452.13273027374112</v>
      </c>
      <c r="J240" s="1103">
        <f t="shared" ca="1" si="125"/>
        <v>403.10088060483787</v>
      </c>
      <c r="K240" s="1103">
        <f t="shared" ca="1" si="125"/>
        <v>369.53462636654888</v>
      </c>
      <c r="L240" s="1103">
        <f t="shared" ca="1" si="125"/>
        <v>488.21100364023937</v>
      </c>
      <c r="M240" s="1103">
        <f t="shared" ca="1" si="125"/>
        <v>354.84196612213771</v>
      </c>
      <c r="N240" s="1137"/>
      <c r="O240" s="1029"/>
      <c r="P240" s="1103">
        <f t="shared" ref="P240:U240" ca="1" si="126">P236</f>
        <v>327.2184824722288</v>
      </c>
      <c r="Q240" s="1103">
        <f t="shared" ca="1" si="126"/>
        <v>337.9837151439886</v>
      </c>
      <c r="R240" s="1103">
        <f t="shared" ca="1" si="126"/>
        <v>384.41280506821528</v>
      </c>
      <c r="S240" s="1103">
        <f t="shared" ca="1" si="126"/>
        <v>410.81848742138027</v>
      </c>
      <c r="T240" s="1103">
        <f t="shared" ca="1" si="126"/>
        <v>357.59659544166601</v>
      </c>
      <c r="U240" s="1103">
        <f t="shared" ca="1" si="126"/>
        <v>333.39859193865624</v>
      </c>
      <c r="AG240" s="1019">
        <f>ROW()</f>
        <v>240</v>
      </c>
    </row>
    <row r="241" spans="2:33">
      <c r="B241" s="1099" t="s">
        <v>1057</v>
      </c>
      <c r="G241" s="1098">
        <f ca="1">EMFAC!$E52*G$229^2 + EMFAC!$F52*G$229 + EMFAC!$G52</f>
        <v>0.17274740811139622</v>
      </c>
      <c r="H241" s="1098">
        <f ca="1">EMFAC!$E52*H$229^2 + EMFAC!$F52*H$229 + EMFAC!$G52</f>
        <v>0.109686018228357</v>
      </c>
      <c r="I241" s="1098">
        <f ca="1">EMFAC!$E52*I$229^2 + EMFAC!$F52*I$229 + EMFAC!$G52</f>
        <v>0.2883231845435712</v>
      </c>
      <c r="J241" s="1098">
        <f ca="1">EMFAC!$E52*J$229^2 + EMFAC!$F52*J$229 + EMFAC!$G52</f>
        <v>0.23272305382997571</v>
      </c>
      <c r="K241" s="1098">
        <f ca="1">EMFAC!$E52*K$229^2 + EMFAC!$F52*K$229 + EMFAC!$G52</f>
        <v>0.18398154881127993</v>
      </c>
      <c r="L241" s="1098">
        <f ca="1">EMFAC!$E52*L$229^2 + EMFAC!$F52*L$229 + EMFAC!$G52</f>
        <v>0.32179876425670673</v>
      </c>
      <c r="M241" s="1098">
        <f ca="1">EMFAC!$E52*M$229^2 + EMFAC!$F52*M$229 + EMFAC!$G52</f>
        <v>0.15817101454633975</v>
      </c>
      <c r="N241" s="1137"/>
      <c r="O241" s="1029"/>
      <c r="P241" s="1098">
        <f ca="1">EMFAC!$E52*P$229^2 + EMFAC!$F52*P$229 + EMFAC!$G52</f>
        <v>0.16701552612880133</v>
      </c>
      <c r="Q241" s="1098">
        <f ca="1">EMFAC!$E52*Q$229^2 + EMFAC!$F52*Q$229 + EMFAC!$G52</f>
        <v>0.1231711777065545</v>
      </c>
      <c r="R241" s="1098">
        <f ca="1">EMFAC!$E52*R$229^2 + EMFAC!$F52*R$229 + EMFAC!$G52</f>
        <v>0.20703277266133469</v>
      </c>
      <c r="S241" s="1098">
        <f ca="1">EMFAC!$E52*S$229^2 + EMFAC!$F52*S$229 + EMFAC!$G52</f>
        <v>0.24247921679287954</v>
      </c>
      <c r="T241" s="1098">
        <f ca="1">EMFAC!$E52*T$229^2 + EMFAC!$F52*T$229 + EMFAC!$G52</f>
        <v>0.16328828835369702</v>
      </c>
      <c r="U241" s="1098">
        <f ca="1">EMFAC!$E52*U$229^2 + EMFAC!$F52*U$229 + EMFAC!$G52</f>
        <v>0.11229206144005466</v>
      </c>
      <c r="AG241" s="1019">
        <f>ROW()</f>
        <v>241</v>
      </c>
    </row>
    <row r="242" spans="2:33">
      <c r="B242" s="1099" t="s">
        <v>1058</v>
      </c>
      <c r="G242" s="1098">
        <f ca="1">EMFAC!$E53*G$229^2 + EMFAC!$F53*G$229 + EMFAC!$G53</f>
        <v>2.9971029450367546</v>
      </c>
      <c r="H242" s="1098">
        <f ca="1">EMFAC!$E53*H$229^2 + EMFAC!$F53*H$229 + EMFAC!$G53</f>
        <v>2.810833040932617</v>
      </c>
      <c r="I242" s="1098">
        <f ca="1">EMFAC!$E53*I$229^2 + EMFAC!$F53*I$229 + EMFAC!$G53</f>
        <v>4.4665224781264214</v>
      </c>
      <c r="J242" s="1098">
        <f ca="1">EMFAC!$E53*J$229^2 + EMFAC!$F53*J$229 + EMFAC!$G53</f>
        <v>4.0799520475728785</v>
      </c>
      <c r="K242" s="1098">
        <f ca="1">EMFAC!$E53*K$229^2 + EMFAC!$F53*K$229 + EMFAC!$G53</f>
        <v>3.7275440668993252</v>
      </c>
      <c r="L242" s="1098">
        <f ca="1">EMFAC!$E53*L$229^2 + EMFAC!$F53*L$229 + EMFAC!$G53</f>
        <v>4.6941464374799544</v>
      </c>
      <c r="M242" s="1098">
        <f ca="1">EMFAC!$E53*M$229^2 + EMFAC!$F53*M$229 + EMFAC!$G53</f>
        <v>3.5321927762617076</v>
      </c>
      <c r="N242" s="1137"/>
      <c r="O242" s="1029"/>
      <c r="P242" s="1098">
        <f ca="1">EMFAC!$E53*P$229^2 + EMFAC!$F53*P$229 + EMFAC!$G53</f>
        <v>2.9764995846766258</v>
      </c>
      <c r="Q242" s="1098">
        <f ca="1">EMFAC!$E53*Q$229^2 + EMFAC!$F53*Q$229 + EMFAC!$G53</f>
        <v>3.2477552015614473</v>
      </c>
      <c r="R242" s="1098">
        <f ca="1">EMFAC!$E53*R$229^2 + EMFAC!$F53*R$229 + EMFAC!$G53</f>
        <v>3.8962953103037385</v>
      </c>
      <c r="S242" s="1098">
        <f ca="1">EMFAC!$E53*S$229^2 + EMFAC!$F53*S$229 + EMFAC!$G53</f>
        <v>4.1487364077294036</v>
      </c>
      <c r="T242" s="1098">
        <f ca="1">EMFAC!$E53*T$229^2 + EMFAC!$F53*T$229 + EMFAC!$G53</f>
        <v>3.5716088411746858</v>
      </c>
      <c r="U242" s="1098">
        <f ca="1">EMFAC!$E53*U$229^2 + EMFAC!$F53*U$229 + EMFAC!$G53</f>
        <v>3.1499780767785701</v>
      </c>
      <c r="AG242" s="1019">
        <f>ROW()</f>
        <v>242</v>
      </c>
    </row>
    <row r="243" spans="2:33">
      <c r="B243" s="1099" t="s">
        <v>1044</v>
      </c>
      <c r="G243" s="1098">
        <f ca="1">EMFAC!$E54*G$229^2 + EMFAC!$F54*G$229 + EMFAC!$G54</f>
        <v>0.4445614540204097</v>
      </c>
      <c r="H243" s="1098">
        <f ca="1">EMFAC!$E54*H$229^2 + EMFAC!$F54*H$229 + EMFAC!$G54</f>
        <v>0.40941859562907867</v>
      </c>
      <c r="I243" s="1098">
        <f ca="1">EMFAC!$E54*I$229^2 + EMFAC!$F54*I$229 + EMFAC!$G54</f>
        <v>0.51945096970890137</v>
      </c>
      <c r="J243" s="1098">
        <f ca="1">EMFAC!$E54*J$229^2 + EMFAC!$F54*J$229 + EMFAC!$G54</f>
        <v>0.48640019364823817</v>
      </c>
      <c r="K243" s="1098">
        <f ca="1">EMFAC!$E54*K$229^2 + EMFAC!$F54*K$229 + EMFAC!$G54</f>
        <v>0.45730078179443578</v>
      </c>
      <c r="L243" s="1098">
        <f ca="1">EMFAC!$E54*L$229^2 + EMFAC!$F54*L$229 + EMFAC!$G54</f>
        <v>0.53930250720312101</v>
      </c>
      <c r="M243" s="1098">
        <f ca="1">EMFAC!$E54*M$229^2 + EMFAC!$F54*M$229 + EMFAC!$G54</f>
        <v>0.44181031783297608</v>
      </c>
      <c r="N243" s="1137"/>
      <c r="O243" s="1029"/>
      <c r="P243" s="1098">
        <f ca="1">EMFAC!$E54*P$229^2 + EMFAC!$F54*P$229 + EMFAC!$G54</f>
        <v>0.44133306518382376</v>
      </c>
      <c r="Q243" s="1098">
        <f ca="1">EMFAC!$E54*Q$229^2 + EMFAC!$F54*Q$229 + EMFAC!$G54</f>
        <v>0.42062327736518895</v>
      </c>
      <c r="R243" s="1098">
        <f ca="1">EMFAC!$E54*R$229^2 + EMFAC!$F54*R$229 + EMFAC!$G54</f>
        <v>0.47108210706980835</v>
      </c>
      <c r="S243" s="1098">
        <f ca="1">EMFAC!$E54*S$229^2 + EMFAC!$F54*S$229 + EMFAC!$G54</f>
        <v>0.49220847121548328</v>
      </c>
      <c r="T243" s="1098">
        <f ca="1">EMFAC!$E54*T$229^2 + EMFAC!$F54*T$229 + EMFAC!$G54</f>
        <v>0.44488786970470517</v>
      </c>
      <c r="U243" s="1098">
        <f ca="1">EMFAC!$E54*U$229^2 + EMFAC!$F54*U$229 + EMFAC!$G54</f>
        <v>0.41395062644839326</v>
      </c>
      <c r="AG243" s="1019">
        <f>ROW()</f>
        <v>243</v>
      </c>
    </row>
    <row r="244" spans="2:33">
      <c r="B244" s="1099" t="s">
        <v>1054</v>
      </c>
      <c r="G244" s="1098">
        <f ca="1">EMFAC!$E55*G$229^2 + EMFAC!$F55*G$229 + EMFAC!$G55</f>
        <v>3.948251670054774E-2</v>
      </c>
      <c r="H244" s="1098">
        <f ca="1">EMFAC!$E55*H$229^2 + EMFAC!$F55*H$229 + EMFAC!$G55</f>
        <v>3.1288674625414556E-2</v>
      </c>
      <c r="I244" s="1098">
        <f ca="1">EMFAC!$E55*I$229^2 + EMFAC!$F55*I$229 + EMFAC!$G55</f>
        <v>5.3078952405323086E-2</v>
      </c>
      <c r="J244" s="1098">
        <f ca="1">EMFAC!$E55*J$229^2 + EMFAC!$F55*J$229 + EMFAC!$G55</f>
        <v>4.6134635182574865E-2</v>
      </c>
      <c r="K244" s="1098">
        <f ca="1">EMFAC!$E55*K$229^2 + EMFAC!$F55*K$229 + EMFAC!$G55</f>
        <v>4.0063976792366437E-2</v>
      </c>
      <c r="L244" s="1098">
        <f ca="1">EMFAC!$E55*L$229^2 + EMFAC!$F55*L$229 + EMFAC!$G55</f>
        <v>5.7266419220550924E-2</v>
      </c>
      <c r="M244" s="1098">
        <f ca="1">EMFAC!$E55*M$229^2 + EMFAC!$F55*M$229 + EMFAC!$G55</f>
        <v>3.6860331025551182E-2</v>
      </c>
      <c r="N244" s="1137"/>
      <c r="O244" s="1029"/>
      <c r="P244" s="1098">
        <f ca="1">EMFAC!$E55*P$229^2 + EMFAC!$F55*P$229 + EMFAC!$G55</f>
        <v>3.8742374094572332E-2</v>
      </c>
      <c r="Q244" s="1098">
        <f ca="1">EMFAC!$E55*Q$229^2 + EMFAC!$F55*Q$229 + EMFAC!$G55</f>
        <v>3.2540700230460393E-2</v>
      </c>
      <c r="R244" s="1098">
        <f ca="1">EMFAC!$E55*R$229^2 + EMFAC!$F55*R$229 + EMFAC!$G55</f>
        <v>4.2932331787254668E-2</v>
      </c>
      <c r="S244" s="1098">
        <f ca="1">EMFAC!$E55*S$229^2 + EMFAC!$F55*S$229 + EMFAC!$G55</f>
        <v>4.7351955427010164E-2</v>
      </c>
      <c r="T244" s="1098">
        <f ca="1">EMFAC!$E55*T$229^2 + EMFAC!$F55*T$229 + EMFAC!$G55</f>
        <v>3.7494632458897822E-2</v>
      </c>
      <c r="U244" s="1098">
        <f ca="1">EMFAC!$E55*U$229^2 + EMFAC!$F55*U$229 + EMFAC!$G55</f>
        <v>3.1209810067911473E-2</v>
      </c>
      <c r="AG244" s="1019">
        <f>ROW()</f>
        <v>244</v>
      </c>
    </row>
    <row r="245" spans="2:33">
      <c r="B245" s="496" t="s">
        <v>1509</v>
      </c>
      <c r="G245" s="1030"/>
      <c r="H245" s="1030"/>
      <c r="I245" s="1030"/>
      <c r="J245" s="1030"/>
      <c r="K245" s="1030"/>
      <c r="L245" s="1030"/>
      <c r="M245" s="1030"/>
      <c r="N245" s="1137"/>
      <c r="O245" s="1029"/>
      <c r="AG245" s="1019">
        <f>ROW()</f>
        <v>245</v>
      </c>
    </row>
    <row r="246" spans="2:33">
      <c r="B246" s="1099" t="s">
        <v>2494</v>
      </c>
      <c r="G246" s="1030">
        <f t="shared" ref="G246:M246" ca="1" si="127">G240*$U$8</f>
        <v>851.67343480849411</v>
      </c>
      <c r="H246" s="1030">
        <f t="shared" ca="1" si="127"/>
        <v>841.89274088806894</v>
      </c>
      <c r="I246" s="1030">
        <f t="shared" ca="1" si="127"/>
        <v>1175.545098711727</v>
      </c>
      <c r="J246" s="1030">
        <f t="shared" ca="1" si="127"/>
        <v>1048.0622895725785</v>
      </c>
      <c r="K246" s="1030">
        <f t="shared" ca="1" si="127"/>
        <v>960.79002855302713</v>
      </c>
      <c r="L246" s="1030">
        <f t="shared" ca="1" si="127"/>
        <v>1269.3486094646223</v>
      </c>
      <c r="M246" s="1030">
        <f t="shared" ca="1" si="127"/>
        <v>922.58911191755806</v>
      </c>
      <c r="N246" s="1137"/>
      <c r="O246" s="1029"/>
      <c r="P246" s="1030">
        <f t="shared" ref="P246:U246" ca="1" si="128">P240*$U$8</f>
        <v>850.76805442779494</v>
      </c>
      <c r="Q246" s="1030">
        <f t="shared" ca="1" si="128"/>
        <v>878.75765937437041</v>
      </c>
      <c r="R246" s="1030">
        <f t="shared" ca="1" si="128"/>
        <v>999.47329317735978</v>
      </c>
      <c r="S246" s="1030">
        <f t="shared" ca="1" si="128"/>
        <v>1068.1280672955888</v>
      </c>
      <c r="T246" s="1030">
        <f t="shared" ca="1" si="128"/>
        <v>929.75114814833171</v>
      </c>
      <c r="U246" s="1030">
        <f t="shared" ca="1" si="128"/>
        <v>866.83633904050623</v>
      </c>
      <c r="AG246" s="1019">
        <f>ROW()</f>
        <v>246</v>
      </c>
    </row>
    <row r="247" spans="2:33">
      <c r="B247" s="1099" t="s">
        <v>1057</v>
      </c>
      <c r="G247" s="1098">
        <f ca="1">EMFAC!$M52*G$229^2 + EMFAC!$N52*G$229 + EMFAC!$O52</f>
        <v>0.25197141606920148</v>
      </c>
      <c r="H247" s="1098">
        <f ca="1">EMFAC!$M52*H$229^2 + EMFAC!$N52*H$229 + EMFAC!$O52</f>
        <v>0.17243766173719344</v>
      </c>
      <c r="I247" s="1098">
        <f ca="1">EMFAC!$M52*I$229^2 + EMFAC!$N52*I$229 + EMFAC!$O52</f>
        <v>0.58165186387345713</v>
      </c>
      <c r="J247" s="1098">
        <f ca="1">EMFAC!$M52*J$229^2 + EMFAC!$N52*J$229 + EMFAC!$O52</f>
        <v>0.4752780279624208</v>
      </c>
      <c r="K247" s="1098">
        <f ca="1">EMFAC!$M52*K$229^2 + EMFAC!$N52*K$229 + EMFAC!$O52</f>
        <v>0.37982120667373542</v>
      </c>
      <c r="L247" s="1098">
        <f ca="1">EMFAC!$M52*L$229^2 + EMFAC!$N52*L$229 + EMFAC!$O52</f>
        <v>0.64486215617305032</v>
      </c>
      <c r="M247" s="1098">
        <f ca="1">EMFAC!$M52*M$229^2 + EMFAC!$N52*M$229 + EMFAC!$O52</f>
        <v>0.32784852353900407</v>
      </c>
      <c r="N247" s="1137"/>
      <c r="O247" s="1029"/>
      <c r="P247" s="1098">
        <f ca="1">EMFAC!$M52*P$229^2 + EMFAC!$N52*P$229 + EMFAC!$O52</f>
        <v>0.24414351779812193</v>
      </c>
      <c r="Q247" s="1098">
        <f ca="1">EMFAC!$M52*Q$229^2 + EMFAC!$N52*Q$229 + EMFAC!$O52</f>
        <v>0.25418697064862084</v>
      </c>
      <c r="R247" s="1098">
        <f ca="1">EMFAC!$M52*R$229^2 + EMFAC!$N52*R$229 + EMFAC!$O52</f>
        <v>0.42530578117369289</v>
      </c>
      <c r="S247" s="1098">
        <f ca="1">EMFAC!$M52*S$229^2 + EMFAC!$N52*S$229 + EMFAC!$O52</f>
        <v>0.4940988036627767</v>
      </c>
      <c r="T247" s="1098">
        <f ca="1">EMFAC!$M52*T$229^2 + EMFAC!$N52*T$229 + EMFAC!$O52</f>
        <v>0.33826448765379835</v>
      </c>
      <c r="U247" s="1098">
        <f ca="1">EMFAC!$M52*U$229^2 + EMFAC!$N52*U$229 + EMFAC!$O52</f>
        <v>0.22976372199023221</v>
      </c>
      <c r="AG247" s="1019">
        <f>ROW()</f>
        <v>247</v>
      </c>
    </row>
    <row r="248" spans="2:33">
      <c r="B248" s="1099" t="s">
        <v>1058</v>
      </c>
      <c r="G248" s="1098">
        <f ca="1">EMFAC!$M53*G$229^2 + EMFAC!$N53*G$229 + EMFAC!$O53</f>
        <v>3.540166916356803</v>
      </c>
      <c r="H248" s="1098">
        <f ca="1">EMFAC!$M53*H$229^2 + EMFAC!$N53*H$229 + EMFAC!$O53</f>
        <v>2.3318376876487008</v>
      </c>
      <c r="I248" s="1098">
        <f ca="1">EMFAC!$M53*I$229^2 + EMFAC!$N53*I$229 + EMFAC!$O53</f>
        <v>5.891295699936542</v>
      </c>
      <c r="J248" s="1098">
        <f ca="1">EMFAC!$M53*J$229^2 + EMFAC!$N53*J$229 + EMFAC!$O53</f>
        <v>4.7990157434790355</v>
      </c>
      <c r="K248" s="1098">
        <f ca="1">EMFAC!$M53*K$229^2 + EMFAC!$N53*K$229 + EMFAC!$O53</f>
        <v>3.8398381982265253</v>
      </c>
      <c r="L248" s="1098">
        <f ca="1">EMFAC!$M53*L$229^2 + EMFAC!$N53*L$229 + EMFAC!$O53</f>
        <v>6.5483127232177161</v>
      </c>
      <c r="M248" s="1098">
        <f ca="1">EMFAC!$M53*M$229^2 + EMFAC!$N53*M$229 + EMFAC!$O53</f>
        <v>3.3308583683579016</v>
      </c>
      <c r="N248" s="1137"/>
      <c r="O248" s="1029"/>
      <c r="P248" s="1098">
        <f ca="1">EMFAC!$M53*P$229^2 + EMFAC!$N53*P$229 + EMFAC!$O53</f>
        <v>3.4298928060904252</v>
      </c>
      <c r="Q248" s="1098">
        <f ca="1">EMFAC!$M53*Q$229^2 + EMFAC!$N53*Q$229 + EMFAC!$O53</f>
        <v>2.6383018520654584</v>
      </c>
      <c r="R248" s="1098">
        <f ca="1">EMFAC!$M53*R$229^2 + EMFAC!$N53*R$229 + EMFAC!$O53</f>
        <v>4.2937128782385763</v>
      </c>
      <c r="S248" s="1098">
        <f ca="1">EMFAC!$M53*S$229^2 + EMFAC!$N53*S$229 + EMFAC!$O53</f>
        <v>4.9907936128654846</v>
      </c>
      <c r="T248" s="1098">
        <f ca="1">EMFAC!$M53*T$229^2 + EMFAC!$N53*T$229 + EMFAC!$O53</f>
        <v>3.4318531777366115</v>
      </c>
      <c r="U248" s="1098">
        <f ca="1">EMFAC!$M53*U$229^2 + EMFAC!$N53*U$229 + EMFAC!$O53</f>
        <v>2.4218985076382147</v>
      </c>
      <c r="AG248" s="1019">
        <f>ROW()</f>
        <v>248</v>
      </c>
    </row>
    <row r="249" spans="2:33">
      <c r="B249" s="1099" t="s">
        <v>1044</v>
      </c>
      <c r="G249" s="1098">
        <f ca="1">EMFAC!$M54*G$229^2 + EMFAC!$N54*G$229 + EMFAC!$O54</f>
        <v>5.0922662379692234</v>
      </c>
      <c r="H249" s="1098">
        <f ca="1">EMFAC!$M54*H$229^2 + EMFAC!$N54*H$229 + EMFAC!$O54</f>
        <v>4.3397236074380059</v>
      </c>
      <c r="I249" s="1098">
        <f ca="1">EMFAC!$M54*I$229^2 + EMFAC!$N54*I$229 + EMFAC!$O54</f>
        <v>4.3838318852872931</v>
      </c>
      <c r="J249" s="1098">
        <f ca="1">EMFAC!$M54*J$229^2 + EMFAC!$N54*J$229 + EMFAC!$O54</f>
        <v>4.1318129746062224</v>
      </c>
      <c r="K249" s="1098">
        <f ca="1">EMFAC!$M54*K$229^2 + EMFAC!$N54*K$229 + EMFAC!$O54</f>
        <v>3.9359100863481249</v>
      </c>
      <c r="L249" s="1098">
        <f ca="1">EMFAC!$M54*L$229^2 + EMFAC!$N54*L$229 + EMFAC!$O54</f>
        <v>4.5450448613553505</v>
      </c>
      <c r="M249" s="1098">
        <f ca="1">EMFAC!$M54*M$229^2 + EMFAC!$N54*M$229 + EMFAC!$O54</f>
        <v>3.8483423293716799</v>
      </c>
      <c r="N249" s="1137"/>
      <c r="O249" s="1029"/>
      <c r="P249" s="1098">
        <f ca="1">EMFAC!$M54*P$229^2 + EMFAC!$N54*P$229 + EMFAC!$O54</f>
        <v>5.0306617712781367</v>
      </c>
      <c r="Q249" s="1098">
        <f ca="1">EMFAC!$M54*Q$229^2 + EMFAC!$N54*Q$229 + EMFAC!$O54</f>
        <v>3.7657524035269669</v>
      </c>
      <c r="R249" s="1098">
        <f ca="1">EMFAC!$M54*R$229^2 + EMFAC!$N54*R$229 + EMFAC!$O54</f>
        <v>4.024694461679915</v>
      </c>
      <c r="S249" s="1098">
        <f ca="1">EMFAC!$M54*S$229^2 + EMFAC!$N54*S$229 + EMFAC!$O54</f>
        <v>4.1742714342656164</v>
      </c>
      <c r="T249" s="1098">
        <f ca="1">EMFAC!$M54*T$229^2 + EMFAC!$N54*T$229 + EMFAC!$O54</f>
        <v>3.8644357957597868</v>
      </c>
      <c r="U249" s="1098">
        <f ca="1">EMFAC!$M54*U$229^2 + EMFAC!$N54*U$229 + EMFAC!$O54</f>
        <v>3.7574115227922467</v>
      </c>
      <c r="AG249" s="1019">
        <f>ROW()</f>
        <v>249</v>
      </c>
    </row>
    <row r="250" spans="2:33">
      <c r="B250" s="1099" t="s">
        <v>1054</v>
      </c>
      <c r="G250" s="1098">
        <f ca="1">EMFAC!$M55*G$229^2 + EMFAC!$N55*G$229 + EMFAC!$O55</f>
        <v>9.8698342495465663E-2</v>
      </c>
      <c r="H250" s="1098">
        <f ca="1">EMFAC!$M55*H$229^2 + EMFAC!$N55*H$229 + EMFAC!$O55</f>
        <v>9.1441295786714866E-2</v>
      </c>
      <c r="I250" s="1098">
        <f ca="1">EMFAC!$M55*I$229^2 + EMFAC!$N55*I$229 + EMFAC!$O55</f>
        <v>0.1806800361809483</v>
      </c>
      <c r="J250" s="1098">
        <f ca="1">EMFAC!$M55*J$229^2 + EMFAC!$N55*J$229 + EMFAC!$O55</f>
        <v>0.16074428095552828</v>
      </c>
      <c r="K250" s="1098">
        <f ca="1">EMFAC!$M55*K$229^2 + EMFAC!$N55*K$229 + EMFAC!$O55</f>
        <v>0.1424443392824456</v>
      </c>
      <c r="L250" s="1098">
        <f ca="1">EMFAC!$M55*L$229^2 + EMFAC!$N55*L$229 + EMFAC!$O55</f>
        <v>0.19237108530423647</v>
      </c>
      <c r="M250" s="1098">
        <f ca="1">EMFAC!$M55*M$229^2 + EMFAC!$N55*M$229 + EMFAC!$O55</f>
        <v>0.13222181493833457</v>
      </c>
      <c r="N250" s="1137"/>
      <c r="O250" s="1029"/>
      <c r="P250" s="1098">
        <f ca="1">EMFAC!$M55*P$229^2 + EMFAC!$N55*P$229 + EMFAC!$O55</f>
        <v>9.7815113018576705E-2</v>
      </c>
      <c r="Q250" s="1098">
        <f ca="1">EMFAC!$M55*Q$229^2 + EMFAC!$N55*Q$229 + EMFAC!$O55</f>
        <v>0.11717033534012938</v>
      </c>
      <c r="R250" s="1098">
        <f ca="1">EMFAC!$M55*R$229^2 + EMFAC!$N55*R$229 + EMFAC!$O55</f>
        <v>0.15122600199553485</v>
      </c>
      <c r="S250" s="1098">
        <f ca="1">EMFAC!$M55*S$229^2 + EMFAC!$N55*S$229 + EMFAC!$O55</f>
        <v>0.16430042234752384</v>
      </c>
      <c r="T250" s="1098">
        <f ca="1">EMFAC!$M55*T$229^2 + EMFAC!$N55*T$229 + EMFAC!$O55</f>
        <v>0.13429027817840455</v>
      </c>
      <c r="U250" s="1098">
        <f ca="1">EMFAC!$M55*U$229^2 + EMFAC!$N55*U$229 + EMFAC!$O55</f>
        <v>0.11192167097582043</v>
      </c>
      <c r="AG250" s="1019">
        <f>ROW()</f>
        <v>250</v>
      </c>
    </row>
    <row r="251" spans="2:33">
      <c r="B251" s="496" t="s">
        <v>810</v>
      </c>
      <c r="G251" s="1030"/>
      <c r="H251" s="1030"/>
      <c r="I251" s="1030"/>
      <c r="J251" s="1030"/>
      <c r="K251" s="1030"/>
      <c r="L251" s="1030"/>
      <c r="M251" s="1030"/>
      <c r="N251" s="1137"/>
      <c r="O251" s="1029"/>
      <c r="AG251" s="1019">
        <f>ROW()</f>
        <v>251</v>
      </c>
    </row>
    <row r="252" spans="2:33">
      <c r="B252" s="1099" t="s">
        <v>2494</v>
      </c>
      <c r="G252" s="1030">
        <f t="shared" ref="G252:M252" ca="1" si="129">G240*$U$10</f>
        <v>1116.9487669619596</v>
      </c>
      <c r="H252" s="1030">
        <f t="shared" ca="1" si="129"/>
        <v>1104.1216273941889</v>
      </c>
      <c r="I252" s="1030">
        <f t="shared" ca="1" si="129"/>
        <v>1541.6984901137403</v>
      </c>
      <c r="J252" s="1030">
        <f t="shared" ca="1" si="129"/>
        <v>1374.5079207509227</v>
      </c>
      <c r="K252" s="1030">
        <f t="shared" ca="1" si="129"/>
        <v>1260.0524964629865</v>
      </c>
      <c r="L252" s="1030">
        <f t="shared" ca="1" si="129"/>
        <v>1664.7194878224557</v>
      </c>
      <c r="M252" s="1030">
        <f t="shared" ca="1" si="129"/>
        <v>1209.9529336623714</v>
      </c>
      <c r="N252" s="1137"/>
      <c r="O252" s="1029"/>
      <c r="P252" s="1030">
        <f t="shared" ref="P252:U252" ca="1" si="130">P240*$U$10</f>
        <v>1115.7613828561246</v>
      </c>
      <c r="Q252" s="1030">
        <f t="shared" ca="1" si="130"/>
        <v>1152.4690614745841</v>
      </c>
      <c r="R252" s="1030">
        <f t="shared" ca="1" si="130"/>
        <v>1310.7846467899801</v>
      </c>
      <c r="S252" s="1030">
        <f t="shared" ca="1" si="130"/>
        <v>1400.823694813887</v>
      </c>
      <c r="T252" s="1030">
        <f t="shared" ca="1" si="130"/>
        <v>1219.3457680633858</v>
      </c>
      <c r="U252" s="1030">
        <f t="shared" ca="1" si="130"/>
        <v>1136.8345430039426</v>
      </c>
      <c r="AG252" s="1019">
        <f>ROW()</f>
        <v>252</v>
      </c>
    </row>
    <row r="253" spans="2:33">
      <c r="B253" s="1099" t="s">
        <v>1057</v>
      </c>
      <c r="G253" s="1098">
        <f ca="1">EMFAC!$U52*G$229^2 + EMFAC!$V52*G$229 + EMFAC!$W52</f>
        <v>0.68444866154201156</v>
      </c>
      <c r="H253" s="1098">
        <f ca="1">EMFAC!$U52*H$229^2 + EMFAC!$V52*H$229 + EMFAC!$W52</f>
        <v>0.47077230073678411</v>
      </c>
      <c r="I253" s="1098">
        <f ca="1">EMFAC!$U52*I$229^2 + EMFAC!$V52*I$229 + EMFAC!$W52</f>
        <v>1.5204277112240123</v>
      </c>
      <c r="J253" s="1098">
        <f ca="1">EMFAC!$U52*J$229^2 + EMFAC!$V52*J$229 + EMFAC!$W52</f>
        <v>1.2444472784919491</v>
      </c>
      <c r="K253" s="1098">
        <f ca="1">EMFAC!$U52*K$229^2 + EMFAC!$V52*K$229 + EMFAC!$W52</f>
        <v>0.99718350748007012</v>
      </c>
      <c r="L253" s="1098">
        <f ca="1">EMFAC!$U52*L$229^2 + EMFAC!$V52*L$229 + EMFAC!$W52</f>
        <v>1.684571841139614</v>
      </c>
      <c r="M253" s="1098">
        <f ca="1">EMFAC!$U52*M$229^2 + EMFAC!$V52*M$229 + EMFAC!$W52</f>
        <v>0.86280573097386748</v>
      </c>
      <c r="N253" s="1137"/>
      <c r="O253" s="1029"/>
      <c r="P253" s="1098">
        <f ca="1">EMFAC!$U52*P$229^2 + EMFAC!$V52*P$229 + EMFAC!$W52</f>
        <v>0.66358008992866013</v>
      </c>
      <c r="Q253" s="1098">
        <f ca="1">EMFAC!$U52*Q$229^2 + EMFAC!$V52*Q$229 + EMFAC!$W52</f>
        <v>0.67288996111884147</v>
      </c>
      <c r="R253" s="1098">
        <f ca="1">EMFAC!$U52*R$229^2 + EMFAC!$V52*R$229 + EMFAC!$W52</f>
        <v>1.1149438513384449</v>
      </c>
      <c r="S253" s="1098">
        <f ca="1">EMFAC!$U52*S$229^2 + EMFAC!$V52*S$229 + EMFAC!$W52</f>
        <v>1.2932489356591996</v>
      </c>
      <c r="T253" s="1098">
        <f ca="1">EMFAC!$U52*T$229^2 + EMFAC!$V52*T$229 + EMFAC!$W52</f>
        <v>0.88971776426057625</v>
      </c>
      <c r="U253" s="1098">
        <f ca="1">EMFAC!$U52*U$229^2 + EMFAC!$V52*U$229 + EMFAC!$W52</f>
        <v>0.61016889356485171</v>
      </c>
      <c r="AG253" s="1019">
        <f>ROW()</f>
        <v>253</v>
      </c>
    </row>
    <row r="254" spans="2:33">
      <c r="B254" s="1099" t="s">
        <v>1058</v>
      </c>
      <c r="G254" s="1098">
        <f ca="1">EMFAC!$U53*G$229^2 + EMFAC!$V53*G$229 + EMFAC!$W53</f>
        <v>7.6012562169982871</v>
      </c>
      <c r="H254" s="1098">
        <f ca="1">EMFAC!$U53*H$229^2 + EMFAC!$V53*H$229 + EMFAC!$W53</f>
        <v>4.8203952671749093</v>
      </c>
      <c r="I254" s="1098">
        <f ca="1">EMFAC!$U53*I$229^2 + EMFAC!$V53*I$229 + EMFAC!$W53</f>
        <v>12.698918284338433</v>
      </c>
      <c r="J254" s="1098">
        <f ca="1">EMFAC!$U53*J$229^2 + EMFAC!$V53*J$229 + EMFAC!$W53</f>
        <v>10.246876849064449</v>
      </c>
      <c r="K254" s="1098">
        <f ca="1">EMFAC!$U53*K$229^2 + EMFAC!$V53*K$229 + EMFAC!$W53</f>
        <v>8.097297690869226</v>
      </c>
      <c r="L254" s="1098">
        <f ca="1">EMFAC!$U53*L$229^2 + EMFAC!$V53*L$229 + EMFAC!$W53</f>
        <v>14.175232194333333</v>
      </c>
      <c r="M254" s="1098">
        <f ca="1">EMFAC!$U53*M$229^2 + EMFAC!$V53*M$229 + EMFAC!$W53</f>
        <v>6.9590033647834915</v>
      </c>
      <c r="N254" s="1137"/>
      <c r="O254" s="1029"/>
      <c r="P254" s="1098">
        <f ca="1">EMFAC!$U53*P$229^2 + EMFAC!$V53*P$229 + EMFAC!$W53</f>
        <v>7.3484901420826958</v>
      </c>
      <c r="Q254" s="1098">
        <f ca="1">EMFAC!$U53*Q$229^2 + EMFAC!$V53*Q$229 + EMFAC!$W53</f>
        <v>5.4154250917130859</v>
      </c>
      <c r="R254" s="1098">
        <f ca="1">EMFAC!$U53*R$229^2 + EMFAC!$V53*R$229 + EMFAC!$W53</f>
        <v>9.1138958451819576</v>
      </c>
      <c r="S254" s="1098">
        <f ca="1">EMFAC!$U53*S$229^2 + EMFAC!$V53*S$229 + EMFAC!$W53</f>
        <v>10.67713779089496</v>
      </c>
      <c r="T254" s="1098">
        <f ca="1">EMFAC!$U53*T$229^2 + EMFAC!$V53*T$229 + EMFAC!$W53</f>
        <v>7.1846856370230228</v>
      </c>
      <c r="U254" s="1098">
        <f ca="1">EMFAC!$U53*U$229^2 + EMFAC!$V53*U$229 + EMFAC!$W53</f>
        <v>4.9356208764234992</v>
      </c>
      <c r="AG254" s="1019">
        <f>ROW()</f>
        <v>254</v>
      </c>
    </row>
    <row r="255" spans="2:33">
      <c r="B255" s="1099" t="s">
        <v>1044</v>
      </c>
      <c r="G255" s="1098">
        <f ca="1">EMFAC!$U54*G$229^2 + EMFAC!$V54*G$229 + EMFAC!$W54</f>
        <v>18.678139918255113</v>
      </c>
      <c r="H255" s="1098">
        <f ca="1">EMFAC!$U54*H$229^2 + EMFAC!$V54*H$229 + EMFAC!$W54</f>
        <v>14.990898389784732</v>
      </c>
      <c r="I255" s="1098">
        <f ca="1">EMFAC!$U54*I$229^2 + EMFAC!$V54*I$229 + EMFAC!$W54</f>
        <v>16.116982864274704</v>
      </c>
      <c r="J255" s="1098">
        <f ca="1">EMFAC!$U54*J$229^2 + EMFAC!$V54*J$229 + EMFAC!$W54</f>
        <v>14.70280523717129</v>
      </c>
      <c r="K255" s="1098">
        <f ca="1">EMFAC!$U54*K$229^2 + EMFAC!$V54*K$229 + EMFAC!$W54</f>
        <v>13.574795670733643</v>
      </c>
      <c r="L255" s="1098">
        <f ca="1">EMFAC!$U54*L$229^2 + EMFAC!$V54*L$229 + EMFAC!$W54</f>
        <v>17.010735820148447</v>
      </c>
      <c r="M255" s="1098">
        <f ca="1">EMFAC!$U54*M$229^2 + EMFAC!$V54*M$229 + EMFAC!$W54</f>
        <v>13.049652804204285</v>
      </c>
      <c r="N255" s="1137"/>
      <c r="O255" s="1029"/>
      <c r="P255" s="1098">
        <f ca="1">EMFAC!$U54*P$229^2 + EMFAC!$V54*P$229 + EMFAC!$W54</f>
        <v>18.373333194453032</v>
      </c>
      <c r="Q255" s="1098">
        <f ca="1">EMFAC!$U54*Q$229^2 + EMFAC!$V54*Q$229 + EMFAC!$W54</f>
        <v>12.498931398766771</v>
      </c>
      <c r="R255" s="1098">
        <f ca="1">EMFAC!$U54*R$229^2 + EMFAC!$V54*R$229 + EMFAC!$W54</f>
        <v>14.091016588948197</v>
      </c>
      <c r="S255" s="1098">
        <f ca="1">EMFAC!$U54*S$229^2 + EMFAC!$V54*S$229 + EMFAC!$W54</f>
        <v>14.943079958825678</v>
      </c>
      <c r="T255" s="1098">
        <f ca="1">EMFAC!$U54*T$229^2 + EMFAC!$V54*T$229 + EMFAC!$W54</f>
        <v>13.148109154992007</v>
      </c>
      <c r="U255" s="1098">
        <f ca="1">EMFAC!$U54*U$229^2 + EMFAC!$V54*U$229 + EMFAC!$W54</f>
        <v>12.405110697506352</v>
      </c>
      <c r="AG255" s="1019">
        <f>ROW()</f>
        <v>255</v>
      </c>
    </row>
    <row r="256" spans="2:33">
      <c r="B256" s="1099" t="s">
        <v>1054</v>
      </c>
      <c r="G256" s="1098">
        <f ca="1">EMFAC!$U55*G$229^2 + EMFAC!$V55*G$229 + EMFAC!$W55</f>
        <v>0.23553113778457657</v>
      </c>
      <c r="H256" s="1098">
        <f ca="1">EMFAC!$U55*H$229^2 + EMFAC!$V55*H$229 + EMFAC!$W55</f>
        <v>0.20181748584508985</v>
      </c>
      <c r="I256" s="1098">
        <f ca="1">EMFAC!$U55*I$229^2 + EMFAC!$V55*I$229 + EMFAC!$W55</f>
        <v>0.46210074493786124</v>
      </c>
      <c r="J256" s="1098">
        <f ca="1">EMFAC!$U55*J$229^2 + EMFAC!$V55*J$229 + EMFAC!$W55</f>
        <v>0.39989708526184287</v>
      </c>
      <c r="K256" s="1098">
        <f ca="1">EMFAC!$U55*K$229^2 + EMFAC!$V55*K$229 + EMFAC!$W55</f>
        <v>0.34339115993831726</v>
      </c>
      <c r="L256" s="1098">
        <f ca="1">EMFAC!$U55*L$229^2 + EMFAC!$V55*L$229 + EMFAC!$W55</f>
        <v>0.49880404405646783</v>
      </c>
      <c r="M256" s="1098">
        <f ca="1">EMFAC!$U55*M$229^2 + EMFAC!$V55*M$229 + EMFAC!$W55</f>
        <v>0.31219270809470623</v>
      </c>
      <c r="N256" s="1137"/>
      <c r="O256" s="1029"/>
      <c r="P256" s="1098">
        <f ca="1">EMFAC!$U55*P$229^2 + EMFAC!$V55*P$229 + EMFAC!$W55</f>
        <v>0.23193029315931479</v>
      </c>
      <c r="Q256" s="1098">
        <f ca="1">EMFAC!$U55*Q$229^2 + EMFAC!$V55*Q$229 + EMFAC!$W55</f>
        <v>0.26703298589237612</v>
      </c>
      <c r="R256" s="1098">
        <f ca="1">EMFAC!$U55*R$229^2 + EMFAC!$V55*R$229 + EMFAC!$W55</f>
        <v>0.37041935298317219</v>
      </c>
      <c r="S256" s="1098">
        <f ca="1">EMFAC!$U55*S$229^2 + EMFAC!$V55*S$229 + EMFAC!$W55</f>
        <v>0.41095115223824541</v>
      </c>
      <c r="T256" s="1098">
        <f ca="1">EMFAC!$U55*T$229^2 + EMFAC!$V55*T$229 + EMFAC!$W55</f>
        <v>0.31847828947792411</v>
      </c>
      <c r="U256" s="1098">
        <f ca="1">EMFAC!$U55*U$229^2 + EMFAC!$V55*U$229 + EMFAC!$W55</f>
        <v>0.25162789900095772</v>
      </c>
      <c r="AG256" s="1019">
        <f>ROW()</f>
        <v>256</v>
      </c>
    </row>
    <row r="257" spans="2:33">
      <c r="G257" s="1029"/>
      <c r="H257" s="1029"/>
      <c r="I257" s="1029"/>
      <c r="J257" s="1029"/>
      <c r="K257" s="1029"/>
      <c r="L257" s="1029"/>
      <c r="M257" s="1029"/>
      <c r="N257" s="1137"/>
      <c r="O257" s="1029"/>
      <c r="AG257" s="1019">
        <f>ROW()</f>
        <v>257</v>
      </c>
    </row>
    <row r="258" spans="2:33">
      <c r="B258" s="275" t="s">
        <v>465</v>
      </c>
      <c r="E258"/>
      <c r="F258"/>
      <c r="G258" s="135"/>
      <c r="H258" s="135"/>
      <c r="I258" s="135"/>
      <c r="J258" s="135"/>
      <c r="K258" s="135"/>
      <c r="L258" s="135"/>
      <c r="M258" s="135"/>
      <c r="N258" s="1138"/>
      <c r="O258" s="1029"/>
      <c r="AG258" s="1019">
        <f>ROW()</f>
        <v>258</v>
      </c>
    </row>
    <row r="259" spans="2:33">
      <c r="B259" s="496" t="s">
        <v>541</v>
      </c>
      <c r="E259"/>
      <c r="F259"/>
      <c r="G259" s="135"/>
      <c r="H259" s="135"/>
      <c r="I259" s="135"/>
      <c r="J259" s="135"/>
      <c r="K259" s="135"/>
      <c r="L259" s="135"/>
      <c r="M259" s="135"/>
      <c r="N259" s="1138"/>
      <c r="O259" s="1029"/>
      <c r="AG259" s="1019">
        <f>ROW()</f>
        <v>259</v>
      </c>
    </row>
    <row r="260" spans="2:33">
      <c r="B260" s="1099" t="s">
        <v>2494</v>
      </c>
      <c r="E260"/>
      <c r="F260"/>
      <c r="G260" s="135">
        <f t="shared" ref="G260:M262" ca="1" si="131">G240*G$232/1000</f>
        <v>2161867.9323160457</v>
      </c>
      <c r="H260" s="135">
        <f t="shared" ca="1" si="131"/>
        <v>560149.95136479835</v>
      </c>
      <c r="I260" s="135">
        <f t="shared" ca="1" si="131"/>
        <v>4562104.4360245615</v>
      </c>
      <c r="J260" s="135">
        <f t="shared" ca="1" si="131"/>
        <v>1238541.4044305463</v>
      </c>
      <c r="K260" s="135">
        <f t="shared" ca="1" si="131"/>
        <v>4157348.6787049249</v>
      </c>
      <c r="L260" s="135">
        <f t="shared" ca="1" si="131"/>
        <v>10388168.368487328</v>
      </c>
      <c r="M260" s="135">
        <f t="shared" ca="1" si="131"/>
        <v>2842134.0632058461</v>
      </c>
      <c r="N260" s="1138">
        <f t="shared" ref="N260:N276" ca="1" si="132">SUM(G260:M260)</f>
        <v>25910314.834534049</v>
      </c>
      <c r="O260" s="1029"/>
      <c r="P260" s="135">
        <f t="shared" ref="P260:U262" ca="1" si="133">P240*P$232/1000</f>
        <v>4761512.4115618784</v>
      </c>
      <c r="Q260" s="135">
        <f t="shared" ca="1" si="133"/>
        <v>1702231.483768564</v>
      </c>
      <c r="R260" s="135">
        <f t="shared" ca="1" si="133"/>
        <v>5838704.4534715116</v>
      </c>
      <c r="S260" s="135">
        <f t="shared" ca="1" si="133"/>
        <v>3981159.5239506988</v>
      </c>
      <c r="T260" s="135">
        <f t="shared" ca="1" si="133"/>
        <v>1993050.8482588609</v>
      </c>
      <c r="U260" s="135">
        <f t="shared" ca="1" si="133"/>
        <v>1618466.1508341611</v>
      </c>
      <c r="W260" s="135">
        <f ca="1">SUM(P260:V260)</f>
        <v>19895124.871845674</v>
      </c>
      <c r="Y260" s="817">
        <f ca="1">N260*wkday_per_yr</f>
        <v>6477578708.6335125</v>
      </c>
      <c r="Z260" s="817">
        <f ca="1">W260*wkend_per_yr</f>
        <v>2287939360.2622523</v>
      </c>
      <c r="AA260" s="817">
        <f ca="1">Y260+Z260</f>
        <v>8765518068.8957653</v>
      </c>
      <c r="AG260" s="1019">
        <f>ROW()</f>
        <v>260</v>
      </c>
    </row>
    <row r="261" spans="2:33">
      <c r="B261" s="1099" t="s">
        <v>1057</v>
      </c>
      <c r="E261"/>
      <c r="F261"/>
      <c r="G261" s="135">
        <f t="shared" ca="1" si="131"/>
        <v>1140.0947516742256</v>
      </c>
      <c r="H261" s="135">
        <f t="shared" ca="1" si="131"/>
        <v>189.74579356644091</v>
      </c>
      <c r="I261" s="135">
        <f t="shared" ca="1" si="131"/>
        <v>2909.2352558032617</v>
      </c>
      <c r="J261" s="135">
        <f t="shared" ca="1" si="131"/>
        <v>715.04963596570326</v>
      </c>
      <c r="K261" s="135">
        <f t="shared" ca="1" si="131"/>
        <v>2069.8343112722673</v>
      </c>
      <c r="L261" s="135">
        <f t="shared" ca="1" si="131"/>
        <v>6847.2437510507234</v>
      </c>
      <c r="M261" s="135">
        <f t="shared" ca="1" si="131"/>
        <v>1266.882925846616</v>
      </c>
      <c r="N261" s="1138">
        <f t="shared" ca="1" si="132"/>
        <v>15138.086425179239</v>
      </c>
      <c r="O261" s="1029"/>
      <c r="P261" s="135">
        <f t="shared" ca="1" si="133"/>
        <v>2430.3226840290649</v>
      </c>
      <c r="Q261" s="135">
        <f t="shared" ca="1" si="133"/>
        <v>620.34307332123194</v>
      </c>
      <c r="R261" s="135">
        <f t="shared" ca="1" si="133"/>
        <v>3144.5444995979879</v>
      </c>
      <c r="S261" s="135">
        <f t="shared" ca="1" si="133"/>
        <v>2349.8174324002898</v>
      </c>
      <c r="T261" s="135">
        <f t="shared" ca="1" si="133"/>
        <v>910.08098444595498</v>
      </c>
      <c r="U261" s="135">
        <f t="shared" ca="1" si="133"/>
        <v>545.11598081841282</v>
      </c>
      <c r="W261" s="135">
        <f ca="1">SUM(P261:V261)</f>
        <v>10000.224654612943</v>
      </c>
      <c r="Y261" s="817">
        <f ca="1">N261*wkday_per_yr</f>
        <v>3784521.6062948098</v>
      </c>
      <c r="Z261" s="817">
        <f ca="1">W261*wkend_per_yr</f>
        <v>1150025.8352804885</v>
      </c>
      <c r="AA261" s="817">
        <f ca="1">Y261+Z261</f>
        <v>4934547.4415752981</v>
      </c>
      <c r="AG261" s="1019">
        <f>ROW()</f>
        <v>261</v>
      </c>
    </row>
    <row r="262" spans="2:33">
      <c r="B262" s="1099" t="s">
        <v>1058</v>
      </c>
      <c r="E262"/>
      <c r="F262"/>
      <c r="G262" s="135">
        <f t="shared" ca="1" si="131"/>
        <v>19780.217690214649</v>
      </c>
      <c r="H262" s="135">
        <f t="shared" ca="1" si="131"/>
        <v>4862.4588124272614</v>
      </c>
      <c r="I262" s="135">
        <f t="shared" ca="1" si="131"/>
        <v>45068.053353994052</v>
      </c>
      <c r="J262" s="135">
        <f t="shared" ca="1" si="131"/>
        <v>12535.793847505549</v>
      </c>
      <c r="K262" s="135">
        <f t="shared" ca="1" si="131"/>
        <v>41935.719403915355</v>
      </c>
      <c r="L262" s="135">
        <f t="shared" ca="1" si="131"/>
        <v>99882.18859321413</v>
      </c>
      <c r="M262" s="135">
        <f t="shared" ca="1" si="131"/>
        <v>28291.3701469222</v>
      </c>
      <c r="N262" s="1138">
        <f t="shared" ca="1" si="132"/>
        <v>252355.80184819322</v>
      </c>
      <c r="O262" s="1029"/>
      <c r="P262" s="135">
        <f t="shared" ca="1" si="133"/>
        <v>43312.466974261966</v>
      </c>
      <c r="Q262" s="135">
        <f t="shared" ca="1" si="133"/>
        <v>16357.093279822013</v>
      </c>
      <c r="R262" s="135">
        <f t="shared" ca="1" si="133"/>
        <v>59179.393819291901</v>
      </c>
      <c r="S262" s="135">
        <f t="shared" ca="1" si="133"/>
        <v>40204.572013458368</v>
      </c>
      <c r="T262" s="135">
        <f t="shared" ca="1" si="133"/>
        <v>19906.224279792572</v>
      </c>
      <c r="U262" s="135">
        <f t="shared" ca="1" si="133"/>
        <v>15291.404992117778</v>
      </c>
      <c r="W262" s="135">
        <f ca="1">SUM(P262:V262)</f>
        <v>194251.15535874461</v>
      </c>
      <c r="Y262" s="817">
        <f ca="1">N262*wkday_per_yr</f>
        <v>63088950.462048307</v>
      </c>
      <c r="Z262" s="817">
        <f ca="1">W262*wkend_per_yr</f>
        <v>22338882.86625563</v>
      </c>
      <c r="AA262" s="817">
        <f ca="1">Y262+Z262</f>
        <v>85427833.328303933</v>
      </c>
      <c r="AG262" s="1019">
        <f>ROW()</f>
        <v>262</v>
      </c>
    </row>
    <row r="263" spans="2:33">
      <c r="B263" s="1099" t="s">
        <v>1044</v>
      </c>
      <c r="E263"/>
      <c r="F263"/>
      <c r="G263" s="135">
        <f t="shared" ref="G263:M263" ca="1" si="134">G243*G$232/1000</f>
        <v>2934.0074393387963</v>
      </c>
      <c r="H263" s="135">
        <f t="shared" ca="1" si="134"/>
        <v>708.25304431019435</v>
      </c>
      <c r="I263" s="135">
        <f t="shared" ca="1" si="134"/>
        <v>5241.3581555386709</v>
      </c>
      <c r="J263" s="135">
        <f t="shared" ca="1" si="134"/>
        <v>1494.4814262188154</v>
      </c>
      <c r="K263" s="135">
        <f t="shared" ca="1" si="134"/>
        <v>5144.7379090208151</v>
      </c>
      <c r="L263" s="135">
        <f t="shared" ca="1" si="134"/>
        <v>11475.2949126516</v>
      </c>
      <c r="M263" s="135">
        <f t="shared" ca="1" si="134"/>
        <v>3538.7137759142402</v>
      </c>
      <c r="N263" s="1138">
        <f t="shared" ca="1" si="132"/>
        <v>30536.846662993132</v>
      </c>
      <c r="O263" s="1029"/>
      <c r="P263" s="135">
        <f t="shared" ref="P263:U263" ca="1" si="135">P243*P$232/1000</f>
        <v>6422.0482034775414</v>
      </c>
      <c r="Q263" s="135">
        <f t="shared" ca="1" si="135"/>
        <v>2118.4398935667964</v>
      </c>
      <c r="R263" s="135">
        <f t="shared" ca="1" si="135"/>
        <v>7155.092546959113</v>
      </c>
      <c r="S263" s="135">
        <f t="shared" ca="1" si="135"/>
        <v>4769.8935246280571</v>
      </c>
      <c r="T263" s="135">
        <f t="shared" ca="1" si="135"/>
        <v>2479.5654024611181</v>
      </c>
      <c r="U263" s="135">
        <f t="shared" ca="1" si="135"/>
        <v>2009.5018192116152</v>
      </c>
      <c r="W263" s="135">
        <f ca="1">SUM(P263:V263)</f>
        <v>24954.541390304239</v>
      </c>
      <c r="Y263" s="817">
        <f ca="1">N263*wkday_per_yr</f>
        <v>7634211.6657482833</v>
      </c>
      <c r="Z263" s="817">
        <f ca="1">W263*wkend_per_yr</f>
        <v>2869772.2598849875</v>
      </c>
      <c r="AA263" s="817">
        <f ca="1">Y263+Z263</f>
        <v>10503983.92563327</v>
      </c>
      <c r="AG263" s="1019">
        <f>ROW()</f>
        <v>263</v>
      </c>
    </row>
    <row r="264" spans="2:33">
      <c r="B264" s="1099" t="s">
        <v>1054</v>
      </c>
      <c r="E264"/>
      <c r="F264"/>
      <c r="G264" s="135">
        <f t="shared" ref="G264:M264" ca="1" si="136">G244*G$232/1000</f>
        <v>260.5758926591667</v>
      </c>
      <c r="H264" s="135">
        <f t="shared" ca="1" si="136"/>
        <v>54.126264152294567</v>
      </c>
      <c r="I264" s="135">
        <f t="shared" ca="1" si="136"/>
        <v>535.57663052009457</v>
      </c>
      <c r="J264" s="135">
        <f t="shared" ca="1" si="136"/>
        <v>141.75026302641967</v>
      </c>
      <c r="K264" s="135">
        <f t="shared" ca="1" si="136"/>
        <v>450.72886029412365</v>
      </c>
      <c r="L264" s="135">
        <f t="shared" ca="1" si="136"/>
        <v>1218.5165846074131</v>
      </c>
      <c r="M264" s="135">
        <f t="shared" ca="1" si="136"/>
        <v>295.23566091588759</v>
      </c>
      <c r="N264" s="1138">
        <f t="shared" ca="1" si="132"/>
        <v>2956.5101561754</v>
      </c>
      <c r="O264" s="1029"/>
      <c r="P264" s="135">
        <f t="shared" ref="P264:U264" ca="1" si="137">P244*P$232/1000</f>
        <v>563.75878804564707</v>
      </c>
      <c r="Q264" s="135">
        <f t="shared" ca="1" si="137"/>
        <v>163.88897439205465</v>
      </c>
      <c r="R264" s="135">
        <f t="shared" ca="1" si="137"/>
        <v>652.0833684499097</v>
      </c>
      <c r="S264" s="135">
        <f t="shared" ca="1" si="137"/>
        <v>458.87829807563708</v>
      </c>
      <c r="T264" s="135">
        <f t="shared" ca="1" si="137"/>
        <v>208.97488952618079</v>
      </c>
      <c r="U264" s="135">
        <f t="shared" ca="1" si="137"/>
        <v>151.50640221711524</v>
      </c>
      <c r="W264" s="135">
        <f ca="1">SUM(P264:V264)</f>
        <v>2199.0907207065447</v>
      </c>
      <c r="Y264" s="817">
        <f ca="1">N264*wkday_per_yr</f>
        <v>739127.53904385003</v>
      </c>
      <c r="Z264" s="817">
        <f ca="1">W264*wkend_per_yr</f>
        <v>252895.43288125264</v>
      </c>
      <c r="AA264" s="817">
        <f ca="1">Y264+Z264</f>
        <v>992022.97192510264</v>
      </c>
      <c r="AG264" s="1019">
        <f>ROW()</f>
        <v>264</v>
      </c>
    </row>
    <row r="265" spans="2:33">
      <c r="B265" s="496" t="s">
        <v>1509</v>
      </c>
      <c r="E265"/>
      <c r="F265"/>
      <c r="G265" s="135"/>
      <c r="H265" s="135"/>
      <c r="I265" s="135"/>
      <c r="J265" s="135"/>
      <c r="K265" s="135"/>
      <c r="L265" s="135"/>
      <c r="M265" s="135"/>
      <c r="N265" s="1138"/>
      <c r="O265" s="1029"/>
      <c r="AG265" s="1019">
        <f>ROW()</f>
        <v>265</v>
      </c>
    </row>
    <row r="266" spans="2:33">
      <c r="B266" s="1099" t="s">
        <v>2494</v>
      </c>
      <c r="E266"/>
      <c r="F266"/>
      <c r="G266" s="135">
        <f t="shared" ref="G266:M268" ca="1" si="138">G246*G$233/1000</f>
        <v>237927.49257449931</v>
      </c>
      <c r="H266" s="135">
        <f t="shared" ca="1" si="138"/>
        <v>60826.554511746326</v>
      </c>
      <c r="I266" s="135">
        <f t="shared" ca="1" si="138"/>
        <v>509886.50628893287</v>
      </c>
      <c r="J266" s="135">
        <f t="shared" ca="1" si="138"/>
        <v>138669.64447190127</v>
      </c>
      <c r="K266" s="135">
        <f t="shared" ca="1" si="138"/>
        <v>464694.75284213247</v>
      </c>
      <c r="L266" s="135">
        <f t="shared" ca="1" si="138"/>
        <v>1141578.5138610869</v>
      </c>
      <c r="M266" s="135">
        <f t="shared" ca="1" si="138"/>
        <v>306219.84123909875</v>
      </c>
      <c r="N266" s="1138">
        <f t="shared" ca="1" si="132"/>
        <v>2859803.305789398</v>
      </c>
      <c r="O266" s="1029"/>
      <c r="P266" s="135">
        <f t="shared" ref="P266:U268" ca="1" si="139">P246*P$233/1000</f>
        <v>202595.93739380679</v>
      </c>
      <c r="Q266" s="135">
        <f t="shared" ca="1" si="139"/>
        <v>70846.39587818805</v>
      </c>
      <c r="R266" s="135">
        <f t="shared" ca="1" si="139"/>
        <v>247523.34625879294</v>
      </c>
      <c r="S266" s="135">
        <f t="shared" ca="1" si="139"/>
        <v>170103.57530713058</v>
      </c>
      <c r="T266" s="135">
        <f t="shared" ca="1" si="139"/>
        <v>83982.358222762341</v>
      </c>
      <c r="U266" s="135">
        <f t="shared" ca="1" si="139"/>
        <v>67916.70563637164</v>
      </c>
      <c r="W266" s="135">
        <f ca="1">SUM(P266:V266)</f>
        <v>842968.31869705231</v>
      </c>
      <c r="Y266" s="817">
        <f ca="1">N266*wkday_per_yr</f>
        <v>714950826.44734955</v>
      </c>
      <c r="Z266" s="817">
        <f ca="1">W266*wkend_per_yr</f>
        <v>96941356.650161013</v>
      </c>
      <c r="AA266" s="817">
        <f ca="1">Y266+Z266</f>
        <v>811892183.09751058</v>
      </c>
      <c r="AG266" s="1019">
        <f>ROW()</f>
        <v>266</v>
      </c>
    </row>
    <row r="267" spans="2:33">
      <c r="B267" s="1099" t="s">
        <v>1057</v>
      </c>
      <c r="E267"/>
      <c r="F267"/>
      <c r="G267" s="135">
        <f t="shared" ca="1" si="138"/>
        <v>70.391918751430197</v>
      </c>
      <c r="H267" s="135">
        <f t="shared" ca="1" si="138"/>
        <v>12.458580911947751</v>
      </c>
      <c r="I267" s="135">
        <f t="shared" ca="1" si="138"/>
        <v>252.28843799519001</v>
      </c>
      <c r="J267" s="135">
        <f t="shared" ca="1" si="138"/>
        <v>62.884273023250678</v>
      </c>
      <c r="K267" s="135">
        <f t="shared" ca="1" si="138"/>
        <v>183.70394832809271</v>
      </c>
      <c r="L267" s="135">
        <f t="shared" ca="1" si="138"/>
        <v>579.95161959469908</v>
      </c>
      <c r="M267" s="135">
        <f t="shared" ca="1" si="138"/>
        <v>108.81737225353021</v>
      </c>
      <c r="N267" s="1138">
        <f t="shared" ca="1" si="132"/>
        <v>1270.4961508581407</v>
      </c>
      <c r="O267" s="1029"/>
      <c r="P267" s="135">
        <f t="shared" ca="1" si="139"/>
        <v>58.138624963062668</v>
      </c>
      <c r="Q267" s="135">
        <f t="shared" ca="1" si="139"/>
        <v>20.492829345545026</v>
      </c>
      <c r="R267" s="135">
        <f t="shared" ca="1" si="139"/>
        <v>105.32858742493818</v>
      </c>
      <c r="S267" s="135">
        <f t="shared" ca="1" si="139"/>
        <v>78.687168356896308</v>
      </c>
      <c r="T267" s="135">
        <f t="shared" ca="1" si="139"/>
        <v>30.554680607555682</v>
      </c>
      <c r="U267" s="135">
        <f t="shared" ca="1" si="139"/>
        <v>18.002008417875679</v>
      </c>
      <c r="W267" s="135">
        <f ca="1">SUM(P267:V267)</f>
        <v>311.20389911587353</v>
      </c>
      <c r="Y267" s="817">
        <f ca="1">N267*wkday_per_yr</f>
        <v>317624.0377145352</v>
      </c>
      <c r="Z267" s="817">
        <f ca="1">W267*wkend_per_yr</f>
        <v>35788.448398325454</v>
      </c>
      <c r="AA267" s="817">
        <f ca="1">Y267+Z267</f>
        <v>353412.48611286067</v>
      </c>
      <c r="AG267" s="1019">
        <f>ROW()</f>
        <v>267</v>
      </c>
    </row>
    <row r="268" spans="2:33">
      <c r="B268" s="1099" t="s">
        <v>1058</v>
      </c>
      <c r="E268"/>
      <c r="F268"/>
      <c r="G268" s="135">
        <f t="shared" ca="1" si="138"/>
        <v>988.99766422017171</v>
      </c>
      <c r="H268" s="135">
        <f t="shared" ca="1" si="138"/>
        <v>168.47473001215218</v>
      </c>
      <c r="I268" s="135">
        <f t="shared" ca="1" si="138"/>
        <v>2555.3185371174654</v>
      </c>
      <c r="J268" s="135">
        <f t="shared" ca="1" si="138"/>
        <v>634.96016752467108</v>
      </c>
      <c r="K268" s="135">
        <f t="shared" ca="1" si="138"/>
        <v>1857.172336775739</v>
      </c>
      <c r="L268" s="135">
        <f t="shared" ca="1" si="138"/>
        <v>5889.1726442442459</v>
      </c>
      <c r="M268" s="135">
        <f t="shared" ca="1" si="138"/>
        <v>1105.5570758129916</v>
      </c>
      <c r="N268" s="1138">
        <f t="shared" ca="1" si="132"/>
        <v>13199.653155707438</v>
      </c>
      <c r="O268" s="1029"/>
      <c r="P268" s="135">
        <f t="shared" ca="1" si="139"/>
        <v>816.7706163785432</v>
      </c>
      <c r="Q268" s="135">
        <f t="shared" ca="1" si="139"/>
        <v>212.70275765295671</v>
      </c>
      <c r="R268" s="135">
        <f t="shared" ca="1" si="139"/>
        <v>1063.354255437308</v>
      </c>
      <c r="S268" s="135">
        <f t="shared" ca="1" si="139"/>
        <v>794.80341652090976</v>
      </c>
      <c r="T268" s="135">
        <f t="shared" ca="1" si="139"/>
        <v>309.99168273640009</v>
      </c>
      <c r="U268" s="135">
        <f t="shared" ca="1" si="139"/>
        <v>189.75596732193074</v>
      </c>
      <c r="W268" s="135">
        <f ca="1">SUM(P268:V268)</f>
        <v>3387.3786960480479</v>
      </c>
      <c r="Y268" s="817">
        <f ca="1">N268*wkday_per_yr</f>
        <v>3299913.2889268594</v>
      </c>
      <c r="Z268" s="817">
        <f ca="1">W268*wkend_per_yr</f>
        <v>389548.55004552554</v>
      </c>
      <c r="AA268" s="817">
        <f ca="1">Y268+Z268</f>
        <v>3689461.838972385</v>
      </c>
      <c r="AG268" s="1019">
        <f>ROW()</f>
        <v>268</v>
      </c>
    </row>
    <row r="269" spans="2:33">
      <c r="B269" s="1099" t="s">
        <v>1044</v>
      </c>
      <c r="E269"/>
      <c r="F269"/>
      <c r="G269" s="135">
        <f t="shared" ref="G269:M269" ca="1" si="140">G249*G$233/1000</f>
        <v>1422.599423679608</v>
      </c>
      <c r="H269" s="135">
        <f t="shared" ca="1" si="140"/>
        <v>313.54402022197218</v>
      </c>
      <c r="I269" s="135">
        <f t="shared" ca="1" si="140"/>
        <v>1901.4640328106243</v>
      </c>
      <c r="J269" s="135">
        <f t="shared" ca="1" si="140"/>
        <v>546.68223626927499</v>
      </c>
      <c r="K269" s="135">
        <f t="shared" ca="1" si="140"/>
        <v>1903.6383709549016</v>
      </c>
      <c r="L269" s="135">
        <f t="shared" ca="1" si="140"/>
        <v>4087.5497239851184</v>
      </c>
      <c r="M269" s="135">
        <f t="shared" ca="1" si="140"/>
        <v>1277.3170221839814</v>
      </c>
      <c r="N269" s="1138">
        <f t="shared" ca="1" si="132"/>
        <v>11452.79483010548</v>
      </c>
      <c r="O269" s="1029"/>
      <c r="P269" s="135">
        <f t="shared" ref="P269:U269" ca="1" si="141">P249*P$233/1000</f>
        <v>1197.9665103302038</v>
      </c>
      <c r="Q269" s="135">
        <f t="shared" ca="1" si="141"/>
        <v>303.59904430244194</v>
      </c>
      <c r="R269" s="135">
        <f t="shared" ca="1" si="141"/>
        <v>996.73082575050239</v>
      </c>
      <c r="S269" s="135">
        <f t="shared" ca="1" si="141"/>
        <v>664.76906375919339</v>
      </c>
      <c r="T269" s="135">
        <f t="shared" ca="1" si="141"/>
        <v>349.06591078130776</v>
      </c>
      <c r="U269" s="135">
        <f t="shared" ca="1" si="141"/>
        <v>294.39353295993641</v>
      </c>
      <c r="W269" s="135">
        <f ca="1">SUM(P269:V269)</f>
        <v>3806.5248878835851</v>
      </c>
      <c r="Y269" s="817">
        <f ca="1">N269*wkday_per_yr</f>
        <v>2863198.70752637</v>
      </c>
      <c r="Z269" s="817">
        <f ca="1">W269*wkend_per_yr</f>
        <v>437750.3621066123</v>
      </c>
      <c r="AA269" s="817">
        <f ca="1">Y269+Z269</f>
        <v>3300949.0696329824</v>
      </c>
      <c r="AG269" s="1019">
        <f>ROW()</f>
        <v>269</v>
      </c>
    </row>
    <row r="270" spans="2:33">
      <c r="B270" s="1099" t="s">
        <v>1054</v>
      </c>
      <c r="E270"/>
      <c r="F270"/>
      <c r="G270" s="135">
        <f t="shared" ref="G270:M270" ca="1" si="142">G250*G$233/1000</f>
        <v>27.572832721365387</v>
      </c>
      <c r="H270" s="135">
        <f t="shared" ca="1" si="142"/>
        <v>6.6066123303643218</v>
      </c>
      <c r="I270" s="135">
        <f t="shared" ca="1" si="142"/>
        <v>78.369015791416601</v>
      </c>
      <c r="J270" s="135">
        <f t="shared" ca="1" si="142"/>
        <v>21.268156017792588</v>
      </c>
      <c r="K270" s="135">
        <f t="shared" ca="1" si="142"/>
        <v>68.894487941663343</v>
      </c>
      <c r="L270" s="135">
        <f t="shared" ca="1" si="142"/>
        <v>173.00739610380077</v>
      </c>
      <c r="M270" s="135">
        <f t="shared" ca="1" si="142"/>
        <v>43.88621397732296</v>
      </c>
      <c r="N270" s="1138">
        <f t="shared" ca="1" si="132"/>
        <v>419.60471488372593</v>
      </c>
      <c r="O270" s="1029"/>
      <c r="P270" s="135">
        <f t="shared" ref="P270:U270" ca="1" si="143">P250*P$233/1000</f>
        <v>23.293004961978827</v>
      </c>
      <c r="Q270" s="135">
        <f t="shared" ca="1" si="143"/>
        <v>9.4463995552503075</v>
      </c>
      <c r="R270" s="135">
        <f t="shared" ca="1" si="143"/>
        <v>37.451692117031151</v>
      </c>
      <c r="S270" s="135">
        <f t="shared" ca="1" si="143"/>
        <v>26.165485321013623</v>
      </c>
      <c r="T270" s="135">
        <f t="shared" ca="1" si="143"/>
        <v>12.130142856262321</v>
      </c>
      <c r="U270" s="135">
        <f t="shared" ca="1" si="143"/>
        <v>8.7690730529473484</v>
      </c>
      <c r="W270" s="135">
        <f ca="1">SUM(P270:V270)</f>
        <v>117.25579786448357</v>
      </c>
      <c r="Y270" s="817">
        <f ca="1">N270*wkday_per_yr</f>
        <v>104901.17872093148</v>
      </c>
      <c r="Z270" s="817">
        <f ca="1">W270*wkend_per_yr</f>
        <v>13484.41675441561</v>
      </c>
      <c r="AA270" s="817">
        <f ca="1">Y270+Z270</f>
        <v>118385.59547534709</v>
      </c>
      <c r="AG270" s="1019">
        <f>ROW()</f>
        <v>270</v>
      </c>
    </row>
    <row r="271" spans="2:33">
      <c r="B271" s="496" t="s">
        <v>810</v>
      </c>
      <c r="C271" s="912"/>
      <c r="E271"/>
      <c r="F271"/>
      <c r="G271" s="135"/>
      <c r="H271" s="135"/>
      <c r="I271" s="135"/>
      <c r="J271" s="135"/>
      <c r="K271" s="135"/>
      <c r="L271" s="135"/>
      <c r="M271" s="135"/>
      <c r="N271" s="1138"/>
      <c r="O271" s="1029"/>
      <c r="AG271" s="1019">
        <f>ROW()</f>
        <v>271</v>
      </c>
    </row>
    <row r="272" spans="2:33">
      <c r="B272" s="1099" t="s">
        <v>2494</v>
      </c>
      <c r="C272" s="912"/>
      <c r="E272"/>
      <c r="F272"/>
      <c r="G272" s="135">
        <f t="shared" ref="G272:M274" ca="1" si="144">G252*G$234/1000</f>
        <v>129524.62843589988</v>
      </c>
      <c r="H272" s="135">
        <f t="shared" ca="1" si="144"/>
        <v>33525.587595028628</v>
      </c>
      <c r="I272" s="135">
        <f t="shared" ca="1" si="144"/>
        <v>280716.63764394075</v>
      </c>
      <c r="J272" s="135">
        <f t="shared" ca="1" si="144"/>
        <v>76296.241170177484</v>
      </c>
      <c r="K272" s="135">
        <f t="shared" ca="1" si="144"/>
        <v>255033.10005065647</v>
      </c>
      <c r="L272" s="135">
        <f t="shared" ca="1" si="144"/>
        <v>627844.02643585869</v>
      </c>
      <c r="M272" s="135">
        <f t="shared" ca="1" si="144"/>
        <v>168375.85615539466</v>
      </c>
      <c r="N272" s="1138">
        <f t="shared" ca="1" si="132"/>
        <v>1571316.0774869565</v>
      </c>
      <c r="O272" s="1029"/>
      <c r="P272" s="135">
        <f t="shared" ref="P272:U274" ca="1" si="145">P252*P$234/1000</f>
        <v>164002.49730224788</v>
      </c>
      <c r="Q272" s="135">
        <f t="shared" ca="1" si="145"/>
        <v>57683.47957684414</v>
      </c>
      <c r="R272" s="135">
        <f t="shared" ca="1" si="145"/>
        <v>201454.57892896497</v>
      </c>
      <c r="S272" s="135">
        <f t="shared" ca="1" si="145"/>
        <v>138380.13274780696</v>
      </c>
      <c r="T272" s="135">
        <f t="shared" ca="1" si="145"/>
        <v>68450.389289404397</v>
      </c>
      <c r="U272" s="135">
        <f t="shared" ca="1" si="145"/>
        <v>55430.822323874323</v>
      </c>
      <c r="W272" s="135">
        <f ca="1">SUM(P272:V272)</f>
        <v>685401.90016914264</v>
      </c>
      <c r="Y272" s="817">
        <f ca="1">N272*wkday_per_yr</f>
        <v>392829019.37173915</v>
      </c>
      <c r="Z272" s="817">
        <f ca="1">W272*wkend_per_yr</f>
        <v>78821218.51945141</v>
      </c>
      <c r="AA272" s="817">
        <f ca="1">Y272+Z272</f>
        <v>471650237.89119053</v>
      </c>
      <c r="AG272" s="1019">
        <f>ROW()</f>
        <v>272</v>
      </c>
    </row>
    <row r="273" spans="2:33">
      <c r="B273" s="1099" t="s">
        <v>1057</v>
      </c>
      <c r="E273"/>
      <c r="F273"/>
      <c r="G273" s="135">
        <f t="shared" ca="1" si="144"/>
        <v>79.37065798533385</v>
      </c>
      <c r="H273" s="135">
        <f t="shared" ca="1" si="144"/>
        <v>14.29454655544888</v>
      </c>
      <c r="I273" s="135">
        <f t="shared" ca="1" si="144"/>
        <v>276.84359659974047</v>
      </c>
      <c r="J273" s="135">
        <f t="shared" ca="1" si="144"/>
        <v>69.076829787580579</v>
      </c>
      <c r="K273" s="135">
        <f t="shared" ca="1" si="144"/>
        <v>201.8287348708885</v>
      </c>
      <c r="L273" s="135">
        <f t="shared" ca="1" si="144"/>
        <v>635.33128271660041</v>
      </c>
      <c r="M273" s="135">
        <f t="shared" ca="1" si="144"/>
        <v>120.06719402611424</v>
      </c>
      <c r="N273" s="1138">
        <f t="shared" ca="1" si="132"/>
        <v>1396.8128425417069</v>
      </c>
      <c r="O273" s="1029"/>
      <c r="P273" s="135">
        <f t="shared" ca="1" si="145"/>
        <v>97.537693614893428</v>
      </c>
      <c r="Q273" s="135">
        <f t="shared" ca="1" si="145"/>
        <v>33.679545618342949</v>
      </c>
      <c r="R273" s="135">
        <f t="shared" ca="1" si="145"/>
        <v>171.35579414275296</v>
      </c>
      <c r="S273" s="135">
        <f t="shared" ca="1" si="145"/>
        <v>127.75337828380802</v>
      </c>
      <c r="T273" s="135">
        <f t="shared" ca="1" si="145"/>
        <v>49.946068552861135</v>
      </c>
      <c r="U273" s="135">
        <f t="shared" ca="1" si="145"/>
        <v>29.751175080744343</v>
      </c>
      <c r="W273" s="135">
        <f ca="1">SUM(P273:V273)</f>
        <v>510.02365529340284</v>
      </c>
      <c r="Y273" s="817">
        <f ca="1">N273*wkday_per_yr</f>
        <v>349203.21063542675</v>
      </c>
      <c r="Z273" s="817">
        <f ca="1">W273*wkend_per_yr</f>
        <v>58652.720358741324</v>
      </c>
      <c r="AA273" s="817">
        <f ca="1">Y273+Z273</f>
        <v>407855.93099416804</v>
      </c>
      <c r="AG273" s="1019">
        <f>ROW()</f>
        <v>273</v>
      </c>
    </row>
    <row r="274" spans="2:33">
      <c r="B274" s="1099" t="s">
        <v>1058</v>
      </c>
      <c r="E274"/>
      <c r="F274"/>
      <c r="G274" s="135">
        <f t="shared" ca="1" si="144"/>
        <v>881.46378444080278</v>
      </c>
      <c r="H274" s="135">
        <f t="shared" ca="1" si="144"/>
        <v>146.36664998016357</v>
      </c>
      <c r="I274" s="135">
        <f t="shared" ca="1" si="144"/>
        <v>2312.2534434289087</v>
      </c>
      <c r="J274" s="135">
        <f t="shared" ca="1" si="144"/>
        <v>568.78405392543448</v>
      </c>
      <c r="K274" s="135">
        <f t="shared" ca="1" si="144"/>
        <v>1638.8832512392564</v>
      </c>
      <c r="L274" s="135">
        <f t="shared" ca="1" si="144"/>
        <v>5346.1468563661274</v>
      </c>
      <c r="M274" s="135">
        <f t="shared" ca="1" si="144"/>
        <v>968.40804045742743</v>
      </c>
      <c r="N274" s="1138">
        <f t="shared" ca="1" si="132"/>
        <v>11862.306079838119</v>
      </c>
      <c r="O274" s="1029"/>
      <c r="P274" s="135">
        <f t="shared" ca="1" si="145"/>
        <v>1080.1330402899569</v>
      </c>
      <c r="Q274" s="135">
        <f t="shared" ca="1" si="145"/>
        <v>271.05331771602636</v>
      </c>
      <c r="R274" s="135">
        <f t="shared" ca="1" si="145"/>
        <v>1400.7152543248797</v>
      </c>
      <c r="S274" s="135">
        <f t="shared" ca="1" si="145"/>
        <v>1054.739258295436</v>
      </c>
      <c r="T274" s="135">
        <f t="shared" ca="1" si="145"/>
        <v>403.32655564738315</v>
      </c>
      <c r="U274" s="135">
        <f t="shared" ca="1" si="145"/>
        <v>240.65553386170026</v>
      </c>
      <c r="W274" s="135">
        <f ca="1">SUM(P274:V274)</f>
        <v>4450.6229601353825</v>
      </c>
      <c r="Y274" s="817">
        <f ca="1">N274*wkday_per_yr</f>
        <v>2965576.5199595299</v>
      </c>
      <c r="Z274" s="817">
        <f ca="1">W274*wkend_per_yr</f>
        <v>511821.64041556901</v>
      </c>
      <c r="AA274" s="817">
        <f ca="1">Y274+Z274</f>
        <v>3477398.1603750987</v>
      </c>
      <c r="AG274" s="1019">
        <f>ROW()</f>
        <v>274</v>
      </c>
    </row>
    <row r="275" spans="2:33">
      <c r="B275" s="1099" t="s">
        <v>1044</v>
      </c>
      <c r="E275" s="1020"/>
      <c r="F275" s="902"/>
      <c r="G275" s="135">
        <f t="shared" ref="G275:M275" ca="1" si="146">G255*G$234/1000</f>
        <v>2165.9714432256833</v>
      </c>
      <c r="H275" s="135">
        <f t="shared" ca="1" si="146"/>
        <v>455.18416144154838</v>
      </c>
      <c r="I275" s="135">
        <f t="shared" ca="1" si="146"/>
        <v>2934.6239019086142</v>
      </c>
      <c r="J275" s="135">
        <f t="shared" ca="1" si="146"/>
        <v>816.12390683097954</v>
      </c>
      <c r="K275" s="135">
        <f t="shared" ca="1" si="146"/>
        <v>2747.5222121137449</v>
      </c>
      <c r="L275" s="135">
        <f t="shared" ca="1" si="146"/>
        <v>6415.5486543434599</v>
      </c>
      <c r="M275" s="135">
        <f t="shared" ca="1" si="146"/>
        <v>1815.9768056330604</v>
      </c>
      <c r="N275" s="1138">
        <f t="shared" ca="1" si="132"/>
        <v>17350.95108549709</v>
      </c>
      <c r="O275" s="1029"/>
      <c r="P275" s="135">
        <f t="shared" ref="P275:U275" ca="1" si="147">P255*P$234/1000</f>
        <v>2700.6424258412794</v>
      </c>
      <c r="Q275" s="135">
        <f t="shared" ca="1" si="147"/>
        <v>625.59757842925762</v>
      </c>
      <c r="R275" s="135">
        <f t="shared" ca="1" si="147"/>
        <v>2165.6492701218285</v>
      </c>
      <c r="S275" s="135">
        <f t="shared" ca="1" si="147"/>
        <v>1476.1496368307235</v>
      </c>
      <c r="T275" s="135">
        <f t="shared" ca="1" si="147"/>
        <v>738.09514384766373</v>
      </c>
      <c r="U275" s="135">
        <f t="shared" ca="1" si="147"/>
        <v>604.85977595693328</v>
      </c>
      <c r="V275" s="135"/>
      <c r="W275" s="135">
        <f ca="1">SUM(P275:V275)</f>
        <v>8310.9938310276866</v>
      </c>
      <c r="Y275" s="817">
        <f ca="1">N275*wkday_per_yr</f>
        <v>4337737.7713742722</v>
      </c>
      <c r="Z275" s="817">
        <f ca="1">W275*wkend_per_yr</f>
        <v>955764.29056818399</v>
      </c>
      <c r="AA275" s="817">
        <f ca="1">Y275+Z275</f>
        <v>5293502.0619424563</v>
      </c>
      <c r="AG275" s="1019">
        <f>ROW()</f>
        <v>275</v>
      </c>
    </row>
    <row r="276" spans="2:33">
      <c r="B276" s="1099" t="s">
        <v>1054</v>
      </c>
      <c r="E276" s="1020"/>
      <c r="F276" s="902"/>
      <c r="G276" s="135">
        <f t="shared" ref="G276:M276" ca="1" si="148">G256*G$234/1000</f>
        <v>27.31287594292229</v>
      </c>
      <c r="H276" s="135">
        <f t="shared" ca="1" si="148"/>
        <v>6.1279931775962062</v>
      </c>
      <c r="I276" s="135">
        <f t="shared" ca="1" si="148"/>
        <v>84.140555500022899</v>
      </c>
      <c r="J276" s="135">
        <f t="shared" ca="1" si="148"/>
        <v>22.197503557287604</v>
      </c>
      <c r="K276" s="135">
        <f t="shared" ca="1" si="148"/>
        <v>69.501955112893469</v>
      </c>
      <c r="L276" s="135">
        <f t="shared" ca="1" si="148"/>
        <v>188.12246850822129</v>
      </c>
      <c r="M276" s="135">
        <f t="shared" ca="1" si="148"/>
        <v>43.444429157924134</v>
      </c>
      <c r="N276" s="1138">
        <f t="shared" ca="1" si="132"/>
        <v>440.84778095686795</v>
      </c>
      <c r="O276" s="1029"/>
      <c r="P276" s="135">
        <f t="shared" ref="P276:U276" ca="1" si="149">P256*P$234/1000</f>
        <v>34.090754405572497</v>
      </c>
      <c r="Q276" s="135">
        <f t="shared" ca="1" si="149"/>
        <v>13.365557742919318</v>
      </c>
      <c r="R276" s="135">
        <f t="shared" ca="1" si="149"/>
        <v>56.929774822363314</v>
      </c>
      <c r="S276" s="135">
        <f t="shared" ca="1" si="149"/>
        <v>40.595740356282334</v>
      </c>
      <c r="T276" s="135">
        <f t="shared" ca="1" si="149"/>
        <v>17.878409443788133</v>
      </c>
      <c r="U276" s="135">
        <f t="shared" ca="1" si="149"/>
        <v>12.269104107618155</v>
      </c>
      <c r="V276" s="135"/>
      <c r="W276" s="135">
        <f ca="1">SUM(P276:V276)</f>
        <v>175.12934087854376</v>
      </c>
      <c r="Y276" s="817">
        <f ca="1">N276*wkday_per_yr</f>
        <v>110211.94523921699</v>
      </c>
      <c r="Z276" s="817">
        <f ca="1">W276*wkend_per_yr</f>
        <v>20139.874201032533</v>
      </c>
      <c r="AA276" s="817">
        <f ca="1">Y276+Z276</f>
        <v>130351.81944024953</v>
      </c>
      <c r="AG276" s="1019">
        <f>ROW()</f>
        <v>276</v>
      </c>
    </row>
    <row r="277" spans="2:33">
      <c r="B277" s="1066" t="s">
        <v>653</v>
      </c>
      <c r="E277" s="1020"/>
      <c r="F277" s="902"/>
      <c r="G277" s="135"/>
      <c r="H277" s="135"/>
      <c r="I277" s="135"/>
      <c r="J277" s="135"/>
      <c r="K277" s="135"/>
      <c r="L277" s="135"/>
      <c r="M277" s="135"/>
      <c r="N277" s="1138"/>
      <c r="O277" s="1029"/>
      <c r="P277" s="135"/>
      <c r="Q277" s="135"/>
      <c r="R277" s="135"/>
      <c r="S277" s="135"/>
      <c r="T277" s="135"/>
      <c r="U277" s="135"/>
      <c r="V277" s="135"/>
      <c r="W277" s="135"/>
      <c r="AG277" s="1019">
        <f>ROW()</f>
        <v>277</v>
      </c>
    </row>
    <row r="278" spans="2:33">
      <c r="B278" s="1099" t="s">
        <v>2494</v>
      </c>
      <c r="E278" s="1020"/>
      <c r="F278" s="902"/>
      <c r="G278" s="135">
        <f t="shared" ref="G278:M278" ca="1" si="150">G260+G266+G272</f>
        <v>2529320.0533264452</v>
      </c>
      <c r="H278" s="135">
        <f t="shared" ca="1" si="150"/>
        <v>654502.0934715732</v>
      </c>
      <c r="I278" s="135">
        <f t="shared" ca="1" si="150"/>
        <v>5352707.5799574349</v>
      </c>
      <c r="J278" s="135">
        <f t="shared" ca="1" si="150"/>
        <v>1453507.290072625</v>
      </c>
      <c r="K278" s="135">
        <f t="shared" ca="1" si="150"/>
        <v>4877076.531597713</v>
      </c>
      <c r="L278" s="135">
        <f t="shared" ca="1" si="150"/>
        <v>12157590.908784274</v>
      </c>
      <c r="M278" s="135">
        <f t="shared" ca="1" si="150"/>
        <v>3316729.7606003396</v>
      </c>
      <c r="N278" s="1138">
        <f ca="1">SUM(G278:M278)</f>
        <v>30341434.217810404</v>
      </c>
      <c r="O278" s="1029"/>
      <c r="P278" s="135">
        <f t="shared" ref="P278:U278" ca="1" si="151">P260+P266+P272</f>
        <v>5128110.8462579334</v>
      </c>
      <c r="Q278" s="135">
        <f t="shared" ca="1" si="151"/>
        <v>1830761.3592235963</v>
      </c>
      <c r="R278" s="135">
        <f t="shared" ca="1" si="151"/>
        <v>6287682.3786592698</v>
      </c>
      <c r="S278" s="135">
        <f t="shared" ca="1" si="151"/>
        <v>4289643.2320056362</v>
      </c>
      <c r="T278" s="135">
        <f t="shared" ca="1" si="151"/>
        <v>2145483.5957710277</v>
      </c>
      <c r="U278" s="135">
        <f t="shared" ca="1" si="151"/>
        <v>1741813.6787944071</v>
      </c>
      <c r="V278" s="135"/>
      <c r="W278" s="135">
        <f ca="1">SUM(P278:V278)</f>
        <v>21423495.090711869</v>
      </c>
      <c r="Y278" s="817">
        <f ca="1">N278*wkday_per_yr</f>
        <v>7585358554.4526005</v>
      </c>
      <c r="Z278" s="817">
        <f ca="1">W278*wkend_per_yr</f>
        <v>2463701935.4318647</v>
      </c>
      <c r="AA278" s="817">
        <f ca="1">Y278+Z278</f>
        <v>10049060489.884464</v>
      </c>
      <c r="AG278" s="1019">
        <f>ROW()</f>
        <v>278</v>
      </c>
    </row>
    <row r="279" spans="2:33">
      <c r="B279" s="1099" t="s">
        <v>1057</v>
      </c>
      <c r="E279" s="1020"/>
      <c r="F279" s="902"/>
      <c r="G279" s="135">
        <f t="shared" ref="G279:M279" ca="1" si="152">G261+G267+G273</f>
        <v>1289.8573284109896</v>
      </c>
      <c r="H279" s="135">
        <f t="shared" ca="1" si="152"/>
        <v>216.49892103383755</v>
      </c>
      <c r="I279" s="135">
        <f t="shared" ca="1" si="152"/>
        <v>3438.3672903981924</v>
      </c>
      <c r="J279" s="135">
        <f t="shared" ca="1" si="152"/>
        <v>847.01073877653448</v>
      </c>
      <c r="K279" s="135">
        <f t="shared" ca="1" si="152"/>
        <v>2455.3669944712487</v>
      </c>
      <c r="L279" s="135">
        <f t="shared" ca="1" si="152"/>
        <v>8062.5266533620224</v>
      </c>
      <c r="M279" s="135">
        <f t="shared" ca="1" si="152"/>
        <v>1495.7674921262605</v>
      </c>
      <c r="N279" s="1138">
        <f ca="1">SUM(G279:M279)</f>
        <v>17805.395418579086</v>
      </c>
      <c r="O279" s="1029"/>
      <c r="P279" s="135">
        <f t="shared" ref="P279:U279" ca="1" si="153">P261+P267+P273</f>
        <v>2585.9990026070209</v>
      </c>
      <c r="Q279" s="135">
        <f t="shared" ca="1" si="153"/>
        <v>674.51544828511987</v>
      </c>
      <c r="R279" s="135">
        <f t="shared" ca="1" si="153"/>
        <v>3421.228881165679</v>
      </c>
      <c r="S279" s="135">
        <f t="shared" ca="1" si="153"/>
        <v>2556.2579790409941</v>
      </c>
      <c r="T279" s="135">
        <f t="shared" ca="1" si="153"/>
        <v>990.58173360637181</v>
      </c>
      <c r="U279" s="135">
        <f t="shared" ca="1" si="153"/>
        <v>592.86916431703287</v>
      </c>
      <c r="V279" s="135"/>
      <c r="W279" s="135">
        <f ca="1">SUM(P279:V279)</f>
        <v>10821.45220902222</v>
      </c>
      <c r="Y279" s="817">
        <f ca="1">N279*wkday_per_yr</f>
        <v>4451348.8546447717</v>
      </c>
      <c r="Z279" s="817">
        <f ca="1">W279*wkend_per_yr</f>
        <v>1244467.0040375553</v>
      </c>
      <c r="AA279" s="817">
        <f ca="1">Y279+Z279</f>
        <v>5695815.858682327</v>
      </c>
      <c r="AG279" s="1019">
        <f>ROW()</f>
        <v>279</v>
      </c>
    </row>
    <row r="280" spans="2:33">
      <c r="B280" s="1099" t="s">
        <v>1058</v>
      </c>
      <c r="E280" s="1020"/>
      <c r="F280" s="902"/>
      <c r="G280" s="135">
        <f t="shared" ref="G280:M280" ca="1" si="154">G262+G268+G274</f>
        <v>21650.679138875625</v>
      </c>
      <c r="H280" s="135">
        <f t="shared" ca="1" si="154"/>
        <v>5177.3001924195778</v>
      </c>
      <c r="I280" s="135">
        <f t="shared" ca="1" si="154"/>
        <v>49935.625334540426</v>
      </c>
      <c r="J280" s="135">
        <f t="shared" ca="1" si="154"/>
        <v>13739.538068955653</v>
      </c>
      <c r="K280" s="135">
        <f t="shared" ca="1" si="154"/>
        <v>45431.774991930346</v>
      </c>
      <c r="L280" s="135">
        <f t="shared" ca="1" si="154"/>
        <v>111117.50809382451</v>
      </c>
      <c r="M280" s="135">
        <f t="shared" ca="1" si="154"/>
        <v>30365.335263192617</v>
      </c>
      <c r="N280" s="1138">
        <f ca="1">SUM(G280:M280)</f>
        <v>277417.7610837387</v>
      </c>
      <c r="O280" s="1029"/>
      <c r="P280" s="135">
        <f t="shared" ref="P280:U280" ca="1" si="155">P262+P268+P274</f>
        <v>45209.370630930462</v>
      </c>
      <c r="Q280" s="135">
        <f t="shared" ca="1" si="155"/>
        <v>16840.849355190996</v>
      </c>
      <c r="R280" s="135">
        <f t="shared" ca="1" si="155"/>
        <v>61643.463329054088</v>
      </c>
      <c r="S280" s="135">
        <f t="shared" ca="1" si="155"/>
        <v>42054.114688274713</v>
      </c>
      <c r="T280" s="135">
        <f t="shared" ca="1" si="155"/>
        <v>20619.542518176353</v>
      </c>
      <c r="U280" s="135">
        <f t="shared" ca="1" si="155"/>
        <v>15721.816493301409</v>
      </c>
      <c r="V280" s="135"/>
      <c r="W280" s="135">
        <f ca="1">SUM(P280:V280)</f>
        <v>202089.15701492803</v>
      </c>
      <c r="Y280" s="817">
        <f ca="1">N280*wkday_per_yr</f>
        <v>69354440.270934671</v>
      </c>
      <c r="Z280" s="817">
        <f ca="1">W280*wkend_per_yr</f>
        <v>23240253.056716725</v>
      </c>
      <c r="AA280" s="817">
        <f ca="1">Y280+Z280</f>
        <v>92594693.327651396</v>
      </c>
      <c r="AG280" s="1019">
        <f>ROW()</f>
        <v>280</v>
      </c>
    </row>
    <row r="281" spans="2:33">
      <c r="B281" s="1099" t="s">
        <v>1044</v>
      </c>
      <c r="E281" s="1020"/>
      <c r="F281" s="902"/>
      <c r="G281" s="135">
        <f t="shared" ref="G281:M281" ca="1" si="156">G263+G269+G275</f>
        <v>6522.5783062440878</v>
      </c>
      <c r="H281" s="135">
        <f t="shared" ca="1" si="156"/>
        <v>1476.981225973715</v>
      </c>
      <c r="I281" s="135">
        <f t="shared" ca="1" si="156"/>
        <v>10077.446090257909</v>
      </c>
      <c r="J281" s="135">
        <f t="shared" ca="1" si="156"/>
        <v>2857.2875693190699</v>
      </c>
      <c r="K281" s="135">
        <f t="shared" ca="1" si="156"/>
        <v>9795.8984920894618</v>
      </c>
      <c r="L281" s="135">
        <f t="shared" ca="1" si="156"/>
        <v>21978.393290980177</v>
      </c>
      <c r="M281" s="135">
        <f t="shared" ca="1" si="156"/>
        <v>6632.007603731282</v>
      </c>
      <c r="N281" s="1138">
        <f ca="1">SUM(G281:M281)</f>
        <v>59340.592578595708</v>
      </c>
      <c r="O281" s="1029"/>
      <c r="P281" s="135">
        <f t="shared" ref="P281:U281" ca="1" si="157">P263+P269+P275</f>
        <v>10320.657139649025</v>
      </c>
      <c r="Q281" s="135">
        <f t="shared" ca="1" si="157"/>
        <v>3047.6365162984962</v>
      </c>
      <c r="R281" s="135">
        <f t="shared" ca="1" si="157"/>
        <v>10317.472642831444</v>
      </c>
      <c r="S281" s="135">
        <f t="shared" ca="1" si="157"/>
        <v>6910.8122252179737</v>
      </c>
      <c r="T281" s="135">
        <f t="shared" ca="1" si="157"/>
        <v>3566.7264570900893</v>
      </c>
      <c r="U281" s="135">
        <f t="shared" ca="1" si="157"/>
        <v>2908.755128128485</v>
      </c>
      <c r="V281" s="135"/>
      <c r="W281" s="135">
        <f ca="1">SUM(P281:V281)</f>
        <v>37072.060109215512</v>
      </c>
      <c r="Y281" s="817">
        <f ca="1">N281*wkday_per_yr</f>
        <v>14835148.144648926</v>
      </c>
      <c r="Z281" s="817">
        <f ca="1">W281*wkend_per_yr</f>
        <v>4263286.912559784</v>
      </c>
      <c r="AA281" s="817">
        <f ca="1">Y281+Z281</f>
        <v>19098435.057208709</v>
      </c>
      <c r="AG281" s="1019">
        <f>ROW()</f>
        <v>281</v>
      </c>
    </row>
    <row r="282" spans="2:33">
      <c r="B282" s="1099" t="s">
        <v>1054</v>
      </c>
      <c r="E282" s="1020"/>
      <c r="F282" s="902"/>
      <c r="G282" s="135">
        <f t="shared" ref="G282:M282" ca="1" si="158">G264+G270+G276</f>
        <v>315.46160132345437</v>
      </c>
      <c r="H282" s="135">
        <f t="shared" ca="1" si="158"/>
        <v>66.860869660255091</v>
      </c>
      <c r="I282" s="135">
        <f t="shared" ca="1" si="158"/>
        <v>698.08620181153401</v>
      </c>
      <c r="J282" s="135">
        <f t="shared" ca="1" si="158"/>
        <v>185.21592260149987</v>
      </c>
      <c r="K282" s="135">
        <f t="shared" ca="1" si="158"/>
        <v>589.12530334868052</v>
      </c>
      <c r="L282" s="135">
        <f t="shared" ca="1" si="158"/>
        <v>1579.6464492194352</v>
      </c>
      <c r="M282" s="135">
        <f t="shared" ca="1" si="158"/>
        <v>382.56630405113469</v>
      </c>
      <c r="N282" s="1138">
        <f ca="1">SUM(G282:M282)</f>
        <v>3816.9626520159936</v>
      </c>
      <c r="O282" s="1029"/>
      <c r="P282" s="135">
        <f t="shared" ref="P282:U282" ca="1" si="159">P264+P270+P276</f>
        <v>621.14254741319837</v>
      </c>
      <c r="Q282" s="135">
        <f t="shared" ca="1" si="159"/>
        <v>186.70093169022428</v>
      </c>
      <c r="R282" s="135">
        <f t="shared" ca="1" si="159"/>
        <v>746.4648353893042</v>
      </c>
      <c r="S282" s="135">
        <f t="shared" ca="1" si="159"/>
        <v>525.63952375293309</v>
      </c>
      <c r="T282" s="135">
        <f t="shared" ca="1" si="159"/>
        <v>238.98344182623126</v>
      </c>
      <c r="U282" s="135">
        <f t="shared" ca="1" si="159"/>
        <v>172.54457937768075</v>
      </c>
      <c r="V282" s="135"/>
      <c r="W282" s="135">
        <f ca="1">SUM(P282:V282)</f>
        <v>2491.475859449572</v>
      </c>
      <c r="Y282" s="817">
        <f ca="1">N282*wkday_per_yr</f>
        <v>954240.66300399846</v>
      </c>
      <c r="Z282" s="817">
        <f ca="1">W282*wkend_per_yr</f>
        <v>286519.72383670078</v>
      </c>
      <c r="AA282" s="817">
        <f ca="1">Y282+Z282</f>
        <v>1240760.3868406992</v>
      </c>
      <c r="AG282" s="1019">
        <f>ROW()</f>
        <v>282</v>
      </c>
    </row>
    <row r="283" spans="2:33">
      <c r="B283" s="497"/>
      <c r="G283" s="1030"/>
      <c r="H283" s="1030"/>
      <c r="I283" s="1030"/>
      <c r="J283" s="1030"/>
      <c r="K283" s="1030"/>
      <c r="L283" s="1030"/>
      <c r="M283" s="1030"/>
      <c r="N283" s="1137"/>
      <c r="O283" s="1029"/>
      <c r="AG283" s="1019">
        <f>ROW()</f>
        <v>283</v>
      </c>
    </row>
    <row r="284" spans="2:33" ht="12">
      <c r="B284" s="985" t="s">
        <v>1755</v>
      </c>
      <c r="C284"/>
      <c r="D284"/>
      <c r="E284"/>
      <c r="F284"/>
      <c r="G284"/>
      <c r="H284"/>
      <c r="I284"/>
      <c r="J284"/>
      <c r="K284"/>
      <c r="L284"/>
      <c r="M284"/>
      <c r="N284" s="1137"/>
      <c r="O284" s="1029"/>
      <c r="AG284" s="1019">
        <f>ROW()</f>
        <v>284</v>
      </c>
    </row>
    <row r="285" spans="2:33">
      <c r="B285" s="275" t="s">
        <v>465</v>
      </c>
      <c r="E285"/>
      <c r="F285"/>
      <c r="G285" s="135"/>
      <c r="H285" s="135"/>
      <c r="I285" s="135"/>
      <c r="J285" s="135"/>
      <c r="K285" s="135"/>
      <c r="L285" s="135"/>
      <c r="M285" s="135"/>
      <c r="N285" s="1138"/>
      <c r="O285" s="1029"/>
      <c r="AG285" s="1019">
        <f>ROW()</f>
        <v>285</v>
      </c>
    </row>
    <row r="286" spans="2:33">
      <c r="B286" s="496" t="s">
        <v>541</v>
      </c>
      <c r="E286"/>
      <c r="F286"/>
      <c r="G286" s="135"/>
      <c r="H286" s="135"/>
      <c r="I286" s="135"/>
      <c r="J286" s="135"/>
      <c r="K286" s="135"/>
      <c r="L286" s="135"/>
      <c r="M286" s="135"/>
      <c r="N286" s="1138"/>
      <c r="O286" s="1029"/>
      <c r="AG286" s="1019">
        <f>ROW()</f>
        <v>286</v>
      </c>
    </row>
    <row r="287" spans="2:33">
      <c r="B287" s="1099" t="s">
        <v>2494</v>
      </c>
      <c r="E287"/>
      <c r="F287"/>
      <c r="G287" s="135">
        <f t="shared" ref="G287:M291" ca="1" si="160">G204+G260</f>
        <v>2353366.7894414719</v>
      </c>
      <c r="H287" s="135">
        <f t="shared" ca="1" si="160"/>
        <v>593646.6021122454</v>
      </c>
      <c r="I287" s="135">
        <f t="shared" ca="1" si="160"/>
        <v>4907983.7172989203</v>
      </c>
      <c r="J287" s="135">
        <f t="shared" ca="1" si="160"/>
        <v>1348526.4256525589</v>
      </c>
      <c r="K287" s="135">
        <f t="shared" ca="1" si="160"/>
        <v>4513582.7336805286</v>
      </c>
      <c r="L287" s="135">
        <f t="shared" ca="1" si="160"/>
        <v>11174624.938048812</v>
      </c>
      <c r="M287" s="135">
        <f t="shared" ca="1" si="160"/>
        <v>3106731.7567961686</v>
      </c>
      <c r="N287" s="1138">
        <f ca="1">SUM(G287:M287)</f>
        <v>27998462.963030707</v>
      </c>
      <c r="O287" s="1029"/>
      <c r="P287" s="135">
        <f t="shared" ref="P287:U291" ca="1" si="161">P204+P260</f>
        <v>5196843.6106993575</v>
      </c>
      <c r="Q287" s="135">
        <f t="shared" ca="1" si="161"/>
        <v>1850402.3374990472</v>
      </c>
      <c r="R287" s="135">
        <f t="shared" ca="1" si="161"/>
        <v>6371737.5468013203</v>
      </c>
      <c r="S287" s="135">
        <f t="shared" ca="1" si="161"/>
        <v>4358892.4945398122</v>
      </c>
      <c r="T287" s="135">
        <f t="shared" ca="1" si="161"/>
        <v>2182144.9960033433</v>
      </c>
      <c r="U287" s="135">
        <f t="shared" ca="1" si="161"/>
        <v>1762750.6126686949</v>
      </c>
      <c r="W287" s="135">
        <f ca="1">SUM(P287:V287)</f>
        <v>21722771.598211579</v>
      </c>
      <c r="Y287" s="817">
        <f ca="1">N287*wkday_per_yr</f>
        <v>6999615740.7576771</v>
      </c>
      <c r="Z287" s="817">
        <f ca="1">W287*wkend_per_yr</f>
        <v>2498118733.7943316</v>
      </c>
      <c r="AA287" s="817">
        <f ca="1">Y287+Z287</f>
        <v>9497734474.5520096</v>
      </c>
      <c r="AG287" s="1019">
        <f>ROW()</f>
        <v>287</v>
      </c>
    </row>
    <row r="288" spans="2:33">
      <c r="B288" s="1099" t="s">
        <v>1057</v>
      </c>
      <c r="E288"/>
      <c r="F288"/>
      <c r="G288" s="135">
        <f t="shared" ca="1" si="160"/>
        <v>1233.7440452616679</v>
      </c>
      <c r="H288" s="135">
        <f t="shared" ca="1" si="160"/>
        <v>206.27181063311727</v>
      </c>
      <c r="I288" s="135">
        <f t="shared" ca="1" si="160"/>
        <v>3099.1032923811208</v>
      </c>
      <c r="J288" s="135">
        <f t="shared" ca="1" si="160"/>
        <v>775.85182010698077</v>
      </c>
      <c r="K288" s="135">
        <f t="shared" ca="1" si="160"/>
        <v>2269.4954783971621</v>
      </c>
      <c r="L288" s="135">
        <f t="shared" ca="1" si="160"/>
        <v>7270.2910865892072</v>
      </c>
      <c r="M288" s="135">
        <f t="shared" ca="1" si="160"/>
        <v>1415.2163360336638</v>
      </c>
      <c r="N288" s="1138">
        <f ca="1">SUM(G288:M288)</f>
        <v>16269.973869402918</v>
      </c>
      <c r="O288" s="1029"/>
      <c r="P288" s="135">
        <f t="shared" ca="1" si="161"/>
        <v>2650.5668313627566</v>
      </c>
      <c r="Q288" s="135">
        <f t="shared" ca="1" si="161"/>
        <v>702.44462691661408</v>
      </c>
      <c r="R288" s="135">
        <f t="shared" ca="1" si="161"/>
        <v>3441.8539515519783</v>
      </c>
      <c r="S288" s="135">
        <f t="shared" ca="1" si="161"/>
        <v>2556.8196936741524</v>
      </c>
      <c r="T288" s="135">
        <f t="shared" ca="1" si="161"/>
        <v>1016.0770577664255</v>
      </c>
      <c r="U288" s="135">
        <f t="shared" ca="1" si="161"/>
        <v>624.83459985239801</v>
      </c>
      <c r="W288" s="135">
        <f ca="1">SUM(P288:V288)</f>
        <v>10992.596761124325</v>
      </c>
      <c r="Y288" s="817">
        <f ca="1">N288*wkday_per_yr</f>
        <v>4067493.4673507297</v>
      </c>
      <c r="Z288" s="817">
        <f ca="1">W288*wkend_per_yr</f>
        <v>1264148.6275292975</v>
      </c>
      <c r="AA288" s="817">
        <f ca="1">Y288+Z288</f>
        <v>5331642.0948800277</v>
      </c>
      <c r="AG288" s="1019">
        <f>ROW()</f>
        <v>288</v>
      </c>
    </row>
    <row r="289" spans="2:33">
      <c r="B289" s="1099" t="s">
        <v>1058</v>
      </c>
      <c r="E289"/>
      <c r="F289"/>
      <c r="G289" s="135">
        <f t="shared" ca="1" si="160"/>
        <v>21394.40667943986</v>
      </c>
      <c r="H289" s="135">
        <f t="shared" ca="1" si="160"/>
        <v>5144.5047678379296</v>
      </c>
      <c r="I289" s="135">
        <f t="shared" ca="1" si="160"/>
        <v>47434.184924872345</v>
      </c>
      <c r="J289" s="135">
        <f t="shared" ca="1" si="160"/>
        <v>13303.301442535419</v>
      </c>
      <c r="K289" s="135">
        <f t="shared" ca="1" si="160"/>
        <v>44591.707309791491</v>
      </c>
      <c r="L289" s="135">
        <f t="shared" ca="1" si="160"/>
        <v>105014.79900501987</v>
      </c>
      <c r="M289" s="135">
        <f t="shared" ca="1" si="160"/>
        <v>30274.579977924226</v>
      </c>
      <c r="N289" s="1138">
        <f ca="1">SUM(G289:M289)</f>
        <v>267157.48410742113</v>
      </c>
      <c r="O289" s="1029"/>
      <c r="P289" s="135">
        <f t="shared" ca="1" si="161"/>
        <v>46962.166155834086</v>
      </c>
      <c r="Q289" s="135">
        <f t="shared" ca="1" si="161"/>
        <v>17530.974106468035</v>
      </c>
      <c r="R289" s="135">
        <f t="shared" ca="1" si="161"/>
        <v>63021.251935244451</v>
      </c>
      <c r="S289" s="135">
        <f t="shared" ca="1" si="161"/>
        <v>42777.248851617158</v>
      </c>
      <c r="T289" s="135">
        <f t="shared" ca="1" si="161"/>
        <v>21319.556045209334</v>
      </c>
      <c r="U289" s="135">
        <f t="shared" ca="1" si="161"/>
        <v>16440.159061499988</v>
      </c>
      <c r="W289" s="135">
        <f ca="1">SUM(P289:V289)</f>
        <v>208051.35615587304</v>
      </c>
      <c r="Y289" s="817">
        <f ca="1">N289*wkday_per_yr</f>
        <v>66789371.026855282</v>
      </c>
      <c r="Z289" s="817">
        <f ca="1">W289*wkend_per_yr</f>
        <v>23925905.957925402</v>
      </c>
      <c r="AA289" s="817">
        <f ca="1">Y289+Z289</f>
        <v>90715276.984780684</v>
      </c>
      <c r="AG289" s="1019">
        <f>ROW()</f>
        <v>289</v>
      </c>
    </row>
    <row r="290" spans="2:33">
      <c r="B290" s="1099" t="s">
        <v>1044</v>
      </c>
      <c r="E290"/>
      <c r="F290"/>
      <c r="G290" s="135">
        <f t="shared" ca="1" si="160"/>
        <v>3125.7979260370807</v>
      </c>
      <c r="H290" s="135">
        <f t="shared" ca="1" si="160"/>
        <v>741.69840147769719</v>
      </c>
      <c r="I290" s="135">
        <f t="shared" ca="1" si="160"/>
        <v>5504.5331786814168</v>
      </c>
      <c r="J290" s="135">
        <f t="shared" ca="1" si="160"/>
        <v>1580.0755329458932</v>
      </c>
      <c r="K290" s="135">
        <f t="shared" ca="1" si="160"/>
        <v>5444.1662816827602</v>
      </c>
      <c r="L290" s="135">
        <f t="shared" ca="1" si="160"/>
        <v>12043.010026032649</v>
      </c>
      <c r="M290" s="135">
        <f t="shared" ca="1" si="160"/>
        <v>3762.5283588705165</v>
      </c>
      <c r="N290" s="1138">
        <f ca="1">SUM(G290:M290)</f>
        <v>32201.809705728014</v>
      </c>
      <c r="O290" s="1029"/>
      <c r="P290" s="135">
        <f t="shared" ca="1" si="161"/>
        <v>6852.2933260616046</v>
      </c>
      <c r="Q290" s="135">
        <f t="shared" ca="1" si="161"/>
        <v>2252.7549183735496</v>
      </c>
      <c r="R290" s="135">
        <f t="shared" ca="1" si="161"/>
        <v>7585.6259082958777</v>
      </c>
      <c r="S290" s="135">
        <f t="shared" ca="1" si="161"/>
        <v>5055.8810335583566</v>
      </c>
      <c r="T290" s="135">
        <f t="shared" ca="1" si="161"/>
        <v>2638.9776256365453</v>
      </c>
      <c r="U290" s="135">
        <f t="shared" ca="1" si="161"/>
        <v>2141.1518426640027</v>
      </c>
      <c r="W290" s="135">
        <f ca="1">SUM(P290:V290)</f>
        <v>26526.684654589939</v>
      </c>
      <c r="Y290" s="817">
        <f ca="1">N290*wkday_per_yr</f>
        <v>8050452.4264320033</v>
      </c>
      <c r="Z290" s="817">
        <f ca="1">W290*wkend_per_yr</f>
        <v>3050568.7352778432</v>
      </c>
      <c r="AA290" s="817">
        <f ca="1">Y290+Z290</f>
        <v>11101021.161709847</v>
      </c>
      <c r="AG290" s="1019">
        <f>ROW()</f>
        <v>290</v>
      </c>
    </row>
    <row r="291" spans="2:33">
      <c r="B291" s="1099" t="s">
        <v>1054</v>
      </c>
      <c r="E291"/>
      <c r="F291"/>
      <c r="G291" s="135">
        <f t="shared" ca="1" si="160"/>
        <v>278.94708275883414</v>
      </c>
      <c r="H291" s="135">
        <f t="shared" ca="1" si="160"/>
        <v>57.348555546770193</v>
      </c>
      <c r="I291" s="135">
        <f t="shared" ca="1" si="160"/>
        <v>566.69300930064605</v>
      </c>
      <c r="J291" s="135">
        <f t="shared" ca="1" si="160"/>
        <v>151.77846177114301</v>
      </c>
      <c r="K291" s="135">
        <f t="shared" ca="1" si="160"/>
        <v>484.54872514999857</v>
      </c>
      <c r="L291" s="135">
        <f t="shared" ca="1" si="160"/>
        <v>1286.9454149921257</v>
      </c>
      <c r="M291" s="135">
        <f t="shared" ca="1" si="160"/>
        <v>320.42738138568507</v>
      </c>
      <c r="N291" s="1138">
        <f ca="1">SUM(G291:M291)</f>
        <v>3146.6886309052024</v>
      </c>
      <c r="O291" s="1029"/>
      <c r="P291" s="135">
        <f t="shared" ca="1" si="161"/>
        <v>605.94261245803364</v>
      </c>
      <c r="Q291" s="135">
        <f t="shared" ca="1" si="161"/>
        <v>178.33977409344243</v>
      </c>
      <c r="R291" s="135">
        <f t="shared" ca="1" si="161"/>
        <v>701.69992528169928</v>
      </c>
      <c r="S291" s="135">
        <f t="shared" ca="1" si="161"/>
        <v>492.75739655296627</v>
      </c>
      <c r="T291" s="135">
        <f t="shared" ca="1" si="161"/>
        <v>226.95109303805069</v>
      </c>
      <c r="U291" s="135">
        <f t="shared" ca="1" si="161"/>
        <v>165.59785677801688</v>
      </c>
      <c r="W291" s="135">
        <f ca="1">SUM(P291:V291)</f>
        <v>2371.2886582022093</v>
      </c>
      <c r="Y291" s="817">
        <f ca="1">N291*wkday_per_yr</f>
        <v>786672.15772630065</v>
      </c>
      <c r="Z291" s="817">
        <f ca="1">W291*wkend_per_yr</f>
        <v>272698.19569325406</v>
      </c>
      <c r="AA291" s="817">
        <f ca="1">Y291+Z291</f>
        <v>1059370.3534195547</v>
      </c>
      <c r="AG291" s="1019">
        <f>ROW()</f>
        <v>291</v>
      </c>
    </row>
    <row r="292" spans="2:33">
      <c r="B292" s="496" t="s">
        <v>1509</v>
      </c>
      <c r="E292"/>
      <c r="F292"/>
      <c r="G292" s="135"/>
      <c r="H292" s="135"/>
      <c r="I292" s="135"/>
      <c r="J292" s="135"/>
      <c r="K292" s="135"/>
      <c r="L292" s="135"/>
      <c r="M292" s="135"/>
      <c r="N292" s="1138"/>
      <c r="O292" s="1029"/>
      <c r="AG292" s="1019">
        <f>ROW()</f>
        <v>292</v>
      </c>
    </row>
    <row r="293" spans="2:33">
      <c r="B293" s="1099" t="s">
        <v>2494</v>
      </c>
      <c r="E293"/>
      <c r="F293"/>
      <c r="G293" s="135">
        <f t="shared" ref="G293:M297" ca="1" si="162">G210+G266</f>
        <v>275588.99278177193</v>
      </c>
      <c r="H293" s="135">
        <f t="shared" ca="1" si="162"/>
        <v>69965.507623297279</v>
      </c>
      <c r="I293" s="135">
        <f t="shared" ca="1" si="162"/>
        <v>601746.77904101892</v>
      </c>
      <c r="J293" s="135">
        <f t="shared" ca="1" si="162"/>
        <v>165483.15834862544</v>
      </c>
      <c r="K293" s="135">
        <f t="shared" ca="1" si="162"/>
        <v>552760.2327403829</v>
      </c>
      <c r="L293" s="135">
        <f t="shared" ca="1" si="162"/>
        <v>1346967.2848942252</v>
      </c>
      <c r="M293" s="135">
        <f t="shared" ca="1" si="162"/>
        <v>365975.69639278122</v>
      </c>
      <c r="N293" s="1138">
        <f ca="1">SUM(G293:M293)</f>
        <v>3378487.6518221027</v>
      </c>
      <c r="O293" s="1029"/>
      <c r="P293" s="135">
        <f t="shared" ref="P293:U297" ca="1" si="163">P210+P266</f>
        <v>234113.49801464513</v>
      </c>
      <c r="Q293" s="135">
        <f t="shared" ca="1" si="163"/>
        <v>83437.421371361765</v>
      </c>
      <c r="R293" s="135">
        <f t="shared" ca="1" si="163"/>
        <v>294211.36878384021</v>
      </c>
      <c r="S293" s="135">
        <f t="shared" ca="1" si="163"/>
        <v>203093.04994582853</v>
      </c>
      <c r="T293" s="135">
        <f t="shared" ca="1" si="163"/>
        <v>100106.42874400818</v>
      </c>
      <c r="U293" s="135">
        <f t="shared" ca="1" si="163"/>
        <v>80318.261772766607</v>
      </c>
      <c r="W293" s="135">
        <f ca="1">SUM(P293:V293)</f>
        <v>995280.02863245038</v>
      </c>
      <c r="Y293" s="817">
        <f ca="1">N293*wkday_per_yr</f>
        <v>844621912.95552564</v>
      </c>
      <c r="Z293" s="817">
        <f ca="1">W293*wkend_per_yr</f>
        <v>114457203.29273179</v>
      </c>
      <c r="AA293" s="817">
        <f ca="1">Y293+Z293</f>
        <v>959079116.2482574</v>
      </c>
      <c r="AG293" s="1019">
        <f>ROW()</f>
        <v>293</v>
      </c>
    </row>
    <row r="294" spans="2:33">
      <c r="B294" s="1099" t="s">
        <v>1057</v>
      </c>
      <c r="E294"/>
      <c r="F294"/>
      <c r="G294" s="135">
        <f t="shared" ca="1" si="162"/>
        <v>84.836349645529211</v>
      </c>
      <c r="H294" s="135">
        <f t="shared" ca="1" si="162"/>
        <v>15.991444970209846</v>
      </c>
      <c r="I294" s="135">
        <f t="shared" ca="1" si="162"/>
        <v>290.41505206404753</v>
      </c>
      <c r="J294" s="135">
        <f t="shared" ca="1" si="162"/>
        <v>74.110337547487376</v>
      </c>
      <c r="K294" s="135">
        <f t="shared" ca="1" si="162"/>
        <v>221.33181950536402</v>
      </c>
      <c r="L294" s="135">
        <f t="shared" ca="1" si="162"/>
        <v>663.19574858892668</v>
      </c>
      <c r="M294" s="135">
        <f t="shared" ca="1" si="162"/>
        <v>134.37081978072666</v>
      </c>
      <c r="N294" s="1138">
        <f ca="1">SUM(G294:M294)</f>
        <v>1484.2515721022912</v>
      </c>
      <c r="O294" s="1029"/>
      <c r="P294" s="135">
        <f t="shared" ca="1" si="163"/>
        <v>70.597181249508964</v>
      </c>
      <c r="Q294" s="135">
        <f t="shared" ca="1" si="163"/>
        <v>25.857641692106824</v>
      </c>
      <c r="R294" s="135">
        <f t="shared" ca="1" si="163"/>
        <v>125.10907074502826</v>
      </c>
      <c r="S294" s="135">
        <f t="shared" ca="1" si="163"/>
        <v>92.351461297329806</v>
      </c>
      <c r="T294" s="135">
        <f t="shared" ca="1" si="163"/>
        <v>37.446882605922312</v>
      </c>
      <c r="U294" s="135">
        <f t="shared" ca="1" si="163"/>
        <v>23.275706478151236</v>
      </c>
      <c r="W294" s="135">
        <f ca="1">SUM(P294:V294)</f>
        <v>374.63794406804743</v>
      </c>
      <c r="Y294" s="817">
        <f ca="1">N294*wkday_per_yr</f>
        <v>371062.89302557282</v>
      </c>
      <c r="Z294" s="817">
        <f ca="1">W294*wkend_per_yr</f>
        <v>43083.363567825458</v>
      </c>
      <c r="AA294" s="817">
        <f ca="1">Y294+Z294</f>
        <v>414146.25659339828</v>
      </c>
      <c r="AG294" s="1019">
        <f>ROW()</f>
        <v>294</v>
      </c>
    </row>
    <row r="295" spans="2:33">
      <c r="B295" s="1099" t="s">
        <v>1058</v>
      </c>
      <c r="E295"/>
      <c r="F295"/>
      <c r="G295" s="135">
        <f t="shared" ca="1" si="162"/>
        <v>1134.8804249826896</v>
      </c>
      <c r="H295" s="135">
        <f t="shared" ca="1" si="162"/>
        <v>204.16104592016069</v>
      </c>
      <c r="I295" s="135">
        <f t="shared" ca="1" si="162"/>
        <v>2946.1344259099583</v>
      </c>
      <c r="J295" s="135">
        <f t="shared" ca="1" si="162"/>
        <v>749.92945832701878</v>
      </c>
      <c r="K295" s="135">
        <f t="shared" ca="1" si="162"/>
        <v>2241.2096596959491</v>
      </c>
      <c r="L295" s="135">
        <f t="shared" ca="1" si="162"/>
        <v>6744.1230201939861</v>
      </c>
      <c r="M295" s="135">
        <f t="shared" ca="1" si="162"/>
        <v>1366.2794102495725</v>
      </c>
      <c r="N295" s="1138">
        <f ca="1">SUM(G295:M295)</f>
        <v>15386.717445279333</v>
      </c>
      <c r="O295" s="1029"/>
      <c r="P295" s="135">
        <f t="shared" ca="1" si="163"/>
        <v>942.69526065425771</v>
      </c>
      <c r="Q295" s="135">
        <f t="shared" ca="1" si="163"/>
        <v>267.23419647836323</v>
      </c>
      <c r="R295" s="135">
        <f t="shared" ca="1" si="163"/>
        <v>1265.6120590417422</v>
      </c>
      <c r="S295" s="135">
        <f t="shared" ca="1" si="163"/>
        <v>934.8958171928025</v>
      </c>
      <c r="T295" s="135">
        <f t="shared" ca="1" si="163"/>
        <v>380.32462365480319</v>
      </c>
      <c r="U295" s="135">
        <f t="shared" ca="1" si="163"/>
        <v>243.34014830781203</v>
      </c>
      <c r="W295" s="135">
        <f ca="1">SUM(P295:V295)</f>
        <v>4034.1021053297804</v>
      </c>
      <c r="Y295" s="817">
        <f ca="1">N295*wkday_per_yr</f>
        <v>3846679.3613198334</v>
      </c>
      <c r="Z295" s="817">
        <f ca="1">W295*wkend_per_yr</f>
        <v>463921.74211292475</v>
      </c>
      <c r="AA295" s="817">
        <f ca="1">Y295+Z295</f>
        <v>4310601.1034327578</v>
      </c>
      <c r="AG295" s="1019">
        <f>ROW()</f>
        <v>295</v>
      </c>
    </row>
    <row r="296" spans="2:33">
      <c r="B296" s="1099" t="s">
        <v>1044</v>
      </c>
      <c r="E296"/>
      <c r="F296"/>
      <c r="G296" s="135">
        <f t="shared" ca="1" si="162"/>
        <v>1545.6903491341038</v>
      </c>
      <c r="H296" s="135">
        <f t="shared" ca="1" si="162"/>
        <v>343.30310920475199</v>
      </c>
      <c r="I296" s="135">
        <f t="shared" ca="1" si="162"/>
        <v>2128.7279152159672</v>
      </c>
      <c r="J296" s="135">
        <f t="shared" ca="1" si="162"/>
        <v>614.48633672996925</v>
      </c>
      <c r="K296" s="135">
        <f t="shared" ca="1" si="162"/>
        <v>2143.6989966042593</v>
      </c>
      <c r="L296" s="135">
        <f t="shared" ca="1" si="162"/>
        <v>4570.428260803269</v>
      </c>
      <c r="M296" s="135">
        <f t="shared" ca="1" si="162"/>
        <v>1441.2206680743122</v>
      </c>
      <c r="N296" s="1138">
        <f ca="1">SUM(G296:M296)</f>
        <v>12787.555635766634</v>
      </c>
      <c r="O296" s="1029"/>
      <c r="P296" s="135">
        <f t="shared" ca="1" si="163"/>
        <v>1299.376502896637</v>
      </c>
      <c r="Q296" s="135">
        <f t="shared" ca="1" si="163"/>
        <v>340.58867834304164</v>
      </c>
      <c r="R296" s="135">
        <f t="shared" ca="1" si="163"/>
        <v>1119.138634813025</v>
      </c>
      <c r="S296" s="135">
        <f t="shared" ca="1" si="163"/>
        <v>745.99337232768153</v>
      </c>
      <c r="T296" s="135">
        <f t="shared" ca="1" si="163"/>
        <v>393.14688607951467</v>
      </c>
      <c r="U296" s="135">
        <f t="shared" ca="1" si="163"/>
        <v>331.06736110540527</v>
      </c>
      <c r="W296" s="135">
        <f ca="1">SUM(P296:V296)</f>
        <v>4229.3114355653051</v>
      </c>
      <c r="Y296" s="817">
        <f ca="1">N296*wkday_per_yr</f>
        <v>3196888.9089416582</v>
      </c>
      <c r="Z296" s="817">
        <f ca="1">W296*wkend_per_yr</f>
        <v>486370.81509001012</v>
      </c>
      <c r="AA296" s="817">
        <f ca="1">Y296+Z296</f>
        <v>3683259.7240316682</v>
      </c>
      <c r="AG296" s="1019">
        <f>ROW()</f>
        <v>296</v>
      </c>
    </row>
    <row r="297" spans="2:33">
      <c r="B297" s="1099" t="s">
        <v>1054</v>
      </c>
      <c r="E297"/>
      <c r="F297"/>
      <c r="G297" s="135">
        <f t="shared" ca="1" si="162"/>
        <v>32.400688891992139</v>
      </c>
      <c r="H297" s="135">
        <f t="shared" ca="1" si="162"/>
        <v>7.7793363313108479</v>
      </c>
      <c r="I297" s="135">
        <f t="shared" ca="1" si="162"/>
        <v>88.622786548600573</v>
      </c>
      <c r="J297" s="135">
        <f t="shared" ca="1" si="162"/>
        <v>24.312576462919949</v>
      </c>
      <c r="K297" s="135">
        <f t="shared" ca="1" si="162"/>
        <v>79.454429192634223</v>
      </c>
      <c r="L297" s="135">
        <f t="shared" ca="1" si="162"/>
        <v>195.0101323306956</v>
      </c>
      <c r="M297" s="135">
        <f t="shared" ca="1" si="162"/>
        <v>51.081439097115918</v>
      </c>
      <c r="N297" s="1138">
        <f ca="1">SUM(G297:M297)</f>
        <v>478.66138885526925</v>
      </c>
      <c r="O297" s="1029"/>
      <c r="P297" s="135">
        <f t="shared" ca="1" si="163"/>
        <v>27.345229369745343</v>
      </c>
      <c r="Q297" s="135">
        <f t="shared" ca="1" si="163"/>
        <v>11.025549713298048</v>
      </c>
      <c r="R297" s="135">
        <f t="shared" ca="1" si="163"/>
        <v>42.898471965705767</v>
      </c>
      <c r="S297" s="135">
        <f t="shared" ca="1" si="163"/>
        <v>29.833906775529702</v>
      </c>
      <c r="T297" s="135">
        <f t="shared" ca="1" si="163"/>
        <v>14.067371108183284</v>
      </c>
      <c r="U297" s="135">
        <f t="shared" ca="1" si="163"/>
        <v>10.329509436693112</v>
      </c>
      <c r="W297" s="135">
        <f ca="1">SUM(P297:V297)</f>
        <v>135.50003836915525</v>
      </c>
      <c r="Y297" s="817">
        <f ca="1">N297*wkday_per_yr</f>
        <v>119665.34721381731</v>
      </c>
      <c r="Z297" s="817">
        <f ca="1">W297*wkend_per_yr</f>
        <v>15582.504412452854</v>
      </c>
      <c r="AA297" s="817">
        <f ca="1">Y297+Z297</f>
        <v>135247.85162627016</v>
      </c>
      <c r="AG297" s="1019">
        <f>ROW()</f>
        <v>297</v>
      </c>
    </row>
    <row r="298" spans="2:33">
      <c r="B298" s="496" t="s">
        <v>810</v>
      </c>
      <c r="C298" s="912"/>
      <c r="E298"/>
      <c r="F298"/>
      <c r="G298" s="135"/>
      <c r="H298" s="135"/>
      <c r="I298" s="135"/>
      <c r="J298" s="135"/>
      <c r="K298" s="135"/>
      <c r="L298" s="135"/>
      <c r="M298" s="135"/>
      <c r="N298" s="1138"/>
      <c r="O298" s="1029"/>
      <c r="AG298" s="1019">
        <f>ROW()</f>
        <v>298</v>
      </c>
    </row>
    <row r="299" spans="2:33">
      <c r="B299" s="1099" t="s">
        <v>2494</v>
      </c>
      <c r="C299" s="912"/>
      <c r="E299"/>
      <c r="F299"/>
      <c r="G299" s="135">
        <f t="shared" ref="G299:M303" ca="1" si="164">G216+G272</f>
        <v>142097.13356597951</v>
      </c>
      <c r="H299" s="135">
        <f t="shared" ca="1" si="164"/>
        <v>36720.983956329372</v>
      </c>
      <c r="I299" s="135">
        <f t="shared" ca="1" si="164"/>
        <v>312612.97890028247</v>
      </c>
      <c r="J299" s="135">
        <f t="shared" ca="1" si="164"/>
        <v>85614.027640307351</v>
      </c>
      <c r="K299" s="135">
        <f t="shared" ca="1" si="164"/>
        <v>285118.91655148409</v>
      </c>
      <c r="L299" s="135">
        <f t="shared" ca="1" si="164"/>
        <v>699100.00031801406</v>
      </c>
      <c r="M299" s="135">
        <f t="shared" ca="1" si="164"/>
        <v>188970.3320025217</v>
      </c>
      <c r="N299" s="1138">
        <f ca="1">SUM(G299:M299)</f>
        <v>1750234.3729349186</v>
      </c>
      <c r="O299" s="1029"/>
      <c r="P299" s="135">
        <f t="shared" ref="P299:U303" ca="1" si="165">P216+P272</f>
        <v>180048.70742394499</v>
      </c>
      <c r="Q299" s="135">
        <f t="shared" ca="1" si="165"/>
        <v>64123.019212737272</v>
      </c>
      <c r="R299" s="135">
        <f t="shared" ca="1" si="165"/>
        <v>225372.38463042921</v>
      </c>
      <c r="S299" s="135">
        <f t="shared" ca="1" si="165"/>
        <v>155274.62318594515</v>
      </c>
      <c r="T299" s="135">
        <f t="shared" ca="1" si="165"/>
        <v>76722.077723190392</v>
      </c>
      <c r="U299" s="135">
        <f t="shared" ca="1" si="165"/>
        <v>61801.328258227601</v>
      </c>
      <c r="W299" s="135">
        <f ca="1">SUM(P299:V299)</f>
        <v>763342.14043447468</v>
      </c>
      <c r="Y299" s="817">
        <f ca="1">N299*wkday_per_yr</f>
        <v>437558593.23372966</v>
      </c>
      <c r="Z299" s="817">
        <f ca="1">W299*wkend_per_yr</f>
        <v>87784346.149964586</v>
      </c>
      <c r="AA299" s="817">
        <f ca="1">Y299+Z299</f>
        <v>525342939.38369423</v>
      </c>
      <c r="AG299" s="1019">
        <f>ROW()</f>
        <v>299</v>
      </c>
    </row>
    <row r="300" spans="2:33">
      <c r="B300" s="1099" t="s">
        <v>1057</v>
      </c>
      <c r="E300"/>
      <c r="F300"/>
      <c r="G300" s="135">
        <f t="shared" ca="1" si="164"/>
        <v>88.99521008060627</v>
      </c>
      <c r="H300" s="135">
        <f t="shared" ca="1" si="164"/>
        <v>16.759719399158293</v>
      </c>
      <c r="I300" s="135">
        <f t="shared" ca="1" si="164"/>
        <v>303.18027899175735</v>
      </c>
      <c r="J300" s="135">
        <f t="shared" ca="1" si="164"/>
        <v>76.838247396132374</v>
      </c>
      <c r="K300" s="135">
        <f t="shared" ca="1" si="164"/>
        <v>227.41336630235489</v>
      </c>
      <c r="L300" s="135">
        <f t="shared" ca="1" si="164"/>
        <v>692.77602829465297</v>
      </c>
      <c r="M300" s="135">
        <f t="shared" ca="1" si="164"/>
        <v>137.59590580469833</v>
      </c>
      <c r="N300" s="1138">
        <f ca="1">SUM(G300:M300)</f>
        <v>1543.5587562693604</v>
      </c>
      <c r="O300" s="1029"/>
      <c r="P300" s="135">
        <f t="shared" ca="1" si="165"/>
        <v>110.19084326962641</v>
      </c>
      <c r="Q300" s="135">
        <f t="shared" ca="1" si="165"/>
        <v>39.143750274460089</v>
      </c>
      <c r="R300" s="135">
        <f t="shared" ca="1" si="165"/>
        <v>191.51970863791658</v>
      </c>
      <c r="S300" s="135">
        <f t="shared" ca="1" si="165"/>
        <v>141.6743454187519</v>
      </c>
      <c r="T300" s="135">
        <f t="shared" ca="1" si="165"/>
        <v>56.983248840715376</v>
      </c>
      <c r="U300" s="135">
        <f t="shared" ca="1" si="165"/>
        <v>35.146577693528933</v>
      </c>
      <c r="W300" s="135">
        <f ca="1">SUM(P300:V300)</f>
        <v>574.65847413499921</v>
      </c>
      <c r="Y300" s="817">
        <f ca="1">N300*wkday_per_yr</f>
        <v>385889.68906734011</v>
      </c>
      <c r="Z300" s="817">
        <f ca="1">W300*wkend_per_yr</f>
        <v>66085.724525524914</v>
      </c>
      <c r="AA300" s="817">
        <f ca="1">Y300+Z300</f>
        <v>451975.41359286499</v>
      </c>
      <c r="AG300" s="1019">
        <f>ROW()</f>
        <v>300</v>
      </c>
    </row>
    <row r="301" spans="2:33">
      <c r="B301" s="1099" t="s">
        <v>1058</v>
      </c>
      <c r="E301"/>
      <c r="F301"/>
      <c r="G301" s="135">
        <f t="shared" ca="1" si="164"/>
        <v>960.85976092057331</v>
      </c>
      <c r="H301" s="135">
        <f t="shared" ca="1" si="164"/>
        <v>166.72493710805281</v>
      </c>
      <c r="I301" s="135">
        <f t="shared" ca="1" si="164"/>
        <v>2538.5172307771354</v>
      </c>
      <c r="J301" s="135">
        <f t="shared" ca="1" si="164"/>
        <v>635.34741494514378</v>
      </c>
      <c r="K301" s="135">
        <f t="shared" ca="1" si="164"/>
        <v>1856.7616710812304</v>
      </c>
      <c r="L301" s="135">
        <f t="shared" ca="1" si="164"/>
        <v>5841.486140935237</v>
      </c>
      <c r="M301" s="135">
        <f t="shared" ca="1" si="164"/>
        <v>1117.5822186988785</v>
      </c>
      <c r="N301" s="1138">
        <f ca="1">SUM(G301:M301)</f>
        <v>13117.27937446625</v>
      </c>
      <c r="O301" s="1029"/>
      <c r="P301" s="135">
        <f t="shared" ca="1" si="165"/>
        <v>1184.9761017361959</v>
      </c>
      <c r="Q301" s="135">
        <f t="shared" ca="1" si="165"/>
        <v>317.15049366632383</v>
      </c>
      <c r="R301" s="135">
        <f t="shared" ca="1" si="165"/>
        <v>1573.0980977844629</v>
      </c>
      <c r="S301" s="135">
        <f t="shared" ca="1" si="165"/>
        <v>1174.3814220926495</v>
      </c>
      <c r="T301" s="135">
        <f t="shared" ca="1" si="165"/>
        <v>463.23639048263163</v>
      </c>
      <c r="U301" s="135">
        <f t="shared" ca="1" si="165"/>
        <v>286.12688216286068</v>
      </c>
      <c r="W301" s="135">
        <f ca="1">SUM(P301:V301)</f>
        <v>4998.9693879251245</v>
      </c>
      <c r="Y301" s="817">
        <f ca="1">N301*wkday_per_yr</f>
        <v>3279319.8436165624</v>
      </c>
      <c r="Z301" s="817">
        <f ca="1">W301*wkend_per_yr</f>
        <v>574881.47961138934</v>
      </c>
      <c r="AA301" s="817">
        <f ca="1">Y301+Z301</f>
        <v>3854201.3232279518</v>
      </c>
      <c r="AG301" s="1019">
        <f>ROW()</f>
        <v>301</v>
      </c>
    </row>
    <row r="302" spans="2:33">
      <c r="B302" s="1099" t="s">
        <v>1044</v>
      </c>
      <c r="E302" s="1020"/>
      <c r="F302" s="902"/>
      <c r="G302" s="135">
        <f t="shared" ca="1" si="164"/>
        <v>2277.9283526746472</v>
      </c>
      <c r="H302" s="135">
        <f t="shared" ca="1" si="164"/>
        <v>483.60391798523438</v>
      </c>
      <c r="I302" s="135">
        <f t="shared" ca="1" si="164"/>
        <v>3172.0295836068835</v>
      </c>
      <c r="J302" s="135">
        <f t="shared" ca="1" si="164"/>
        <v>886.68368959907696</v>
      </c>
      <c r="K302" s="135">
        <f t="shared" ca="1" si="164"/>
        <v>2988.6658475799695</v>
      </c>
      <c r="L302" s="135">
        <f t="shared" ca="1" si="164"/>
        <v>6924.5137573103584</v>
      </c>
      <c r="M302" s="135">
        <f t="shared" ca="1" si="164"/>
        <v>1981.7874357916792</v>
      </c>
      <c r="N302" s="1138">
        <f ca="1">SUM(G302:M302)</f>
        <v>18715.212584547851</v>
      </c>
      <c r="O302" s="1029"/>
      <c r="P302" s="135">
        <f t="shared" ca="1" si="165"/>
        <v>2842.7296719303804</v>
      </c>
      <c r="Q302" s="135">
        <f t="shared" ca="1" si="165"/>
        <v>679.92346305001672</v>
      </c>
      <c r="R302" s="135">
        <f t="shared" ca="1" si="165"/>
        <v>2351.8881708617255</v>
      </c>
      <c r="S302" s="135">
        <f t="shared" ca="1" si="165"/>
        <v>1601.414539771883</v>
      </c>
      <c r="T302" s="135">
        <f t="shared" ca="1" si="165"/>
        <v>804.53403242625882</v>
      </c>
      <c r="U302" s="135">
        <f t="shared" ca="1" si="165"/>
        <v>658.82610248862375</v>
      </c>
      <c r="V302" s="135"/>
      <c r="W302" s="135">
        <f ca="1">SUM(P302:V302)</f>
        <v>8939.3159805288888</v>
      </c>
      <c r="Y302" s="817">
        <f ca="1">N302*wkday_per_yr</f>
        <v>4678803.1461369628</v>
      </c>
      <c r="Z302" s="817">
        <f ca="1">W302*wkend_per_yr</f>
        <v>1028021.3377608221</v>
      </c>
      <c r="AA302" s="817">
        <f ca="1">Y302+Z302</f>
        <v>5706824.4838977847</v>
      </c>
      <c r="AG302" s="1019">
        <f>ROW()</f>
        <v>302</v>
      </c>
    </row>
    <row r="303" spans="2:33">
      <c r="B303" s="1099" t="s">
        <v>1054</v>
      </c>
      <c r="E303" s="1020"/>
      <c r="F303" s="902"/>
      <c r="G303" s="135">
        <f t="shared" ca="1" si="164"/>
        <v>30.381607897259087</v>
      </c>
      <c r="H303" s="135">
        <f t="shared" ca="1" si="164"/>
        <v>6.9104442116542346</v>
      </c>
      <c r="I303" s="135">
        <f t="shared" ca="1" si="164"/>
        <v>91.444399502552187</v>
      </c>
      <c r="J303" s="135">
        <f t="shared" ca="1" si="164"/>
        <v>24.361162578659435</v>
      </c>
      <c r="K303" s="135">
        <f t="shared" ca="1" si="164"/>
        <v>76.789086313464722</v>
      </c>
      <c r="L303" s="135">
        <f t="shared" ca="1" si="164"/>
        <v>203.88275456635017</v>
      </c>
      <c r="M303" s="135">
        <f t="shared" ca="1" si="164"/>
        <v>48.447509523798168</v>
      </c>
      <c r="N303" s="1138">
        <f ca="1">SUM(G303:M303)</f>
        <v>482.216964593738</v>
      </c>
      <c r="O303" s="1029"/>
      <c r="P303" s="135">
        <f t="shared" ca="1" si="165"/>
        <v>38.05349206235185</v>
      </c>
      <c r="Q303" s="135">
        <f t="shared" ca="1" si="165"/>
        <v>14.969735229797713</v>
      </c>
      <c r="R303" s="135">
        <f t="shared" ca="1" si="165"/>
        <v>62.604787674285461</v>
      </c>
      <c r="S303" s="135">
        <f t="shared" ca="1" si="165"/>
        <v>44.452164538746885</v>
      </c>
      <c r="T303" s="135">
        <f t="shared" ca="1" si="165"/>
        <v>19.884724473326632</v>
      </c>
      <c r="U303" s="135">
        <f t="shared" ca="1" si="165"/>
        <v>13.858366049247262</v>
      </c>
      <c r="V303" s="135"/>
      <c r="W303" s="135">
        <f ca="1">SUM(P303:V303)</f>
        <v>193.82327002775577</v>
      </c>
      <c r="Y303" s="817">
        <f ca="1">N303*wkday_per_yr</f>
        <v>120554.24114843451</v>
      </c>
      <c r="Z303" s="817">
        <f ca="1">W303*wkend_per_yr</f>
        <v>22289.676053191914</v>
      </c>
      <c r="AA303" s="817">
        <f ca="1">Y303+Z303</f>
        <v>142843.91720162641</v>
      </c>
      <c r="AG303" s="1019">
        <f>ROW()</f>
        <v>303</v>
      </c>
    </row>
    <row r="304" spans="2:33">
      <c r="B304" s="1066" t="s">
        <v>653</v>
      </c>
      <c r="E304" s="1020"/>
      <c r="F304" s="902"/>
      <c r="G304" s="135"/>
      <c r="H304" s="135"/>
      <c r="I304" s="135"/>
      <c r="J304" s="135"/>
      <c r="K304" s="135"/>
      <c r="L304" s="135"/>
      <c r="M304" s="135"/>
      <c r="N304" s="1138"/>
      <c r="O304" s="1029"/>
      <c r="P304" s="135"/>
      <c r="Q304" s="135"/>
      <c r="R304" s="135"/>
      <c r="S304" s="135"/>
      <c r="T304" s="135"/>
      <c r="U304" s="135"/>
      <c r="V304" s="135"/>
      <c r="W304" s="135"/>
      <c r="AG304" s="1019">
        <f>ROW()</f>
        <v>304</v>
      </c>
    </row>
    <row r="305" spans="2:33">
      <c r="B305" s="1099" t="s">
        <v>2494</v>
      </c>
      <c r="E305" s="1020"/>
      <c r="F305" s="902"/>
      <c r="G305" s="135">
        <f t="shared" ref="G305:M305" ca="1" si="166">G287+G293+G299</f>
        <v>2771052.9157892233</v>
      </c>
      <c r="H305" s="135">
        <f t="shared" ca="1" si="166"/>
        <v>700333.09369187208</v>
      </c>
      <c r="I305" s="135">
        <f t="shared" ca="1" si="166"/>
        <v>5822343.4752402222</v>
      </c>
      <c r="J305" s="135">
        <f t="shared" ca="1" si="166"/>
        <v>1599623.6116414918</v>
      </c>
      <c r="K305" s="135">
        <f t="shared" ca="1" si="166"/>
        <v>5351461.882972395</v>
      </c>
      <c r="L305" s="135">
        <f t="shared" ca="1" si="166"/>
        <v>13220692.223261051</v>
      </c>
      <c r="M305" s="135">
        <f t="shared" ca="1" si="166"/>
        <v>3661677.7851914712</v>
      </c>
      <c r="N305" s="1138">
        <f ca="1">SUM(G305:M305)</f>
        <v>33127184.987787727</v>
      </c>
      <c r="O305" s="1029"/>
      <c r="P305" s="135">
        <f t="shared" ref="P305:U305" ca="1" si="167">P287+P293+P299</f>
        <v>5611005.8161379471</v>
      </c>
      <c r="Q305" s="135">
        <f t="shared" ca="1" si="167"/>
        <v>1997962.7780831461</v>
      </c>
      <c r="R305" s="135">
        <f t="shared" ca="1" si="167"/>
        <v>6891321.3002155898</v>
      </c>
      <c r="S305" s="135">
        <f t="shared" ca="1" si="167"/>
        <v>4717260.1676715855</v>
      </c>
      <c r="T305" s="135">
        <f t="shared" ca="1" si="167"/>
        <v>2358973.5024705417</v>
      </c>
      <c r="U305" s="135">
        <f t="shared" ca="1" si="167"/>
        <v>1904870.2026996892</v>
      </c>
      <c r="V305" s="135"/>
      <c r="W305" s="135">
        <f ca="1">SUM(P305:V305)</f>
        <v>23481393.7672785</v>
      </c>
      <c r="Y305" s="817">
        <f ca="1">N305*wkday_per_yr</f>
        <v>8281796246.9469318</v>
      </c>
      <c r="Z305" s="817">
        <f ca="1">W305*wkend_per_yr</f>
        <v>2700360283.2370276</v>
      </c>
      <c r="AA305" s="817">
        <f ca="1">Y305+Z305</f>
        <v>10982156530.18396</v>
      </c>
      <c r="AG305" s="1019">
        <f>ROW()</f>
        <v>305</v>
      </c>
    </row>
    <row r="306" spans="2:33">
      <c r="B306" s="1099" t="s">
        <v>1057</v>
      </c>
      <c r="E306" s="1020"/>
      <c r="F306" s="902"/>
      <c r="G306" s="135">
        <f t="shared" ref="G306:M306" ca="1" si="168">G288+G294+G300</f>
        <v>1407.5756049878034</v>
      </c>
      <c r="H306" s="135">
        <f t="shared" ca="1" si="168"/>
        <v>239.0229750024854</v>
      </c>
      <c r="I306" s="135">
        <f t="shared" ca="1" si="168"/>
        <v>3692.6986234369256</v>
      </c>
      <c r="J306" s="135">
        <f t="shared" ca="1" si="168"/>
        <v>926.80040505060049</v>
      </c>
      <c r="K306" s="135">
        <f t="shared" ca="1" si="168"/>
        <v>2718.2406642048809</v>
      </c>
      <c r="L306" s="135">
        <f t="shared" ca="1" si="168"/>
        <v>8626.262863472788</v>
      </c>
      <c r="M306" s="135">
        <f t="shared" ca="1" si="168"/>
        <v>1687.1830616190887</v>
      </c>
      <c r="N306" s="1138">
        <f ca="1">SUM(G306:M306)</f>
        <v>19297.784197774574</v>
      </c>
      <c r="O306" s="1029"/>
      <c r="P306" s="135">
        <f t="shared" ref="P306:U306" ca="1" si="169">P288+P294+P300</f>
        <v>2831.354855881892</v>
      </c>
      <c r="Q306" s="135">
        <f t="shared" ca="1" si="169"/>
        <v>767.44601888318095</v>
      </c>
      <c r="R306" s="135">
        <f t="shared" ca="1" si="169"/>
        <v>3758.4827309349234</v>
      </c>
      <c r="S306" s="135">
        <f t="shared" ca="1" si="169"/>
        <v>2790.8455003902341</v>
      </c>
      <c r="T306" s="135">
        <f t="shared" ca="1" si="169"/>
        <v>1110.5071892130632</v>
      </c>
      <c r="U306" s="135">
        <f t="shared" ca="1" si="169"/>
        <v>683.2568840240782</v>
      </c>
      <c r="V306" s="135"/>
      <c r="W306" s="135">
        <f ca="1">SUM(P306:V306)</f>
        <v>11941.893179327373</v>
      </c>
      <c r="Y306" s="817">
        <f ca="1">N306*wkday_per_yr</f>
        <v>4824446.0494436435</v>
      </c>
      <c r="Z306" s="817">
        <f ca="1">W306*wkend_per_yr</f>
        <v>1373317.7156226479</v>
      </c>
      <c r="AA306" s="817">
        <f ca="1">Y306+Z306</f>
        <v>6197763.7650662912</v>
      </c>
      <c r="AG306" s="1019">
        <f>ROW()</f>
        <v>306</v>
      </c>
    </row>
    <row r="307" spans="2:33">
      <c r="B307" s="1099" t="s">
        <v>1058</v>
      </c>
      <c r="E307" s="1020"/>
      <c r="F307" s="902"/>
      <c r="G307" s="135">
        <f t="shared" ref="G307:M307" ca="1" si="170">G289+G295+G301</f>
        <v>23490.146865343122</v>
      </c>
      <c r="H307" s="135">
        <f t="shared" ca="1" si="170"/>
        <v>5515.3907508661432</v>
      </c>
      <c r="I307" s="135">
        <f t="shared" ca="1" si="170"/>
        <v>52918.836581559437</v>
      </c>
      <c r="J307" s="135">
        <f t="shared" ca="1" si="170"/>
        <v>14688.578315807581</v>
      </c>
      <c r="K307" s="135">
        <f t="shared" ca="1" si="170"/>
        <v>48689.678640568673</v>
      </c>
      <c r="L307" s="135">
        <f t="shared" ca="1" si="170"/>
        <v>117600.40816614909</v>
      </c>
      <c r="M307" s="135">
        <f t="shared" ca="1" si="170"/>
        <v>32758.441606872675</v>
      </c>
      <c r="N307" s="1138">
        <f ca="1">SUM(G307:M307)</f>
        <v>295661.4809271667</v>
      </c>
      <c r="O307" s="1029"/>
      <c r="P307" s="135">
        <f t="shared" ref="P307:U307" ca="1" si="171">P289+P295+P301</f>
        <v>49089.837518224536</v>
      </c>
      <c r="Q307" s="135">
        <f t="shared" ca="1" si="171"/>
        <v>18115.35879661272</v>
      </c>
      <c r="R307" s="135">
        <f t="shared" ca="1" si="171"/>
        <v>65859.962092070651</v>
      </c>
      <c r="S307" s="135">
        <f t="shared" ca="1" si="171"/>
        <v>44886.526090902611</v>
      </c>
      <c r="T307" s="135">
        <f t="shared" ca="1" si="171"/>
        <v>22163.117059346769</v>
      </c>
      <c r="U307" s="135">
        <f t="shared" ca="1" si="171"/>
        <v>16969.626091970662</v>
      </c>
      <c r="V307" s="135"/>
      <c r="W307" s="135">
        <f ca="1">SUM(P307:V307)</f>
        <v>217084.42764912796</v>
      </c>
      <c r="Y307" s="817">
        <f ca="1">N307*wkday_per_yr</f>
        <v>73915370.231791675</v>
      </c>
      <c r="Z307" s="817">
        <f ca="1">W307*wkend_per_yr</f>
        <v>24964709.179649714</v>
      </c>
      <c r="AA307" s="817">
        <f ca="1">Y307+Z307</f>
        <v>98880079.411441386</v>
      </c>
      <c r="AG307" s="1019">
        <f>ROW()</f>
        <v>307</v>
      </c>
    </row>
    <row r="308" spans="2:33">
      <c r="B308" s="1099" t="s">
        <v>1044</v>
      </c>
      <c r="E308" s="1020"/>
      <c r="F308" s="902"/>
      <c r="G308" s="135">
        <f t="shared" ref="G308:M308" ca="1" si="172">G290+G296+G302</f>
        <v>6949.4166278458324</v>
      </c>
      <c r="H308" s="135">
        <f t="shared" ca="1" si="172"/>
        <v>1568.6054286676836</v>
      </c>
      <c r="I308" s="135">
        <f t="shared" ca="1" si="172"/>
        <v>10805.290677504268</v>
      </c>
      <c r="J308" s="135">
        <f t="shared" ca="1" si="172"/>
        <v>3081.2455592749393</v>
      </c>
      <c r="K308" s="135">
        <f t="shared" ca="1" si="172"/>
        <v>10576.53112586699</v>
      </c>
      <c r="L308" s="135">
        <f t="shared" ca="1" si="172"/>
        <v>23537.952044146274</v>
      </c>
      <c r="M308" s="135">
        <f t="shared" ca="1" si="172"/>
        <v>7185.5364627365079</v>
      </c>
      <c r="N308" s="1138">
        <f ca="1">SUM(G308:M308)</f>
        <v>63704.577926042497</v>
      </c>
      <c r="O308" s="1029"/>
      <c r="P308" s="135">
        <f t="shared" ref="P308:U308" ca="1" si="173">P290+P296+P302</f>
        <v>10994.399500888623</v>
      </c>
      <c r="Q308" s="135">
        <f t="shared" ca="1" si="173"/>
        <v>3273.2670597666079</v>
      </c>
      <c r="R308" s="135">
        <f t="shared" ca="1" si="173"/>
        <v>11056.652713970627</v>
      </c>
      <c r="S308" s="135">
        <f t="shared" ca="1" si="173"/>
        <v>7403.2889456579214</v>
      </c>
      <c r="T308" s="135">
        <f t="shared" ca="1" si="173"/>
        <v>3836.658544142319</v>
      </c>
      <c r="U308" s="135">
        <f t="shared" ca="1" si="173"/>
        <v>3131.0453062580318</v>
      </c>
      <c r="V308" s="135"/>
      <c r="W308" s="135">
        <f ca="1">SUM(P308:V308)</f>
        <v>39695.312070684129</v>
      </c>
      <c r="Y308" s="817">
        <f ca="1">N308*wkday_per_yr</f>
        <v>15926144.481510624</v>
      </c>
      <c r="Z308" s="817">
        <f ca="1">W308*wkend_per_yr</f>
        <v>4564960.8881286746</v>
      </c>
      <c r="AA308" s="817">
        <f ca="1">Y308+Z308</f>
        <v>20491105.3696393</v>
      </c>
      <c r="AG308" s="1019">
        <f>ROW()</f>
        <v>308</v>
      </c>
    </row>
    <row r="309" spans="2:33">
      <c r="B309" s="1099" t="s">
        <v>1054</v>
      </c>
      <c r="E309" s="1020"/>
      <c r="F309" s="902"/>
      <c r="G309" s="135">
        <f t="shared" ref="G309:M309" ca="1" si="174">G291+G297+G303</f>
        <v>341.72937954808538</v>
      </c>
      <c r="H309" s="135">
        <f t="shared" ca="1" si="174"/>
        <v>72.038336089735282</v>
      </c>
      <c r="I309" s="135">
        <f t="shared" ca="1" si="174"/>
        <v>746.76019535179876</v>
      </c>
      <c r="J309" s="135">
        <f t="shared" ca="1" si="174"/>
        <v>200.45220081272242</v>
      </c>
      <c r="K309" s="135">
        <f t="shared" ca="1" si="174"/>
        <v>640.79224065609753</v>
      </c>
      <c r="L309" s="135">
        <f t="shared" ca="1" si="174"/>
        <v>1685.8383018891714</v>
      </c>
      <c r="M309" s="135">
        <f t="shared" ca="1" si="174"/>
        <v>419.9563300065991</v>
      </c>
      <c r="N309" s="1138">
        <f ca="1">SUM(G309:M309)</f>
        <v>4107.56698435421</v>
      </c>
      <c r="O309" s="1029"/>
      <c r="P309" s="135">
        <f t="shared" ref="P309:U309" ca="1" si="175">P291+P297+P303</f>
        <v>671.34133389013084</v>
      </c>
      <c r="Q309" s="135">
        <f t="shared" ca="1" si="175"/>
        <v>204.33505903653821</v>
      </c>
      <c r="R309" s="135">
        <f t="shared" ca="1" si="175"/>
        <v>807.20318492169054</v>
      </c>
      <c r="S309" s="135">
        <f t="shared" ca="1" si="175"/>
        <v>567.04346786724284</v>
      </c>
      <c r="T309" s="135">
        <f t="shared" ca="1" si="175"/>
        <v>260.90318861956064</v>
      </c>
      <c r="U309" s="135">
        <f t="shared" ca="1" si="175"/>
        <v>189.78573226395724</v>
      </c>
      <c r="V309" s="135"/>
      <c r="W309" s="135">
        <f ca="1">SUM(P309:V309)</f>
        <v>2700.61196659912</v>
      </c>
      <c r="Y309" s="817">
        <f ca="1">N309*wkday_per_yr</f>
        <v>1026891.7460885525</v>
      </c>
      <c r="Z309" s="817">
        <f ca="1">W309*wkend_per_yr</f>
        <v>310570.37615889881</v>
      </c>
      <c r="AA309" s="817">
        <f ca="1">Y309+Z309</f>
        <v>1337462.1222474515</v>
      </c>
      <c r="AG309" s="1019">
        <f>ROW()</f>
        <v>309</v>
      </c>
    </row>
    <row r="310" spans="2:33">
      <c r="B310" s="497"/>
      <c r="G310" s="1030"/>
      <c r="H310" s="1030"/>
      <c r="I310" s="1030"/>
      <c r="J310" s="1030"/>
      <c r="K310" s="1030"/>
      <c r="L310" s="1030"/>
      <c r="M310" s="1030"/>
      <c r="N310" s="1137"/>
      <c r="O310" s="1029"/>
      <c r="AG310" s="1019">
        <f>ROW()</f>
        <v>310</v>
      </c>
    </row>
    <row r="311" spans="2:33">
      <c r="B311" s="497"/>
      <c r="G311" s="1030"/>
      <c r="H311" s="1030"/>
      <c r="I311" s="1030"/>
      <c r="J311" s="1030"/>
      <c r="K311" s="1030"/>
      <c r="L311" s="1030"/>
      <c r="M311" s="1030"/>
      <c r="N311" s="1137"/>
      <c r="O311" s="1029"/>
      <c r="AG311" s="1019">
        <f>ROW()</f>
        <v>311</v>
      </c>
    </row>
    <row r="312" spans="2:33">
      <c r="G312" s="1029"/>
      <c r="H312" s="1029"/>
      <c r="I312" s="1029"/>
      <c r="J312" s="1029"/>
      <c r="K312" s="1029"/>
      <c r="L312" s="1029"/>
      <c r="M312" s="1029"/>
      <c r="N312" s="1137"/>
      <c r="O312" s="1029"/>
      <c r="AG312" s="1019">
        <f>ROW()</f>
        <v>312</v>
      </c>
    </row>
    <row r="313" spans="2:33">
      <c r="G313" s="1029"/>
      <c r="H313" s="1029"/>
      <c r="I313" s="1029"/>
      <c r="J313" s="1029"/>
      <c r="K313" s="1029"/>
      <c r="L313" s="1029"/>
      <c r="M313" s="1029"/>
      <c r="N313" s="1137"/>
      <c r="O313" s="1029"/>
      <c r="AG313" s="1019">
        <f>ROW()</f>
        <v>313</v>
      </c>
    </row>
    <row r="314" spans="2:33" s="1153" customFormat="1" ht="12">
      <c r="B314" s="1150" t="s">
        <v>2275</v>
      </c>
      <c r="G314" s="1154"/>
      <c r="H314" s="1154"/>
      <c r="I314" s="1154"/>
      <c r="J314" s="1154"/>
      <c r="K314" s="1154"/>
      <c r="L314" s="1154"/>
      <c r="M314" s="1154"/>
      <c r="N314" s="1144"/>
      <c r="O314" s="1154"/>
      <c r="AG314" s="1019">
        <f>ROW()</f>
        <v>314</v>
      </c>
    </row>
    <row r="315" spans="2:33" ht="12">
      <c r="B315" s="812"/>
      <c r="G315" s="1029"/>
      <c r="H315" s="1029"/>
      <c r="I315" s="1029"/>
      <c r="J315" s="1029"/>
      <c r="K315" s="1029"/>
      <c r="L315" s="1029"/>
      <c r="M315" s="1029"/>
      <c r="N315" s="1137"/>
      <c r="O315" s="1029"/>
      <c r="AG315" s="1019">
        <f>ROW()</f>
        <v>315</v>
      </c>
    </row>
    <row r="316" spans="2:33" ht="12">
      <c r="B316" s="812"/>
      <c r="G316" s="1160" t="s">
        <v>2015</v>
      </c>
      <c r="H316" s="1029"/>
      <c r="I316" s="1029"/>
      <c r="J316" s="1029"/>
      <c r="K316" s="1029"/>
      <c r="L316" s="1029"/>
      <c r="M316" s="1137"/>
      <c r="O316" s="1029"/>
      <c r="Q316" s="812" t="s">
        <v>1678</v>
      </c>
      <c r="Y316" s="812" t="s">
        <v>2016</v>
      </c>
      <c r="AG316" s="1019">
        <f>ROW()</f>
        <v>316</v>
      </c>
    </row>
    <row r="317" spans="2:33" ht="12">
      <c r="B317" s="985" t="s">
        <v>504</v>
      </c>
      <c r="G317" s="1029"/>
      <c r="H317" s="1029"/>
      <c r="I317" s="1029"/>
      <c r="J317" s="1029"/>
      <c r="K317" s="1029"/>
      <c r="L317" s="1029"/>
      <c r="M317" s="1137"/>
      <c r="O317" s="1029"/>
      <c r="AG317" s="1019">
        <f>ROW()</f>
        <v>317</v>
      </c>
    </row>
    <row r="318" spans="2:33" ht="12">
      <c r="B318" s="985"/>
      <c r="G318" s="1029"/>
      <c r="H318" s="1029"/>
      <c r="I318" s="1029"/>
      <c r="J318" s="1029"/>
      <c r="K318" s="1029"/>
      <c r="L318" s="1029"/>
      <c r="M318" s="1139"/>
      <c r="O318" s="1003"/>
      <c r="W318" s="1003"/>
      <c r="X318" s="1003"/>
      <c r="AG318" s="1019">
        <f>ROW()</f>
        <v>318</v>
      </c>
    </row>
    <row r="319" spans="2:33" ht="12">
      <c r="G319" s="912"/>
      <c r="H319" s="979" t="s">
        <v>2308</v>
      </c>
      <c r="I319" s="1104"/>
      <c r="J319" s="979" t="s">
        <v>1076</v>
      </c>
      <c r="K319" s="1104"/>
      <c r="L319" s="1105" t="s">
        <v>228</v>
      </c>
      <c r="M319" s="1140"/>
      <c r="N319" s="1105" t="s">
        <v>2276</v>
      </c>
      <c r="O319" s="1165"/>
      <c r="P319" s="912"/>
      <c r="Q319" s="979" t="s">
        <v>2308</v>
      </c>
      <c r="R319" s="1104"/>
      <c r="S319" s="979" t="s">
        <v>1076</v>
      </c>
      <c r="T319" s="1104"/>
      <c r="U319" s="1105" t="s">
        <v>228</v>
      </c>
      <c r="V319" s="1106"/>
      <c r="W319" s="1105" t="s">
        <v>2276</v>
      </c>
      <c r="X319" s="1165"/>
      <c r="Y319" s="912"/>
      <c r="Z319" s="979" t="s">
        <v>2308</v>
      </c>
      <c r="AA319" s="1104"/>
      <c r="AB319" s="979" t="s">
        <v>1076</v>
      </c>
      <c r="AC319" s="1104"/>
      <c r="AD319" s="1105" t="s">
        <v>228</v>
      </c>
      <c r="AE319" s="1106"/>
      <c r="AG319" s="1019">
        <f>ROW()</f>
        <v>319</v>
      </c>
    </row>
    <row r="320" spans="2:33">
      <c r="G320" s="912"/>
      <c r="H320" s="1156" t="s">
        <v>843</v>
      </c>
      <c r="I320" s="1157" t="s">
        <v>274</v>
      </c>
      <c r="J320" s="1156" t="s">
        <v>843</v>
      </c>
      <c r="K320" s="1157" t="s">
        <v>274</v>
      </c>
      <c r="L320" s="1156" t="s">
        <v>843</v>
      </c>
      <c r="M320" s="1158" t="s">
        <v>274</v>
      </c>
      <c r="N320" s="1156" t="s">
        <v>470</v>
      </c>
      <c r="O320" s="1165"/>
      <c r="P320" s="912"/>
      <c r="Q320" s="1156" t="s">
        <v>843</v>
      </c>
      <c r="R320" s="1157" t="s">
        <v>274</v>
      </c>
      <c r="S320" s="1156" t="s">
        <v>843</v>
      </c>
      <c r="T320" s="1157" t="s">
        <v>274</v>
      </c>
      <c r="U320" s="1156" t="s">
        <v>843</v>
      </c>
      <c r="V320" s="1157" t="s">
        <v>274</v>
      </c>
      <c r="W320" s="1156" t="s">
        <v>470</v>
      </c>
      <c r="X320" s="1165"/>
      <c r="Y320" s="912"/>
      <c r="Z320" s="1156" t="s">
        <v>470</v>
      </c>
      <c r="AA320" s="1157" t="s">
        <v>274</v>
      </c>
      <c r="AB320" s="1156" t="s">
        <v>470</v>
      </c>
      <c r="AC320" s="1157" t="s">
        <v>274</v>
      </c>
      <c r="AD320" s="1156" t="s">
        <v>470</v>
      </c>
      <c r="AE320" s="1157" t="s">
        <v>274</v>
      </c>
      <c r="AG320" s="1019">
        <f>ROW()</f>
        <v>320</v>
      </c>
    </row>
    <row r="321" spans="2:33">
      <c r="G321" s="1107" t="s">
        <v>2494</v>
      </c>
      <c r="H321" s="1110">
        <f ca="1">N222-N79</f>
        <v>-523070.10627701692</v>
      </c>
      <c r="I321" s="1111">
        <f ca="1">H321/N79</f>
        <v>-0.15808353665525235</v>
      </c>
      <c r="J321" s="1110">
        <f ca="1">N278-N135</f>
        <v>-2357552.1428503282</v>
      </c>
      <c r="K321" s="1111">
        <f ca="1">J321/N135</f>
        <v>-7.2098630729625177E-2</v>
      </c>
      <c r="L321" s="1110">
        <f ca="1">H321+J321</f>
        <v>-2880622.2491273452</v>
      </c>
      <c r="M321" s="1141">
        <f ca="1">L321/N162</f>
        <v>-7.9999935296647048E-2</v>
      </c>
      <c r="N321" s="1110">
        <f ca="1">L321*wkday_per_yr/1000</f>
        <v>-720155.56228183629</v>
      </c>
      <c r="O321" s="1165"/>
      <c r="P321" s="1107" t="s">
        <v>2494</v>
      </c>
      <c r="Q321" s="1110">
        <f ca="1">W222-W79</f>
        <v>-313362.13834105572</v>
      </c>
      <c r="R321" s="1111">
        <f ca="1">Q321/W79</f>
        <v>-0.13215000913058772</v>
      </c>
      <c r="S321" s="1110">
        <f ca="1">W278-W135</f>
        <v>-1286175.3318173774</v>
      </c>
      <c r="T321" s="1111">
        <f ca="1">S321/W135</f>
        <v>-5.6635578935633535E-2</v>
      </c>
      <c r="U321" s="1110">
        <f ca="1">Q321+S321</f>
        <v>-1599537.4701584331</v>
      </c>
      <c r="V321" s="1111">
        <f ca="1">U321/W162</f>
        <v>-6.3775043080174426E-2</v>
      </c>
      <c r="W321" s="1110">
        <f ca="1">U321*wkend_per_yr/1000</f>
        <v>-183946.80906821982</v>
      </c>
      <c r="X321" s="1165"/>
      <c r="Y321" s="1107" t="s">
        <v>2494</v>
      </c>
      <c r="Z321" s="1110">
        <f ca="1">(AA222-AA79)/1000</f>
        <v>-166804.17247847558</v>
      </c>
      <c r="AA321" s="1111">
        <f ca="1">Z321/AA79*1000</f>
        <v>-0.15165391418298377</v>
      </c>
      <c r="AB321" s="1110">
        <f ca="1">(AA278-AA135)/1000</f>
        <v>-737298.19887158205</v>
      </c>
      <c r="AC321" s="1111">
        <f ca="1">AB321/AA135*1000</f>
        <v>-6.8354689487580181E-2</v>
      </c>
      <c r="AD321" s="1110">
        <f ca="1">(Z321+AB321)</f>
        <v>-904102.37135005766</v>
      </c>
      <c r="AE321" s="1141">
        <f ca="1">AD321/AA162*1000</f>
        <v>-7.6062820004145798E-2</v>
      </c>
      <c r="AG321" s="1019">
        <f>ROW()</f>
        <v>321</v>
      </c>
    </row>
    <row r="322" spans="2:33">
      <c r="G322" s="1108" t="s">
        <v>1057</v>
      </c>
      <c r="H322" s="1112">
        <f ca="1">N223-N80</f>
        <v>-228.50048760982031</v>
      </c>
      <c r="I322" s="1113">
        <f ca="1">H322/N80</f>
        <v>-0.13278047113049485</v>
      </c>
      <c r="J322" s="1112">
        <f ca="1">N279-N136</f>
        <v>-1874.2897678094887</v>
      </c>
      <c r="K322" s="1113">
        <f ca="1">J322/N136</f>
        <v>-9.523982472574502E-2</v>
      </c>
      <c r="L322" s="1112">
        <f ca="1">H322+J322</f>
        <v>-2102.7902554193088</v>
      </c>
      <c r="M322" s="1142">
        <f ca="1">L322/N163</f>
        <v>-9.8258589273779159E-2</v>
      </c>
      <c r="N322" s="1112">
        <f ca="1">L322*wkday_per_yr/1000</f>
        <v>-525.69756385482719</v>
      </c>
      <c r="O322" s="1165"/>
      <c r="P322" s="1108" t="s">
        <v>1057</v>
      </c>
      <c r="Q322" s="1112">
        <f ca="1">W223-W80</f>
        <v>-163.18509758271648</v>
      </c>
      <c r="R322" s="1113">
        <f ca="1">Q322/W80</f>
        <v>-0.12712822033228724</v>
      </c>
      <c r="S322" s="1112">
        <f ca="1">W279-W136</f>
        <v>-959.83139062761984</v>
      </c>
      <c r="T322" s="1113">
        <f ca="1">S322/W136</f>
        <v>-8.1470867118091247E-2</v>
      </c>
      <c r="U322" s="1112">
        <f ca="1">Q322+S322</f>
        <v>-1123.0164882103363</v>
      </c>
      <c r="V322" s="1113">
        <f ca="1">U322/W163</f>
        <v>-8.5956697504054519E-2</v>
      </c>
      <c r="W322" s="1112">
        <f ca="1">U322*wkend_per_yr/1000</f>
        <v>-129.14689614418867</v>
      </c>
      <c r="X322" s="1165"/>
      <c r="Y322" s="1108" t="s">
        <v>1057</v>
      </c>
      <c r="Z322" s="1112">
        <f ca="1">(AA223-AA80)/1000</f>
        <v>-75.891408124467475</v>
      </c>
      <c r="AA322" s="1113">
        <f ca="1">Z322/AA80*1000</f>
        <v>-0.13133652594930892</v>
      </c>
      <c r="AB322" s="1112">
        <f ca="1">(AA279-AA136)/1000</f>
        <v>-578.95305187454824</v>
      </c>
      <c r="AC322" s="1113">
        <f ca="1">AB322/AA136*1000</f>
        <v>-9.2266832472586977E-2</v>
      </c>
      <c r="AD322" s="1112">
        <f ca="1">(Z322+AB322)</f>
        <v>-654.84445999901573</v>
      </c>
      <c r="AE322" s="1142">
        <f ca="1">AD322/AA163*1000</f>
        <v>-9.5561345182954019E-2</v>
      </c>
      <c r="AG322" s="1019">
        <f>ROW()</f>
        <v>322</v>
      </c>
    </row>
    <row r="323" spans="2:33">
      <c r="G323" s="1108" t="s">
        <v>1058</v>
      </c>
      <c r="H323" s="1112">
        <f ca="1">N224-N81</f>
        <v>-2221.733468015882</v>
      </c>
      <c r="I323" s="1113">
        <f ca="1">H323/N81</f>
        <v>-0.1085601884407581</v>
      </c>
      <c r="J323" s="1112">
        <f ca="1">N280-N137</f>
        <v>-19194.913148486929</v>
      </c>
      <c r="K323" s="1113">
        <f ca="1">J323/N137</f>
        <v>-6.471373213626988E-2</v>
      </c>
      <c r="L323" s="1112">
        <f ca="1">H323+J323</f>
        <v>-21416.646616502811</v>
      </c>
      <c r="M323" s="1142">
        <f ca="1">L323/N164</f>
        <v>-6.7543752646745434E-2</v>
      </c>
      <c r="N323" s="1112">
        <f ca="1">L323*wkday_per_yr/1000</f>
        <v>-5354.1616541257026</v>
      </c>
      <c r="O323" s="1165"/>
      <c r="P323" s="1108" t="s">
        <v>1058</v>
      </c>
      <c r="Q323" s="1112">
        <f ca="1">W224-W81</f>
        <v>-1677.9629665165758</v>
      </c>
      <c r="R323" s="1113">
        <f ca="1">Q323/W81</f>
        <v>-0.10063812495522574</v>
      </c>
      <c r="S323" s="1112">
        <f ca="1">W280-W137</f>
        <v>-12372.780612002389</v>
      </c>
      <c r="T323" s="1113">
        <f ca="1">S323/W137</f>
        <v>-5.7692198200342631E-2</v>
      </c>
      <c r="U323" s="1112">
        <f ca="1">Q323+S323</f>
        <v>-14050.743578518965</v>
      </c>
      <c r="V323" s="1113">
        <f ca="1">U323/W164</f>
        <v>-6.0790158001009176E-2</v>
      </c>
      <c r="W323" s="1112">
        <f ca="1">U323*wkend_per_yr/1000</f>
        <v>-1615.8355115296811</v>
      </c>
      <c r="X323" s="1165"/>
      <c r="Y323" s="1108" t="s">
        <v>1058</v>
      </c>
      <c r="Z323" s="1112">
        <f ca="1">(AA224-AA81)/1000</f>
        <v>-748.39910815337669</v>
      </c>
      <c r="AA323" s="1113">
        <f ca="1">Z323/AA81*1000</f>
        <v>-0.10640062039577323</v>
      </c>
      <c r="AB323" s="1112">
        <f ca="1">(AA280-AA137)/1000</f>
        <v>-6221.5980575020167</v>
      </c>
      <c r="AC323" s="1113">
        <f ca="1">AB323/AA137*1000</f>
        <v>-6.296125841489307E-2</v>
      </c>
      <c r="AD323" s="1112">
        <f ca="1">(Z323+AB323)</f>
        <v>-6969.9971656553935</v>
      </c>
      <c r="AE323" s="1142">
        <f ca="1">AD323/AA164*1000</f>
        <v>-6.5847823554277166E-2</v>
      </c>
      <c r="AG323" s="1019">
        <f>ROW()</f>
        <v>323</v>
      </c>
    </row>
    <row r="324" spans="2:33">
      <c r="G324" s="1108" t="s">
        <v>1044</v>
      </c>
      <c r="H324" s="1112">
        <f ca="1">N225-N82</f>
        <v>-310.56467110572248</v>
      </c>
      <c r="I324" s="1113">
        <f ca="1">H324/N82</f>
        <v>-6.643734046552989E-2</v>
      </c>
      <c r="J324" s="1112">
        <f ca="1">N281-N138</f>
        <v>-4219.104906592278</v>
      </c>
      <c r="K324" s="1113">
        <f ca="1">J324/N138</f>
        <v>-6.6380191749268513E-2</v>
      </c>
      <c r="L324" s="1112">
        <f ca="1">H324+J324</f>
        <v>-4529.6695776980005</v>
      </c>
      <c r="M324" s="1142">
        <f ca="1">L324/N165</f>
        <v>-6.6384106858505196E-2</v>
      </c>
      <c r="N324" s="1112">
        <f ca="1">L324*wkday_per_yr/1000</f>
        <v>-1132.4173944245001</v>
      </c>
      <c r="O324" s="1165"/>
      <c r="P324" s="1108" t="s">
        <v>1044</v>
      </c>
      <c r="Q324" s="1112">
        <f ca="1">W225-W82</f>
        <v>-203.57707526545119</v>
      </c>
      <c r="R324" s="1113">
        <f ca="1">Q324/W82</f>
        <v>-7.2016054957695891E-2</v>
      </c>
      <c r="S324" s="1112">
        <f ca="1">W281-W138</f>
        <v>-2155.594145324445</v>
      </c>
      <c r="T324" s="1113">
        <f ca="1">S324/W138</f>
        <v>-5.4950880604209731E-2</v>
      </c>
      <c r="U324" s="1112">
        <f ca="1">Q324+S324</f>
        <v>-2359.1712205898962</v>
      </c>
      <c r="V324" s="1113">
        <f ca="1">U324/W165</f>
        <v>-5.6097971867827119E-2</v>
      </c>
      <c r="W324" s="1112">
        <f ca="1">U324*wkend_per_yr/1000</f>
        <v>-271.30469036783808</v>
      </c>
      <c r="X324" s="1165"/>
      <c r="Y324" s="1108" t="s">
        <v>1044</v>
      </c>
      <c r="Z324" s="1112">
        <f ca="1">(AA225-AA82)/1000</f>
        <v>-101.05253143195762</v>
      </c>
      <c r="AA324" s="1113">
        <f ca="1">Z324/AA82*1000</f>
        <v>-6.7651460140122591E-2</v>
      </c>
      <c r="AB324" s="1112">
        <f ca="1">(AA281-AA138)/1000</f>
        <v>-1302.6695533603802</v>
      </c>
      <c r="AC324" s="1113">
        <f ca="1">AB324/AA138*1000</f>
        <v>-6.3852893175476058E-2</v>
      </c>
      <c r="AD324" s="1112">
        <f ca="1">(Z324+AB324)</f>
        <v>-1403.7220847923377</v>
      </c>
      <c r="AE324" s="1142">
        <f ca="1">AD324/AA165*1000</f>
        <v>-6.4112041426853825E-2</v>
      </c>
      <c r="AG324" s="1019">
        <f>ROW()</f>
        <v>324</v>
      </c>
    </row>
    <row r="325" spans="2:33">
      <c r="G325" s="1109" t="s">
        <v>1054</v>
      </c>
      <c r="H325" s="1114">
        <f ca="1">N226-N83</f>
        <v>-34.797203651414463</v>
      </c>
      <c r="I325" s="1115">
        <f ca="1">H325/N83</f>
        <v>-0.10693619974960195</v>
      </c>
      <c r="J325" s="1114">
        <f ca="1">N282-N139</f>
        <v>-322.77313031763879</v>
      </c>
      <c r="K325" s="1115">
        <f ca="1">J325/N139</f>
        <v>-7.79695002988057E-2</v>
      </c>
      <c r="L325" s="1114">
        <f ca="1">H325+J325</f>
        <v>-357.57033396905325</v>
      </c>
      <c r="M325" s="1143">
        <f ca="1">L325/N166</f>
        <v>-8.0080478712651795E-2</v>
      </c>
      <c r="N325" s="1114">
        <f ca="1">L325*wkday_per_yr/1000</f>
        <v>-89.392583492263313</v>
      </c>
      <c r="O325" s="1165"/>
      <c r="P325" s="1109" t="s">
        <v>1054</v>
      </c>
      <c r="Q325" s="1114">
        <f ca="1">W226-W83</f>
        <v>-24.892418302589931</v>
      </c>
      <c r="R325" s="1115">
        <f ca="1">Q325/W83</f>
        <v>-0.10636488972657619</v>
      </c>
      <c r="S325" s="1114">
        <f ca="1">W282-W139</f>
        <v>-174.58355180468607</v>
      </c>
      <c r="T325" s="1115">
        <f ca="1">S325/W139</f>
        <v>-6.5483743935980984E-2</v>
      </c>
      <c r="U325" s="1114">
        <f ca="1">Q325+S325</f>
        <v>-199.475970107276</v>
      </c>
      <c r="V325" s="1115">
        <f ca="1">U325/W166</f>
        <v>-6.8782731579449627E-2</v>
      </c>
      <c r="W325" s="1114">
        <f ca="1">U325*wkend_per_yr/1000</f>
        <v>-22.939736562336741</v>
      </c>
      <c r="X325" s="1165"/>
      <c r="Y325" s="1109" t="s">
        <v>1054</v>
      </c>
      <c r="Z325" s="1114">
        <f ca="1">(AA226-AA83)/1000</f>
        <v>-11.561929017651448</v>
      </c>
      <c r="AA325" s="1115">
        <f ca="1">Z325/AA83*1000</f>
        <v>-0.10679417770608252</v>
      </c>
      <c r="AB325" s="1114">
        <f ca="1">(AA282-AA139)/1000</f>
        <v>-100.77039103694865</v>
      </c>
      <c r="AC325" s="1115">
        <f ca="1">AB325/AA139*1000</f>
        <v>-7.5115974004242525E-2</v>
      </c>
      <c r="AD325" s="1114">
        <f ca="1">(Z325+AB325)</f>
        <v>-112.3323200546001</v>
      </c>
      <c r="AE325" s="1143">
        <f ca="1">AD325/AA166*1000</f>
        <v>-7.7481549643847153E-2</v>
      </c>
      <c r="AG325" s="1019">
        <f>ROW()</f>
        <v>325</v>
      </c>
    </row>
    <row r="326" spans="2:33">
      <c r="B326" s="912"/>
      <c r="G326" s="1029"/>
      <c r="H326" s="1029"/>
      <c r="I326" s="1029"/>
      <c r="J326" s="1029"/>
      <c r="K326" s="1029"/>
      <c r="L326" s="1029"/>
      <c r="M326" s="1029"/>
      <c r="N326" s="1155"/>
      <c r="O326" s="184"/>
      <c r="W326" s="70"/>
      <c r="X326" s="184"/>
      <c r="AG326" s="1019">
        <f>ROW()</f>
        <v>326</v>
      </c>
    </row>
    <row r="327" spans="2:33">
      <c r="B327" s="912"/>
      <c r="G327" s="1029"/>
      <c r="H327" s="1029"/>
      <c r="I327" s="1029"/>
      <c r="J327" s="1029"/>
      <c r="K327" s="1029"/>
      <c r="L327" s="1029"/>
      <c r="M327" s="1029"/>
      <c r="N327" s="1155"/>
      <c r="O327" s="184"/>
      <c r="W327" s="70"/>
      <c r="X327" s="184"/>
      <c r="AG327" s="1019">
        <f>ROW()</f>
        <v>327</v>
      </c>
    </row>
    <row r="328" spans="2:33" ht="12">
      <c r="B328" s="985" t="s">
        <v>505</v>
      </c>
      <c r="G328" s="1029"/>
      <c r="H328" s="1029"/>
      <c r="I328" s="1029"/>
      <c r="J328" s="1029"/>
      <c r="K328" s="1029"/>
      <c r="L328" s="1029"/>
      <c r="M328" s="1029"/>
      <c r="N328" s="1155"/>
      <c r="O328" s="184"/>
      <c r="W328" s="70"/>
      <c r="X328" s="184"/>
      <c r="AG328" s="1019">
        <f>ROW()</f>
        <v>328</v>
      </c>
    </row>
    <row r="329" spans="2:33" ht="12">
      <c r="B329" s="1021"/>
      <c r="G329" s="1029"/>
      <c r="H329" s="1029"/>
      <c r="I329" s="1029"/>
      <c r="J329" s="1029"/>
      <c r="K329" s="1029"/>
      <c r="L329" s="1029"/>
      <c r="M329" s="1029"/>
      <c r="N329" s="1139"/>
      <c r="O329" s="1003"/>
      <c r="W329" s="1003"/>
      <c r="X329" s="1003"/>
      <c r="AE329" s="1003"/>
      <c r="AG329" s="1019">
        <f>ROW()</f>
        <v>329</v>
      </c>
    </row>
    <row r="330" spans="2:33" ht="12">
      <c r="B330" s="1021"/>
      <c r="G330" s="912"/>
      <c r="H330" s="979" t="s">
        <v>502</v>
      </c>
      <c r="I330" s="1104"/>
      <c r="J330" s="979" t="s">
        <v>503</v>
      </c>
      <c r="K330" s="1104"/>
      <c r="L330" s="1105" t="s">
        <v>228</v>
      </c>
      <c r="M330" s="1140"/>
      <c r="N330" s="1105" t="s">
        <v>2276</v>
      </c>
      <c r="O330" s="1165"/>
      <c r="P330" s="912"/>
      <c r="Q330" s="979" t="s">
        <v>502</v>
      </c>
      <c r="R330" s="1104"/>
      <c r="S330" s="979" t="s">
        <v>503</v>
      </c>
      <c r="T330" s="1104"/>
      <c r="U330" s="1105" t="s">
        <v>228</v>
      </c>
      <c r="V330" s="1106"/>
      <c r="W330" s="1105" t="s">
        <v>2276</v>
      </c>
      <c r="X330" s="1165"/>
      <c r="Y330" s="912"/>
      <c r="Z330" s="979" t="s">
        <v>502</v>
      </c>
      <c r="AA330" s="1104"/>
      <c r="AB330" s="979" t="s">
        <v>503</v>
      </c>
      <c r="AC330" s="1104"/>
      <c r="AD330" s="1105" t="s">
        <v>228</v>
      </c>
      <c r="AE330" s="1106"/>
      <c r="AG330" s="1019">
        <f>ROW()</f>
        <v>330</v>
      </c>
    </row>
    <row r="331" spans="2:33" ht="12">
      <c r="B331" s="1021"/>
      <c r="G331" s="912"/>
      <c r="H331" s="1156" t="s">
        <v>843</v>
      </c>
      <c r="I331" s="1157" t="s">
        <v>274</v>
      </c>
      <c r="J331" s="1156" t="s">
        <v>843</v>
      </c>
      <c r="K331" s="1157" t="s">
        <v>274</v>
      </c>
      <c r="L331" s="1156" t="s">
        <v>843</v>
      </c>
      <c r="M331" s="1158" t="s">
        <v>274</v>
      </c>
      <c r="N331" s="1156" t="s">
        <v>470</v>
      </c>
      <c r="O331" s="1165"/>
      <c r="P331" s="912"/>
      <c r="Q331" s="1156" t="s">
        <v>843</v>
      </c>
      <c r="R331" s="1157" t="s">
        <v>274</v>
      </c>
      <c r="S331" s="1156" t="s">
        <v>843</v>
      </c>
      <c r="T331" s="1157" t="s">
        <v>274</v>
      </c>
      <c r="U331" s="1156" t="s">
        <v>843</v>
      </c>
      <c r="V331" s="1157" t="s">
        <v>274</v>
      </c>
      <c r="W331" s="1156" t="s">
        <v>470</v>
      </c>
      <c r="X331" s="1165"/>
      <c r="Y331" s="912"/>
      <c r="Z331" s="1156" t="s">
        <v>470</v>
      </c>
      <c r="AA331" s="1157" t="s">
        <v>274</v>
      </c>
      <c r="AB331" s="1156" t="s">
        <v>470</v>
      </c>
      <c r="AC331" s="1157" t="s">
        <v>274</v>
      </c>
      <c r="AD331" s="1156" t="s">
        <v>470</v>
      </c>
      <c r="AE331" s="1157" t="s">
        <v>274</v>
      </c>
      <c r="AG331" s="1019">
        <f>ROW()</f>
        <v>331</v>
      </c>
    </row>
    <row r="332" spans="2:33" ht="12">
      <c r="B332" s="1021"/>
      <c r="G332" s="1107" t="s">
        <v>2494</v>
      </c>
      <c r="H332" s="1110">
        <f ca="1">N287-N144</f>
        <v>-2308076.2849323079</v>
      </c>
      <c r="I332" s="1111">
        <f ca="1">H332/N144</f>
        <v>-7.6157698708124194E-2</v>
      </c>
      <c r="J332" s="1110">
        <f ca="1">N293+N299-N150-N156</f>
        <v>-572545.96419503447</v>
      </c>
      <c r="K332" s="1111">
        <f ca="1">J332/(N150+N156)</f>
        <v>-0.10042432057298777</v>
      </c>
      <c r="L332" s="1110">
        <f ca="1">H332+J332</f>
        <v>-2880622.2491273424</v>
      </c>
      <c r="M332" s="1141">
        <f ca="1">L332/N162</f>
        <v>-7.9999935296646965E-2</v>
      </c>
      <c r="N332" s="1110">
        <f ca="1">L332*wkday_per_yr/1000</f>
        <v>-720155.56228183559</v>
      </c>
      <c r="O332" s="1165"/>
      <c r="P332" s="1107" t="s">
        <v>2494</v>
      </c>
      <c r="Q332" s="1110">
        <f ca="1">W287-W144</f>
        <v>-1453851.1045270711</v>
      </c>
      <c r="R332" s="1111">
        <f ca="1">Q332/W144</f>
        <v>-6.2729204473578354E-2</v>
      </c>
      <c r="S332" s="1110">
        <f ca="1">W293+W299-W150-W156</f>
        <v>-145686.36563135765</v>
      </c>
      <c r="T332" s="1111">
        <f ca="1">S332/(W150+W156)</f>
        <v>-7.6503551276915369E-2</v>
      </c>
      <c r="U332" s="1110">
        <f ca="1">Q332+S332</f>
        <v>-1599537.4701584289</v>
      </c>
      <c r="V332" s="1141">
        <f ca="1">U332/W162</f>
        <v>-6.377504308017426E-2</v>
      </c>
      <c r="W332" s="1110">
        <f ca="1">U332*wkend_per_yr/1000</f>
        <v>-183946.80906821933</v>
      </c>
      <c r="X332" s="1165"/>
      <c r="Y332" s="1107" t="s">
        <v>2494</v>
      </c>
      <c r="Z332" s="1110">
        <f ca="1">(AA287-AA144)/1000</f>
        <v>-744211.94825368887</v>
      </c>
      <c r="AA332" s="1111">
        <f ca="1">Z332/AA144*1000</f>
        <v>-7.2663136237127279E-2</v>
      </c>
      <c r="AB332" s="1110">
        <f ca="1">(AA293+AA299-AA150-AA156)/1000</f>
        <v>-159890.42309636486</v>
      </c>
      <c r="AC332" s="1111">
        <f ca="1">AB332/(AA150+AA156)*1000</f>
        <v>-9.7238466024427081E-2</v>
      </c>
      <c r="AD332" s="1110">
        <f ca="1">Z332+AB332</f>
        <v>-904102.3713500537</v>
      </c>
      <c r="AE332" s="1141">
        <f ca="1">AD332/AA162*1000</f>
        <v>-7.6062820004145451E-2</v>
      </c>
      <c r="AG332" s="1019">
        <f>ROW()</f>
        <v>332</v>
      </c>
    </row>
    <row r="333" spans="2:33" ht="12">
      <c r="B333" s="1021"/>
      <c r="G333" s="1108" t="s">
        <v>1057</v>
      </c>
      <c r="H333" s="1112">
        <f ca="1">N288-N145</f>
        <v>-1713.0595491467575</v>
      </c>
      <c r="I333" s="1113">
        <f ca="1">H333/N145</f>
        <v>-9.5259765651089748E-2</v>
      </c>
      <c r="J333" s="1112">
        <f ca="1">N294+N300-N151-N157</f>
        <v>-389.73070627255606</v>
      </c>
      <c r="K333" s="1113">
        <f ca="1">J333/(N151+N157)</f>
        <v>-0.11403833994143395</v>
      </c>
      <c r="L333" s="1112">
        <f ca="1">H333+J333</f>
        <v>-2102.7902554193133</v>
      </c>
      <c r="M333" s="1142">
        <f ca="1">L333/N163</f>
        <v>-9.8258589273779368E-2</v>
      </c>
      <c r="N333" s="1112">
        <f ca="1">L333*wkday_per_yr/1000</f>
        <v>-525.69756385482833</v>
      </c>
      <c r="O333" s="1165"/>
      <c r="P333" s="1108" t="s">
        <v>1057</v>
      </c>
      <c r="Q333" s="1112">
        <f ca="1">W288-W145</f>
        <v>-1021.0781750862661</v>
      </c>
      <c r="R333" s="1113">
        <f ca="1">Q333/W145</f>
        <v>-8.499299177877867E-2</v>
      </c>
      <c r="S333" s="1112">
        <f ca="1">W294+W300-W151-W157</f>
        <v>-101.9383131240744</v>
      </c>
      <c r="T333" s="1113">
        <f ca="1">S333/(W151+W157)</f>
        <v>-9.6970077268454927E-2</v>
      </c>
      <c r="U333" s="1112">
        <f ca="1">Q333+S333</f>
        <v>-1123.0164882103404</v>
      </c>
      <c r="V333" s="1142">
        <f ca="1">U333/W163</f>
        <v>-8.5956697504054824E-2</v>
      </c>
      <c r="W333" s="1112">
        <f ca="1">U333*wkend_per_yr/1000</f>
        <v>-129.14689614418916</v>
      </c>
      <c r="X333" s="1165"/>
      <c r="Y333" s="1108" t="s">
        <v>1057</v>
      </c>
      <c r="Z333" s="1112">
        <f ca="1">(AA288-AA145)/1000</f>
        <v>-545.68887742160916</v>
      </c>
      <c r="AA333" s="1113">
        <f ca="1">Z333/AA145*1000</f>
        <v>-9.2846375334875941E-2</v>
      </c>
      <c r="AB333" s="1112">
        <f ca="1">(AA294+AA300-AA151-AA157)/1000</f>
        <v>-109.15558257740766</v>
      </c>
      <c r="AC333" s="1113">
        <f ca="1">AB333/(AA151+AA157)*1000</f>
        <v>-0.11192261715126686</v>
      </c>
      <c r="AD333" s="1112">
        <f ca="1">Z333+AB333</f>
        <v>-654.84445999901686</v>
      </c>
      <c r="AE333" s="1142">
        <f ca="1">AD333/AA163*1000</f>
        <v>-9.5561345182954185E-2</v>
      </c>
      <c r="AG333" s="1019">
        <f>ROW()</f>
        <v>333</v>
      </c>
    </row>
    <row r="334" spans="2:33">
      <c r="G334" s="1108" t="s">
        <v>1058</v>
      </c>
      <c r="H334" s="1112">
        <f ca="1">N289-N146</f>
        <v>-17714.115630170563</v>
      </c>
      <c r="I334" s="1113">
        <f ca="1">H334/N146</f>
        <v>-6.218280673288544E-2</v>
      </c>
      <c r="J334" s="1112">
        <f ca="1">N295+N301-N152-N158</f>
        <v>-3702.5309863322145</v>
      </c>
      <c r="K334" s="1113">
        <f ca="1">J334/(N152+N158)</f>
        <v>-0.11496212844259163</v>
      </c>
      <c r="L334" s="1112">
        <f ca="1">H334+J334</f>
        <v>-21416.646616502778</v>
      </c>
      <c r="M334" s="1142">
        <f ca="1">L334/N164</f>
        <v>-6.7543752646745323E-2</v>
      </c>
      <c r="N334" s="1112">
        <f ca="1">L334*wkday_per_yr/1000</f>
        <v>-5354.1616541256944</v>
      </c>
      <c r="O334" s="1165"/>
      <c r="P334" s="1108" t="s">
        <v>1058</v>
      </c>
      <c r="Q334" s="1112">
        <f ca="1">W289-W146</f>
        <v>-13105.840515440213</v>
      </c>
      <c r="R334" s="1113">
        <f ca="1">Q334/W146</f>
        <v>-5.9260294092614525E-2</v>
      </c>
      <c r="S334" s="1112">
        <f ca="1">W295+W301-W152-W158</f>
        <v>-944.90306307870469</v>
      </c>
      <c r="T334" s="1113">
        <f ca="1">S334/(W152+W158)</f>
        <v>-9.4698884803120567E-2</v>
      </c>
      <c r="U334" s="1112">
        <f ca="1">Q334+S334</f>
        <v>-14050.743578518919</v>
      </c>
      <c r="V334" s="1142">
        <f ca="1">U334/W164</f>
        <v>-6.0790158001008975E-2</v>
      </c>
      <c r="W334" s="1112">
        <f ca="1">U334*wkend_per_yr/1000</f>
        <v>-1615.8355115296756</v>
      </c>
      <c r="X334" s="1165"/>
      <c r="Y334" s="1108" t="s">
        <v>1058</v>
      </c>
      <c r="Z334" s="1112">
        <f ca="1">(AA289-AA146)/1000</f>
        <v>-5935.7005668182519</v>
      </c>
      <c r="AA334" s="1113">
        <f ca="1">Z334/AA146*1000</f>
        <v>-6.1413766494491658E-2</v>
      </c>
      <c r="AB334" s="1112">
        <f ca="1">(AA295+AA301-AA152-AA158)/1000</f>
        <v>-1034.2965988371047</v>
      </c>
      <c r="AC334" s="1113">
        <f ca="1">AB334/(AA152+AA158)*1000</f>
        <v>-0.11243455429387916</v>
      </c>
      <c r="AD334" s="1112">
        <f ca="1">Z334+AB334</f>
        <v>-6969.9971656553571</v>
      </c>
      <c r="AE334" s="1142">
        <f ca="1">AD334/AA164*1000</f>
        <v>-6.5847823554276819E-2</v>
      </c>
      <c r="AG334" s="1019">
        <f>ROW()</f>
        <v>334</v>
      </c>
    </row>
    <row r="335" spans="2:33">
      <c r="G335" s="1108" t="s">
        <v>1044</v>
      </c>
      <c r="H335" s="1112">
        <f ca="1">N290-N147</f>
        <v>-1862.5354203619245</v>
      </c>
      <c r="I335" s="1113">
        <f ca="1">H335/N147</f>
        <v>-5.4676977158013985E-2</v>
      </c>
      <c r="J335" s="1112">
        <f ca="1">N296+N302-N153-N159</f>
        <v>-2667.1341573360696</v>
      </c>
      <c r="K335" s="1113">
        <f ca="1">J335/(N153+N159)</f>
        <v>-7.805507103469389E-2</v>
      </c>
      <c r="L335" s="1112">
        <f ca="1">H335+J335</f>
        <v>-4529.6695776979941</v>
      </c>
      <c r="M335" s="1142">
        <f ca="1">L335/N165</f>
        <v>-6.6384106858505099E-2</v>
      </c>
      <c r="N335" s="1112">
        <f ca="1">L335*wkday_per_yr/1000</f>
        <v>-1132.4173944244985</v>
      </c>
      <c r="O335" s="1165"/>
      <c r="P335" s="1108" t="s">
        <v>1044</v>
      </c>
      <c r="Q335" s="1112">
        <f ca="1">W290-W147</f>
        <v>-1469.1993158821679</v>
      </c>
      <c r="R335" s="1113">
        <f ca="1">Q335/W147</f>
        <v>-5.2479118624429423E-2</v>
      </c>
      <c r="S335" s="1112">
        <f ca="1">W296+W302-W153-W159</f>
        <v>-889.97190470773057</v>
      </c>
      <c r="T335" s="1113">
        <f ca="1">S335/(W153+W159)</f>
        <v>-6.3304450493220629E-2</v>
      </c>
      <c r="U335" s="1112">
        <f ca="1">Q335+S335</f>
        <v>-2359.1712205898984</v>
      </c>
      <c r="V335" s="1142">
        <f ca="1">U335/W165</f>
        <v>-5.6097971867827175E-2</v>
      </c>
      <c r="W335" s="1112">
        <f ca="1">U335*wkend_per_yr/1000</f>
        <v>-271.3046903678383</v>
      </c>
      <c r="X335" s="1165"/>
      <c r="Y335" s="1108" t="s">
        <v>1044</v>
      </c>
      <c r="Z335" s="1112">
        <f ca="1">(AA290-AA147)/1000</f>
        <v>-634.59177641692941</v>
      </c>
      <c r="AA335" s="1113">
        <f ca="1">Z335/AA147*1000</f>
        <v>-5.4074020655134364E-2</v>
      </c>
      <c r="AB335" s="1112">
        <f ca="1">(AA296+AA302-AA153-AA159)/1000</f>
        <v>-769.13030837540794</v>
      </c>
      <c r="AC335" s="1113">
        <f ca="1">AB335/(AA153+AA159)*1000</f>
        <v>-7.5707655069297455E-2</v>
      </c>
      <c r="AD335" s="1112">
        <f ca="1">Z335+AB335</f>
        <v>-1403.7220847923372</v>
      </c>
      <c r="AE335" s="1142">
        <f ca="1">AD335/AA165*1000</f>
        <v>-6.4112041426853811E-2</v>
      </c>
      <c r="AG335" s="1019">
        <f>ROW()</f>
        <v>335</v>
      </c>
    </row>
    <row r="336" spans="2:33">
      <c r="G336" s="1109" t="s">
        <v>1054</v>
      </c>
      <c r="H336" s="1114">
        <f ca="1">N291-N148</f>
        <v>-255.66369477486569</v>
      </c>
      <c r="I336" s="1115">
        <f ca="1">H336/N148</f>
        <v>-7.5143215723187398E-2</v>
      </c>
      <c r="J336" s="1114">
        <f ca="1">N297+N303-N154-N160</f>
        <v>-101.90663919418728</v>
      </c>
      <c r="K336" s="1115">
        <f ca="1">J336/(N154+N160)</f>
        <v>-9.5886411550412318E-2</v>
      </c>
      <c r="L336" s="1114">
        <f ca="1">H336+J336</f>
        <v>-357.57033396905297</v>
      </c>
      <c r="M336" s="1143">
        <f ca="1">L336/N166</f>
        <v>-8.008047871265174E-2</v>
      </c>
      <c r="N336" s="1114">
        <f ca="1">L336*wkday_per_yr/1000</f>
        <v>-89.392583492263242</v>
      </c>
      <c r="O336" s="1165"/>
      <c r="P336" s="1109" t="s">
        <v>1054</v>
      </c>
      <c r="Q336" s="1114">
        <f ca="1">W291-W148</f>
        <v>-169.98115230242047</v>
      </c>
      <c r="R336" s="1115">
        <f ca="1">Q336/W148</f>
        <v>-6.6888274357875699E-2</v>
      </c>
      <c r="S336" s="1114">
        <f ca="1">W297+W303-W154-W160</f>
        <v>-29.49481780485587</v>
      </c>
      <c r="T336" s="1115">
        <f ca="1">S336/(W154+W160)</f>
        <v>-8.2199910347535377E-2</v>
      </c>
      <c r="U336" s="1114">
        <f ca="1">Q336+S336</f>
        <v>-199.47597010727634</v>
      </c>
      <c r="V336" s="1143">
        <f ca="1">U336/W166</f>
        <v>-6.8782731579449752E-2</v>
      </c>
      <c r="W336" s="1114">
        <f ca="1">U336*wkend_per_yr/1000</f>
        <v>-22.93973656233678</v>
      </c>
      <c r="X336" s="1165"/>
      <c r="Y336" s="1109" t="s">
        <v>1054</v>
      </c>
      <c r="Z336" s="1114">
        <f ca="1">(AA291-AA148)/1000</f>
        <v>-83.463756208494772</v>
      </c>
      <c r="AA336" s="1115">
        <f ca="1">Z336/AA148*1000</f>
        <v>-7.3032258580083123E-2</v>
      </c>
      <c r="AB336" s="1114">
        <f ca="1">(AA297+AA303-AA154-AA160)/1000</f>
        <v>-28.868563846105243</v>
      </c>
      <c r="AC336" s="1115">
        <f ca="1">AB336/(AA154+AA160)*1000</f>
        <v>-9.4046561634282072E-2</v>
      </c>
      <c r="AD336" s="1114">
        <f ca="1">Z336+AB336</f>
        <v>-112.33232005460002</v>
      </c>
      <c r="AE336" s="1143">
        <f ca="1">AD336/AA166*1000</f>
        <v>-7.7481549643847111E-2</v>
      </c>
      <c r="AG336" s="1019">
        <f>ROW()</f>
        <v>336</v>
      </c>
    </row>
    <row r="337" spans="2:33">
      <c r="B337" s="1100"/>
      <c r="G337" s="1029"/>
      <c r="H337" s="1029"/>
      <c r="I337" s="1029"/>
      <c r="J337" s="1029"/>
      <c r="K337" s="1029"/>
      <c r="L337" s="1029"/>
      <c r="M337" s="1029"/>
      <c r="N337" s="1155"/>
      <c r="O337" s="184"/>
      <c r="W337" s="70"/>
      <c r="X337" s="184"/>
      <c r="AG337" s="1019">
        <f>ROW()</f>
        <v>337</v>
      </c>
    </row>
    <row r="338" spans="2:33">
      <c r="H338" s="1029"/>
      <c r="I338" s="1029"/>
      <c r="J338" s="1029"/>
      <c r="K338" s="1029"/>
      <c r="L338" s="1029"/>
      <c r="M338" s="1029"/>
      <c r="N338" s="1155"/>
      <c r="O338" s="184"/>
      <c r="W338" s="70"/>
      <c r="X338" s="184"/>
      <c r="AG338" s="1019">
        <f>ROW()</f>
        <v>338</v>
      </c>
    </row>
    <row r="339" spans="2:33">
      <c r="H339" s="1029"/>
      <c r="I339" s="1029"/>
      <c r="J339" s="1029"/>
      <c r="K339" s="1029"/>
      <c r="L339" s="1029"/>
      <c r="M339" s="1029"/>
      <c r="N339" s="1155"/>
      <c r="O339" s="184"/>
      <c r="W339" s="70"/>
      <c r="X339" s="184"/>
      <c r="AG339" s="1019">
        <f>ROW()</f>
        <v>339</v>
      </c>
    </row>
    <row r="340" spans="2:33">
      <c r="M340" s="1029"/>
      <c r="N340" s="1137"/>
      <c r="O340" s="1029"/>
      <c r="AG340" s="1019">
        <f>ROW()</f>
        <v>340</v>
      </c>
    </row>
    <row r="341" spans="2:33" s="1153" customFormat="1" ht="12">
      <c r="B341" s="2184" t="s">
        <v>3640</v>
      </c>
      <c r="G341" s="1154"/>
      <c r="H341" s="1154"/>
      <c r="I341" s="1154"/>
      <c r="J341" s="1154"/>
      <c r="K341" s="1154"/>
      <c r="L341" s="1154"/>
      <c r="M341" s="1154"/>
      <c r="N341" s="1144"/>
      <c r="O341" s="1154"/>
      <c r="AG341" s="1153">
        <f>ROW()</f>
        <v>341</v>
      </c>
    </row>
    <row r="342" spans="2:33" ht="12">
      <c r="B342" s="2078"/>
      <c r="G342" s="1029"/>
      <c r="H342" s="1029"/>
      <c r="I342" s="1029"/>
      <c r="J342" s="1029"/>
      <c r="K342" s="1029"/>
      <c r="L342" s="1029"/>
      <c r="M342" s="1029"/>
      <c r="N342" s="1137"/>
      <c r="O342" s="1029"/>
      <c r="AG342" s="1019">
        <f>ROW()</f>
        <v>342</v>
      </c>
    </row>
    <row r="343" spans="2:33">
      <c r="AG343" s="1019">
        <f>ROW()</f>
        <v>343</v>
      </c>
    </row>
    <row r="344" spans="2:33" ht="12">
      <c r="G344" s="5115" t="s">
        <v>3641</v>
      </c>
      <c r="H344" s="5116"/>
      <c r="I344" s="5116"/>
      <c r="J344" s="5116"/>
      <c r="K344" s="5116"/>
      <c r="L344" s="5116"/>
      <c r="M344" s="5116"/>
      <c r="N344" s="5116"/>
      <c r="P344" s="5115" t="s">
        <v>3641</v>
      </c>
      <c r="Q344" s="5116"/>
      <c r="R344" s="5116"/>
      <c r="S344" s="5116"/>
      <c r="T344" s="5116"/>
      <c r="U344" s="5116"/>
      <c r="V344" s="5116"/>
      <c r="W344" s="5116"/>
      <c r="Y344" s="89" t="s">
        <v>3644</v>
      </c>
      <c r="AD344"/>
      <c r="AE344"/>
      <c r="AG344" s="1019">
        <f>ROW()</f>
        <v>344</v>
      </c>
    </row>
    <row r="345" spans="2:33">
      <c r="G345" s="5116"/>
      <c r="H345" s="5116"/>
      <c r="I345" s="5116"/>
      <c r="J345" s="5116"/>
      <c r="K345" s="5116"/>
      <c r="L345" s="5116"/>
      <c r="M345" s="5116"/>
      <c r="N345" s="5116"/>
      <c r="P345" s="5116"/>
      <c r="Q345" s="5116"/>
      <c r="R345" s="5116"/>
      <c r="S345" s="5116"/>
      <c r="T345" s="5116"/>
      <c r="U345" s="5116"/>
      <c r="V345" s="5116"/>
      <c r="W345" s="5116"/>
      <c r="AD345"/>
      <c r="AE345"/>
      <c r="AG345" s="1019">
        <f>ROW()</f>
        <v>345</v>
      </c>
    </row>
    <row r="346" spans="2:33" ht="12">
      <c r="G346" s="5116"/>
      <c r="H346" s="5116"/>
      <c r="I346" s="5116"/>
      <c r="J346" s="5116"/>
      <c r="K346" s="5116"/>
      <c r="L346" s="5116"/>
      <c r="M346" s="5116"/>
      <c r="N346" s="5116"/>
      <c r="P346" s="5116"/>
      <c r="Q346" s="5116"/>
      <c r="R346" s="5116"/>
      <c r="S346" s="5116"/>
      <c r="T346" s="5116"/>
      <c r="U346" s="5116"/>
      <c r="V346" s="5116"/>
      <c r="W346" s="5116"/>
      <c r="Z346" s="5112" t="s">
        <v>2308</v>
      </c>
      <c r="AA346" s="5113"/>
      <c r="AB346" s="5114" t="s">
        <v>2309</v>
      </c>
      <c r="AC346" s="5113"/>
      <c r="AD346"/>
      <c r="AE346"/>
      <c r="AG346" s="1019">
        <f>ROW()</f>
        <v>346</v>
      </c>
    </row>
    <row r="347" spans="2:33" ht="12">
      <c r="G347" s="5116"/>
      <c r="H347" s="5116"/>
      <c r="I347" s="5116"/>
      <c r="J347" s="5116"/>
      <c r="K347" s="5116"/>
      <c r="L347" s="5116"/>
      <c r="M347" s="5116"/>
      <c r="N347" s="5116"/>
      <c r="P347" s="5116"/>
      <c r="Q347" s="5116"/>
      <c r="R347" s="5116"/>
      <c r="S347" s="5116"/>
      <c r="T347" s="5116"/>
      <c r="U347" s="5116"/>
      <c r="V347" s="5116"/>
      <c r="W347" s="5116"/>
      <c r="Y347" s="912"/>
      <c r="Z347" s="2186" t="s">
        <v>3642</v>
      </c>
      <c r="AA347" s="2187" t="s">
        <v>3643</v>
      </c>
      <c r="AB347" s="2186" t="s">
        <v>3642</v>
      </c>
      <c r="AC347" s="2187" t="s">
        <v>3643</v>
      </c>
      <c r="AD347"/>
      <c r="AE347"/>
      <c r="AG347" s="1019">
        <f>ROW()</f>
        <v>347</v>
      </c>
    </row>
    <row r="348" spans="2:33">
      <c r="B348" s="497"/>
      <c r="G348" s="5116"/>
      <c r="H348" s="5116"/>
      <c r="I348" s="5116"/>
      <c r="J348" s="5116"/>
      <c r="K348" s="5116"/>
      <c r="L348" s="5116"/>
      <c r="M348" s="5116"/>
      <c r="N348" s="5116"/>
      <c r="P348" s="5116"/>
      <c r="Q348" s="5116"/>
      <c r="R348" s="5116"/>
      <c r="S348" s="5116"/>
      <c r="T348" s="5116"/>
      <c r="U348" s="5116"/>
      <c r="V348" s="5116"/>
      <c r="W348" s="5116"/>
      <c r="Y348" s="912"/>
      <c r="Z348" s="2189" t="s">
        <v>470</v>
      </c>
      <c r="AA348" s="2189" t="s">
        <v>470</v>
      </c>
      <c r="AB348" s="2188" t="s">
        <v>470</v>
      </c>
      <c r="AC348" s="2188" t="s">
        <v>470</v>
      </c>
      <c r="AD348"/>
      <c r="AE348"/>
      <c r="AG348" s="1019">
        <f>ROW()</f>
        <v>348</v>
      </c>
    </row>
    <row r="349" spans="2:33">
      <c r="B349" s="494"/>
      <c r="G349" s="5116"/>
      <c r="H349" s="5116"/>
      <c r="I349" s="5116"/>
      <c r="J349" s="5116"/>
      <c r="K349" s="5116"/>
      <c r="L349" s="5116"/>
      <c r="M349" s="5116"/>
      <c r="N349" s="5116"/>
      <c r="P349" s="5116"/>
      <c r="Q349" s="5116"/>
      <c r="R349" s="5116"/>
      <c r="S349" s="5116"/>
      <c r="T349" s="5116"/>
      <c r="U349" s="5116"/>
      <c r="V349" s="5116"/>
      <c r="W349" s="5116"/>
      <c r="Y349" s="2197" t="s">
        <v>2494</v>
      </c>
      <c r="Z349" s="2193">
        <f ca="1">(AA204-AA61)/1000</f>
        <v>-142177.86234349228</v>
      </c>
      <c r="AA349" s="2190">
        <f ca="1">(AA210+AA216-AA67-AA73)/1000</f>
        <v>-24626.310134983352</v>
      </c>
      <c r="AB349" s="2193">
        <f ca="1">(AA260-AA117)/1000</f>
        <v>-602034.08591019816</v>
      </c>
      <c r="AC349" s="2190">
        <f ca="1">(AA266+AA272-AA123-AA129)/1000</f>
        <v>-135264.11296138115</v>
      </c>
      <c r="AD349"/>
      <c r="AE349"/>
      <c r="AG349" s="1019">
        <f>ROW()</f>
        <v>349</v>
      </c>
    </row>
    <row r="350" spans="2:33">
      <c r="G350" s="5116"/>
      <c r="H350" s="5116"/>
      <c r="I350" s="5116"/>
      <c r="J350" s="5116"/>
      <c r="K350" s="5116"/>
      <c r="L350" s="5116"/>
      <c r="M350" s="5116"/>
      <c r="N350" s="5116"/>
      <c r="P350" s="5116"/>
      <c r="Q350" s="5116"/>
      <c r="R350" s="5116"/>
      <c r="S350" s="5116"/>
      <c r="T350" s="5116"/>
      <c r="U350" s="5116"/>
      <c r="V350" s="5116"/>
      <c r="W350" s="5116"/>
      <c r="Y350" s="2198" t="s">
        <v>1057</v>
      </c>
      <c r="Z350" s="2194">
        <f ca="1">(AA205-AA62)/1000</f>
        <v>-67.462821515098682</v>
      </c>
      <c r="AA350" s="2191">
        <f ca="1">(AA211+AA217-AA68-AA74)/1000</f>
        <v>-8.4285866093688888</v>
      </c>
      <c r="AB350" s="2194">
        <f ca="1">(AA261-AA118)/1000</f>
        <v>-478.22605590651091</v>
      </c>
      <c r="AC350" s="2191">
        <f ca="1">(AA267+AA273-AA124-AA130)/1000</f>
        <v>-100.72699596803862</v>
      </c>
      <c r="AD350"/>
      <c r="AE350"/>
      <c r="AG350" s="1019">
        <f>ROW()</f>
        <v>350</v>
      </c>
    </row>
    <row r="351" spans="2:33">
      <c r="G351" s="5116"/>
      <c r="H351" s="5116"/>
      <c r="I351" s="5116"/>
      <c r="J351" s="5116"/>
      <c r="K351" s="5116"/>
      <c r="L351" s="5116"/>
      <c r="M351" s="5116"/>
      <c r="N351" s="5116"/>
      <c r="P351" s="5116"/>
      <c r="Q351" s="5116"/>
      <c r="R351" s="5116"/>
      <c r="S351" s="5116"/>
      <c r="T351" s="5116"/>
      <c r="U351" s="5116"/>
      <c r="V351" s="5116"/>
      <c r="W351" s="5116"/>
      <c r="Y351" s="2198" t="s">
        <v>1058</v>
      </c>
      <c r="Z351" s="2194">
        <f ca="1">(AA206-AA63)/1000</f>
        <v>-661.76372325034436</v>
      </c>
      <c r="AA351" s="2191">
        <f ca="1">(AA212+AA218-AA69-AA75)/1000</f>
        <v>-86.635384903031522</v>
      </c>
      <c r="AB351" s="2194">
        <f ca="1">(AA262-AA119)/1000</f>
        <v>-5273.9368435678925</v>
      </c>
      <c r="AC351" s="2191">
        <f ca="1">(AA268+AA274-AA125-AA131)/1000</f>
        <v>-947.66121393407229</v>
      </c>
      <c r="AG351" s="1019">
        <f>ROW()</f>
        <v>351</v>
      </c>
    </row>
    <row r="352" spans="2:33">
      <c r="G352" s="5116"/>
      <c r="H352" s="5116"/>
      <c r="I352" s="5116"/>
      <c r="J352" s="5116"/>
      <c r="K352" s="5116"/>
      <c r="L352" s="5116"/>
      <c r="M352" s="5116"/>
      <c r="N352" s="5116"/>
      <c r="P352" s="5116"/>
      <c r="Q352" s="5116"/>
      <c r="R352" s="5116"/>
      <c r="S352" s="5116"/>
      <c r="T352" s="5116"/>
      <c r="U352" s="5116"/>
      <c r="V352" s="5116"/>
      <c r="W352" s="5116"/>
      <c r="Y352" s="2198" t="s">
        <v>1044</v>
      </c>
      <c r="Z352" s="2194">
        <f ca="1">(AA207-AA64)/1000</f>
        <v>-69.467438890618155</v>
      </c>
      <c r="AA352" s="2191">
        <f ca="1">(AA213+AA219-AA70-AA76)/1000</f>
        <v>-31.585092541339225</v>
      </c>
      <c r="AB352" s="2194">
        <f ca="1">(AA263-AA120)/1000</f>
        <v>-565.12433752631398</v>
      </c>
      <c r="AC352" s="2191">
        <f ca="1">(AA269+AA275-AA126-AA132)/1000</f>
        <v>-737.54521583406995</v>
      </c>
      <c r="AG352" s="1019">
        <f>ROW()</f>
        <v>352</v>
      </c>
    </row>
    <row r="353" spans="7:33">
      <c r="G353" s="5116"/>
      <c r="H353" s="5116"/>
      <c r="I353" s="5116"/>
      <c r="J353" s="5116"/>
      <c r="K353" s="5116"/>
      <c r="L353" s="5116"/>
      <c r="M353" s="5116"/>
      <c r="N353" s="5116"/>
      <c r="P353" s="5116"/>
      <c r="Q353" s="5116"/>
      <c r="R353" s="5116"/>
      <c r="S353" s="5116"/>
      <c r="T353" s="5116"/>
      <c r="U353" s="5116"/>
      <c r="V353" s="5116"/>
      <c r="W353" s="5116"/>
      <c r="Y353" s="2199" t="s">
        <v>1054</v>
      </c>
      <c r="Z353" s="2195">
        <f ca="1">(AA208-AA65)/1000</f>
        <v>-9.8934488587918743</v>
      </c>
      <c r="AA353" s="2192">
        <f ca="1">(AA214+AA220-AA71-AA77)/1000</f>
        <v>-1.6684801588595966</v>
      </c>
      <c r="AB353" s="2195">
        <f ca="1">(AA264-AA121)/1000</f>
        <v>-73.570307349702574</v>
      </c>
      <c r="AC353" s="2192">
        <f ca="1">(AA270+AA276-AA127-AA133)/1000</f>
        <v>-27.200083687245641</v>
      </c>
      <c r="AG353" s="1019">
        <f>ROW()</f>
        <v>353</v>
      </c>
    </row>
    <row r="354" spans="7:33">
      <c r="G354" s="5116"/>
      <c r="H354" s="5116"/>
      <c r="I354" s="5116"/>
      <c r="J354" s="5116"/>
      <c r="K354" s="5116"/>
      <c r="L354" s="5116"/>
      <c r="M354" s="5116"/>
      <c r="N354" s="5116"/>
      <c r="P354" s="5116"/>
      <c r="Q354" s="5116"/>
      <c r="R354" s="5116"/>
      <c r="S354" s="5116"/>
      <c r="T354" s="5116"/>
      <c r="U354" s="5116"/>
      <c r="V354" s="5116"/>
      <c r="W354" s="5116"/>
      <c r="Y354" s="2196" t="str">
        <f>CONCATENATE("Figures above are calculated from earlier data, and match to figures in Rows ",AG332, " to ",AG336, ".")</f>
        <v>Figures above are calculated from earlier data, and match to figures in Rows 332 to 336.</v>
      </c>
      <c r="AG354" s="1019">
        <f>ROW()</f>
        <v>354</v>
      </c>
    </row>
    <row r="355" spans="7:33">
      <c r="AG355" s="1019">
        <f>ROW()</f>
        <v>355</v>
      </c>
    </row>
    <row r="356" spans="7:33" ht="12">
      <c r="Y356" s="89" t="s">
        <v>3645</v>
      </c>
      <c r="AG356" s="1019">
        <f>ROW()</f>
        <v>356</v>
      </c>
    </row>
    <row r="357" spans="7:33">
      <c r="AG357" s="1019">
        <f>ROW()</f>
        <v>357</v>
      </c>
    </row>
    <row r="358" spans="7:33">
      <c r="Y358" s="89" t="s">
        <v>3639</v>
      </c>
      <c r="AE358" s="2185">
        <f ca="1">VMT!K22/(VMT!K17+VMT!K18)</f>
        <v>1.1452160336080659</v>
      </c>
      <c r="AG358" s="1019">
        <f>ROW()</f>
        <v>358</v>
      </c>
    </row>
    <row r="359" spans="7:33" ht="12" customHeight="1">
      <c r="Y359" s="5117" t="str">
        <f>CONCATENATE("From 'VMT' worksheet. Is ratio of all light-vehicle VMT reduction (Row ",VMT!O22, ") to reductions due directly to cordon toll (Row ",VMT!O17, " plus Row ",VMT!O18, "). We assume 100% of impact is non-cordon, though tiny fraction may be w/i CBD.")</f>
        <v>From 'VMT' worksheet. Is ratio of all light-vehicle VMT reduction (Row 22) to reductions due directly to cordon toll (Row 17 plus Row 18). We assume 100% of impact is non-cordon, though tiny fraction may be w/i CBD.</v>
      </c>
      <c r="Z359" s="5117"/>
      <c r="AA359" s="5117"/>
      <c r="AB359" s="5117"/>
      <c r="AC359" s="5117"/>
      <c r="AD359" s="5117"/>
      <c r="AE359" s="2196"/>
      <c r="AG359" s="1019">
        <f>ROW()</f>
        <v>359</v>
      </c>
    </row>
    <row r="360" spans="7:33">
      <c r="Y360" s="5117"/>
      <c r="Z360" s="5117"/>
      <c r="AA360" s="5117"/>
      <c r="AB360" s="5117"/>
      <c r="AC360" s="5117"/>
      <c r="AD360" s="5117"/>
      <c r="AE360" s="2196"/>
      <c r="AG360" s="1019">
        <f>ROW()</f>
        <v>360</v>
      </c>
    </row>
    <row r="361" spans="7:33">
      <c r="AG361" s="1019">
        <f>ROW()</f>
        <v>361</v>
      </c>
    </row>
    <row r="362" spans="7:33" ht="12">
      <c r="Z362" s="5112" t="s">
        <v>2308</v>
      </c>
      <c r="AA362" s="5113"/>
      <c r="AB362" s="5114" t="s">
        <v>2309</v>
      </c>
      <c r="AC362" s="5113"/>
      <c r="AD362" s="2201" t="s">
        <v>2308</v>
      </c>
      <c r="AE362" s="2201" t="s">
        <v>3647</v>
      </c>
      <c r="AG362" s="1019">
        <f>ROW()</f>
        <v>362</v>
      </c>
    </row>
    <row r="363" spans="7:33" ht="12">
      <c r="Y363" s="912"/>
      <c r="Z363" s="2186" t="s">
        <v>3642</v>
      </c>
      <c r="AA363" s="2187" t="s">
        <v>3643</v>
      </c>
      <c r="AB363" s="2186" t="s">
        <v>3642</v>
      </c>
      <c r="AC363" s="2187" t="s">
        <v>3643</v>
      </c>
      <c r="AD363" s="2204" t="s">
        <v>3646</v>
      </c>
      <c r="AE363" s="2204" t="s">
        <v>3646</v>
      </c>
      <c r="AG363" s="1019">
        <f>ROW()</f>
        <v>363</v>
      </c>
    </row>
    <row r="364" spans="7:33">
      <c r="Y364" s="912"/>
      <c r="Z364" s="2189" t="s">
        <v>470</v>
      </c>
      <c r="AA364" s="2189" t="s">
        <v>470</v>
      </c>
      <c r="AB364" s="2188" t="s">
        <v>470</v>
      </c>
      <c r="AC364" s="2188" t="s">
        <v>470</v>
      </c>
      <c r="AD364" s="2200" t="s">
        <v>470</v>
      </c>
      <c r="AE364" s="2200" t="s">
        <v>470</v>
      </c>
      <c r="AG364" s="1019">
        <f>ROW()</f>
        <v>364</v>
      </c>
    </row>
    <row r="365" spans="7:33">
      <c r="Y365" s="1107" t="s">
        <v>2494</v>
      </c>
      <c r="Z365" s="2193">
        <f ca="1">Z349</f>
        <v>-142177.86234349228</v>
      </c>
      <c r="AA365" s="2190">
        <f t="shared" ref="AA365:AC369" ca="1" si="176">AA349</f>
        <v>-24626.310134983352</v>
      </c>
      <c r="AB365" s="2190">
        <f ca="1">AB349*$AE$358</f>
        <v>-689459.08796293475</v>
      </c>
      <c r="AC365" s="2190">
        <f t="shared" ca="1" si="176"/>
        <v>-135264.11296138115</v>
      </c>
      <c r="AD365" s="2202">
        <f ca="1">Z365+AA365</f>
        <v>-166804.17247847564</v>
      </c>
      <c r="AE365" s="2205">
        <f ca="1">AB365+AC365</f>
        <v>-824723.20092431596</v>
      </c>
      <c r="AG365" s="1019">
        <f>ROW()</f>
        <v>365</v>
      </c>
    </row>
    <row r="366" spans="7:33">
      <c r="Y366" s="1108" t="s">
        <v>1057</v>
      </c>
      <c r="Z366" s="2194">
        <f t="shared" ref="Z366" ca="1" si="177">Z350</f>
        <v>-67.462821515098682</v>
      </c>
      <c r="AA366" s="2191">
        <f t="shared" ca="1" si="176"/>
        <v>-8.4285866093688888</v>
      </c>
      <c r="AB366" s="2191">
        <f ca="1">AB350*$AE$358</f>
        <v>-547.67214691328354</v>
      </c>
      <c r="AC366" s="2191">
        <f t="shared" ca="1" si="176"/>
        <v>-100.72699596803862</v>
      </c>
      <c r="AD366" s="2202">
        <f ca="1">Z366+AA366</f>
        <v>-75.891408124467574</v>
      </c>
      <c r="AE366" s="2202">
        <f ca="1">AB366+AC366</f>
        <v>-648.39914288132218</v>
      </c>
      <c r="AG366" s="1019">
        <f>ROW()</f>
        <v>366</v>
      </c>
    </row>
    <row r="367" spans="7:33">
      <c r="Y367" s="1108" t="s">
        <v>1058</v>
      </c>
      <c r="Z367" s="2194">
        <f t="shared" ref="Z367" ca="1" si="178">Z351</f>
        <v>-661.76372325034436</v>
      </c>
      <c r="AA367" s="2191">
        <f t="shared" ca="1" si="176"/>
        <v>-86.635384903031522</v>
      </c>
      <c r="AB367" s="2191">
        <f ca="1">AB351*$AE$358</f>
        <v>-6039.7970334902648</v>
      </c>
      <c r="AC367" s="2191">
        <f t="shared" ca="1" si="176"/>
        <v>-947.66121393407229</v>
      </c>
      <c r="AD367" s="2202">
        <f ca="1">Z367+AA367</f>
        <v>-748.39910815337589</v>
      </c>
      <c r="AE367" s="2202">
        <f ca="1">AB367+AC367</f>
        <v>-6987.4582474243371</v>
      </c>
      <c r="AG367" s="1019">
        <f>ROW()</f>
        <v>367</v>
      </c>
    </row>
    <row r="368" spans="7:33">
      <c r="Y368" s="1108" t="s">
        <v>1044</v>
      </c>
      <c r="Z368" s="2194">
        <f t="shared" ref="Z368" ca="1" si="179">Z352</f>
        <v>-69.467438890618155</v>
      </c>
      <c r="AA368" s="2191">
        <f t="shared" ca="1" si="176"/>
        <v>-31.585092541339225</v>
      </c>
      <c r="AB368" s="2191">
        <f ca="1">AB352*$AE$358</f>
        <v>-647.18945231727116</v>
      </c>
      <c r="AC368" s="2191">
        <f t="shared" ca="1" si="176"/>
        <v>-737.54521583406995</v>
      </c>
      <c r="AD368" s="2202">
        <f ca="1">Z368+AA368</f>
        <v>-101.05253143195738</v>
      </c>
      <c r="AE368" s="2202">
        <f ca="1">AB368+AC368</f>
        <v>-1384.7346681513411</v>
      </c>
      <c r="AG368" s="1019">
        <f>ROW()</f>
        <v>368</v>
      </c>
    </row>
    <row r="369" spans="25:33">
      <c r="Y369" s="1109" t="s">
        <v>1054</v>
      </c>
      <c r="Z369" s="2195">
        <f t="shared" ref="Z369" ca="1" si="180">Z353</f>
        <v>-9.8934488587918743</v>
      </c>
      <c r="AA369" s="2192">
        <f t="shared" ca="1" si="176"/>
        <v>-1.6684801588595966</v>
      </c>
      <c r="AB369" s="2192">
        <f ca="1">AB353*$AE$358</f>
        <v>-84.253895574352725</v>
      </c>
      <c r="AC369" s="2192">
        <f t="shared" ca="1" si="176"/>
        <v>-27.200083687245641</v>
      </c>
      <c r="AD369" s="2203">
        <f ca="1">Z369+AA369</f>
        <v>-11.561929017651471</v>
      </c>
      <c r="AE369" s="2203">
        <f ca="1">AB369+AC369</f>
        <v>-111.45397926159836</v>
      </c>
      <c r="AG369" s="1019">
        <f>ROW()</f>
        <v>369</v>
      </c>
    </row>
  </sheetData>
  <customSheetViews>
    <customSheetView guid="{BD5E6263-A0AD-4076-921A-D4EBD62848EF}" showRuler="0">
      <selection activeCell="J18" sqref="J18"/>
      <pageMargins left="0.75" right="0.75" top="1" bottom="1" header="0.5" footer="0.5"/>
      <pageSetup orientation="portrait" horizontalDpi="1200" verticalDpi="1200" r:id="rId1"/>
      <headerFooter alignWithMargins="0"/>
    </customSheetView>
    <customSheetView guid="{1D5AE30A-CA7C-4B32-AEA4-9F37A560AAA8}" showRuler="0">
      <selection activeCell="C10" sqref="C10"/>
      <pageMargins left="0.75" right="0.75" top="1" bottom="1" header="0.5" footer="0.5"/>
      <headerFooter alignWithMargins="0"/>
    </customSheetView>
  </customSheetViews>
  <mergeCells count="14">
    <mergeCell ref="Z362:AA362"/>
    <mergeCell ref="AB362:AC362"/>
    <mergeCell ref="G344:N354"/>
    <mergeCell ref="P344:W354"/>
    <mergeCell ref="Z346:AA346"/>
    <mergeCell ref="AB346:AC346"/>
    <mergeCell ref="Y359:AD360"/>
    <mergeCell ref="Z23:Z24"/>
    <mergeCell ref="G21:N21"/>
    <mergeCell ref="P21:W21"/>
    <mergeCell ref="B5:J8"/>
    <mergeCell ref="B10:J14"/>
    <mergeCell ref="B16:J19"/>
    <mergeCell ref="Y23:Y24"/>
  </mergeCells>
  <phoneticPr fontId="6" type="noConversion"/>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sheetPr codeName="Sheet11"/>
  <dimension ref="B1:AA79"/>
  <sheetViews>
    <sheetView showRuler="0" zoomScaleNormal="100" workbookViewId="0"/>
  </sheetViews>
  <sheetFormatPr defaultColWidth="8.75" defaultRowHeight="11.4"/>
  <cols>
    <col min="1" max="1" width="3.125" style="9" customWidth="1"/>
    <col min="2" max="2" width="12.125" style="9" customWidth="1"/>
    <col min="3" max="3" width="2.625" style="9" customWidth="1"/>
    <col min="4" max="10" width="10.75" style="9" customWidth="1"/>
    <col min="11" max="11" width="1.875" style="9" customWidth="1"/>
    <col min="12" max="18" width="10.75" style="9" customWidth="1"/>
    <col min="19" max="19" width="1.625" style="9" customWidth="1"/>
    <col min="20" max="26" width="10.75" style="9" customWidth="1"/>
    <col min="27" max="16384" width="8.75" style="9"/>
  </cols>
  <sheetData>
    <row r="1" spans="2:14" ht="13.2">
      <c r="B1" s="24"/>
      <c r="C1" s="24"/>
      <c r="H1" s="1070"/>
    </row>
    <row r="2" spans="2:14" ht="13.8">
      <c r="B2" s="115" t="s">
        <v>1060</v>
      </c>
      <c r="C2" s="24"/>
      <c r="H2" s="1070"/>
      <c r="J2" s="1007">
        <f>'Title Page'!K1</f>
        <v>40914</v>
      </c>
    </row>
    <row r="3" spans="2:14" ht="13.2">
      <c r="B3" s="24"/>
      <c r="C3" s="24"/>
      <c r="H3" s="1070"/>
    </row>
    <row r="4" spans="2:14">
      <c r="B4" s="9" t="s">
        <v>1394</v>
      </c>
      <c r="H4" s="1070"/>
    </row>
    <row r="5" spans="2:14">
      <c r="H5" s="1070"/>
    </row>
    <row r="6" spans="2:14">
      <c r="B6" s="5103" t="s">
        <v>1051</v>
      </c>
      <c r="C6" s="5103"/>
      <c r="D6" s="3781"/>
      <c r="E6" s="3781"/>
      <c r="F6" s="3781"/>
      <c r="G6" s="3781"/>
      <c r="H6" s="3781"/>
      <c r="I6" s="3781"/>
      <c r="J6" s="3781"/>
      <c r="K6" s="3781"/>
      <c r="L6" s="3781"/>
      <c r="M6" s="3781"/>
    </row>
    <row r="7" spans="2:14">
      <c r="B7" s="3781"/>
      <c r="C7" s="3781"/>
      <c r="D7" s="3781"/>
      <c r="E7" s="3781"/>
      <c r="F7" s="3781"/>
      <c r="G7" s="3781"/>
      <c r="H7" s="3781"/>
      <c r="I7" s="3781"/>
      <c r="J7" s="3781"/>
      <c r="K7" s="3781"/>
      <c r="L7" s="3781"/>
      <c r="M7" s="3781"/>
    </row>
    <row r="8" spans="2:14">
      <c r="B8" s="3781"/>
      <c r="C8" s="3781"/>
      <c r="D8" s="3781"/>
      <c r="E8" s="3781"/>
      <c r="F8" s="3781"/>
      <c r="G8" s="3781"/>
      <c r="H8" s="3781"/>
      <c r="I8" s="3781"/>
      <c r="J8" s="3781"/>
      <c r="K8" s="3781"/>
      <c r="L8" s="3781"/>
      <c r="M8" s="3781"/>
    </row>
    <row r="9" spans="2:14">
      <c r="H9" s="1070"/>
    </row>
    <row r="10" spans="2:14">
      <c r="B10" s="5103" t="s">
        <v>1870</v>
      </c>
      <c r="C10" s="5103"/>
      <c r="D10" s="3781"/>
      <c r="E10" s="3781"/>
      <c r="F10" s="3781"/>
      <c r="G10" s="3781"/>
      <c r="H10" s="3781"/>
      <c r="I10" s="3781"/>
      <c r="J10" s="3781"/>
      <c r="K10" s="3781"/>
      <c r="L10" s="3781"/>
      <c r="M10" s="3781"/>
      <c r="N10" s="3781"/>
    </row>
    <row r="11" spans="2:14">
      <c r="B11" s="3781"/>
      <c r="C11" s="3781"/>
      <c r="D11" s="3781"/>
      <c r="E11" s="3781"/>
      <c r="F11" s="3781"/>
      <c r="G11" s="3781"/>
      <c r="H11" s="3781"/>
      <c r="I11" s="3781"/>
      <c r="J11" s="3781"/>
      <c r="K11" s="3781"/>
      <c r="L11" s="3781"/>
      <c r="M11" s="3781"/>
      <c r="N11" s="3781"/>
    </row>
    <row r="12" spans="2:14">
      <c r="B12" s="3781"/>
      <c r="C12" s="3781"/>
      <c r="D12" s="3781"/>
      <c r="E12" s="3781"/>
      <c r="F12" s="3781"/>
      <c r="G12" s="3781"/>
      <c r="H12" s="3781"/>
      <c r="I12" s="3781"/>
      <c r="J12" s="3781"/>
      <c r="K12" s="3781"/>
      <c r="L12" s="3781"/>
      <c r="M12" s="3781"/>
      <c r="N12" s="3781"/>
    </row>
    <row r="13" spans="2:14">
      <c r="H13" s="1070"/>
    </row>
    <row r="14" spans="2:14" ht="13.2">
      <c r="B14" s="24"/>
      <c r="C14" s="24"/>
      <c r="H14" s="1070"/>
    </row>
    <row r="15" spans="2:14">
      <c r="B15" s="9" t="s">
        <v>1055</v>
      </c>
    </row>
    <row r="16" spans="2:14">
      <c r="B16" s="9" t="s">
        <v>1061</v>
      </c>
    </row>
    <row r="17" spans="2:26">
      <c r="B17" s="9" t="s">
        <v>1396</v>
      </c>
    </row>
    <row r="20" spans="2:26" ht="13.2">
      <c r="B20" s="24" t="s">
        <v>1304</v>
      </c>
      <c r="C20" s="24"/>
    </row>
    <row r="21" spans="2:26" ht="13.2">
      <c r="B21" s="24"/>
      <c r="C21" s="24"/>
    </row>
    <row r="22" spans="2:26" ht="12">
      <c r="D22" s="4147" t="s">
        <v>1303</v>
      </c>
      <c r="E22" s="4147"/>
      <c r="F22" s="4147"/>
      <c r="G22" s="4147"/>
      <c r="H22" s="4147"/>
      <c r="I22" s="4147"/>
      <c r="J22" s="4147"/>
      <c r="K22" s="158"/>
      <c r="L22" s="5118" t="s">
        <v>1395</v>
      </c>
      <c r="M22" s="5118"/>
      <c r="N22" s="5118"/>
      <c r="O22" s="5118"/>
      <c r="P22" s="5118"/>
      <c r="Q22" s="5118"/>
      <c r="R22" s="5118"/>
      <c r="T22" s="4147" t="s">
        <v>810</v>
      </c>
      <c r="U22" s="4147"/>
      <c r="V22" s="4147"/>
      <c r="W22" s="4147"/>
      <c r="X22" s="4147"/>
      <c r="Y22" s="4147"/>
      <c r="Z22" s="4147"/>
    </row>
    <row r="23" spans="2:26" s="1072" customFormat="1" ht="30" customHeight="1">
      <c r="B23" s="1071" t="s">
        <v>1056</v>
      </c>
      <c r="C23" s="1071"/>
      <c r="D23" s="1071" t="s">
        <v>1057</v>
      </c>
      <c r="E23" s="1071" t="s">
        <v>1058</v>
      </c>
      <c r="F23" s="1071" t="s">
        <v>1044</v>
      </c>
      <c r="G23" s="1071" t="s">
        <v>1054</v>
      </c>
      <c r="H23" s="1071" t="s">
        <v>1397</v>
      </c>
      <c r="I23" s="1071" t="s">
        <v>1398</v>
      </c>
      <c r="J23" s="1071" t="s">
        <v>1399</v>
      </c>
      <c r="K23" s="1069"/>
      <c r="L23" s="1071" t="s">
        <v>1057</v>
      </c>
      <c r="M23" s="1071" t="s">
        <v>1058</v>
      </c>
      <c r="N23" s="1071" t="s">
        <v>1044</v>
      </c>
      <c r="O23" s="1071" t="s">
        <v>1054</v>
      </c>
      <c r="P23" s="1071" t="s">
        <v>1397</v>
      </c>
      <c r="Q23" s="1071" t="s">
        <v>1398</v>
      </c>
      <c r="R23" s="1071" t="s">
        <v>1399</v>
      </c>
      <c r="T23" s="1071" t="s">
        <v>1057</v>
      </c>
      <c r="U23" s="1071" t="s">
        <v>1058</v>
      </c>
      <c r="V23" s="1071" t="s">
        <v>1044</v>
      </c>
      <c r="W23" s="1071" t="s">
        <v>1054</v>
      </c>
      <c r="X23" s="1071" t="s">
        <v>1397</v>
      </c>
      <c r="Y23" s="1071" t="s">
        <v>1398</v>
      </c>
      <c r="Z23" s="1071" t="s">
        <v>1399</v>
      </c>
    </row>
    <row r="24" spans="2:26">
      <c r="B24">
        <v>3</v>
      </c>
      <c r="C24"/>
      <c r="D24">
        <v>0.73499999999999999</v>
      </c>
      <c r="E24">
        <v>7.1180000000000003</v>
      </c>
      <c r="F24">
        <v>0.754</v>
      </c>
      <c r="G24">
        <v>8.8999999999999996E-2</v>
      </c>
      <c r="H24">
        <v>8.0000000000000002E-3</v>
      </c>
      <c r="I24">
        <v>1.2999999999999999E-2</v>
      </c>
      <c r="J24" s="582">
        <f t="shared" ref="J24:J46" si="0">SUM(G24:I24)</f>
        <v>0.11</v>
      </c>
      <c r="K24" s="158"/>
      <c r="L24">
        <v>1.2829999999999999</v>
      </c>
      <c r="M24">
        <v>13.416</v>
      </c>
      <c r="N24">
        <v>6.234</v>
      </c>
      <c r="O24">
        <v>0.27600000000000002</v>
      </c>
      <c r="P24">
        <v>1.2E-2</v>
      </c>
      <c r="Q24">
        <v>1.2999999999999999E-2</v>
      </c>
      <c r="R24" s="582">
        <f t="shared" ref="R24:R46" si="1">SUM(O24:Q24)</f>
        <v>0.30100000000000005</v>
      </c>
      <c r="T24">
        <v>3.34</v>
      </c>
      <c r="U24">
        <v>29.748999999999999</v>
      </c>
      <c r="V24">
        <v>26.433</v>
      </c>
      <c r="W24">
        <v>0.82699999999999996</v>
      </c>
      <c r="X24">
        <v>0.01</v>
      </c>
      <c r="Y24">
        <v>1.2999999999999999E-2</v>
      </c>
      <c r="Z24" s="582">
        <f t="shared" ref="Z24:Z46" si="2">SUM(W24:Y24)</f>
        <v>0.85</v>
      </c>
    </row>
    <row r="25" spans="2:26">
      <c r="B25">
        <v>6</v>
      </c>
      <c r="C25"/>
      <c r="D25">
        <v>0.57499999999999996</v>
      </c>
      <c r="E25">
        <v>6.327</v>
      </c>
      <c r="F25">
        <v>0.68700000000000006</v>
      </c>
      <c r="G25">
        <v>6.8000000000000005E-2</v>
      </c>
      <c r="H25">
        <v>8.0000000000000002E-3</v>
      </c>
      <c r="I25">
        <v>1.2999999999999999E-2</v>
      </c>
      <c r="J25" s="582">
        <f t="shared" si="0"/>
        <v>8.900000000000001E-2</v>
      </c>
      <c r="K25" s="158"/>
      <c r="L25">
        <v>1.1859999999999999</v>
      </c>
      <c r="M25">
        <v>12.333</v>
      </c>
      <c r="N25">
        <v>6.0110000000000001</v>
      </c>
      <c r="O25">
        <v>0.26200000000000001</v>
      </c>
      <c r="P25">
        <v>1.2E-2</v>
      </c>
      <c r="Q25">
        <v>1.2999999999999999E-2</v>
      </c>
      <c r="R25" s="582">
        <f t="shared" si="1"/>
        <v>0.28700000000000003</v>
      </c>
      <c r="T25">
        <v>3.0910000000000002</v>
      </c>
      <c r="U25">
        <v>27.248999999999999</v>
      </c>
      <c r="V25">
        <v>25.111999999999998</v>
      </c>
      <c r="W25">
        <v>0.77900000000000003</v>
      </c>
      <c r="X25">
        <v>0.01</v>
      </c>
      <c r="Y25">
        <v>1.2999999999999999E-2</v>
      </c>
      <c r="Z25" s="582">
        <f t="shared" si="2"/>
        <v>0.80200000000000005</v>
      </c>
    </row>
    <row r="26" spans="2:26">
      <c r="B26">
        <v>9</v>
      </c>
      <c r="C26"/>
      <c r="D26">
        <v>0.45800000000000002</v>
      </c>
      <c r="E26">
        <v>5.6890000000000001</v>
      </c>
      <c r="F26">
        <v>0.63100000000000001</v>
      </c>
      <c r="G26">
        <v>5.2999999999999999E-2</v>
      </c>
      <c r="H26">
        <v>8.0000000000000002E-3</v>
      </c>
      <c r="I26">
        <v>1.2999999999999999E-2</v>
      </c>
      <c r="J26" s="582">
        <f t="shared" si="0"/>
        <v>7.3999999999999996E-2</v>
      </c>
      <c r="K26" s="158"/>
      <c r="L26">
        <v>0.94799999999999995</v>
      </c>
      <c r="M26">
        <v>9.7050000000000001</v>
      </c>
      <c r="N26">
        <v>5.4370000000000003</v>
      </c>
      <c r="O26">
        <v>0.22500000000000001</v>
      </c>
      <c r="P26">
        <v>1.2E-2</v>
      </c>
      <c r="Q26">
        <v>1.2999999999999999E-2</v>
      </c>
      <c r="R26" s="582">
        <f t="shared" si="1"/>
        <v>0.25</v>
      </c>
      <c r="T26">
        <v>2.4750000000000001</v>
      </c>
      <c r="U26">
        <v>21.222999999999999</v>
      </c>
      <c r="V26">
        <v>21.785</v>
      </c>
      <c r="W26">
        <v>0.65600000000000003</v>
      </c>
      <c r="X26">
        <v>0.01</v>
      </c>
      <c r="Y26">
        <v>1.2999999999999999E-2</v>
      </c>
      <c r="Z26" s="582">
        <f t="shared" si="2"/>
        <v>0.67900000000000005</v>
      </c>
    </row>
    <row r="27" spans="2:26">
      <c r="B27">
        <v>12</v>
      </c>
      <c r="C27"/>
      <c r="D27">
        <v>0.371</v>
      </c>
      <c r="E27">
        <v>5.1669999999999998</v>
      </c>
      <c r="F27">
        <v>0.58399999999999996</v>
      </c>
      <c r="G27">
        <v>4.2000000000000003E-2</v>
      </c>
      <c r="H27">
        <v>8.0000000000000002E-3</v>
      </c>
      <c r="I27">
        <v>1.2999999999999999E-2</v>
      </c>
      <c r="J27" s="582">
        <f t="shared" si="0"/>
        <v>6.3E-2</v>
      </c>
      <c r="K27" s="158"/>
      <c r="L27">
        <v>0.76900000000000002</v>
      </c>
      <c r="M27">
        <v>7.7830000000000004</v>
      </c>
      <c r="N27">
        <v>4.9820000000000002</v>
      </c>
      <c r="O27">
        <v>0.19500000000000001</v>
      </c>
      <c r="P27">
        <v>1.2E-2</v>
      </c>
      <c r="Q27">
        <v>1.2999999999999999E-2</v>
      </c>
      <c r="R27" s="582">
        <f t="shared" si="1"/>
        <v>0.22000000000000003</v>
      </c>
      <c r="T27">
        <v>2.0110000000000001</v>
      </c>
      <c r="U27">
        <v>16.866</v>
      </c>
      <c r="V27">
        <v>19.228999999999999</v>
      </c>
      <c r="W27">
        <v>0.55800000000000005</v>
      </c>
      <c r="X27">
        <v>0.01</v>
      </c>
      <c r="Y27">
        <v>1.2999999999999999E-2</v>
      </c>
      <c r="Z27" s="582">
        <f t="shared" si="2"/>
        <v>0.58100000000000007</v>
      </c>
    </row>
    <row r="28" spans="2:26">
      <c r="B28">
        <v>15</v>
      </c>
      <c r="C28"/>
      <c r="D28">
        <v>0.30599999999999999</v>
      </c>
      <c r="E28">
        <v>4.7350000000000003</v>
      </c>
      <c r="F28">
        <v>0.54500000000000004</v>
      </c>
      <c r="G28">
        <v>3.4000000000000002E-2</v>
      </c>
      <c r="H28">
        <v>8.0000000000000002E-3</v>
      </c>
      <c r="I28">
        <v>1.2999999999999999E-2</v>
      </c>
      <c r="J28" s="582">
        <f t="shared" si="0"/>
        <v>5.5E-2</v>
      </c>
      <c r="K28" s="158"/>
      <c r="L28">
        <v>0.63400000000000001</v>
      </c>
      <c r="M28">
        <v>6.3630000000000004</v>
      </c>
      <c r="N28">
        <v>4.6230000000000002</v>
      </c>
      <c r="O28">
        <v>0.17</v>
      </c>
      <c r="P28">
        <v>1.2E-2</v>
      </c>
      <c r="Q28">
        <v>1.2999999999999999E-2</v>
      </c>
      <c r="R28" s="582">
        <f t="shared" si="1"/>
        <v>0.19500000000000003</v>
      </c>
      <c r="T28">
        <v>1.6579999999999999</v>
      </c>
      <c r="U28">
        <v>13.673999999999999</v>
      </c>
      <c r="V28">
        <v>17.263999999999999</v>
      </c>
      <c r="W28">
        <v>0.48</v>
      </c>
      <c r="X28">
        <v>0.01</v>
      </c>
      <c r="Y28">
        <v>1.2999999999999999E-2</v>
      </c>
      <c r="Z28" s="582">
        <f t="shared" si="2"/>
        <v>0.503</v>
      </c>
    </row>
    <row r="29" spans="2:26">
      <c r="B29">
        <v>18</v>
      </c>
      <c r="C29"/>
      <c r="D29">
        <v>0.25700000000000001</v>
      </c>
      <c r="E29">
        <v>4.3739999999999997</v>
      </c>
      <c r="F29">
        <v>0.51200000000000001</v>
      </c>
      <c r="G29">
        <v>2.8000000000000001E-2</v>
      </c>
      <c r="H29">
        <v>8.0000000000000002E-3</v>
      </c>
      <c r="I29">
        <v>1.2999999999999999E-2</v>
      </c>
      <c r="J29" s="582">
        <f t="shared" si="0"/>
        <v>4.9000000000000002E-2</v>
      </c>
      <c r="K29" s="158"/>
      <c r="L29">
        <v>0.53</v>
      </c>
      <c r="M29">
        <v>5.3010000000000002</v>
      </c>
      <c r="N29">
        <v>4.3449999999999998</v>
      </c>
      <c r="O29">
        <v>0.15</v>
      </c>
      <c r="P29">
        <v>1.2E-2</v>
      </c>
      <c r="Q29">
        <v>1.2999999999999999E-2</v>
      </c>
      <c r="R29" s="582">
        <f t="shared" si="1"/>
        <v>0.17500000000000002</v>
      </c>
      <c r="T29">
        <v>1.387</v>
      </c>
      <c r="U29">
        <v>11.31</v>
      </c>
      <c r="V29">
        <v>15.762</v>
      </c>
      <c r="W29">
        <v>0.41799999999999998</v>
      </c>
      <c r="X29">
        <v>0.01</v>
      </c>
      <c r="Y29">
        <v>1.2999999999999999E-2</v>
      </c>
      <c r="Z29" s="582">
        <f t="shared" si="2"/>
        <v>0.441</v>
      </c>
    </row>
    <row r="30" spans="2:26">
      <c r="B30">
        <v>21</v>
      </c>
      <c r="C30"/>
      <c r="D30">
        <v>0.22</v>
      </c>
      <c r="E30">
        <v>4.07</v>
      </c>
      <c r="F30">
        <v>0.48499999999999999</v>
      </c>
      <c r="G30">
        <v>2.3E-2</v>
      </c>
      <c r="H30">
        <v>8.0000000000000002E-3</v>
      </c>
      <c r="I30">
        <v>1.2999999999999999E-2</v>
      </c>
      <c r="J30" s="582">
        <f t="shared" si="0"/>
        <v>4.3999999999999997E-2</v>
      </c>
      <c r="L30">
        <v>0.44900000000000001</v>
      </c>
      <c r="M30">
        <v>4.5019999999999998</v>
      </c>
      <c r="N30">
        <v>4.1319999999999997</v>
      </c>
      <c r="O30">
        <v>0.13300000000000001</v>
      </c>
      <c r="P30">
        <v>1.2E-2</v>
      </c>
      <c r="Q30">
        <v>1.2999999999999999E-2</v>
      </c>
      <c r="R30" s="582">
        <f t="shared" si="1"/>
        <v>0.15800000000000003</v>
      </c>
      <c r="T30">
        <v>1.177</v>
      </c>
      <c r="U30">
        <v>9.5429999999999993</v>
      </c>
      <c r="V30">
        <v>14.628</v>
      </c>
      <c r="W30">
        <v>0.36699999999999999</v>
      </c>
      <c r="X30">
        <v>0.01</v>
      </c>
      <c r="Y30">
        <v>1.2999999999999999E-2</v>
      </c>
      <c r="Z30" s="582">
        <f t="shared" si="2"/>
        <v>0.39</v>
      </c>
    </row>
    <row r="31" spans="2:26">
      <c r="B31">
        <v>24</v>
      </c>
      <c r="C31"/>
      <c r="D31">
        <v>0.191</v>
      </c>
      <c r="E31">
        <v>3.8119999999999998</v>
      </c>
      <c r="F31">
        <v>0.46400000000000002</v>
      </c>
      <c r="G31">
        <v>0.02</v>
      </c>
      <c r="H31">
        <v>8.0000000000000002E-3</v>
      </c>
      <c r="I31">
        <v>1.2999999999999999E-2</v>
      </c>
      <c r="J31" s="582">
        <f t="shared" si="0"/>
        <v>4.1000000000000002E-2</v>
      </c>
      <c r="L31">
        <v>0.38600000000000001</v>
      </c>
      <c r="M31">
        <v>3.8959999999999999</v>
      </c>
      <c r="N31">
        <v>3.9769999999999999</v>
      </c>
      <c r="O31">
        <v>0.12</v>
      </c>
      <c r="P31">
        <v>1.2E-2</v>
      </c>
      <c r="Q31">
        <v>1.2999999999999999E-2</v>
      </c>
      <c r="R31" s="582">
        <f t="shared" si="1"/>
        <v>0.14500000000000002</v>
      </c>
      <c r="T31">
        <v>1.0129999999999999</v>
      </c>
      <c r="U31">
        <v>8.2140000000000004</v>
      </c>
      <c r="V31">
        <v>13.795999999999999</v>
      </c>
      <c r="W31">
        <v>0.32600000000000001</v>
      </c>
      <c r="X31">
        <v>0.01</v>
      </c>
      <c r="Y31">
        <v>1.2999999999999999E-2</v>
      </c>
      <c r="Z31" s="582">
        <f t="shared" si="2"/>
        <v>0.34900000000000003</v>
      </c>
    </row>
    <row r="32" spans="2:26">
      <c r="B32">
        <v>27</v>
      </c>
      <c r="C32"/>
      <c r="D32">
        <v>0.16900000000000001</v>
      </c>
      <c r="E32">
        <v>3.5920000000000001</v>
      </c>
      <c r="F32">
        <v>0.44600000000000001</v>
      </c>
      <c r="G32">
        <v>1.7000000000000001E-2</v>
      </c>
      <c r="H32">
        <v>8.0000000000000002E-3</v>
      </c>
      <c r="I32">
        <v>1.2999999999999999E-2</v>
      </c>
      <c r="J32" s="582">
        <f t="shared" si="0"/>
        <v>3.7999999999999999E-2</v>
      </c>
      <c r="L32">
        <v>0.33600000000000002</v>
      </c>
      <c r="M32">
        <v>3.4369999999999998</v>
      </c>
      <c r="N32">
        <v>3.8719999999999999</v>
      </c>
      <c r="O32">
        <v>0.108</v>
      </c>
      <c r="P32">
        <v>1.2E-2</v>
      </c>
      <c r="Q32">
        <v>1.2999999999999999E-2</v>
      </c>
      <c r="R32" s="582">
        <f t="shared" si="1"/>
        <v>0.13300000000000001</v>
      </c>
      <c r="T32">
        <v>0.88400000000000001</v>
      </c>
      <c r="U32">
        <v>7.2119999999999997</v>
      </c>
      <c r="V32">
        <v>13.218999999999999</v>
      </c>
      <c r="W32">
        <v>0.29299999999999998</v>
      </c>
      <c r="X32">
        <v>0.01</v>
      </c>
      <c r="Y32">
        <v>1.2999999999999999E-2</v>
      </c>
      <c r="Z32" s="582">
        <f t="shared" si="2"/>
        <v>0.316</v>
      </c>
    </row>
    <row r="33" spans="2:26">
      <c r="B33">
        <v>30</v>
      </c>
      <c r="C33"/>
      <c r="D33">
        <v>0.152</v>
      </c>
      <c r="E33">
        <v>3.4060000000000001</v>
      </c>
      <c r="F33">
        <v>0.432</v>
      </c>
      <c r="G33">
        <v>1.4999999999999999E-2</v>
      </c>
      <c r="H33">
        <v>8.0000000000000002E-3</v>
      </c>
      <c r="I33">
        <v>1.2999999999999999E-2</v>
      </c>
      <c r="J33" s="582">
        <f t="shared" si="0"/>
        <v>3.5999999999999997E-2</v>
      </c>
      <c r="L33">
        <v>0.29699999999999999</v>
      </c>
      <c r="M33">
        <v>3.09</v>
      </c>
      <c r="N33">
        <v>3.8109999999999999</v>
      </c>
      <c r="O33">
        <v>9.9000000000000005E-2</v>
      </c>
      <c r="P33">
        <v>1.2E-2</v>
      </c>
      <c r="Q33">
        <v>1.2999999999999999E-2</v>
      </c>
      <c r="R33" s="582">
        <f t="shared" si="1"/>
        <v>0.124</v>
      </c>
      <c r="T33">
        <v>0.78200000000000003</v>
      </c>
      <c r="U33">
        <v>6.4580000000000002</v>
      </c>
      <c r="V33">
        <v>12.864000000000001</v>
      </c>
      <c r="W33">
        <v>0.26600000000000001</v>
      </c>
      <c r="X33">
        <v>0.01</v>
      </c>
      <c r="Y33">
        <v>1.2999999999999999E-2</v>
      </c>
      <c r="Z33" s="582">
        <f t="shared" si="2"/>
        <v>0.28900000000000003</v>
      </c>
    </row>
    <row r="34" spans="2:26">
      <c r="B34">
        <v>33</v>
      </c>
      <c r="C34"/>
      <c r="D34">
        <v>0.13900000000000001</v>
      </c>
      <c r="E34">
        <v>3.2480000000000002</v>
      </c>
      <c r="F34">
        <v>0.42099999999999999</v>
      </c>
      <c r="G34">
        <v>1.4E-2</v>
      </c>
      <c r="H34">
        <v>8.0000000000000002E-3</v>
      </c>
      <c r="I34">
        <v>1.2999999999999999E-2</v>
      </c>
      <c r="J34" s="582">
        <f t="shared" si="0"/>
        <v>3.4999999999999996E-2</v>
      </c>
      <c r="L34">
        <v>0.26500000000000001</v>
      </c>
      <c r="M34">
        <v>2.831</v>
      </c>
      <c r="N34">
        <v>3.794</v>
      </c>
      <c r="O34">
        <v>9.0999999999999998E-2</v>
      </c>
      <c r="P34">
        <v>1.2E-2</v>
      </c>
      <c r="Q34">
        <v>1.2999999999999999E-2</v>
      </c>
      <c r="R34" s="582">
        <f t="shared" si="1"/>
        <v>0.11599999999999999</v>
      </c>
      <c r="T34">
        <v>0.70099999999999996</v>
      </c>
      <c r="U34">
        <v>5.9</v>
      </c>
      <c r="V34">
        <v>12.712</v>
      </c>
      <c r="W34">
        <v>0.24299999999999999</v>
      </c>
      <c r="X34">
        <v>0.01</v>
      </c>
      <c r="Y34">
        <v>1.2999999999999999E-2</v>
      </c>
      <c r="Z34" s="582">
        <f t="shared" si="2"/>
        <v>0.26600000000000001</v>
      </c>
    </row>
    <row r="35" spans="2:26">
      <c r="B35">
        <v>36</v>
      </c>
      <c r="C35"/>
      <c r="D35">
        <v>0.129</v>
      </c>
      <c r="E35">
        <v>3.1150000000000002</v>
      </c>
      <c r="F35">
        <v>0.41399999999999998</v>
      </c>
      <c r="G35">
        <v>1.2999999999999999E-2</v>
      </c>
      <c r="H35">
        <v>8.0000000000000002E-3</v>
      </c>
      <c r="I35">
        <v>1.2999999999999999E-2</v>
      </c>
      <c r="J35" s="582">
        <f t="shared" si="0"/>
        <v>3.3999999999999996E-2</v>
      </c>
      <c r="L35">
        <v>0.24</v>
      </c>
      <c r="M35">
        <v>2.6429999999999998</v>
      </c>
      <c r="N35">
        <v>3.8170000000000002</v>
      </c>
      <c r="O35">
        <v>8.4000000000000005E-2</v>
      </c>
      <c r="P35">
        <v>1.2E-2</v>
      </c>
      <c r="Q35">
        <v>1.2999999999999999E-2</v>
      </c>
      <c r="R35" s="582">
        <f t="shared" si="1"/>
        <v>0.109</v>
      </c>
      <c r="T35">
        <v>0.63700000000000001</v>
      </c>
      <c r="U35">
        <v>5.4969999999999999</v>
      </c>
      <c r="V35">
        <v>12.755000000000001</v>
      </c>
      <c r="W35">
        <v>0.22500000000000001</v>
      </c>
      <c r="X35">
        <v>0.01</v>
      </c>
      <c r="Y35">
        <v>1.2999999999999999E-2</v>
      </c>
      <c r="Z35" s="582">
        <f t="shared" si="2"/>
        <v>0.24800000000000003</v>
      </c>
    </row>
    <row r="36" spans="2:26">
      <c r="B36">
        <v>39</v>
      </c>
      <c r="C36"/>
      <c r="D36">
        <v>0.122</v>
      </c>
      <c r="E36">
        <v>3.0059999999999998</v>
      </c>
      <c r="F36">
        <v>0.40899999999999997</v>
      </c>
      <c r="G36">
        <v>1.2E-2</v>
      </c>
      <c r="H36">
        <v>8.0000000000000002E-3</v>
      </c>
      <c r="I36">
        <v>1.2999999999999999E-2</v>
      </c>
      <c r="J36" s="582">
        <f t="shared" si="0"/>
        <v>3.3000000000000002E-2</v>
      </c>
      <c r="L36">
        <v>0.22</v>
      </c>
      <c r="M36">
        <v>2.516</v>
      </c>
      <c r="N36">
        <v>3.8820000000000001</v>
      </c>
      <c r="O36">
        <v>7.9000000000000001E-2</v>
      </c>
      <c r="P36">
        <v>1.2E-2</v>
      </c>
      <c r="Q36">
        <v>1.2999999999999999E-2</v>
      </c>
      <c r="R36" s="582">
        <f t="shared" si="1"/>
        <v>0.104</v>
      </c>
      <c r="T36">
        <v>0.58699999999999997</v>
      </c>
      <c r="U36">
        <v>5.2240000000000002</v>
      </c>
      <c r="V36">
        <v>12.993</v>
      </c>
      <c r="W36">
        <v>0.21099999999999999</v>
      </c>
      <c r="X36">
        <v>0.01</v>
      </c>
      <c r="Y36">
        <v>1.2999999999999999E-2</v>
      </c>
      <c r="Z36" s="582">
        <f t="shared" si="2"/>
        <v>0.23400000000000001</v>
      </c>
    </row>
    <row r="37" spans="2:26">
      <c r="B37">
        <v>42</v>
      </c>
      <c r="C37"/>
      <c r="D37">
        <v>0.11700000000000001</v>
      </c>
      <c r="E37">
        <v>2.92</v>
      </c>
      <c r="F37">
        <v>0.40699999999999997</v>
      </c>
      <c r="G37">
        <v>1.0999999999999999E-2</v>
      </c>
      <c r="H37">
        <v>8.0000000000000002E-3</v>
      </c>
      <c r="I37">
        <v>1.2999999999999999E-2</v>
      </c>
      <c r="J37" s="582">
        <f t="shared" si="0"/>
        <v>3.2000000000000001E-2</v>
      </c>
      <c r="L37">
        <v>0.20399999999999999</v>
      </c>
      <c r="M37">
        <v>2.4409999999999998</v>
      </c>
      <c r="N37">
        <v>3.9910000000000001</v>
      </c>
      <c r="O37">
        <v>7.3999999999999996E-2</v>
      </c>
      <c r="P37">
        <v>1.2E-2</v>
      </c>
      <c r="Q37">
        <v>1.2999999999999999E-2</v>
      </c>
      <c r="R37" s="582">
        <f t="shared" si="1"/>
        <v>9.8999999999999991E-2</v>
      </c>
      <c r="T37">
        <v>0.54700000000000004</v>
      </c>
      <c r="U37">
        <v>5.0629999999999997</v>
      </c>
      <c r="V37">
        <v>13.436</v>
      </c>
      <c r="W37">
        <v>0.19900000000000001</v>
      </c>
      <c r="X37">
        <v>0.01</v>
      </c>
      <c r="Y37">
        <v>1.2999999999999999E-2</v>
      </c>
      <c r="Z37" s="582">
        <f t="shared" si="2"/>
        <v>0.22200000000000003</v>
      </c>
    </row>
    <row r="38" spans="2:26">
      <c r="B38">
        <v>45</v>
      </c>
      <c r="C38"/>
      <c r="D38">
        <v>0.115</v>
      </c>
      <c r="E38">
        <v>2.8570000000000002</v>
      </c>
      <c r="F38">
        <v>0.40799999999999997</v>
      </c>
      <c r="G38">
        <v>1.0999999999999999E-2</v>
      </c>
      <c r="H38">
        <v>8.0000000000000002E-3</v>
      </c>
      <c r="I38">
        <v>1.2999999999999999E-2</v>
      </c>
      <c r="J38" s="582">
        <f t="shared" si="0"/>
        <v>3.2000000000000001E-2</v>
      </c>
      <c r="L38">
        <v>0.192</v>
      </c>
      <c r="M38">
        <v>2.4129999999999998</v>
      </c>
      <c r="N38">
        <v>4.1459999999999999</v>
      </c>
      <c r="O38">
        <v>7.0999999999999994E-2</v>
      </c>
      <c r="P38">
        <v>1.2E-2</v>
      </c>
      <c r="Q38">
        <v>1.2999999999999999E-2</v>
      </c>
      <c r="R38" s="582">
        <f t="shared" si="1"/>
        <v>9.5999999999999988E-2</v>
      </c>
      <c r="T38">
        <v>0.51800000000000002</v>
      </c>
      <c r="U38">
        <v>5.0060000000000002</v>
      </c>
      <c r="V38">
        <v>14.108000000000001</v>
      </c>
      <c r="W38">
        <v>0.19</v>
      </c>
      <c r="X38">
        <v>0.01</v>
      </c>
      <c r="Y38">
        <v>1.2999999999999999E-2</v>
      </c>
      <c r="Z38" s="582">
        <f t="shared" si="2"/>
        <v>0.21300000000000002</v>
      </c>
    </row>
    <row r="39" spans="2:26">
      <c r="B39">
        <v>48</v>
      </c>
      <c r="C39"/>
      <c r="D39">
        <v>0.114</v>
      </c>
      <c r="E39">
        <v>2.8170000000000002</v>
      </c>
      <c r="F39">
        <v>0.41099999999999998</v>
      </c>
      <c r="G39">
        <v>1.0999999999999999E-2</v>
      </c>
      <c r="H39">
        <v>8.0000000000000002E-3</v>
      </c>
      <c r="I39">
        <v>1.2999999999999999E-2</v>
      </c>
      <c r="J39" s="582">
        <f t="shared" si="0"/>
        <v>3.2000000000000001E-2</v>
      </c>
      <c r="L39">
        <v>0.182</v>
      </c>
      <c r="M39">
        <v>2.4319999999999999</v>
      </c>
      <c r="N39">
        <v>4.3550000000000004</v>
      </c>
      <c r="O39">
        <v>6.8000000000000005E-2</v>
      </c>
      <c r="P39">
        <v>1.2E-2</v>
      </c>
      <c r="Q39">
        <v>1.2999999999999999E-2</v>
      </c>
      <c r="R39" s="582">
        <f t="shared" si="1"/>
        <v>9.2999999999999999E-2</v>
      </c>
      <c r="T39">
        <v>0.496</v>
      </c>
      <c r="U39">
        <v>5.048</v>
      </c>
      <c r="V39">
        <v>15.042</v>
      </c>
      <c r="W39">
        <v>0.184</v>
      </c>
      <c r="X39">
        <v>0.01</v>
      </c>
      <c r="Y39">
        <v>1.2999999999999999E-2</v>
      </c>
      <c r="Z39" s="582">
        <f t="shared" si="2"/>
        <v>0.20700000000000002</v>
      </c>
    </row>
    <row r="40" spans="2:26">
      <c r="B40">
        <v>51</v>
      </c>
      <c r="C40"/>
      <c r="D40">
        <v>0.115</v>
      </c>
      <c r="E40">
        <v>2.802</v>
      </c>
      <c r="F40">
        <v>0.41699999999999998</v>
      </c>
      <c r="G40">
        <v>1.0999999999999999E-2</v>
      </c>
      <c r="H40">
        <v>8.0000000000000002E-3</v>
      </c>
      <c r="I40">
        <v>1.2999999999999999E-2</v>
      </c>
      <c r="J40" s="582">
        <f t="shared" si="0"/>
        <v>3.2000000000000001E-2</v>
      </c>
      <c r="L40">
        <v>0.17499999999999999</v>
      </c>
      <c r="M40">
        <v>2.4980000000000002</v>
      </c>
      <c r="N40">
        <v>4.625</v>
      </c>
      <c r="O40">
        <v>6.5000000000000002E-2</v>
      </c>
      <c r="P40">
        <v>1.2E-2</v>
      </c>
      <c r="Q40">
        <v>1.2999999999999999E-2</v>
      </c>
      <c r="R40" s="582">
        <f t="shared" si="1"/>
        <v>0.09</v>
      </c>
      <c r="T40">
        <v>0.48099999999999998</v>
      </c>
      <c r="U40">
        <v>5.1929999999999996</v>
      </c>
      <c r="V40">
        <v>16.289000000000001</v>
      </c>
      <c r="W40">
        <v>0.17899999999999999</v>
      </c>
      <c r="X40">
        <v>0.01</v>
      </c>
      <c r="Y40">
        <v>1.2999999999999999E-2</v>
      </c>
      <c r="Z40" s="582">
        <f t="shared" si="2"/>
        <v>0.20200000000000001</v>
      </c>
    </row>
    <row r="41" spans="2:26">
      <c r="B41">
        <v>54</v>
      </c>
      <c r="C41"/>
      <c r="D41">
        <v>0.11799999999999999</v>
      </c>
      <c r="E41">
        <v>2.8149999999999999</v>
      </c>
      <c r="F41">
        <v>0.42699999999999999</v>
      </c>
      <c r="G41">
        <v>1.0999999999999999E-2</v>
      </c>
      <c r="H41">
        <v>8.0000000000000002E-3</v>
      </c>
      <c r="I41">
        <v>1.2999999999999999E-2</v>
      </c>
      <c r="J41" s="582">
        <f t="shared" si="0"/>
        <v>3.2000000000000001E-2</v>
      </c>
      <c r="L41">
        <v>0.17</v>
      </c>
      <c r="M41">
        <v>2.6160000000000001</v>
      </c>
      <c r="N41">
        <v>4.9660000000000002</v>
      </c>
      <c r="O41">
        <v>6.4000000000000001E-2</v>
      </c>
      <c r="P41">
        <v>1.2E-2</v>
      </c>
      <c r="Q41">
        <v>1.2999999999999999E-2</v>
      </c>
      <c r="R41" s="582">
        <f t="shared" si="1"/>
        <v>8.8999999999999996E-2</v>
      </c>
      <c r="T41">
        <v>0.47299999999999998</v>
      </c>
      <c r="U41">
        <v>5.4489999999999998</v>
      </c>
      <c r="V41">
        <v>17.920000000000002</v>
      </c>
      <c r="W41">
        <v>0.17599999999999999</v>
      </c>
      <c r="X41">
        <v>0.01</v>
      </c>
      <c r="Y41">
        <v>1.2999999999999999E-2</v>
      </c>
      <c r="Z41" s="582">
        <f t="shared" si="2"/>
        <v>0.19900000000000001</v>
      </c>
    </row>
    <row r="42" spans="2:26" hidden="1">
      <c r="B42">
        <v>57</v>
      </c>
      <c r="C42"/>
      <c r="D42">
        <v>0.124</v>
      </c>
      <c r="E42">
        <v>2.8620000000000001</v>
      </c>
      <c r="F42">
        <v>0.439</v>
      </c>
      <c r="G42">
        <v>1.0999999999999999E-2</v>
      </c>
      <c r="H42">
        <v>8.0000000000000002E-3</v>
      </c>
      <c r="I42">
        <v>1.2999999999999999E-2</v>
      </c>
      <c r="J42" s="582">
        <f t="shared" si="0"/>
        <v>3.2000000000000001E-2</v>
      </c>
      <c r="L42">
        <v>0.16700000000000001</v>
      </c>
      <c r="M42">
        <v>2.7930000000000001</v>
      </c>
      <c r="N42">
        <v>5.3949999999999996</v>
      </c>
      <c r="O42">
        <v>6.2E-2</v>
      </c>
      <c r="P42">
        <v>1.2E-2</v>
      </c>
      <c r="Q42">
        <v>1.2999999999999999E-2</v>
      </c>
      <c r="R42" s="582">
        <f t="shared" si="1"/>
        <v>8.6999999999999994E-2</v>
      </c>
      <c r="T42">
        <v>0.47099999999999997</v>
      </c>
      <c r="U42">
        <v>5.8310000000000004</v>
      </c>
      <c r="V42">
        <v>20.033999999999999</v>
      </c>
      <c r="W42">
        <v>0.17499999999999999</v>
      </c>
      <c r="X42">
        <v>0.01</v>
      </c>
      <c r="Y42">
        <v>1.2999999999999999E-2</v>
      </c>
      <c r="Z42" s="582">
        <f t="shared" si="2"/>
        <v>0.19800000000000001</v>
      </c>
    </row>
    <row r="43" spans="2:26" hidden="1">
      <c r="B43">
        <v>60</v>
      </c>
      <c r="C43"/>
      <c r="D43">
        <v>0.13200000000000001</v>
      </c>
      <c r="E43">
        <v>2.948</v>
      </c>
      <c r="F43">
        <v>0.45500000000000002</v>
      </c>
      <c r="G43">
        <v>1.2E-2</v>
      </c>
      <c r="H43">
        <v>8.0000000000000002E-3</v>
      </c>
      <c r="I43">
        <v>1.2999999999999999E-2</v>
      </c>
      <c r="J43" s="582">
        <f t="shared" si="0"/>
        <v>3.3000000000000002E-2</v>
      </c>
      <c r="L43">
        <v>0.16600000000000001</v>
      </c>
      <c r="M43">
        <v>3.04</v>
      </c>
      <c r="N43">
        <v>5.93</v>
      </c>
      <c r="O43">
        <v>6.2E-2</v>
      </c>
      <c r="P43">
        <v>1.2E-2</v>
      </c>
      <c r="Q43">
        <v>1.2999999999999999E-2</v>
      </c>
      <c r="R43" s="582">
        <f t="shared" si="1"/>
        <v>8.6999999999999994E-2</v>
      </c>
      <c r="T43">
        <v>0.47499999999999998</v>
      </c>
      <c r="U43">
        <v>6.367</v>
      </c>
      <c r="V43">
        <v>22.768999999999998</v>
      </c>
      <c r="W43">
        <v>0.17599999999999999</v>
      </c>
      <c r="X43">
        <v>0.01</v>
      </c>
      <c r="Y43">
        <v>1.2999999999999999E-2</v>
      </c>
      <c r="Z43" s="582">
        <f t="shared" si="2"/>
        <v>0.19900000000000001</v>
      </c>
    </row>
    <row r="44" spans="2:26" hidden="1">
      <c r="B44">
        <v>63</v>
      </c>
      <c r="C44"/>
      <c r="D44">
        <v>0.14299999999999999</v>
      </c>
      <c r="E44">
        <v>3.085</v>
      </c>
      <c r="F44">
        <v>0.47499999999999998</v>
      </c>
      <c r="G44">
        <v>1.2999999999999999E-2</v>
      </c>
      <c r="H44">
        <v>8.0000000000000002E-3</v>
      </c>
      <c r="I44">
        <v>1.2999999999999999E-2</v>
      </c>
      <c r="J44" s="582">
        <f t="shared" si="0"/>
        <v>3.3999999999999996E-2</v>
      </c>
      <c r="L44">
        <v>0.16800000000000001</v>
      </c>
      <c r="M44">
        <v>3.3730000000000002</v>
      </c>
      <c r="N44">
        <v>6.5970000000000004</v>
      </c>
      <c r="O44">
        <v>6.2E-2</v>
      </c>
      <c r="P44">
        <v>1.2E-2</v>
      </c>
      <c r="Q44">
        <v>1.2999999999999999E-2</v>
      </c>
      <c r="R44" s="582">
        <f t="shared" si="1"/>
        <v>8.6999999999999994E-2</v>
      </c>
      <c r="T44">
        <v>0.48599999999999999</v>
      </c>
      <c r="U44">
        <v>7.0910000000000002</v>
      </c>
      <c r="V44">
        <v>26.314</v>
      </c>
      <c r="W44">
        <v>0.17899999999999999</v>
      </c>
      <c r="X44">
        <v>0.01</v>
      </c>
      <c r="Y44">
        <v>1.2999999999999999E-2</v>
      </c>
      <c r="Z44" s="582">
        <f t="shared" si="2"/>
        <v>0.20200000000000001</v>
      </c>
    </row>
    <row r="45" spans="2:26" hidden="1">
      <c r="B45">
        <v>66</v>
      </c>
      <c r="C45"/>
      <c r="D45">
        <v>0.152</v>
      </c>
      <c r="E45">
        <v>3.21</v>
      </c>
      <c r="F45">
        <v>0.49099999999999999</v>
      </c>
      <c r="G45">
        <v>1.4E-2</v>
      </c>
      <c r="H45">
        <v>8.0000000000000002E-3</v>
      </c>
      <c r="I45">
        <v>1.2999999999999999E-2</v>
      </c>
      <c r="J45" s="582">
        <f t="shared" si="0"/>
        <v>3.4999999999999996E-2</v>
      </c>
      <c r="L45">
        <v>0.17100000000000001</v>
      </c>
      <c r="M45">
        <v>3.8170000000000002</v>
      </c>
      <c r="N45">
        <v>7.431</v>
      </c>
      <c r="O45">
        <v>6.2E-2</v>
      </c>
      <c r="P45">
        <v>1.2E-2</v>
      </c>
      <c r="Q45">
        <v>1.2999999999999999E-2</v>
      </c>
      <c r="R45" s="582">
        <f t="shared" si="1"/>
        <v>8.6999999999999994E-2</v>
      </c>
      <c r="T45">
        <v>0.503</v>
      </c>
      <c r="U45">
        <v>8.0559999999999992</v>
      </c>
      <c r="V45">
        <v>30.934999999999999</v>
      </c>
      <c r="W45">
        <v>0.184</v>
      </c>
      <c r="X45">
        <v>0.01</v>
      </c>
      <c r="Y45">
        <v>1.2999999999999999E-2</v>
      </c>
      <c r="Z45" s="582">
        <f t="shared" si="2"/>
        <v>0.20700000000000002</v>
      </c>
    </row>
    <row r="46" spans="2:26" hidden="1">
      <c r="B46">
        <v>69</v>
      </c>
      <c r="C46"/>
      <c r="D46">
        <v>0.152</v>
      </c>
      <c r="E46">
        <v>3.2109999999999999</v>
      </c>
      <c r="F46">
        <v>0.49399999999999999</v>
      </c>
      <c r="G46">
        <v>1.4E-2</v>
      </c>
      <c r="H46">
        <v>8.0000000000000002E-3</v>
      </c>
      <c r="I46">
        <v>1.2999999999999999E-2</v>
      </c>
      <c r="J46" s="582">
        <f t="shared" si="0"/>
        <v>3.4999999999999996E-2</v>
      </c>
      <c r="L46">
        <v>0.17599999999999999</v>
      </c>
      <c r="M46">
        <v>4.4029999999999996</v>
      </c>
      <c r="N46">
        <v>8.4779999999999998</v>
      </c>
      <c r="O46">
        <v>6.3E-2</v>
      </c>
      <c r="P46">
        <v>1.2E-2</v>
      </c>
      <c r="Q46">
        <v>1.2999999999999999E-2</v>
      </c>
      <c r="R46" s="582">
        <f t="shared" si="1"/>
        <v>8.7999999999999995E-2</v>
      </c>
      <c r="T46">
        <v>0.52700000000000002</v>
      </c>
      <c r="U46">
        <v>9.3379999999999992</v>
      </c>
      <c r="V46">
        <v>37.008000000000003</v>
      </c>
      <c r="W46">
        <v>0.191</v>
      </c>
      <c r="X46">
        <v>0.01</v>
      </c>
      <c r="Y46">
        <v>1.2999999999999999E-2</v>
      </c>
      <c r="Z46" s="582">
        <f t="shared" si="2"/>
        <v>0.21400000000000002</v>
      </c>
    </row>
    <row r="47" spans="2:26">
      <c r="B47"/>
      <c r="C47"/>
      <c r="D47"/>
      <c r="E47"/>
      <c r="F47"/>
      <c r="G47"/>
      <c r="H47"/>
      <c r="I47"/>
      <c r="J47" s="582"/>
      <c r="L47"/>
      <c r="M47"/>
      <c r="N47"/>
      <c r="O47"/>
      <c r="P47"/>
      <c r="Q47"/>
      <c r="R47" s="582"/>
      <c r="T47"/>
      <c r="U47"/>
      <c r="V47"/>
      <c r="W47"/>
      <c r="X47"/>
      <c r="Y47"/>
      <c r="Z47" s="582"/>
    </row>
    <row r="48" spans="2:26" ht="12">
      <c r="B48" s="308" t="s">
        <v>1045</v>
      </c>
      <c r="C48"/>
      <c r="D48"/>
      <c r="E48"/>
      <c r="F48"/>
      <c r="G48"/>
      <c r="H48"/>
      <c r="I48"/>
      <c r="J48" s="582"/>
      <c r="L48"/>
      <c r="M48"/>
      <c r="N48"/>
      <c r="O48"/>
      <c r="P48"/>
      <c r="Q48"/>
      <c r="R48" s="582"/>
      <c r="T48"/>
      <c r="U48"/>
      <c r="V48"/>
      <c r="W48"/>
      <c r="X48"/>
      <c r="Y48"/>
      <c r="Z48" s="582"/>
    </row>
    <row r="49" spans="2:27">
      <c r="B49" s="309" t="s">
        <v>1305</v>
      </c>
      <c r="C49"/>
      <c r="D49"/>
      <c r="E49"/>
      <c r="F49"/>
      <c r="G49"/>
      <c r="H49"/>
      <c r="I49"/>
      <c r="J49" s="582"/>
      <c r="L49"/>
      <c r="M49"/>
      <c r="N49"/>
      <c r="O49"/>
      <c r="P49"/>
      <c r="Q49"/>
      <c r="R49" s="582"/>
      <c r="T49"/>
      <c r="U49"/>
      <c r="V49"/>
      <c r="W49"/>
      <c r="X49"/>
      <c r="Y49"/>
      <c r="Z49" s="582"/>
    </row>
    <row r="50" spans="2:27">
      <c r="B50" s="309"/>
      <c r="C50"/>
      <c r="D50"/>
      <c r="E50"/>
      <c r="F50"/>
      <c r="G50"/>
      <c r="H50"/>
      <c r="I50"/>
      <c r="J50" s="582"/>
      <c r="L50"/>
      <c r="M50"/>
      <c r="N50"/>
      <c r="O50"/>
      <c r="P50"/>
      <c r="Q50"/>
      <c r="R50" s="582"/>
      <c r="T50"/>
      <c r="U50"/>
      <c r="V50"/>
      <c r="W50"/>
      <c r="X50"/>
      <c r="Y50"/>
      <c r="Z50" s="582"/>
    </row>
    <row r="51" spans="2:27" ht="12">
      <c r="D51" s="6"/>
      <c r="E51" s="6" t="s">
        <v>2569</v>
      </c>
      <c r="F51" s="6" t="s">
        <v>1052</v>
      </c>
      <c r="G51" s="6" t="s">
        <v>1053</v>
      </c>
      <c r="H51"/>
      <c r="I51"/>
      <c r="J51"/>
      <c r="K51" s="582"/>
      <c r="L51" s="6"/>
      <c r="M51" s="6" t="s">
        <v>2569</v>
      </c>
      <c r="N51" s="6" t="s">
        <v>1052</v>
      </c>
      <c r="O51" s="6" t="s">
        <v>1053</v>
      </c>
      <c r="P51"/>
      <c r="Q51"/>
      <c r="R51"/>
      <c r="S51" s="582"/>
      <c r="T51" s="6"/>
      <c r="U51" s="6" t="s">
        <v>2569</v>
      </c>
      <c r="V51" s="6" t="s">
        <v>1052</v>
      </c>
      <c r="W51" s="6" t="s">
        <v>1053</v>
      </c>
      <c r="X51"/>
      <c r="Y51"/>
      <c r="Z51"/>
      <c r="AA51" s="582"/>
    </row>
    <row r="52" spans="2:27" ht="12">
      <c r="D52" s="6" t="s">
        <v>1057</v>
      </c>
      <c r="E52">
        <f t="array" ref="E52:G52">LINEST(D24:D41,$B24:$B41^{1,2})</f>
        <v>3.9783998394679528E-4</v>
      </c>
      <c r="F52">
        <v>-3.2291946164430693E-2</v>
      </c>
      <c r="G52">
        <v>0.74540931372549046</v>
      </c>
      <c r="H52"/>
      <c r="I52"/>
      <c r="J52"/>
      <c r="K52" s="582"/>
      <c r="L52" s="6" t="s">
        <v>1057</v>
      </c>
      <c r="M52">
        <f t="array" ref="M52:O52">LINEST(L24:L41,$B24:$B41^{1,2})</f>
        <v>6.7249312005503994E-4</v>
      </c>
      <c r="N52">
        <v>-5.8241980564155506E-2</v>
      </c>
      <c r="O52">
        <v>1.4210857843137257</v>
      </c>
      <c r="P52"/>
      <c r="Q52"/>
      <c r="R52"/>
      <c r="S52" s="582"/>
      <c r="T52" s="6" t="s">
        <v>1057</v>
      </c>
      <c r="U52">
        <f t="array" ref="U52:W52">LINEST(T24:T41,$B24:$B41^{1,2})</f>
        <v>1.7605492489393428E-3</v>
      </c>
      <c r="V52">
        <v>-0.15173624011007916</v>
      </c>
      <c r="W52">
        <v>3.7045392156862742</v>
      </c>
      <c r="X52"/>
      <c r="Y52"/>
      <c r="Z52"/>
      <c r="AA52" s="582"/>
    </row>
    <row r="53" spans="2:27" ht="12">
      <c r="D53" s="6" t="s">
        <v>1058</v>
      </c>
      <c r="E53">
        <f t="array" ref="E53:G53">LINEST(E24:E41,$B24:$B41^{1,2})</f>
        <v>2.2223153881435623E-3</v>
      </c>
      <c r="F53">
        <v>-0.20281095201238394</v>
      </c>
      <c r="G53">
        <v>7.4294583333333337</v>
      </c>
      <c r="H53"/>
      <c r="I53"/>
      <c r="J53"/>
      <c r="K53" s="582"/>
      <c r="L53" s="6" t="s">
        <v>1058</v>
      </c>
      <c r="M53">
        <f t="array" ref="M53:O53">LINEST(M24:M41,$B24:$B41^{1,2})</f>
        <v>7.749849501203992E-3</v>
      </c>
      <c r="N53">
        <v>-0.63175655744754056</v>
      </c>
      <c r="O53">
        <v>14.844845588235298</v>
      </c>
      <c r="P53"/>
      <c r="Q53"/>
      <c r="R53"/>
      <c r="S53" s="582"/>
      <c r="T53" s="6" t="s">
        <v>1058</v>
      </c>
      <c r="U53">
        <f t="array" ref="U53:W53">LINEST(U24:U41,$B24:$B41^{1,2})</f>
        <v>1.7544784141726867E-2</v>
      </c>
      <c r="V53">
        <v>-1.4240987917096664</v>
      </c>
      <c r="W53">
        <v>32.856840686274509</v>
      </c>
      <c r="X53"/>
      <c r="Y53"/>
      <c r="Z53"/>
      <c r="AA53" s="582"/>
    </row>
    <row r="54" spans="2:27" ht="12">
      <c r="D54" s="6" t="s">
        <v>1044</v>
      </c>
      <c r="E54">
        <f t="array" ref="E54:G54">LINEST(F24:F41,$B24:$B41^{1,2})</f>
        <v>2.3143848182547889E-4</v>
      </c>
      <c r="F54">
        <v>-1.8993851049191615E-2</v>
      </c>
      <c r="G54">
        <v>0.7891617647058824</v>
      </c>
      <c r="H54"/>
      <c r="I54"/>
      <c r="J54"/>
      <c r="K54" s="582"/>
      <c r="L54" s="6" t="s">
        <v>1044</v>
      </c>
      <c r="M54">
        <f t="array" ref="M54:O54">LINEST(N24:N41,$B24:$B41^{1,2})</f>
        <v>2.809597523219816E-3</v>
      </c>
      <c r="N54">
        <v>-0.1865392156862746</v>
      </c>
      <c r="O54">
        <v>6.8536470588235296</v>
      </c>
      <c r="P54"/>
      <c r="Q54"/>
      <c r="R54"/>
      <c r="S54" s="582"/>
      <c r="T54" s="6" t="s">
        <v>1044</v>
      </c>
      <c r="U54">
        <f t="array" ref="U54:W54">LINEST(V24:V41,$B24:$B41^{1,2})</f>
        <v>1.4610960612315106E-2</v>
      </c>
      <c r="V54">
        <v>-1.0006482843137257</v>
      </c>
      <c r="W54">
        <v>29.519384803921575</v>
      </c>
      <c r="X54"/>
      <c r="Y54"/>
      <c r="Z54"/>
      <c r="AA54" s="582"/>
    </row>
    <row r="55" spans="2:27" ht="12">
      <c r="D55" s="6" t="s">
        <v>1054</v>
      </c>
      <c r="E55">
        <f t="array" ref="E55:G55">LINEST(J24:J41,$B24:$B41^{1,2})</f>
        <v>5.0374097007223952E-5</v>
      </c>
      <c r="F55">
        <v>-4.0605220158238739E-3</v>
      </c>
      <c r="G55">
        <v>0.11043872549019611</v>
      </c>
      <c r="H55"/>
      <c r="I55"/>
      <c r="J55"/>
      <c r="K55" s="582"/>
      <c r="L55" s="6" t="s">
        <v>1054</v>
      </c>
      <c r="M55">
        <f t="array" ref="M55:O55">LINEST(R24:R41,$B24:$B41^{1,2})</f>
        <v>1.0954162366701072E-4</v>
      </c>
      <c r="N55">
        <v>-1.0256944444444449E-2</v>
      </c>
      <c r="O55">
        <v>0.33147794117647067</v>
      </c>
      <c r="P55"/>
      <c r="Q55"/>
      <c r="R55"/>
      <c r="S55" s="582"/>
      <c r="T55" s="6" t="s">
        <v>1054</v>
      </c>
      <c r="U55">
        <f t="array" ref="U55:W55">LINEST(Z24:Z41,$B24:$B41^{1,2})</f>
        <v>3.656619080380692E-4</v>
      </c>
      <c r="V55">
        <v>-3.2956591847265231E-2</v>
      </c>
      <c r="W55">
        <v>0.94206127450980404</v>
      </c>
      <c r="X55"/>
      <c r="Y55"/>
      <c r="Z55"/>
      <c r="AA55" s="582"/>
    </row>
    <row r="56" spans="2:27" ht="12">
      <c r="C56" s="6"/>
      <c r="D56"/>
      <c r="E56"/>
      <c r="F56"/>
      <c r="G56"/>
      <c r="H56"/>
      <c r="I56"/>
      <c r="J56"/>
      <c r="K56" s="582"/>
      <c r="M56"/>
      <c r="N56"/>
      <c r="O56"/>
      <c r="P56"/>
      <c r="Q56"/>
      <c r="R56"/>
      <c r="S56" s="582"/>
      <c r="U56"/>
      <c r="V56"/>
      <c r="W56"/>
      <c r="X56"/>
      <c r="Y56"/>
      <c r="Z56"/>
      <c r="AA56" s="582"/>
    </row>
    <row r="57" spans="2:27">
      <c r="B57" s="19"/>
      <c r="C57" s="19"/>
    </row>
    <row r="58" spans="2:27" ht="13.2">
      <c r="B58" s="508" t="s">
        <v>329</v>
      </c>
      <c r="C58" s="508"/>
    </row>
    <row r="59" spans="2:27" ht="13.2">
      <c r="B59" s="508"/>
      <c r="C59" s="508"/>
    </row>
    <row r="60" spans="2:27" ht="12">
      <c r="D60" s="4147" t="s">
        <v>1303</v>
      </c>
      <c r="E60" s="4147"/>
      <c r="F60" s="4147"/>
      <c r="G60" s="4147"/>
      <c r="H60" s="4147"/>
      <c r="I60" s="4147"/>
      <c r="J60" s="4147"/>
      <c r="K60" s="158"/>
      <c r="L60" s="5118" t="s">
        <v>1395</v>
      </c>
      <c r="M60" s="5118"/>
      <c r="N60" s="5118"/>
      <c r="O60" s="5118"/>
      <c r="P60" s="5118"/>
      <c r="Q60" s="5118"/>
      <c r="R60" s="5118"/>
      <c r="T60" s="4147" t="s">
        <v>810</v>
      </c>
      <c r="U60" s="4147"/>
      <c r="V60" s="4147"/>
      <c r="W60" s="4147"/>
      <c r="X60" s="4147"/>
      <c r="Y60" s="4147"/>
      <c r="Z60" s="4147"/>
    </row>
    <row r="61" spans="2:27" s="1072" customFormat="1" ht="46.5" customHeight="1">
      <c r="B61" s="1068" t="s">
        <v>1059</v>
      </c>
      <c r="C61" s="1068"/>
      <c r="D61" s="1068" t="s">
        <v>330</v>
      </c>
      <c r="E61" s="1068" t="s">
        <v>331</v>
      </c>
      <c r="F61" s="1068" t="s">
        <v>332</v>
      </c>
      <c r="G61" s="1068" t="s">
        <v>333</v>
      </c>
      <c r="H61" s="1068" t="s">
        <v>1054</v>
      </c>
      <c r="L61" s="1068" t="s">
        <v>330</v>
      </c>
      <c r="M61" s="1068" t="s">
        <v>331</v>
      </c>
      <c r="N61" s="1068" t="s">
        <v>332</v>
      </c>
      <c r="O61" s="1068" t="s">
        <v>333</v>
      </c>
      <c r="P61" s="1068" t="s">
        <v>1054</v>
      </c>
      <c r="T61" s="1068" t="s">
        <v>330</v>
      </c>
      <c r="U61" s="1068" t="s">
        <v>331</v>
      </c>
      <c r="V61" s="1068" t="s">
        <v>332</v>
      </c>
      <c r="W61" s="1068" t="s">
        <v>333</v>
      </c>
      <c r="X61" s="1068" t="s">
        <v>1054</v>
      </c>
    </row>
    <row r="62" spans="2:27">
      <c r="B62" s="169">
        <v>5</v>
      </c>
      <c r="C62" s="19"/>
      <c r="D62">
        <v>0.17699999999999999</v>
      </c>
      <c r="E62">
        <v>1.486</v>
      </c>
      <c r="F62">
        <v>0.34799999999999998</v>
      </c>
      <c r="G62">
        <v>12.797000000000001</v>
      </c>
      <c r="H62">
        <v>1E-3</v>
      </c>
      <c r="L62">
        <v>0.63800000000000001</v>
      </c>
      <c r="M62">
        <v>6.0060000000000002</v>
      </c>
      <c r="N62">
        <v>1.0609999999999999</v>
      </c>
      <c r="O62">
        <v>14.836</v>
      </c>
      <c r="P62">
        <v>1E-3</v>
      </c>
      <c r="T62">
        <v>0.41599999999999998</v>
      </c>
      <c r="U62">
        <v>3.7269999999999999</v>
      </c>
      <c r="V62">
        <v>0.377</v>
      </c>
      <c r="W62">
        <v>4.242</v>
      </c>
      <c r="X62">
        <v>0</v>
      </c>
    </row>
    <row r="63" spans="2:27">
      <c r="B63" s="169">
        <v>10</v>
      </c>
      <c r="C63" s="19"/>
      <c r="D63">
        <v>0.28399999999999997</v>
      </c>
      <c r="E63">
        <v>2.6360000000000001</v>
      </c>
      <c r="F63">
        <v>0.40100000000000002</v>
      </c>
      <c r="G63">
        <v>15.526999999999999</v>
      </c>
      <c r="H63">
        <v>2E-3</v>
      </c>
      <c r="L63">
        <v>0.90800000000000003</v>
      </c>
      <c r="M63">
        <v>10.225</v>
      </c>
      <c r="N63">
        <v>1.3660000000000001</v>
      </c>
      <c r="O63">
        <v>19.699000000000002</v>
      </c>
      <c r="P63">
        <v>1E-3</v>
      </c>
      <c r="T63">
        <v>0.56399999999999995</v>
      </c>
      <c r="U63">
        <v>6.1749999999999998</v>
      </c>
      <c r="V63">
        <v>0.56200000000000006</v>
      </c>
      <c r="W63">
        <v>5.9720000000000004</v>
      </c>
      <c r="X63">
        <v>1E-3</v>
      </c>
    </row>
    <row r="64" spans="2:27">
      <c r="B64" s="169">
        <v>20</v>
      </c>
      <c r="C64" s="19"/>
      <c r="D64">
        <v>0.48199999999999998</v>
      </c>
      <c r="E64">
        <v>4.8170000000000002</v>
      </c>
      <c r="F64">
        <v>0.496</v>
      </c>
      <c r="G64">
        <v>21.38</v>
      </c>
      <c r="H64">
        <v>4.0000000000000001E-3</v>
      </c>
      <c r="L64">
        <v>1.415</v>
      </c>
      <c r="M64">
        <v>18.167000000000002</v>
      </c>
      <c r="N64">
        <v>1.905</v>
      </c>
      <c r="O64">
        <v>29.628</v>
      </c>
      <c r="P64">
        <v>2E-3</v>
      </c>
      <c r="T64">
        <v>0.84099999999999997</v>
      </c>
      <c r="U64">
        <v>10.773999999999999</v>
      </c>
      <c r="V64">
        <v>0.88600000000000001</v>
      </c>
      <c r="W64">
        <v>9.3919999999999995</v>
      </c>
      <c r="X64">
        <v>1E-3</v>
      </c>
    </row>
    <row r="65" spans="2:24">
      <c r="B65" s="169">
        <v>30</v>
      </c>
      <c r="C65" s="19"/>
      <c r="D65">
        <v>0.66400000000000003</v>
      </c>
      <c r="E65">
        <v>6.8369999999999997</v>
      </c>
      <c r="F65">
        <v>0.57499999999999996</v>
      </c>
      <c r="G65">
        <v>27.754999999999999</v>
      </c>
      <c r="H65">
        <v>5.0000000000000001E-3</v>
      </c>
      <c r="L65">
        <v>1.879</v>
      </c>
      <c r="M65">
        <v>25.45</v>
      </c>
      <c r="N65">
        <v>2.3460000000000001</v>
      </c>
      <c r="O65">
        <v>39.826000000000001</v>
      </c>
      <c r="P65">
        <v>3.0000000000000001E-3</v>
      </c>
      <c r="T65">
        <v>1.0960000000000001</v>
      </c>
      <c r="U65">
        <v>14.975</v>
      </c>
      <c r="V65">
        <v>1.149</v>
      </c>
      <c r="W65">
        <v>12.76</v>
      </c>
      <c r="X65">
        <v>1E-3</v>
      </c>
    </row>
    <row r="66" spans="2:24">
      <c r="B66" s="169">
        <v>40</v>
      </c>
      <c r="C66" s="19"/>
      <c r="D66">
        <v>0.82799999999999996</v>
      </c>
      <c r="E66">
        <v>8.6969999999999992</v>
      </c>
      <c r="F66">
        <v>0.63700000000000001</v>
      </c>
      <c r="G66">
        <v>34.652999999999999</v>
      </c>
      <c r="H66">
        <v>6.0000000000000001E-3</v>
      </c>
      <c r="L66">
        <v>2.2999999999999998</v>
      </c>
      <c r="M66">
        <v>32.072000000000003</v>
      </c>
      <c r="N66">
        <v>2.69</v>
      </c>
      <c r="O66">
        <v>50.293999999999997</v>
      </c>
      <c r="P66">
        <v>4.0000000000000001E-3</v>
      </c>
      <c r="T66">
        <v>1.3280000000000001</v>
      </c>
      <c r="U66">
        <v>18.779</v>
      </c>
      <c r="V66">
        <v>1.3540000000000001</v>
      </c>
      <c r="W66">
        <v>16.077000000000002</v>
      </c>
      <c r="X66">
        <v>2E-3</v>
      </c>
    </row>
    <row r="67" spans="2:24">
      <c r="B67" s="169">
        <v>50</v>
      </c>
      <c r="C67" s="19"/>
      <c r="D67">
        <v>0.97399999999999998</v>
      </c>
      <c r="E67">
        <v>10.397</v>
      </c>
      <c r="F67">
        <v>0.68300000000000005</v>
      </c>
      <c r="G67">
        <v>42.073</v>
      </c>
      <c r="H67">
        <v>8.0000000000000002E-3</v>
      </c>
      <c r="L67">
        <v>2.6789999999999998</v>
      </c>
      <c r="M67">
        <v>38.034999999999997</v>
      </c>
      <c r="N67">
        <v>2.9359999999999999</v>
      </c>
      <c r="O67">
        <v>61.031999999999996</v>
      </c>
      <c r="P67">
        <v>5.0000000000000001E-3</v>
      </c>
      <c r="T67">
        <v>1.5369999999999999</v>
      </c>
      <c r="U67">
        <v>22.186</v>
      </c>
      <c r="V67">
        <v>1.498</v>
      </c>
      <c r="W67">
        <v>19.341999999999999</v>
      </c>
      <c r="X67">
        <v>2E-3</v>
      </c>
    </row>
    <row r="68" spans="2:24">
      <c r="B68" s="169">
        <v>60</v>
      </c>
      <c r="C68" s="19"/>
      <c r="D68">
        <v>1.0960000000000001</v>
      </c>
      <c r="E68">
        <v>11.935</v>
      </c>
      <c r="F68">
        <v>0.71299999999999997</v>
      </c>
      <c r="G68">
        <v>50.015999999999998</v>
      </c>
      <c r="H68">
        <v>8.9999999999999993E-3</v>
      </c>
      <c r="L68">
        <v>2.9790000000000001</v>
      </c>
      <c r="M68">
        <v>43.338000000000001</v>
      </c>
      <c r="N68">
        <v>3.0859999999999999</v>
      </c>
      <c r="O68">
        <v>72.039000000000001</v>
      </c>
      <c r="P68">
        <v>6.0000000000000001E-3</v>
      </c>
      <c r="T68">
        <v>1.6970000000000001</v>
      </c>
      <c r="U68">
        <v>25.195</v>
      </c>
      <c r="V68">
        <v>1.5820000000000001</v>
      </c>
      <c r="W68">
        <v>22.556000000000001</v>
      </c>
      <c r="X68">
        <v>2E-3</v>
      </c>
    </row>
    <row r="69" spans="2:24">
      <c r="B69" s="169">
        <v>120</v>
      </c>
      <c r="C69" s="19"/>
      <c r="D69">
        <v>1.256</v>
      </c>
      <c r="E69">
        <v>15.329000000000001</v>
      </c>
      <c r="F69">
        <v>0.754</v>
      </c>
      <c r="G69">
        <v>104.372</v>
      </c>
      <c r="H69">
        <v>1.2999999999999999E-2</v>
      </c>
      <c r="L69">
        <v>2.3170000000000002</v>
      </c>
      <c r="M69">
        <v>28.335000000000001</v>
      </c>
      <c r="N69">
        <v>3.2050000000000001</v>
      </c>
      <c r="O69">
        <v>133.37899999999999</v>
      </c>
      <c r="P69">
        <v>8.0000000000000002E-3</v>
      </c>
      <c r="T69">
        <v>1.175</v>
      </c>
      <c r="U69">
        <v>14.308999999999999</v>
      </c>
      <c r="V69">
        <v>1.619</v>
      </c>
      <c r="W69">
        <v>36.607999999999997</v>
      </c>
      <c r="X69">
        <v>3.0000000000000001E-3</v>
      </c>
    </row>
    <row r="70" spans="2:24">
      <c r="B70" s="169">
        <v>180</v>
      </c>
      <c r="C70" s="19"/>
      <c r="D70">
        <v>0.83699999999999997</v>
      </c>
      <c r="E70">
        <v>9.5990000000000002</v>
      </c>
      <c r="F70">
        <v>0.80400000000000005</v>
      </c>
      <c r="G70">
        <v>119.354</v>
      </c>
      <c r="H70">
        <v>1.4E-2</v>
      </c>
      <c r="L70">
        <v>2.3359999999999999</v>
      </c>
      <c r="M70">
        <v>26.632999999999999</v>
      </c>
      <c r="N70">
        <v>3.2040000000000002</v>
      </c>
      <c r="O70">
        <v>153.351</v>
      </c>
      <c r="P70">
        <v>8.9999999999999993E-3</v>
      </c>
      <c r="T70">
        <v>1.252</v>
      </c>
      <c r="U70">
        <v>15.215</v>
      </c>
      <c r="V70">
        <v>1.613</v>
      </c>
      <c r="W70">
        <v>42.015000000000001</v>
      </c>
      <c r="X70">
        <v>3.0000000000000001E-3</v>
      </c>
    </row>
    <row r="71" spans="2:24">
      <c r="B71" s="169">
        <v>240</v>
      </c>
      <c r="C71" s="19"/>
      <c r="D71">
        <v>0.88800000000000001</v>
      </c>
      <c r="E71">
        <v>10.211</v>
      </c>
      <c r="F71">
        <v>0.79800000000000004</v>
      </c>
      <c r="G71">
        <v>134.02600000000001</v>
      </c>
      <c r="H71">
        <v>1.4999999999999999E-2</v>
      </c>
      <c r="L71">
        <v>2.4769999999999999</v>
      </c>
      <c r="M71">
        <v>28.195</v>
      </c>
      <c r="N71">
        <v>3.1840000000000002</v>
      </c>
      <c r="O71">
        <v>172.53399999999999</v>
      </c>
      <c r="P71">
        <v>8.9999999999999993E-3</v>
      </c>
      <c r="T71">
        <v>1.3280000000000001</v>
      </c>
      <c r="U71">
        <v>16.079999999999998</v>
      </c>
      <c r="V71">
        <v>1.603</v>
      </c>
      <c r="W71">
        <v>47.103999999999999</v>
      </c>
      <c r="X71">
        <v>3.0000000000000001E-3</v>
      </c>
    </row>
    <row r="72" spans="2:24">
      <c r="B72" s="169">
        <v>300</v>
      </c>
      <c r="C72" s="19"/>
      <c r="D72">
        <v>0.93700000000000006</v>
      </c>
      <c r="E72">
        <v>10.773</v>
      </c>
      <c r="F72">
        <v>0.78900000000000003</v>
      </c>
      <c r="G72">
        <v>148.39099999999999</v>
      </c>
      <c r="H72">
        <v>1.6E-2</v>
      </c>
      <c r="L72">
        <v>2.6139999999999999</v>
      </c>
      <c r="M72">
        <v>29.664999999999999</v>
      </c>
      <c r="N72">
        <v>3.1539999999999999</v>
      </c>
      <c r="O72">
        <v>190.928</v>
      </c>
      <c r="P72">
        <v>8.9999999999999993E-3</v>
      </c>
      <c r="T72">
        <v>1.4019999999999999</v>
      </c>
      <c r="U72">
        <v>16.904</v>
      </c>
      <c r="V72">
        <v>1.59</v>
      </c>
      <c r="W72">
        <v>51.872999999999998</v>
      </c>
      <c r="X72">
        <v>3.0000000000000001E-3</v>
      </c>
    </row>
    <row r="73" spans="2:24">
      <c r="B73" s="169">
        <v>360</v>
      </c>
      <c r="C73" s="19"/>
      <c r="D73">
        <v>0.98499999999999999</v>
      </c>
      <c r="E73">
        <v>11.286</v>
      </c>
      <c r="F73">
        <v>0.77700000000000002</v>
      </c>
      <c r="G73">
        <v>162.447</v>
      </c>
      <c r="H73">
        <v>1.6E-2</v>
      </c>
      <c r="L73">
        <v>2.7490000000000001</v>
      </c>
      <c r="M73">
        <v>31.042999999999999</v>
      </c>
      <c r="N73">
        <v>3.1160000000000001</v>
      </c>
      <c r="O73">
        <v>208.53299999999999</v>
      </c>
      <c r="P73">
        <v>0.01</v>
      </c>
      <c r="T73">
        <v>1.474</v>
      </c>
      <c r="U73">
        <v>17.686</v>
      </c>
      <c r="V73">
        <v>1.573</v>
      </c>
      <c r="W73">
        <v>56.323999999999998</v>
      </c>
      <c r="X73">
        <v>3.0000000000000001E-3</v>
      </c>
    </row>
    <row r="74" spans="2:24">
      <c r="B74" s="169">
        <v>420</v>
      </c>
      <c r="C74" s="19"/>
      <c r="D74">
        <v>1.032</v>
      </c>
      <c r="E74">
        <v>11.750999999999999</v>
      </c>
      <c r="F74">
        <v>0.76200000000000001</v>
      </c>
      <c r="G74">
        <v>176.19399999999999</v>
      </c>
      <c r="H74">
        <v>1.7000000000000001E-2</v>
      </c>
      <c r="L74">
        <v>2.88</v>
      </c>
      <c r="M74">
        <v>32.329000000000001</v>
      </c>
      <c r="N74">
        <v>3.07</v>
      </c>
      <c r="O74">
        <v>225.34899999999999</v>
      </c>
      <c r="P74">
        <v>0.01</v>
      </c>
      <c r="T74">
        <v>1.5449999999999999</v>
      </c>
      <c r="U74">
        <v>18.425999999999998</v>
      </c>
      <c r="V74">
        <v>1.554</v>
      </c>
      <c r="W74">
        <v>60.456000000000003</v>
      </c>
      <c r="X74">
        <v>4.0000000000000001E-3</v>
      </c>
    </row>
    <row r="75" spans="2:24">
      <c r="B75" s="169">
        <v>480</v>
      </c>
      <c r="C75" s="19"/>
      <c r="D75">
        <v>1.0780000000000001</v>
      </c>
      <c r="E75">
        <v>12.166</v>
      </c>
      <c r="F75">
        <v>0.74399999999999999</v>
      </c>
      <c r="G75">
        <v>189.63200000000001</v>
      </c>
      <c r="H75">
        <v>1.7999999999999999E-2</v>
      </c>
      <c r="L75">
        <v>3.0089999999999999</v>
      </c>
      <c r="M75">
        <v>33.523000000000003</v>
      </c>
      <c r="N75">
        <v>3.0139999999999998</v>
      </c>
      <c r="O75">
        <v>241.376</v>
      </c>
      <c r="P75">
        <v>0.01</v>
      </c>
      <c r="T75">
        <v>1.613</v>
      </c>
      <c r="U75">
        <v>19.125</v>
      </c>
      <c r="V75">
        <v>1.53</v>
      </c>
      <c r="W75">
        <v>64.269000000000005</v>
      </c>
      <c r="X75">
        <v>4.0000000000000001E-3</v>
      </c>
    </row>
    <row r="76" spans="2:24">
      <c r="B76" s="169">
        <v>540</v>
      </c>
      <c r="C76" s="19"/>
      <c r="D76">
        <v>1.123</v>
      </c>
      <c r="E76">
        <v>12.532</v>
      </c>
      <c r="F76">
        <v>0.72399999999999998</v>
      </c>
      <c r="G76">
        <v>202.76300000000001</v>
      </c>
      <c r="H76">
        <v>1.7999999999999999E-2</v>
      </c>
      <c r="L76">
        <v>3.1339999999999999</v>
      </c>
      <c r="M76">
        <v>34.625999999999998</v>
      </c>
      <c r="N76">
        <v>2.95</v>
      </c>
      <c r="O76">
        <v>256.61399999999998</v>
      </c>
      <c r="P76">
        <v>1.0999999999999999E-2</v>
      </c>
      <c r="T76">
        <v>1.68</v>
      </c>
      <c r="U76">
        <v>19.782</v>
      </c>
      <c r="V76">
        <v>1.504</v>
      </c>
      <c r="W76">
        <v>67.763999999999996</v>
      </c>
      <c r="X76">
        <v>4.0000000000000001E-3</v>
      </c>
    </row>
    <row r="77" spans="2:24">
      <c r="B77" s="169">
        <v>600</v>
      </c>
      <c r="C77" s="19"/>
      <c r="D77">
        <v>1.167</v>
      </c>
      <c r="E77">
        <v>12.849</v>
      </c>
      <c r="F77">
        <v>0.7</v>
      </c>
      <c r="G77">
        <v>215.584</v>
      </c>
      <c r="H77">
        <v>1.9E-2</v>
      </c>
      <c r="L77">
        <v>3.2549999999999999</v>
      </c>
      <c r="M77">
        <v>35.636000000000003</v>
      </c>
      <c r="N77">
        <v>2.8780000000000001</v>
      </c>
      <c r="O77">
        <v>271.06299999999999</v>
      </c>
      <c r="P77">
        <v>1.0999999999999999E-2</v>
      </c>
      <c r="T77">
        <v>1.7450000000000001</v>
      </c>
      <c r="U77">
        <v>20.396999999999998</v>
      </c>
      <c r="V77">
        <v>1.474</v>
      </c>
      <c r="W77">
        <v>70.938999999999993</v>
      </c>
      <c r="X77">
        <v>4.0000000000000001E-3</v>
      </c>
    </row>
    <row r="78" spans="2:24">
      <c r="B78" s="169">
        <v>660</v>
      </c>
      <c r="C78" s="19"/>
      <c r="D78">
        <v>1.21</v>
      </c>
      <c r="E78">
        <v>13.118</v>
      </c>
      <c r="F78">
        <v>0.67300000000000004</v>
      </c>
      <c r="G78">
        <v>228.09700000000001</v>
      </c>
      <c r="H78">
        <v>1.9E-2</v>
      </c>
      <c r="L78">
        <v>3.3740000000000001</v>
      </c>
      <c r="M78">
        <v>36.555</v>
      </c>
      <c r="N78">
        <v>2.7959999999999998</v>
      </c>
      <c r="O78">
        <v>284.72300000000001</v>
      </c>
      <c r="P78">
        <v>1.0999999999999999E-2</v>
      </c>
      <c r="T78">
        <v>1.8069999999999999</v>
      </c>
      <c r="U78">
        <v>20.971</v>
      </c>
      <c r="V78">
        <v>1.4410000000000001</v>
      </c>
      <c r="W78">
        <v>73.796000000000006</v>
      </c>
      <c r="X78">
        <v>4.0000000000000001E-3</v>
      </c>
    </row>
    <row r="79" spans="2:24">
      <c r="B79" s="169">
        <v>720</v>
      </c>
      <c r="C79" s="19"/>
      <c r="D79">
        <v>1.252</v>
      </c>
      <c r="E79">
        <v>13.337</v>
      </c>
      <c r="F79">
        <v>0.64400000000000002</v>
      </c>
      <c r="G79">
        <v>240.30199999999999</v>
      </c>
      <c r="H79">
        <v>1.9E-2</v>
      </c>
      <c r="L79">
        <v>3.4889999999999999</v>
      </c>
      <c r="M79">
        <v>37.381999999999998</v>
      </c>
      <c r="N79">
        <v>2.706</v>
      </c>
      <c r="O79">
        <v>297.59500000000003</v>
      </c>
      <c r="P79">
        <v>1.2E-2</v>
      </c>
      <c r="T79">
        <v>1.8680000000000001</v>
      </c>
      <c r="U79">
        <v>21.504000000000001</v>
      </c>
      <c r="V79">
        <v>1.405</v>
      </c>
      <c r="W79">
        <v>76.334000000000003</v>
      </c>
      <c r="X79">
        <v>4.0000000000000001E-3</v>
      </c>
    </row>
  </sheetData>
  <customSheetViews>
    <customSheetView guid="{BD5E6263-A0AD-4076-921A-D4EBD62848EF}" hiddenRows="1" showRuler="0" topLeftCell="A11">
      <selection activeCell="B58" sqref="B58"/>
      <pageMargins left="0.75" right="0.75" top="1" bottom="1" header="0.5" footer="0.5"/>
      <pageSetup orientation="portrait" horizontalDpi="1200" verticalDpi="1200" r:id="rId1"/>
      <headerFooter alignWithMargins="0"/>
    </customSheetView>
    <customSheetView guid="{1D5AE30A-CA7C-4B32-AEA4-9F37A560AAA8}" hiddenRows="1" showRuler="0">
      <pageMargins left="0.75" right="0.75" top="1" bottom="1" header="0.5" footer="0.5"/>
      <headerFooter alignWithMargins="0"/>
    </customSheetView>
  </customSheetViews>
  <mergeCells count="8">
    <mergeCell ref="D60:J60"/>
    <mergeCell ref="L60:R60"/>
    <mergeCell ref="T60:Z60"/>
    <mergeCell ref="B6:M8"/>
    <mergeCell ref="B10:N12"/>
    <mergeCell ref="D22:J22"/>
    <mergeCell ref="L22:R22"/>
    <mergeCell ref="T22:Z22"/>
  </mergeCells>
  <phoneticPr fontId="6" type="noConversion"/>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sheetPr codeName="Sheet12"/>
  <dimension ref="B2:N136"/>
  <sheetViews>
    <sheetView showRuler="0" workbookViewId="0"/>
  </sheetViews>
  <sheetFormatPr defaultColWidth="9.125" defaultRowHeight="13.95" customHeight="1"/>
  <cols>
    <col min="1" max="1" width="2.75" style="9" customWidth="1"/>
    <col min="2" max="2" width="9.125" style="9" customWidth="1"/>
    <col min="3" max="5" width="9.625" style="9" customWidth="1"/>
    <col min="6" max="6" width="9.375" style="9" customWidth="1"/>
    <col min="7" max="8" width="9.625" style="9" customWidth="1"/>
    <col min="9" max="16384" width="9.125" style="9"/>
  </cols>
  <sheetData>
    <row r="2" spans="2:14" ht="13.95" customHeight="1">
      <c r="B2" s="115" t="s">
        <v>957</v>
      </c>
      <c r="J2" s="2089">
        <f>'Title Page'!K1</f>
        <v>40914</v>
      </c>
    </row>
    <row r="3" spans="2:14" ht="13.95" customHeight="1">
      <c r="B3" s="6"/>
    </row>
    <row r="4" spans="2:14" ht="13.95" customHeight="1">
      <c r="B4" s="5103" t="s">
        <v>2287</v>
      </c>
      <c r="C4" s="3781"/>
      <c r="D4" s="3781"/>
      <c r="E4" s="3781"/>
      <c r="F4" s="3781"/>
      <c r="G4" s="3781"/>
      <c r="H4" s="3781"/>
      <c r="I4" s="3781"/>
      <c r="J4" s="190"/>
      <c r="K4" s="1024"/>
      <c r="L4" s="1024"/>
      <c r="M4" s="1024"/>
      <c r="N4" s="1024"/>
    </row>
    <row r="5" spans="2:14" ht="13.95" customHeight="1">
      <c r="B5" s="3781"/>
      <c r="C5" s="3781"/>
      <c r="D5" s="3781"/>
      <c r="E5" s="3781"/>
      <c r="F5" s="3781"/>
      <c r="G5" s="3781"/>
      <c r="H5" s="3781"/>
      <c r="I5" s="3781"/>
      <c r="J5" s="190"/>
      <c r="K5" s="1024"/>
      <c r="L5" s="1024"/>
      <c r="M5" s="1024"/>
      <c r="N5" s="1024"/>
    </row>
    <row r="6" spans="2:14" ht="13.95" customHeight="1">
      <c r="B6" s="3781"/>
      <c r="C6" s="3781"/>
      <c r="D6" s="3781"/>
      <c r="E6" s="3781"/>
      <c r="F6" s="3781"/>
      <c r="G6" s="3781"/>
      <c r="H6" s="3781"/>
      <c r="I6" s="3781"/>
      <c r="J6" s="190"/>
      <c r="K6" s="1024"/>
      <c r="L6" s="1024"/>
      <c r="M6" s="1024"/>
      <c r="N6" s="1024"/>
    </row>
    <row r="7" spans="2:14" ht="13.95" customHeight="1">
      <c r="B7" s="3781"/>
      <c r="C7" s="3781"/>
      <c r="D7" s="3781"/>
      <c r="E7" s="3781"/>
      <c r="F7" s="3781"/>
      <c r="G7" s="3781"/>
      <c r="H7" s="3781"/>
      <c r="I7" s="3781"/>
      <c r="J7" s="143"/>
      <c r="K7" s="1024"/>
      <c r="L7" s="1024"/>
      <c r="M7" s="1024"/>
      <c r="N7" s="1024"/>
    </row>
    <row r="8" spans="2:14" ht="13.95" customHeight="1">
      <c r="B8" s="143"/>
      <c r="C8" s="143"/>
      <c r="D8" s="143"/>
      <c r="E8" s="143"/>
      <c r="F8" s="143"/>
      <c r="G8" s="143"/>
      <c r="H8" s="143"/>
      <c r="I8" s="143"/>
      <c r="J8" s="143"/>
      <c r="K8" s="1024"/>
      <c r="L8" s="1024"/>
      <c r="M8" s="1024"/>
      <c r="N8" s="1024"/>
    </row>
    <row r="9" spans="2:14" ht="13.95" customHeight="1">
      <c r="B9" s="33" t="s">
        <v>1938</v>
      </c>
    </row>
    <row r="10" spans="2:14" ht="13.95" customHeight="1">
      <c r="B10" s="5103" t="s">
        <v>2482</v>
      </c>
      <c r="C10" s="5103"/>
      <c r="D10" s="5103"/>
      <c r="E10" s="5103"/>
      <c r="F10" s="5103"/>
      <c r="G10" s="5103"/>
      <c r="H10" s="5103"/>
      <c r="I10" s="5103"/>
      <c r="J10" s="5103"/>
    </row>
    <row r="11" spans="2:14" ht="13.95" customHeight="1">
      <c r="B11" s="5103"/>
      <c r="C11" s="5103"/>
      <c r="D11" s="5103"/>
      <c r="E11" s="5103"/>
      <c r="F11" s="5103"/>
      <c r="G11" s="5103"/>
      <c r="H11" s="5103"/>
      <c r="I11" s="5103"/>
      <c r="J11" s="5103"/>
    </row>
    <row r="12" spans="2:14" ht="13.95" customHeight="1">
      <c r="B12" s="5103"/>
      <c r="C12" s="5103"/>
      <c r="D12" s="5103"/>
      <c r="E12" s="5103"/>
      <c r="F12" s="5103"/>
      <c r="G12" s="5103"/>
      <c r="H12" s="5103"/>
      <c r="I12" s="5103"/>
      <c r="J12" s="5103"/>
    </row>
    <row r="13" spans="2:14" ht="13.95" customHeight="1">
      <c r="B13" s="9" t="s">
        <v>1373</v>
      </c>
    </row>
    <row r="14" spans="2:14" ht="13.95" customHeight="1">
      <c r="B14" s="9" t="s">
        <v>6225</v>
      </c>
    </row>
    <row r="16" spans="2:14" ht="13.95" customHeight="1">
      <c r="B16" s="5103" t="s">
        <v>830</v>
      </c>
      <c r="C16" s="5103"/>
      <c r="D16" s="5103"/>
      <c r="E16" s="5103"/>
      <c r="F16" s="5103"/>
      <c r="G16" s="5103"/>
      <c r="H16" s="5103"/>
      <c r="I16" s="5103"/>
      <c r="J16" s="5103"/>
    </row>
    <row r="17" spans="2:13" ht="13.95" customHeight="1">
      <c r="B17" s="5103"/>
      <c r="C17" s="5103"/>
      <c r="D17" s="5103"/>
      <c r="E17" s="5103"/>
      <c r="F17" s="5103"/>
      <c r="G17" s="5103"/>
      <c r="H17" s="5103"/>
      <c r="I17" s="5103"/>
      <c r="J17" s="5103"/>
    </row>
    <row r="18" spans="2:13" ht="13.95" customHeight="1">
      <c r="B18" s="143"/>
      <c r="C18" s="143"/>
      <c r="D18" s="143"/>
      <c r="E18" s="143"/>
      <c r="F18" s="143"/>
      <c r="G18" s="143"/>
      <c r="H18" s="143"/>
    </row>
    <row r="19" spans="2:13" ht="13.95" customHeight="1">
      <c r="B19" s="6" t="s">
        <v>1749</v>
      </c>
      <c r="C19" s="143"/>
      <c r="D19" s="143"/>
      <c r="E19" s="143"/>
      <c r="F19" s="143"/>
      <c r="G19" s="143"/>
      <c r="H19" s="143"/>
    </row>
    <row r="20" spans="2:13" ht="13.95" customHeight="1">
      <c r="B20" s="280" t="s">
        <v>457</v>
      </c>
      <c r="C20" s="143"/>
      <c r="D20" s="143"/>
      <c r="E20" s="143"/>
      <c r="F20" s="143"/>
      <c r="G20" s="143"/>
      <c r="H20" s="143"/>
    </row>
    <row r="21" spans="2:13" ht="13.95" customHeight="1">
      <c r="B21" s="280" t="s">
        <v>1937</v>
      </c>
    </row>
    <row r="23" spans="2:13" ht="13.95" customHeight="1">
      <c r="E23" s="9" t="s">
        <v>2610</v>
      </c>
      <c r="F23" s="9" t="s">
        <v>2611</v>
      </c>
      <c r="G23" s="9" t="s">
        <v>2612</v>
      </c>
      <c r="H23" s="9" t="s">
        <v>2613</v>
      </c>
      <c r="I23" s="9" t="s">
        <v>2614</v>
      </c>
    </row>
    <row r="24" spans="2:13" ht="13.95" customHeight="1">
      <c r="B24" s="5119" t="s">
        <v>1370</v>
      </c>
      <c r="C24" s="5119"/>
      <c r="D24" s="3781"/>
      <c r="E24" s="9">
        <v>7.6135349999999997</v>
      </c>
      <c r="F24" s="9">
        <v>-0.13856499999999999</v>
      </c>
      <c r="G24" s="584">
        <v>3.9150000000000001E-3</v>
      </c>
      <c r="H24" s="584">
        <v>-4.9450000000000003E-5</v>
      </c>
      <c r="I24" s="584">
        <v>2.3863000000000001E-7</v>
      </c>
      <c r="K24" s="9" t="s">
        <v>2793</v>
      </c>
    </row>
    <row r="25" spans="2:13" ht="13.95" customHeight="1">
      <c r="B25" s="5119" t="s">
        <v>1371</v>
      </c>
      <c r="C25" s="5119"/>
      <c r="D25" s="3781"/>
      <c r="E25" s="9">
        <v>7.3628669999999996</v>
      </c>
      <c r="F25" s="9">
        <v>-0.149814</v>
      </c>
      <c r="G25" s="584">
        <v>4.2184099999999997E-3</v>
      </c>
      <c r="H25" s="584">
        <v>-4.9249999999999998E-5</v>
      </c>
      <c r="I25" s="584">
        <v>2.1717000000000001E-7</v>
      </c>
      <c r="K25" s="9" t="s">
        <v>2794</v>
      </c>
    </row>
    <row r="26" spans="2:13" ht="13.95" customHeight="1">
      <c r="B26" s="583"/>
      <c r="C26" s="583"/>
      <c r="D26" s="45"/>
      <c r="G26" s="584"/>
      <c r="H26" s="584"/>
      <c r="I26" s="584"/>
    </row>
    <row r="27" spans="2:13" ht="13.95" customHeight="1">
      <c r="B27" s="6" t="s">
        <v>2647</v>
      </c>
      <c r="C27" s="6"/>
      <c r="D27" s="6"/>
      <c r="H27" s="584"/>
      <c r="I27" s="584"/>
    </row>
    <row r="28" spans="2:13" ht="13.95" customHeight="1">
      <c r="B28" s="280" t="s">
        <v>2483</v>
      </c>
      <c r="C28" s="139"/>
      <c r="D28" s="139"/>
      <c r="F28" s="139"/>
      <c r="G28" s="139">
        <v>0.75</v>
      </c>
    </row>
    <row r="29" spans="2:13" ht="13.95" customHeight="1">
      <c r="B29" s="280" t="s">
        <v>415</v>
      </c>
      <c r="C29" s="139"/>
      <c r="D29" s="139"/>
      <c r="F29" s="139"/>
      <c r="G29" s="586">
        <v>0.9</v>
      </c>
    </row>
    <row r="30" spans="2:13" ht="13.95" customHeight="1">
      <c r="B30" s="585"/>
      <c r="C30" s="139"/>
      <c r="D30" s="139"/>
      <c r="E30" s="139"/>
      <c r="F30" s="139"/>
      <c r="G30" s="113"/>
    </row>
    <row r="31" spans="2:13" ht="13.95" customHeight="1">
      <c r="B31" s="6" t="s">
        <v>2519</v>
      </c>
      <c r="C31" s="139"/>
      <c r="D31" s="139"/>
      <c r="E31" s="139"/>
      <c r="F31" s="139"/>
      <c r="G31" s="113"/>
    </row>
    <row r="32" spans="2:13" ht="13.95" customHeight="1">
      <c r="B32" s="280" t="s">
        <v>2423</v>
      </c>
      <c r="C32" s="139"/>
      <c r="D32" s="139"/>
      <c r="E32" s="139"/>
      <c r="F32" s="139"/>
      <c r="G32" s="604">
        <v>0.5</v>
      </c>
      <c r="H32" s="5104" t="s">
        <v>2792</v>
      </c>
      <c r="I32" s="5104"/>
      <c r="J32" s="5104"/>
      <c r="K32" s="5104"/>
      <c r="L32" s="5104"/>
      <c r="M32" s="5104"/>
    </row>
    <row r="33" spans="2:13" ht="13.95" customHeight="1">
      <c r="B33" s="280" t="s">
        <v>2087</v>
      </c>
      <c r="C33" s="139"/>
      <c r="D33" s="139"/>
      <c r="E33" s="139"/>
      <c r="F33" s="139"/>
      <c r="G33" s="604">
        <f>1/3</f>
        <v>0.33333333333333331</v>
      </c>
      <c r="H33" s="5104"/>
      <c r="I33" s="5104"/>
      <c r="J33" s="5104"/>
      <c r="K33" s="5104"/>
      <c r="L33" s="5104"/>
      <c r="M33" s="5104"/>
    </row>
    <row r="34" spans="2:13" ht="13.95" customHeight="1">
      <c r="B34" s="583"/>
      <c r="C34" s="583"/>
      <c r="D34" s="45"/>
      <c r="G34" s="584"/>
      <c r="H34" s="584"/>
      <c r="I34" s="584"/>
    </row>
    <row r="35" spans="2:13" ht="13.95" customHeight="1">
      <c r="B35" s="1002"/>
      <c r="C35" s="1002"/>
      <c r="D35" s="4910" t="s">
        <v>1370</v>
      </c>
      <c r="E35" s="4910"/>
      <c r="F35" s="1002"/>
      <c r="G35" s="4910" t="s">
        <v>1371</v>
      </c>
      <c r="H35" s="4910"/>
    </row>
    <row r="36" spans="2:13" ht="13.95" customHeight="1">
      <c r="B36" s="1003" t="s">
        <v>1372</v>
      </c>
      <c r="C36" s="1002"/>
      <c r="D36" s="1003" t="s">
        <v>853</v>
      </c>
      <c r="E36" s="1003" t="s">
        <v>1369</v>
      </c>
      <c r="F36" s="1002"/>
      <c r="G36" s="1003" t="s">
        <v>853</v>
      </c>
      <c r="H36" s="1003" t="s">
        <v>1369</v>
      </c>
    </row>
    <row r="37" spans="2:13" ht="13.95" customHeight="1">
      <c r="B37" s="1002">
        <v>1</v>
      </c>
      <c r="C37" s="1002"/>
      <c r="D37" s="1004">
        <f>EXP($E$24+$F$24*$B37+$G$24*$B37^2+$H$24*$B37^3+$I$24*$B37^4)</f>
        <v>1770.1787136415489</v>
      </c>
      <c r="E37" s="1005">
        <f>1000*Constants!$J$16/D37</f>
        <v>5.0300955103468965</v>
      </c>
      <c r="F37" s="1002"/>
      <c r="G37" s="1004">
        <f t="shared" ref="G37:G68" si="0">EXP($E$25+$F$25*$B37+$G$25*$B37^2+$H$25*$B37^3+$I$25*$B37^4)</f>
        <v>1362.69873597945</v>
      </c>
      <c r="H37" s="1005">
        <f>1000*Constants!$J$16/G37</f>
        <v>6.534216085259712</v>
      </c>
    </row>
    <row r="38" spans="2:13" ht="13.95" customHeight="1">
      <c r="B38" s="1002">
        <v>2</v>
      </c>
      <c r="C38" s="1002"/>
      <c r="D38" s="1004">
        <f t="shared" ref="D38:D68" si="1">EXP($E$24+$F$24*$B38+$G$24*$B38^2+$H$24*$B38^3+$I$24*$B38^4)</f>
        <v>1558.8025636286638</v>
      </c>
      <c r="E38" s="1005">
        <f>1000*Constants!$J$16/D38</f>
        <v>5.7121846010263173</v>
      </c>
      <c r="F38" s="1002"/>
      <c r="G38" s="1004">
        <f t="shared" si="0"/>
        <v>1187.6384454080471</v>
      </c>
      <c r="H38" s="1005">
        <f>1000*Constants!$J$16/G38</f>
        <v>7.4973726511023466</v>
      </c>
    </row>
    <row r="39" spans="2:13" ht="13.95" customHeight="1">
      <c r="B39" s="1002">
        <v>3</v>
      </c>
      <c r="C39" s="1002"/>
      <c r="D39" s="1004">
        <f t="shared" si="1"/>
        <v>1382.6526995206689</v>
      </c>
      <c r="E39" s="1005">
        <f>1000*Constants!$J$16/D39</f>
        <v>6.4399165481590943</v>
      </c>
      <c r="F39" s="1002"/>
      <c r="G39" s="1004">
        <f t="shared" si="0"/>
        <v>1043.2316507483604</v>
      </c>
      <c r="H39" s="1005">
        <f>1000*Constants!$J$16/G39</f>
        <v>8.5351781587652269</v>
      </c>
    </row>
    <row r="40" spans="2:13" ht="13.95" customHeight="1">
      <c r="B40" s="1002">
        <v>4</v>
      </c>
      <c r="C40" s="1002"/>
      <c r="D40" s="1004">
        <f t="shared" si="1"/>
        <v>1234.9815248073257</v>
      </c>
      <c r="E40" s="1005">
        <f>1000*Constants!$J$16/D40</f>
        <v>7.2099604902099026</v>
      </c>
      <c r="F40" s="1002"/>
      <c r="G40" s="1004">
        <f t="shared" si="0"/>
        <v>923.35073372016393</v>
      </c>
      <c r="H40" s="1005">
        <f>1000*Constants!$J$16/G40</f>
        <v>9.6433215189262516</v>
      </c>
    </row>
    <row r="41" spans="2:13" ht="13.95" customHeight="1">
      <c r="B41" s="1002">
        <v>5</v>
      </c>
      <c r="C41" s="1002"/>
      <c r="D41" s="1004">
        <f t="shared" si="1"/>
        <v>1110.4858416766888</v>
      </c>
      <c r="E41" s="1005">
        <f>1000*Constants!$J$16/D41</f>
        <v>8.0182634175289138</v>
      </c>
      <c r="F41" s="1002"/>
      <c r="G41" s="1004">
        <f t="shared" si="0"/>
        <v>823.23090904853132</v>
      </c>
      <c r="H41" s="1005">
        <f>1000*Constants!$J$16/G41</f>
        <v>10.816124494512971</v>
      </c>
    </row>
    <row r="42" spans="2:13" ht="13.95" customHeight="1">
      <c r="B42" s="1002">
        <v>6</v>
      </c>
      <c r="C42" s="1002"/>
      <c r="D42" s="1004">
        <f t="shared" si="1"/>
        <v>1004.9700956516774</v>
      </c>
      <c r="E42" s="1005">
        <f>1000*Constants!$J$16/D42</f>
        <v>8.8601322950072969</v>
      </c>
      <c r="F42" s="1002"/>
      <c r="G42" s="1004">
        <f t="shared" si="0"/>
        <v>739.14137784550894</v>
      </c>
      <c r="H42" s="1005">
        <f>1000*Constants!$J$16/G42</f>
        <v>12.046637175088712</v>
      </c>
    </row>
    <row r="43" spans="2:13" ht="13.95" customHeight="1">
      <c r="B43" s="1002">
        <v>7</v>
      </c>
      <c r="C43" s="1002"/>
      <c r="D43" s="1004">
        <f t="shared" si="1"/>
        <v>915.09382465943816</v>
      </c>
      <c r="E43" s="1005">
        <f>1000*Constants!$J$16/D43</f>
        <v>9.7303333932056422</v>
      </c>
      <c r="F43" s="1002"/>
      <c r="G43" s="1004">
        <f t="shared" si="0"/>
        <v>668.14135816565545</v>
      </c>
      <c r="H43" s="1005">
        <f>1000*Constants!$J$16/G43</f>
        <v>13.326772682424409</v>
      </c>
    </row>
    <row r="44" spans="2:13" ht="13.95" customHeight="1">
      <c r="B44" s="1002">
        <v>8</v>
      </c>
      <c r="C44" s="1002"/>
      <c r="D44" s="1004">
        <f t="shared" si="1"/>
        <v>838.18096719949403</v>
      </c>
      <c r="E44" s="1005">
        <f>1000*Constants!$J$16/D44</f>
        <v>10.623204711686961</v>
      </c>
      <c r="F44" s="1002"/>
      <c r="G44" s="1004">
        <f t="shared" si="0"/>
        <v>607.89779549435707</v>
      </c>
      <c r="H44" s="1005">
        <f>1000*Constants!$J$16/G44</f>
        <v>14.647475391416606</v>
      </c>
    </row>
    <row r="45" spans="2:13" ht="13.95" customHeight="1">
      <c r="B45" s="1002">
        <v>9</v>
      </c>
      <c r="C45" s="1002"/>
      <c r="D45" s="1004">
        <f t="shared" si="1"/>
        <v>772.07492732067476</v>
      </c>
      <c r="E45" s="1005">
        <f>1000*Constants!$J$16/D45</f>
        <v>11.53277704652327</v>
      </c>
      <c r="F45" s="1002"/>
      <c r="G45" s="1004">
        <f t="shared" si="0"/>
        <v>556.54821816949413</v>
      </c>
      <c r="H45" s="1005">
        <f>1000*Constants!$J$16/G45</f>
        <v>15.998915654219699</v>
      </c>
    </row>
    <row r="46" spans="2:13" ht="13.95" customHeight="1">
      <c r="B46" s="1002">
        <v>10</v>
      </c>
      <c r="C46" s="1002"/>
      <c r="D46" s="1004">
        <f t="shared" si="1"/>
        <v>715.02771201080225</v>
      </c>
      <c r="E46" s="1005">
        <f>1000*Constants!$J$16/D46</f>
        <v>12.452899168005226</v>
      </c>
      <c r="F46" s="1002"/>
      <c r="G46" s="1004">
        <f t="shared" si="0"/>
        <v>512.59686600907708</v>
      </c>
      <c r="H46" s="1005">
        <f>1000*Constants!$J$16/G46</f>
        <v>17.370703159629393</v>
      </c>
    </row>
    <row r="47" spans="2:13" ht="13.95" customHeight="1">
      <c r="B47" s="1002">
        <v>11</v>
      </c>
      <c r="C47" s="1002"/>
      <c r="D47" s="1004">
        <f t="shared" si="1"/>
        <v>665.61460497042265</v>
      </c>
      <c r="E47" s="1005">
        <f>1000*Constants!$J$16/D47</f>
        <v>13.377362716365976</v>
      </c>
      <c r="F47" s="1002"/>
      <c r="G47" s="1004">
        <f t="shared" si="0"/>
        <v>474.83550840743419</v>
      </c>
      <c r="H47" s="1005">
        <f>1000*Constants!$J$16/G47</f>
        <v>18.75211066220378</v>
      </c>
    </row>
    <row r="48" spans="2:13" ht="13.95" customHeight="1">
      <c r="B48" s="1002">
        <v>12</v>
      </c>
      <c r="C48" s="1002"/>
      <c r="D48" s="1004">
        <f t="shared" si="1"/>
        <v>622.66809977258742</v>
      </c>
      <c r="E48" s="1005">
        <f>1000*Constants!$J$16/D48</f>
        <v>14.300022762129624</v>
      </c>
      <c r="F48" s="1002"/>
      <c r="G48" s="1004">
        <f t="shared" si="0"/>
        <v>442.2827029785073</v>
      </c>
      <c r="H48" s="1005">
        <f>1000*Constants!$J$16/G48</f>
        <v>20.132299861685294</v>
      </c>
    </row>
    <row r="49" spans="2:8" ht="13.95" customHeight="1">
      <c r="B49" s="1002">
        <v>13</v>
      </c>
      <c r="C49" s="1002"/>
      <c r="D49" s="1004">
        <f t="shared" si="1"/>
        <v>585.22644712221313</v>
      </c>
      <c r="E49" s="1005">
        <f>1000*Constants!$J$16/D49</f>
        <v>15.214910474031495</v>
      </c>
      <c r="F49" s="1002"/>
      <c r="G49" s="1004">
        <f t="shared" si="0"/>
        <v>414.13691527235454</v>
      </c>
      <c r="H49" s="1005">
        <f>1000*Constants!$J$16/G49</f>
        <v>21.5005416605864</v>
      </c>
    </row>
    <row r="50" spans="2:8" ht="13.95" customHeight="1">
      <c r="B50" s="1002">
        <v>14</v>
      </c>
      <c r="C50" s="1002"/>
      <c r="D50" s="1004">
        <f t="shared" si="1"/>
        <v>552.49335716010523</v>
      </c>
      <c r="E50" s="1005">
        <f>1000*Constants!$J$16/D50</f>
        <v>16.116334947027589</v>
      </c>
      <c r="F50" s="1002"/>
      <c r="G50" s="1004">
        <f t="shared" si="0"/>
        <v>389.7401218265116</v>
      </c>
      <c r="H50" s="1005">
        <f>1000*Constants!$J$16/G50</f>
        <v>22.846423812541396</v>
      </c>
    </row>
    <row r="51" spans="2:8" ht="13.95" customHeight="1">
      <c r="B51" s="1002">
        <v>15</v>
      </c>
      <c r="C51" s="1002"/>
      <c r="D51" s="1004">
        <f t="shared" si="1"/>
        <v>523.80626556356526</v>
      </c>
      <c r="E51" s="1005">
        <f>1000*Constants!$J$16/D51</f>
        <v>16.998971920314794</v>
      </c>
      <c r="F51" s="1002"/>
      <c r="G51" s="1004">
        <f t="shared" si="0"/>
        <v>368.54938953970412</v>
      </c>
      <c r="H51" s="1005">
        <f>1000*Constants!$J$16/G51</f>
        <v>24.160040018301935</v>
      </c>
    </row>
    <row r="52" spans="2:8" ht="13.95" customHeight="1">
      <c r="B52" s="1002">
        <v>16</v>
      </c>
      <c r="C52" s="1002"/>
      <c r="D52" s="1004">
        <f t="shared" si="1"/>
        <v>498.61121094288092</v>
      </c>
      <c r="E52" s="1005">
        <f>1000*Constants!$J$16/D52</f>
        <v>17.857937817246608</v>
      </c>
      <c r="F52" s="1002"/>
      <c r="G52" s="1004">
        <f t="shared" si="0"/>
        <v>350.11455926702126</v>
      </c>
      <c r="H52" s="1005">
        <f>1000*Constants!$J$16/G52</f>
        <v>25.432155745368686</v>
      </c>
    </row>
    <row r="53" spans="2:8" ht="13.95" customHeight="1">
      <c r="B53" s="1002">
        <v>17</v>
      </c>
      <c r="C53" s="1002"/>
      <c r="D53" s="1004">
        <f t="shared" si="1"/>
        <v>476.44284398237824</v>
      </c>
      <c r="E53" s="1005">
        <f>1000*Constants!$J$16/D53</f>
        <v>18.688848226943524</v>
      </c>
      <c r="F53" s="1002"/>
      <c r="G53" s="1004">
        <f t="shared" si="0"/>
        <v>334.06062736800783</v>
      </c>
      <c r="H53" s="1005">
        <f>1000*Constants!$J$16/G53</f>
        <v>26.654347356508406</v>
      </c>
    </row>
    <row r="54" spans="2:8" ht="13.95" customHeight="1">
      <c r="B54" s="1002">
        <v>18</v>
      </c>
      <c r="C54" s="1002"/>
      <c r="D54" s="1004">
        <f t="shared" si="1"/>
        <v>456.90844099056312</v>
      </c>
      <c r="E54" s="1005">
        <f>1000*Constants!$J$16/D54</f>
        <v>19.48786058908442</v>
      </c>
      <c r="F54" s="1002"/>
      <c r="G54" s="1004">
        <f t="shared" si="0"/>
        <v>320.07376278056734</v>
      </c>
      <c r="H54" s="1005">
        <f>1000*Constants!$J$16/G54</f>
        <v>27.819112452851755</v>
      </c>
    </row>
    <row r="55" spans="2:8" ht="13.95" customHeight="1">
      <c r="B55" s="1002">
        <v>19</v>
      </c>
      <c r="C55" s="1002"/>
      <c r="D55" s="1004">
        <f t="shared" si="1"/>
        <v>439.67505830423829</v>
      </c>
      <c r="E55" s="1005">
        <f>1000*Constants!$J$16/D55</f>
        <v>20.251701414089894</v>
      </c>
      <c r="F55" s="1002"/>
      <c r="G55" s="1004">
        <f t="shared" si="0"/>
        <v>307.89015248079539</v>
      </c>
      <c r="H55" s="1005">
        <f>1000*Constants!$J$16/G55</f>
        <v>28.919950600093959</v>
      </c>
    </row>
    <row r="56" spans="2:8" ht="13.95" customHeight="1">
      <c r="B56" s="1002">
        <v>20</v>
      </c>
      <c r="C56" s="1002"/>
      <c r="D56" s="1004">
        <f t="shared" si="1"/>
        <v>424.45916262295646</v>
      </c>
      <c r="E56" s="1005">
        <f>1000*Constants!$J$16/D56</f>
        <v>20.977678853665125</v>
      </c>
      <c r="F56" s="1002"/>
      <c r="G56" s="1004">
        <f t="shared" si="0"/>
        <v>297.28705881146197</v>
      </c>
      <c r="H56" s="1005">
        <f>1000*Constants!$J$16/G56</f>
        <v>29.951414755820167</v>
      </c>
    </row>
    <row r="57" spans="2:8" ht="13.95" customHeight="1">
      <c r="B57" s="1002">
        <v>21</v>
      </c>
      <c r="C57" s="1002"/>
      <c r="D57" s="1004">
        <f t="shared" si="1"/>
        <v>411.01822271934049</v>
      </c>
      <c r="E57" s="1005">
        <f>1000*Constants!$J$16/D57</f>
        <v>21.663681821913084</v>
      </c>
      <c r="F57" s="1002"/>
      <c r="G57" s="1004">
        <f t="shared" si="0"/>
        <v>288.07561529138462</v>
      </c>
      <c r="H57" s="1005">
        <f>1000*Constants!$J$16/G57</f>
        <v>30.909134711015206</v>
      </c>
    </row>
    <row r="58" spans="2:8" ht="13.95" customHeight="1">
      <c r="B58" s="1002">
        <v>22</v>
      </c>
      <c r="C58" s="1002"/>
      <c r="D58" s="1004">
        <f t="shared" si="1"/>
        <v>399.14386239275547</v>
      </c>
      <c r="E58" s="1005">
        <f>1000*Constants!$J$16/D58</f>
        <v>22.308167152119065</v>
      </c>
      <c r="F58" s="1002"/>
      <c r="G58" s="1004">
        <f t="shared" si="0"/>
        <v>280.09499556913437</v>
      </c>
      <c r="H58" s="1005">
        <f>1000*Constants!$J$16/G58</f>
        <v>31.789814673080194</v>
      </c>
    </row>
    <row r="59" spans="2:8" ht="13.95" customHeight="1">
      <c r="B59" s="1002">
        <v>23</v>
      </c>
      <c r="C59" s="1002"/>
      <c r="D59" s="1004">
        <f t="shared" si="1"/>
        <v>388.65626203901013</v>
      </c>
      <c r="E59" s="1005">
        <f>1000*Constants!$J$16/D59</f>
        <v>22.910136461679528</v>
      </c>
      <c r="F59" s="1002"/>
      <c r="G59" s="1004">
        <f t="shared" si="0"/>
        <v>273.20767218480864</v>
      </c>
      <c r="H59" s="1005">
        <f>1000*Constants!$J$16/G59</f>
        <v>32.591207738766805</v>
      </c>
    </row>
    <row r="60" spans="2:8" ht="13.95" customHeight="1">
      <c r="B60" s="1002">
        <v>24</v>
      </c>
      <c r="C60" s="1002"/>
      <c r="D60" s="1004">
        <f t="shared" si="1"/>
        <v>379.39956345467641</v>
      </c>
      <c r="E60" s="1005">
        <f>1000*Constants!$J$16/D60</f>
        <v>23.469104494801833</v>
      </c>
      <c r="F60" s="1002"/>
      <c r="G60" s="1004">
        <f t="shared" si="0"/>
        <v>267.2955443533275</v>
      </c>
      <c r="H60" s="1005">
        <f>1000*Constants!$J$16/G60</f>
        <v>33.312070433280134</v>
      </c>
    </row>
    <row r="61" spans="2:8" ht="13.95" customHeight="1">
      <c r="B61" s="1002">
        <v>25</v>
      </c>
      <c r="C61" s="1002"/>
      <c r="D61" s="1004">
        <f t="shared" si="1"/>
        <v>371.23808441500955</v>
      </c>
      <c r="E61" s="1005">
        <f>1000*Constants!$J$16/D61</f>
        <v>23.98506073004614</v>
      </c>
      <c r="F61" s="1002"/>
      <c r="G61" s="1004">
        <f t="shared" si="0"/>
        <v>262.25676193424925</v>
      </c>
      <c r="H61" s="1005">
        <f>1000*Constants!$J$16/G61</f>
        <v>33.952100736424008</v>
      </c>
    </row>
    <row r="62" spans="2:8" ht="13.95" customHeight="1">
      <c r="B62" s="1002">
        <v>26</v>
      </c>
      <c r="C62" s="1002"/>
      <c r="D62" s="1004">
        <f t="shared" si="1"/>
        <v>364.05318983437422</v>
      </c>
      <c r="E62" s="1005">
        <f>1000*Constants!$J$16/D62</f>
        <v>24.458425990034439</v>
      </c>
      <c r="F62" s="1002"/>
      <c r="G62" s="1004">
        <f t="shared" si="0"/>
        <v>258.00310969232294</v>
      </c>
      <c r="H62" s="1005">
        <f>1000*Constants!$J$16/G62</f>
        <v>34.511863095830542</v>
      </c>
    </row>
    <row r="63" spans="2:8" ht="13.95" customHeight="1">
      <c r="B63" s="1002">
        <v>27</v>
      </c>
      <c r="C63" s="1002"/>
      <c r="D63" s="1004">
        <f t="shared" si="1"/>
        <v>357.74069768844555</v>
      </c>
      <c r="E63" s="1005">
        <f>1000*Constants!$J$16/D63</f>
        <v>24.890005687176782</v>
      </c>
      <c r="F63" s="1002"/>
      <c r="G63" s="1004">
        <f t="shared" si="0"/>
        <v>254.45784454346961</v>
      </c>
      <c r="H63" s="1005">
        <f>1000*Constants!$J$16/G63</f>
        <v>34.992703864073171</v>
      </c>
    </row>
    <row r="64" spans="2:8" ht="13.95" customHeight="1">
      <c r="B64" s="1002">
        <v>28</v>
      </c>
      <c r="C64" s="1002"/>
      <c r="D64" s="1004">
        <f t="shared" si="1"/>
        <v>352.20872241774805</v>
      </c>
      <c r="E64" s="1005">
        <f>1000*Constants!$J$16/D64</f>
        <v>25.280941195541818</v>
      </c>
      <c r="F64" s="1002"/>
      <c r="G64" s="1004">
        <f t="shared" si="0"/>
        <v>251.5539007111143</v>
      </c>
      <c r="H64" s="1005">
        <f>1000*Constants!$J$16/G64</f>
        <v>35.396660416828873</v>
      </c>
    </row>
    <row r="65" spans="2:8" ht="13.95" customHeight="1">
      <c r="B65" s="1002">
        <v>29</v>
      </c>
      <c r="C65" s="1002"/>
      <c r="D65" s="1004">
        <f t="shared" si="1"/>
        <v>347.3758778063862</v>
      </c>
      <c r="E65" s="1005">
        <f>1000*Constants!$J$16/D65</f>
        <v>25.632660667828052</v>
      </c>
      <c r="F65" s="1002"/>
      <c r="G65" s="1004">
        <f t="shared" si="0"/>
        <v>249.23239507932809</v>
      </c>
      <c r="H65" s="1005">
        <f>1000*Constants!$J$16/G65</f>
        <v>35.726366940244247</v>
      </c>
    </row>
    <row r="66" spans="2:8" ht="13.95" customHeight="1">
      <c r="B66" s="1002">
        <v>30</v>
      </c>
      <c r="C66" s="1002"/>
      <c r="D66" s="1004">
        <f t="shared" si="1"/>
        <v>343.16977652581505</v>
      </c>
      <c r="E66" s="1005">
        <f>1000*Constants!$J$16/D66</f>
        <v>25.946830429369648</v>
      </c>
      <c r="F66" s="1002"/>
      <c r="G66" s="1004">
        <f t="shared" si="0"/>
        <v>247.44137864628166</v>
      </c>
      <c r="H66" s="1005">
        <f>1000*Constants!$J$16/G66</f>
        <v>35.984959543603821</v>
      </c>
    </row>
    <row r="67" spans="2:8" ht="13.95" customHeight="1">
      <c r="B67" s="1002">
        <v>31</v>
      </c>
      <c r="C67" s="1002"/>
      <c r="D67" s="1004">
        <f t="shared" si="1"/>
        <v>339.52577555742698</v>
      </c>
      <c r="E67" s="1005">
        <f>1000*Constants!$J$16/D67</f>
        <v>26.225307888278305</v>
      </c>
      <c r="F67" s="1002"/>
      <c r="G67" s="1004">
        <f t="shared" si="0"/>
        <v>246.13479070528982</v>
      </c>
      <c r="H67" s="1005">
        <f>1000*Constants!$J$16/G67</f>
        <v>36.17598298267972</v>
      </c>
    </row>
    <row r="68" spans="2:8" ht="13.95" customHeight="1">
      <c r="B68" s="1002">
        <v>32</v>
      </c>
      <c r="C68" s="1002"/>
      <c r="D68" s="1004">
        <f t="shared" si="1"/>
        <v>336.38592625400321</v>
      </c>
      <c r="E68" s="1005">
        <f>1000*Constants!$J$16/D68</f>
        <v>26.470096710516096</v>
      </c>
      <c r="F68" s="1002"/>
      <c r="G68" s="1004">
        <f t="shared" si="0"/>
        <v>245.27158085857945</v>
      </c>
      <c r="H68" s="1005">
        <f>1000*Constants!$J$16/G68</f>
        <v>36.303300891325165</v>
      </c>
    </row>
    <row r="69" spans="2:8" ht="13.95" customHeight="1">
      <c r="B69" s="1002">
        <v>33</v>
      </c>
      <c r="C69" s="1002"/>
      <c r="D69" s="1004">
        <f t="shared" ref="D69:D100" si="2">EXP($E$24+$F$24*$B69+$G$24*$B69^2+$H$24*$B69^3+$I$24*$B69^4)</f>
        <v>333.69809540356607</v>
      </c>
      <c r="E69" s="1005">
        <f>1000*Constants!$J$16/D69</f>
        <v>26.683304827471439</v>
      </c>
      <c r="F69" s="1002"/>
      <c r="G69" s="1004">
        <f t="shared" ref="G69:G100" si="3">EXP($E$25+$F$25*$B69+$G$25*$B69^2+$H$25*$B69^3+$I$25*$B69^4)</f>
        <v>244.81497069545793</v>
      </c>
      <c r="H69" s="1005">
        <f>1000*Constants!$J$16/G69</f>
        <v>36.371011032150086</v>
      </c>
    </row>
    <row r="70" spans="2:8" ht="13.95" customHeight="1">
      <c r="B70" s="1002">
        <v>34</v>
      </c>
      <c r="C70" s="1002"/>
      <c r="D70" s="1004">
        <f t="shared" si="2"/>
        <v>331.41522973338607</v>
      </c>
      <c r="E70" s="1005">
        <f>1000*Constants!$J$16/D70</f>
        <v>26.867105676353933</v>
      </c>
      <c r="F70" s="1002"/>
      <c r="G70" s="1004">
        <f t="shared" si="3"/>
        <v>244.73183232119297</v>
      </c>
      <c r="H70" s="1005">
        <f>1000*Constants!$J$16/G70</f>
        <v>36.383366706109236</v>
      </c>
    </row>
    <row r="71" spans="2:8" ht="13.95" customHeight="1">
      <c r="B71" s="1002">
        <v>35</v>
      </c>
      <c r="C71" s="1002"/>
      <c r="D71" s="1004">
        <f t="shared" si="2"/>
        <v>329.4947411585166</v>
      </c>
      <c r="E71" s="1005">
        <f>1000*Constants!$J$16/D71</f>
        <v>27.023702923732838</v>
      </c>
      <c r="F71" s="1002"/>
      <c r="G71" s="1004">
        <f t="shared" si="3"/>
        <v>244.99216519806816</v>
      </c>
      <c r="H71" s="1005">
        <f>1000*Constants!$J$16/G71</f>
        <v>36.344705116595343</v>
      </c>
    </row>
    <row r="72" spans="2:8" ht="13.95" customHeight="1">
      <c r="B72" s="1002">
        <v>36</v>
      </c>
      <c r="C72" s="1002"/>
      <c r="D72" s="1004">
        <f t="shared" si="2"/>
        <v>327.89799398915528</v>
      </c>
      <c r="E72" s="1005">
        <f>1000*Constants!$J$16/D72</f>
        <v>27.155298791777579</v>
      </c>
      <c r="F72" s="1002"/>
      <c r="G72" s="1004">
        <f t="shared" si="3"/>
        <v>245.56865618202727</v>
      </c>
      <c r="H72" s="1005">
        <f>1000*Constants!$J$16/G72</f>
        <v>36.259383173884387</v>
      </c>
    </row>
    <row r="73" spans="2:8" ht="13.95" customHeight="1">
      <c r="B73" s="1002">
        <v>37</v>
      </c>
      <c r="C73" s="1002"/>
      <c r="D73" s="1004">
        <f t="shared" si="2"/>
        <v>326.58987846150092</v>
      </c>
      <c r="E73" s="1005">
        <f>1000*Constants!$J$16/D73</f>
        <v>27.26406599600006</v>
      </c>
      <c r="F73" s="1002"/>
      <c r="G73" s="1004">
        <f t="shared" si="3"/>
        <v>246.43631038305159</v>
      </c>
      <c r="H73" s="1005">
        <f>1000*Constants!$J$16/G73</f>
        <v>36.131720955242699</v>
      </c>
    </row>
    <row r="74" spans="2:8" ht="13.95" customHeight="1">
      <c r="B74" s="1002">
        <v>38</v>
      </c>
      <c r="C74" s="1002"/>
      <c r="D74" s="1004">
        <f t="shared" si="2"/>
        <v>325.53845750289219</v>
      </c>
      <c r="E74" s="1005">
        <f>1000*Constants!$J$16/D74</f>
        <v>27.352123212419205</v>
      </c>
      <c r="F74" s="1002"/>
      <c r="G74" s="1004">
        <f t="shared" si="3"/>
        <v>247.57214268226886</v>
      </c>
      <c r="H74" s="1005">
        <f>1000*Constants!$J$16/G74</f>
        <v>35.965952806845088</v>
      </c>
    </row>
    <row r="75" spans="2:8" ht="13.95" customHeight="1">
      <c r="B75" s="1002">
        <v>39</v>
      </c>
      <c r="C75" s="1002"/>
      <c r="D75" s="1004">
        <f t="shared" si="2"/>
        <v>324.7146757070181</v>
      </c>
      <c r="E75" s="1005">
        <f>1000*Constants!$J$16/D75</f>
        <v>27.42151392022086</v>
      </c>
      <c r="F75" s="1002"/>
      <c r="G75" s="1004">
        <f t="shared" si="3"/>
        <v>248.95492151177228</v>
      </c>
      <c r="H75" s="1005">
        <f>1000*Constants!$J$16/G75</f>
        <v>35.766185885901237</v>
      </c>
    </row>
    <row r="76" spans="2:8" ht="13.95" customHeight="1">
      <c r="B76" s="1002">
        <v>40</v>
      </c>
      <c r="C76" s="1002"/>
      <c r="D76" s="1004">
        <f t="shared" si="2"/>
        <v>324.09212117696291</v>
      </c>
      <c r="E76" s="1005">
        <f>1000*Constants!$J$16/D76</f>
        <v>27.474188411812971</v>
      </c>
      <c r="F76" s="1002"/>
      <c r="G76" s="1004">
        <f t="shared" si="3"/>
        <v>250.56495792927251</v>
      </c>
      <c r="H76" s="1005">
        <f>1000*Constants!$J$16/G76</f>
        <v>35.536365793469805</v>
      </c>
    </row>
    <row r="77" spans="2:8" ht="13.95" customHeight="1">
      <c r="B77" s="1002">
        <v>41</v>
      </c>
      <c r="C77" s="1002"/>
      <c r="D77" s="1004">
        <f t="shared" si="2"/>
        <v>323.64683227121594</v>
      </c>
      <c r="E77" s="1005">
        <f>1000*Constants!$J$16/D77</f>
        <v>27.511988723987603</v>
      </c>
      <c r="F77" s="1002"/>
      <c r="G77" s="1004">
        <f t="shared" si="3"/>
        <v>252.38393416675768</v>
      </c>
      <c r="H77" s="1005">
        <f>1000*Constants!$J$16/G77</f>
        <v>35.280248837537918</v>
      </c>
    </row>
    <row r="78" spans="2:8" ht="13.95" customHeight="1">
      <c r="B78" s="1002">
        <v>42</v>
      </c>
      <c r="C78" s="1002"/>
      <c r="D78" s="1004">
        <f t="shared" si="2"/>
        <v>323.3571424236178</v>
      </c>
      <c r="E78" s="1005">
        <f>1000*Constants!$J$16/D78</f>
        <v>27.536636219820963</v>
      </c>
      <c r="F78" s="1002"/>
      <c r="G78" s="1004">
        <f t="shared" si="3"/>
        <v>254.39476675429268</v>
      </c>
      <c r="H78" s="1005">
        <f>1000*Constants!$J$16/G78</f>
        <v>35.001380388457811</v>
      </c>
    </row>
    <row r="79" spans="2:8" ht="13.95" customHeight="1">
      <c r="B79" s="1002">
        <v>43</v>
      </c>
      <c r="C79" s="1002"/>
      <c r="D79" s="1004">
        <f t="shared" si="2"/>
        <v>323.2035571533001</v>
      </c>
      <c r="E79" s="1005">
        <f>1000*Constants!$J$16/D79</f>
        <v>27.549721539038089</v>
      </c>
      <c r="F79" s="1002"/>
      <c r="G79" s="1004">
        <f t="shared" si="3"/>
        <v>256.5815000605615</v>
      </c>
      <c r="H79" s="1005">
        <f>1000*Constants!$J$16/G79</f>
        <v>34.703078740666527</v>
      </c>
    </row>
    <row r="80" spans="2:8" ht="13.95" customHeight="1">
      <c r="B80" s="1002">
        <v>44</v>
      </c>
      <c r="C80" s="1002"/>
      <c r="D80" s="1004">
        <f t="shared" si="2"/>
        <v>323.16865817620618</v>
      </c>
      <c r="E80" s="1005">
        <f>1000*Constants!$J$16/D80</f>
        <v>27.552696632929806</v>
      </c>
      <c r="F80" s="1002"/>
      <c r="G80" s="1004">
        <f t="shared" si="3"/>
        <v>258.92922668607901</v>
      </c>
      <c r="H80" s="1005">
        <f>1000*Constants!$J$16/G80</f>
        <v>34.388423871497707</v>
      </c>
    </row>
    <row r="81" spans="2:8" ht="13.95" customHeight="1">
      <c r="B81" s="1002">
        <v>45</v>
      </c>
      <c r="C81" s="1002"/>
      <c r="D81" s="1004">
        <f t="shared" si="2"/>
        <v>323.23703020889008</v>
      </c>
      <c r="E81" s="1005">
        <f>1000*Constants!$J$16/D81</f>
        <v>27.546868606748838</v>
      </c>
      <c r="F81" s="1002"/>
      <c r="G81" s="1004">
        <f t="shared" si="3"/>
        <v>261.42403162224895</v>
      </c>
      <c r="H81" s="1005">
        <f>1000*Constants!$J$16/G81</f>
        <v>34.060250485564751</v>
      </c>
    </row>
    <row r="82" spans="2:8" ht="13.95" customHeight="1">
      <c r="B82" s="1002">
        <v>46</v>
      </c>
      <c r="C82" s="1002"/>
      <c r="D82" s="1004">
        <f t="shared" si="2"/>
        <v>323.39520664502726</v>
      </c>
      <c r="E82" s="1005">
        <f>1000*Constants!$J$16/D82</f>
        <v>27.533395106173</v>
      </c>
      <c r="F82" s="1002"/>
      <c r="G82" s="1004">
        <f t="shared" si="3"/>
        <v>264.05295747348384</v>
      </c>
      <c r="H82" s="1005">
        <f>1000*Constants!$J$16/G82</f>
        <v>33.721144747618119</v>
      </c>
    </row>
    <row r="83" spans="2:8" ht="13.95" customHeight="1">
      <c r="B83" s="1002">
        <v>47</v>
      </c>
      <c r="C83" s="1002"/>
      <c r="D83" s="1004">
        <f t="shared" si="2"/>
        <v>323.63163080705806</v>
      </c>
      <c r="E83" s="1005">
        <f>1000*Constants!$J$16/D83</f>
        <v>27.513281003451933</v>
      </c>
      <c r="F83" s="1002"/>
      <c r="G83" s="1004">
        <f t="shared" si="3"/>
        <v>266.80398835058168</v>
      </c>
      <c r="H83" s="1005">
        <f>1000*Constants!$J$16/G83</f>
        <v>33.373444134200426</v>
      </c>
    </row>
    <row r="84" spans="2:8" ht="13.95" customHeight="1">
      <c r="B84" s="1002">
        <v>48</v>
      </c>
      <c r="C84" s="1002"/>
      <c r="D84" s="1004">
        <f t="shared" si="2"/>
        <v>323.93662994717982</v>
      </c>
      <c r="E84" s="1005">
        <f>1000*Constants!$J$16/D84</f>
        <v>27.48737616197306</v>
      </c>
      <c r="F84" s="1002"/>
      <c r="G84" s="1004">
        <f t="shared" si="3"/>
        <v>269.66605029825769</v>
      </c>
      <c r="H84" s="1005">
        <f>1000*Constants!$J$16/G84</f>
        <v>33.019239871506841</v>
      </c>
    </row>
    <row r="85" spans="2:8" ht="13.95" customHeight="1">
      <c r="B85" s="1002">
        <v>49</v>
      </c>
      <c r="C85" s="1002"/>
      <c r="D85" s="1004">
        <f t="shared" si="2"/>
        <v>324.30239960729239</v>
      </c>
      <c r="E85" s="1005">
        <f>1000*Constants!$J$16/D85</f>
        <v>27.456374084133596</v>
      </c>
      <c r="F85" s="1002"/>
      <c r="G85" s="1004">
        <f t="shared" si="3"/>
        <v>272.6290263324492</v>
      </c>
      <c r="H85" s="1005">
        <f>1000*Constants!$J$16/G85</f>
        <v>32.660381470687874</v>
      </c>
    </row>
    <row r="86" spans="2:8" ht="13.95" customHeight="1">
      <c r="B86" s="1002">
        <v>50</v>
      </c>
      <c r="C86" s="1002"/>
      <c r="D86" s="1004">
        <f t="shared" si="2"/>
        <v>324.72299635767411</v>
      </c>
      <c r="E86" s="1005">
        <f>1000*Constants!$J$16/D86</f>
        <v>27.420811275688912</v>
      </c>
      <c r="F86" s="1002"/>
      <c r="G86" s="1004">
        <f t="shared" si="3"/>
        <v>275.68378434608803</v>
      </c>
      <c r="H86" s="1005">
        <f>1000*Constants!$J$16/G86</f>
        <v>32.298482919916253</v>
      </c>
    </row>
    <row r="87" spans="2:8" ht="13.95" customHeight="1">
      <c r="B87" s="1002">
        <v>51</v>
      </c>
      <c r="C87" s="1002"/>
      <c r="D87" s="1004">
        <f t="shared" si="2"/>
        <v>325.19433732750497</v>
      </c>
      <c r="E87" s="1005">
        <f>1000*Constants!$J$16/D87</f>
        <v>27.381067189471274</v>
      </c>
      <c r="F87" s="1002"/>
      <c r="G87" s="1004">
        <f t="shared" si="3"/>
        <v>278.82221630578732</v>
      </c>
      <c r="H87" s="1005">
        <f>1000*Constants!$J$16/G87</f>
        <v>31.934930142850249</v>
      </c>
    </row>
    <row r="88" spans="2:8" ht="13.95" customHeight="1">
      <c r="B88" s="1002">
        <v>52</v>
      </c>
      <c r="C88" s="1002"/>
      <c r="D88" s="1004">
        <f t="shared" si="2"/>
        <v>325.71420532371923</v>
      </c>
      <c r="E88" s="1005">
        <f>1000*Constants!$J$16/D88</f>
        <v>27.337364641957723</v>
      </c>
      <c r="F88" s="1002"/>
      <c r="G88" s="1004">
        <f t="shared" si="3"/>
        <v>282.03728731542299</v>
      </c>
      <c r="H88" s="1005">
        <f>1000*Constants!$J$16/G88</f>
        <v>31.570889384004801</v>
      </c>
    </row>
    <row r="89" spans="2:8" ht="13.95" customHeight="1">
      <c r="B89" s="1002">
        <v>53</v>
      </c>
      <c r="C89" s="1002"/>
      <c r="D89" s="1004">
        <f t="shared" si="2"/>
        <v>326.28225871296974</v>
      </c>
      <c r="E89" s="1005">
        <f>1000*Constants!$J$16/D89</f>
        <v>27.289770627194873</v>
      </c>
      <c r="F89" s="1002"/>
      <c r="G89" s="1004">
        <f t="shared" si="3"/>
        <v>285.32309327364896</v>
      </c>
      <c r="H89" s="1005">
        <f>1000*Constants!$J$16/G89</f>
        <v>31.207316231708415</v>
      </c>
    </row>
    <row r="90" spans="2:8" ht="13.95" customHeight="1">
      <c r="B90" s="1002">
        <v>54</v>
      </c>
      <c r="C90" s="1002"/>
      <c r="D90" s="1004">
        <f t="shared" si="2"/>
        <v>326.90004561884393</v>
      </c>
      <c r="E90" s="1005">
        <f>1000*Constants!$J$16/D90</f>
        <v>27.238197483710369</v>
      </c>
      <c r="F90" s="1002"/>
      <c r="G90" s="1004">
        <f t="shared" si="3"/>
        <v>288.67492600743356</v>
      </c>
      <c r="H90" s="1005">
        <f>1000*Constants!$J$16/G90</f>
        <v>30.844965037838833</v>
      </c>
    </row>
    <row r="91" spans="2:8" ht="13.95" customHeight="1">
      <c r="B91" s="1002">
        <v>55</v>
      </c>
      <c r="C91" s="1002"/>
      <c r="D91" s="1004">
        <f t="shared" si="2"/>
        <v>327.5710223658815</v>
      </c>
      <c r="E91" s="1005">
        <f>1000*Constants!$J$16/D91</f>
        <v>27.182404401004863</v>
      </c>
      <c r="F91" s="1002"/>
      <c r="G91" s="1004">
        <f t="shared" si="3"/>
        <v>292.08934492856611</v>
      </c>
      <c r="H91" s="1005">
        <f>1000*Constants!$J$16/G91</f>
        <v>30.484398539692091</v>
      </c>
    </row>
    <row r="92" spans="2:8" ht="13.95" customHeight="1">
      <c r="B92" s="1002">
        <v>56</v>
      </c>
      <c r="C92" s="1002"/>
      <c r="D92" s="1004">
        <f t="shared" si="2"/>
        <v>328.30057648626263</v>
      </c>
      <c r="E92" s="1005">
        <f>1000*Constants!$J$16/D92</f>
        <v>27.121999282790124</v>
      </c>
      <c r="F92" s="1002"/>
      <c r="G92" s="1004">
        <f t="shared" si="3"/>
        <v>295.56425443935188</v>
      </c>
      <c r="H92" s="1005">
        <f>1000*Constants!$J$16/G92</f>
        <v>30.12599753271952</v>
      </c>
    </row>
    <row r="93" spans="2:8" ht="13.95" customHeight="1">
      <c r="B93" s="1002">
        <v>57</v>
      </c>
      <c r="C93" s="1002"/>
      <c r="D93" s="1004">
        <f t="shared" si="2"/>
        <v>329.09605499686489</v>
      </c>
      <c r="E93" s="1005">
        <f>1000*Constants!$J$16/D93</f>
        <v>27.056441014113112</v>
      </c>
      <c r="F93" s="1002"/>
      <c r="G93" s="1004">
        <f t="shared" si="3"/>
        <v>299.0989865115651</v>
      </c>
      <c r="H93" s="1005">
        <f>1000*Constants!$J$16/G93</f>
        <v>29.769970483185528</v>
      </c>
    </row>
    <row r="94" spans="2:8" ht="13.95" customHeight="1">
      <c r="B94" s="1002">
        <v>58</v>
      </c>
      <c r="C94" s="1002"/>
      <c r="D94" s="1004">
        <f t="shared" si="2"/>
        <v>329.96679905669453</v>
      </c>
      <c r="E94" s="1005">
        <f>1000*Constants!$J$16/D94</f>
        <v>26.985042208655955</v>
      </c>
      <c r="F94" s="1002"/>
      <c r="G94" s="1004">
        <f t="shared" si="3"/>
        <v>302.69438808250908</v>
      </c>
      <c r="H94" s="1005">
        <f>1000*Constants!$J$16/G94</f>
        <v>29.416363006944426</v>
      </c>
    </row>
    <row r="95" spans="2:8" ht="13.95" customHeight="1">
      <c r="B95" s="1002">
        <v>59</v>
      </c>
      <c r="C95" s="1002"/>
      <c r="D95" s="1004">
        <f t="shared" si="2"/>
        <v>330.92418653114692</v>
      </c>
      <c r="E95" s="1005">
        <f>1000*Constants!$J$16/D95</f>
        <v>26.906972540557806</v>
      </c>
      <c r="F95" s="1002"/>
      <c r="G95" s="1004">
        <f t="shared" si="3"/>
        <v>306.35291315676068</v>
      </c>
      <c r="H95" s="1005">
        <f>1000*Constants!$J$16/G95</f>
        <v>29.065067174483634</v>
      </c>
    </row>
    <row r="96" spans="2:8" ht="13.95" customHeight="1">
      <c r="B96" s="1002">
        <v>60</v>
      </c>
      <c r="C96" s="1002"/>
      <c r="D96" s="1004">
        <f t="shared" si="2"/>
        <v>331.98168442495557</v>
      </c>
      <c r="E96" s="1005">
        <f>1000*Constants!$J$16/D96</f>
        <v>26.821262791721228</v>
      </c>
      <c r="F96" s="1002"/>
      <c r="G96" s="1004">
        <f t="shared" si="3"/>
        <v>310.07871977460201</v>
      </c>
      <c r="H96" s="1005">
        <f>1000*Constants!$J$16/G96</f>
        <v>28.715830633177568</v>
      </c>
    </row>
    <row r="97" spans="2:8" ht="13.95" customHeight="1">
      <c r="B97" s="1002">
        <v>61</v>
      </c>
      <c r="C97" s="1002"/>
      <c r="D97" s="1004">
        <f t="shared" si="2"/>
        <v>333.15491360610133</v>
      </c>
      <c r="E97" s="1005">
        <f>1000*Constants!$J$16/D97</f>
        <v>26.726809770327009</v>
      </c>
      <c r="F97" s="1002"/>
      <c r="G97" s="1004">
        <f t="shared" si="3"/>
        <v>313.8777723107475</v>
      </c>
      <c r="H97" s="1005">
        <f>1000*Constants!$J$16/G97</f>
        <v>28.368265565440016</v>
      </c>
    </row>
    <row r="98" spans="2:8" ht="13.95" customHeight="1">
      <c r="B98" s="1002">
        <v>62</v>
      </c>
      <c r="C98" s="1002"/>
      <c r="D98" s="1004">
        <f t="shared" si="2"/>
        <v>334.46172873690733</v>
      </c>
      <c r="E98" s="1005">
        <f>1000*Constants!$J$16/D98</f>
        <v>26.622382278613866</v>
      </c>
      <c r="F98" s="1002"/>
      <c r="G98" s="1004">
        <f t="shared" si="3"/>
        <v>317.75794990272482</v>
      </c>
      <c r="H98" s="1005">
        <f>1000*Constants!$J$16/G98</f>
        <v>28.021857526226587</v>
      </c>
    </row>
    <row r="99" spans="2:8" ht="13.95" customHeight="1">
      <c r="B99" s="1002">
        <v>63</v>
      </c>
      <c r="C99" s="1002"/>
      <c r="D99" s="1004">
        <f t="shared" si="2"/>
        <v>335.92231686639093</v>
      </c>
      <c r="E99" s="1005">
        <f>1000*Constants!$J$16/D99</f>
        <v>26.506628327231756</v>
      </c>
      <c r="F99" s="1002"/>
      <c r="G99" s="1004">
        <f t="shared" si="3"/>
        <v>321.72916218011687</v>
      </c>
      <c r="H99" s="1005">
        <f>1000*Constants!$J$16/G99</f>
        <v>27.675974225224536</v>
      </c>
    </row>
    <row r="100" spans="2:8" ht="13.95" customHeight="1">
      <c r="B100" s="1002">
        <v>64</v>
      </c>
      <c r="C100" s="1002"/>
      <c r="D100" s="1004">
        <f t="shared" si="2"/>
        <v>337.55931873379865</v>
      </c>
      <c r="E100" s="1005">
        <f>1000*Constants!$J$16/D100</f>
        <v>26.378083808795338</v>
      </c>
      <c r="F100" s="1002"/>
      <c r="G100" s="1004">
        <f t="shared" si="3"/>
        <v>325.80347387797957</v>
      </c>
      <c r="H100" s="1005">
        <f>1000*Constants!$J$16/G100</f>
        <v>27.329874338095003</v>
      </c>
    </row>
    <row r="101" spans="2:8" ht="13.95" customHeight="1">
      <c r="B101" s="1002">
        <v>65</v>
      </c>
      <c r="C101" s="1002"/>
      <c r="D101" s="1004">
        <f t="shared" ref="D101:D136" si="4">EXP($E$24+$F$24*$B101+$G$24*$B101^2+$H$24*$B101^3+$I$24*$B101^4)</f>
        <v>339.39797750441267</v>
      </c>
      <c r="E101" s="1005">
        <f>1000*Constants!$J$16/D101</f>
        <v>26.235182853687547</v>
      </c>
      <c r="F101" s="1002"/>
      <c r="G101" s="1004">
        <f t="shared" ref="G101:G136" si="5">EXP($E$25+$F$25*$B101+$G$25*$B101^2+$H$25*$B101^3+$I$25*$B101^4)</f>
        <v>329.99524037485116</v>
      </c>
      <c r="H101" s="1005">
        <f>1000*Constants!$J$16/G101</f>
        <v>26.982716447320563</v>
      </c>
    </row>
    <row r="102" spans="2:8" ht="13.95" customHeight="1">
      <c r="B102" s="1002">
        <v>66</v>
      </c>
      <c r="C102" s="1002"/>
      <c r="D102" s="1004">
        <f t="shared" si="4"/>
        <v>341.46632042740708</v>
      </c>
      <c r="E102" s="1005">
        <f>1000*Constants!$J$16/D102</f>
        <v>26.076270095553838</v>
      </c>
      <c r="F102" s="1002"/>
      <c r="G102" s="1004">
        <f t="shared" si="5"/>
        <v>334.32125670466939</v>
      </c>
      <c r="H102" s="1005">
        <f>1000*Constants!$J$16/G102</f>
        <v>26.633568226461016</v>
      </c>
    </row>
    <row r="103" spans="2:8" ht="13.95" customHeight="1">
      <c r="B103" s="1002">
        <v>67</v>
      </c>
      <c r="C103" s="1002"/>
      <c r="D103" s="1004">
        <f t="shared" si="4"/>
        <v>343.79537979953898</v>
      </c>
      <c r="E103" s="1005">
        <f>1000*Constants!$J$16/D103</f>
        <v>25.899615071010736</v>
      </c>
      <c r="F103" s="1002"/>
      <c r="G103" s="1004">
        <f t="shared" si="5"/>
        <v>338.80092316082084</v>
      </c>
      <c r="H103" s="1005">
        <f>1000*Constants!$J$16/G103</f>
        <v>26.281415991813578</v>
      </c>
    </row>
    <row r="104" spans="2:8" ht="13.95" customHeight="1">
      <c r="B104" s="1002">
        <v>68</v>
      </c>
      <c r="C104" s="1002"/>
      <c r="D104" s="1004">
        <f t="shared" si="4"/>
        <v>346.4194606722387</v>
      </c>
      <c r="E104" s="1005">
        <f>1000*Constants!$J$16/D104</f>
        <v>25.703428966493856</v>
      </c>
      <c r="F104" s="1002"/>
      <c r="G104" s="1004">
        <f t="shared" si="5"/>
        <v>343.45643125079647</v>
      </c>
      <c r="H104" s="1005">
        <f>1000*Constants!$J$16/G104</f>
        <v>25.925174752363443</v>
      </c>
    </row>
    <row r="105" spans="2:8" ht="13.95" customHeight="1">
      <c r="B105" s="1002">
        <v>69</v>
      </c>
      <c r="C105" s="1002"/>
      <c r="D105" s="1004">
        <f t="shared" si="4"/>
        <v>349.37646399633985</v>
      </c>
      <c r="E105" s="1005">
        <f>1000*Constants!$J$16/D105</f>
        <v>25.485883903425396</v>
      </c>
      <c r="F105" s="1002"/>
      <c r="G105" s="1004">
        <f t="shared" si="5"/>
        <v>348.31297448562736</v>
      </c>
      <c r="H105" s="1005">
        <f>1000*Constants!$J$16/G105</f>
        <v>25.563698892208269</v>
      </c>
    </row>
    <row r="106" spans="2:8" ht="13.95" customHeight="1">
      <c r="B106" s="1002">
        <v>70</v>
      </c>
      <c r="C106" s="1002"/>
      <c r="D106" s="1004">
        <f t="shared" si="4"/>
        <v>352.70827541182598</v>
      </c>
      <c r="E106" s="1005">
        <f>1000*Constants!$J$16/D106</f>
        <v>25.245134919512157</v>
      </c>
      <c r="F106" s="1002"/>
      <c r="G106" s="1004">
        <f t="shared" si="5"/>
        <v>353.39898931787531</v>
      </c>
      <c r="H106" s="1005">
        <f>1000*Constants!$J$16/G106</f>
        <v>25.195793618953672</v>
      </c>
    </row>
    <row r="107" spans="2:8" ht="13.95" customHeight="1">
      <c r="B107" s="1002">
        <v>71</v>
      </c>
      <c r="C107" s="1002"/>
      <c r="D107" s="1004">
        <f t="shared" si="4"/>
        <v>356.46123172623658</v>
      </c>
      <c r="E107" s="1005">
        <f>1000*Constants!$J$16/D107</f>
        <v>24.979344757576417</v>
      </c>
      <c r="F107" s="1002"/>
      <c r="G107" s="1004">
        <f t="shared" si="5"/>
        <v>358.74643249873793</v>
      </c>
      <c r="H107" s="1005">
        <f>1000*Constants!$J$16/G107</f>
        <v>24.820227306459206</v>
      </c>
    </row>
    <row r="108" spans="2:8" ht="13.95" customHeight="1">
      <c r="B108" s="1002">
        <v>72</v>
      </c>
      <c r="C108" s="1002"/>
      <c r="D108" s="1004">
        <f t="shared" si="4"/>
        <v>360.68667936791309</v>
      </c>
      <c r="E108" s="1005">
        <f>1000*Constants!$J$16/D108</f>
        <v>24.686711512618505</v>
      </c>
      <c r="F108" s="1002"/>
      <c r="G108" s="1004">
        <f t="shared" si="5"/>
        <v>364.39110223833228</v>
      </c>
      <c r="H108" s="1005">
        <f>1000*Constants!$J$16/G108</f>
        <v>24.435744850257549</v>
      </c>
    </row>
    <row r="109" spans="2:8" ht="13.95" customHeight="1">
      <c r="B109" s="1002">
        <v>73</v>
      </c>
      <c r="C109" s="1002"/>
      <c r="D109" s="1004">
        <f t="shared" si="4"/>
        <v>365.44164185340145</v>
      </c>
      <c r="E109" s="1005">
        <f>1000*Constants!$J$16/D109</f>
        <v>24.365499111817002</v>
      </c>
      <c r="F109" s="1002"/>
      <c r="G109" s="1004">
        <f t="shared" si="5"/>
        <v>370.37301186058397</v>
      </c>
      <c r="H109" s="1005">
        <f>1000*Constants!$J$16/G109</f>
        <v>24.041082138435378</v>
      </c>
    </row>
    <row r="110" spans="2:8" ht="13.95" customHeight="1">
      <c r="B110" s="1002">
        <v>74</v>
      </c>
      <c r="C110" s="1002"/>
      <c r="D110" s="1004">
        <f t="shared" si="4"/>
        <v>370.78961670280347</v>
      </c>
      <c r="E110" s="1005">
        <f>1000*Constants!$J$16/D110</f>
        <v>24.014070510331734</v>
      </c>
      <c r="F110" s="1002"/>
      <c r="G110" s="1004">
        <f t="shared" si="5"/>
        <v>376.7368261920758</v>
      </c>
      <c r="H110" s="1005">
        <f>1000*Constants!$J$16/G110</f>
        <v>23.634981719202283</v>
      </c>
    </row>
    <row r="111" spans="2:8" ht="13.95" customHeight="1">
      <c r="B111" s="1002">
        <v>75</v>
      </c>
      <c r="C111" s="1002"/>
      <c r="D111" s="1004">
        <f t="shared" si="4"/>
        <v>376.80152643790029</v>
      </c>
      <c r="E111" s="1005">
        <f>1000*Constants!$J$16/D111</f>
        <v>23.630923378086351</v>
      </c>
      <c r="F111" s="1002"/>
      <c r="G111" s="1004">
        <f t="shared" si="5"/>
        <v>383.53237277105046</v>
      </c>
      <c r="H111" s="1005">
        <f>1000*Constants!$J$16/G111</f>
        <v>23.216209718274133</v>
      </c>
    </row>
    <row r="112" spans="2:8" ht="13.95" customHeight="1">
      <c r="B112" s="1002">
        <v>76</v>
      </c>
      <c r="C112" s="1002"/>
      <c r="D112" s="1004">
        <f t="shared" si="4"/>
        <v>383.5568535147014</v>
      </c>
      <c r="E112" s="1005">
        <f>1000*Constants!$J$16/D112</f>
        <v>23.21472792992007</v>
      </c>
      <c r="F112" s="1002"/>
      <c r="G112" s="1004">
        <f t="shared" si="5"/>
        <v>390.8152421816705</v>
      </c>
      <c r="H112" s="1005">
        <f>1000*Constants!$J$16/G112</f>
        <v>22.783574024118785</v>
      </c>
    </row>
    <row r="113" spans="2:8" ht="13.95" customHeight="1">
      <c r="B113" s="1002">
        <v>77</v>
      </c>
      <c r="C113" s="1002"/>
      <c r="D113" s="1004">
        <f t="shared" si="4"/>
        <v>391.14499554114343</v>
      </c>
      <c r="E113" s="1005">
        <f>1000*Constants!$J$16/D113</f>
        <v>22.764366415275777</v>
      </c>
      <c r="F113" s="1002"/>
      <c r="G113" s="1004">
        <f t="shared" si="5"/>
        <v>398.64749450119172</v>
      </c>
      <c r="H113" s="1005">
        <f>1000*Constants!$J$16/G113</f>
        <v>22.335943716744925</v>
      </c>
    </row>
    <row r="114" spans="2:8" ht="13.95" customHeight="1">
      <c r="B114" s="1002">
        <v>78</v>
      </c>
      <c r="C114" s="1002"/>
      <c r="D114" s="1004">
        <f t="shared" si="4"/>
        <v>399.66688525265886</v>
      </c>
      <c r="E114" s="1005">
        <f>1000*Constants!$J$16/D114</f>
        <v>22.278973636685009</v>
      </c>
      <c r="F114" s="1002"/>
      <c r="G114" s="1004">
        <f t="shared" si="5"/>
        <v>407.09849210889655</v>
      </c>
      <c r="H114" s="1005">
        <f>1000*Constants!$J$16/G114</f>
        <v>21.872269665931814</v>
      </c>
    </row>
    <row r="115" spans="2:8" ht="13.95" customHeight="1">
      <c r="B115" s="1002">
        <v>79</v>
      </c>
      <c r="C115" s="1002"/>
      <c r="D115" s="1004">
        <f t="shared" si="4"/>
        <v>409.23692990091843</v>
      </c>
      <c r="E115" s="1005">
        <f>1000*Constants!$J$16/D115</f>
        <v>21.757977712704996</v>
      </c>
      <c r="F115" s="1002"/>
      <c r="G115" s="1004">
        <f t="shared" si="5"/>
        <v>416.24588308947114</v>
      </c>
      <c r="H115" s="1005">
        <f>1000*Constants!$J$16/G115</f>
        <v>21.391606167756542</v>
      </c>
    </row>
    <row r="116" spans="2:8" ht="13.95" customHeight="1">
      <c r="B116" s="1002">
        <v>80</v>
      </c>
      <c r="C116" s="1002"/>
      <c r="D116" s="1004">
        <f t="shared" si="4"/>
        <v>419.98533751943023</v>
      </c>
      <c r="E116" s="1005">
        <f>1000*Constants!$J$16/D116</f>
        <v>21.201140145965351</v>
      </c>
      <c r="F116" s="1002"/>
      <c r="G116" s="1004">
        <f t="shared" si="5"/>
        <v>426.17676435238832</v>
      </c>
      <c r="H116" s="1005">
        <f>1000*Constants!$J$16/G116</f>
        <v>20.89313342441519</v>
      </c>
    </row>
    <row r="117" spans="2:8" ht="13.95" customHeight="1">
      <c r="B117" s="1002">
        <v>81</v>
      </c>
      <c r="C117" s="1002"/>
      <c r="D117" s="1004">
        <f t="shared" si="4"/>
        <v>432.06091369603502</v>
      </c>
      <c r="E117" s="1005">
        <f>1000*Constants!$J$16/D117</f>
        <v>20.608594107321384</v>
      </c>
      <c r="F117" s="1002"/>
      <c r="G117" s="1004">
        <f t="shared" si="5"/>
        <v>436.98905961226666</v>
      </c>
      <c r="H117" s="1005">
        <f>1000*Constants!$J$16/G117</f>
        <v>20.376180602554498</v>
      </c>
    </row>
    <row r="118" spans="2:8" ht="13.95" customHeight="1">
      <c r="B118" s="1002">
        <v>82</v>
      </c>
      <c r="C118" s="1002"/>
      <c r="D118" s="1004">
        <f t="shared" si="4"/>
        <v>445.6344329612462</v>
      </c>
      <c r="E118" s="1005">
        <f>1000*Constants!$J$16/D118</f>
        <v>19.980879710824173</v>
      </c>
      <c r="F118" s="1002"/>
      <c r="G118" s="1004">
        <f t="shared" si="5"/>
        <v>448.79315482512879</v>
      </c>
      <c r="H118" s="1005">
        <f>1000*Constants!$J$16/G118</f>
        <v>19.840249130959869</v>
      </c>
    </row>
    <row r="119" spans="2:8" ht="13.95" customHeight="1">
      <c r="B119" s="1002">
        <v>83</v>
      </c>
      <c r="C119" s="1002"/>
      <c r="D119" s="1004">
        <f t="shared" si="4"/>
        <v>460.9027149410764</v>
      </c>
      <c r="E119" s="1005">
        <f>1000*Constants!$J$16/D119</f>
        <v>19.318974940597482</v>
      </c>
      <c r="F119" s="1002"/>
      <c r="G119" s="1004">
        <f t="shared" si="5"/>
        <v>461.71384292326178</v>
      </c>
      <c r="H119" s="1005">
        <f>1000*Constants!$J$16/G119</f>
        <v>19.285035821375402</v>
      </c>
    </row>
    <row r="120" spans="2:8" ht="13.95" customHeight="1">
      <c r="B120" s="1002">
        <v>84</v>
      </c>
      <c r="C120" s="1002"/>
      <c r="D120" s="1004">
        <f t="shared" si="4"/>
        <v>478.09356866497774</v>
      </c>
      <c r="E120" s="1005">
        <f>1000*Constants!$J$16/D120</f>
        <v>18.624320809970069</v>
      </c>
      <c r="F120" s="1002"/>
      <c r="G120" s="1004">
        <f t="shared" si="5"/>
        <v>475.89264121183157</v>
      </c>
      <c r="H120" s="1005">
        <f>1000*Constants!$J$16/G120</f>
        <v>18.710455318926719</v>
      </c>
    </row>
    <row r="121" spans="2:8" ht="13.95" customHeight="1">
      <c r="B121" s="1002">
        <v>85</v>
      </c>
      <c r="C121" s="1002"/>
      <c r="D121" s="1004">
        <f t="shared" si="4"/>
        <v>497.47181103143839</v>
      </c>
      <c r="E121" s="1005">
        <f>1000*Constants!$J$16/D121</f>
        <v>17.898839296117</v>
      </c>
      <c r="F121" s="1002"/>
      <c r="G121" s="1004">
        <f t="shared" si="5"/>
        <v>491.49055919292704</v>
      </c>
      <c r="H121" s="1005">
        <f>1000*Constants!$J$16/G121</f>
        <v>18.116661314149081</v>
      </c>
    </row>
    <row r="122" spans="2:8" ht="13.95" customHeight="1">
      <c r="B122" s="1002">
        <v>86</v>
      </c>
      <c r="C122" s="1002"/>
      <c r="D122" s="1004">
        <f t="shared" si="4"/>
        <v>519.34662029214542</v>
      </c>
      <c r="E122" s="1005">
        <f>1000*Constants!$J$16/D122</f>
        <v>17.144942610758079</v>
      </c>
      <c r="F122" s="1002"/>
      <c r="G122" s="1004">
        <f t="shared" si="5"/>
        <v>508.6914126524768</v>
      </c>
      <c r="H122" s="1005">
        <f>1000*Constants!$J$16/G122</f>
        <v>17.504065880669916</v>
      </c>
    </row>
    <row r="123" spans="2:8" ht="13.95" customHeight="1">
      <c r="B123" s="1002">
        <v>87</v>
      </c>
      <c r="C123" s="1002"/>
      <c r="D123" s="1004">
        <f t="shared" si="4"/>
        <v>544.08055635615312</v>
      </c>
      <c r="E123" s="1005">
        <f>1000*Constants!$J$16/D123</f>
        <v>16.365532449153292</v>
      </c>
      <c r="F123" s="1002"/>
      <c r="G123" s="1004">
        <f t="shared" si="5"/>
        <v>527.70580259913925</v>
      </c>
      <c r="H123" s="1005">
        <f>1000*Constants!$J$16/G123</f>
        <v>16.873356245362089</v>
      </c>
    </row>
    <row r="124" spans="2:8" ht="13.95" customHeight="1">
      <c r="B124" s="1002">
        <v>88</v>
      </c>
      <c r="C124" s="1002"/>
      <c r="D124" s="1004">
        <f t="shared" si="4"/>
        <v>572.100671877791</v>
      </c>
      <c r="E124" s="1005">
        <f>1000*Constants!$J$16/D124</f>
        <v>15.563988014162058</v>
      </c>
      <c r="F124" s="1002"/>
      <c r="G124" s="1004">
        <f t="shared" si="5"/>
        <v>548.77590640242511</v>
      </c>
      <c r="H124" s="1005">
        <f>1000*Constants!$J$16/G124</f>
        <v>16.225508255951834</v>
      </c>
    </row>
    <row r="125" spans="2:8" ht="13.95" customHeight="1">
      <c r="B125" s="1002">
        <v>89</v>
      </c>
      <c r="C125" s="1002"/>
      <c r="D125" s="1004">
        <f t="shared" si="4"/>
        <v>603.91225839831111</v>
      </c>
      <c r="E125" s="1005">
        <f>1000*Constants!$J$16/D125</f>
        <v>14.744141845399078</v>
      </c>
      <c r="F125" s="1002"/>
      <c r="G125" s="1004">
        <f t="shared" si="5"/>
        <v>572.18126496466903</v>
      </c>
      <c r="H125" s="1005">
        <f>1000*Constants!$J$16/G125</f>
        <v>15.561795789573454</v>
      </c>
    </row>
    <row r="126" spans="2:8" ht="13.95" customHeight="1">
      <c r="B126" s="1002">
        <v>90</v>
      </c>
      <c r="C126" s="1002"/>
      <c r="D126" s="1004">
        <f t="shared" si="4"/>
        <v>640.11592963210353</v>
      </c>
      <c r="E126" s="1005">
        <f>1000*Constants!$J$16/D126</f>
        <v>13.910242797921821</v>
      </c>
      <c r="F126" s="1002"/>
      <c r="G126" s="1004">
        <f t="shared" si="5"/>
        <v>598.24579623855789</v>
      </c>
      <c r="H126" s="1005">
        <f>1000*Constants!$J$16/G126</f>
        <v>14.883795349644801</v>
      </c>
    </row>
    <row r="127" spans="2:8" ht="13.95" customHeight="1">
      <c r="B127" s="1002">
        <v>91</v>
      </c>
      <c r="C127" s="1002"/>
      <c r="D127" s="1004">
        <f t="shared" si="4"/>
        <v>681.42895207667289</v>
      </c>
      <c r="E127" s="1005">
        <f>1000*Constants!$J$16/D127</f>
        <v>13.066905908333231</v>
      </c>
      <c r="F127" s="1002"/>
      <c r="G127" s="1004">
        <f t="shared" si="5"/>
        <v>627.34632484659369</v>
      </c>
      <c r="H127" s="1005">
        <f>1000*Constants!$J$16/G127</f>
        <v>14.193385132490183</v>
      </c>
    </row>
    <row r="128" spans="2:8" ht="13.95" customHeight="1">
      <c r="B128" s="1002">
        <v>92</v>
      </c>
      <c r="C128" s="1002"/>
      <c r="D128" s="1004">
        <f t="shared" si="4"/>
        <v>728.71200893195669</v>
      </c>
      <c r="E128" s="1005">
        <f>1000*Constants!$J$16/D128</f>
        <v>12.219049351266317</v>
      </c>
      <c r="F128" s="1002"/>
      <c r="G128" s="1004">
        <f t="shared" si="5"/>
        <v>659.92299391041763</v>
      </c>
      <c r="H128" s="1005">
        <f>1000*Constants!$J$16/G128</f>
        <v>13.492737913612858</v>
      </c>
    </row>
    <row r="129" spans="2:8" ht="13.95" customHeight="1">
      <c r="B129" s="1002">
        <v>93</v>
      </c>
      <c r="C129" s="1002"/>
      <c r="D129" s="1004">
        <f t="shared" si="4"/>
        <v>783.00295085005155</v>
      </c>
      <c r="E129" s="1005">
        <f>1000*Constants!$J$16/D129</f>
        <v>11.371819212601137</v>
      </c>
      <c r="F129" s="1002"/>
      <c r="G129" s="1004">
        <f t="shared" si="5"/>
        <v>696.49202369294539</v>
      </c>
      <c r="H129" s="1005">
        <f>1000*Constants!$J$16/G129</f>
        <v>12.784307209705362</v>
      </c>
    </row>
    <row r="130" spans="2:8" ht="13.95" customHeight="1">
      <c r="B130" s="1002">
        <v>94</v>
      </c>
      <c r="C130" s="1002"/>
      <c r="D130" s="1004">
        <f t="shared" si="4"/>
        <v>845.55957953060886</v>
      </c>
      <c r="E130" s="1005">
        <f>1000*Constants!$J$16/D130</f>
        <v>10.530503367891503</v>
      </c>
      <c r="F130" s="1002"/>
      <c r="G130" s="1004">
        <f t="shared" si="5"/>
        <v>737.66140928863683</v>
      </c>
      <c r="H130" s="1005">
        <f>1000*Constants!$J$16/G130</f>
        <v>12.070806318290023</v>
      </c>
    </row>
    <row r="131" spans="2:8" ht="13.95" customHeight="1">
      <c r="B131" s="1002">
        <v>95</v>
      </c>
      <c r="C131" s="1002"/>
      <c r="D131" s="1004">
        <f t="shared" si="4"/>
        <v>917.91417388519255</v>
      </c>
      <c r="E131" s="1005">
        <f>1000*Constants!$J$16/D131</f>
        <v>9.7004363298062355</v>
      </c>
      <c r="F131" s="1002"/>
      <c r="G131" s="1004">
        <f t="shared" si="5"/>
        <v>784.15031575339924</v>
      </c>
      <c r="H131" s="1005">
        <f>1000*Constants!$J$16/G131</f>
        <v>11.355180022397894</v>
      </c>
    </row>
    <row r="132" spans="2:8" ht="13.95" customHeight="1">
      <c r="B132" s="1002">
        <v>96</v>
      </c>
      <c r="C132" s="1002"/>
      <c r="D132" s="1004">
        <f t="shared" si="4"/>
        <v>1001.9433681949033</v>
      </c>
      <c r="E132" s="1005">
        <f>1000*Constants!$J$16/D132</f>
        <v>8.8868974860741972</v>
      </c>
      <c r="F132" s="1002"/>
      <c r="G132" s="1004">
        <f t="shared" si="5"/>
        <v>836.81314640643745</v>
      </c>
      <c r="H132" s="1005">
        <f>1000*Constants!$J$16/G132</f>
        <v>10.640568970788221</v>
      </c>
    </row>
    <row r="133" spans="2:8" ht="13.95" customHeight="1">
      <c r="B133" s="1002">
        <v>97</v>
      </c>
      <c r="C133" s="1002"/>
      <c r="D133" s="1004">
        <f t="shared" si="4"/>
        <v>1099.9582186614016</v>
      </c>
      <c r="E133" s="1005">
        <f>1000*Constants!$J$16/D133</f>
        <v>8.0950056547020139</v>
      </c>
      <c r="F133" s="1002"/>
      <c r="G133" s="1004">
        <f t="shared" si="5"/>
        <v>896.66954572647978</v>
      </c>
      <c r="H133" s="1005">
        <f>1000*Constants!$J$16/G133</f>
        <v>9.9302670001866318</v>
      </c>
    </row>
    <row r="134" spans="2:8" ht="13.95" customHeight="1">
      <c r="B134" s="1002">
        <v>98</v>
      </c>
      <c r="C134" s="1002"/>
      <c r="D134" s="1004">
        <f t="shared" si="4"/>
        <v>1214.8209784510645</v>
      </c>
      <c r="E134" s="1005">
        <f>1000*Constants!$J$16/D134</f>
        <v>7.3296132993629213</v>
      </c>
      <c r="F134" s="1002"/>
      <c r="G134" s="1004">
        <f t="shared" si="5"/>
        <v>964.94197569721803</v>
      </c>
      <c r="H134" s="1005">
        <f>1000*Constants!$J$16/G134</f>
        <v>9.2276719473896875</v>
      </c>
    </row>
    <row r="135" spans="2:8" ht="13.95" customHeight="1">
      <c r="B135" s="1002">
        <v>99</v>
      </c>
      <c r="C135" s="1002"/>
      <c r="D135" s="1004">
        <f t="shared" si="4"/>
        <v>1350.0974265320258</v>
      </c>
      <c r="E135" s="1005">
        <f>1000*Constants!$J$16/D135</f>
        <v>6.5952040386240842</v>
      </c>
      <c r="F135" s="1002"/>
      <c r="G135" s="1004">
        <f t="shared" si="5"/>
        <v>1043.1030056845443</v>
      </c>
      <c r="H135" s="1005">
        <f>1000*Constants!$J$16/G135</f>
        <v>8.5362307954971062</v>
      </c>
    </row>
    <row r="136" spans="2:8" ht="13.95" customHeight="1">
      <c r="B136" s="1002">
        <v>100</v>
      </c>
      <c r="C136" s="1002"/>
      <c r="D136" s="1004">
        <f t="shared" si="4"/>
        <v>1510.2568278272163</v>
      </c>
      <c r="E136" s="1005">
        <f>1000*Constants!$J$16/D136</f>
        <v>5.8957972153718332</v>
      </c>
      <c r="F136" s="1002"/>
      <c r="G136" s="1004">
        <f t="shared" si="5"/>
        <v>1132.9351251126802</v>
      </c>
      <c r="H136" s="1005">
        <f>1000*Constants!$J$16/G136</f>
        <v>7.8593802969207109</v>
      </c>
    </row>
  </sheetData>
  <customSheetViews>
    <customSheetView guid="{BD5E6263-A0AD-4076-921A-D4EBD62848EF}" showRuler="0">
      <selection activeCell="B24" sqref="B24"/>
      <pageMargins left="0.75" right="0.75" top="1" bottom="1" header="0.5" footer="0.5"/>
      <pageSetup orientation="portrait" r:id="rId1"/>
      <headerFooter alignWithMargins="0"/>
    </customSheetView>
    <customSheetView guid="{1D5AE30A-CA7C-4B32-AEA4-9F37A560AAA8}" showRuler="0">
      <selection activeCell="U33" sqref="U33"/>
      <pageMargins left="0.75" right="0.75" top="1" bottom="1" header="0.5" footer="0.5"/>
      <pageSetup orientation="portrait" r:id="rId2"/>
      <headerFooter alignWithMargins="0"/>
    </customSheetView>
  </customSheetViews>
  <mergeCells count="8">
    <mergeCell ref="B10:J12"/>
    <mergeCell ref="B25:D25"/>
    <mergeCell ref="B4:I7"/>
    <mergeCell ref="D35:E35"/>
    <mergeCell ref="G35:H35"/>
    <mergeCell ref="B24:D24"/>
    <mergeCell ref="B16:J17"/>
    <mergeCell ref="H32:M33"/>
  </mergeCells>
  <phoneticPr fontId="6" type="noConversion"/>
  <pageMargins left="0.75" right="0.75" top="1" bottom="1" header="0.5" footer="0.5"/>
  <pageSetup orientation="portrait" r:id="rId3"/>
  <headerFooter alignWithMargins="0"/>
  <drawing r:id="rId4"/>
</worksheet>
</file>

<file path=xl/worksheets/sheet43.xml><?xml version="1.0" encoding="utf-8"?>
<worksheet xmlns="http://schemas.openxmlformats.org/spreadsheetml/2006/main" xmlns:r="http://schemas.openxmlformats.org/officeDocument/2006/relationships">
  <sheetPr codeName="Sheet32">
    <pageSetUpPr fitToPage="1"/>
  </sheetPr>
  <dimension ref="B2:J139"/>
  <sheetViews>
    <sheetView showGridLines="0" showRuler="0" workbookViewId="0"/>
  </sheetViews>
  <sheetFormatPr defaultRowHeight="13.95" customHeight="1"/>
  <cols>
    <col min="1" max="1" width="2.75" customWidth="1"/>
    <col min="2" max="8" width="9.875" customWidth="1"/>
    <col min="9" max="9" width="16.75" customWidth="1"/>
    <col min="10" max="10" width="15.125" customWidth="1"/>
  </cols>
  <sheetData>
    <row r="2" spans="2:9" ht="13.95" customHeight="1">
      <c r="B2" s="115" t="s">
        <v>2320</v>
      </c>
      <c r="I2" s="181">
        <f>'Title Page'!K1</f>
        <v>40914</v>
      </c>
    </row>
    <row r="4" spans="2:9" ht="13.95" customHeight="1">
      <c r="B4" s="4187" t="s">
        <v>1169</v>
      </c>
      <c r="C4" s="4187"/>
      <c r="D4" s="4187"/>
      <c r="E4" s="4187"/>
      <c r="F4" s="4187"/>
      <c r="G4" s="4187"/>
      <c r="H4" s="4187"/>
      <c r="I4" s="4187"/>
    </row>
    <row r="5" spans="2:9" ht="13.95" customHeight="1">
      <c r="B5" s="4187"/>
      <c r="C5" s="4187"/>
      <c r="D5" s="4187"/>
      <c r="E5" s="4187"/>
      <c r="F5" s="4187"/>
      <c r="G5" s="4187"/>
      <c r="H5" s="4187"/>
      <c r="I5" s="4187"/>
    </row>
    <row r="6" spans="2:9" ht="13.95" customHeight="1">
      <c r="B6" s="281"/>
      <c r="C6" s="281"/>
      <c r="D6" s="281"/>
      <c r="E6" s="281"/>
      <c r="F6" s="281"/>
      <c r="G6" s="281"/>
      <c r="H6" s="281"/>
      <c r="I6" s="281"/>
    </row>
    <row r="7" spans="2:9" ht="13.95" customHeight="1">
      <c r="B7" s="4187" t="s">
        <v>2088</v>
      </c>
      <c r="C7" s="4187"/>
      <c r="D7" s="4187"/>
      <c r="E7" s="4187"/>
      <c r="F7" s="4187"/>
      <c r="G7" s="4187"/>
      <c r="H7" s="4187"/>
      <c r="I7" s="4187"/>
    </row>
    <row r="8" spans="2:9" ht="13.95" customHeight="1">
      <c r="B8" s="4187"/>
      <c r="C8" s="4187"/>
      <c r="D8" s="4187"/>
      <c r="E8" s="4187"/>
      <c r="F8" s="4187"/>
      <c r="G8" s="4187"/>
      <c r="H8" s="4187"/>
      <c r="I8" s="4187"/>
    </row>
    <row r="9" spans="2:9" ht="13.95" customHeight="1">
      <c r="B9" s="45"/>
      <c r="C9" s="45"/>
      <c r="D9" s="45"/>
      <c r="E9" s="45"/>
      <c r="F9" s="45"/>
      <c r="G9" s="45"/>
      <c r="H9" s="45"/>
      <c r="I9" s="45"/>
    </row>
    <row r="10" spans="2:9" ht="13.95" customHeight="1">
      <c r="B10" s="280" t="s">
        <v>2321</v>
      </c>
    </row>
    <row r="12" spans="2:9" ht="13.95" customHeight="1">
      <c r="B12" s="24" t="s">
        <v>2022</v>
      </c>
    </row>
    <row r="14" spans="2:9" ht="13.95" customHeight="1">
      <c r="B14" s="308" t="s">
        <v>769</v>
      </c>
    </row>
    <row r="15" spans="2:9" ht="13.95" customHeight="1">
      <c r="B15" s="281"/>
    </row>
    <row r="16" spans="2:9" ht="13.95" customHeight="1">
      <c r="B16" s="280" t="s">
        <v>2375</v>
      </c>
      <c r="I16" s="211">
        <v>0.19</v>
      </c>
    </row>
    <row r="17" spans="2:9" ht="13.95" customHeight="1">
      <c r="B17" s="4817" t="s">
        <v>965</v>
      </c>
      <c r="C17" s="4184"/>
      <c r="D17" s="4184"/>
      <c r="E17" s="4184"/>
      <c r="F17" s="4184"/>
      <c r="G17" s="4184"/>
      <c r="H17" s="4184"/>
      <c r="I17" s="4184"/>
    </row>
    <row r="18" spans="2:9" ht="13.95" customHeight="1">
      <c r="B18" s="4184"/>
      <c r="C18" s="4184"/>
      <c r="D18" s="4184"/>
      <c r="E18" s="4184"/>
      <c r="F18" s="4184"/>
      <c r="G18" s="4184"/>
      <c r="H18" s="4184"/>
      <c r="I18" s="4184"/>
    </row>
    <row r="19" spans="2:9" ht="13.95" customHeight="1">
      <c r="B19" s="4184"/>
      <c r="C19" s="4184"/>
      <c r="D19" s="4184"/>
      <c r="E19" s="4184"/>
      <c r="F19" s="4184"/>
      <c r="G19" s="4184"/>
      <c r="H19" s="4184"/>
      <c r="I19" s="4184"/>
    </row>
    <row r="21" spans="2:9" ht="13.95" customHeight="1">
      <c r="B21" s="281" t="s">
        <v>1375</v>
      </c>
      <c r="I21" s="247">
        <v>2022500000</v>
      </c>
    </row>
    <row r="22" spans="2:9" ht="13.95" customHeight="1">
      <c r="B22" s="4218" t="s">
        <v>2376</v>
      </c>
      <c r="C22" s="4218"/>
      <c r="D22" s="4218"/>
      <c r="E22" s="4218"/>
      <c r="F22" s="4218"/>
      <c r="G22" s="4218"/>
      <c r="H22" s="4218"/>
      <c r="I22" s="4218"/>
    </row>
    <row r="23" spans="2:9" ht="13.95" customHeight="1">
      <c r="B23" s="4218"/>
      <c r="C23" s="4218"/>
      <c r="D23" s="4218"/>
      <c r="E23" s="4218"/>
      <c r="F23" s="4218"/>
      <c r="G23" s="4218"/>
      <c r="H23" s="4218"/>
      <c r="I23" s="4218"/>
    </row>
    <row r="24" spans="2:9" ht="13.95" customHeight="1">
      <c r="B24" s="7"/>
      <c r="C24" s="7"/>
      <c r="D24" s="7"/>
      <c r="E24" s="7"/>
      <c r="F24" s="7"/>
      <c r="G24" s="7"/>
      <c r="H24" s="7"/>
      <c r="I24" s="7"/>
    </row>
    <row r="25" spans="2:9" ht="13.95" customHeight="1">
      <c r="B25" s="308" t="s">
        <v>76</v>
      </c>
      <c r="C25" s="6"/>
      <c r="D25" s="6"/>
      <c r="E25" s="6"/>
      <c r="F25" s="6"/>
      <c r="G25" s="6"/>
      <c r="H25" s="6"/>
      <c r="I25" s="330">
        <f>ROUND(I16*I21,-6)</f>
        <v>384000000</v>
      </c>
    </row>
    <row r="26" spans="2:9" ht="13.95" customHeight="1">
      <c r="I26" s="26"/>
    </row>
    <row r="27" spans="2:9" ht="13.95" customHeight="1">
      <c r="B27" s="6" t="s">
        <v>770</v>
      </c>
      <c r="I27" s="26"/>
    </row>
    <row r="29" spans="2:9" ht="13.95" customHeight="1">
      <c r="B29" s="281" t="s">
        <v>406</v>
      </c>
      <c r="I29" s="221">
        <v>3834</v>
      </c>
    </row>
    <row r="30" spans="2:9" ht="13.95" customHeight="1">
      <c r="B30" s="281" t="s">
        <v>407</v>
      </c>
      <c r="I30" s="221">
        <v>463</v>
      </c>
    </row>
    <row r="31" spans="2:9" ht="13.95" customHeight="1">
      <c r="B31" s="4218" t="s">
        <v>761</v>
      </c>
      <c r="C31" s="4184"/>
      <c r="D31" s="4184"/>
      <c r="E31" s="4184"/>
      <c r="F31" s="4184"/>
      <c r="G31" s="4184"/>
      <c r="H31" s="4184"/>
      <c r="I31" s="4184"/>
    </row>
    <row r="32" spans="2:9" ht="13.95" customHeight="1">
      <c r="B32" s="4184"/>
      <c r="C32" s="4184"/>
      <c r="D32" s="4184"/>
      <c r="E32" s="4184"/>
      <c r="F32" s="4184"/>
      <c r="G32" s="4184"/>
      <c r="H32" s="4184"/>
      <c r="I32" s="4184"/>
    </row>
    <row r="33" spans="2:9" ht="13.95" customHeight="1">
      <c r="B33" s="4184"/>
      <c r="C33" s="4184"/>
      <c r="D33" s="4184"/>
      <c r="E33" s="4184"/>
      <c r="F33" s="4184"/>
      <c r="G33" s="4184"/>
      <c r="H33" s="4184"/>
      <c r="I33" s="4184"/>
    </row>
    <row r="35" spans="2:9" ht="13.95" customHeight="1">
      <c r="B35" s="281" t="s">
        <v>408</v>
      </c>
      <c r="I35" s="220">
        <v>468</v>
      </c>
    </row>
    <row r="36" spans="2:9" ht="13.95" customHeight="1">
      <c r="B36" s="215" t="s">
        <v>1335</v>
      </c>
    </row>
    <row r="37" spans="2:9" ht="13.95" customHeight="1">
      <c r="B37" s="281"/>
    </row>
    <row r="38" spans="2:9" ht="13.95" customHeight="1">
      <c r="B38" s="281" t="s">
        <v>1618</v>
      </c>
      <c r="I38" s="220">
        <f>I35/I30*I29</f>
        <v>3875.4038876889849</v>
      </c>
    </row>
    <row r="39" spans="2:9" ht="13.95" customHeight="1">
      <c r="B39" s="281"/>
    </row>
    <row r="40" spans="2:9" ht="13.95" customHeight="1">
      <c r="B40" s="281" t="s">
        <v>77</v>
      </c>
      <c r="I40" s="247">
        <v>4829600000</v>
      </c>
    </row>
    <row r="41" spans="2:9" ht="13.95" customHeight="1">
      <c r="B41" s="4218" t="s">
        <v>64</v>
      </c>
      <c r="C41" s="4218"/>
      <c r="D41" s="4218"/>
      <c r="E41" s="4218"/>
      <c r="F41" s="4218"/>
      <c r="G41" s="4218"/>
      <c r="H41" s="4218"/>
      <c r="I41" s="4218"/>
    </row>
    <row r="42" spans="2:9" ht="13.95" customHeight="1">
      <c r="B42" s="4218"/>
      <c r="C42" s="4218"/>
      <c r="D42" s="4218"/>
      <c r="E42" s="4218"/>
      <c r="F42" s="4218"/>
      <c r="G42" s="4218"/>
      <c r="H42" s="4218"/>
      <c r="I42" s="4218"/>
    </row>
    <row r="43" spans="2:9" ht="13.95" customHeight="1">
      <c r="B43" s="119"/>
      <c r="C43" s="119"/>
      <c r="D43" s="119"/>
      <c r="E43" s="119"/>
      <c r="F43" s="119"/>
      <c r="G43" s="119"/>
      <c r="H43" s="119"/>
      <c r="I43" s="119"/>
    </row>
    <row r="44" spans="2:9" ht="13.95" customHeight="1">
      <c r="B44" s="281" t="s">
        <v>1619</v>
      </c>
      <c r="I44" s="220">
        <v>49069</v>
      </c>
    </row>
    <row r="45" spans="2:9" ht="13.95" customHeight="1">
      <c r="B45" s="4218" t="s">
        <v>371</v>
      </c>
      <c r="C45" s="4218"/>
      <c r="D45" s="4218"/>
      <c r="E45" s="4218"/>
      <c r="F45" s="4218"/>
      <c r="G45" s="4218"/>
      <c r="H45" s="4218"/>
      <c r="I45" s="4218"/>
    </row>
    <row r="46" spans="2:9" ht="13.95" customHeight="1">
      <c r="B46" s="4218"/>
      <c r="C46" s="4218"/>
      <c r="D46" s="4218"/>
      <c r="E46" s="4218"/>
      <c r="F46" s="4218"/>
      <c r="G46" s="4218"/>
      <c r="H46" s="4218"/>
      <c r="I46" s="4218"/>
    </row>
    <row r="47" spans="2:9" ht="13.95" customHeight="1">
      <c r="B47" s="119"/>
      <c r="C47" s="119"/>
      <c r="D47" s="119"/>
      <c r="E47" s="119"/>
      <c r="F47" s="119"/>
      <c r="G47" s="119"/>
      <c r="H47" s="119"/>
      <c r="I47" s="119"/>
    </row>
    <row r="48" spans="2:9" ht="13.95" customHeight="1">
      <c r="B48" s="281" t="s">
        <v>1620</v>
      </c>
      <c r="I48" s="247">
        <f>ROUND(I40/I44,-2)</f>
        <v>98400</v>
      </c>
    </row>
    <row r="50" spans="2:9" ht="13.95" customHeight="1">
      <c r="B50" s="308" t="s">
        <v>1621</v>
      </c>
      <c r="C50" s="6"/>
      <c r="D50" s="6"/>
      <c r="E50" s="6"/>
      <c r="F50" s="6"/>
      <c r="G50" s="6"/>
      <c r="H50" s="6"/>
      <c r="I50" s="330">
        <f>ROUND(I48*I38,-6)</f>
        <v>381000000</v>
      </c>
    </row>
    <row r="51" spans="2:9" ht="13.95" customHeight="1">
      <c r="B51" s="281"/>
    </row>
    <row r="52" spans="2:9" ht="13.95" customHeight="1">
      <c r="B52" s="172" t="s">
        <v>115</v>
      </c>
    </row>
    <row r="53" spans="2:9" ht="13.95" customHeight="1">
      <c r="B53" s="6"/>
    </row>
    <row r="54" spans="2:9" ht="13.95" customHeight="1">
      <c r="B54" s="4187" t="s">
        <v>1508</v>
      </c>
      <c r="C54" s="4187"/>
      <c r="D54" s="4187"/>
      <c r="E54" s="4187"/>
      <c r="F54" s="4187"/>
      <c r="G54" s="4187"/>
      <c r="H54" s="4187"/>
      <c r="I54" s="4187"/>
    </row>
    <row r="55" spans="2:9" ht="13.95" customHeight="1">
      <c r="B55" s="4187"/>
      <c r="C55" s="4187"/>
      <c r="D55" s="4187"/>
      <c r="E55" s="4187"/>
      <c r="F55" s="4187"/>
      <c r="G55" s="4187"/>
      <c r="H55" s="4187"/>
      <c r="I55" s="4187"/>
    </row>
    <row r="56" spans="2:9" ht="13.95" customHeight="1">
      <c r="B56" s="4187"/>
      <c r="C56" s="4187"/>
      <c r="D56" s="4187"/>
      <c r="E56" s="4187"/>
      <c r="F56" s="4187"/>
      <c r="G56" s="4187"/>
      <c r="H56" s="4187"/>
      <c r="I56" s="4187"/>
    </row>
    <row r="57" spans="2:9" ht="13.95" customHeight="1">
      <c r="B57" s="281"/>
    </row>
    <row r="58" spans="2:9" ht="13.95" customHeight="1">
      <c r="B58" s="281" t="s">
        <v>1622</v>
      </c>
      <c r="I58" s="211">
        <v>0.15</v>
      </c>
    </row>
    <row r="59" spans="2:9" ht="13.95" customHeight="1">
      <c r="B59" s="4218" t="s">
        <v>1598</v>
      </c>
      <c r="C59" s="4184"/>
      <c r="D59" s="4184"/>
      <c r="E59" s="4184"/>
      <c r="F59" s="4184"/>
      <c r="G59" s="4184"/>
      <c r="H59" s="4184"/>
      <c r="I59" s="4184"/>
    </row>
    <row r="60" spans="2:9" ht="13.95" customHeight="1">
      <c r="B60" s="4184"/>
      <c r="C60" s="4184"/>
      <c r="D60" s="4184"/>
      <c r="E60" s="4184"/>
      <c r="F60" s="4184"/>
      <c r="G60" s="4184"/>
      <c r="H60" s="4184"/>
      <c r="I60" s="4184"/>
    </row>
    <row r="62" spans="2:9" ht="13.95" customHeight="1">
      <c r="B62" s="308" t="s">
        <v>1041</v>
      </c>
    </row>
    <row r="64" spans="2:9" ht="13.95" customHeight="1">
      <c r="B64" s="281" t="s">
        <v>1429</v>
      </c>
    </row>
    <row r="65" spans="2:9" ht="13.95" customHeight="1">
      <c r="B65" s="281" t="s">
        <v>1042</v>
      </c>
      <c r="I65" s="226">
        <v>15.46</v>
      </c>
    </row>
    <row r="66" spans="2:9" ht="13.95" customHeight="1">
      <c r="B66" s="281" t="s">
        <v>1043</v>
      </c>
      <c r="I66" s="226">
        <v>21.642499999999998</v>
      </c>
    </row>
    <row r="67" spans="2:9" ht="13.95" customHeight="1">
      <c r="B67" s="4218" t="s">
        <v>2400</v>
      </c>
      <c r="C67" s="4184"/>
      <c r="D67" s="4184"/>
      <c r="E67" s="4184"/>
      <c r="F67" s="4184"/>
      <c r="G67" s="4184"/>
      <c r="H67" s="4184"/>
      <c r="I67" s="4184"/>
    </row>
    <row r="68" spans="2:9" ht="13.95" customHeight="1">
      <c r="B68" s="4184"/>
      <c r="C68" s="4184"/>
      <c r="D68" s="4184"/>
      <c r="E68" s="4184"/>
      <c r="F68" s="4184"/>
      <c r="G68" s="4184"/>
      <c r="H68" s="4184"/>
      <c r="I68" s="4184"/>
    </row>
    <row r="70" spans="2:9" ht="13.95" customHeight="1">
      <c r="B70" s="281" t="s">
        <v>2401</v>
      </c>
      <c r="I70" s="331">
        <f>208.3/185.2</f>
        <v>1.1247300215982723</v>
      </c>
    </row>
    <row r="71" spans="2:9" ht="13.95" customHeight="1">
      <c r="B71" s="215" t="s">
        <v>1409</v>
      </c>
    </row>
    <row r="73" spans="2:9" ht="13.95" customHeight="1">
      <c r="B73" s="281" t="s">
        <v>1895</v>
      </c>
      <c r="I73" s="226">
        <f>(3*I66+1*I65)/4*I70</f>
        <v>22.603558652807774</v>
      </c>
    </row>
    <row r="75" spans="2:9" ht="13.95" customHeight="1">
      <c r="B75" s="281" t="s">
        <v>55</v>
      </c>
    </row>
    <row r="76" spans="2:9" ht="13.95" customHeight="1">
      <c r="B76" s="281" t="s">
        <v>1531</v>
      </c>
      <c r="I76" s="310">
        <f>I40</f>
        <v>4829600000</v>
      </c>
    </row>
    <row r="77" spans="2:9" ht="13.95" customHeight="1">
      <c r="B77" s="281" t="s">
        <v>325</v>
      </c>
      <c r="I77" s="310">
        <v>2979300000</v>
      </c>
    </row>
    <row r="78" spans="2:9" ht="13.95" customHeight="1">
      <c r="B78" s="281" t="s">
        <v>326</v>
      </c>
      <c r="I78" s="310">
        <v>328600000</v>
      </c>
    </row>
    <row r="79" spans="2:9" ht="13.95" customHeight="1">
      <c r="B79" s="281" t="s">
        <v>2120</v>
      </c>
      <c r="I79" s="310">
        <f>I77+I78</f>
        <v>3307900000</v>
      </c>
    </row>
    <row r="80" spans="2:9" ht="13.95" customHeight="1">
      <c r="B80" s="281" t="s">
        <v>74</v>
      </c>
      <c r="I80" s="248">
        <f>I79/I77</f>
        <v>1.1102943644480248</v>
      </c>
    </row>
    <row r="81" spans="2:9" ht="13.95" customHeight="1">
      <c r="B81" s="281" t="s">
        <v>75</v>
      </c>
      <c r="I81" s="310">
        <v>1521700000</v>
      </c>
    </row>
    <row r="82" spans="2:9" ht="13.95" customHeight="1">
      <c r="B82" s="214" t="s">
        <v>1859</v>
      </c>
      <c r="I82" s="248">
        <f>I76/I77</f>
        <v>1.6210519249488136</v>
      </c>
    </row>
    <row r="83" spans="2:9" ht="13.95" customHeight="1">
      <c r="B83" s="214" t="s">
        <v>251</v>
      </c>
      <c r="I83" s="248">
        <f>I76/I79</f>
        <v>1.4600199522355573</v>
      </c>
    </row>
    <row r="85" spans="2:9" ht="13.95" customHeight="1">
      <c r="B85" s="281" t="s">
        <v>1862</v>
      </c>
      <c r="I85" s="226">
        <f>I73*I82</f>
        <v>36.64154226482745</v>
      </c>
    </row>
    <row r="86" spans="2:9" ht="13.95" customHeight="1">
      <c r="B86" s="265" t="s">
        <v>2485</v>
      </c>
    </row>
    <row r="87" spans="2:9" ht="13.95" customHeight="1">
      <c r="B87" s="265"/>
    </row>
    <row r="88" spans="2:9" ht="13.95" customHeight="1">
      <c r="B88" s="312" t="s">
        <v>1611</v>
      </c>
      <c r="I88" s="220">
        <f>50*40</f>
        <v>2000</v>
      </c>
    </row>
    <row r="89" spans="2:9" ht="13.95" customHeight="1">
      <c r="B89" s="265"/>
    </row>
    <row r="90" spans="2:9" ht="13.95" customHeight="1">
      <c r="B90" s="281" t="s">
        <v>1410</v>
      </c>
      <c r="I90" s="247">
        <f>ROUND(I85*I88,-3)</f>
        <v>73000</v>
      </c>
    </row>
    <row r="91" spans="2:9" ht="13.95" customHeight="1">
      <c r="B91" s="265"/>
    </row>
    <row r="92" spans="2:9" ht="13.95" customHeight="1">
      <c r="B92" s="308" t="s">
        <v>1851</v>
      </c>
    </row>
    <row r="93" spans="2:9" ht="13.95" customHeight="1">
      <c r="B93" s="312" t="s">
        <v>1411</v>
      </c>
      <c r="C93" s="1"/>
      <c r="D93" s="1"/>
      <c r="E93" s="1"/>
      <c r="F93" s="1"/>
      <c r="G93" s="1"/>
      <c r="H93" s="1"/>
      <c r="I93" s="247">
        <v>46363</v>
      </c>
    </row>
    <row r="94" spans="2:9" ht="13.95" customHeight="1">
      <c r="B94" s="215" t="s">
        <v>262</v>
      </c>
    </row>
    <row r="95" spans="2:9" ht="13.95" customHeight="1">
      <c r="B95" s="312" t="s">
        <v>1729</v>
      </c>
      <c r="I95" s="331">
        <f>208.3/195.4</f>
        <v>1.0660184237461618</v>
      </c>
    </row>
    <row r="96" spans="2:9" ht="13.95" customHeight="1">
      <c r="B96" s="312" t="s">
        <v>1730</v>
      </c>
      <c r="I96" s="247">
        <f>I93*I95</f>
        <v>49423.812180143301</v>
      </c>
    </row>
    <row r="97" spans="2:9" ht="13.95" customHeight="1">
      <c r="B97" s="312" t="s">
        <v>832</v>
      </c>
      <c r="I97" s="248">
        <f>I83</f>
        <v>1.4600199522355573</v>
      </c>
    </row>
    <row r="98" spans="2:9" ht="13.95" customHeight="1">
      <c r="B98" s="312" t="s">
        <v>1922</v>
      </c>
      <c r="I98" s="247">
        <f>ROUND(I96*I97,-3)</f>
        <v>72000</v>
      </c>
    </row>
    <row r="100" spans="2:9" ht="13.95" customHeight="1">
      <c r="B100" s="308" t="s">
        <v>1861</v>
      </c>
    </row>
    <row r="101" spans="2:9" ht="13.95" customHeight="1">
      <c r="B101" s="281"/>
    </row>
    <row r="102" spans="2:9" ht="13.95" customHeight="1">
      <c r="B102" s="281" t="s">
        <v>271</v>
      </c>
      <c r="I102" s="333">
        <f>I38*(1-I58)</f>
        <v>3294.0933045356369</v>
      </c>
    </row>
    <row r="103" spans="2:9" ht="13.95" customHeight="1">
      <c r="B103" s="281" t="s">
        <v>1612</v>
      </c>
      <c r="I103" s="334">
        <f>AVERAGE(I98,I90)</f>
        <v>72500</v>
      </c>
    </row>
    <row r="104" spans="2:9" ht="13.95" customHeight="1">
      <c r="B104" s="281" t="s">
        <v>861</v>
      </c>
      <c r="I104" s="335">
        <f>I102*I103</f>
        <v>238821764.57883367</v>
      </c>
    </row>
    <row r="105" spans="2:9" ht="13.95" customHeight="1">
      <c r="B105" s="308" t="s">
        <v>2444</v>
      </c>
      <c r="C105" s="6"/>
      <c r="D105" s="6"/>
      <c r="E105" s="6"/>
      <c r="F105" s="6"/>
      <c r="G105" s="6"/>
      <c r="H105" s="6"/>
      <c r="I105" s="336">
        <f>ROUND(I104,-6)</f>
        <v>239000000</v>
      </c>
    </row>
    <row r="107" spans="2:9" ht="13.95" customHeight="1">
      <c r="B107" s="6" t="s">
        <v>1360</v>
      </c>
    </row>
    <row r="109" spans="2:9" ht="13.95" customHeight="1">
      <c r="B109" s="280" t="s">
        <v>919</v>
      </c>
      <c r="I109" s="211">
        <v>0.5</v>
      </c>
    </row>
    <row r="110" spans="2:9" ht="13.95" customHeight="1">
      <c r="B110" s="4218" t="s">
        <v>918</v>
      </c>
      <c r="C110" s="4184"/>
      <c r="D110" s="4184"/>
      <c r="E110" s="4184"/>
      <c r="F110" s="4184"/>
      <c r="G110" s="4184"/>
      <c r="H110" s="4184"/>
      <c r="I110" s="4184"/>
    </row>
    <row r="111" spans="2:9" ht="13.95" customHeight="1">
      <c r="B111" s="4184"/>
      <c r="C111" s="4184"/>
      <c r="D111" s="4184"/>
      <c r="E111" s="4184"/>
      <c r="F111" s="4184"/>
      <c r="G111" s="4184"/>
      <c r="H111" s="4184"/>
      <c r="I111" s="4184"/>
    </row>
    <row r="113" spans="2:10" ht="13.95" customHeight="1">
      <c r="B113" s="308" t="s">
        <v>719</v>
      </c>
      <c r="J113" s="336">
        <f ca="1">ROUND(IF(Revenues!G21=0,I109*I105,0),-6)</f>
        <v>0</v>
      </c>
    </row>
    <row r="114" spans="2:10" ht="13.95" customHeight="1">
      <c r="B114" s="215" t="s">
        <v>597</v>
      </c>
      <c r="J114" s="218"/>
    </row>
    <row r="115" spans="2:10" ht="13.95" customHeight="1">
      <c r="J115" s="218"/>
    </row>
    <row r="116" spans="2:10" ht="13.95" customHeight="1">
      <c r="B116" s="24" t="s">
        <v>2863</v>
      </c>
      <c r="J116" s="218"/>
    </row>
    <row r="117" spans="2:10" ht="13.95" customHeight="1">
      <c r="J117" s="218"/>
    </row>
    <row r="118" spans="2:10" ht="13.95" customHeight="1">
      <c r="B118" s="308" t="s">
        <v>598</v>
      </c>
      <c r="I118" s="247">
        <v>20000000</v>
      </c>
      <c r="J118" s="218"/>
    </row>
    <row r="119" spans="2:10" ht="13.95" customHeight="1">
      <c r="B119" s="215" t="s">
        <v>1926</v>
      </c>
      <c r="J119" s="218"/>
    </row>
    <row r="120" spans="2:10" ht="13.95" customHeight="1">
      <c r="B120" s="308" t="s">
        <v>2026</v>
      </c>
      <c r="J120" s="336">
        <f ca="1">IF(Revenues!G21=0,I118,0)</f>
        <v>0</v>
      </c>
    </row>
    <row r="121" spans="2:10" ht="13.95" customHeight="1">
      <c r="B121" s="7"/>
      <c r="J121" s="218"/>
    </row>
    <row r="122" spans="2:10" ht="13.95" customHeight="1">
      <c r="B122" s="308" t="s">
        <v>1577</v>
      </c>
      <c r="C122" s="6"/>
      <c r="D122" s="6"/>
      <c r="E122" s="6"/>
      <c r="F122" s="6"/>
      <c r="G122" s="6"/>
      <c r="H122" s="6"/>
      <c r="I122" s="330">
        <f>ROUND(I127*I128,-6)</f>
        <v>29000000</v>
      </c>
      <c r="J122" s="218"/>
    </row>
    <row r="123" spans="2:10" ht="13.95" customHeight="1">
      <c r="B123" s="281" t="s">
        <v>806</v>
      </c>
      <c r="I123" s="337">
        <v>4518</v>
      </c>
      <c r="J123" s="218"/>
    </row>
    <row r="124" spans="2:10" ht="13.95" customHeight="1">
      <c r="B124" s="214" t="s">
        <v>1105</v>
      </c>
      <c r="I124" s="155"/>
      <c r="J124" s="218"/>
    </row>
    <row r="125" spans="2:10" ht="13.95" customHeight="1">
      <c r="B125" s="281" t="s">
        <v>1745</v>
      </c>
      <c r="I125" s="339">
        <v>1250</v>
      </c>
      <c r="J125" s="218"/>
    </row>
    <row r="126" spans="2:10" ht="13.95" customHeight="1">
      <c r="B126" s="215" t="s">
        <v>1744</v>
      </c>
      <c r="I126" s="183"/>
      <c r="J126" s="218"/>
    </row>
    <row r="127" spans="2:10" ht="13.95" customHeight="1">
      <c r="B127" s="312" t="s">
        <v>807</v>
      </c>
      <c r="I127" s="337">
        <f>I123+I125</f>
        <v>5768</v>
      </c>
      <c r="J127" s="218"/>
    </row>
    <row r="128" spans="2:10" ht="13.95" customHeight="1">
      <c r="B128" s="316" t="s">
        <v>1756</v>
      </c>
      <c r="I128" s="338">
        <v>5000</v>
      </c>
      <c r="J128" s="218"/>
    </row>
    <row r="129" spans="2:10" ht="13.95" customHeight="1">
      <c r="B129" s="308" t="s">
        <v>2679</v>
      </c>
      <c r="J129" s="336">
        <f ca="1">IF(Revenues!J21=0,I122,0)</f>
        <v>0</v>
      </c>
    </row>
    <row r="130" spans="2:10" ht="13.95" customHeight="1">
      <c r="B130" s="7"/>
      <c r="I130" s="183"/>
      <c r="J130" s="218"/>
    </row>
    <row r="131" spans="2:10" ht="13.95" customHeight="1">
      <c r="B131" s="508" t="s">
        <v>1578</v>
      </c>
      <c r="I131" s="330">
        <v>5000000</v>
      </c>
      <c r="J131" s="218"/>
    </row>
    <row r="132" spans="2:10" ht="13.95" customHeight="1">
      <c r="B132" s="314" t="s">
        <v>495</v>
      </c>
      <c r="I132" s="183"/>
      <c r="J132" s="218"/>
    </row>
    <row r="133" spans="2:10" ht="13.95" customHeight="1">
      <c r="B133" s="213" t="s">
        <v>657</v>
      </c>
      <c r="C133" s="6"/>
      <c r="D133" s="6"/>
      <c r="E133" s="6"/>
      <c r="F133" s="6"/>
      <c r="G133" s="6"/>
      <c r="H133" s="6"/>
      <c r="J133" s="336">
        <f ca="1">IF(Revenues!G21=0,I131,0)</f>
        <v>0</v>
      </c>
    </row>
    <row r="134" spans="2:10" ht="13.95" customHeight="1">
      <c r="B134" s="314" t="s">
        <v>597</v>
      </c>
      <c r="I134" s="183"/>
      <c r="J134" s="218"/>
    </row>
    <row r="135" spans="2:10" ht="13.95" customHeight="1">
      <c r="B135" s="7"/>
      <c r="I135" s="183"/>
      <c r="J135" s="218"/>
    </row>
    <row r="136" spans="2:10" ht="13.95" customHeight="1">
      <c r="B136" s="24" t="s">
        <v>2025</v>
      </c>
      <c r="J136" s="336">
        <f ca="1">J113+J120+J129+J133</f>
        <v>0</v>
      </c>
    </row>
    <row r="138" spans="2:10" ht="13.95" customHeight="1">
      <c r="B138" s="24" t="s">
        <v>1721</v>
      </c>
      <c r="J138" s="749">
        <f>IF('User Inputs'!I135=0,J129,0)+IF(Subways!X159&lt;=0.02,J120+J113,0)+IF(AND('User Inputs'!I135=0,Subways!X159&lt;=0.02),J133,0)</f>
        <v>0</v>
      </c>
    </row>
    <row r="139" spans="2:10" ht="13.95" customHeight="1">
      <c r="B139" s="314" t="s">
        <v>2674</v>
      </c>
    </row>
  </sheetData>
  <customSheetViews>
    <customSheetView guid="{BD5E6263-A0AD-4076-921A-D4EBD62848EF}" showPageBreaks="1" showGridLines="0" fitToPage="1" printArea="1" showRuler="0" topLeftCell="A34">
      <selection activeCell="B59" sqref="B59:I60"/>
      <pageMargins left="0.5" right="0.51" top="0.5" bottom="0.5" header="0.25" footer="0.25"/>
      <pageSetup scale="92" fitToHeight="2" orientation="portrait" r:id="rId1"/>
      <headerFooter alignWithMargins="0"/>
    </customSheetView>
    <customSheetView guid="{1D5AE30A-CA7C-4B32-AEA4-9F37A560AAA8}" showPageBreaks="1" showGridLines="0" fitToPage="1" printArea="1" showRuler="0" topLeftCell="A34">
      <selection activeCell="B59" sqref="B59:I60"/>
      <pageMargins left="0.5" right="0.51" top="0.5" bottom="0.5" header="0.25" footer="0.25"/>
      <pageSetup scale="93" fitToHeight="2" orientation="portrait" r:id="rId2"/>
      <headerFooter alignWithMargins="0"/>
    </customSheetView>
  </customSheetViews>
  <mergeCells count="11">
    <mergeCell ref="B110:I111"/>
    <mergeCell ref="B41:I42"/>
    <mergeCell ref="B45:I46"/>
    <mergeCell ref="B54:I56"/>
    <mergeCell ref="B4:I5"/>
    <mergeCell ref="B17:I19"/>
    <mergeCell ref="B7:I8"/>
    <mergeCell ref="B31:I33"/>
    <mergeCell ref="B67:I68"/>
    <mergeCell ref="B59:I60"/>
    <mergeCell ref="B22:I23"/>
  </mergeCells>
  <phoneticPr fontId="6" type="noConversion"/>
  <hyperlinks>
    <hyperlink ref="B41" r:id="rId3" display="http://mta.info/mta/budget/nov2007/part6.pdf, first text page (under &quot;Financial Overview&quot;)"/>
  </hyperlinks>
  <pageMargins left="0.5" right="0.51" top="0.5" bottom="0.5" header="0.25" footer="0.25"/>
  <pageSetup scale="94" fitToHeight="2" orientation="portrait" r:id="rId4"/>
  <headerFooter alignWithMargins="0"/>
</worksheet>
</file>

<file path=xl/worksheets/sheet44.xml><?xml version="1.0" encoding="utf-8"?>
<worksheet xmlns="http://schemas.openxmlformats.org/spreadsheetml/2006/main" xmlns:r="http://schemas.openxmlformats.org/officeDocument/2006/relationships">
  <sheetPr codeName="Sheet33"/>
  <dimension ref="B2:AF1071"/>
  <sheetViews>
    <sheetView showGridLines="0" showRuler="0" workbookViewId="0"/>
  </sheetViews>
  <sheetFormatPr defaultColWidth="9" defaultRowHeight="11.4"/>
  <cols>
    <col min="1" max="1" width="2.75" style="1" customWidth="1"/>
    <col min="2" max="2" width="17.875" style="1" customWidth="1"/>
    <col min="3" max="7" width="10.375" style="1" customWidth="1"/>
    <col min="8" max="8" width="1.875" style="1" customWidth="1"/>
    <col min="9" max="13" width="10.375" style="1" customWidth="1"/>
    <col min="14" max="15" width="11.125" style="1" customWidth="1"/>
    <col min="16" max="16384" width="9" style="1"/>
  </cols>
  <sheetData>
    <row r="2" spans="2:32" ht="13.8">
      <c r="B2" s="115" t="s">
        <v>256</v>
      </c>
      <c r="I2" s="181">
        <f>'Title Page'!K1</f>
        <v>40914</v>
      </c>
    </row>
    <row r="4" spans="2:32" ht="13.35" customHeight="1">
      <c r="B4" s="5103" t="s">
        <v>1541</v>
      </c>
      <c r="C4" s="5017"/>
      <c r="D4" s="5017"/>
      <c r="E4" s="5017"/>
      <c r="F4" s="5017"/>
      <c r="G4" s="5017"/>
      <c r="H4" s="5017"/>
      <c r="I4" s="5017"/>
      <c r="J4" s="5017"/>
      <c r="K4" s="5017"/>
      <c r="L4" s="5017"/>
      <c r="M4" s="5017"/>
    </row>
    <row r="5" spans="2:32" ht="13.35" customHeight="1">
      <c r="B5" s="5017"/>
      <c r="C5" s="5017"/>
      <c r="D5" s="5017"/>
      <c r="E5" s="5017"/>
      <c r="F5" s="5017"/>
      <c r="G5" s="5017"/>
      <c r="H5" s="5017"/>
      <c r="I5" s="5017"/>
      <c r="J5" s="5017"/>
      <c r="K5" s="5017"/>
      <c r="L5" s="5017"/>
      <c r="M5" s="5017"/>
      <c r="N5" s="6"/>
      <c r="O5" s="6"/>
    </row>
    <row r="6" spans="2:32" ht="13.35" customHeight="1">
      <c r="B6" s="5017"/>
      <c r="C6" s="5017"/>
      <c r="D6" s="5017"/>
      <c r="E6" s="5017"/>
      <c r="F6" s="5017"/>
      <c r="G6" s="5017"/>
      <c r="H6" s="5017"/>
      <c r="I6" s="5017"/>
      <c r="J6" s="5017"/>
      <c r="K6" s="5017"/>
      <c r="L6" s="5017"/>
      <c r="M6" s="5017"/>
      <c r="O6" s="6"/>
    </row>
    <row r="7" spans="2:32" ht="13.35" customHeight="1">
      <c r="B7" s="5017"/>
      <c r="C7" s="5017"/>
      <c r="D7" s="5017"/>
      <c r="E7" s="5017"/>
      <c r="F7" s="5017"/>
      <c r="G7" s="5017"/>
      <c r="H7" s="5017"/>
      <c r="I7" s="5017"/>
      <c r="J7" s="5017"/>
      <c r="K7" s="5017"/>
      <c r="L7" s="5017"/>
      <c r="M7" s="5017"/>
      <c r="N7" s="159" t="s">
        <v>257</v>
      </c>
      <c r="O7" s="159" t="s">
        <v>257</v>
      </c>
    </row>
    <row r="8" spans="2:32" ht="12">
      <c r="B8" s="130"/>
      <c r="C8" s="130"/>
      <c r="D8" s="130"/>
      <c r="E8" s="130"/>
      <c r="F8" s="130"/>
      <c r="G8" s="130"/>
      <c r="I8" s="130"/>
      <c r="J8" s="130"/>
      <c r="K8" s="130"/>
      <c r="L8" s="130"/>
      <c r="M8" s="130"/>
      <c r="N8" s="159" t="s">
        <v>258</v>
      </c>
      <c r="O8" s="159" t="s">
        <v>259</v>
      </c>
    </row>
    <row r="9" spans="2:32" ht="12">
      <c r="C9" s="5120" t="s">
        <v>2778</v>
      </c>
      <c r="D9" s="5120"/>
      <c r="E9" s="5120"/>
      <c r="F9" s="5120"/>
      <c r="G9" s="5120"/>
      <c r="H9" s="6"/>
      <c r="I9" s="4147" t="s">
        <v>2675</v>
      </c>
      <c r="J9" s="4147"/>
      <c r="K9" s="4147"/>
      <c r="L9" s="4147"/>
      <c r="M9" s="4147"/>
      <c r="N9" s="159" t="s">
        <v>2676</v>
      </c>
      <c r="O9" s="159" t="s">
        <v>2676</v>
      </c>
    </row>
    <row r="10" spans="2:32" ht="13.2">
      <c r="B10" s="147" t="s">
        <v>1579</v>
      </c>
      <c r="C10" s="352">
        <v>1990</v>
      </c>
      <c r="D10" s="352">
        <v>2000</v>
      </c>
      <c r="E10" s="352">
        <v>2002</v>
      </c>
      <c r="F10" s="352">
        <v>2005</v>
      </c>
      <c r="G10" s="352">
        <v>2010</v>
      </c>
      <c r="H10" s="133"/>
      <c r="I10" s="352">
        <v>1990</v>
      </c>
      <c r="J10" s="353">
        <v>2000</v>
      </c>
      <c r="K10" s="354">
        <v>2002</v>
      </c>
      <c r="L10" s="355">
        <v>2005</v>
      </c>
      <c r="M10" s="352">
        <v>2010</v>
      </c>
      <c r="N10" s="159" t="s">
        <v>1580</v>
      </c>
      <c r="O10" s="159" t="s">
        <v>1580</v>
      </c>
      <c r="P10" s="2"/>
      <c r="Q10" s="2"/>
      <c r="R10" s="2"/>
      <c r="S10" s="2"/>
      <c r="T10" s="2"/>
      <c r="U10" s="2"/>
      <c r="V10" s="2"/>
      <c r="W10" s="2"/>
      <c r="X10" s="2"/>
      <c r="Y10" s="2"/>
      <c r="Z10" s="2"/>
      <c r="AA10" s="2"/>
      <c r="AB10" s="2"/>
      <c r="AC10" s="2"/>
      <c r="AD10" s="2"/>
      <c r="AE10" s="2"/>
      <c r="AF10" s="2"/>
    </row>
    <row r="11" spans="2:32" ht="12">
      <c r="B11" s="148" t="s">
        <v>1581</v>
      </c>
      <c r="C11" s="357">
        <v>7322.5640000000003</v>
      </c>
      <c r="D11" s="357">
        <v>8008.2780000000002</v>
      </c>
      <c r="E11" s="358">
        <f>SUM(E12,E13,E14,E16,E15)</f>
        <v>8072.0110000000004</v>
      </c>
      <c r="F11" s="357">
        <v>8209.3282656625124</v>
      </c>
      <c r="G11" s="357">
        <v>8411.7449468988816</v>
      </c>
      <c r="H11" s="359"/>
      <c r="I11" s="357">
        <v>3966.0829999999996</v>
      </c>
      <c r="J11" s="360">
        <v>4277.3040000000001</v>
      </c>
      <c r="K11" s="360">
        <v>4145.2124612432108</v>
      </c>
      <c r="L11" s="361">
        <v>4177.08</v>
      </c>
      <c r="M11" s="357">
        <v>4460.3640000000005</v>
      </c>
      <c r="N11" s="373">
        <f t="shared" ref="N11:N16" si="0">(G11/E11)^(1/($G$10-$E$10))-1</f>
        <v>5.166587449327853E-3</v>
      </c>
      <c r="O11" s="373">
        <f>(M11/K11)^(1/($M$10-$K$10))-1</f>
        <v>9.2016185390642047E-3</v>
      </c>
    </row>
    <row r="12" spans="2:32" ht="13.2">
      <c r="B12" s="356" t="s">
        <v>1485</v>
      </c>
      <c r="C12" s="362">
        <v>1203.8</v>
      </c>
      <c r="D12" s="363">
        <v>1332.65</v>
      </c>
      <c r="E12" s="364">
        <f>1358370*0.001</f>
        <v>1358.3700000000001</v>
      </c>
      <c r="F12" s="363">
        <v>1367.4563574953504</v>
      </c>
      <c r="G12" s="363">
        <v>1391.0563574953505</v>
      </c>
      <c r="H12" s="365"/>
      <c r="I12" s="362">
        <v>237.77884073932802</v>
      </c>
      <c r="J12" s="366">
        <v>269.36767886858269</v>
      </c>
      <c r="K12" s="363">
        <v>274.34538936539559</v>
      </c>
      <c r="L12" s="367">
        <v>281.95291968008593</v>
      </c>
      <c r="M12" s="363">
        <v>295.47205620176618</v>
      </c>
      <c r="N12" s="373">
        <f t="shared" si="0"/>
        <v>2.9766685567533813E-3</v>
      </c>
      <c r="O12" s="373">
        <f t="shared" ref="O12:O52" si="1">(M12/K12)^(1/($M$10-$K$10))-1</f>
        <v>9.3164315522540342E-3</v>
      </c>
      <c r="P12" s="9"/>
      <c r="Q12" s="9"/>
      <c r="R12" s="9"/>
    </row>
    <row r="13" spans="2:32" ht="13.2">
      <c r="B13" s="356" t="s">
        <v>2337</v>
      </c>
      <c r="C13" s="362">
        <v>2300.6999999999998</v>
      </c>
      <c r="D13" s="363">
        <v>2465.326</v>
      </c>
      <c r="E13" s="364">
        <f>2475650*0.001</f>
        <v>2475.65</v>
      </c>
      <c r="F13" s="363">
        <v>2515.294172172124</v>
      </c>
      <c r="G13" s="363">
        <v>2565.8941721721239</v>
      </c>
      <c r="H13" s="365"/>
      <c r="I13" s="362">
        <v>504.47856014730291</v>
      </c>
      <c r="J13" s="366">
        <v>584.64592686656431</v>
      </c>
      <c r="K13" s="363">
        <v>588.23102748530448</v>
      </c>
      <c r="L13" s="367">
        <v>590.50666812638269</v>
      </c>
      <c r="M13" s="363">
        <v>621.55228108640972</v>
      </c>
      <c r="N13" s="373">
        <f t="shared" si="0"/>
        <v>4.4855344281788945E-3</v>
      </c>
      <c r="O13" s="373">
        <f t="shared" si="1"/>
        <v>6.9113052967084698E-3</v>
      </c>
      <c r="P13" s="9"/>
      <c r="Q13" s="9"/>
      <c r="R13" s="9"/>
    </row>
    <row r="14" spans="2:32" ht="13.2">
      <c r="B14" s="356" t="s">
        <v>1515</v>
      </c>
      <c r="C14" s="362">
        <v>1487.5</v>
      </c>
      <c r="D14" s="363">
        <v>1537.1949999999999</v>
      </c>
      <c r="E14" s="364">
        <f>1555434*0.001</f>
        <v>1555.434</v>
      </c>
      <c r="F14" s="363">
        <v>1582.9510529543952</v>
      </c>
      <c r="G14" s="363">
        <v>1625.7510529543952</v>
      </c>
      <c r="H14" s="365"/>
      <c r="I14" s="362">
        <v>2565.0704944384502</v>
      </c>
      <c r="J14" s="366">
        <v>2682.2416040230059</v>
      </c>
      <c r="K14" s="363">
        <v>2548.7745681861247</v>
      </c>
      <c r="L14" s="367">
        <v>2545.8341289018008</v>
      </c>
      <c r="M14" s="363">
        <v>2737.6868102465405</v>
      </c>
      <c r="N14" s="373">
        <f t="shared" si="0"/>
        <v>5.5422126843733821E-3</v>
      </c>
      <c r="O14" s="373">
        <f t="shared" si="1"/>
        <v>8.9776409162634074E-3</v>
      </c>
      <c r="P14" s="9"/>
      <c r="Q14" s="9"/>
      <c r="R14" s="9"/>
    </row>
    <row r="15" spans="2:32" ht="13.2">
      <c r="B15" s="356" t="s">
        <v>1484</v>
      </c>
      <c r="C15" s="362">
        <v>1951.6</v>
      </c>
      <c r="D15" s="363">
        <v>2229.3789999999999</v>
      </c>
      <c r="E15" s="364">
        <f>2227172*0.001</f>
        <v>2227.172</v>
      </c>
      <c r="F15" s="363">
        <v>2272.7452734527114</v>
      </c>
      <c r="G15" s="363">
        <v>2334.3000000000002</v>
      </c>
      <c r="H15" s="365"/>
      <c r="I15" s="362">
        <v>567.26232615466438</v>
      </c>
      <c r="J15" s="366">
        <v>624.14769346061382</v>
      </c>
      <c r="K15" s="363">
        <v>617.53038016685628</v>
      </c>
      <c r="L15" s="367">
        <v>635.37033158325107</v>
      </c>
      <c r="M15" s="363">
        <v>668.28081630361839</v>
      </c>
      <c r="N15" s="373">
        <f t="shared" si="0"/>
        <v>5.8897066532910269E-3</v>
      </c>
      <c r="O15" s="373">
        <f t="shared" si="1"/>
        <v>9.9214195172097064E-3</v>
      </c>
      <c r="P15" s="9"/>
      <c r="Q15" s="9"/>
      <c r="R15" s="9"/>
    </row>
    <row r="16" spans="2:32" ht="13.2">
      <c r="B16" s="356" t="s">
        <v>397</v>
      </c>
      <c r="C16" s="362">
        <v>379</v>
      </c>
      <c r="D16" s="363">
        <v>443.72800000000001</v>
      </c>
      <c r="E16" s="364">
        <f>455385*0.001</f>
        <v>455.38499999999999</v>
      </c>
      <c r="F16" s="363">
        <v>470.88914509235008</v>
      </c>
      <c r="G16" s="363">
        <v>494.68914509235009</v>
      </c>
      <c r="H16" s="365"/>
      <c r="I16" s="362">
        <v>91.558466063994103</v>
      </c>
      <c r="J16" s="366">
        <v>116.91672108881522</v>
      </c>
      <c r="K16" s="363">
        <v>116.33109603952991</v>
      </c>
      <c r="L16" s="367">
        <v>123.4159517084793</v>
      </c>
      <c r="M16" s="363">
        <v>137.37203616166528</v>
      </c>
      <c r="N16" s="373">
        <f t="shared" si="0"/>
        <v>1.0402023851442843E-2</v>
      </c>
      <c r="O16" s="373">
        <f t="shared" si="1"/>
        <v>2.0998994651401537E-2</v>
      </c>
      <c r="P16" s="9"/>
      <c r="Q16" s="9"/>
      <c r="R16" s="9"/>
    </row>
    <row r="17" spans="2:18" ht="12">
      <c r="C17" s="365"/>
      <c r="D17" s="365"/>
      <c r="E17" s="365"/>
      <c r="F17" s="365"/>
      <c r="G17" s="365"/>
      <c r="H17" s="365"/>
      <c r="I17" s="365"/>
      <c r="J17" s="365"/>
      <c r="K17" s="359"/>
      <c r="L17" s="365"/>
      <c r="M17" s="365"/>
      <c r="N17" s="373"/>
      <c r="O17" s="373"/>
      <c r="P17" s="9"/>
      <c r="Q17" s="9"/>
      <c r="R17" s="9"/>
    </row>
    <row r="18" spans="2:18" ht="12">
      <c r="B18" s="148" t="s">
        <v>1082</v>
      </c>
      <c r="C18" s="296">
        <v>2609.212</v>
      </c>
      <c r="D18" s="296">
        <v>2753.913</v>
      </c>
      <c r="E18" s="368">
        <f>SUM(E19:E20)</f>
        <v>2794.9920000000002</v>
      </c>
      <c r="F18" s="296">
        <v>2837.2314565701263</v>
      </c>
      <c r="G18" s="296">
        <v>2923.1146831560718</v>
      </c>
      <c r="H18" s="365"/>
      <c r="I18" s="369">
        <v>1329.8109999999999</v>
      </c>
      <c r="J18" s="369">
        <v>1457.5383333333334</v>
      </c>
      <c r="K18" s="296">
        <v>1464.0838054363201</v>
      </c>
      <c r="L18" s="370">
        <v>1488.7629999999999</v>
      </c>
      <c r="M18" s="369">
        <v>1565.7059999999997</v>
      </c>
      <c r="N18" s="373">
        <f>(G18/E18)^(1/($G$10-$E$10))-1</f>
        <v>5.6182831561715219E-3</v>
      </c>
      <c r="O18" s="373">
        <f t="shared" si="1"/>
        <v>8.4236789943097357E-3</v>
      </c>
      <c r="P18" s="9"/>
      <c r="Q18" s="9"/>
      <c r="R18" s="9"/>
    </row>
    <row r="19" spans="2:18" ht="13.2">
      <c r="B19" s="356" t="s">
        <v>2144</v>
      </c>
      <c r="C19" s="362">
        <v>1287.4000000000001</v>
      </c>
      <c r="D19" s="363">
        <v>1334.5440000000001</v>
      </c>
      <c r="E19" s="364">
        <f>1339265*0.001</f>
        <v>1339.2650000000001</v>
      </c>
      <c r="F19" s="363">
        <v>1357.3661896347585</v>
      </c>
      <c r="G19" s="363">
        <v>1377.6661896347584</v>
      </c>
      <c r="H19" s="365"/>
      <c r="I19" s="362">
        <v>716.80323891354885</v>
      </c>
      <c r="J19" s="363">
        <v>743.26602067021599</v>
      </c>
      <c r="K19" s="363">
        <v>742.56733967317678</v>
      </c>
      <c r="L19" s="367">
        <v>742.74756711659973</v>
      </c>
      <c r="M19" s="363">
        <v>767.32870677309745</v>
      </c>
      <c r="N19" s="373">
        <f>(G19/E19)^(1/($G$10-$E$10))-1</f>
        <v>3.5399941042868477E-3</v>
      </c>
      <c r="O19" s="373">
        <f t="shared" si="1"/>
        <v>4.108631311031008E-3</v>
      </c>
      <c r="P19" s="9"/>
      <c r="Q19" s="9"/>
      <c r="R19" s="9"/>
    </row>
    <row r="20" spans="2:18" ht="13.2">
      <c r="B20" s="356" t="s">
        <v>2145</v>
      </c>
      <c r="C20" s="362">
        <v>1321.8</v>
      </c>
      <c r="D20" s="363">
        <v>1419.3690000000001</v>
      </c>
      <c r="E20" s="364">
        <f>1455727*0.001</f>
        <v>1455.7270000000001</v>
      </c>
      <c r="F20" s="363">
        <v>1479.8008657585772</v>
      </c>
      <c r="G20" s="363">
        <v>1545.4008657585771</v>
      </c>
      <c r="H20" s="365"/>
      <c r="I20" s="362">
        <v>613.00776108645118</v>
      </c>
      <c r="J20" s="363">
        <v>714.194261682243</v>
      </c>
      <c r="K20" s="363">
        <v>721.51296549933568</v>
      </c>
      <c r="L20" s="367">
        <v>746.01543288340019</v>
      </c>
      <c r="M20" s="363">
        <v>798.37729322690245</v>
      </c>
      <c r="N20" s="373">
        <f>(G20/E20)^(1/($G$10-$E$10))-1</f>
        <v>7.5002249029791912E-3</v>
      </c>
      <c r="O20" s="373">
        <f t="shared" si="1"/>
        <v>1.2734265935421263E-2</v>
      </c>
      <c r="P20" s="9"/>
      <c r="Q20" s="9"/>
      <c r="R20" s="9"/>
    </row>
    <row r="21" spans="2:18" ht="12">
      <c r="C21" s="365"/>
      <c r="D21" s="365"/>
      <c r="E21" s="365"/>
      <c r="F21" s="365"/>
      <c r="G21" s="365"/>
      <c r="H21" s="365"/>
      <c r="I21" s="365"/>
      <c r="J21" s="365"/>
      <c r="K21" s="359"/>
      <c r="L21" s="365"/>
      <c r="M21" s="365"/>
      <c r="N21" s="373"/>
      <c r="O21" s="373"/>
      <c r="P21" s="9"/>
      <c r="Q21" s="9"/>
      <c r="R21" s="9"/>
    </row>
    <row r="22" spans="2:18" ht="12">
      <c r="B22" s="148" t="s">
        <v>1083</v>
      </c>
      <c r="C22" s="296">
        <v>2025.972</v>
      </c>
      <c r="D22" s="296">
        <v>2179.1889999999999</v>
      </c>
      <c r="E22" s="296">
        <f>SUM(E23:E29)</f>
        <v>2225.3290000000002</v>
      </c>
      <c r="F22" s="296">
        <v>2312.7511322887294</v>
      </c>
      <c r="G22" s="296">
        <v>2422.3556469744713</v>
      </c>
      <c r="H22" s="365"/>
      <c r="I22" s="296">
        <v>1009.2160000000001</v>
      </c>
      <c r="J22" s="296">
        <v>1079.6195942700631</v>
      </c>
      <c r="K22" s="296">
        <v>1094.2086032171674</v>
      </c>
      <c r="L22" s="371">
        <v>1123.7797765608173</v>
      </c>
      <c r="M22" s="296">
        <v>1170.9034826947582</v>
      </c>
      <c r="N22" s="373">
        <f t="shared" ref="N22:N29" si="2">(G22/E22)^(1/($G$10-$E$10))-1</f>
        <v>1.0660889687648334E-2</v>
      </c>
      <c r="O22" s="373">
        <f t="shared" si="1"/>
        <v>8.5039918733933462E-3</v>
      </c>
      <c r="P22" s="9"/>
      <c r="Q22" s="9"/>
      <c r="R22" s="9"/>
    </row>
    <row r="23" spans="2:18" ht="13.2">
      <c r="B23" s="356" t="s">
        <v>1196</v>
      </c>
      <c r="C23" s="363">
        <v>259.5</v>
      </c>
      <c r="D23" s="363">
        <v>280.14999999999998</v>
      </c>
      <c r="E23" s="364">
        <f>287675*0.001</f>
        <v>287.67500000000001</v>
      </c>
      <c r="F23" s="363">
        <v>300.05315555398249</v>
      </c>
      <c r="G23" s="363">
        <v>328.04489264318437</v>
      </c>
      <c r="H23" s="365"/>
      <c r="I23" s="363">
        <v>140.38300000000001</v>
      </c>
      <c r="J23" s="363">
        <v>139.37799999999999</v>
      </c>
      <c r="K23" s="363">
        <v>142.0605722460657</v>
      </c>
      <c r="L23" s="367">
        <v>145.8166655775542</v>
      </c>
      <c r="M23" s="363">
        <v>154.77177880905222</v>
      </c>
      <c r="N23" s="373">
        <f t="shared" si="2"/>
        <v>1.6550351469542868E-2</v>
      </c>
      <c r="O23" s="373">
        <f t="shared" si="1"/>
        <v>1.07698448849749E-2</v>
      </c>
      <c r="P23" s="150"/>
      <c r="Q23" s="9"/>
      <c r="R23" s="9"/>
    </row>
    <row r="24" spans="2:18" ht="13.2">
      <c r="B24" s="356" t="s">
        <v>1200</v>
      </c>
      <c r="C24" s="363">
        <v>307.60000000000002</v>
      </c>
      <c r="D24" s="363">
        <v>341.36700000000002</v>
      </c>
      <c r="E24" s="364">
        <f>355802*0.001</f>
        <v>355.80200000000002</v>
      </c>
      <c r="F24" s="363">
        <v>375.63438703916768</v>
      </c>
      <c r="G24" s="363">
        <v>408.87166403447287</v>
      </c>
      <c r="H24" s="365"/>
      <c r="I24" s="363">
        <v>128.29599999999999</v>
      </c>
      <c r="J24" s="363">
        <v>149.76192760339609</v>
      </c>
      <c r="K24" s="363">
        <v>152.20250021286884</v>
      </c>
      <c r="L24" s="367">
        <v>160.4038554163987</v>
      </c>
      <c r="M24" s="363">
        <v>171.43028629467872</v>
      </c>
      <c r="N24" s="373">
        <f t="shared" si="2"/>
        <v>1.7530248677973148E-2</v>
      </c>
      <c r="O24" s="373">
        <f t="shared" si="1"/>
        <v>1.498171971766693E-2</v>
      </c>
      <c r="P24" s="150"/>
      <c r="Q24" s="9"/>
      <c r="R24" s="9"/>
    </row>
    <row r="25" spans="2:18" ht="13.2">
      <c r="B25" s="356" t="s">
        <v>1194</v>
      </c>
      <c r="C25" s="363">
        <v>83.9</v>
      </c>
      <c r="D25" s="363">
        <v>95.745000000000005</v>
      </c>
      <c r="E25" s="364">
        <f>98530*0.001</f>
        <v>98.53</v>
      </c>
      <c r="F25" s="363">
        <v>101.91265205387383</v>
      </c>
      <c r="G25" s="363">
        <v>110.04260510551703</v>
      </c>
      <c r="H25" s="365"/>
      <c r="I25" s="363">
        <v>26.291999999999998</v>
      </c>
      <c r="J25" s="363">
        <v>32.888999999999996</v>
      </c>
      <c r="K25" s="363">
        <v>33.989915593706122</v>
      </c>
      <c r="L25" s="367">
        <v>36.526742668155457</v>
      </c>
      <c r="M25" s="363">
        <v>38.289870830783229</v>
      </c>
      <c r="N25" s="373">
        <f t="shared" si="2"/>
        <v>1.3909162123300733E-2</v>
      </c>
      <c r="O25" s="373">
        <f t="shared" si="1"/>
        <v>1.5001600104582513E-2</v>
      </c>
      <c r="P25" s="150"/>
      <c r="Q25" s="9"/>
      <c r="R25" s="9"/>
    </row>
    <row r="26" spans="2:18" ht="13.2">
      <c r="B26" s="356" t="s">
        <v>1199</v>
      </c>
      <c r="C26" s="363">
        <v>265.5</v>
      </c>
      <c r="D26" s="363">
        <v>286.75299999999999</v>
      </c>
      <c r="E26" s="364">
        <f>291230*0.001</f>
        <v>291.23</v>
      </c>
      <c r="F26" s="363">
        <v>298.90671343241308</v>
      </c>
      <c r="G26" s="363">
        <v>315.68117352630981</v>
      </c>
      <c r="H26" s="365"/>
      <c r="I26" s="363">
        <v>122.666</v>
      </c>
      <c r="J26" s="363">
        <v>133.73366666666666</v>
      </c>
      <c r="K26" s="363">
        <v>137.73404291845188</v>
      </c>
      <c r="L26" s="367">
        <v>142.04251121127027</v>
      </c>
      <c r="M26" s="363">
        <v>148.69820432591385</v>
      </c>
      <c r="N26" s="373">
        <f t="shared" si="2"/>
        <v>1.0128376620787138E-2</v>
      </c>
      <c r="O26" s="373">
        <f t="shared" si="1"/>
        <v>9.6202521098163185E-3</v>
      </c>
      <c r="P26" s="150"/>
      <c r="Q26" s="9"/>
      <c r="R26" s="9"/>
    </row>
    <row r="27" spans="2:18" ht="13.2">
      <c r="B27" s="356" t="s">
        <v>1084</v>
      </c>
      <c r="C27" s="363">
        <v>69.3</v>
      </c>
      <c r="D27" s="363">
        <v>73.966000000000008</v>
      </c>
      <c r="E27" s="364">
        <f>74132*0.001</f>
        <v>74.132000000000005</v>
      </c>
      <c r="F27" s="363">
        <v>79.121936440719281</v>
      </c>
      <c r="G27" s="363">
        <v>90.339213436024451</v>
      </c>
      <c r="H27" s="365"/>
      <c r="I27" s="363">
        <v>31.753999999999998</v>
      </c>
      <c r="J27" s="363">
        <v>33.06666666666667</v>
      </c>
      <c r="K27" s="363">
        <v>33.775333333333585</v>
      </c>
      <c r="L27" s="367">
        <v>34.831314427276027</v>
      </c>
      <c r="M27" s="363">
        <v>36.293361863723931</v>
      </c>
      <c r="N27" s="373">
        <f t="shared" si="2"/>
        <v>2.5023502856122537E-2</v>
      </c>
      <c r="O27" s="373">
        <f t="shared" si="1"/>
        <v>9.0285263187799281E-3</v>
      </c>
      <c r="P27" s="150"/>
      <c r="Q27" s="9"/>
      <c r="R27" s="9"/>
    </row>
    <row r="28" spans="2:18" ht="13.2">
      <c r="B28" s="356" t="s">
        <v>2535</v>
      </c>
      <c r="C28" s="363">
        <v>165.3</v>
      </c>
      <c r="D28" s="363">
        <v>177.749</v>
      </c>
      <c r="E28" s="364">
        <f>180066*0.001</f>
        <v>180.066</v>
      </c>
      <c r="F28" s="363">
        <v>188.82928494427665</v>
      </c>
      <c r="G28" s="363">
        <v>195.2097544278447</v>
      </c>
      <c r="H28" s="365"/>
      <c r="I28" s="363">
        <v>76.19</v>
      </c>
      <c r="J28" s="363">
        <v>81.562666666666999</v>
      </c>
      <c r="K28" s="363">
        <v>81.732406294704788</v>
      </c>
      <c r="L28" s="367">
        <v>86.051235722887711</v>
      </c>
      <c r="M28" s="363">
        <v>88.525905552994772</v>
      </c>
      <c r="N28" s="373">
        <f t="shared" si="2"/>
        <v>1.0145014469276514E-2</v>
      </c>
      <c r="O28" s="373">
        <f t="shared" si="1"/>
        <v>1.0030553892943717E-2</v>
      </c>
      <c r="P28" s="150"/>
      <c r="Q28" s="9"/>
      <c r="R28" s="9"/>
    </row>
    <row r="29" spans="2:18" ht="13.2">
      <c r="B29" s="356" t="s">
        <v>1193</v>
      </c>
      <c r="C29" s="363">
        <v>874.9</v>
      </c>
      <c r="D29" s="363">
        <v>923.45900000000006</v>
      </c>
      <c r="E29" s="364">
        <f>937894*0.001</f>
        <v>937.89400000000001</v>
      </c>
      <c r="F29" s="363">
        <v>968.1985134201002</v>
      </c>
      <c r="G29" s="363">
        <v>974.16733971117992</v>
      </c>
      <c r="H29" s="365"/>
      <c r="I29" s="363">
        <v>483.63499999999999</v>
      </c>
      <c r="J29" s="363">
        <v>509.22766666666666</v>
      </c>
      <c r="K29" s="363">
        <v>512.71383261803646</v>
      </c>
      <c r="L29" s="367">
        <v>518.10745153727487</v>
      </c>
      <c r="M29" s="363">
        <v>532.89407501761127</v>
      </c>
      <c r="N29" s="373">
        <f t="shared" si="2"/>
        <v>4.7545370303474499E-3</v>
      </c>
      <c r="O29" s="373">
        <f t="shared" si="1"/>
        <v>4.837263528101543E-3</v>
      </c>
      <c r="P29" s="150"/>
      <c r="Q29" s="9"/>
      <c r="R29" s="9"/>
    </row>
    <row r="30" spans="2:18" ht="12">
      <c r="C30" s="365"/>
      <c r="D30" s="365"/>
      <c r="E30" s="365"/>
      <c r="F30" s="365"/>
      <c r="G30" s="365"/>
      <c r="H30" s="365"/>
      <c r="I30" s="365"/>
      <c r="J30" s="365"/>
      <c r="K30" s="359"/>
      <c r="L30" s="365"/>
      <c r="M30" s="365"/>
      <c r="N30" s="373"/>
      <c r="O30" s="373"/>
      <c r="P30" s="9"/>
      <c r="Q30" s="9"/>
      <c r="R30" s="9"/>
    </row>
    <row r="31" spans="2:18" ht="12">
      <c r="B31" s="148" t="s">
        <v>2536</v>
      </c>
      <c r="C31" s="296">
        <v>6097.1</v>
      </c>
      <c r="D31" s="296">
        <v>6661.75</v>
      </c>
      <c r="E31" s="296">
        <f>SUM(E32:E45)</f>
        <v>6790.155999999999</v>
      </c>
      <c r="F31" s="296">
        <v>6927.0289716676807</v>
      </c>
      <c r="G31" s="296">
        <v>7095.904076793764</v>
      </c>
      <c r="H31" s="365"/>
      <c r="I31" s="296">
        <v>3403.9279610893177</v>
      </c>
      <c r="J31" s="296">
        <v>3748.346534045927</v>
      </c>
      <c r="K31" s="296">
        <v>3766.5</v>
      </c>
      <c r="L31" s="296">
        <v>3882.0190000000002</v>
      </c>
      <c r="M31" s="296">
        <v>4079.5120000000006</v>
      </c>
      <c r="N31" s="373">
        <f t="shared" ref="N31:N45" si="3">(G31/E31)^(1/($G$10-$E$10))-1</f>
        <v>5.5206593252123959E-3</v>
      </c>
      <c r="O31" s="373">
        <f t="shared" si="1"/>
        <v>1.002885337381576E-2</v>
      </c>
      <c r="P31" s="9"/>
      <c r="Q31" s="9"/>
      <c r="R31" s="9"/>
    </row>
    <row r="32" spans="2:18" ht="13.2">
      <c r="B32" s="356" t="s">
        <v>1198</v>
      </c>
      <c r="C32" s="363">
        <v>825.4</v>
      </c>
      <c r="D32" s="363">
        <v>884.11800000000005</v>
      </c>
      <c r="E32" s="363">
        <f>894454*0.001</f>
        <v>894.45400000000006</v>
      </c>
      <c r="F32" s="363">
        <v>905.37254527187088</v>
      </c>
      <c r="G32" s="363">
        <v>907.35754527187089</v>
      </c>
      <c r="H32" s="365"/>
      <c r="I32" s="363">
        <v>533.80100000000004</v>
      </c>
      <c r="J32" s="363">
        <v>570.24772968980778</v>
      </c>
      <c r="K32" s="363">
        <v>566.87270160194873</v>
      </c>
      <c r="L32" s="367">
        <v>581.28282840122756</v>
      </c>
      <c r="M32" s="363">
        <v>593.09880099722284</v>
      </c>
      <c r="N32" s="373">
        <f t="shared" si="3"/>
        <v>1.7919915338586723E-3</v>
      </c>
      <c r="O32" s="373">
        <f t="shared" si="1"/>
        <v>5.6692887989240326E-3</v>
      </c>
      <c r="P32" s="9"/>
      <c r="Q32" s="9"/>
      <c r="R32" s="9"/>
    </row>
    <row r="33" spans="2:18" ht="13.2">
      <c r="B33" s="356" t="s">
        <v>1474</v>
      </c>
      <c r="C33" s="363">
        <v>778</v>
      </c>
      <c r="D33" s="363">
        <v>793.63300000000004</v>
      </c>
      <c r="E33" s="363">
        <f>795905*0.001</f>
        <v>795.90499999999997</v>
      </c>
      <c r="F33" s="363">
        <v>809.79779679299008</v>
      </c>
      <c r="G33" s="363">
        <v>818.03079679299003</v>
      </c>
      <c r="H33" s="365"/>
      <c r="I33" s="363">
        <v>436.15023460629698</v>
      </c>
      <c r="J33" s="363">
        <v>451.07033303901926</v>
      </c>
      <c r="K33" s="363">
        <v>447.09922467411047</v>
      </c>
      <c r="L33" s="367">
        <v>442.31762451922555</v>
      </c>
      <c r="M33" s="363">
        <v>456.59417303885624</v>
      </c>
      <c r="N33" s="373">
        <f t="shared" si="3"/>
        <v>3.4333997599746979E-3</v>
      </c>
      <c r="O33" s="373">
        <f t="shared" si="1"/>
        <v>2.6302559778292878E-3</v>
      </c>
      <c r="P33" s="9"/>
      <c r="Q33" s="9"/>
      <c r="R33" s="9"/>
    </row>
    <row r="34" spans="2:18" ht="13.2">
      <c r="B34" s="356" t="s">
        <v>1473</v>
      </c>
      <c r="C34" s="363">
        <v>553.1</v>
      </c>
      <c r="D34" s="363">
        <v>608.97500000000002</v>
      </c>
      <c r="E34" s="363">
        <f>609936*0.001</f>
        <v>609.93600000000004</v>
      </c>
      <c r="F34" s="363">
        <v>622.11724379213331</v>
      </c>
      <c r="G34" s="363">
        <v>648.59624379213335</v>
      </c>
      <c r="H34" s="365"/>
      <c r="I34" s="363">
        <v>273.53899999999999</v>
      </c>
      <c r="J34" s="363">
        <v>287.613</v>
      </c>
      <c r="K34" s="363">
        <v>289.35000000000002</v>
      </c>
      <c r="L34" s="367">
        <v>286.63461487783809</v>
      </c>
      <c r="M34" s="363">
        <v>300.44087827055699</v>
      </c>
      <c r="N34" s="373">
        <f t="shared" si="3"/>
        <v>7.7116287408887096E-3</v>
      </c>
      <c r="O34" s="373">
        <f t="shared" si="1"/>
        <v>4.7128158070819381E-3</v>
      </c>
      <c r="P34" s="9"/>
      <c r="Q34" s="9"/>
      <c r="R34" s="9"/>
    </row>
    <row r="35" spans="2:18" ht="13.2">
      <c r="B35" s="356" t="s">
        <v>2018</v>
      </c>
      <c r="C35" s="363">
        <v>107.9</v>
      </c>
      <c r="D35" s="363">
        <v>121.989</v>
      </c>
      <c r="E35" s="363">
        <f>126685*0.001</f>
        <v>126.685</v>
      </c>
      <c r="F35" s="363">
        <v>130.00344578471757</v>
      </c>
      <c r="G35" s="363">
        <v>136.07144578471758</v>
      </c>
      <c r="H35" s="365"/>
      <c r="I35" s="363">
        <v>51.363891777295564</v>
      </c>
      <c r="J35" s="363">
        <v>68.815250761188224</v>
      </c>
      <c r="K35" s="363">
        <v>71.685546805448752</v>
      </c>
      <c r="L35" s="367">
        <v>75.299041771604067</v>
      </c>
      <c r="M35" s="363">
        <v>83.362675456650095</v>
      </c>
      <c r="N35" s="373">
        <f t="shared" si="3"/>
        <v>8.9745814729309537E-3</v>
      </c>
      <c r="O35" s="373">
        <f t="shared" si="1"/>
        <v>1.9042988722687504E-2</v>
      </c>
      <c r="P35" s="9"/>
      <c r="Q35" s="9"/>
      <c r="R35" s="9"/>
    </row>
    <row r="36" spans="2:18" ht="13.2">
      <c r="B36" s="356" t="s">
        <v>2021</v>
      </c>
      <c r="C36" s="363">
        <v>325.8</v>
      </c>
      <c r="D36" s="363">
        <v>350.76100000000002</v>
      </c>
      <c r="E36" s="363">
        <f>358180*0.001</f>
        <v>358.18</v>
      </c>
      <c r="F36" s="363">
        <v>366.54256842352117</v>
      </c>
      <c r="G36" s="363">
        <v>388.36256842352117</v>
      </c>
      <c r="H36" s="365"/>
      <c r="I36" s="363">
        <v>223.57599999999999</v>
      </c>
      <c r="J36" s="363">
        <v>244.30566666666667</v>
      </c>
      <c r="K36" s="363">
        <v>252.83333333333334</v>
      </c>
      <c r="L36" s="367">
        <v>260.024363692669</v>
      </c>
      <c r="M36" s="363">
        <v>271.46874981220901</v>
      </c>
      <c r="N36" s="373">
        <f t="shared" si="3"/>
        <v>1.0164271908393863E-2</v>
      </c>
      <c r="O36" s="373">
        <f t="shared" si="1"/>
        <v>8.9291946073675188E-3</v>
      </c>
      <c r="P36" s="9"/>
      <c r="Q36" s="9"/>
      <c r="R36" s="9"/>
    </row>
    <row r="37" spans="2:18" ht="13.2">
      <c r="B37" s="356" t="s">
        <v>1478</v>
      </c>
      <c r="C37" s="363">
        <v>671.7</v>
      </c>
      <c r="D37" s="363">
        <v>750.16200000000003</v>
      </c>
      <c r="E37" s="363">
        <f>772410*0.001</f>
        <v>772.41</v>
      </c>
      <c r="F37" s="363">
        <v>785.62453094739044</v>
      </c>
      <c r="G37" s="363">
        <v>813.4825309473905</v>
      </c>
      <c r="H37" s="365"/>
      <c r="I37" s="363">
        <v>407.5028795546267</v>
      </c>
      <c r="J37" s="363">
        <v>474.4121309814555</v>
      </c>
      <c r="K37" s="363">
        <v>474.23886931217595</v>
      </c>
      <c r="L37" s="367">
        <v>502.98066233841519</v>
      </c>
      <c r="M37" s="363">
        <v>528.13343594853905</v>
      </c>
      <c r="N37" s="373">
        <f t="shared" si="3"/>
        <v>6.4971348223645808E-3</v>
      </c>
      <c r="O37" s="373">
        <f t="shared" si="1"/>
        <v>1.3545651303325634E-2</v>
      </c>
      <c r="P37" s="9"/>
      <c r="Q37" s="9"/>
      <c r="R37" s="9"/>
    </row>
    <row r="38" spans="2:18" ht="13.2">
      <c r="B38" s="356" t="s">
        <v>1479</v>
      </c>
      <c r="C38" s="363">
        <v>553.20000000000005</v>
      </c>
      <c r="D38" s="363">
        <v>615.30100000000004</v>
      </c>
      <c r="E38" s="363">
        <f>627668*0.001</f>
        <v>627.66800000000001</v>
      </c>
      <c r="F38" s="363">
        <v>651.95465397007979</v>
      </c>
      <c r="G38" s="363">
        <v>664.98665397007971</v>
      </c>
      <c r="H38" s="365"/>
      <c r="I38" s="363">
        <v>265.54491465494135</v>
      </c>
      <c r="J38" s="363">
        <v>306.62303913608719</v>
      </c>
      <c r="K38" s="363">
        <v>315.12630122382694</v>
      </c>
      <c r="L38" s="367">
        <v>332.36363741107283</v>
      </c>
      <c r="M38" s="363">
        <v>357.75991427763074</v>
      </c>
      <c r="N38" s="373">
        <f t="shared" si="3"/>
        <v>7.2455739348293857E-3</v>
      </c>
      <c r="O38" s="373">
        <f t="shared" si="1"/>
        <v>1.5987531589566117E-2</v>
      </c>
      <c r="P38" s="9"/>
      <c r="Q38" s="9"/>
      <c r="R38" s="9"/>
    </row>
    <row r="39" spans="2:18" ht="13.2">
      <c r="B39" s="356" t="s">
        <v>2537</v>
      </c>
      <c r="C39" s="363">
        <v>421.3</v>
      </c>
      <c r="D39" s="363">
        <v>470.21199999999999</v>
      </c>
      <c r="E39" s="363">
        <f>478622*0.001</f>
        <v>478.62200000000001</v>
      </c>
      <c r="F39" s="363">
        <v>494.76286083394513</v>
      </c>
      <c r="G39" s="363">
        <v>500.42786083394509</v>
      </c>
      <c r="H39" s="365"/>
      <c r="I39" s="363">
        <v>288.42099999999999</v>
      </c>
      <c r="J39" s="363">
        <v>342.62736817653285</v>
      </c>
      <c r="K39" s="363">
        <v>344.16918218939907</v>
      </c>
      <c r="L39" s="367">
        <v>367.00800643725489</v>
      </c>
      <c r="M39" s="363">
        <v>392.04999087565488</v>
      </c>
      <c r="N39" s="373">
        <f t="shared" si="3"/>
        <v>5.5845749678875567E-3</v>
      </c>
      <c r="O39" s="373">
        <f t="shared" si="1"/>
        <v>1.6415275911483507E-2</v>
      </c>
      <c r="P39" s="9"/>
      <c r="Q39" s="9"/>
      <c r="R39" s="9"/>
    </row>
    <row r="40" spans="2:18" ht="13.2">
      <c r="B40" s="356" t="s">
        <v>2035</v>
      </c>
      <c r="C40" s="363">
        <v>433.2</v>
      </c>
      <c r="D40" s="363">
        <v>510.916</v>
      </c>
      <c r="E40" s="363">
        <f>536769*0.001</f>
        <v>536.76900000000001</v>
      </c>
      <c r="F40" s="363">
        <v>552.93618504213578</v>
      </c>
      <c r="G40" s="363">
        <v>574.11718504213582</v>
      </c>
      <c r="H40" s="365"/>
      <c r="I40" s="363">
        <v>146.08708534505865</v>
      </c>
      <c r="J40" s="363">
        <v>179.40492033352464</v>
      </c>
      <c r="K40" s="363">
        <v>189.41284699116557</v>
      </c>
      <c r="L40" s="367">
        <v>199.72500949218593</v>
      </c>
      <c r="M40" s="363">
        <v>216.43739262913405</v>
      </c>
      <c r="N40" s="373">
        <f t="shared" si="3"/>
        <v>8.4436603281328182E-3</v>
      </c>
      <c r="O40" s="373">
        <f t="shared" si="1"/>
        <v>1.6811285340348148E-2</v>
      </c>
      <c r="P40" s="9"/>
      <c r="Q40" s="9"/>
      <c r="R40" s="9"/>
    </row>
    <row r="41" spans="2:18" ht="13.2">
      <c r="B41" s="356" t="s">
        <v>2036</v>
      </c>
      <c r="C41" s="363">
        <v>470.9</v>
      </c>
      <c r="D41" s="363">
        <v>489.04900000000004</v>
      </c>
      <c r="E41" s="363">
        <f>496508*0.001</f>
        <v>496.50800000000004</v>
      </c>
      <c r="F41" s="363">
        <v>498.75374370765985</v>
      </c>
      <c r="G41" s="363">
        <v>503.80574370765981</v>
      </c>
      <c r="H41" s="365"/>
      <c r="I41" s="363">
        <v>225.012</v>
      </c>
      <c r="J41" s="363">
        <v>218.83916571700391</v>
      </c>
      <c r="K41" s="363">
        <v>213.6334965381813</v>
      </c>
      <c r="L41" s="367">
        <v>217.71568116483482</v>
      </c>
      <c r="M41" s="363">
        <v>219.95771598943881</v>
      </c>
      <c r="N41" s="373">
        <f t="shared" si="3"/>
        <v>1.8255603698635881E-3</v>
      </c>
      <c r="O41" s="373">
        <f t="shared" si="1"/>
        <v>3.6533339706259493E-3</v>
      </c>
      <c r="P41" s="9"/>
      <c r="Q41" s="9"/>
      <c r="R41" s="9"/>
    </row>
    <row r="42" spans="2:18" ht="13.2">
      <c r="B42" s="356" t="s">
        <v>2037</v>
      </c>
      <c r="C42" s="363">
        <v>240.2</v>
      </c>
      <c r="D42" s="363">
        <v>297.49</v>
      </c>
      <c r="E42" s="363">
        <f>307722*0.001</f>
        <v>307.72199999999998</v>
      </c>
      <c r="F42" s="363">
        <v>314.90176872042383</v>
      </c>
      <c r="G42" s="363">
        <v>330.40976872042381</v>
      </c>
      <c r="H42" s="365"/>
      <c r="I42" s="363">
        <v>166.08022866807781</v>
      </c>
      <c r="J42" s="363">
        <v>217.73396409352642</v>
      </c>
      <c r="K42" s="363">
        <v>213.39197152587164</v>
      </c>
      <c r="L42" s="367">
        <v>233.17006208373377</v>
      </c>
      <c r="M42" s="363">
        <v>262.67907675563367</v>
      </c>
      <c r="N42" s="373">
        <f t="shared" si="3"/>
        <v>8.931755893687443E-3</v>
      </c>
      <c r="O42" s="373">
        <f t="shared" si="1"/>
        <v>2.6315589205490708E-2</v>
      </c>
      <c r="P42" s="9"/>
      <c r="Q42" s="9"/>
      <c r="R42" s="9"/>
    </row>
    <row r="43" spans="2:18" ht="13.2">
      <c r="B43" s="356" t="s">
        <v>2038</v>
      </c>
      <c r="C43" s="363">
        <v>130.9</v>
      </c>
      <c r="D43" s="363">
        <v>144.166</v>
      </c>
      <c r="E43" s="363">
        <f>148875*0.001</f>
        <v>148.875</v>
      </c>
      <c r="F43" s="363">
        <v>151.99895419041098</v>
      </c>
      <c r="G43" s="363">
        <v>156.073954190411</v>
      </c>
      <c r="H43" s="365"/>
      <c r="I43" s="363">
        <v>41.959736428493642</v>
      </c>
      <c r="J43" s="363">
        <v>53.127471932994403</v>
      </c>
      <c r="K43" s="363">
        <v>54.910153863380557</v>
      </c>
      <c r="L43" s="367">
        <v>58.768441308135067</v>
      </c>
      <c r="M43" s="363">
        <v>63.64834279485207</v>
      </c>
      <c r="N43" s="373">
        <f t="shared" si="3"/>
        <v>5.9203228177411305E-3</v>
      </c>
      <c r="O43" s="373">
        <f t="shared" si="1"/>
        <v>1.8630803096973514E-2</v>
      </c>
      <c r="P43" s="9"/>
      <c r="Q43" s="9"/>
      <c r="R43" s="9"/>
    </row>
    <row r="44" spans="2:18" ht="13.2">
      <c r="B44" s="356" t="s">
        <v>2039</v>
      </c>
      <c r="C44" s="363">
        <v>493.8</v>
      </c>
      <c r="D44" s="363">
        <v>522.54100000000005</v>
      </c>
      <c r="E44" s="363">
        <f>528924*0.001</f>
        <v>528.92399999999998</v>
      </c>
      <c r="F44" s="363">
        <v>530.79271252730723</v>
      </c>
      <c r="G44" s="363">
        <v>538.81171252730724</v>
      </c>
      <c r="H44" s="365"/>
      <c r="I44" s="363">
        <v>302.96114040921555</v>
      </c>
      <c r="J44" s="363">
        <v>289.20601479430394</v>
      </c>
      <c r="K44" s="363">
        <v>287.85462817850748</v>
      </c>
      <c r="L44" s="367">
        <v>278.15914440705939</v>
      </c>
      <c r="M44" s="363">
        <v>284.17379223474808</v>
      </c>
      <c r="N44" s="373">
        <f t="shared" si="3"/>
        <v>2.3178606242535427E-3</v>
      </c>
      <c r="O44" s="373">
        <f t="shared" si="1"/>
        <v>-1.6074059798228957E-3</v>
      </c>
      <c r="P44" s="9"/>
      <c r="Q44" s="9"/>
      <c r="R44" s="9"/>
    </row>
    <row r="45" spans="2:18" ht="13.2">
      <c r="B45" s="356" t="s">
        <v>2327</v>
      </c>
      <c r="C45" s="363">
        <v>91.7</v>
      </c>
      <c r="D45" s="363">
        <v>102.437</v>
      </c>
      <c r="E45" s="363">
        <f>107498*0.001</f>
        <v>107.498</v>
      </c>
      <c r="F45" s="363">
        <v>111.44407761174801</v>
      </c>
      <c r="G45" s="363">
        <v>115.36907761174801</v>
      </c>
      <c r="H45" s="365"/>
      <c r="I45" s="363">
        <v>41.92884964531104</v>
      </c>
      <c r="J45" s="363">
        <v>44.320478723816656</v>
      </c>
      <c r="K45" s="363">
        <v>45.936118115225291</v>
      </c>
      <c r="L45" s="367">
        <v>46.569882094744017</v>
      </c>
      <c r="M45" s="363">
        <v>49.707060918874006</v>
      </c>
      <c r="N45" s="373">
        <f t="shared" si="3"/>
        <v>8.8721408296439375E-3</v>
      </c>
      <c r="O45" s="373">
        <f t="shared" si="1"/>
        <v>9.910701302436431E-3</v>
      </c>
      <c r="P45" s="9"/>
      <c r="Q45" s="9"/>
      <c r="R45" s="9"/>
    </row>
    <row r="46" spans="2:18" ht="12">
      <c r="C46" s="365"/>
      <c r="D46" s="365"/>
      <c r="E46" s="365"/>
      <c r="F46" s="365"/>
      <c r="G46" s="365"/>
      <c r="H46" s="365"/>
      <c r="I46" s="365"/>
      <c r="J46" s="365"/>
      <c r="K46" s="359"/>
      <c r="L46" s="365"/>
      <c r="M46" s="365"/>
      <c r="N46" s="373"/>
      <c r="O46" s="373"/>
      <c r="P46" s="9"/>
      <c r="Q46" s="9"/>
      <c r="R46" s="9"/>
    </row>
    <row r="47" spans="2:18" ht="12">
      <c r="B47" s="148" t="s">
        <v>2328</v>
      </c>
      <c r="C47" s="296">
        <v>1805.9560000000001</v>
      </c>
      <c r="D47" s="296">
        <v>1888.768</v>
      </c>
      <c r="E47" s="296">
        <f>SUM(E48:E50)</f>
        <v>1916.6750000000002</v>
      </c>
      <c r="F47" s="296">
        <v>1958.3663927477057</v>
      </c>
      <c r="G47" s="296">
        <v>2016.4776528101695</v>
      </c>
      <c r="H47" s="365"/>
      <c r="I47" s="296">
        <v>1027.991</v>
      </c>
      <c r="J47" s="296">
        <v>1064.9205478101658</v>
      </c>
      <c r="K47" s="296">
        <v>1056.2</v>
      </c>
      <c r="L47" s="296">
        <v>1072.2138484543318</v>
      </c>
      <c r="M47" s="296">
        <v>1135.2762411730598</v>
      </c>
      <c r="N47" s="373">
        <f>(G47/E47)^(1/($G$10-$E$10))-1</f>
        <v>6.3652148170101341E-3</v>
      </c>
      <c r="O47" s="373">
        <f t="shared" si="1"/>
        <v>9.0656518821878862E-3</v>
      </c>
      <c r="P47" s="144"/>
      <c r="Q47" s="9"/>
      <c r="R47" s="9"/>
    </row>
    <row r="48" spans="2:18" ht="13.2">
      <c r="B48" s="356" t="s">
        <v>1197</v>
      </c>
      <c r="C48" s="363">
        <v>827.7</v>
      </c>
      <c r="D48" s="363">
        <v>882.56700000000001</v>
      </c>
      <c r="E48" s="363">
        <f>894622*0.001</f>
        <v>894.62200000000007</v>
      </c>
      <c r="F48" s="363">
        <v>916.1317848357919</v>
      </c>
      <c r="G48" s="363">
        <v>945.69840590282342</v>
      </c>
      <c r="H48" s="365"/>
      <c r="I48" s="363">
        <v>509.625</v>
      </c>
      <c r="J48" s="363">
        <v>536.9035806829412</v>
      </c>
      <c r="K48" s="372">
        <v>530.0541261201098</v>
      </c>
      <c r="L48" s="363">
        <v>534.82199224146825</v>
      </c>
      <c r="M48" s="363">
        <v>568.27403121055511</v>
      </c>
      <c r="N48" s="373">
        <f>(G48/E48)^(1/($G$10-$E$10))-1</f>
        <v>6.9644429302491151E-3</v>
      </c>
      <c r="O48" s="373">
        <f t="shared" si="1"/>
        <v>8.7410600925263982E-3</v>
      </c>
      <c r="P48" s="9"/>
      <c r="Q48" s="9"/>
      <c r="R48" s="9"/>
    </row>
    <row r="49" spans="2:18" ht="13.2">
      <c r="B49" s="356" t="s">
        <v>2329</v>
      </c>
      <c r="C49" s="363">
        <v>174.1</v>
      </c>
      <c r="D49" s="363">
        <v>182.19300000000001</v>
      </c>
      <c r="E49" s="363">
        <f>186384*0.001</f>
        <v>186.38400000000001</v>
      </c>
      <c r="F49" s="363">
        <v>191.85259224334578</v>
      </c>
      <c r="G49" s="363">
        <v>206.87434326933757</v>
      </c>
      <c r="H49" s="365"/>
      <c r="I49" s="363">
        <v>83.003999999999991</v>
      </c>
      <c r="J49" s="363">
        <v>89.458142164088557</v>
      </c>
      <c r="K49" s="372">
        <v>89.691184476548742</v>
      </c>
      <c r="L49" s="363">
        <v>93.62809870070916</v>
      </c>
      <c r="M49" s="363">
        <v>100.22445553469753</v>
      </c>
      <c r="N49" s="373">
        <f>(G49/E49)^(1/($G$10-$E$10))-1</f>
        <v>1.3123176614415977E-2</v>
      </c>
      <c r="O49" s="373">
        <f t="shared" si="1"/>
        <v>1.3976741432622175E-2</v>
      </c>
      <c r="P49" s="9"/>
      <c r="Q49" s="9"/>
      <c r="R49" s="9"/>
    </row>
    <row r="50" spans="2:18" ht="13.2">
      <c r="B50" s="356" t="s">
        <v>1195</v>
      </c>
      <c r="C50" s="363">
        <v>804.2</v>
      </c>
      <c r="D50" s="363">
        <v>824.00800000000004</v>
      </c>
      <c r="E50" s="363">
        <f>835669*0.001</f>
        <v>835.66899999999998</v>
      </c>
      <c r="F50" s="363">
        <v>850.38798157934355</v>
      </c>
      <c r="G50" s="363">
        <v>863.89960948632029</v>
      </c>
      <c r="H50" s="365"/>
      <c r="I50" s="363">
        <v>435.36200000000002</v>
      </c>
      <c r="J50" s="363">
        <v>438.55882496313615</v>
      </c>
      <c r="K50" s="372">
        <v>436.46635115037873</v>
      </c>
      <c r="L50" s="363">
        <v>443.76375751215431</v>
      </c>
      <c r="M50" s="363">
        <v>466.77775442780717</v>
      </c>
      <c r="N50" s="373">
        <f>(G50/E50)^(1/($G$10-$E$10))-1</f>
        <v>4.161631595765547E-3</v>
      </c>
      <c r="O50" s="373">
        <f t="shared" si="1"/>
        <v>8.4280627387689488E-3</v>
      </c>
      <c r="P50" s="9"/>
      <c r="Q50" s="9"/>
      <c r="R50" s="9"/>
    </row>
    <row r="51" spans="2:18" ht="12">
      <c r="C51" s="365"/>
      <c r="D51" s="365"/>
      <c r="E51" s="365"/>
      <c r="F51" s="365"/>
      <c r="G51" s="365"/>
      <c r="H51" s="365"/>
      <c r="I51" s="365"/>
      <c r="J51" s="365"/>
      <c r="K51" s="359"/>
      <c r="L51" s="365"/>
      <c r="M51" s="365"/>
      <c r="N51" s="373"/>
      <c r="O51" s="373"/>
      <c r="P51" s="9"/>
      <c r="Q51" s="9"/>
      <c r="R51" s="9"/>
    </row>
    <row r="52" spans="2:18" ht="12">
      <c r="B52" s="148" t="s">
        <v>2330</v>
      </c>
      <c r="C52" s="296">
        <v>19860.803999999996</v>
      </c>
      <c r="D52" s="296">
        <v>21491.898000000001</v>
      </c>
      <c r="E52" s="296">
        <f>21799163*0.001</f>
        <v>21799.163</v>
      </c>
      <c r="F52" s="296">
        <v>22244.706218936753</v>
      </c>
      <c r="G52" s="296">
        <v>22869.597006633358</v>
      </c>
      <c r="H52" s="365"/>
      <c r="I52" s="296">
        <v>10737.028961089318</v>
      </c>
      <c r="J52" s="296">
        <v>11627.729009459488</v>
      </c>
      <c r="K52" s="296">
        <f>SUM(K47+K31+K22+K18+K11)</f>
        <v>11526.204869896697</v>
      </c>
      <c r="L52" s="296">
        <v>11743.855625015149</v>
      </c>
      <c r="M52" s="296">
        <v>12411.761723867818</v>
      </c>
      <c r="N52" s="373">
        <f>(G52/E52)^(1/($G$10-$E$10))-1</f>
        <v>6.0100900858077733E-3</v>
      </c>
      <c r="O52" s="373">
        <f t="shared" si="1"/>
        <v>9.2956160666761711E-3</v>
      </c>
      <c r="P52" s="9"/>
      <c r="Q52" s="9"/>
      <c r="R52" s="9"/>
    </row>
    <row r="53" spans="2:18">
      <c r="C53" s="151"/>
      <c r="D53" s="149"/>
      <c r="E53" s="149"/>
      <c r="F53" s="149"/>
      <c r="G53" s="149"/>
      <c r="H53" s="144"/>
      <c r="I53" s="151"/>
      <c r="J53" s="149"/>
      <c r="K53" s="149"/>
      <c r="L53" s="149"/>
      <c r="M53" s="149"/>
      <c r="N53" s="9"/>
      <c r="O53" s="9"/>
      <c r="P53" s="9"/>
      <c r="Q53" s="9"/>
      <c r="R53" s="9"/>
    </row>
    <row r="54" spans="2:18">
      <c r="B54" s="9" t="s">
        <v>2520</v>
      </c>
      <c r="C54" s="152"/>
      <c r="D54" s="152"/>
      <c r="E54" s="152"/>
      <c r="F54" s="152"/>
      <c r="G54" s="152"/>
      <c r="H54" s="144"/>
      <c r="I54" s="152"/>
      <c r="J54" s="152"/>
      <c r="K54" s="152"/>
      <c r="L54" s="152"/>
      <c r="M54" s="152"/>
      <c r="N54" s="9"/>
      <c r="O54" s="9"/>
      <c r="P54" s="9"/>
      <c r="Q54" s="9"/>
      <c r="R54" s="9"/>
    </row>
    <row r="55" spans="2:18">
      <c r="B55" s="9" t="s">
        <v>6226</v>
      </c>
      <c r="C55" s="149"/>
      <c r="D55" s="149"/>
      <c r="E55" s="149"/>
      <c r="F55" s="149"/>
      <c r="G55" s="149"/>
      <c r="H55" s="144"/>
      <c r="I55" s="149"/>
      <c r="J55" s="149"/>
      <c r="K55" s="149"/>
      <c r="L55" s="149"/>
      <c r="M55" s="149"/>
      <c r="N55" s="9"/>
      <c r="O55" s="9"/>
      <c r="P55" s="9"/>
      <c r="Q55" s="9"/>
      <c r="R55" s="9"/>
    </row>
    <row r="56" spans="2:18">
      <c r="B56" s="35" t="s">
        <v>6227</v>
      </c>
      <c r="C56" s="153"/>
      <c r="D56" s="153"/>
      <c r="E56" s="153"/>
      <c r="F56" s="153"/>
      <c r="G56" s="153"/>
      <c r="H56" s="144"/>
      <c r="I56" s="153"/>
      <c r="J56" s="153"/>
      <c r="K56" s="153"/>
      <c r="L56" s="153"/>
      <c r="M56" s="153"/>
      <c r="N56" s="9"/>
      <c r="O56" s="9"/>
      <c r="P56" s="9"/>
      <c r="Q56" s="9"/>
      <c r="R56" s="9"/>
    </row>
    <row r="57" spans="2:18">
      <c r="C57" s="149"/>
      <c r="D57" s="149"/>
      <c r="E57" s="149"/>
      <c r="F57" s="149"/>
      <c r="G57" s="149"/>
      <c r="H57" s="144"/>
      <c r="I57" s="149"/>
      <c r="J57" s="149"/>
      <c r="K57" s="149"/>
      <c r="L57" s="149"/>
      <c r="M57" s="149"/>
      <c r="N57" s="144"/>
      <c r="O57" s="144"/>
      <c r="P57" s="9"/>
      <c r="Q57" s="9"/>
      <c r="R57" s="9"/>
    </row>
    <row r="58" spans="2:18">
      <c r="C58" s="149"/>
      <c r="D58" s="149"/>
      <c r="E58" s="149"/>
      <c r="F58" s="149"/>
      <c r="G58" s="149"/>
      <c r="H58" s="144"/>
      <c r="I58" s="149"/>
      <c r="J58" s="149"/>
      <c r="K58" s="149"/>
      <c r="L58" s="149"/>
      <c r="M58" s="149"/>
      <c r="N58" s="144"/>
      <c r="O58" s="144"/>
      <c r="P58" s="9"/>
      <c r="Q58" s="9"/>
      <c r="R58" s="9"/>
    </row>
    <row r="59" spans="2:18">
      <c r="C59" s="149"/>
      <c r="D59" s="149"/>
      <c r="E59" s="149"/>
      <c r="F59" s="149"/>
      <c r="G59" s="149"/>
      <c r="H59" s="144"/>
      <c r="I59" s="149"/>
      <c r="J59" s="149"/>
      <c r="K59" s="149"/>
      <c r="L59" s="149"/>
      <c r="M59" s="149"/>
      <c r="N59" s="144"/>
      <c r="O59" s="144"/>
      <c r="P59" s="9"/>
      <c r="Q59" s="9"/>
      <c r="R59" s="9"/>
    </row>
    <row r="60" spans="2:18">
      <c r="C60" s="149"/>
      <c r="D60" s="149"/>
      <c r="E60" s="149"/>
      <c r="F60" s="149"/>
      <c r="G60" s="149"/>
      <c r="H60" s="144"/>
      <c r="I60" s="149"/>
      <c r="J60" s="149"/>
      <c r="K60" s="149"/>
      <c r="L60" s="149"/>
      <c r="M60" s="149"/>
      <c r="N60" s="144"/>
      <c r="O60" s="144"/>
      <c r="P60" s="9"/>
      <c r="Q60" s="9"/>
      <c r="R60" s="9"/>
    </row>
    <row r="61" spans="2:18">
      <c r="C61" s="149"/>
      <c r="D61" s="149"/>
      <c r="E61" s="149"/>
      <c r="F61" s="149"/>
      <c r="G61" s="149"/>
      <c r="H61" s="144"/>
      <c r="I61" s="149"/>
      <c r="J61" s="149"/>
      <c r="K61" s="149"/>
      <c r="L61" s="149"/>
      <c r="M61" s="149"/>
      <c r="N61" s="144"/>
      <c r="O61" s="144"/>
      <c r="P61" s="9"/>
      <c r="Q61" s="9"/>
      <c r="R61" s="9"/>
    </row>
    <row r="62" spans="2:18">
      <c r="C62" s="149"/>
      <c r="D62" s="149"/>
      <c r="E62" s="149"/>
      <c r="F62" s="149"/>
      <c r="G62" s="149"/>
      <c r="H62" s="144"/>
      <c r="I62" s="149"/>
      <c r="J62" s="149"/>
      <c r="K62" s="149"/>
      <c r="L62" s="149"/>
      <c r="M62" s="149"/>
      <c r="N62" s="144"/>
      <c r="O62" s="144"/>
      <c r="P62" s="9"/>
      <c r="Q62" s="9"/>
      <c r="R62" s="9"/>
    </row>
    <row r="63" spans="2:18">
      <c r="C63" s="149"/>
      <c r="D63" s="149"/>
      <c r="E63" s="149"/>
      <c r="F63" s="149"/>
      <c r="G63" s="149"/>
      <c r="H63" s="144"/>
      <c r="I63" s="149"/>
      <c r="J63" s="149"/>
      <c r="K63" s="149"/>
      <c r="L63" s="149"/>
      <c r="M63" s="149"/>
      <c r="N63" s="144"/>
      <c r="O63" s="144"/>
      <c r="P63" s="9"/>
      <c r="Q63" s="9"/>
      <c r="R63" s="9"/>
    </row>
    <row r="64" spans="2:18">
      <c r="C64" s="149"/>
      <c r="D64" s="149"/>
      <c r="E64" s="149"/>
      <c r="F64" s="149"/>
      <c r="G64" s="149"/>
      <c r="H64" s="144"/>
      <c r="I64" s="149"/>
      <c r="J64" s="149"/>
      <c r="K64" s="149"/>
      <c r="L64" s="149"/>
      <c r="M64" s="149"/>
      <c r="N64" s="144"/>
      <c r="O64" s="144"/>
      <c r="P64" s="9"/>
      <c r="Q64" s="9"/>
      <c r="R64" s="9"/>
    </row>
    <row r="65" spans="3:18">
      <c r="C65" s="149"/>
      <c r="D65" s="149"/>
      <c r="E65" s="149"/>
      <c r="F65" s="149"/>
      <c r="G65" s="149"/>
      <c r="H65" s="144"/>
      <c r="I65" s="149"/>
      <c r="J65" s="149"/>
      <c r="K65" s="149"/>
      <c r="L65" s="149"/>
      <c r="M65" s="149"/>
      <c r="N65" s="144"/>
      <c r="O65" s="144"/>
      <c r="P65" s="9"/>
      <c r="Q65" s="9"/>
      <c r="R65" s="9"/>
    </row>
    <row r="66" spans="3:18">
      <c r="C66" s="149"/>
      <c r="D66" s="149"/>
      <c r="E66" s="149"/>
      <c r="F66" s="149"/>
      <c r="G66" s="149"/>
      <c r="H66" s="144"/>
      <c r="I66" s="149"/>
      <c r="J66" s="149"/>
      <c r="K66" s="149"/>
      <c r="L66" s="149"/>
      <c r="M66" s="149"/>
      <c r="N66" s="144"/>
      <c r="O66" s="144"/>
      <c r="P66" s="9"/>
      <c r="Q66" s="9"/>
      <c r="R66" s="9"/>
    </row>
    <row r="67" spans="3:18">
      <c r="C67" s="149"/>
      <c r="D67" s="149"/>
      <c r="E67" s="149"/>
      <c r="F67" s="149"/>
      <c r="G67" s="149"/>
      <c r="H67" s="144"/>
      <c r="I67" s="149"/>
      <c r="J67" s="149"/>
      <c r="K67" s="149"/>
      <c r="L67" s="149"/>
      <c r="M67" s="149"/>
      <c r="N67" s="144"/>
      <c r="O67" s="144"/>
      <c r="P67" s="9"/>
      <c r="Q67" s="9"/>
      <c r="R67" s="9"/>
    </row>
    <row r="68" spans="3:18">
      <c r="C68" s="149"/>
      <c r="D68" s="149"/>
      <c r="E68" s="149"/>
      <c r="F68" s="149"/>
      <c r="G68" s="149"/>
      <c r="H68" s="144"/>
      <c r="I68" s="149"/>
      <c r="J68" s="149"/>
      <c r="K68" s="149"/>
      <c r="L68" s="149"/>
      <c r="M68" s="149"/>
      <c r="N68" s="144"/>
      <c r="O68" s="144"/>
      <c r="P68" s="9"/>
      <c r="Q68" s="9"/>
      <c r="R68" s="9"/>
    </row>
    <row r="69" spans="3:18">
      <c r="C69" s="149"/>
      <c r="D69" s="149"/>
      <c r="E69" s="149"/>
      <c r="F69" s="149"/>
      <c r="G69" s="149"/>
      <c r="H69" s="144"/>
      <c r="I69" s="149"/>
      <c r="J69" s="149"/>
      <c r="K69" s="149"/>
      <c r="L69" s="149"/>
      <c r="M69" s="149"/>
      <c r="N69" s="144"/>
      <c r="O69" s="144"/>
      <c r="P69" s="9"/>
      <c r="Q69" s="9"/>
      <c r="R69" s="9"/>
    </row>
    <row r="70" spans="3:18">
      <c r="C70" s="149"/>
      <c r="D70" s="149"/>
      <c r="E70" s="149"/>
      <c r="F70" s="149"/>
      <c r="G70" s="149"/>
      <c r="H70" s="144"/>
      <c r="I70" s="149"/>
      <c r="J70" s="149"/>
      <c r="K70" s="149"/>
      <c r="L70" s="149"/>
      <c r="M70" s="149"/>
      <c r="N70" s="144"/>
      <c r="O70" s="144"/>
      <c r="P70" s="9"/>
      <c r="Q70" s="9"/>
      <c r="R70" s="9"/>
    </row>
    <row r="71" spans="3:18">
      <c r="C71" s="149"/>
      <c r="D71" s="149"/>
      <c r="E71" s="149"/>
      <c r="F71" s="149"/>
      <c r="G71" s="149"/>
      <c r="H71" s="144"/>
      <c r="I71" s="149"/>
      <c r="J71" s="149"/>
      <c r="K71" s="149"/>
      <c r="L71" s="149"/>
      <c r="M71" s="149"/>
      <c r="N71" s="144"/>
      <c r="O71" s="144"/>
      <c r="P71" s="9"/>
      <c r="Q71" s="9"/>
      <c r="R71" s="9"/>
    </row>
    <row r="72" spans="3:18">
      <c r="C72" s="149"/>
      <c r="D72" s="149"/>
      <c r="E72" s="149"/>
      <c r="F72" s="149"/>
      <c r="G72" s="149"/>
      <c r="H72" s="144"/>
      <c r="I72" s="149"/>
      <c r="J72" s="149"/>
      <c r="K72" s="149"/>
      <c r="L72" s="149"/>
      <c r="M72" s="149"/>
      <c r="N72" s="144"/>
      <c r="O72" s="144"/>
      <c r="P72" s="9"/>
      <c r="Q72" s="9"/>
      <c r="R72" s="9"/>
    </row>
    <row r="73" spans="3:18">
      <c r="C73" s="149"/>
      <c r="D73" s="149"/>
      <c r="E73" s="149"/>
      <c r="F73" s="149"/>
      <c r="G73" s="149"/>
      <c r="H73" s="144"/>
      <c r="I73" s="149"/>
      <c r="J73" s="149"/>
      <c r="K73" s="149"/>
      <c r="L73" s="149"/>
      <c r="M73" s="149"/>
      <c r="N73" s="144"/>
      <c r="O73" s="144"/>
      <c r="P73" s="9"/>
      <c r="Q73" s="9"/>
      <c r="R73" s="9"/>
    </row>
    <row r="74" spans="3:18">
      <c r="C74" s="149"/>
      <c r="D74" s="149"/>
      <c r="E74" s="149"/>
      <c r="F74" s="149"/>
      <c r="G74" s="149"/>
      <c r="H74" s="144"/>
      <c r="I74" s="149"/>
      <c r="J74" s="149"/>
      <c r="K74" s="149"/>
      <c r="L74" s="149"/>
      <c r="M74" s="149"/>
      <c r="N74" s="144"/>
      <c r="O74" s="144"/>
      <c r="P74" s="9"/>
      <c r="Q74" s="9"/>
      <c r="R74" s="9"/>
    </row>
    <row r="75" spans="3:18">
      <c r="C75" s="149"/>
      <c r="D75" s="149"/>
      <c r="E75" s="149"/>
      <c r="F75" s="149"/>
      <c r="G75" s="149"/>
      <c r="H75" s="144"/>
      <c r="I75" s="149"/>
      <c r="J75" s="149"/>
      <c r="K75" s="149"/>
      <c r="L75" s="149"/>
      <c r="M75" s="149"/>
      <c r="N75" s="144"/>
      <c r="O75" s="144"/>
      <c r="P75" s="9"/>
      <c r="Q75" s="9"/>
      <c r="R75" s="9"/>
    </row>
    <row r="76" spans="3:18">
      <c r="C76" s="149"/>
      <c r="D76" s="149"/>
      <c r="E76" s="149"/>
      <c r="F76" s="149"/>
      <c r="G76" s="149"/>
      <c r="H76" s="144"/>
      <c r="I76" s="149"/>
      <c r="J76" s="149"/>
      <c r="K76" s="149"/>
      <c r="L76" s="149"/>
      <c r="M76" s="149"/>
      <c r="N76" s="144"/>
      <c r="O76" s="144"/>
      <c r="P76" s="9"/>
      <c r="Q76" s="9"/>
      <c r="R76" s="9"/>
    </row>
    <row r="77" spans="3:18">
      <c r="C77" s="149"/>
      <c r="D77" s="149"/>
      <c r="E77" s="149"/>
      <c r="F77" s="149"/>
      <c r="G77" s="149"/>
      <c r="H77" s="144"/>
      <c r="I77" s="149"/>
      <c r="J77" s="149"/>
      <c r="K77" s="149"/>
      <c r="L77" s="149"/>
      <c r="M77" s="149"/>
      <c r="N77" s="144"/>
      <c r="O77" s="144"/>
      <c r="P77" s="9"/>
      <c r="Q77" s="9"/>
      <c r="R77" s="9"/>
    </row>
    <row r="78" spans="3:18">
      <c r="C78" s="149"/>
      <c r="D78" s="149"/>
      <c r="E78" s="149"/>
      <c r="F78" s="149"/>
      <c r="G78" s="149"/>
      <c r="H78" s="144"/>
      <c r="I78" s="149"/>
      <c r="J78" s="149"/>
      <c r="K78" s="149"/>
      <c r="L78" s="149"/>
      <c r="M78" s="149"/>
      <c r="N78" s="144"/>
      <c r="O78" s="144"/>
      <c r="P78" s="9"/>
      <c r="Q78" s="9"/>
      <c r="R78" s="9"/>
    </row>
    <row r="79" spans="3:18">
      <c r="C79" s="149"/>
      <c r="D79" s="149"/>
      <c r="E79" s="149"/>
      <c r="F79" s="149"/>
      <c r="G79" s="149"/>
      <c r="H79" s="144"/>
      <c r="I79" s="149"/>
      <c r="J79" s="149"/>
      <c r="K79" s="149"/>
      <c r="L79" s="149"/>
      <c r="M79" s="149"/>
      <c r="N79" s="144"/>
      <c r="O79" s="144"/>
      <c r="P79" s="9"/>
      <c r="Q79" s="9"/>
      <c r="R79" s="9"/>
    </row>
    <row r="80" spans="3:18">
      <c r="C80" s="149"/>
      <c r="D80" s="149"/>
      <c r="E80" s="149"/>
      <c r="F80" s="149"/>
      <c r="G80" s="149"/>
      <c r="H80" s="144"/>
      <c r="I80" s="149"/>
      <c r="J80" s="149"/>
      <c r="K80" s="149"/>
      <c r="L80" s="149"/>
      <c r="M80" s="149"/>
      <c r="N80" s="144"/>
      <c r="O80" s="144"/>
      <c r="P80" s="9"/>
      <c r="Q80" s="9"/>
      <c r="R80" s="9"/>
    </row>
    <row r="81" spans="3:18">
      <c r="C81" s="149"/>
      <c r="D81" s="149"/>
      <c r="E81" s="149"/>
      <c r="F81" s="149"/>
      <c r="G81" s="149"/>
      <c r="H81" s="144"/>
      <c r="I81" s="149"/>
      <c r="J81" s="149"/>
      <c r="K81" s="149"/>
      <c r="L81" s="149"/>
      <c r="M81" s="149"/>
      <c r="N81" s="144"/>
      <c r="O81" s="144"/>
      <c r="P81" s="9"/>
      <c r="Q81" s="9"/>
      <c r="R81" s="9"/>
    </row>
    <row r="82" spans="3:18">
      <c r="C82" s="149"/>
      <c r="D82" s="149"/>
      <c r="E82" s="149"/>
      <c r="F82" s="149"/>
      <c r="G82" s="149"/>
      <c r="H82" s="144"/>
      <c r="I82" s="149"/>
      <c r="J82" s="149"/>
      <c r="K82" s="149"/>
      <c r="L82" s="149"/>
      <c r="M82" s="149"/>
      <c r="N82" s="144"/>
      <c r="O82" s="144"/>
      <c r="P82" s="9"/>
      <c r="Q82" s="9"/>
      <c r="R82" s="9"/>
    </row>
    <row r="83" spans="3:18">
      <c r="C83" s="149"/>
      <c r="D83" s="149"/>
      <c r="E83" s="149"/>
      <c r="F83" s="149"/>
      <c r="G83" s="149"/>
      <c r="H83" s="144"/>
      <c r="I83" s="149"/>
      <c r="J83" s="149"/>
      <c r="K83" s="149"/>
      <c r="L83" s="149"/>
      <c r="M83" s="149"/>
      <c r="N83" s="144"/>
      <c r="O83" s="144"/>
      <c r="P83" s="9"/>
      <c r="Q83" s="9"/>
      <c r="R83" s="9"/>
    </row>
    <row r="84" spans="3:18">
      <c r="C84" s="149"/>
      <c r="D84" s="149"/>
      <c r="E84" s="149"/>
      <c r="F84" s="149"/>
      <c r="G84" s="149"/>
      <c r="H84" s="144"/>
      <c r="I84" s="149"/>
      <c r="J84" s="149"/>
      <c r="K84" s="149"/>
      <c r="L84" s="149"/>
      <c r="M84" s="149"/>
      <c r="N84" s="144"/>
      <c r="O84" s="144"/>
      <c r="P84" s="9"/>
      <c r="Q84" s="9"/>
      <c r="R84" s="9"/>
    </row>
    <row r="85" spans="3:18">
      <c r="C85" s="149"/>
      <c r="D85" s="149"/>
      <c r="E85" s="149"/>
      <c r="F85" s="149"/>
      <c r="G85" s="149"/>
      <c r="H85" s="144"/>
      <c r="I85" s="149"/>
      <c r="J85" s="149"/>
      <c r="K85" s="149"/>
      <c r="L85" s="149"/>
      <c r="M85" s="149"/>
      <c r="N85" s="144"/>
      <c r="O85" s="144"/>
      <c r="P85" s="9"/>
      <c r="Q85" s="9"/>
      <c r="R85" s="9"/>
    </row>
    <row r="86" spans="3:18">
      <c r="C86" s="149"/>
      <c r="D86" s="149"/>
      <c r="E86" s="149"/>
      <c r="F86" s="149"/>
      <c r="G86" s="149"/>
      <c r="H86" s="144"/>
      <c r="I86" s="149"/>
      <c r="J86" s="149"/>
      <c r="K86" s="149"/>
      <c r="L86" s="149"/>
      <c r="M86" s="149"/>
      <c r="N86" s="144"/>
      <c r="O86" s="144"/>
      <c r="P86" s="9"/>
      <c r="Q86" s="9"/>
      <c r="R86" s="9"/>
    </row>
    <row r="87" spans="3:18">
      <c r="C87" s="149"/>
      <c r="D87" s="149"/>
      <c r="E87" s="149"/>
      <c r="F87" s="149"/>
      <c r="G87" s="149"/>
      <c r="H87" s="144"/>
      <c r="I87" s="149"/>
      <c r="J87" s="149"/>
      <c r="K87" s="149"/>
      <c r="L87" s="149"/>
      <c r="M87" s="149"/>
      <c r="N87" s="144"/>
      <c r="O87" s="144"/>
      <c r="P87" s="9"/>
      <c r="Q87" s="9"/>
      <c r="R87" s="9"/>
    </row>
    <row r="88" spans="3:18">
      <c r="C88" s="149"/>
      <c r="D88" s="149"/>
      <c r="E88" s="149"/>
      <c r="F88" s="149"/>
      <c r="G88" s="149"/>
      <c r="H88" s="144"/>
      <c r="I88" s="149"/>
      <c r="J88" s="149"/>
      <c r="K88" s="149"/>
      <c r="L88" s="149"/>
      <c r="M88" s="149"/>
      <c r="N88" s="144"/>
      <c r="O88" s="144"/>
      <c r="P88" s="9"/>
      <c r="Q88" s="9"/>
      <c r="R88" s="9"/>
    </row>
    <row r="89" spans="3:18">
      <c r="C89" s="149"/>
      <c r="D89" s="149"/>
      <c r="E89" s="149"/>
      <c r="F89" s="149"/>
      <c r="G89" s="149"/>
      <c r="H89" s="144"/>
      <c r="I89" s="149"/>
      <c r="J89" s="149"/>
      <c r="K89" s="149"/>
      <c r="L89" s="149"/>
      <c r="M89" s="149"/>
      <c r="N89" s="144"/>
      <c r="O89" s="144"/>
      <c r="P89" s="9"/>
      <c r="Q89" s="9"/>
      <c r="R89" s="9"/>
    </row>
    <row r="90" spans="3:18">
      <c r="C90" s="149"/>
      <c r="D90" s="149"/>
      <c r="E90" s="149"/>
      <c r="F90" s="149"/>
      <c r="G90" s="149"/>
      <c r="H90" s="144"/>
      <c r="I90" s="149"/>
      <c r="J90" s="149"/>
      <c r="K90" s="149"/>
      <c r="L90" s="149"/>
      <c r="M90" s="149"/>
      <c r="N90" s="144"/>
      <c r="O90" s="144"/>
      <c r="P90" s="9"/>
      <c r="Q90" s="9"/>
      <c r="R90" s="9"/>
    </row>
    <row r="91" spans="3:18">
      <c r="C91" s="149"/>
      <c r="D91" s="149"/>
      <c r="E91" s="149"/>
      <c r="F91" s="149"/>
      <c r="G91" s="149"/>
      <c r="H91" s="144"/>
      <c r="I91" s="149"/>
      <c r="J91" s="149"/>
      <c r="K91" s="149"/>
      <c r="L91" s="149"/>
      <c r="M91" s="149"/>
      <c r="N91" s="144"/>
      <c r="O91" s="144"/>
      <c r="P91" s="9"/>
      <c r="Q91" s="9"/>
      <c r="R91" s="9"/>
    </row>
    <row r="92" spans="3:18">
      <c r="C92" s="149"/>
      <c r="D92" s="149"/>
      <c r="E92" s="149"/>
      <c r="F92" s="149"/>
      <c r="G92" s="149"/>
      <c r="H92" s="144"/>
      <c r="I92" s="149"/>
      <c r="J92" s="149"/>
      <c r="K92" s="149"/>
      <c r="L92" s="149"/>
      <c r="M92" s="149"/>
      <c r="N92" s="144"/>
      <c r="O92" s="144"/>
      <c r="P92" s="9"/>
      <c r="Q92" s="9"/>
      <c r="R92" s="9"/>
    </row>
    <row r="93" spans="3:18">
      <c r="C93" s="149"/>
      <c r="D93" s="149"/>
      <c r="E93" s="149"/>
      <c r="F93" s="149"/>
      <c r="G93" s="149"/>
      <c r="H93" s="144"/>
      <c r="I93" s="149"/>
      <c r="J93" s="149"/>
      <c r="K93" s="149"/>
      <c r="L93" s="149"/>
      <c r="M93" s="149"/>
      <c r="N93" s="144"/>
      <c r="O93" s="144"/>
      <c r="P93" s="9"/>
      <c r="Q93" s="9"/>
      <c r="R93" s="9"/>
    </row>
    <row r="94" spans="3:18">
      <c r="C94" s="149"/>
      <c r="D94" s="149"/>
      <c r="E94" s="149"/>
      <c r="F94" s="149"/>
      <c r="G94" s="149"/>
      <c r="H94" s="144"/>
      <c r="I94" s="149"/>
      <c r="J94" s="149"/>
      <c r="K94" s="149"/>
      <c r="L94" s="149"/>
      <c r="M94" s="149"/>
      <c r="N94" s="144"/>
      <c r="O94" s="144"/>
      <c r="P94" s="9"/>
      <c r="Q94" s="9"/>
      <c r="R94" s="9"/>
    </row>
    <row r="95" spans="3:18">
      <c r="C95" s="149"/>
      <c r="D95" s="149"/>
      <c r="E95" s="149"/>
      <c r="F95" s="149"/>
      <c r="G95" s="149"/>
      <c r="H95" s="144"/>
      <c r="I95" s="149"/>
      <c r="J95" s="149"/>
      <c r="K95" s="149"/>
      <c r="L95" s="149"/>
      <c r="M95" s="149"/>
      <c r="N95" s="144"/>
      <c r="O95" s="144"/>
      <c r="P95" s="9"/>
      <c r="Q95" s="9"/>
      <c r="R95" s="9"/>
    </row>
    <row r="96" spans="3:18">
      <c r="C96" s="149"/>
      <c r="D96" s="149"/>
      <c r="E96" s="149"/>
      <c r="F96" s="149"/>
      <c r="G96" s="149"/>
      <c r="H96" s="144"/>
      <c r="I96" s="149"/>
      <c r="J96" s="149"/>
      <c r="K96" s="149"/>
      <c r="L96" s="149"/>
      <c r="M96" s="149"/>
      <c r="N96" s="144"/>
      <c r="O96" s="144"/>
      <c r="P96" s="9"/>
      <c r="Q96" s="9"/>
      <c r="R96" s="9"/>
    </row>
    <row r="97" spans="3:18">
      <c r="C97" s="149"/>
      <c r="D97" s="149"/>
      <c r="E97" s="149"/>
      <c r="F97" s="149"/>
      <c r="G97" s="149"/>
      <c r="H97" s="144"/>
      <c r="I97" s="149"/>
      <c r="J97" s="149"/>
      <c r="K97" s="149"/>
      <c r="L97" s="149"/>
      <c r="M97" s="149"/>
      <c r="N97" s="144"/>
      <c r="O97" s="144"/>
      <c r="P97" s="9"/>
      <c r="Q97" s="9"/>
      <c r="R97" s="9"/>
    </row>
    <row r="98" spans="3:18">
      <c r="C98" s="149"/>
      <c r="D98" s="149"/>
      <c r="E98" s="149"/>
      <c r="F98" s="149"/>
      <c r="G98" s="149"/>
      <c r="H98" s="144"/>
      <c r="I98" s="149"/>
      <c r="J98" s="149"/>
      <c r="K98" s="149"/>
      <c r="L98" s="149"/>
      <c r="M98" s="149"/>
      <c r="N98" s="144"/>
      <c r="O98" s="144"/>
      <c r="P98" s="9"/>
      <c r="Q98" s="9"/>
      <c r="R98" s="9"/>
    </row>
    <row r="99" spans="3:18">
      <c r="C99" s="149"/>
      <c r="D99" s="149"/>
      <c r="E99" s="149"/>
      <c r="F99" s="149"/>
      <c r="G99" s="149"/>
      <c r="H99" s="144"/>
      <c r="I99" s="149"/>
      <c r="J99" s="149"/>
      <c r="K99" s="149"/>
      <c r="L99" s="149"/>
      <c r="M99" s="149"/>
      <c r="N99" s="144"/>
      <c r="O99" s="144"/>
      <c r="P99" s="9"/>
      <c r="Q99" s="9"/>
      <c r="R99" s="9"/>
    </row>
    <row r="100" spans="3:18">
      <c r="C100" s="149"/>
      <c r="D100" s="149"/>
      <c r="E100" s="149"/>
      <c r="F100" s="149"/>
      <c r="G100" s="149"/>
      <c r="H100" s="144"/>
      <c r="I100" s="149"/>
      <c r="J100" s="149"/>
      <c r="K100" s="149"/>
      <c r="L100" s="149"/>
      <c r="M100" s="149"/>
      <c r="N100" s="144"/>
      <c r="O100" s="144"/>
      <c r="P100" s="9"/>
      <c r="Q100" s="9"/>
      <c r="R100" s="9"/>
    </row>
    <row r="101" spans="3:18">
      <c r="C101" s="149"/>
      <c r="D101" s="149"/>
      <c r="E101" s="149"/>
      <c r="F101" s="149"/>
      <c r="G101" s="149"/>
      <c r="H101" s="144"/>
      <c r="I101" s="149"/>
      <c r="J101" s="149"/>
      <c r="K101" s="149"/>
      <c r="L101" s="149"/>
      <c r="M101" s="149"/>
      <c r="N101" s="144"/>
      <c r="O101" s="144"/>
      <c r="P101" s="9"/>
      <c r="Q101" s="9"/>
      <c r="R101" s="9"/>
    </row>
    <row r="102" spans="3:18">
      <c r="C102" s="149"/>
      <c r="D102" s="149"/>
      <c r="E102" s="149"/>
      <c r="F102" s="149"/>
      <c r="G102" s="149"/>
      <c r="H102" s="144"/>
      <c r="I102" s="149"/>
      <c r="J102" s="149"/>
      <c r="K102" s="149"/>
      <c r="L102" s="149"/>
      <c r="M102" s="149"/>
      <c r="N102" s="144"/>
      <c r="O102" s="144"/>
      <c r="P102" s="9"/>
      <c r="Q102" s="9"/>
      <c r="R102" s="9"/>
    </row>
    <row r="103" spans="3:18">
      <c r="C103" s="149"/>
      <c r="D103" s="149"/>
      <c r="E103" s="149"/>
      <c r="F103" s="149"/>
      <c r="G103" s="149"/>
      <c r="H103" s="144"/>
      <c r="I103" s="149"/>
      <c r="J103" s="149"/>
      <c r="K103" s="149"/>
      <c r="L103" s="149"/>
      <c r="M103" s="149"/>
      <c r="N103" s="144"/>
      <c r="O103" s="144"/>
      <c r="P103" s="9"/>
      <c r="Q103" s="9"/>
      <c r="R103" s="9"/>
    </row>
    <row r="104" spans="3:18">
      <c r="C104" s="149"/>
      <c r="D104" s="149"/>
      <c r="E104" s="149"/>
      <c r="F104" s="149"/>
      <c r="G104" s="149"/>
      <c r="H104" s="144"/>
      <c r="I104" s="149"/>
      <c r="J104" s="149"/>
      <c r="K104" s="149"/>
      <c r="L104" s="149"/>
      <c r="M104" s="149"/>
      <c r="N104" s="144"/>
      <c r="O104" s="144"/>
      <c r="P104" s="9"/>
      <c r="Q104" s="9"/>
      <c r="R104" s="9"/>
    </row>
    <row r="105" spans="3:18">
      <c r="C105" s="144"/>
      <c r="D105" s="144"/>
      <c r="E105" s="144"/>
      <c r="F105" s="144"/>
      <c r="G105" s="144"/>
      <c r="H105" s="144"/>
      <c r="I105" s="144"/>
      <c r="J105" s="144"/>
      <c r="K105" s="144"/>
      <c r="L105" s="144"/>
      <c r="M105" s="144"/>
      <c r="N105" s="144"/>
      <c r="O105" s="144"/>
      <c r="P105" s="9"/>
      <c r="Q105" s="9"/>
      <c r="R105" s="9"/>
    </row>
    <row r="106" spans="3:18">
      <c r="C106" s="144"/>
      <c r="D106" s="144"/>
      <c r="E106" s="144"/>
      <c r="F106" s="144"/>
      <c r="G106" s="144"/>
      <c r="H106" s="144"/>
      <c r="I106" s="144"/>
      <c r="J106" s="144"/>
      <c r="K106" s="144"/>
      <c r="L106" s="144"/>
      <c r="M106" s="144"/>
      <c r="N106" s="144"/>
      <c r="O106" s="144"/>
      <c r="P106" s="9"/>
      <c r="Q106" s="9"/>
      <c r="R106" s="9"/>
    </row>
    <row r="107" spans="3:18">
      <c r="C107" s="144"/>
      <c r="D107" s="144"/>
      <c r="E107" s="144"/>
      <c r="F107" s="144"/>
      <c r="G107" s="144"/>
      <c r="H107" s="144"/>
      <c r="I107" s="144"/>
      <c r="J107" s="144"/>
      <c r="K107" s="144"/>
      <c r="L107" s="144"/>
      <c r="M107" s="144"/>
      <c r="N107" s="144"/>
      <c r="O107" s="144"/>
      <c r="P107" s="9"/>
      <c r="Q107" s="9"/>
      <c r="R107" s="9"/>
    </row>
    <row r="108" spans="3:18">
      <c r="C108" s="144"/>
      <c r="D108" s="144"/>
      <c r="E108" s="144"/>
      <c r="F108" s="144"/>
      <c r="G108" s="144"/>
      <c r="H108" s="144"/>
      <c r="I108" s="144"/>
      <c r="J108" s="144"/>
      <c r="K108" s="144"/>
      <c r="L108" s="144"/>
      <c r="M108" s="144"/>
      <c r="N108" s="144"/>
      <c r="O108" s="144"/>
      <c r="P108" s="9"/>
      <c r="Q108" s="9"/>
      <c r="R108" s="9"/>
    </row>
    <row r="109" spans="3:18">
      <c r="C109" s="144"/>
      <c r="D109" s="144"/>
      <c r="E109" s="144"/>
      <c r="F109" s="144"/>
      <c r="G109" s="144"/>
      <c r="H109" s="144"/>
      <c r="I109" s="144"/>
      <c r="J109" s="144"/>
      <c r="K109" s="144"/>
      <c r="L109" s="144"/>
      <c r="M109" s="144"/>
      <c r="N109" s="144"/>
      <c r="O109" s="144"/>
      <c r="P109" s="9"/>
      <c r="Q109" s="9"/>
      <c r="R109" s="9"/>
    </row>
    <row r="110" spans="3:18">
      <c r="C110" s="144"/>
      <c r="D110" s="144"/>
      <c r="E110" s="144"/>
      <c r="F110" s="144"/>
      <c r="G110" s="144"/>
      <c r="H110" s="144"/>
      <c r="I110" s="144"/>
      <c r="J110" s="144"/>
      <c r="K110" s="144"/>
      <c r="L110" s="144"/>
      <c r="M110" s="144"/>
      <c r="N110" s="144"/>
      <c r="O110" s="144"/>
      <c r="P110" s="9"/>
      <c r="Q110" s="9"/>
      <c r="R110" s="9"/>
    </row>
    <row r="111" spans="3:18">
      <c r="C111" s="144"/>
      <c r="D111" s="144"/>
      <c r="E111" s="144"/>
      <c r="F111" s="144"/>
      <c r="G111" s="144"/>
      <c r="H111" s="144"/>
      <c r="I111" s="144"/>
      <c r="J111" s="144"/>
      <c r="K111" s="144"/>
      <c r="L111" s="144"/>
      <c r="M111" s="144"/>
      <c r="N111" s="144"/>
      <c r="O111" s="144"/>
      <c r="P111" s="9"/>
      <c r="Q111" s="9"/>
      <c r="R111" s="9"/>
    </row>
    <row r="112" spans="3:18">
      <c r="C112" s="144"/>
      <c r="D112" s="144"/>
      <c r="E112" s="144"/>
      <c r="F112" s="144"/>
      <c r="G112" s="144"/>
      <c r="H112" s="144"/>
      <c r="I112" s="144"/>
      <c r="J112" s="144"/>
      <c r="K112" s="144"/>
      <c r="L112" s="144"/>
      <c r="M112" s="144"/>
      <c r="N112" s="144"/>
      <c r="O112" s="144"/>
      <c r="P112" s="9"/>
      <c r="Q112" s="9"/>
      <c r="R112" s="9"/>
    </row>
    <row r="113" spans="3:18">
      <c r="C113" s="144"/>
      <c r="D113" s="144"/>
      <c r="E113" s="144"/>
      <c r="F113" s="144"/>
      <c r="G113" s="144"/>
      <c r="H113" s="144"/>
      <c r="I113" s="144"/>
      <c r="J113" s="144"/>
      <c r="K113" s="144"/>
      <c r="L113" s="144"/>
      <c r="M113" s="144"/>
      <c r="N113" s="144"/>
      <c r="O113" s="144"/>
      <c r="P113" s="9"/>
      <c r="Q113" s="9"/>
      <c r="R113" s="9"/>
    </row>
    <row r="114" spans="3:18">
      <c r="C114" s="144"/>
      <c r="D114" s="144"/>
      <c r="E114" s="144"/>
      <c r="F114" s="144"/>
      <c r="G114" s="144"/>
      <c r="H114" s="144"/>
      <c r="I114" s="144"/>
      <c r="J114" s="144"/>
      <c r="K114" s="144"/>
      <c r="L114" s="144"/>
      <c r="M114" s="144"/>
      <c r="N114" s="144"/>
      <c r="O114" s="144"/>
      <c r="P114" s="9"/>
      <c r="Q114" s="9"/>
      <c r="R114" s="9"/>
    </row>
    <row r="115" spans="3:18">
      <c r="C115" s="144"/>
      <c r="D115" s="144"/>
      <c r="E115" s="144"/>
      <c r="F115" s="144"/>
      <c r="G115" s="144"/>
      <c r="H115" s="144"/>
      <c r="I115" s="144"/>
      <c r="J115" s="144"/>
      <c r="K115" s="144"/>
      <c r="L115" s="144"/>
      <c r="M115" s="144"/>
      <c r="N115" s="144"/>
      <c r="O115" s="144"/>
      <c r="P115" s="9"/>
      <c r="Q115" s="9"/>
      <c r="R115" s="9"/>
    </row>
    <row r="116" spans="3:18">
      <c r="C116" s="144"/>
      <c r="D116" s="144"/>
      <c r="E116" s="144"/>
      <c r="F116" s="144"/>
      <c r="G116" s="144"/>
      <c r="H116" s="144"/>
      <c r="I116" s="144"/>
      <c r="J116" s="144"/>
      <c r="K116" s="144"/>
      <c r="L116" s="144"/>
      <c r="M116" s="144"/>
      <c r="N116" s="144"/>
      <c r="O116" s="144"/>
      <c r="P116" s="9"/>
      <c r="Q116" s="9"/>
      <c r="R116" s="9"/>
    </row>
    <row r="117" spans="3:18">
      <c r="C117" s="144"/>
      <c r="D117" s="144"/>
      <c r="E117" s="144"/>
      <c r="F117" s="144"/>
      <c r="G117" s="144"/>
      <c r="H117" s="144"/>
      <c r="I117" s="144"/>
      <c r="J117" s="144"/>
      <c r="K117" s="144"/>
      <c r="L117" s="144"/>
      <c r="M117" s="144"/>
      <c r="N117" s="144"/>
      <c r="O117" s="144"/>
      <c r="P117" s="9"/>
      <c r="Q117" s="9"/>
      <c r="R117" s="9"/>
    </row>
    <row r="118" spans="3:18">
      <c r="C118" s="144"/>
      <c r="D118" s="144"/>
      <c r="E118" s="144"/>
      <c r="F118" s="144"/>
      <c r="G118" s="144"/>
      <c r="H118" s="144"/>
      <c r="I118" s="144"/>
      <c r="J118" s="144"/>
      <c r="K118" s="144"/>
      <c r="L118" s="144"/>
      <c r="M118" s="144"/>
      <c r="N118" s="144"/>
      <c r="O118" s="144"/>
      <c r="P118" s="9"/>
      <c r="Q118" s="9"/>
      <c r="R118" s="9"/>
    </row>
    <row r="119" spans="3:18">
      <c r="C119" s="144"/>
      <c r="D119" s="144"/>
      <c r="E119" s="144"/>
      <c r="F119" s="144"/>
      <c r="G119" s="144"/>
      <c r="H119" s="144"/>
      <c r="I119" s="144"/>
      <c r="J119" s="144"/>
      <c r="K119" s="144"/>
      <c r="L119" s="144"/>
      <c r="M119" s="144"/>
      <c r="N119" s="144"/>
      <c r="O119" s="144"/>
      <c r="P119" s="9"/>
      <c r="Q119" s="9"/>
      <c r="R119" s="9"/>
    </row>
    <row r="120" spans="3:18">
      <c r="C120" s="144"/>
      <c r="D120" s="144"/>
      <c r="E120" s="144"/>
      <c r="F120" s="144"/>
      <c r="G120" s="144"/>
      <c r="H120" s="144"/>
      <c r="I120" s="144"/>
      <c r="J120" s="144"/>
      <c r="K120" s="144"/>
      <c r="L120" s="144"/>
      <c r="M120" s="144"/>
      <c r="N120" s="144"/>
      <c r="O120" s="144"/>
      <c r="P120" s="9"/>
      <c r="Q120" s="9"/>
      <c r="R120" s="9"/>
    </row>
    <row r="121" spans="3:18">
      <c r="C121" s="144"/>
      <c r="D121" s="144"/>
      <c r="E121" s="144"/>
      <c r="F121" s="144"/>
      <c r="G121" s="144"/>
      <c r="H121" s="144"/>
      <c r="I121" s="144"/>
      <c r="J121" s="144"/>
      <c r="K121" s="144"/>
      <c r="L121" s="144"/>
      <c r="M121" s="144"/>
      <c r="N121" s="144"/>
      <c r="O121" s="144"/>
      <c r="P121" s="9"/>
      <c r="Q121" s="9"/>
      <c r="R121" s="9"/>
    </row>
    <row r="122" spans="3:18">
      <c r="C122" s="144"/>
      <c r="D122" s="144"/>
      <c r="E122" s="144"/>
      <c r="F122" s="144"/>
      <c r="G122" s="144"/>
      <c r="H122" s="144"/>
      <c r="I122" s="144"/>
      <c r="J122" s="144"/>
      <c r="K122" s="144"/>
      <c r="L122" s="144"/>
      <c r="M122" s="144"/>
      <c r="N122" s="144"/>
      <c r="O122" s="144"/>
      <c r="P122" s="9"/>
      <c r="Q122" s="9"/>
      <c r="R122" s="9"/>
    </row>
    <row r="123" spans="3:18">
      <c r="C123" s="144"/>
      <c r="D123" s="144"/>
      <c r="E123" s="144"/>
      <c r="F123" s="144"/>
      <c r="G123" s="144"/>
      <c r="H123" s="144"/>
      <c r="I123" s="144"/>
      <c r="J123" s="144"/>
      <c r="K123" s="144"/>
      <c r="L123" s="144"/>
      <c r="M123" s="144"/>
      <c r="N123" s="144"/>
      <c r="O123" s="144"/>
      <c r="P123" s="9"/>
      <c r="Q123" s="9"/>
      <c r="R123" s="9"/>
    </row>
    <row r="124" spans="3:18">
      <c r="C124" s="144"/>
      <c r="D124" s="144"/>
      <c r="E124" s="144"/>
      <c r="F124" s="144"/>
      <c r="G124" s="144"/>
      <c r="H124" s="144"/>
      <c r="I124" s="144"/>
      <c r="J124" s="144"/>
      <c r="K124" s="144"/>
      <c r="L124" s="144"/>
      <c r="M124" s="144"/>
      <c r="N124" s="144"/>
      <c r="O124" s="144"/>
      <c r="P124" s="9"/>
      <c r="Q124" s="9"/>
      <c r="R124" s="9"/>
    </row>
    <row r="125" spans="3:18">
      <c r="C125" s="144"/>
      <c r="D125" s="144"/>
      <c r="E125" s="144"/>
      <c r="F125" s="144"/>
      <c r="G125" s="144"/>
      <c r="H125" s="144"/>
      <c r="I125" s="144"/>
      <c r="J125" s="144"/>
      <c r="K125" s="144"/>
      <c r="L125" s="144"/>
      <c r="M125" s="144"/>
      <c r="N125" s="144"/>
      <c r="O125" s="144"/>
      <c r="P125" s="9"/>
      <c r="Q125" s="9"/>
      <c r="R125" s="9"/>
    </row>
    <row r="126" spans="3:18">
      <c r="C126" s="144"/>
      <c r="D126" s="144"/>
      <c r="E126" s="144"/>
      <c r="F126" s="144"/>
      <c r="G126" s="144"/>
      <c r="H126" s="144"/>
      <c r="I126" s="144"/>
      <c r="J126" s="144"/>
      <c r="K126" s="144"/>
      <c r="L126" s="144"/>
      <c r="M126" s="144"/>
      <c r="N126" s="144"/>
      <c r="O126" s="144"/>
      <c r="P126" s="9"/>
      <c r="Q126" s="9"/>
      <c r="R126" s="9"/>
    </row>
    <row r="127" spans="3:18">
      <c r="C127" s="144"/>
      <c r="D127" s="144"/>
      <c r="E127" s="144"/>
      <c r="F127" s="144"/>
      <c r="G127" s="144"/>
      <c r="H127" s="144"/>
      <c r="I127" s="144"/>
      <c r="J127" s="144"/>
      <c r="K127" s="144"/>
      <c r="L127" s="144"/>
      <c r="M127" s="144"/>
      <c r="N127" s="144"/>
      <c r="O127" s="144"/>
      <c r="P127" s="9"/>
      <c r="Q127" s="9"/>
      <c r="R127" s="9"/>
    </row>
    <row r="128" spans="3:18">
      <c r="C128" s="144"/>
      <c r="D128" s="144"/>
      <c r="E128" s="144"/>
      <c r="F128" s="144"/>
      <c r="G128" s="144"/>
      <c r="H128" s="144"/>
      <c r="I128" s="144"/>
      <c r="J128" s="144"/>
      <c r="K128" s="144"/>
      <c r="L128" s="144"/>
      <c r="M128" s="144"/>
      <c r="N128" s="144"/>
      <c r="O128" s="144"/>
      <c r="P128" s="9"/>
      <c r="Q128" s="9"/>
      <c r="R128" s="9"/>
    </row>
    <row r="129" spans="3:18">
      <c r="C129" s="144"/>
      <c r="D129" s="144"/>
      <c r="E129" s="144"/>
      <c r="F129" s="144"/>
      <c r="G129" s="144"/>
      <c r="H129" s="144"/>
      <c r="I129" s="144"/>
      <c r="J129" s="144"/>
      <c r="K129" s="144"/>
      <c r="L129" s="144"/>
      <c r="M129" s="144"/>
      <c r="N129" s="144"/>
      <c r="O129" s="144"/>
      <c r="P129" s="9"/>
      <c r="Q129" s="9"/>
      <c r="R129" s="9"/>
    </row>
    <row r="130" spans="3:18">
      <c r="C130" s="144"/>
      <c r="D130" s="144"/>
      <c r="E130" s="144"/>
      <c r="F130" s="144"/>
      <c r="G130" s="144"/>
      <c r="H130" s="144"/>
      <c r="I130" s="144"/>
      <c r="J130" s="144"/>
      <c r="K130" s="144"/>
      <c r="L130" s="144"/>
      <c r="M130" s="144"/>
      <c r="N130" s="144"/>
      <c r="O130" s="144"/>
      <c r="P130" s="9"/>
      <c r="Q130" s="9"/>
      <c r="R130" s="9"/>
    </row>
    <row r="131" spans="3:18">
      <c r="C131" s="144"/>
      <c r="D131" s="144"/>
      <c r="E131" s="144"/>
      <c r="F131" s="144"/>
      <c r="G131" s="144"/>
      <c r="H131" s="144"/>
      <c r="I131" s="144"/>
      <c r="J131" s="144"/>
      <c r="K131" s="144"/>
      <c r="L131" s="144"/>
      <c r="M131" s="144"/>
      <c r="N131" s="144"/>
      <c r="O131" s="144"/>
      <c r="P131" s="9"/>
      <c r="Q131" s="9"/>
      <c r="R131" s="9"/>
    </row>
    <row r="132" spans="3:18">
      <c r="C132" s="144"/>
      <c r="D132" s="144"/>
      <c r="E132" s="144"/>
      <c r="F132" s="144"/>
      <c r="G132" s="144"/>
      <c r="H132" s="144"/>
      <c r="I132" s="144"/>
      <c r="J132" s="144"/>
      <c r="K132" s="144"/>
      <c r="L132" s="144"/>
      <c r="M132" s="144"/>
      <c r="N132" s="144"/>
      <c r="O132" s="144"/>
      <c r="P132" s="9"/>
      <c r="Q132" s="9"/>
      <c r="R132" s="9"/>
    </row>
    <row r="133" spans="3:18">
      <c r="C133" s="144"/>
      <c r="D133" s="144"/>
      <c r="E133" s="144"/>
      <c r="F133" s="144"/>
      <c r="G133" s="144"/>
      <c r="H133" s="144"/>
      <c r="I133" s="144"/>
      <c r="J133" s="144"/>
      <c r="K133" s="144"/>
      <c r="L133" s="144"/>
      <c r="M133" s="144"/>
      <c r="N133" s="144"/>
      <c r="O133" s="144"/>
      <c r="P133" s="9"/>
      <c r="Q133" s="9"/>
      <c r="R133" s="9"/>
    </row>
    <row r="134" spans="3:18">
      <c r="C134" s="144"/>
      <c r="D134" s="144"/>
      <c r="E134" s="144"/>
      <c r="F134" s="144"/>
      <c r="G134" s="144"/>
      <c r="H134" s="144"/>
      <c r="I134" s="144"/>
      <c r="J134" s="144"/>
      <c r="K134" s="144"/>
      <c r="L134" s="144"/>
      <c r="M134" s="144"/>
      <c r="N134" s="144"/>
      <c r="O134" s="144"/>
      <c r="P134" s="9"/>
      <c r="Q134" s="9"/>
      <c r="R134" s="9"/>
    </row>
    <row r="135" spans="3:18">
      <c r="C135" s="144"/>
      <c r="D135" s="144"/>
      <c r="E135" s="144"/>
      <c r="F135" s="144"/>
      <c r="G135" s="144"/>
      <c r="H135" s="144"/>
      <c r="I135" s="144"/>
      <c r="J135" s="144"/>
      <c r="K135" s="144"/>
      <c r="L135" s="144"/>
      <c r="M135" s="144"/>
      <c r="N135" s="144"/>
      <c r="O135" s="144"/>
      <c r="P135" s="9"/>
      <c r="Q135" s="9"/>
      <c r="R135" s="9"/>
    </row>
    <row r="136" spans="3:18">
      <c r="C136" s="144"/>
      <c r="D136" s="144"/>
      <c r="E136" s="144"/>
      <c r="F136" s="144"/>
      <c r="G136" s="144"/>
      <c r="H136" s="144"/>
      <c r="I136" s="144"/>
      <c r="J136" s="144"/>
      <c r="K136" s="144"/>
      <c r="L136" s="144"/>
      <c r="M136" s="144"/>
      <c r="N136" s="144"/>
      <c r="O136" s="144"/>
      <c r="P136" s="9"/>
      <c r="Q136" s="9"/>
      <c r="R136" s="9"/>
    </row>
    <row r="137" spans="3:18">
      <c r="C137" s="144"/>
      <c r="D137" s="144"/>
      <c r="E137" s="144"/>
      <c r="F137" s="144"/>
      <c r="G137" s="144"/>
      <c r="H137" s="144"/>
      <c r="I137" s="144"/>
      <c r="J137" s="144"/>
      <c r="K137" s="144"/>
      <c r="L137" s="144"/>
      <c r="M137" s="144"/>
      <c r="N137" s="144"/>
      <c r="O137" s="144"/>
      <c r="P137" s="9"/>
      <c r="Q137" s="9"/>
      <c r="R137" s="9"/>
    </row>
    <row r="138" spans="3:18">
      <c r="C138" s="144"/>
      <c r="D138" s="144"/>
      <c r="E138" s="144"/>
      <c r="F138" s="144"/>
      <c r="G138" s="144"/>
      <c r="H138" s="144"/>
      <c r="I138" s="144"/>
      <c r="J138" s="144"/>
      <c r="K138" s="144"/>
      <c r="L138" s="144"/>
      <c r="M138" s="144"/>
      <c r="N138" s="144"/>
      <c r="O138" s="144"/>
      <c r="P138" s="9"/>
      <c r="Q138" s="9"/>
      <c r="R138" s="9"/>
    </row>
    <row r="139" spans="3:18">
      <c r="C139" s="144"/>
      <c r="D139" s="144"/>
      <c r="E139" s="144"/>
      <c r="F139" s="144"/>
      <c r="G139" s="144"/>
      <c r="H139" s="144"/>
      <c r="I139" s="144"/>
      <c r="J139" s="144"/>
      <c r="K139" s="144"/>
      <c r="L139" s="144"/>
      <c r="M139" s="144"/>
      <c r="N139" s="144"/>
      <c r="O139" s="144"/>
      <c r="P139" s="9"/>
      <c r="Q139" s="9"/>
      <c r="R139" s="9"/>
    </row>
    <row r="140" spans="3:18">
      <c r="C140" s="144"/>
      <c r="D140" s="144"/>
      <c r="E140" s="144"/>
      <c r="F140" s="144"/>
      <c r="G140" s="144"/>
      <c r="H140" s="144"/>
      <c r="I140" s="144"/>
      <c r="J140" s="144"/>
      <c r="K140" s="144"/>
      <c r="L140" s="144"/>
      <c r="M140" s="144"/>
      <c r="N140" s="144"/>
      <c r="O140" s="144"/>
      <c r="P140" s="9"/>
      <c r="Q140" s="9"/>
      <c r="R140" s="9"/>
    </row>
    <row r="141" spans="3:18">
      <c r="C141" s="144"/>
      <c r="D141" s="144"/>
      <c r="E141" s="144"/>
      <c r="F141" s="144"/>
      <c r="G141" s="144"/>
      <c r="H141" s="144"/>
      <c r="I141" s="144"/>
      <c r="J141" s="144"/>
      <c r="K141" s="144"/>
      <c r="L141" s="144"/>
      <c r="M141" s="144"/>
      <c r="N141" s="144"/>
      <c r="O141" s="144"/>
      <c r="P141" s="9"/>
      <c r="Q141" s="9"/>
      <c r="R141" s="9"/>
    </row>
    <row r="142" spans="3:18">
      <c r="C142" s="144"/>
      <c r="D142" s="144"/>
      <c r="E142" s="144"/>
      <c r="F142" s="144"/>
      <c r="G142" s="144"/>
      <c r="H142" s="144"/>
      <c r="I142" s="144"/>
      <c r="J142" s="144"/>
      <c r="K142" s="144"/>
      <c r="L142" s="144"/>
      <c r="M142" s="144"/>
      <c r="N142" s="144"/>
      <c r="O142" s="144"/>
      <c r="P142" s="9"/>
      <c r="Q142" s="9"/>
      <c r="R142" s="9"/>
    </row>
    <row r="143" spans="3:18">
      <c r="C143" s="144"/>
      <c r="D143" s="144"/>
      <c r="E143" s="144"/>
      <c r="F143" s="144"/>
      <c r="G143" s="144"/>
      <c r="H143" s="144"/>
      <c r="I143" s="144"/>
      <c r="J143" s="144"/>
      <c r="K143" s="144"/>
      <c r="L143" s="144"/>
      <c r="M143" s="144"/>
      <c r="N143" s="144"/>
      <c r="O143" s="144"/>
      <c r="P143" s="9"/>
      <c r="Q143" s="9"/>
      <c r="R143" s="9"/>
    </row>
    <row r="144" spans="3:18">
      <c r="C144" s="144"/>
      <c r="D144" s="144"/>
      <c r="E144" s="144"/>
      <c r="F144" s="144"/>
      <c r="G144" s="144"/>
      <c r="H144" s="144"/>
      <c r="I144" s="144"/>
      <c r="J144" s="144"/>
      <c r="K144" s="144"/>
      <c r="L144" s="144"/>
      <c r="M144" s="144"/>
      <c r="N144" s="144"/>
      <c r="O144" s="144"/>
      <c r="P144" s="9"/>
      <c r="Q144" s="9"/>
      <c r="R144" s="9"/>
    </row>
    <row r="145" spans="3:18">
      <c r="C145" s="144"/>
      <c r="D145" s="144"/>
      <c r="E145" s="144"/>
      <c r="F145" s="144"/>
      <c r="G145" s="144"/>
      <c r="H145" s="144"/>
      <c r="I145" s="144"/>
      <c r="J145" s="144"/>
      <c r="K145" s="144"/>
      <c r="L145" s="144"/>
      <c r="M145" s="144"/>
      <c r="N145" s="144"/>
      <c r="O145" s="144"/>
      <c r="P145" s="9"/>
      <c r="Q145" s="9"/>
      <c r="R145" s="9"/>
    </row>
    <row r="146" spans="3:18">
      <c r="C146" s="144"/>
      <c r="D146" s="144"/>
      <c r="E146" s="144"/>
      <c r="F146" s="144"/>
      <c r="G146" s="144"/>
      <c r="H146" s="144"/>
      <c r="I146" s="144"/>
      <c r="J146" s="144"/>
      <c r="K146" s="144"/>
      <c r="L146" s="144"/>
      <c r="M146" s="144"/>
      <c r="N146" s="144"/>
      <c r="O146" s="144"/>
      <c r="P146" s="9"/>
      <c r="Q146" s="9"/>
      <c r="R146" s="9"/>
    </row>
    <row r="147" spans="3:18">
      <c r="C147" s="144"/>
      <c r="D147" s="144"/>
      <c r="E147" s="144"/>
      <c r="F147" s="144"/>
      <c r="G147" s="144"/>
      <c r="H147" s="144"/>
      <c r="I147" s="144"/>
      <c r="J147" s="144"/>
      <c r="K147" s="144"/>
      <c r="L147" s="144"/>
      <c r="M147" s="144"/>
      <c r="N147" s="144"/>
      <c r="O147" s="144"/>
      <c r="P147" s="9"/>
      <c r="Q147" s="9"/>
      <c r="R147" s="9"/>
    </row>
    <row r="148" spans="3:18">
      <c r="C148" s="144"/>
      <c r="D148" s="144"/>
      <c r="E148" s="144"/>
      <c r="F148" s="144"/>
      <c r="G148" s="144"/>
      <c r="H148" s="144"/>
      <c r="I148" s="144"/>
      <c r="J148" s="144"/>
      <c r="K148" s="144"/>
      <c r="L148" s="144"/>
      <c r="M148" s="144"/>
      <c r="N148" s="144"/>
      <c r="O148" s="144"/>
      <c r="P148" s="9"/>
      <c r="Q148" s="9"/>
      <c r="R148" s="9"/>
    </row>
    <row r="149" spans="3:18">
      <c r="C149" s="144"/>
      <c r="D149" s="144"/>
      <c r="E149" s="144"/>
      <c r="F149" s="144"/>
      <c r="G149" s="144"/>
      <c r="H149" s="144"/>
      <c r="I149" s="144"/>
      <c r="J149" s="144"/>
      <c r="K149" s="144"/>
      <c r="L149" s="144"/>
      <c r="M149" s="144"/>
      <c r="N149" s="144"/>
      <c r="O149" s="144"/>
      <c r="P149" s="9"/>
      <c r="Q149" s="9"/>
      <c r="R149" s="9"/>
    </row>
    <row r="150" spans="3:18">
      <c r="C150" s="144"/>
      <c r="D150" s="144"/>
      <c r="E150" s="144"/>
      <c r="F150" s="144"/>
      <c r="G150" s="144"/>
      <c r="H150" s="144"/>
      <c r="I150" s="144"/>
      <c r="J150" s="144"/>
      <c r="K150" s="144"/>
      <c r="L150" s="144"/>
      <c r="M150" s="144"/>
      <c r="N150" s="144"/>
      <c r="O150" s="144"/>
      <c r="P150" s="9"/>
      <c r="Q150" s="9"/>
      <c r="R150" s="9"/>
    </row>
    <row r="151" spans="3:18">
      <c r="C151" s="144"/>
      <c r="D151" s="144"/>
      <c r="E151" s="144"/>
      <c r="F151" s="144"/>
      <c r="G151" s="144"/>
      <c r="H151" s="144"/>
      <c r="I151" s="144"/>
      <c r="J151" s="144"/>
      <c r="K151" s="144"/>
      <c r="L151" s="144"/>
      <c r="M151" s="144"/>
      <c r="N151" s="144"/>
      <c r="O151" s="144"/>
      <c r="P151" s="9"/>
      <c r="Q151" s="9"/>
      <c r="R151" s="9"/>
    </row>
    <row r="152" spans="3:18">
      <c r="C152" s="144"/>
      <c r="D152" s="144"/>
      <c r="E152" s="144"/>
      <c r="F152" s="144"/>
      <c r="G152" s="144"/>
      <c r="H152" s="144"/>
      <c r="I152" s="144"/>
      <c r="J152" s="144"/>
      <c r="K152" s="144"/>
      <c r="L152" s="144"/>
      <c r="M152" s="144"/>
      <c r="N152" s="144"/>
      <c r="O152" s="144"/>
      <c r="P152" s="9"/>
      <c r="Q152" s="9"/>
      <c r="R152" s="9"/>
    </row>
    <row r="153" spans="3:18">
      <c r="C153" s="144"/>
      <c r="D153" s="144"/>
      <c r="E153" s="144"/>
      <c r="F153" s="144"/>
      <c r="G153" s="144"/>
      <c r="H153" s="144"/>
      <c r="I153" s="144"/>
      <c r="J153" s="144"/>
      <c r="K153" s="144"/>
      <c r="L153" s="144"/>
      <c r="M153" s="144"/>
      <c r="N153" s="144"/>
      <c r="O153" s="144"/>
      <c r="P153" s="9"/>
      <c r="Q153" s="9"/>
      <c r="R153" s="9"/>
    </row>
    <row r="154" spans="3:18">
      <c r="C154" s="144"/>
      <c r="D154" s="144"/>
      <c r="E154" s="144"/>
      <c r="F154" s="144"/>
      <c r="G154" s="144"/>
      <c r="H154" s="144"/>
      <c r="I154" s="144"/>
      <c r="J154" s="144"/>
      <c r="K154" s="144"/>
      <c r="L154" s="144"/>
      <c r="M154" s="144"/>
      <c r="N154" s="144"/>
      <c r="O154" s="144"/>
      <c r="P154" s="9"/>
      <c r="Q154" s="9"/>
      <c r="R154" s="9"/>
    </row>
    <row r="155" spans="3:18">
      <c r="C155" s="144"/>
      <c r="D155" s="144"/>
      <c r="E155" s="144"/>
      <c r="F155" s="144"/>
      <c r="G155" s="144"/>
      <c r="H155" s="144"/>
      <c r="I155" s="144"/>
      <c r="J155" s="144"/>
      <c r="K155" s="144"/>
      <c r="L155" s="144"/>
      <c r="M155" s="144"/>
      <c r="N155" s="144"/>
      <c r="O155" s="144"/>
      <c r="P155" s="9"/>
      <c r="Q155" s="9"/>
      <c r="R155" s="9"/>
    </row>
    <row r="156" spans="3:18">
      <c r="C156" s="144"/>
      <c r="D156" s="144"/>
      <c r="E156" s="144"/>
      <c r="F156" s="144"/>
      <c r="G156" s="144"/>
      <c r="H156" s="144"/>
      <c r="I156" s="144"/>
      <c r="J156" s="144"/>
      <c r="K156" s="144"/>
      <c r="L156" s="144"/>
      <c r="M156" s="144"/>
      <c r="N156" s="144"/>
      <c r="O156" s="144"/>
      <c r="P156" s="9"/>
      <c r="Q156" s="9"/>
      <c r="R156" s="9"/>
    </row>
    <row r="157" spans="3:18">
      <c r="C157" s="144"/>
      <c r="D157" s="144"/>
      <c r="E157" s="144"/>
      <c r="F157" s="144"/>
      <c r="G157" s="144"/>
      <c r="H157" s="144"/>
      <c r="I157" s="144"/>
      <c r="J157" s="144"/>
      <c r="K157" s="144"/>
      <c r="L157" s="144"/>
      <c r="M157" s="144"/>
      <c r="N157" s="144"/>
      <c r="O157" s="144"/>
      <c r="P157" s="9"/>
      <c r="Q157" s="9"/>
      <c r="R157" s="9"/>
    </row>
    <row r="158" spans="3:18">
      <c r="C158" s="144"/>
      <c r="D158" s="144"/>
      <c r="E158" s="144"/>
      <c r="F158" s="144"/>
      <c r="G158" s="144"/>
      <c r="H158" s="144"/>
      <c r="I158" s="144"/>
      <c r="J158" s="144"/>
      <c r="K158" s="144"/>
      <c r="L158" s="144"/>
      <c r="M158" s="144"/>
      <c r="N158" s="144"/>
      <c r="O158" s="144"/>
      <c r="P158" s="9"/>
      <c r="Q158" s="9"/>
      <c r="R158" s="9"/>
    </row>
    <row r="159" spans="3:18">
      <c r="C159" s="144"/>
      <c r="D159" s="144"/>
      <c r="E159" s="144"/>
      <c r="F159" s="144"/>
      <c r="G159" s="144"/>
      <c r="H159" s="144"/>
      <c r="I159" s="144"/>
      <c r="J159" s="144"/>
      <c r="K159" s="144"/>
      <c r="L159" s="144"/>
      <c r="M159" s="144"/>
      <c r="N159" s="144"/>
      <c r="O159" s="144"/>
      <c r="P159" s="9"/>
      <c r="Q159" s="9"/>
      <c r="R159" s="9"/>
    </row>
    <row r="160" spans="3:18">
      <c r="C160" s="144"/>
      <c r="D160" s="144"/>
      <c r="E160" s="144"/>
      <c r="F160" s="144"/>
      <c r="G160" s="144"/>
      <c r="H160" s="144"/>
      <c r="I160" s="144"/>
      <c r="J160" s="144"/>
      <c r="K160" s="144"/>
      <c r="L160" s="144"/>
      <c r="M160" s="144"/>
      <c r="N160" s="144"/>
      <c r="O160" s="144"/>
      <c r="P160" s="9"/>
      <c r="Q160" s="9"/>
      <c r="R160" s="9"/>
    </row>
    <row r="161" spans="3:18">
      <c r="C161" s="144"/>
      <c r="D161" s="144"/>
      <c r="E161" s="144"/>
      <c r="F161" s="144"/>
      <c r="G161" s="144"/>
      <c r="H161" s="144"/>
      <c r="I161" s="144"/>
      <c r="J161" s="144"/>
      <c r="K161" s="144"/>
      <c r="L161" s="144"/>
      <c r="M161" s="144"/>
      <c r="N161" s="144"/>
      <c r="O161" s="144"/>
      <c r="P161" s="9"/>
      <c r="Q161" s="9"/>
      <c r="R161" s="9"/>
    </row>
    <row r="162" spans="3:18">
      <c r="C162" s="144"/>
      <c r="D162" s="144"/>
      <c r="E162" s="144"/>
      <c r="F162" s="144"/>
      <c r="G162" s="144"/>
      <c r="H162" s="144"/>
      <c r="I162" s="144"/>
      <c r="J162" s="144"/>
      <c r="K162" s="144"/>
      <c r="L162" s="144"/>
      <c r="M162" s="144"/>
      <c r="N162" s="144"/>
      <c r="O162" s="144"/>
      <c r="P162" s="9"/>
      <c r="Q162" s="9"/>
      <c r="R162" s="9"/>
    </row>
    <row r="163" spans="3:18">
      <c r="C163" s="144"/>
      <c r="D163" s="144"/>
      <c r="E163" s="144"/>
      <c r="F163" s="144"/>
      <c r="G163" s="144"/>
      <c r="H163" s="144"/>
      <c r="I163" s="144"/>
      <c r="J163" s="144"/>
      <c r="K163" s="144"/>
      <c r="L163" s="144"/>
      <c r="M163" s="144"/>
      <c r="N163" s="144"/>
      <c r="O163" s="144"/>
      <c r="P163" s="9"/>
      <c r="Q163" s="9"/>
      <c r="R163" s="9"/>
    </row>
    <row r="164" spans="3:18">
      <c r="C164" s="144"/>
      <c r="D164" s="144"/>
      <c r="E164" s="144"/>
      <c r="F164" s="144"/>
      <c r="G164" s="144"/>
      <c r="H164" s="144"/>
      <c r="I164" s="144"/>
      <c r="J164" s="144"/>
      <c r="K164" s="144"/>
      <c r="L164" s="144"/>
      <c r="M164" s="144"/>
      <c r="N164" s="144"/>
      <c r="O164" s="144"/>
      <c r="P164" s="9"/>
      <c r="Q164" s="9"/>
      <c r="R164" s="9"/>
    </row>
    <row r="165" spans="3:18">
      <c r="C165" s="144"/>
      <c r="D165" s="144"/>
      <c r="E165" s="144"/>
      <c r="F165" s="144"/>
      <c r="G165" s="144"/>
      <c r="H165" s="144"/>
      <c r="I165" s="144"/>
      <c r="J165" s="144"/>
      <c r="K165" s="144"/>
      <c r="L165" s="144"/>
      <c r="M165" s="144"/>
      <c r="N165" s="144"/>
      <c r="O165" s="144"/>
      <c r="P165" s="9"/>
      <c r="Q165" s="9"/>
      <c r="R165" s="9"/>
    </row>
    <row r="166" spans="3:18">
      <c r="C166" s="144"/>
      <c r="D166" s="144"/>
      <c r="E166" s="144"/>
      <c r="F166" s="144"/>
      <c r="G166" s="144"/>
      <c r="H166" s="144"/>
      <c r="I166" s="144"/>
      <c r="J166" s="144"/>
      <c r="K166" s="144"/>
      <c r="L166" s="144"/>
      <c r="M166" s="144"/>
      <c r="N166" s="144"/>
      <c r="O166" s="144"/>
      <c r="P166" s="9"/>
      <c r="Q166" s="9"/>
      <c r="R166" s="9"/>
    </row>
    <row r="167" spans="3:18">
      <c r="C167" s="144"/>
      <c r="D167" s="144"/>
      <c r="E167" s="144"/>
      <c r="F167" s="144"/>
      <c r="G167" s="144"/>
      <c r="H167" s="144"/>
      <c r="I167" s="144"/>
      <c r="J167" s="144"/>
      <c r="K167" s="144"/>
      <c r="L167" s="144"/>
      <c r="M167" s="144"/>
      <c r="N167" s="144"/>
      <c r="O167" s="144"/>
      <c r="P167" s="9"/>
      <c r="Q167" s="9"/>
      <c r="R167" s="9"/>
    </row>
    <row r="168" spans="3:18">
      <c r="C168" s="144"/>
      <c r="D168" s="144"/>
      <c r="E168" s="144"/>
      <c r="F168" s="144"/>
      <c r="G168" s="144"/>
      <c r="H168" s="144"/>
      <c r="I168" s="144"/>
      <c r="J168" s="144"/>
      <c r="K168" s="144"/>
      <c r="L168" s="144"/>
      <c r="M168" s="144"/>
      <c r="N168" s="144"/>
      <c r="O168" s="144"/>
      <c r="P168" s="9"/>
      <c r="Q168" s="9"/>
      <c r="R168" s="9"/>
    </row>
    <row r="169" spans="3:18">
      <c r="C169" s="144"/>
      <c r="D169" s="144"/>
      <c r="E169" s="144"/>
      <c r="F169" s="144"/>
      <c r="G169" s="144"/>
      <c r="H169" s="144"/>
      <c r="I169" s="144"/>
      <c r="J169" s="144"/>
      <c r="K169" s="144"/>
      <c r="L169" s="144"/>
      <c r="M169" s="144"/>
      <c r="N169" s="144"/>
      <c r="O169" s="144"/>
      <c r="P169" s="9"/>
      <c r="Q169" s="9"/>
      <c r="R169" s="9"/>
    </row>
    <row r="170" spans="3:18">
      <c r="C170" s="144"/>
      <c r="D170" s="144"/>
      <c r="E170" s="144"/>
      <c r="F170" s="144"/>
      <c r="G170" s="144"/>
      <c r="H170" s="144"/>
      <c r="I170" s="144"/>
      <c r="J170" s="144"/>
      <c r="K170" s="144"/>
      <c r="L170" s="144"/>
      <c r="M170" s="144"/>
      <c r="N170" s="144"/>
      <c r="O170" s="144"/>
      <c r="P170" s="9"/>
      <c r="Q170" s="9"/>
      <c r="R170" s="9"/>
    </row>
    <row r="171" spans="3:18">
      <c r="C171" s="144"/>
      <c r="D171" s="144"/>
      <c r="E171" s="144"/>
      <c r="F171" s="144"/>
      <c r="G171" s="144"/>
      <c r="H171" s="144"/>
      <c r="I171" s="144"/>
      <c r="J171" s="144"/>
      <c r="K171" s="144"/>
      <c r="L171" s="144"/>
      <c r="M171" s="144"/>
      <c r="N171" s="144"/>
      <c r="O171" s="144"/>
      <c r="P171" s="9"/>
      <c r="Q171" s="9"/>
      <c r="R171" s="9"/>
    </row>
    <row r="172" spans="3:18">
      <c r="C172" s="144"/>
      <c r="D172" s="144"/>
      <c r="E172" s="144"/>
      <c r="F172" s="144"/>
      <c r="G172" s="144"/>
      <c r="H172" s="144"/>
      <c r="I172" s="144"/>
      <c r="J172" s="144"/>
      <c r="K172" s="144"/>
      <c r="L172" s="144"/>
      <c r="M172" s="144"/>
      <c r="N172" s="144"/>
      <c r="O172" s="144"/>
      <c r="P172" s="9"/>
      <c r="Q172" s="9"/>
      <c r="R172" s="9"/>
    </row>
    <row r="173" spans="3:18">
      <c r="C173" s="144"/>
      <c r="D173" s="144"/>
      <c r="E173" s="144"/>
      <c r="F173" s="144"/>
      <c r="G173" s="144"/>
      <c r="H173" s="144"/>
      <c r="I173" s="144"/>
      <c r="J173" s="144"/>
      <c r="K173" s="144"/>
      <c r="L173" s="144"/>
      <c r="M173" s="144"/>
      <c r="N173" s="144"/>
      <c r="O173" s="144"/>
      <c r="P173" s="9"/>
      <c r="Q173" s="9"/>
      <c r="R173" s="9"/>
    </row>
    <row r="174" spans="3:18">
      <c r="C174" s="144"/>
      <c r="D174" s="144"/>
      <c r="E174" s="144"/>
      <c r="F174" s="144"/>
      <c r="G174" s="144"/>
      <c r="H174" s="144"/>
      <c r="I174" s="144"/>
      <c r="J174" s="144"/>
      <c r="K174" s="144"/>
      <c r="L174" s="144"/>
      <c r="M174" s="144"/>
      <c r="N174" s="144"/>
      <c r="O174" s="144"/>
      <c r="P174" s="9"/>
      <c r="Q174" s="9"/>
      <c r="R174" s="9"/>
    </row>
    <row r="175" spans="3:18">
      <c r="C175" s="144"/>
      <c r="D175" s="144"/>
      <c r="E175" s="144"/>
      <c r="F175" s="144"/>
      <c r="G175" s="144"/>
      <c r="H175" s="144"/>
      <c r="I175" s="144"/>
      <c r="J175" s="144"/>
      <c r="K175" s="144"/>
      <c r="L175" s="144"/>
      <c r="M175" s="144"/>
      <c r="N175" s="144"/>
      <c r="O175" s="144"/>
      <c r="P175" s="9"/>
      <c r="Q175" s="9"/>
      <c r="R175" s="9"/>
    </row>
    <row r="176" spans="3:18">
      <c r="C176" s="144"/>
      <c r="D176" s="144"/>
      <c r="E176" s="144"/>
      <c r="F176" s="144"/>
      <c r="G176" s="144"/>
      <c r="H176" s="144"/>
      <c r="I176" s="144"/>
      <c r="J176" s="144"/>
      <c r="K176" s="144"/>
      <c r="L176" s="144"/>
      <c r="M176" s="144"/>
      <c r="N176" s="144"/>
      <c r="O176" s="144"/>
      <c r="P176" s="9"/>
      <c r="Q176" s="9"/>
      <c r="R176" s="9"/>
    </row>
    <row r="177" spans="3:18">
      <c r="C177" s="144"/>
      <c r="D177" s="144"/>
      <c r="E177" s="144"/>
      <c r="F177" s="144"/>
      <c r="G177" s="144"/>
      <c r="H177" s="144"/>
      <c r="I177" s="144"/>
      <c r="J177" s="144"/>
      <c r="K177" s="144"/>
      <c r="L177" s="144"/>
      <c r="M177" s="144"/>
      <c r="N177" s="144"/>
      <c r="O177" s="144"/>
      <c r="P177" s="9"/>
      <c r="Q177" s="9"/>
      <c r="R177" s="9"/>
    </row>
    <row r="178" spans="3:18">
      <c r="C178" s="144"/>
      <c r="D178" s="144"/>
      <c r="E178" s="144"/>
      <c r="F178" s="144"/>
      <c r="G178" s="144"/>
      <c r="H178" s="144"/>
      <c r="I178" s="144"/>
      <c r="J178" s="144"/>
      <c r="K178" s="144"/>
      <c r="L178" s="144"/>
      <c r="M178" s="144"/>
      <c r="N178" s="144"/>
      <c r="O178" s="144"/>
      <c r="P178" s="9"/>
      <c r="Q178" s="9"/>
      <c r="R178" s="9"/>
    </row>
    <row r="179" spans="3:18">
      <c r="C179" s="144"/>
      <c r="D179" s="144"/>
      <c r="E179" s="144"/>
      <c r="F179" s="144"/>
      <c r="G179" s="144"/>
      <c r="H179" s="144"/>
      <c r="I179" s="144"/>
      <c r="J179" s="144"/>
      <c r="K179" s="144"/>
      <c r="L179" s="144"/>
      <c r="M179" s="144"/>
      <c r="N179" s="144"/>
      <c r="O179" s="144"/>
      <c r="P179" s="9"/>
      <c r="Q179" s="9"/>
      <c r="R179" s="9"/>
    </row>
    <row r="180" spans="3:18">
      <c r="C180" s="144"/>
      <c r="D180" s="144"/>
      <c r="E180" s="144"/>
      <c r="F180" s="144"/>
      <c r="G180" s="144"/>
      <c r="H180" s="144"/>
      <c r="I180" s="144"/>
      <c r="J180" s="144"/>
      <c r="K180" s="144"/>
      <c r="L180" s="144"/>
      <c r="M180" s="144"/>
      <c r="N180" s="144"/>
      <c r="O180" s="144"/>
      <c r="P180" s="9"/>
      <c r="Q180" s="9"/>
      <c r="R180" s="9"/>
    </row>
    <row r="181" spans="3:18">
      <c r="C181" s="144"/>
      <c r="D181" s="144"/>
      <c r="E181" s="144"/>
      <c r="F181" s="144"/>
      <c r="G181" s="144"/>
      <c r="H181" s="144"/>
      <c r="I181" s="144"/>
      <c r="J181" s="144"/>
      <c r="K181" s="144"/>
      <c r="L181" s="144"/>
      <c r="M181" s="144"/>
      <c r="N181" s="144"/>
      <c r="O181" s="144"/>
      <c r="P181" s="9"/>
      <c r="Q181" s="9"/>
      <c r="R181" s="9"/>
    </row>
    <row r="182" spans="3:18">
      <c r="C182" s="144"/>
      <c r="D182" s="144"/>
      <c r="E182" s="144"/>
      <c r="F182" s="144"/>
      <c r="G182" s="144"/>
      <c r="H182" s="144"/>
      <c r="I182" s="144"/>
      <c r="J182" s="144"/>
      <c r="K182" s="144"/>
      <c r="L182" s="144"/>
      <c r="M182" s="144"/>
      <c r="N182" s="144"/>
      <c r="O182" s="144"/>
      <c r="P182" s="9"/>
      <c r="Q182" s="9"/>
      <c r="R182" s="9"/>
    </row>
    <row r="183" spans="3:18">
      <c r="C183" s="144"/>
      <c r="D183" s="144"/>
      <c r="E183" s="144"/>
      <c r="F183" s="144"/>
      <c r="G183" s="144"/>
      <c r="H183" s="144"/>
      <c r="I183" s="144"/>
      <c r="J183" s="144"/>
      <c r="K183" s="144"/>
      <c r="L183" s="144"/>
      <c r="M183" s="144"/>
      <c r="N183" s="144"/>
      <c r="O183" s="144"/>
      <c r="P183" s="9"/>
      <c r="Q183" s="9"/>
      <c r="R183" s="9"/>
    </row>
    <row r="184" spans="3:18">
      <c r="C184" s="144"/>
      <c r="D184" s="144"/>
      <c r="E184" s="144"/>
      <c r="F184" s="144"/>
      <c r="G184" s="144"/>
      <c r="H184" s="144"/>
      <c r="I184" s="144"/>
      <c r="J184" s="144"/>
      <c r="K184" s="144"/>
      <c r="L184" s="144"/>
      <c r="M184" s="144"/>
      <c r="N184" s="144"/>
      <c r="O184" s="144"/>
      <c r="P184" s="9"/>
      <c r="Q184" s="9"/>
      <c r="R184" s="9"/>
    </row>
    <row r="185" spans="3:18">
      <c r="C185" s="144"/>
      <c r="D185" s="144"/>
      <c r="E185" s="144"/>
      <c r="F185" s="144"/>
      <c r="G185" s="144"/>
      <c r="H185" s="144"/>
      <c r="I185" s="144"/>
      <c r="J185" s="144"/>
      <c r="K185" s="144"/>
      <c r="L185" s="144"/>
      <c r="M185" s="144"/>
      <c r="N185" s="144"/>
      <c r="O185" s="144"/>
      <c r="P185" s="9"/>
      <c r="Q185" s="9"/>
      <c r="R185" s="9"/>
    </row>
    <row r="186" spans="3:18">
      <c r="C186" s="144"/>
      <c r="D186" s="144"/>
      <c r="E186" s="144"/>
      <c r="F186" s="144"/>
      <c r="G186" s="144"/>
      <c r="H186" s="144"/>
      <c r="I186" s="144"/>
      <c r="J186" s="144"/>
      <c r="K186" s="144"/>
      <c r="L186" s="144"/>
      <c r="M186" s="144"/>
      <c r="N186" s="144"/>
      <c r="O186" s="144"/>
      <c r="P186" s="9"/>
      <c r="Q186" s="9"/>
      <c r="R186" s="9"/>
    </row>
    <row r="187" spans="3:18">
      <c r="C187" s="144"/>
      <c r="D187" s="144"/>
      <c r="E187" s="144"/>
      <c r="F187" s="144"/>
      <c r="G187" s="144"/>
      <c r="H187" s="144"/>
      <c r="I187" s="144"/>
      <c r="J187" s="144"/>
      <c r="K187" s="144"/>
      <c r="L187" s="144"/>
      <c r="M187" s="144"/>
      <c r="N187" s="144"/>
      <c r="O187" s="144"/>
      <c r="P187" s="9"/>
      <c r="Q187" s="9"/>
      <c r="R187" s="9"/>
    </row>
    <row r="188" spans="3:18">
      <c r="C188" s="144"/>
      <c r="D188" s="144"/>
      <c r="E188" s="144"/>
      <c r="F188" s="144"/>
      <c r="G188" s="144"/>
      <c r="H188" s="144"/>
      <c r="I188" s="144"/>
      <c r="J188" s="144"/>
      <c r="K188" s="144"/>
      <c r="L188" s="144"/>
      <c r="M188" s="144"/>
      <c r="N188" s="144"/>
      <c r="O188" s="144"/>
      <c r="P188" s="9"/>
      <c r="Q188" s="9"/>
      <c r="R188" s="9"/>
    </row>
    <row r="189" spans="3:18">
      <c r="C189" s="144"/>
      <c r="D189" s="144"/>
      <c r="E189" s="144"/>
      <c r="F189" s="144"/>
      <c r="G189" s="144"/>
      <c r="H189" s="144"/>
      <c r="I189" s="144"/>
      <c r="J189" s="144"/>
      <c r="K189" s="144"/>
      <c r="L189" s="144"/>
      <c r="M189" s="144"/>
      <c r="N189" s="144"/>
      <c r="O189" s="144"/>
      <c r="P189" s="9"/>
      <c r="Q189" s="9"/>
      <c r="R189" s="9"/>
    </row>
    <row r="190" spans="3:18">
      <c r="C190" s="144"/>
      <c r="D190" s="144"/>
      <c r="E190" s="144"/>
      <c r="F190" s="144"/>
      <c r="G190" s="144"/>
      <c r="H190" s="144"/>
      <c r="I190" s="144"/>
      <c r="J190" s="144"/>
      <c r="K190" s="144"/>
      <c r="L190" s="144"/>
      <c r="M190" s="144"/>
      <c r="N190" s="144"/>
      <c r="O190" s="144"/>
      <c r="P190" s="9"/>
      <c r="Q190" s="9"/>
      <c r="R190" s="9"/>
    </row>
    <row r="191" spans="3:18">
      <c r="C191" s="144"/>
      <c r="D191" s="144"/>
      <c r="E191" s="144"/>
      <c r="F191" s="144"/>
      <c r="G191" s="144"/>
      <c r="H191" s="144"/>
      <c r="I191" s="144"/>
      <c r="J191" s="144"/>
      <c r="K191" s="144"/>
      <c r="L191" s="144"/>
      <c r="M191" s="144"/>
      <c r="N191" s="144"/>
      <c r="O191" s="144"/>
      <c r="P191" s="9"/>
      <c r="Q191" s="9"/>
      <c r="R191" s="9"/>
    </row>
    <row r="192" spans="3:18">
      <c r="C192" s="144"/>
      <c r="D192" s="144"/>
      <c r="E192" s="144"/>
      <c r="F192" s="144"/>
      <c r="G192" s="144"/>
      <c r="H192" s="144"/>
      <c r="I192" s="144"/>
      <c r="J192" s="144"/>
      <c r="K192" s="144"/>
      <c r="L192" s="144"/>
      <c r="M192" s="144"/>
      <c r="N192" s="144"/>
      <c r="O192" s="144"/>
      <c r="P192" s="9"/>
      <c r="Q192" s="9"/>
      <c r="R192" s="9"/>
    </row>
    <row r="193" spans="3:18">
      <c r="C193" s="144"/>
      <c r="D193" s="144"/>
      <c r="E193" s="144"/>
      <c r="F193" s="144"/>
      <c r="G193" s="144"/>
      <c r="H193" s="144"/>
      <c r="I193" s="144"/>
      <c r="J193" s="144"/>
      <c r="K193" s="144"/>
      <c r="L193" s="144"/>
      <c r="M193" s="144"/>
      <c r="N193" s="144"/>
      <c r="O193" s="144"/>
      <c r="P193" s="9"/>
      <c r="Q193" s="9"/>
      <c r="R193" s="9"/>
    </row>
    <row r="194" spans="3:18">
      <c r="C194" s="144"/>
      <c r="D194" s="144"/>
      <c r="E194" s="144"/>
      <c r="F194" s="144"/>
      <c r="G194" s="144"/>
      <c r="H194" s="144"/>
      <c r="I194" s="144"/>
      <c r="J194" s="144"/>
      <c r="K194" s="144"/>
      <c r="L194" s="144"/>
      <c r="M194" s="144"/>
      <c r="N194" s="144"/>
      <c r="O194" s="144"/>
      <c r="P194" s="9"/>
      <c r="Q194" s="9"/>
      <c r="R194" s="9"/>
    </row>
    <row r="195" spans="3:18">
      <c r="C195" s="144"/>
      <c r="D195" s="144"/>
      <c r="E195" s="144"/>
      <c r="F195" s="144"/>
      <c r="G195" s="144"/>
      <c r="H195" s="144"/>
      <c r="I195" s="144"/>
      <c r="J195" s="144"/>
      <c r="K195" s="144"/>
      <c r="L195" s="144"/>
      <c r="M195" s="144"/>
      <c r="N195" s="144"/>
      <c r="O195" s="144"/>
      <c r="P195" s="9"/>
      <c r="Q195" s="9"/>
      <c r="R195" s="9"/>
    </row>
    <row r="196" spans="3:18">
      <c r="C196" s="144"/>
      <c r="D196" s="144"/>
      <c r="E196" s="144"/>
      <c r="F196" s="144"/>
      <c r="G196" s="144"/>
      <c r="H196" s="144"/>
      <c r="I196" s="144"/>
      <c r="J196" s="144"/>
      <c r="K196" s="144"/>
      <c r="L196" s="144"/>
      <c r="M196" s="144"/>
      <c r="N196" s="144"/>
      <c r="O196" s="144"/>
      <c r="P196" s="9"/>
      <c r="Q196" s="9"/>
      <c r="R196" s="9"/>
    </row>
    <row r="197" spans="3:18">
      <c r="C197" s="144"/>
      <c r="D197" s="144"/>
      <c r="E197" s="144"/>
      <c r="F197" s="144"/>
      <c r="G197" s="144"/>
      <c r="H197" s="144"/>
      <c r="I197" s="144"/>
      <c r="J197" s="144"/>
      <c r="K197" s="144"/>
      <c r="L197" s="144"/>
      <c r="M197" s="144"/>
      <c r="N197" s="144"/>
      <c r="O197" s="144"/>
      <c r="P197" s="9"/>
      <c r="Q197" s="9"/>
      <c r="R197" s="9"/>
    </row>
    <row r="198" spans="3:18">
      <c r="C198" s="144"/>
      <c r="D198" s="144"/>
      <c r="E198" s="144"/>
      <c r="F198" s="144"/>
      <c r="G198" s="144"/>
      <c r="H198" s="144"/>
      <c r="I198" s="144"/>
      <c r="J198" s="144"/>
      <c r="K198" s="144"/>
      <c r="L198" s="144"/>
      <c r="M198" s="144"/>
      <c r="N198" s="144"/>
      <c r="O198" s="144"/>
      <c r="P198" s="9"/>
      <c r="Q198" s="9"/>
      <c r="R198" s="9"/>
    </row>
    <row r="199" spans="3:18">
      <c r="C199" s="144"/>
      <c r="D199" s="144"/>
      <c r="E199" s="144"/>
      <c r="F199" s="144"/>
      <c r="G199" s="144"/>
      <c r="H199" s="144"/>
      <c r="I199" s="144"/>
      <c r="J199" s="144"/>
      <c r="K199" s="144"/>
      <c r="L199" s="144"/>
      <c r="M199" s="144"/>
      <c r="N199" s="144"/>
      <c r="O199" s="144"/>
      <c r="P199" s="9"/>
      <c r="Q199" s="9"/>
      <c r="R199" s="9"/>
    </row>
    <row r="200" spans="3:18">
      <c r="C200" s="144"/>
      <c r="D200" s="144"/>
      <c r="E200" s="144"/>
      <c r="F200" s="144"/>
      <c r="G200" s="144"/>
      <c r="H200" s="144"/>
      <c r="I200" s="144"/>
      <c r="J200" s="144"/>
      <c r="K200" s="144"/>
      <c r="L200" s="144"/>
      <c r="M200" s="144"/>
      <c r="N200" s="144"/>
      <c r="O200" s="144"/>
      <c r="P200" s="9"/>
      <c r="Q200" s="9"/>
      <c r="R200" s="9"/>
    </row>
    <row r="201" spans="3:18">
      <c r="C201" s="144"/>
      <c r="D201" s="144"/>
      <c r="E201" s="144"/>
      <c r="F201" s="144"/>
      <c r="G201" s="144"/>
      <c r="H201" s="144"/>
      <c r="I201" s="144"/>
      <c r="J201" s="144"/>
      <c r="K201" s="144"/>
      <c r="L201" s="144"/>
      <c r="M201" s="144"/>
      <c r="N201" s="144"/>
      <c r="O201" s="144"/>
      <c r="P201" s="9"/>
      <c r="Q201" s="9"/>
      <c r="R201" s="9"/>
    </row>
    <row r="202" spans="3:18">
      <c r="C202" s="144"/>
      <c r="D202" s="144"/>
      <c r="E202" s="144"/>
      <c r="F202" s="144"/>
      <c r="G202" s="144"/>
      <c r="H202" s="144"/>
      <c r="I202" s="144"/>
      <c r="J202" s="144"/>
      <c r="K202" s="144"/>
      <c r="L202" s="144"/>
      <c r="M202" s="144"/>
      <c r="N202" s="144"/>
      <c r="O202" s="144"/>
      <c r="P202" s="9"/>
      <c r="Q202" s="9"/>
      <c r="R202" s="9"/>
    </row>
    <row r="203" spans="3:18">
      <c r="C203" s="144"/>
      <c r="D203" s="144"/>
      <c r="E203" s="144"/>
      <c r="F203" s="144"/>
      <c r="G203" s="144"/>
      <c r="H203" s="144"/>
      <c r="I203" s="144"/>
      <c r="J203" s="144"/>
      <c r="K203" s="144"/>
      <c r="L203" s="144"/>
      <c r="M203" s="144"/>
      <c r="N203" s="144"/>
      <c r="O203" s="144"/>
      <c r="P203" s="9"/>
      <c r="Q203" s="9"/>
      <c r="R203" s="9"/>
    </row>
    <row r="204" spans="3:18">
      <c r="C204" s="144"/>
      <c r="D204" s="144"/>
      <c r="E204" s="144"/>
      <c r="F204" s="144"/>
      <c r="G204" s="144"/>
      <c r="H204" s="144"/>
      <c r="I204" s="144"/>
      <c r="J204" s="144"/>
      <c r="K204" s="144"/>
      <c r="L204" s="144"/>
      <c r="M204" s="144"/>
      <c r="N204" s="144"/>
      <c r="O204" s="144"/>
      <c r="P204" s="9"/>
      <c r="Q204" s="9"/>
      <c r="R204" s="9"/>
    </row>
    <row r="205" spans="3:18">
      <c r="C205" s="144"/>
      <c r="D205" s="144"/>
      <c r="E205" s="144"/>
      <c r="F205" s="144"/>
      <c r="G205" s="144"/>
      <c r="H205" s="144"/>
      <c r="I205" s="144"/>
      <c r="J205" s="144"/>
      <c r="K205" s="144"/>
      <c r="L205" s="144"/>
      <c r="M205" s="144"/>
      <c r="N205" s="144"/>
      <c r="O205" s="144"/>
      <c r="P205" s="9"/>
      <c r="Q205" s="9"/>
      <c r="R205" s="9"/>
    </row>
    <row r="206" spans="3:18">
      <c r="C206" s="144"/>
      <c r="D206" s="144"/>
      <c r="E206" s="144"/>
      <c r="F206" s="144"/>
      <c r="G206" s="144"/>
      <c r="H206" s="144"/>
      <c r="I206" s="144"/>
      <c r="J206" s="144"/>
      <c r="K206" s="144"/>
      <c r="L206" s="144"/>
      <c r="M206" s="144"/>
      <c r="N206" s="144"/>
      <c r="O206" s="144"/>
      <c r="P206" s="9"/>
      <c r="Q206" s="9"/>
      <c r="R206" s="9"/>
    </row>
    <row r="207" spans="3:18">
      <c r="C207" s="144"/>
      <c r="D207" s="144"/>
      <c r="E207" s="144"/>
      <c r="F207" s="144"/>
      <c r="G207" s="144"/>
      <c r="H207" s="144"/>
      <c r="I207" s="144"/>
      <c r="J207" s="144"/>
      <c r="K207" s="144"/>
      <c r="L207" s="144"/>
      <c r="M207" s="144"/>
      <c r="N207" s="144"/>
      <c r="O207" s="144"/>
      <c r="P207" s="9"/>
      <c r="Q207" s="9"/>
      <c r="R207" s="9"/>
    </row>
    <row r="208" spans="3:18">
      <c r="C208" s="144"/>
      <c r="D208" s="144"/>
      <c r="E208" s="144"/>
      <c r="F208" s="144"/>
      <c r="G208" s="144"/>
      <c r="H208" s="144"/>
      <c r="I208" s="144"/>
      <c r="J208" s="144"/>
      <c r="K208" s="144"/>
      <c r="L208" s="144"/>
      <c r="M208" s="144"/>
      <c r="N208" s="144"/>
      <c r="O208" s="144"/>
      <c r="P208" s="9"/>
      <c r="Q208" s="9"/>
      <c r="R208" s="9"/>
    </row>
    <row r="209" spans="3:18">
      <c r="C209" s="144"/>
      <c r="D209" s="144"/>
      <c r="E209" s="144"/>
      <c r="F209" s="144"/>
      <c r="G209" s="144"/>
      <c r="H209" s="144"/>
      <c r="I209" s="144"/>
      <c r="J209" s="144"/>
      <c r="K209" s="144"/>
      <c r="L209" s="144"/>
      <c r="M209" s="144"/>
      <c r="N209" s="144"/>
      <c r="O209" s="144"/>
      <c r="P209" s="9"/>
      <c r="Q209" s="9"/>
      <c r="R209" s="9"/>
    </row>
    <row r="210" spans="3:18">
      <c r="C210" s="144"/>
      <c r="D210" s="144"/>
      <c r="E210" s="144"/>
      <c r="F210" s="144"/>
      <c r="G210" s="144"/>
      <c r="H210" s="144"/>
      <c r="I210" s="144"/>
      <c r="J210" s="144"/>
      <c r="K210" s="144"/>
      <c r="L210" s="144"/>
      <c r="M210" s="144"/>
      <c r="N210" s="144"/>
      <c r="O210" s="144"/>
      <c r="P210" s="9"/>
      <c r="Q210" s="9"/>
      <c r="R210" s="9"/>
    </row>
    <row r="211" spans="3:18">
      <c r="C211" s="144"/>
      <c r="D211" s="144"/>
      <c r="E211" s="144"/>
      <c r="F211" s="144"/>
      <c r="G211" s="144"/>
      <c r="H211" s="144"/>
      <c r="I211" s="144"/>
      <c r="J211" s="144"/>
      <c r="K211" s="144"/>
      <c r="L211" s="144"/>
      <c r="M211" s="144"/>
      <c r="N211" s="144"/>
      <c r="O211" s="144"/>
      <c r="P211" s="9"/>
      <c r="Q211" s="9"/>
      <c r="R211" s="9"/>
    </row>
    <row r="212" spans="3:18">
      <c r="C212" s="144"/>
      <c r="D212" s="144"/>
      <c r="E212" s="144"/>
      <c r="F212" s="144"/>
      <c r="G212" s="144"/>
      <c r="H212" s="144"/>
      <c r="I212" s="144"/>
      <c r="J212" s="144"/>
      <c r="K212" s="144"/>
      <c r="L212" s="144"/>
      <c r="M212" s="144"/>
      <c r="N212" s="144"/>
      <c r="O212" s="144"/>
      <c r="P212" s="9"/>
      <c r="Q212" s="9"/>
      <c r="R212" s="9"/>
    </row>
    <row r="213" spans="3:18">
      <c r="C213" s="144"/>
      <c r="D213" s="144"/>
      <c r="E213" s="144"/>
      <c r="F213" s="144"/>
      <c r="G213" s="144"/>
      <c r="H213" s="144"/>
      <c r="I213" s="144"/>
      <c r="J213" s="144"/>
      <c r="K213" s="144"/>
      <c r="L213" s="144"/>
      <c r="M213" s="144"/>
      <c r="N213" s="144"/>
      <c r="O213" s="144"/>
      <c r="P213" s="9"/>
      <c r="Q213" s="9"/>
      <c r="R213" s="9"/>
    </row>
    <row r="214" spans="3:18">
      <c r="C214" s="144"/>
      <c r="D214" s="144"/>
      <c r="E214" s="144"/>
      <c r="F214" s="144"/>
      <c r="G214" s="144"/>
      <c r="H214" s="144"/>
      <c r="I214" s="144"/>
      <c r="J214" s="144"/>
      <c r="K214" s="144"/>
      <c r="L214" s="144"/>
      <c r="M214" s="144"/>
      <c r="N214" s="144"/>
      <c r="O214" s="144"/>
      <c r="P214" s="9"/>
      <c r="Q214" s="9"/>
      <c r="R214" s="9"/>
    </row>
    <row r="215" spans="3:18">
      <c r="C215" s="144"/>
      <c r="D215" s="144"/>
      <c r="E215" s="144"/>
      <c r="F215" s="144"/>
      <c r="G215" s="144"/>
      <c r="H215" s="144"/>
      <c r="I215" s="144"/>
      <c r="J215" s="144"/>
      <c r="K215" s="144"/>
      <c r="L215" s="144"/>
      <c r="M215" s="144"/>
      <c r="N215" s="144"/>
      <c r="O215" s="144"/>
      <c r="P215" s="9"/>
      <c r="Q215" s="9"/>
      <c r="R215" s="9"/>
    </row>
    <row r="216" spans="3:18">
      <c r="C216" s="144"/>
      <c r="D216" s="144"/>
      <c r="E216" s="144"/>
      <c r="F216" s="144"/>
      <c r="G216" s="144"/>
      <c r="H216" s="144"/>
      <c r="I216" s="144"/>
      <c r="J216" s="144"/>
      <c r="K216" s="144"/>
      <c r="L216" s="144"/>
      <c r="M216" s="144"/>
      <c r="N216" s="144"/>
      <c r="O216" s="144"/>
      <c r="P216" s="9"/>
      <c r="Q216" s="9"/>
      <c r="R216" s="9"/>
    </row>
    <row r="217" spans="3:18">
      <c r="C217" s="144"/>
      <c r="D217" s="144"/>
      <c r="E217" s="144"/>
      <c r="F217" s="144"/>
      <c r="G217" s="144"/>
      <c r="H217" s="144"/>
      <c r="I217" s="144"/>
      <c r="J217" s="144"/>
      <c r="K217" s="144"/>
      <c r="L217" s="144"/>
      <c r="M217" s="144"/>
      <c r="N217" s="144"/>
      <c r="O217" s="144"/>
      <c r="P217" s="9"/>
      <c r="Q217" s="9"/>
      <c r="R217" s="9"/>
    </row>
    <row r="218" spans="3:18">
      <c r="C218" s="144"/>
      <c r="D218" s="144"/>
      <c r="E218" s="144"/>
      <c r="F218" s="144"/>
      <c r="G218" s="144"/>
      <c r="H218" s="144"/>
      <c r="I218" s="144"/>
      <c r="J218" s="144"/>
      <c r="K218" s="144"/>
      <c r="L218" s="144"/>
      <c r="M218" s="144"/>
      <c r="N218" s="144"/>
      <c r="O218" s="144"/>
      <c r="P218" s="9"/>
      <c r="Q218" s="9"/>
      <c r="R218" s="9"/>
    </row>
    <row r="219" spans="3:18">
      <c r="C219" s="144"/>
      <c r="D219" s="144"/>
      <c r="E219" s="144"/>
      <c r="F219" s="144"/>
      <c r="G219" s="144"/>
      <c r="H219" s="144"/>
      <c r="I219" s="144"/>
      <c r="J219" s="144"/>
      <c r="K219" s="144"/>
      <c r="L219" s="144"/>
      <c r="M219" s="144"/>
      <c r="N219" s="144"/>
      <c r="O219" s="144"/>
      <c r="P219" s="9"/>
      <c r="Q219" s="9"/>
      <c r="R219" s="9"/>
    </row>
    <row r="220" spans="3:18">
      <c r="C220" s="144"/>
      <c r="D220" s="144"/>
      <c r="E220" s="144"/>
      <c r="F220" s="144"/>
      <c r="G220" s="144"/>
      <c r="H220" s="144"/>
      <c r="I220" s="144"/>
      <c r="J220" s="144"/>
      <c r="K220" s="144"/>
      <c r="L220" s="144"/>
      <c r="M220" s="144"/>
      <c r="N220" s="144"/>
      <c r="O220" s="144"/>
      <c r="P220" s="9"/>
      <c r="Q220" s="9"/>
      <c r="R220" s="9"/>
    </row>
    <row r="221" spans="3:18">
      <c r="C221" s="144"/>
      <c r="D221" s="144"/>
      <c r="E221" s="144"/>
      <c r="F221" s="144"/>
      <c r="G221" s="144"/>
      <c r="H221" s="144"/>
      <c r="I221" s="144"/>
      <c r="J221" s="144"/>
      <c r="K221" s="144"/>
      <c r="L221" s="144"/>
      <c r="M221" s="144"/>
      <c r="N221" s="144"/>
      <c r="O221" s="144"/>
      <c r="P221" s="9"/>
      <c r="Q221" s="9"/>
      <c r="R221" s="9"/>
    </row>
    <row r="222" spans="3:18">
      <c r="C222" s="144"/>
      <c r="D222" s="144"/>
      <c r="E222" s="144"/>
      <c r="F222" s="144"/>
      <c r="G222" s="144"/>
      <c r="H222" s="144"/>
      <c r="I222" s="144"/>
      <c r="J222" s="144"/>
      <c r="K222" s="144"/>
      <c r="L222" s="144"/>
      <c r="M222" s="144"/>
      <c r="N222" s="144"/>
      <c r="O222" s="144"/>
      <c r="P222" s="9"/>
      <c r="Q222" s="9"/>
      <c r="R222" s="9"/>
    </row>
    <row r="223" spans="3:18">
      <c r="C223" s="144"/>
      <c r="D223" s="144"/>
      <c r="E223" s="144"/>
      <c r="F223" s="144"/>
      <c r="G223" s="144"/>
      <c r="H223" s="144"/>
      <c r="I223" s="144"/>
      <c r="J223" s="144"/>
      <c r="K223" s="144"/>
      <c r="L223" s="144"/>
      <c r="M223" s="144"/>
      <c r="N223" s="144"/>
      <c r="O223" s="144"/>
      <c r="P223" s="9"/>
      <c r="Q223" s="9"/>
      <c r="R223" s="9"/>
    </row>
    <row r="224" spans="3:18">
      <c r="C224" s="144"/>
      <c r="D224" s="144"/>
      <c r="E224" s="144"/>
      <c r="F224" s="144"/>
      <c r="G224" s="144"/>
      <c r="H224" s="144"/>
      <c r="I224" s="144"/>
      <c r="J224" s="144"/>
      <c r="K224" s="144"/>
      <c r="L224" s="144"/>
      <c r="M224" s="144"/>
      <c r="N224" s="144"/>
      <c r="O224" s="144"/>
      <c r="P224" s="9"/>
      <c r="Q224" s="9"/>
      <c r="R224" s="9"/>
    </row>
    <row r="225" spans="3:18">
      <c r="C225" s="144"/>
      <c r="D225" s="144"/>
      <c r="E225" s="144"/>
      <c r="F225" s="144"/>
      <c r="G225" s="144"/>
      <c r="H225" s="144"/>
      <c r="I225" s="144"/>
      <c r="J225" s="144"/>
      <c r="K225" s="144"/>
      <c r="L225" s="144"/>
      <c r="M225" s="144"/>
      <c r="N225" s="144"/>
      <c r="O225" s="144"/>
      <c r="P225" s="9"/>
      <c r="Q225" s="9"/>
      <c r="R225" s="9"/>
    </row>
    <row r="226" spans="3:18">
      <c r="C226" s="144"/>
      <c r="D226" s="144"/>
      <c r="E226" s="144"/>
      <c r="F226" s="144"/>
      <c r="G226" s="144"/>
      <c r="H226" s="144"/>
      <c r="I226" s="144"/>
      <c r="J226" s="144"/>
      <c r="K226" s="144"/>
      <c r="L226" s="144"/>
      <c r="M226" s="144"/>
      <c r="N226" s="144"/>
      <c r="O226" s="144"/>
      <c r="P226" s="9"/>
      <c r="Q226" s="9"/>
      <c r="R226" s="9"/>
    </row>
    <row r="227" spans="3:18">
      <c r="C227" s="144"/>
      <c r="D227" s="144"/>
      <c r="E227" s="144"/>
      <c r="F227" s="144"/>
      <c r="G227" s="144"/>
      <c r="H227" s="144"/>
      <c r="I227" s="144"/>
      <c r="J227" s="144"/>
      <c r="K227" s="144"/>
      <c r="L227" s="144"/>
      <c r="M227" s="144"/>
      <c r="N227" s="144"/>
      <c r="O227" s="144"/>
      <c r="P227" s="9"/>
      <c r="Q227" s="9"/>
      <c r="R227" s="9"/>
    </row>
    <row r="228" spans="3:18">
      <c r="C228" s="144"/>
      <c r="D228" s="144"/>
      <c r="E228" s="144"/>
      <c r="F228" s="144"/>
      <c r="G228" s="144"/>
      <c r="H228" s="144"/>
      <c r="I228" s="144"/>
      <c r="J228" s="144"/>
      <c r="K228" s="144"/>
      <c r="L228" s="144"/>
      <c r="M228" s="144"/>
      <c r="N228" s="144"/>
      <c r="O228" s="144"/>
      <c r="P228" s="9"/>
      <c r="Q228" s="9"/>
      <c r="R228" s="9"/>
    </row>
    <row r="229" spans="3:18">
      <c r="C229" s="144"/>
      <c r="D229" s="144"/>
      <c r="E229" s="144"/>
      <c r="F229" s="144"/>
      <c r="G229" s="144"/>
      <c r="H229" s="144"/>
      <c r="I229" s="144"/>
      <c r="J229" s="144"/>
      <c r="K229" s="144"/>
      <c r="L229" s="144"/>
      <c r="M229" s="144"/>
      <c r="N229" s="144"/>
      <c r="O229" s="144"/>
      <c r="P229" s="9"/>
      <c r="Q229" s="9"/>
      <c r="R229" s="9"/>
    </row>
    <row r="230" spans="3:18">
      <c r="C230" s="144"/>
      <c r="D230" s="144"/>
      <c r="E230" s="144"/>
      <c r="F230" s="144"/>
      <c r="G230" s="144"/>
      <c r="H230" s="144"/>
      <c r="I230" s="144"/>
      <c r="J230" s="144"/>
      <c r="K230" s="144"/>
      <c r="L230" s="144"/>
      <c r="M230" s="144"/>
      <c r="N230" s="144"/>
      <c r="O230" s="144"/>
      <c r="P230" s="9"/>
      <c r="Q230" s="9"/>
      <c r="R230" s="9"/>
    </row>
    <row r="231" spans="3:18">
      <c r="C231" s="144"/>
      <c r="D231" s="144"/>
      <c r="E231" s="144"/>
      <c r="F231" s="144"/>
      <c r="G231" s="144"/>
      <c r="H231" s="144"/>
      <c r="I231" s="144"/>
      <c r="J231" s="144"/>
      <c r="K231" s="144"/>
      <c r="L231" s="144"/>
      <c r="M231" s="144"/>
      <c r="N231" s="144"/>
      <c r="O231" s="144"/>
      <c r="P231" s="9"/>
      <c r="Q231" s="9"/>
      <c r="R231" s="9"/>
    </row>
    <row r="232" spans="3:18">
      <c r="C232" s="144"/>
      <c r="D232" s="144"/>
      <c r="E232" s="144"/>
      <c r="F232" s="144"/>
      <c r="G232" s="144"/>
      <c r="H232" s="144"/>
      <c r="I232" s="144"/>
      <c r="J232" s="144"/>
      <c r="K232" s="144"/>
      <c r="L232" s="144"/>
      <c r="M232" s="144"/>
      <c r="N232" s="144"/>
      <c r="O232" s="144"/>
      <c r="P232" s="9"/>
      <c r="Q232" s="9"/>
      <c r="R232" s="9"/>
    </row>
    <row r="233" spans="3:18">
      <c r="C233" s="144"/>
      <c r="D233" s="144"/>
      <c r="E233" s="144"/>
      <c r="F233" s="144"/>
      <c r="G233" s="144"/>
      <c r="H233" s="144"/>
      <c r="I233" s="144"/>
      <c r="J233" s="144"/>
      <c r="K233" s="144"/>
      <c r="L233" s="144"/>
      <c r="M233" s="144"/>
      <c r="N233" s="144"/>
      <c r="O233" s="144"/>
      <c r="P233" s="9"/>
      <c r="Q233" s="9"/>
      <c r="R233" s="9"/>
    </row>
    <row r="234" spans="3:18">
      <c r="C234" s="144"/>
      <c r="D234" s="144"/>
      <c r="E234" s="144"/>
      <c r="F234" s="144"/>
      <c r="G234" s="144"/>
      <c r="H234" s="144"/>
      <c r="I234" s="144"/>
      <c r="J234" s="144"/>
      <c r="K234" s="144"/>
      <c r="L234" s="144"/>
      <c r="M234" s="144"/>
      <c r="N234" s="144"/>
      <c r="O234" s="144"/>
      <c r="P234" s="9"/>
      <c r="Q234" s="9"/>
      <c r="R234" s="9"/>
    </row>
    <row r="235" spans="3:18">
      <c r="C235" s="144"/>
      <c r="D235" s="144"/>
      <c r="E235" s="144"/>
      <c r="F235" s="144"/>
      <c r="G235" s="144"/>
      <c r="H235" s="144"/>
      <c r="I235" s="144"/>
      <c r="J235" s="144"/>
      <c r="K235" s="144"/>
      <c r="L235" s="144"/>
      <c r="M235" s="144"/>
      <c r="N235" s="144"/>
      <c r="O235" s="144"/>
      <c r="P235" s="9"/>
      <c r="Q235" s="9"/>
      <c r="R235" s="9"/>
    </row>
    <row r="236" spans="3:18">
      <c r="C236" s="144"/>
      <c r="D236" s="144"/>
      <c r="E236" s="144"/>
      <c r="F236" s="144"/>
      <c r="G236" s="144"/>
      <c r="H236" s="144"/>
      <c r="I236" s="144"/>
      <c r="J236" s="144"/>
      <c r="K236" s="144"/>
      <c r="L236" s="144"/>
      <c r="M236" s="144"/>
      <c r="N236" s="144"/>
      <c r="O236" s="144"/>
      <c r="P236" s="9"/>
      <c r="Q236" s="9"/>
      <c r="R236" s="9"/>
    </row>
    <row r="237" spans="3:18">
      <c r="C237" s="144"/>
      <c r="D237" s="144"/>
      <c r="E237" s="144"/>
      <c r="F237" s="144"/>
      <c r="G237" s="144"/>
      <c r="H237" s="144"/>
      <c r="I237" s="144"/>
      <c r="J237" s="144"/>
      <c r="K237" s="144"/>
      <c r="L237" s="144"/>
      <c r="M237" s="144"/>
      <c r="N237" s="144"/>
      <c r="O237" s="144"/>
      <c r="P237" s="9"/>
      <c r="Q237" s="9"/>
      <c r="R237" s="9"/>
    </row>
    <row r="238" spans="3:18">
      <c r="C238" s="144"/>
      <c r="D238" s="144"/>
      <c r="E238" s="144"/>
      <c r="F238" s="144"/>
      <c r="G238" s="144"/>
      <c r="H238" s="144"/>
      <c r="I238" s="144"/>
      <c r="J238" s="144"/>
      <c r="K238" s="144"/>
      <c r="L238" s="144"/>
      <c r="M238" s="144"/>
      <c r="N238" s="144"/>
      <c r="O238" s="144"/>
      <c r="P238" s="9"/>
      <c r="Q238" s="9"/>
      <c r="R238" s="9"/>
    </row>
    <row r="239" spans="3:18">
      <c r="C239" s="144"/>
      <c r="D239" s="144"/>
      <c r="E239" s="144"/>
      <c r="F239" s="144"/>
      <c r="G239" s="144"/>
      <c r="H239" s="144"/>
      <c r="I239" s="144"/>
      <c r="J239" s="144"/>
      <c r="K239" s="144"/>
      <c r="L239" s="144"/>
      <c r="M239" s="144"/>
      <c r="N239" s="144"/>
      <c r="O239" s="144"/>
      <c r="P239" s="9"/>
      <c r="Q239" s="9"/>
      <c r="R239" s="9"/>
    </row>
    <row r="240" spans="3:18">
      <c r="C240" s="144"/>
      <c r="D240" s="144"/>
      <c r="E240" s="144"/>
      <c r="F240" s="144"/>
      <c r="G240" s="144"/>
      <c r="H240" s="144"/>
      <c r="I240" s="144"/>
      <c r="J240" s="144"/>
      <c r="K240" s="144"/>
      <c r="L240" s="144"/>
      <c r="M240" s="144"/>
      <c r="N240" s="144"/>
      <c r="O240" s="144"/>
      <c r="P240" s="9"/>
      <c r="Q240" s="9"/>
      <c r="R240" s="9"/>
    </row>
    <row r="241" spans="3:18">
      <c r="C241" s="144"/>
      <c r="D241" s="144"/>
      <c r="E241" s="144"/>
      <c r="F241" s="144"/>
      <c r="G241" s="144"/>
      <c r="H241" s="144"/>
      <c r="I241" s="144"/>
      <c r="J241" s="144"/>
      <c r="K241" s="144"/>
      <c r="L241" s="144"/>
      <c r="M241" s="144"/>
      <c r="N241" s="144"/>
      <c r="O241" s="144"/>
      <c r="P241" s="9"/>
      <c r="Q241" s="9"/>
      <c r="R241" s="9"/>
    </row>
    <row r="242" spans="3:18">
      <c r="C242" s="144"/>
      <c r="D242" s="144"/>
      <c r="E242" s="144"/>
      <c r="F242" s="144"/>
      <c r="G242" s="144"/>
      <c r="H242" s="144"/>
      <c r="I242" s="144"/>
      <c r="J242" s="144"/>
      <c r="K242" s="144"/>
      <c r="L242" s="144"/>
      <c r="M242" s="144"/>
      <c r="N242" s="144"/>
      <c r="O242" s="144"/>
      <c r="P242" s="9"/>
      <c r="Q242" s="9"/>
      <c r="R242" s="9"/>
    </row>
    <row r="243" spans="3:18">
      <c r="C243" s="144"/>
      <c r="D243" s="144"/>
      <c r="E243" s="144"/>
      <c r="F243" s="144"/>
      <c r="G243" s="144"/>
      <c r="H243" s="144"/>
      <c r="I243" s="144"/>
      <c r="J243" s="144"/>
      <c r="K243" s="144"/>
      <c r="L243" s="144"/>
      <c r="M243" s="144"/>
      <c r="N243" s="144"/>
      <c r="O243" s="144"/>
      <c r="P243" s="9"/>
      <c r="Q243" s="9"/>
      <c r="R243" s="9"/>
    </row>
    <row r="244" spans="3:18">
      <c r="C244" s="144"/>
      <c r="D244" s="144"/>
      <c r="E244" s="144"/>
      <c r="F244" s="144"/>
      <c r="G244" s="144"/>
      <c r="H244" s="144"/>
      <c r="I244" s="144"/>
      <c r="J244" s="144"/>
      <c r="K244" s="144"/>
      <c r="L244" s="144"/>
      <c r="M244" s="144"/>
      <c r="N244" s="144"/>
      <c r="O244" s="144"/>
      <c r="P244" s="9"/>
      <c r="Q244" s="9"/>
      <c r="R244" s="9"/>
    </row>
    <row r="245" spans="3:18">
      <c r="C245" s="144"/>
      <c r="D245" s="144"/>
      <c r="E245" s="144"/>
      <c r="F245" s="144"/>
      <c r="G245" s="144"/>
      <c r="H245" s="144"/>
      <c r="I245" s="144"/>
      <c r="J245" s="144"/>
      <c r="K245" s="144"/>
      <c r="L245" s="144"/>
      <c r="M245" s="144"/>
      <c r="N245" s="144"/>
      <c r="O245" s="144"/>
      <c r="P245" s="9"/>
      <c r="Q245" s="9"/>
      <c r="R245" s="9"/>
    </row>
    <row r="246" spans="3:18">
      <c r="C246" s="144"/>
      <c r="D246" s="144"/>
      <c r="E246" s="144"/>
      <c r="F246" s="144"/>
      <c r="G246" s="144"/>
      <c r="H246" s="144"/>
      <c r="I246" s="144"/>
      <c r="J246" s="144"/>
      <c r="K246" s="144"/>
      <c r="L246" s="144"/>
      <c r="M246" s="144"/>
      <c r="N246" s="144"/>
      <c r="O246" s="144"/>
      <c r="P246" s="9"/>
      <c r="Q246" s="9"/>
      <c r="R246" s="9"/>
    </row>
    <row r="247" spans="3:18">
      <c r="C247" s="144"/>
      <c r="D247" s="144"/>
      <c r="E247" s="144"/>
      <c r="F247" s="144"/>
      <c r="G247" s="144"/>
      <c r="H247" s="144"/>
      <c r="I247" s="144"/>
      <c r="J247" s="144"/>
      <c r="K247" s="144"/>
      <c r="L247" s="144"/>
      <c r="M247" s="144"/>
      <c r="N247" s="144"/>
      <c r="O247" s="144"/>
      <c r="P247" s="9"/>
      <c r="Q247" s="9"/>
      <c r="R247" s="9"/>
    </row>
    <row r="248" spans="3:18">
      <c r="C248" s="144"/>
      <c r="D248" s="144"/>
      <c r="E248" s="144"/>
      <c r="F248" s="144"/>
      <c r="G248" s="144"/>
      <c r="H248" s="144"/>
      <c r="I248" s="144"/>
      <c r="J248" s="144"/>
      <c r="K248" s="144"/>
      <c r="L248" s="144"/>
      <c r="M248" s="144"/>
      <c r="N248" s="144"/>
      <c r="O248" s="144"/>
      <c r="P248" s="9"/>
      <c r="Q248" s="9"/>
      <c r="R248" s="9"/>
    </row>
    <row r="249" spans="3:18">
      <c r="C249" s="144"/>
      <c r="D249" s="144"/>
      <c r="E249" s="144"/>
      <c r="F249" s="144"/>
      <c r="G249" s="144"/>
      <c r="H249" s="144"/>
      <c r="I249" s="144"/>
      <c r="J249" s="144"/>
      <c r="K249" s="144"/>
      <c r="L249" s="144"/>
      <c r="M249" s="144"/>
      <c r="N249" s="144"/>
      <c r="O249" s="144"/>
      <c r="P249" s="9"/>
      <c r="Q249" s="9"/>
      <c r="R249" s="9"/>
    </row>
    <row r="250" spans="3:18">
      <c r="C250" s="144"/>
      <c r="D250" s="144"/>
      <c r="E250" s="144"/>
      <c r="F250" s="144"/>
      <c r="G250" s="144"/>
      <c r="H250" s="144"/>
      <c r="I250" s="144"/>
      <c r="J250" s="144"/>
      <c r="K250" s="144"/>
      <c r="L250" s="144"/>
      <c r="M250" s="144"/>
      <c r="N250" s="144"/>
      <c r="O250" s="144"/>
      <c r="P250" s="9"/>
      <c r="Q250" s="9"/>
      <c r="R250" s="9"/>
    </row>
    <row r="251" spans="3:18">
      <c r="C251" s="144"/>
      <c r="D251" s="144"/>
      <c r="E251" s="144"/>
      <c r="F251" s="144"/>
      <c r="G251" s="144"/>
      <c r="H251" s="144"/>
      <c r="I251" s="144"/>
      <c r="J251" s="144"/>
      <c r="K251" s="144"/>
      <c r="L251" s="144"/>
      <c r="M251" s="144"/>
      <c r="N251" s="144"/>
      <c r="O251" s="144"/>
      <c r="P251" s="9"/>
      <c r="Q251" s="9"/>
      <c r="R251" s="9"/>
    </row>
    <row r="252" spans="3:18">
      <c r="C252" s="144"/>
      <c r="D252" s="144"/>
      <c r="E252" s="144"/>
      <c r="F252" s="144"/>
      <c r="G252" s="144"/>
      <c r="H252" s="144"/>
      <c r="I252" s="144"/>
      <c r="J252" s="144"/>
      <c r="K252" s="144"/>
      <c r="L252" s="144"/>
      <c r="M252" s="144"/>
      <c r="N252" s="144"/>
      <c r="O252" s="144"/>
      <c r="P252" s="9"/>
      <c r="Q252" s="9"/>
      <c r="R252" s="9"/>
    </row>
    <row r="253" spans="3:18">
      <c r="C253" s="144"/>
      <c r="D253" s="144"/>
      <c r="E253" s="144"/>
      <c r="F253" s="144"/>
      <c r="G253" s="144"/>
      <c r="H253" s="144"/>
      <c r="I253" s="144"/>
      <c r="J253" s="144"/>
      <c r="K253" s="144"/>
      <c r="L253" s="144"/>
      <c r="M253" s="144"/>
      <c r="N253" s="144"/>
      <c r="O253" s="144"/>
      <c r="P253" s="9"/>
      <c r="Q253" s="9"/>
      <c r="R253" s="9"/>
    </row>
    <row r="254" spans="3:18">
      <c r="C254" s="144"/>
      <c r="D254" s="144"/>
      <c r="E254" s="144"/>
      <c r="F254" s="144"/>
      <c r="G254" s="144"/>
      <c r="H254" s="144"/>
      <c r="I254" s="144"/>
      <c r="J254" s="144"/>
      <c r="K254" s="144"/>
      <c r="L254" s="144"/>
      <c r="M254" s="144"/>
      <c r="N254" s="144"/>
      <c r="O254" s="144"/>
      <c r="P254" s="9"/>
      <c r="Q254" s="9"/>
      <c r="R254" s="9"/>
    </row>
    <row r="255" spans="3:18">
      <c r="C255" s="144"/>
      <c r="D255" s="144"/>
      <c r="E255" s="144"/>
      <c r="F255" s="144"/>
      <c r="G255" s="144"/>
      <c r="H255" s="144"/>
      <c r="I255" s="144"/>
      <c r="J255" s="144"/>
      <c r="K255" s="144"/>
      <c r="L255" s="144"/>
      <c r="M255" s="144"/>
      <c r="N255" s="144"/>
      <c r="O255" s="144"/>
      <c r="P255" s="9"/>
      <c r="Q255" s="9"/>
      <c r="R255" s="9"/>
    </row>
    <row r="256" spans="3:18">
      <c r="C256" s="144"/>
      <c r="D256" s="144"/>
      <c r="E256" s="144"/>
      <c r="F256" s="144"/>
      <c r="G256" s="144"/>
      <c r="H256" s="144"/>
      <c r="I256" s="144"/>
      <c r="J256" s="144"/>
      <c r="K256" s="144"/>
      <c r="L256" s="144"/>
      <c r="M256" s="144"/>
      <c r="N256" s="144"/>
      <c r="O256" s="144"/>
      <c r="P256" s="9"/>
      <c r="Q256" s="9"/>
      <c r="R256" s="9"/>
    </row>
    <row r="257" spans="3:18">
      <c r="C257" s="144"/>
      <c r="D257" s="144"/>
      <c r="E257" s="144"/>
      <c r="F257" s="144"/>
      <c r="G257" s="144"/>
      <c r="H257" s="144"/>
      <c r="I257" s="144"/>
      <c r="J257" s="144"/>
      <c r="K257" s="144"/>
      <c r="L257" s="144"/>
      <c r="M257" s="144"/>
      <c r="N257" s="144"/>
      <c r="O257" s="144"/>
      <c r="P257" s="9"/>
      <c r="Q257" s="9"/>
      <c r="R257" s="9"/>
    </row>
    <row r="258" spans="3:18">
      <c r="C258" s="144"/>
      <c r="D258" s="144"/>
      <c r="E258" s="144"/>
      <c r="F258" s="144"/>
      <c r="G258" s="144"/>
      <c r="H258" s="144"/>
      <c r="I258" s="144"/>
      <c r="J258" s="144"/>
      <c r="K258" s="144"/>
      <c r="L258" s="144"/>
      <c r="M258" s="144"/>
      <c r="N258" s="144"/>
      <c r="O258" s="144"/>
      <c r="P258" s="9"/>
      <c r="Q258" s="9"/>
      <c r="R258" s="9"/>
    </row>
    <row r="259" spans="3:18">
      <c r="C259" s="144"/>
      <c r="D259" s="144"/>
      <c r="E259" s="144"/>
      <c r="F259" s="144"/>
      <c r="G259" s="144"/>
      <c r="H259" s="144"/>
      <c r="I259" s="144"/>
      <c r="J259" s="144"/>
      <c r="K259" s="144"/>
      <c r="L259" s="144"/>
      <c r="M259" s="144"/>
      <c r="N259" s="144"/>
      <c r="O259" s="144"/>
      <c r="P259" s="9"/>
      <c r="Q259" s="9"/>
      <c r="R259" s="9"/>
    </row>
    <row r="260" spans="3:18">
      <c r="C260" s="144"/>
      <c r="D260" s="144"/>
      <c r="E260" s="144"/>
      <c r="F260" s="144"/>
      <c r="G260" s="144"/>
      <c r="H260" s="144"/>
      <c r="I260" s="144"/>
      <c r="J260" s="144"/>
      <c r="K260" s="144"/>
      <c r="L260" s="144"/>
      <c r="M260" s="144"/>
      <c r="N260" s="144"/>
      <c r="O260" s="144"/>
      <c r="P260" s="9"/>
      <c r="Q260" s="9"/>
      <c r="R260" s="9"/>
    </row>
    <row r="261" spans="3:18">
      <c r="C261" s="144"/>
      <c r="D261" s="144"/>
      <c r="E261" s="144"/>
      <c r="F261" s="144"/>
      <c r="G261" s="144"/>
      <c r="H261" s="144"/>
      <c r="I261" s="144"/>
      <c r="J261" s="144"/>
      <c r="K261" s="144"/>
      <c r="L261" s="144"/>
      <c r="M261" s="144"/>
      <c r="N261" s="144"/>
      <c r="O261" s="144"/>
      <c r="P261" s="9"/>
      <c r="Q261" s="9"/>
      <c r="R261" s="9"/>
    </row>
    <row r="262" spans="3:18">
      <c r="C262" s="144"/>
      <c r="D262" s="144"/>
      <c r="E262" s="144"/>
      <c r="F262" s="144"/>
      <c r="G262" s="144"/>
      <c r="H262" s="144"/>
      <c r="I262" s="144"/>
      <c r="J262" s="144"/>
      <c r="K262" s="144"/>
      <c r="L262" s="144"/>
      <c r="M262" s="144"/>
      <c r="N262" s="144"/>
      <c r="O262" s="144"/>
      <c r="P262" s="9"/>
      <c r="Q262" s="9"/>
      <c r="R262" s="9"/>
    </row>
    <row r="263" spans="3:18">
      <c r="C263" s="144"/>
      <c r="D263" s="144"/>
      <c r="E263" s="144"/>
      <c r="F263" s="144"/>
      <c r="G263" s="144"/>
      <c r="H263" s="144"/>
      <c r="I263" s="144"/>
      <c r="J263" s="144"/>
      <c r="K263" s="144"/>
      <c r="L263" s="144"/>
      <c r="M263" s="144"/>
      <c r="N263" s="144"/>
      <c r="O263" s="144"/>
      <c r="P263" s="9"/>
      <c r="Q263" s="9"/>
      <c r="R263" s="9"/>
    </row>
    <row r="264" spans="3:18">
      <c r="C264" s="144"/>
      <c r="D264" s="144"/>
      <c r="E264" s="144"/>
      <c r="F264" s="144"/>
      <c r="G264" s="144"/>
      <c r="H264" s="144"/>
      <c r="I264" s="144"/>
      <c r="J264" s="144"/>
      <c r="K264" s="144"/>
      <c r="L264" s="144"/>
      <c r="M264" s="144"/>
      <c r="N264" s="144"/>
      <c r="O264" s="144"/>
      <c r="P264" s="9"/>
      <c r="Q264" s="9"/>
      <c r="R264" s="9"/>
    </row>
    <row r="265" spans="3:18">
      <c r="C265" s="144"/>
      <c r="D265" s="144"/>
      <c r="E265" s="144"/>
      <c r="F265" s="144"/>
      <c r="G265" s="144"/>
      <c r="H265" s="144"/>
      <c r="I265" s="144"/>
      <c r="J265" s="144"/>
      <c r="K265" s="144"/>
      <c r="L265" s="144"/>
      <c r="M265" s="144"/>
      <c r="N265" s="144"/>
      <c r="O265" s="144"/>
      <c r="P265" s="9"/>
      <c r="Q265" s="9"/>
      <c r="R265" s="9"/>
    </row>
    <row r="266" spans="3:18">
      <c r="C266" s="144"/>
      <c r="D266" s="144"/>
      <c r="E266" s="144"/>
      <c r="F266" s="144"/>
      <c r="G266" s="144"/>
      <c r="H266" s="144"/>
      <c r="I266" s="144"/>
      <c r="J266" s="144"/>
      <c r="K266" s="144"/>
      <c r="L266" s="144"/>
      <c r="M266" s="144"/>
      <c r="N266" s="144"/>
      <c r="O266" s="144"/>
      <c r="P266" s="9"/>
      <c r="Q266" s="9"/>
      <c r="R266" s="9"/>
    </row>
    <row r="267" spans="3:18">
      <c r="C267" s="144"/>
      <c r="D267" s="144"/>
      <c r="E267" s="144"/>
      <c r="F267" s="144"/>
      <c r="G267" s="144"/>
      <c r="H267" s="144"/>
      <c r="I267" s="144"/>
      <c r="J267" s="144"/>
      <c r="K267" s="144"/>
      <c r="L267" s="144"/>
      <c r="M267" s="144"/>
      <c r="N267" s="144"/>
      <c r="O267" s="144"/>
      <c r="P267" s="9"/>
      <c r="Q267" s="9"/>
      <c r="R267" s="9"/>
    </row>
    <row r="268" spans="3:18">
      <c r="C268" s="144"/>
      <c r="D268" s="144"/>
      <c r="E268" s="144"/>
      <c r="F268" s="144"/>
      <c r="G268" s="144"/>
      <c r="H268" s="144"/>
      <c r="I268" s="144"/>
      <c r="J268" s="144"/>
      <c r="K268" s="144"/>
      <c r="L268" s="144"/>
      <c r="M268" s="144"/>
      <c r="N268" s="144"/>
      <c r="O268" s="144"/>
      <c r="P268" s="9"/>
      <c r="Q268" s="9"/>
      <c r="R268" s="9"/>
    </row>
    <row r="269" spans="3:18">
      <c r="C269" s="154"/>
      <c r="D269" s="154"/>
      <c r="E269" s="154"/>
      <c r="F269" s="154"/>
      <c r="G269" s="154"/>
      <c r="H269" s="154"/>
      <c r="I269" s="154"/>
      <c r="J269" s="154"/>
      <c r="K269" s="154"/>
      <c r="L269" s="154"/>
      <c r="M269" s="154"/>
      <c r="N269" s="154"/>
      <c r="O269" s="154"/>
    </row>
    <row r="270" spans="3:18">
      <c r="C270" s="154"/>
      <c r="D270" s="154"/>
      <c r="E270" s="154"/>
      <c r="F270" s="154"/>
      <c r="G270" s="154"/>
      <c r="H270" s="154"/>
      <c r="I270" s="154"/>
      <c r="J270" s="154"/>
      <c r="K270" s="154"/>
      <c r="L270" s="154"/>
      <c r="M270" s="154"/>
      <c r="N270" s="154"/>
      <c r="O270" s="154"/>
    </row>
    <row r="271" spans="3:18">
      <c r="C271" s="154"/>
      <c r="D271" s="154"/>
      <c r="E271" s="154"/>
      <c r="F271" s="154"/>
      <c r="G271" s="154"/>
      <c r="H271" s="154"/>
      <c r="I271" s="154"/>
      <c r="J271" s="154"/>
      <c r="K271" s="154"/>
      <c r="L271" s="154"/>
      <c r="M271" s="154"/>
      <c r="N271" s="154"/>
      <c r="O271" s="154"/>
    </row>
    <row r="272" spans="3:18">
      <c r="C272" s="154"/>
      <c r="D272" s="154"/>
      <c r="E272" s="154"/>
      <c r="F272" s="154"/>
      <c r="G272" s="154"/>
      <c r="H272" s="154"/>
      <c r="I272" s="154"/>
      <c r="J272" s="154"/>
      <c r="K272" s="154"/>
      <c r="L272" s="154"/>
      <c r="M272" s="154"/>
      <c r="N272" s="154"/>
      <c r="O272" s="154"/>
    </row>
    <row r="273" spans="3:15">
      <c r="C273" s="154"/>
      <c r="D273" s="154"/>
      <c r="E273" s="154"/>
      <c r="F273" s="154"/>
      <c r="G273" s="154"/>
      <c r="H273" s="154"/>
      <c r="I273" s="154"/>
      <c r="J273" s="154"/>
      <c r="K273" s="154"/>
      <c r="L273" s="154"/>
      <c r="M273" s="154"/>
      <c r="N273" s="154"/>
      <c r="O273" s="154"/>
    </row>
    <row r="274" spans="3:15">
      <c r="C274" s="154"/>
      <c r="D274" s="154"/>
      <c r="E274" s="154"/>
      <c r="F274" s="154"/>
      <c r="G274" s="154"/>
      <c r="H274" s="154"/>
      <c r="I274" s="154"/>
      <c r="J274" s="154"/>
      <c r="K274" s="154"/>
      <c r="L274" s="154"/>
      <c r="M274" s="154"/>
      <c r="N274" s="154"/>
      <c r="O274" s="154"/>
    </row>
    <row r="275" spans="3:15">
      <c r="C275" s="154"/>
      <c r="D275" s="154"/>
      <c r="E275" s="154"/>
      <c r="F275" s="154"/>
      <c r="G275" s="154"/>
      <c r="H275" s="154"/>
      <c r="I275" s="154"/>
      <c r="J275" s="154"/>
      <c r="K275" s="154"/>
      <c r="L275" s="154"/>
      <c r="M275" s="154"/>
      <c r="N275" s="154"/>
      <c r="O275" s="154"/>
    </row>
    <row r="276" spans="3:15">
      <c r="C276" s="154"/>
      <c r="D276" s="154"/>
      <c r="E276" s="154"/>
      <c r="F276" s="154"/>
      <c r="G276" s="154"/>
      <c r="H276" s="154"/>
      <c r="I276" s="154"/>
      <c r="J276" s="154"/>
      <c r="K276" s="154"/>
      <c r="L276" s="154"/>
      <c r="M276" s="154"/>
      <c r="N276" s="154"/>
      <c r="O276" s="154"/>
    </row>
    <row r="277" spans="3:15">
      <c r="C277" s="154"/>
      <c r="D277" s="154"/>
      <c r="E277" s="154"/>
      <c r="F277" s="154"/>
      <c r="G277" s="154"/>
      <c r="H277" s="154"/>
      <c r="I277" s="154"/>
      <c r="J277" s="154"/>
      <c r="K277" s="154"/>
      <c r="L277" s="154"/>
      <c r="M277" s="154"/>
      <c r="N277" s="154"/>
      <c r="O277" s="154"/>
    </row>
    <row r="278" spans="3:15">
      <c r="C278" s="154"/>
      <c r="D278" s="154"/>
      <c r="E278" s="154"/>
      <c r="F278" s="154"/>
      <c r="G278" s="154"/>
      <c r="H278" s="154"/>
      <c r="I278" s="154"/>
      <c r="J278" s="154"/>
      <c r="K278" s="154"/>
      <c r="L278" s="154"/>
      <c r="M278" s="154"/>
      <c r="N278" s="154"/>
      <c r="O278" s="154"/>
    </row>
    <row r="279" spans="3:15">
      <c r="C279" s="154"/>
      <c r="D279" s="154"/>
      <c r="E279" s="154"/>
      <c r="F279" s="154"/>
      <c r="G279" s="154"/>
      <c r="H279" s="154"/>
      <c r="I279" s="154"/>
      <c r="J279" s="154"/>
      <c r="K279" s="154"/>
      <c r="L279" s="154"/>
      <c r="M279" s="154"/>
      <c r="N279" s="154"/>
      <c r="O279" s="154"/>
    </row>
    <row r="280" spans="3:15">
      <c r="C280" s="154"/>
      <c r="D280" s="154"/>
      <c r="E280" s="154"/>
      <c r="F280" s="154"/>
      <c r="G280" s="154"/>
      <c r="H280" s="154"/>
      <c r="I280" s="154"/>
      <c r="J280" s="154"/>
      <c r="K280" s="154"/>
      <c r="L280" s="154"/>
      <c r="M280" s="154"/>
      <c r="N280" s="154"/>
      <c r="O280" s="154"/>
    </row>
    <row r="281" spans="3:15">
      <c r="C281" s="154"/>
      <c r="D281" s="154"/>
      <c r="E281" s="154"/>
      <c r="F281" s="154"/>
      <c r="G281" s="154"/>
      <c r="H281" s="154"/>
      <c r="I281" s="154"/>
      <c r="J281" s="154"/>
      <c r="K281" s="154"/>
      <c r="L281" s="154"/>
      <c r="M281" s="154"/>
      <c r="N281" s="154"/>
      <c r="O281" s="154"/>
    </row>
    <row r="282" spans="3:15">
      <c r="C282" s="154"/>
      <c r="D282" s="154"/>
      <c r="E282" s="154"/>
      <c r="F282" s="154"/>
      <c r="G282" s="154"/>
      <c r="H282" s="154"/>
      <c r="I282" s="154"/>
      <c r="J282" s="154"/>
      <c r="K282" s="154"/>
      <c r="L282" s="154"/>
      <c r="M282" s="154"/>
      <c r="N282" s="154"/>
      <c r="O282" s="154"/>
    </row>
    <row r="283" spans="3:15">
      <c r="C283" s="154"/>
      <c r="D283" s="154"/>
      <c r="E283" s="154"/>
      <c r="F283" s="154"/>
      <c r="G283" s="154"/>
      <c r="H283" s="154"/>
      <c r="I283" s="154"/>
      <c r="J283" s="154"/>
      <c r="K283" s="154"/>
      <c r="L283" s="154"/>
      <c r="M283" s="154"/>
      <c r="N283" s="154"/>
      <c r="O283" s="154"/>
    </row>
    <row r="284" spans="3:15">
      <c r="C284" s="154"/>
      <c r="D284" s="154"/>
      <c r="E284" s="154"/>
      <c r="F284" s="154"/>
      <c r="G284" s="154"/>
      <c r="H284" s="154"/>
      <c r="I284" s="154"/>
      <c r="J284" s="154"/>
      <c r="K284" s="154"/>
      <c r="L284" s="154"/>
      <c r="M284" s="154"/>
      <c r="N284" s="154"/>
      <c r="O284" s="154"/>
    </row>
    <row r="285" spans="3:15">
      <c r="C285" s="154"/>
      <c r="D285" s="154"/>
      <c r="E285" s="154"/>
      <c r="F285" s="154"/>
      <c r="G285" s="154"/>
      <c r="H285" s="154"/>
      <c r="I285" s="154"/>
      <c r="J285" s="154"/>
      <c r="K285" s="154"/>
      <c r="L285" s="154"/>
      <c r="M285" s="154"/>
      <c r="N285" s="154"/>
      <c r="O285" s="154"/>
    </row>
    <row r="286" spans="3:15">
      <c r="C286" s="154"/>
      <c r="D286" s="154"/>
      <c r="E286" s="154"/>
      <c r="F286" s="154"/>
      <c r="G286" s="154"/>
      <c r="H286" s="154"/>
      <c r="I286" s="154"/>
      <c r="J286" s="154"/>
      <c r="K286" s="154"/>
      <c r="L286" s="154"/>
      <c r="M286" s="154"/>
      <c r="N286" s="154"/>
      <c r="O286" s="154"/>
    </row>
    <row r="287" spans="3:15">
      <c r="C287" s="154"/>
      <c r="D287" s="154"/>
      <c r="E287" s="154"/>
      <c r="F287" s="154"/>
      <c r="G287" s="154"/>
      <c r="H287" s="154"/>
      <c r="I287" s="154"/>
      <c r="J287" s="154"/>
      <c r="K287" s="154"/>
      <c r="L287" s="154"/>
      <c r="M287" s="154"/>
      <c r="N287" s="154"/>
      <c r="O287" s="154"/>
    </row>
    <row r="288" spans="3:15">
      <c r="C288" s="154"/>
      <c r="D288" s="154"/>
      <c r="E288" s="154"/>
      <c r="F288" s="154"/>
      <c r="G288" s="154"/>
      <c r="H288" s="154"/>
      <c r="I288" s="154"/>
      <c r="J288" s="154"/>
      <c r="K288" s="154"/>
      <c r="L288" s="154"/>
      <c r="M288" s="154"/>
      <c r="N288" s="154"/>
      <c r="O288" s="154"/>
    </row>
    <row r="289" spans="3:15">
      <c r="C289" s="154"/>
      <c r="D289" s="154"/>
      <c r="E289" s="154"/>
      <c r="F289" s="154"/>
      <c r="G289" s="154"/>
      <c r="H289" s="154"/>
      <c r="I289" s="154"/>
      <c r="J289" s="154"/>
      <c r="K289" s="154"/>
      <c r="L289" s="154"/>
      <c r="M289" s="154"/>
      <c r="N289" s="154"/>
      <c r="O289" s="154"/>
    </row>
    <row r="290" spans="3:15">
      <c r="C290" s="154"/>
      <c r="D290" s="154"/>
      <c r="E290" s="154"/>
      <c r="F290" s="154"/>
      <c r="G290" s="154"/>
      <c r="H290" s="154"/>
      <c r="I290" s="154"/>
      <c r="J290" s="154"/>
      <c r="K290" s="154"/>
      <c r="L290" s="154"/>
      <c r="M290" s="154"/>
      <c r="N290" s="154"/>
      <c r="O290" s="154"/>
    </row>
    <row r="291" spans="3:15">
      <c r="C291" s="154"/>
      <c r="D291" s="154"/>
      <c r="E291" s="154"/>
      <c r="F291" s="154"/>
      <c r="G291" s="154"/>
      <c r="H291" s="154"/>
      <c r="I291" s="154"/>
      <c r="J291" s="154"/>
      <c r="K291" s="154"/>
      <c r="L291" s="154"/>
      <c r="M291" s="154"/>
      <c r="N291" s="154"/>
      <c r="O291" s="154"/>
    </row>
    <row r="292" spans="3:15">
      <c r="C292" s="154"/>
      <c r="D292" s="154"/>
      <c r="E292" s="154"/>
      <c r="F292" s="154"/>
      <c r="G292" s="154"/>
      <c r="H292" s="154"/>
      <c r="I292" s="154"/>
      <c r="J292" s="154"/>
      <c r="K292" s="154"/>
      <c r="L292" s="154"/>
      <c r="M292" s="154"/>
      <c r="N292" s="154"/>
      <c r="O292" s="154"/>
    </row>
    <row r="293" spans="3:15">
      <c r="C293" s="154"/>
      <c r="D293" s="154"/>
      <c r="E293" s="154"/>
      <c r="F293" s="154"/>
      <c r="G293" s="154"/>
      <c r="H293" s="154"/>
      <c r="I293" s="154"/>
      <c r="J293" s="154"/>
      <c r="K293" s="154"/>
      <c r="L293" s="154"/>
      <c r="M293" s="154"/>
      <c r="N293" s="154"/>
      <c r="O293" s="154"/>
    </row>
    <row r="294" spans="3:15">
      <c r="C294" s="154"/>
      <c r="D294" s="154"/>
      <c r="E294" s="154"/>
      <c r="F294" s="154"/>
      <c r="G294" s="154"/>
      <c r="H294" s="154"/>
      <c r="I294" s="154"/>
      <c r="J294" s="154"/>
      <c r="K294" s="154"/>
      <c r="L294" s="154"/>
      <c r="M294" s="154"/>
      <c r="N294" s="154"/>
      <c r="O294" s="154"/>
    </row>
    <row r="295" spans="3:15">
      <c r="C295" s="154"/>
      <c r="D295" s="154"/>
      <c r="E295" s="154"/>
      <c r="F295" s="154"/>
      <c r="G295" s="154"/>
      <c r="H295" s="154"/>
      <c r="I295" s="154"/>
      <c r="J295" s="154"/>
      <c r="K295" s="154"/>
      <c r="L295" s="154"/>
      <c r="M295" s="154"/>
      <c r="N295" s="154"/>
      <c r="O295" s="154"/>
    </row>
    <row r="296" spans="3:15">
      <c r="C296" s="154"/>
      <c r="D296" s="154"/>
      <c r="E296" s="154"/>
      <c r="F296" s="154"/>
      <c r="G296" s="154"/>
      <c r="H296" s="154"/>
      <c r="I296" s="154"/>
      <c r="J296" s="154"/>
      <c r="K296" s="154"/>
      <c r="L296" s="154"/>
      <c r="M296" s="154"/>
      <c r="N296" s="154"/>
      <c r="O296" s="154"/>
    </row>
    <row r="297" spans="3:15">
      <c r="C297" s="154"/>
      <c r="D297" s="154"/>
      <c r="E297" s="154"/>
      <c r="F297" s="154"/>
      <c r="G297" s="154"/>
      <c r="H297" s="154"/>
      <c r="I297" s="154"/>
      <c r="J297" s="154"/>
      <c r="K297" s="154"/>
      <c r="L297" s="154"/>
      <c r="M297" s="154"/>
      <c r="N297" s="154"/>
      <c r="O297" s="154"/>
    </row>
    <row r="298" spans="3:15">
      <c r="C298" s="154"/>
      <c r="D298" s="154"/>
      <c r="E298" s="154"/>
      <c r="F298" s="154"/>
      <c r="G298" s="154"/>
      <c r="H298" s="154"/>
      <c r="I298" s="154"/>
      <c r="J298" s="154"/>
      <c r="K298" s="154"/>
      <c r="L298" s="154"/>
      <c r="M298" s="154"/>
      <c r="N298" s="154"/>
      <c r="O298" s="154"/>
    </row>
    <row r="299" spans="3:15">
      <c r="C299" s="154"/>
      <c r="D299" s="154"/>
      <c r="E299" s="154"/>
      <c r="F299" s="154"/>
      <c r="G299" s="154"/>
      <c r="H299" s="154"/>
      <c r="I299" s="154"/>
      <c r="J299" s="154"/>
      <c r="K299" s="154"/>
      <c r="L299" s="154"/>
      <c r="M299" s="154"/>
      <c r="N299" s="154"/>
      <c r="O299" s="154"/>
    </row>
    <row r="300" spans="3:15">
      <c r="C300" s="154"/>
      <c r="D300" s="154"/>
      <c r="E300" s="154"/>
      <c r="F300" s="154"/>
      <c r="G300" s="154"/>
      <c r="H300" s="154"/>
      <c r="I300" s="154"/>
      <c r="J300" s="154"/>
      <c r="K300" s="154"/>
      <c r="L300" s="154"/>
      <c r="M300" s="154"/>
      <c r="N300" s="154"/>
      <c r="O300" s="154"/>
    </row>
    <row r="301" spans="3:15">
      <c r="C301" s="154"/>
      <c r="D301" s="154"/>
      <c r="E301" s="154"/>
      <c r="F301" s="154"/>
      <c r="G301" s="154"/>
      <c r="H301" s="154"/>
      <c r="I301" s="154"/>
      <c r="J301" s="154"/>
      <c r="K301" s="154"/>
      <c r="L301" s="154"/>
      <c r="M301" s="154"/>
      <c r="N301" s="154"/>
      <c r="O301" s="154"/>
    </row>
    <row r="302" spans="3:15">
      <c r="C302" s="154"/>
      <c r="D302" s="154"/>
      <c r="E302" s="154"/>
      <c r="F302" s="154"/>
      <c r="G302" s="154"/>
      <c r="H302" s="154"/>
      <c r="I302" s="154"/>
      <c r="J302" s="154"/>
      <c r="K302" s="154"/>
      <c r="L302" s="154"/>
      <c r="M302" s="154"/>
      <c r="N302" s="154"/>
      <c r="O302" s="154"/>
    </row>
    <row r="303" spans="3:15">
      <c r="C303" s="154"/>
      <c r="D303" s="154"/>
      <c r="E303" s="154"/>
      <c r="F303" s="154"/>
      <c r="G303" s="154"/>
      <c r="H303" s="154"/>
      <c r="I303" s="154"/>
      <c r="J303" s="154"/>
      <c r="K303" s="154"/>
      <c r="L303" s="154"/>
      <c r="M303" s="154"/>
      <c r="N303" s="154"/>
      <c r="O303" s="154"/>
    </row>
    <row r="304" spans="3:15">
      <c r="C304" s="154"/>
      <c r="D304" s="154"/>
      <c r="E304" s="154"/>
      <c r="F304" s="154"/>
      <c r="G304" s="154"/>
      <c r="H304" s="154"/>
      <c r="I304" s="154"/>
      <c r="J304" s="154"/>
      <c r="K304" s="154"/>
      <c r="L304" s="154"/>
      <c r="M304" s="154"/>
      <c r="N304" s="154"/>
      <c r="O304" s="154"/>
    </row>
    <row r="305" spans="3:15">
      <c r="C305" s="154"/>
      <c r="D305" s="154"/>
      <c r="E305" s="154"/>
      <c r="F305" s="154"/>
      <c r="G305" s="154"/>
      <c r="H305" s="154"/>
      <c r="I305" s="154"/>
      <c r="J305" s="154"/>
      <c r="K305" s="154"/>
      <c r="L305" s="154"/>
      <c r="M305" s="154"/>
      <c r="N305" s="154"/>
      <c r="O305" s="154"/>
    </row>
    <row r="306" spans="3:15">
      <c r="C306" s="154"/>
      <c r="D306" s="154"/>
      <c r="E306" s="154"/>
      <c r="F306" s="154"/>
      <c r="G306" s="154"/>
      <c r="H306" s="154"/>
      <c r="I306" s="154"/>
      <c r="J306" s="154"/>
      <c r="K306" s="154"/>
      <c r="L306" s="154"/>
      <c r="M306" s="154"/>
      <c r="N306" s="154"/>
      <c r="O306" s="154"/>
    </row>
    <row r="307" spans="3:15">
      <c r="C307" s="154"/>
      <c r="D307" s="154"/>
      <c r="E307" s="154"/>
      <c r="F307" s="154"/>
      <c r="G307" s="154"/>
      <c r="H307" s="154"/>
      <c r="I307" s="154"/>
      <c r="J307" s="154"/>
      <c r="K307" s="154"/>
      <c r="L307" s="154"/>
      <c r="M307" s="154"/>
      <c r="N307" s="154"/>
      <c r="O307" s="154"/>
    </row>
    <row r="308" spans="3:15">
      <c r="C308" s="154"/>
      <c r="D308" s="154"/>
      <c r="E308" s="154"/>
      <c r="F308" s="154"/>
      <c r="G308" s="154"/>
      <c r="H308" s="154"/>
      <c r="I308" s="154"/>
      <c r="J308" s="154"/>
      <c r="K308" s="154"/>
      <c r="L308" s="154"/>
      <c r="M308" s="154"/>
      <c r="N308" s="154"/>
      <c r="O308" s="154"/>
    </row>
    <row r="309" spans="3:15">
      <c r="C309" s="154"/>
      <c r="D309" s="154"/>
      <c r="E309" s="154"/>
      <c r="F309" s="154"/>
      <c r="G309" s="154"/>
      <c r="H309" s="154"/>
      <c r="I309" s="154"/>
      <c r="J309" s="154"/>
      <c r="K309" s="154"/>
      <c r="L309" s="154"/>
      <c r="M309" s="154"/>
      <c r="N309" s="154"/>
      <c r="O309" s="154"/>
    </row>
    <row r="310" spans="3:15">
      <c r="C310" s="154"/>
      <c r="D310" s="154"/>
      <c r="E310" s="154"/>
      <c r="F310" s="154"/>
      <c r="G310" s="154"/>
      <c r="H310" s="154"/>
      <c r="I310" s="154"/>
      <c r="J310" s="154"/>
      <c r="K310" s="154"/>
      <c r="L310" s="154"/>
      <c r="M310" s="154"/>
      <c r="N310" s="154"/>
      <c r="O310" s="154"/>
    </row>
    <row r="311" spans="3:15">
      <c r="C311" s="154"/>
      <c r="D311" s="154"/>
      <c r="E311" s="154"/>
      <c r="F311" s="154"/>
      <c r="G311" s="154"/>
      <c r="H311" s="154"/>
      <c r="I311" s="154"/>
      <c r="J311" s="154"/>
      <c r="K311" s="154"/>
      <c r="L311" s="154"/>
      <c r="M311" s="154"/>
      <c r="N311" s="154"/>
      <c r="O311" s="154"/>
    </row>
    <row r="312" spans="3:15">
      <c r="C312" s="154"/>
      <c r="D312" s="154"/>
      <c r="E312" s="154"/>
      <c r="F312" s="154"/>
      <c r="G312" s="154"/>
      <c r="H312" s="154"/>
      <c r="I312" s="154"/>
      <c r="J312" s="154"/>
      <c r="K312" s="154"/>
      <c r="L312" s="154"/>
      <c r="M312" s="154"/>
      <c r="N312" s="154"/>
      <c r="O312" s="154"/>
    </row>
    <row r="313" spans="3:15">
      <c r="C313" s="154"/>
      <c r="D313" s="154"/>
      <c r="E313" s="154"/>
      <c r="F313" s="154"/>
      <c r="G313" s="154"/>
      <c r="H313" s="154"/>
      <c r="I313" s="154"/>
      <c r="J313" s="154"/>
      <c r="K313" s="154"/>
      <c r="L313" s="154"/>
      <c r="M313" s="154"/>
      <c r="N313" s="154"/>
      <c r="O313" s="154"/>
    </row>
    <row r="314" spans="3:15">
      <c r="C314" s="154"/>
      <c r="D314" s="154"/>
      <c r="E314" s="154"/>
      <c r="F314" s="154"/>
      <c r="G314" s="154"/>
      <c r="H314" s="154"/>
      <c r="I314" s="154"/>
      <c r="J314" s="154"/>
      <c r="K314" s="154"/>
      <c r="L314" s="154"/>
      <c r="M314" s="154"/>
      <c r="N314" s="154"/>
      <c r="O314" s="154"/>
    </row>
    <row r="315" spans="3:15">
      <c r="C315" s="154"/>
      <c r="D315" s="154"/>
      <c r="E315" s="154"/>
      <c r="F315" s="154"/>
      <c r="G315" s="154"/>
      <c r="H315" s="154"/>
      <c r="I315" s="154"/>
      <c r="J315" s="154"/>
      <c r="K315" s="154"/>
      <c r="L315" s="154"/>
      <c r="M315" s="154"/>
      <c r="N315" s="154"/>
      <c r="O315" s="154"/>
    </row>
    <row r="316" spans="3:15">
      <c r="C316" s="154"/>
      <c r="D316" s="154"/>
      <c r="E316" s="154"/>
      <c r="F316" s="154"/>
      <c r="G316" s="154"/>
      <c r="H316" s="154"/>
      <c r="I316" s="154"/>
      <c r="J316" s="154"/>
      <c r="K316" s="154"/>
      <c r="L316" s="154"/>
      <c r="M316" s="154"/>
      <c r="N316" s="154"/>
      <c r="O316" s="154"/>
    </row>
    <row r="317" spans="3:15">
      <c r="C317" s="154"/>
      <c r="D317" s="154"/>
      <c r="E317" s="154"/>
      <c r="F317" s="154"/>
      <c r="G317" s="154"/>
      <c r="H317" s="154"/>
      <c r="I317" s="154"/>
      <c r="J317" s="154"/>
      <c r="K317" s="154"/>
      <c r="L317" s="154"/>
      <c r="M317" s="154"/>
      <c r="N317" s="154"/>
      <c r="O317" s="154"/>
    </row>
    <row r="318" spans="3:15">
      <c r="C318" s="154"/>
      <c r="D318" s="154"/>
      <c r="E318" s="154"/>
      <c r="F318" s="154"/>
      <c r="G318" s="154"/>
      <c r="H318" s="154"/>
      <c r="I318" s="154"/>
      <c r="J318" s="154"/>
      <c r="K318" s="154"/>
      <c r="L318" s="154"/>
      <c r="M318" s="154"/>
      <c r="N318" s="154"/>
      <c r="O318" s="154"/>
    </row>
    <row r="319" spans="3:15">
      <c r="C319" s="154"/>
      <c r="D319" s="154"/>
      <c r="E319" s="154"/>
      <c r="F319" s="154"/>
      <c r="G319" s="154"/>
      <c r="H319" s="154"/>
      <c r="I319" s="154"/>
      <c r="J319" s="154"/>
      <c r="K319" s="154"/>
      <c r="L319" s="154"/>
      <c r="M319" s="154"/>
      <c r="N319" s="154"/>
      <c r="O319" s="154"/>
    </row>
    <row r="320" spans="3:15">
      <c r="C320" s="154"/>
      <c r="D320" s="154"/>
      <c r="E320" s="154"/>
      <c r="F320" s="154"/>
      <c r="G320" s="154"/>
      <c r="H320" s="154"/>
      <c r="I320" s="154"/>
      <c r="J320" s="154"/>
      <c r="K320" s="154"/>
      <c r="L320" s="154"/>
      <c r="M320" s="154"/>
      <c r="N320" s="154"/>
      <c r="O320" s="154"/>
    </row>
    <row r="321" spans="3:15">
      <c r="C321" s="154"/>
      <c r="D321" s="154"/>
      <c r="E321" s="154"/>
      <c r="F321" s="154"/>
      <c r="G321" s="154"/>
      <c r="H321" s="154"/>
      <c r="I321" s="154"/>
      <c r="J321" s="154"/>
      <c r="K321" s="154"/>
      <c r="L321" s="154"/>
      <c r="M321" s="154"/>
      <c r="N321" s="154"/>
      <c r="O321" s="154"/>
    </row>
    <row r="322" spans="3:15">
      <c r="C322" s="154"/>
      <c r="D322" s="154"/>
      <c r="E322" s="154"/>
      <c r="F322" s="154"/>
      <c r="G322" s="154"/>
      <c r="H322" s="154"/>
      <c r="I322" s="154"/>
      <c r="J322" s="154"/>
      <c r="K322" s="154"/>
      <c r="L322" s="154"/>
      <c r="M322" s="154"/>
      <c r="N322" s="154"/>
      <c r="O322" s="154"/>
    </row>
    <row r="323" spans="3:15">
      <c r="C323" s="154"/>
      <c r="D323" s="154"/>
      <c r="E323" s="154"/>
      <c r="F323" s="154"/>
      <c r="G323" s="154"/>
      <c r="H323" s="154"/>
      <c r="I323" s="154"/>
      <c r="J323" s="154"/>
      <c r="K323" s="154"/>
      <c r="L323" s="154"/>
      <c r="M323" s="154"/>
      <c r="N323" s="154"/>
      <c r="O323" s="154"/>
    </row>
    <row r="324" spans="3:15">
      <c r="C324" s="154"/>
      <c r="D324" s="154"/>
      <c r="E324" s="154"/>
      <c r="F324" s="154"/>
      <c r="G324" s="154"/>
      <c r="H324" s="154"/>
      <c r="I324" s="154"/>
      <c r="J324" s="154"/>
      <c r="K324" s="154"/>
      <c r="L324" s="154"/>
      <c r="M324" s="154"/>
      <c r="N324" s="154"/>
      <c r="O324" s="154"/>
    </row>
    <row r="325" spans="3:15">
      <c r="C325" s="154"/>
      <c r="D325" s="154"/>
      <c r="E325" s="154"/>
      <c r="F325" s="154"/>
      <c r="G325" s="154"/>
      <c r="H325" s="154"/>
      <c r="I325" s="154"/>
      <c r="J325" s="154"/>
      <c r="K325" s="154"/>
      <c r="L325" s="154"/>
      <c r="M325" s="154"/>
      <c r="N325" s="154"/>
      <c r="O325" s="154"/>
    </row>
    <row r="326" spans="3:15">
      <c r="C326" s="154"/>
      <c r="D326" s="154"/>
      <c r="E326" s="154"/>
      <c r="F326" s="154"/>
      <c r="G326" s="154"/>
      <c r="H326" s="154"/>
      <c r="I326" s="154"/>
      <c r="J326" s="154"/>
      <c r="K326" s="154"/>
      <c r="L326" s="154"/>
      <c r="M326" s="154"/>
      <c r="N326" s="154"/>
      <c r="O326" s="154"/>
    </row>
    <row r="327" spans="3:15">
      <c r="C327" s="154"/>
      <c r="D327" s="154"/>
      <c r="E327" s="154"/>
      <c r="F327" s="154"/>
      <c r="G327" s="154"/>
      <c r="H327" s="154"/>
      <c r="I327" s="154"/>
      <c r="J327" s="154"/>
      <c r="K327" s="154"/>
      <c r="L327" s="154"/>
      <c r="M327" s="154"/>
      <c r="N327" s="154"/>
      <c r="O327" s="154"/>
    </row>
    <row r="328" spans="3:15">
      <c r="C328" s="154"/>
      <c r="D328" s="154"/>
      <c r="E328" s="154"/>
      <c r="F328" s="154"/>
      <c r="G328" s="154"/>
      <c r="H328" s="154"/>
      <c r="I328" s="154"/>
      <c r="J328" s="154"/>
      <c r="K328" s="154"/>
      <c r="L328" s="154"/>
      <c r="M328" s="154"/>
      <c r="N328" s="154"/>
      <c r="O328" s="154"/>
    </row>
    <row r="329" spans="3:15">
      <c r="C329" s="154"/>
      <c r="D329" s="154"/>
      <c r="E329" s="154"/>
      <c r="F329" s="154"/>
      <c r="G329" s="154"/>
      <c r="H329" s="154"/>
      <c r="I329" s="154"/>
      <c r="J329" s="154"/>
      <c r="K329" s="154"/>
      <c r="L329" s="154"/>
      <c r="M329" s="154"/>
      <c r="N329" s="154"/>
      <c r="O329" s="154"/>
    </row>
    <row r="330" spans="3:15">
      <c r="C330" s="154"/>
      <c r="D330" s="154"/>
      <c r="E330" s="154"/>
      <c r="F330" s="154"/>
      <c r="G330" s="154"/>
      <c r="H330" s="154"/>
      <c r="I330" s="154"/>
      <c r="J330" s="154"/>
      <c r="K330" s="154"/>
      <c r="L330" s="154"/>
      <c r="M330" s="154"/>
      <c r="N330" s="154"/>
      <c r="O330" s="154"/>
    </row>
    <row r="331" spans="3:15">
      <c r="C331" s="154"/>
      <c r="D331" s="154"/>
      <c r="E331" s="154"/>
      <c r="F331" s="154"/>
      <c r="G331" s="154"/>
      <c r="H331" s="154"/>
      <c r="I331" s="154"/>
      <c r="J331" s="154"/>
      <c r="K331" s="154"/>
      <c r="L331" s="154"/>
      <c r="M331" s="154"/>
      <c r="N331" s="154"/>
      <c r="O331" s="154"/>
    </row>
    <row r="332" spans="3:15">
      <c r="C332" s="154"/>
      <c r="D332" s="154"/>
      <c r="E332" s="154"/>
      <c r="F332" s="154"/>
      <c r="G332" s="154"/>
      <c r="H332" s="154"/>
      <c r="I332" s="154"/>
      <c r="J332" s="154"/>
      <c r="K332" s="154"/>
      <c r="L332" s="154"/>
      <c r="M332" s="154"/>
      <c r="N332" s="154"/>
      <c r="O332" s="154"/>
    </row>
    <row r="333" spans="3:15">
      <c r="C333" s="154"/>
      <c r="D333" s="154"/>
      <c r="E333" s="154"/>
      <c r="F333" s="154"/>
      <c r="G333" s="154"/>
      <c r="H333" s="154"/>
      <c r="I333" s="154"/>
      <c r="J333" s="154"/>
      <c r="K333" s="154"/>
      <c r="L333" s="154"/>
      <c r="M333" s="154"/>
      <c r="N333" s="154"/>
      <c r="O333" s="154"/>
    </row>
    <row r="334" spans="3:15">
      <c r="C334" s="154"/>
      <c r="D334" s="154"/>
      <c r="E334" s="154"/>
      <c r="F334" s="154"/>
      <c r="G334" s="154"/>
      <c r="H334" s="154"/>
      <c r="I334" s="154"/>
      <c r="J334" s="154"/>
      <c r="K334" s="154"/>
      <c r="L334" s="154"/>
      <c r="M334" s="154"/>
      <c r="N334" s="154"/>
      <c r="O334" s="154"/>
    </row>
    <row r="335" spans="3:15">
      <c r="C335" s="154"/>
      <c r="D335" s="154"/>
      <c r="E335" s="154"/>
      <c r="F335" s="154"/>
      <c r="G335" s="154"/>
      <c r="H335" s="154"/>
      <c r="I335" s="154"/>
      <c r="J335" s="154"/>
      <c r="K335" s="154"/>
      <c r="L335" s="154"/>
      <c r="M335" s="154"/>
      <c r="N335" s="154"/>
      <c r="O335" s="154"/>
    </row>
    <row r="336" spans="3:15">
      <c r="C336" s="154"/>
      <c r="D336" s="154"/>
      <c r="E336" s="154"/>
      <c r="F336" s="154"/>
      <c r="G336" s="154"/>
      <c r="H336" s="154"/>
      <c r="I336" s="154"/>
      <c r="J336" s="154"/>
      <c r="K336" s="154"/>
      <c r="L336" s="154"/>
      <c r="M336" s="154"/>
      <c r="N336" s="154"/>
      <c r="O336" s="154"/>
    </row>
    <row r="337" spans="3:15">
      <c r="C337" s="154"/>
      <c r="D337" s="154"/>
      <c r="E337" s="154"/>
      <c r="F337" s="154"/>
      <c r="G337" s="154"/>
      <c r="H337" s="154"/>
      <c r="I337" s="154"/>
      <c r="J337" s="154"/>
      <c r="K337" s="154"/>
      <c r="L337" s="154"/>
      <c r="M337" s="154"/>
      <c r="N337" s="154"/>
      <c r="O337" s="154"/>
    </row>
    <row r="338" spans="3:15">
      <c r="C338" s="154"/>
      <c r="D338" s="154"/>
      <c r="E338" s="154"/>
      <c r="F338" s="154"/>
      <c r="G338" s="154"/>
      <c r="H338" s="154"/>
      <c r="I338" s="154"/>
      <c r="J338" s="154"/>
      <c r="K338" s="154"/>
      <c r="L338" s="154"/>
      <c r="M338" s="154"/>
      <c r="N338" s="154"/>
      <c r="O338" s="154"/>
    </row>
    <row r="339" spans="3:15">
      <c r="C339" s="154"/>
      <c r="D339" s="154"/>
      <c r="E339" s="154"/>
      <c r="F339" s="154"/>
      <c r="G339" s="154"/>
      <c r="H339" s="154"/>
      <c r="I339" s="154"/>
      <c r="J339" s="154"/>
      <c r="K339" s="154"/>
      <c r="L339" s="154"/>
      <c r="M339" s="154"/>
      <c r="N339" s="154"/>
      <c r="O339" s="154"/>
    </row>
    <row r="340" spans="3:15">
      <c r="C340" s="154"/>
      <c r="D340" s="154"/>
      <c r="E340" s="154"/>
      <c r="F340" s="154"/>
      <c r="G340" s="154"/>
      <c r="H340" s="154"/>
      <c r="I340" s="154"/>
      <c r="J340" s="154"/>
      <c r="K340" s="154"/>
      <c r="L340" s="154"/>
      <c r="M340" s="154"/>
      <c r="N340" s="154"/>
      <c r="O340" s="154"/>
    </row>
    <row r="341" spans="3:15">
      <c r="C341" s="154"/>
      <c r="D341" s="154"/>
      <c r="E341" s="154"/>
      <c r="F341" s="154"/>
      <c r="G341" s="154"/>
      <c r="H341" s="154"/>
      <c r="I341" s="154"/>
      <c r="J341" s="154"/>
      <c r="K341" s="154"/>
      <c r="L341" s="154"/>
      <c r="M341" s="154"/>
      <c r="N341" s="154"/>
      <c r="O341" s="154"/>
    </row>
    <row r="342" spans="3:15">
      <c r="C342" s="154"/>
      <c r="D342" s="154"/>
      <c r="E342" s="154"/>
      <c r="F342" s="154"/>
      <c r="G342" s="154"/>
      <c r="H342" s="154"/>
      <c r="I342" s="154"/>
      <c r="J342" s="154"/>
      <c r="K342" s="154"/>
      <c r="L342" s="154"/>
      <c r="M342" s="154"/>
      <c r="N342" s="154"/>
      <c r="O342" s="154"/>
    </row>
    <row r="343" spans="3:15">
      <c r="C343" s="154"/>
      <c r="D343" s="154"/>
      <c r="E343" s="154"/>
      <c r="F343" s="154"/>
      <c r="G343" s="154"/>
      <c r="H343" s="154"/>
      <c r="I343" s="154"/>
      <c r="J343" s="154"/>
      <c r="K343" s="154"/>
      <c r="L343" s="154"/>
      <c r="M343" s="154"/>
      <c r="N343" s="154"/>
      <c r="O343" s="154"/>
    </row>
    <row r="344" spans="3:15">
      <c r="C344" s="154"/>
      <c r="D344" s="154"/>
      <c r="E344" s="154"/>
      <c r="F344" s="154"/>
      <c r="G344" s="154"/>
      <c r="H344" s="154"/>
      <c r="I344" s="154"/>
      <c r="J344" s="154"/>
      <c r="K344" s="154"/>
      <c r="L344" s="154"/>
      <c r="M344" s="154"/>
      <c r="N344" s="154"/>
      <c r="O344" s="154"/>
    </row>
    <row r="345" spans="3:15">
      <c r="C345" s="154"/>
      <c r="D345" s="154"/>
      <c r="E345" s="154"/>
      <c r="F345" s="154"/>
      <c r="G345" s="154"/>
      <c r="H345" s="154"/>
      <c r="I345" s="154"/>
      <c r="J345" s="154"/>
      <c r="K345" s="154"/>
      <c r="L345" s="154"/>
      <c r="M345" s="154"/>
      <c r="N345" s="154"/>
      <c r="O345" s="154"/>
    </row>
    <row r="346" spans="3:15">
      <c r="C346" s="154"/>
      <c r="D346" s="154"/>
      <c r="E346" s="154"/>
      <c r="F346" s="154"/>
      <c r="G346" s="154"/>
      <c r="H346" s="154"/>
      <c r="I346" s="154"/>
      <c r="J346" s="154"/>
      <c r="K346" s="154"/>
      <c r="L346" s="154"/>
      <c r="M346" s="154"/>
      <c r="N346" s="154"/>
      <c r="O346" s="154"/>
    </row>
    <row r="347" spans="3:15">
      <c r="C347" s="154"/>
      <c r="D347" s="154"/>
      <c r="E347" s="154"/>
      <c r="F347" s="154"/>
      <c r="G347" s="154"/>
      <c r="H347" s="154"/>
      <c r="I347" s="154"/>
      <c r="J347" s="154"/>
      <c r="K347" s="154"/>
      <c r="L347" s="154"/>
      <c r="M347" s="154"/>
      <c r="N347" s="154"/>
      <c r="O347" s="154"/>
    </row>
    <row r="348" spans="3:15">
      <c r="C348" s="154"/>
      <c r="D348" s="154"/>
      <c r="E348" s="154"/>
      <c r="F348" s="154"/>
      <c r="G348" s="154"/>
      <c r="H348" s="154"/>
      <c r="I348" s="154"/>
      <c r="J348" s="154"/>
      <c r="K348" s="154"/>
      <c r="L348" s="154"/>
      <c r="M348" s="154"/>
      <c r="N348" s="154"/>
      <c r="O348" s="154"/>
    </row>
    <row r="349" spans="3:15">
      <c r="C349" s="154"/>
      <c r="D349" s="154"/>
      <c r="E349" s="154"/>
      <c r="F349" s="154"/>
      <c r="G349" s="154"/>
      <c r="H349" s="154"/>
      <c r="I349" s="154"/>
      <c r="J349" s="154"/>
      <c r="K349" s="154"/>
      <c r="L349" s="154"/>
      <c r="M349" s="154"/>
      <c r="N349" s="154"/>
      <c r="O349" s="154"/>
    </row>
    <row r="350" spans="3:15">
      <c r="C350" s="154"/>
      <c r="D350" s="154"/>
      <c r="E350" s="154"/>
      <c r="F350" s="154"/>
      <c r="G350" s="154"/>
      <c r="H350" s="154"/>
      <c r="I350" s="154"/>
      <c r="J350" s="154"/>
      <c r="K350" s="154"/>
      <c r="L350" s="154"/>
      <c r="M350" s="154"/>
      <c r="N350" s="154"/>
      <c r="O350" s="154"/>
    </row>
    <row r="351" spans="3:15">
      <c r="C351" s="154"/>
      <c r="D351" s="154"/>
      <c r="E351" s="154"/>
      <c r="F351" s="154"/>
      <c r="G351" s="154"/>
      <c r="H351" s="154"/>
      <c r="I351" s="154"/>
      <c r="J351" s="154"/>
      <c r="K351" s="154"/>
      <c r="L351" s="154"/>
      <c r="M351" s="154"/>
      <c r="N351" s="154"/>
      <c r="O351" s="154"/>
    </row>
    <row r="352" spans="3:15">
      <c r="C352" s="154"/>
      <c r="D352" s="154"/>
      <c r="E352" s="154"/>
      <c r="F352" s="154"/>
      <c r="G352" s="154"/>
      <c r="H352" s="154"/>
      <c r="I352" s="154"/>
      <c r="J352" s="154"/>
      <c r="K352" s="154"/>
      <c r="L352" s="154"/>
      <c r="M352" s="154"/>
      <c r="N352" s="154"/>
      <c r="O352" s="154"/>
    </row>
    <row r="353" spans="3:15">
      <c r="C353" s="154"/>
      <c r="D353" s="154"/>
      <c r="E353" s="154"/>
      <c r="F353" s="154"/>
      <c r="G353" s="154"/>
      <c r="H353" s="154"/>
      <c r="I353" s="154"/>
      <c r="J353" s="154"/>
      <c r="K353" s="154"/>
      <c r="L353" s="154"/>
      <c r="M353" s="154"/>
      <c r="N353" s="154"/>
      <c r="O353" s="154"/>
    </row>
    <row r="354" spans="3:15">
      <c r="C354" s="154"/>
      <c r="D354" s="154"/>
      <c r="E354" s="154"/>
      <c r="F354" s="154"/>
      <c r="G354" s="154"/>
      <c r="H354" s="154"/>
      <c r="I354" s="154"/>
      <c r="J354" s="154"/>
      <c r="K354" s="154"/>
      <c r="L354" s="154"/>
      <c r="M354" s="154"/>
      <c r="N354" s="154"/>
      <c r="O354" s="154"/>
    </row>
    <row r="355" spans="3:15">
      <c r="C355" s="154"/>
      <c r="D355" s="154"/>
      <c r="E355" s="154"/>
      <c r="F355" s="154"/>
      <c r="G355" s="154"/>
      <c r="H355" s="154"/>
      <c r="I355" s="154"/>
      <c r="J355" s="154"/>
      <c r="K355" s="154"/>
      <c r="L355" s="154"/>
      <c r="M355" s="154"/>
      <c r="N355" s="154"/>
      <c r="O355" s="154"/>
    </row>
    <row r="356" spans="3:15">
      <c r="C356" s="154"/>
      <c r="D356" s="154"/>
      <c r="E356" s="154"/>
      <c r="F356" s="154"/>
      <c r="G356" s="154"/>
      <c r="H356" s="154"/>
      <c r="I356" s="154"/>
      <c r="J356" s="154"/>
      <c r="K356" s="154"/>
      <c r="L356" s="154"/>
      <c r="M356" s="154"/>
      <c r="N356" s="154"/>
      <c r="O356" s="154"/>
    </row>
    <row r="357" spans="3:15">
      <c r="C357" s="154"/>
      <c r="D357" s="154"/>
      <c r="E357" s="154"/>
      <c r="F357" s="154"/>
      <c r="G357" s="154"/>
      <c r="H357" s="154"/>
      <c r="I357" s="154"/>
      <c r="J357" s="154"/>
      <c r="K357" s="154"/>
      <c r="L357" s="154"/>
      <c r="M357" s="154"/>
      <c r="N357" s="154"/>
      <c r="O357" s="154"/>
    </row>
    <row r="358" spans="3:15">
      <c r="C358" s="154"/>
      <c r="D358" s="154"/>
      <c r="E358" s="154"/>
      <c r="F358" s="154"/>
      <c r="G358" s="154"/>
      <c r="H358" s="154"/>
      <c r="I358" s="154"/>
      <c r="J358" s="154"/>
      <c r="K358" s="154"/>
      <c r="L358" s="154"/>
      <c r="M358" s="154"/>
      <c r="N358" s="154"/>
      <c r="O358" s="154"/>
    </row>
    <row r="359" spans="3:15">
      <c r="C359" s="154"/>
      <c r="D359" s="154"/>
      <c r="E359" s="154"/>
      <c r="F359" s="154"/>
      <c r="G359" s="154"/>
      <c r="H359" s="154"/>
      <c r="I359" s="154"/>
      <c r="J359" s="154"/>
      <c r="K359" s="154"/>
      <c r="L359" s="154"/>
      <c r="M359" s="154"/>
      <c r="N359" s="154"/>
      <c r="O359" s="154"/>
    </row>
    <row r="360" spans="3:15">
      <c r="C360" s="154"/>
      <c r="D360" s="154"/>
      <c r="E360" s="154"/>
      <c r="F360" s="154"/>
      <c r="G360" s="154"/>
      <c r="H360" s="154"/>
      <c r="I360" s="154"/>
      <c r="J360" s="154"/>
      <c r="K360" s="154"/>
      <c r="L360" s="154"/>
      <c r="M360" s="154"/>
      <c r="N360" s="154"/>
      <c r="O360" s="154"/>
    </row>
    <row r="361" spans="3:15">
      <c r="C361" s="154"/>
      <c r="D361" s="154"/>
      <c r="E361" s="154"/>
      <c r="F361" s="154"/>
      <c r="G361" s="154"/>
      <c r="H361" s="154"/>
      <c r="I361" s="154"/>
      <c r="J361" s="154"/>
      <c r="K361" s="154"/>
      <c r="L361" s="154"/>
      <c r="M361" s="154"/>
      <c r="N361" s="154"/>
      <c r="O361" s="154"/>
    </row>
    <row r="362" spans="3:15">
      <c r="C362" s="154"/>
      <c r="D362" s="154"/>
      <c r="E362" s="154"/>
      <c r="F362" s="154"/>
      <c r="G362" s="154"/>
      <c r="H362" s="154"/>
      <c r="I362" s="154"/>
      <c r="J362" s="154"/>
      <c r="K362" s="154"/>
      <c r="L362" s="154"/>
      <c r="M362" s="154"/>
      <c r="N362" s="154"/>
      <c r="O362" s="154"/>
    </row>
    <row r="363" spans="3:15">
      <c r="C363" s="154"/>
      <c r="D363" s="154"/>
      <c r="E363" s="154"/>
      <c r="F363" s="154"/>
      <c r="G363" s="154"/>
      <c r="H363" s="154"/>
      <c r="I363" s="154"/>
      <c r="J363" s="154"/>
      <c r="K363" s="154"/>
      <c r="L363" s="154"/>
      <c r="M363" s="154"/>
      <c r="N363" s="154"/>
      <c r="O363" s="154"/>
    </row>
    <row r="364" spans="3:15">
      <c r="C364" s="154"/>
      <c r="D364" s="154"/>
      <c r="E364" s="154"/>
      <c r="F364" s="154"/>
      <c r="G364" s="154"/>
      <c r="H364" s="154"/>
      <c r="I364" s="154"/>
      <c r="J364" s="154"/>
      <c r="K364" s="154"/>
      <c r="L364" s="154"/>
      <c r="M364" s="154"/>
      <c r="N364" s="154"/>
      <c r="O364" s="154"/>
    </row>
    <row r="365" spans="3:15">
      <c r="C365" s="154"/>
      <c r="D365" s="154"/>
      <c r="E365" s="154"/>
      <c r="F365" s="154"/>
      <c r="G365" s="154"/>
      <c r="H365" s="154"/>
      <c r="I365" s="154"/>
      <c r="J365" s="154"/>
      <c r="K365" s="154"/>
      <c r="L365" s="154"/>
      <c r="M365" s="154"/>
      <c r="N365" s="154"/>
      <c r="O365" s="154"/>
    </row>
    <row r="366" spans="3:15">
      <c r="C366" s="154"/>
      <c r="D366" s="154"/>
      <c r="E366" s="154"/>
      <c r="F366" s="154"/>
      <c r="G366" s="154"/>
      <c r="H366" s="154"/>
      <c r="I366" s="154"/>
      <c r="J366" s="154"/>
      <c r="K366" s="154"/>
      <c r="L366" s="154"/>
      <c r="M366" s="154"/>
      <c r="N366" s="154"/>
      <c r="O366" s="154"/>
    </row>
    <row r="367" spans="3:15">
      <c r="C367" s="154"/>
      <c r="D367" s="154"/>
      <c r="E367" s="154"/>
      <c r="F367" s="154"/>
      <c r="G367" s="154"/>
      <c r="H367" s="154"/>
      <c r="I367" s="154"/>
      <c r="J367" s="154"/>
      <c r="K367" s="154"/>
      <c r="L367" s="154"/>
      <c r="M367" s="154"/>
      <c r="N367" s="154"/>
      <c r="O367" s="154"/>
    </row>
    <row r="368" spans="3:15">
      <c r="C368" s="154"/>
      <c r="D368" s="154"/>
      <c r="E368" s="154"/>
      <c r="F368" s="154"/>
      <c r="G368" s="154"/>
      <c r="H368" s="154"/>
      <c r="I368" s="154"/>
      <c r="J368" s="154"/>
      <c r="K368" s="154"/>
      <c r="L368" s="154"/>
      <c r="M368" s="154"/>
      <c r="N368" s="154"/>
      <c r="O368" s="154"/>
    </row>
    <row r="369" spans="3:15">
      <c r="C369" s="154"/>
      <c r="D369" s="154"/>
      <c r="E369" s="154"/>
      <c r="F369" s="154"/>
      <c r="G369" s="154"/>
      <c r="H369" s="154"/>
      <c r="I369" s="154"/>
      <c r="J369" s="154"/>
      <c r="K369" s="154"/>
      <c r="L369" s="154"/>
      <c r="M369" s="154"/>
      <c r="N369" s="154"/>
      <c r="O369" s="154"/>
    </row>
    <row r="370" spans="3:15">
      <c r="C370" s="154"/>
      <c r="D370" s="154"/>
      <c r="E370" s="154"/>
      <c r="F370" s="154"/>
      <c r="G370" s="154"/>
      <c r="H370" s="154"/>
      <c r="I370" s="154"/>
      <c r="J370" s="154"/>
      <c r="K370" s="154"/>
      <c r="L370" s="154"/>
      <c r="M370" s="154"/>
      <c r="N370" s="154"/>
      <c r="O370" s="154"/>
    </row>
    <row r="371" spans="3:15">
      <c r="C371" s="154"/>
      <c r="D371" s="154"/>
      <c r="E371" s="154"/>
      <c r="F371" s="154"/>
      <c r="G371" s="154"/>
      <c r="H371" s="154"/>
      <c r="I371" s="154"/>
      <c r="J371" s="154"/>
      <c r="K371" s="154"/>
      <c r="L371" s="154"/>
      <c r="M371" s="154"/>
      <c r="N371" s="154"/>
      <c r="O371" s="154"/>
    </row>
    <row r="372" spans="3:15">
      <c r="C372" s="154"/>
      <c r="D372" s="154"/>
      <c r="E372" s="154"/>
      <c r="F372" s="154"/>
      <c r="G372" s="154"/>
      <c r="H372" s="154"/>
      <c r="I372" s="154"/>
      <c r="J372" s="154"/>
      <c r="K372" s="154"/>
      <c r="L372" s="154"/>
      <c r="M372" s="154"/>
      <c r="N372" s="154"/>
      <c r="O372" s="154"/>
    </row>
    <row r="373" spans="3:15">
      <c r="C373" s="154"/>
      <c r="D373" s="154"/>
      <c r="E373" s="154"/>
      <c r="F373" s="154"/>
      <c r="G373" s="154"/>
      <c r="H373" s="154"/>
      <c r="I373" s="154"/>
      <c r="J373" s="154"/>
      <c r="K373" s="154"/>
      <c r="L373" s="154"/>
      <c r="M373" s="154"/>
      <c r="N373" s="154"/>
      <c r="O373" s="154"/>
    </row>
    <row r="374" spans="3:15">
      <c r="C374" s="154"/>
      <c r="D374" s="154"/>
      <c r="E374" s="154"/>
      <c r="F374" s="154"/>
      <c r="G374" s="154"/>
      <c r="H374" s="154"/>
      <c r="I374" s="154"/>
      <c r="J374" s="154"/>
      <c r="K374" s="154"/>
      <c r="L374" s="154"/>
      <c r="M374" s="154"/>
      <c r="N374" s="154"/>
      <c r="O374" s="154"/>
    </row>
    <row r="375" spans="3:15">
      <c r="C375" s="154"/>
      <c r="D375" s="154"/>
      <c r="E375" s="154"/>
      <c r="F375" s="154"/>
      <c r="G375" s="154"/>
      <c r="H375" s="154"/>
      <c r="I375" s="154"/>
      <c r="J375" s="154"/>
      <c r="K375" s="154"/>
      <c r="L375" s="154"/>
      <c r="M375" s="154"/>
      <c r="N375" s="154"/>
      <c r="O375" s="154"/>
    </row>
    <row r="376" spans="3:15">
      <c r="C376" s="154"/>
      <c r="D376" s="154"/>
      <c r="E376" s="154"/>
      <c r="F376" s="154"/>
      <c r="G376" s="154"/>
      <c r="H376" s="154"/>
      <c r="I376" s="154"/>
      <c r="J376" s="154"/>
      <c r="K376" s="154"/>
      <c r="L376" s="154"/>
      <c r="M376" s="154"/>
      <c r="N376" s="154"/>
      <c r="O376" s="154"/>
    </row>
    <row r="377" spans="3:15">
      <c r="C377" s="154"/>
      <c r="D377" s="154"/>
      <c r="E377" s="154"/>
      <c r="F377" s="154"/>
      <c r="G377" s="154"/>
      <c r="H377" s="154"/>
      <c r="I377" s="154"/>
      <c r="J377" s="154"/>
      <c r="K377" s="154"/>
      <c r="L377" s="154"/>
      <c r="M377" s="154"/>
      <c r="N377" s="154"/>
      <c r="O377" s="154"/>
    </row>
    <row r="378" spans="3:15">
      <c r="C378" s="154"/>
      <c r="D378" s="154"/>
      <c r="E378" s="154"/>
      <c r="F378" s="154"/>
      <c r="G378" s="154"/>
      <c r="H378" s="154"/>
      <c r="I378" s="154"/>
      <c r="J378" s="154"/>
      <c r="K378" s="154"/>
      <c r="L378" s="154"/>
      <c r="M378" s="154"/>
      <c r="N378" s="154"/>
      <c r="O378" s="154"/>
    </row>
    <row r="379" spans="3:15">
      <c r="C379" s="154"/>
      <c r="D379" s="154"/>
      <c r="E379" s="154"/>
      <c r="F379" s="154"/>
      <c r="G379" s="154"/>
      <c r="H379" s="154"/>
      <c r="I379" s="154"/>
      <c r="J379" s="154"/>
      <c r="K379" s="154"/>
      <c r="L379" s="154"/>
      <c r="M379" s="154"/>
      <c r="N379" s="154"/>
      <c r="O379" s="154"/>
    </row>
    <row r="380" spans="3:15">
      <c r="C380" s="154"/>
      <c r="D380" s="154"/>
      <c r="E380" s="154"/>
      <c r="F380" s="154"/>
      <c r="G380" s="154"/>
      <c r="H380" s="154"/>
      <c r="I380" s="154"/>
      <c r="J380" s="154"/>
      <c r="K380" s="154"/>
      <c r="L380" s="154"/>
      <c r="M380" s="154"/>
      <c r="N380" s="154"/>
      <c r="O380" s="154"/>
    </row>
    <row r="381" spans="3:15">
      <c r="C381" s="154"/>
      <c r="D381" s="154"/>
      <c r="E381" s="154"/>
      <c r="F381" s="154"/>
      <c r="G381" s="154"/>
      <c r="H381" s="154"/>
      <c r="I381" s="154"/>
      <c r="J381" s="154"/>
      <c r="K381" s="154"/>
      <c r="L381" s="154"/>
      <c r="M381" s="154"/>
      <c r="N381" s="154"/>
      <c r="O381" s="154"/>
    </row>
    <row r="382" spans="3:15">
      <c r="C382" s="154"/>
      <c r="D382" s="154"/>
      <c r="E382" s="154"/>
      <c r="F382" s="154"/>
      <c r="G382" s="154"/>
      <c r="H382" s="154"/>
      <c r="I382" s="154"/>
      <c r="J382" s="154"/>
      <c r="K382" s="154"/>
      <c r="L382" s="154"/>
      <c r="M382" s="154"/>
      <c r="N382" s="154"/>
      <c r="O382" s="154"/>
    </row>
    <row r="383" spans="3:15">
      <c r="C383" s="154"/>
      <c r="D383" s="154"/>
      <c r="E383" s="154"/>
      <c r="F383" s="154"/>
      <c r="G383" s="154"/>
      <c r="H383" s="154"/>
      <c r="I383" s="154"/>
      <c r="J383" s="154"/>
      <c r="K383" s="154"/>
      <c r="L383" s="154"/>
      <c r="M383" s="154"/>
      <c r="N383" s="154"/>
      <c r="O383" s="154"/>
    </row>
    <row r="384" spans="3:15">
      <c r="C384" s="154"/>
      <c r="D384" s="154"/>
      <c r="E384" s="154"/>
      <c r="F384" s="154"/>
      <c r="G384" s="154"/>
      <c r="H384" s="154"/>
      <c r="I384" s="154"/>
      <c r="J384" s="154"/>
      <c r="K384" s="154"/>
      <c r="L384" s="154"/>
      <c r="M384" s="154"/>
      <c r="N384" s="154"/>
      <c r="O384" s="154"/>
    </row>
    <row r="385" spans="3:15">
      <c r="C385" s="154"/>
      <c r="D385" s="154"/>
      <c r="E385" s="154"/>
      <c r="F385" s="154"/>
      <c r="G385" s="154"/>
      <c r="H385" s="154"/>
      <c r="I385" s="154"/>
      <c r="J385" s="154"/>
      <c r="K385" s="154"/>
      <c r="L385" s="154"/>
      <c r="M385" s="154"/>
      <c r="N385" s="154"/>
      <c r="O385" s="154"/>
    </row>
    <row r="386" spans="3:15">
      <c r="C386" s="154"/>
      <c r="D386" s="154"/>
      <c r="E386" s="154"/>
      <c r="F386" s="154"/>
      <c r="G386" s="154"/>
      <c r="H386" s="154"/>
      <c r="I386" s="154"/>
      <c r="J386" s="154"/>
      <c r="K386" s="154"/>
      <c r="L386" s="154"/>
      <c r="M386" s="154"/>
      <c r="N386" s="154"/>
      <c r="O386" s="154"/>
    </row>
    <row r="387" spans="3:15">
      <c r="C387" s="154"/>
      <c r="D387" s="154"/>
      <c r="E387" s="154"/>
      <c r="F387" s="154"/>
      <c r="G387" s="154"/>
      <c r="H387" s="154"/>
      <c r="I387" s="154"/>
      <c r="J387" s="154"/>
      <c r="K387" s="154"/>
      <c r="L387" s="154"/>
      <c r="M387" s="154"/>
      <c r="N387" s="154"/>
      <c r="O387" s="154"/>
    </row>
    <row r="388" spans="3:15">
      <c r="C388" s="154"/>
      <c r="D388" s="154"/>
      <c r="E388" s="154"/>
      <c r="F388" s="154"/>
      <c r="G388" s="154"/>
      <c r="H388" s="154"/>
      <c r="I388" s="154"/>
      <c r="J388" s="154"/>
      <c r="K388" s="154"/>
      <c r="L388" s="154"/>
      <c r="M388" s="154"/>
      <c r="N388" s="154"/>
      <c r="O388" s="154"/>
    </row>
    <row r="389" spans="3:15">
      <c r="C389" s="154"/>
      <c r="D389" s="154"/>
      <c r="E389" s="154"/>
      <c r="F389" s="154"/>
      <c r="G389" s="154"/>
      <c r="H389" s="154"/>
      <c r="I389" s="154"/>
      <c r="J389" s="154"/>
      <c r="K389" s="154"/>
      <c r="L389" s="154"/>
      <c r="M389" s="154"/>
      <c r="N389" s="154"/>
      <c r="O389" s="154"/>
    </row>
    <row r="390" spans="3:15">
      <c r="C390" s="154"/>
      <c r="D390" s="154"/>
      <c r="E390" s="154"/>
      <c r="F390" s="154"/>
      <c r="G390" s="154"/>
      <c r="H390" s="154"/>
      <c r="I390" s="154"/>
      <c r="J390" s="154"/>
      <c r="K390" s="154"/>
      <c r="L390" s="154"/>
      <c r="M390" s="154"/>
      <c r="N390" s="154"/>
      <c r="O390" s="154"/>
    </row>
    <row r="391" spans="3:15">
      <c r="C391" s="154"/>
      <c r="D391" s="154"/>
      <c r="E391" s="154"/>
      <c r="F391" s="154"/>
      <c r="G391" s="154"/>
      <c r="H391" s="154"/>
      <c r="I391" s="154"/>
      <c r="J391" s="154"/>
      <c r="K391" s="154"/>
      <c r="L391" s="154"/>
      <c r="M391" s="154"/>
      <c r="N391" s="154"/>
      <c r="O391" s="154"/>
    </row>
    <row r="392" spans="3:15">
      <c r="C392" s="154"/>
      <c r="D392" s="154"/>
      <c r="E392" s="154"/>
      <c r="F392" s="154"/>
      <c r="G392" s="154"/>
      <c r="H392" s="154"/>
      <c r="I392" s="154"/>
      <c r="J392" s="154"/>
      <c r="K392" s="154"/>
      <c r="L392" s="154"/>
      <c r="M392" s="154"/>
      <c r="N392" s="154"/>
      <c r="O392" s="154"/>
    </row>
    <row r="393" spans="3:15">
      <c r="C393" s="154"/>
      <c r="D393" s="154"/>
      <c r="E393" s="154"/>
      <c r="F393" s="154"/>
      <c r="G393" s="154"/>
      <c r="H393" s="154"/>
      <c r="I393" s="154"/>
      <c r="J393" s="154"/>
      <c r="K393" s="154"/>
      <c r="L393" s="154"/>
      <c r="M393" s="154"/>
      <c r="N393" s="154"/>
      <c r="O393" s="154"/>
    </row>
    <row r="394" spans="3:15">
      <c r="C394" s="154"/>
      <c r="D394" s="154"/>
      <c r="E394" s="154"/>
      <c r="F394" s="154"/>
      <c r="G394" s="154"/>
      <c r="H394" s="154"/>
      <c r="I394" s="154"/>
      <c r="J394" s="154"/>
      <c r="K394" s="154"/>
      <c r="L394" s="154"/>
      <c r="M394" s="154"/>
      <c r="N394" s="154"/>
      <c r="O394" s="154"/>
    </row>
    <row r="395" spans="3:15">
      <c r="C395" s="154"/>
      <c r="D395" s="154"/>
      <c r="E395" s="154"/>
      <c r="F395" s="154"/>
      <c r="G395" s="154"/>
      <c r="H395" s="154"/>
      <c r="I395" s="154"/>
      <c r="J395" s="154"/>
      <c r="K395" s="154"/>
      <c r="L395" s="154"/>
      <c r="M395" s="154"/>
      <c r="N395" s="154"/>
      <c r="O395" s="154"/>
    </row>
    <row r="396" spans="3:15">
      <c r="C396" s="154"/>
      <c r="D396" s="154"/>
      <c r="E396" s="154"/>
      <c r="F396" s="154"/>
      <c r="G396" s="154"/>
      <c r="H396" s="154"/>
      <c r="I396" s="154"/>
      <c r="J396" s="154"/>
      <c r="K396" s="154"/>
      <c r="L396" s="154"/>
      <c r="M396" s="154"/>
      <c r="N396" s="154"/>
      <c r="O396" s="154"/>
    </row>
    <row r="397" spans="3:15">
      <c r="C397" s="154"/>
      <c r="D397" s="154"/>
      <c r="E397" s="154"/>
      <c r="F397" s="154"/>
      <c r="G397" s="154"/>
      <c r="H397" s="154"/>
      <c r="I397" s="154"/>
      <c r="J397" s="154"/>
      <c r="K397" s="154"/>
      <c r="L397" s="154"/>
      <c r="M397" s="154"/>
      <c r="N397" s="154"/>
      <c r="O397" s="154"/>
    </row>
    <row r="398" spans="3:15">
      <c r="C398" s="154"/>
      <c r="D398" s="154"/>
      <c r="E398" s="154"/>
      <c r="F398" s="154"/>
      <c r="G398" s="154"/>
      <c r="H398" s="154"/>
      <c r="I398" s="154"/>
      <c r="J398" s="154"/>
      <c r="K398" s="154"/>
      <c r="L398" s="154"/>
      <c r="M398" s="154"/>
      <c r="N398" s="154"/>
      <c r="O398" s="154"/>
    </row>
    <row r="399" spans="3:15">
      <c r="C399" s="154"/>
      <c r="D399" s="154"/>
      <c r="E399" s="154"/>
      <c r="F399" s="154"/>
      <c r="G399" s="154"/>
      <c r="H399" s="154"/>
      <c r="I399" s="154"/>
      <c r="J399" s="154"/>
      <c r="K399" s="154"/>
      <c r="L399" s="154"/>
      <c r="M399" s="154"/>
      <c r="N399" s="154"/>
      <c r="O399" s="154"/>
    </row>
    <row r="400" spans="3:15">
      <c r="C400" s="154"/>
      <c r="D400" s="154"/>
      <c r="E400" s="154"/>
      <c r="F400" s="154"/>
      <c r="G400" s="154"/>
      <c r="H400" s="154"/>
      <c r="I400" s="154"/>
      <c r="J400" s="154"/>
      <c r="K400" s="154"/>
      <c r="L400" s="154"/>
      <c r="M400" s="154"/>
      <c r="N400" s="154"/>
      <c r="O400" s="154"/>
    </row>
    <row r="401" spans="3:15">
      <c r="C401" s="154"/>
      <c r="D401" s="154"/>
      <c r="E401" s="154"/>
      <c r="F401" s="154"/>
      <c r="G401" s="154"/>
      <c r="H401" s="154"/>
      <c r="I401" s="154"/>
      <c r="J401" s="154"/>
      <c r="K401" s="154"/>
      <c r="L401" s="154"/>
      <c r="M401" s="154"/>
      <c r="N401" s="154"/>
      <c r="O401" s="154"/>
    </row>
    <row r="402" spans="3:15">
      <c r="C402" s="154"/>
      <c r="D402" s="154"/>
      <c r="E402" s="154"/>
      <c r="F402" s="154"/>
      <c r="G402" s="154"/>
      <c r="H402" s="154"/>
      <c r="I402" s="154"/>
      <c r="J402" s="154"/>
      <c r="K402" s="154"/>
      <c r="L402" s="154"/>
      <c r="M402" s="154"/>
      <c r="N402" s="154"/>
      <c r="O402" s="154"/>
    </row>
    <row r="403" spans="3:15">
      <c r="C403" s="154"/>
      <c r="D403" s="154"/>
      <c r="E403" s="154"/>
      <c r="F403" s="154"/>
      <c r="G403" s="154"/>
      <c r="H403" s="154"/>
      <c r="I403" s="154"/>
      <c r="J403" s="154"/>
      <c r="K403" s="154"/>
      <c r="L403" s="154"/>
      <c r="M403" s="154"/>
      <c r="N403" s="154"/>
      <c r="O403" s="154"/>
    </row>
    <row r="404" spans="3:15">
      <c r="C404" s="154"/>
      <c r="D404" s="154"/>
      <c r="E404" s="154"/>
      <c r="F404" s="154"/>
      <c r="G404" s="154"/>
      <c r="H404" s="154"/>
      <c r="I404" s="154"/>
      <c r="J404" s="154"/>
      <c r="K404" s="154"/>
      <c r="L404" s="154"/>
      <c r="M404" s="154"/>
      <c r="N404" s="154"/>
      <c r="O404" s="154"/>
    </row>
    <row r="405" spans="3:15">
      <c r="C405" s="154"/>
      <c r="D405" s="154"/>
      <c r="E405" s="154"/>
      <c r="F405" s="154"/>
      <c r="G405" s="154"/>
      <c r="H405" s="154"/>
      <c r="I405" s="154"/>
      <c r="J405" s="154"/>
      <c r="K405" s="154"/>
      <c r="L405" s="154"/>
      <c r="M405" s="154"/>
      <c r="N405" s="154"/>
      <c r="O405" s="154"/>
    </row>
    <row r="406" spans="3:15">
      <c r="C406" s="154"/>
      <c r="D406" s="154"/>
      <c r="E406" s="154"/>
      <c r="F406" s="154"/>
      <c r="G406" s="154"/>
      <c r="H406" s="154"/>
      <c r="I406" s="154"/>
      <c r="J406" s="154"/>
      <c r="K406" s="154"/>
      <c r="L406" s="154"/>
      <c r="M406" s="154"/>
      <c r="N406" s="154"/>
      <c r="O406" s="154"/>
    </row>
    <row r="407" spans="3:15">
      <c r="C407" s="154"/>
      <c r="D407" s="154"/>
      <c r="E407" s="154"/>
      <c r="F407" s="154"/>
      <c r="G407" s="154"/>
      <c r="H407" s="154"/>
      <c r="I407" s="154"/>
      <c r="J407" s="154"/>
      <c r="K407" s="154"/>
      <c r="L407" s="154"/>
      <c r="M407" s="154"/>
      <c r="N407" s="154"/>
      <c r="O407" s="154"/>
    </row>
    <row r="408" spans="3:15">
      <c r="C408" s="154"/>
      <c r="D408" s="154"/>
      <c r="E408" s="154"/>
      <c r="F408" s="154"/>
      <c r="G408" s="154"/>
      <c r="H408" s="154"/>
      <c r="I408" s="154"/>
      <c r="J408" s="154"/>
      <c r="K408" s="154"/>
      <c r="L408" s="154"/>
      <c r="M408" s="154"/>
      <c r="N408" s="154"/>
      <c r="O408" s="154"/>
    </row>
    <row r="409" spans="3:15">
      <c r="C409" s="154"/>
      <c r="D409" s="154"/>
      <c r="E409" s="154"/>
      <c r="F409" s="154"/>
      <c r="G409" s="154"/>
      <c r="H409" s="154"/>
      <c r="I409" s="154"/>
      <c r="J409" s="154"/>
      <c r="K409" s="154"/>
      <c r="L409" s="154"/>
      <c r="M409" s="154"/>
      <c r="N409" s="154"/>
      <c r="O409" s="154"/>
    </row>
    <row r="410" spans="3:15">
      <c r="C410" s="154"/>
      <c r="D410" s="154"/>
      <c r="E410" s="154"/>
      <c r="F410" s="154"/>
      <c r="G410" s="154"/>
      <c r="H410" s="154"/>
      <c r="I410" s="154"/>
      <c r="J410" s="154"/>
      <c r="K410" s="154"/>
      <c r="L410" s="154"/>
      <c r="M410" s="154"/>
      <c r="N410" s="154"/>
      <c r="O410" s="154"/>
    </row>
    <row r="411" spans="3:15">
      <c r="C411" s="154"/>
      <c r="D411" s="154"/>
      <c r="E411" s="154"/>
      <c r="F411" s="154"/>
      <c r="G411" s="154"/>
      <c r="H411" s="154"/>
      <c r="I411" s="154"/>
      <c r="J411" s="154"/>
      <c r="K411" s="154"/>
      <c r="L411" s="154"/>
      <c r="M411" s="154"/>
      <c r="N411" s="154"/>
      <c r="O411" s="154"/>
    </row>
    <row r="412" spans="3:15">
      <c r="C412" s="154"/>
      <c r="D412" s="154"/>
      <c r="E412" s="154"/>
      <c r="F412" s="154"/>
      <c r="G412" s="154"/>
      <c r="H412" s="154"/>
      <c r="I412" s="154"/>
      <c r="J412" s="154"/>
      <c r="K412" s="154"/>
      <c r="L412" s="154"/>
      <c r="M412" s="154"/>
      <c r="N412" s="154"/>
      <c r="O412" s="154"/>
    </row>
    <row r="413" spans="3:15">
      <c r="C413" s="154"/>
      <c r="D413" s="154"/>
      <c r="E413" s="154"/>
      <c r="F413" s="154"/>
      <c r="G413" s="154"/>
      <c r="H413" s="154"/>
      <c r="I413" s="154"/>
      <c r="J413" s="154"/>
      <c r="K413" s="154"/>
      <c r="L413" s="154"/>
      <c r="M413" s="154"/>
      <c r="N413" s="154"/>
      <c r="O413" s="154"/>
    </row>
    <row r="414" spans="3:15">
      <c r="C414" s="154"/>
      <c r="D414" s="154"/>
      <c r="E414" s="154"/>
      <c r="F414" s="154"/>
      <c r="G414" s="154"/>
      <c r="H414" s="154"/>
      <c r="I414" s="154"/>
      <c r="J414" s="154"/>
      <c r="K414" s="154"/>
      <c r="L414" s="154"/>
      <c r="M414" s="154"/>
      <c r="N414" s="154"/>
      <c r="O414" s="154"/>
    </row>
    <row r="415" spans="3:15">
      <c r="C415" s="154"/>
      <c r="D415" s="154"/>
      <c r="E415" s="154"/>
      <c r="F415" s="154"/>
      <c r="G415" s="154"/>
      <c r="H415" s="154"/>
      <c r="I415" s="154"/>
      <c r="J415" s="154"/>
      <c r="K415" s="154"/>
      <c r="L415" s="154"/>
      <c r="M415" s="154"/>
      <c r="N415" s="154"/>
      <c r="O415" s="154"/>
    </row>
    <row r="416" spans="3:15">
      <c r="C416" s="154"/>
      <c r="D416" s="154"/>
      <c r="E416" s="154"/>
      <c r="F416" s="154"/>
      <c r="G416" s="154"/>
      <c r="H416" s="154"/>
      <c r="I416" s="154"/>
      <c r="J416" s="154"/>
      <c r="K416" s="154"/>
      <c r="L416" s="154"/>
      <c r="M416" s="154"/>
      <c r="N416" s="154"/>
      <c r="O416" s="154"/>
    </row>
    <row r="417" spans="3:15">
      <c r="C417" s="154"/>
      <c r="D417" s="154"/>
      <c r="E417" s="154"/>
      <c r="F417" s="154"/>
      <c r="G417" s="154"/>
      <c r="H417" s="154"/>
      <c r="I417" s="154"/>
      <c r="J417" s="154"/>
      <c r="K417" s="154"/>
      <c r="L417" s="154"/>
      <c r="M417" s="154"/>
      <c r="N417" s="154"/>
      <c r="O417" s="154"/>
    </row>
    <row r="418" spans="3:15">
      <c r="C418" s="154"/>
      <c r="D418" s="154"/>
      <c r="E418" s="154"/>
      <c r="F418" s="154"/>
      <c r="G418" s="154"/>
      <c r="H418" s="154"/>
      <c r="I418" s="154"/>
      <c r="J418" s="154"/>
      <c r="K418" s="154"/>
      <c r="L418" s="154"/>
      <c r="M418" s="154"/>
      <c r="N418" s="154"/>
      <c r="O418" s="154"/>
    </row>
    <row r="419" spans="3:15">
      <c r="C419" s="154"/>
      <c r="D419" s="154"/>
      <c r="E419" s="154"/>
      <c r="F419" s="154"/>
      <c r="G419" s="154"/>
      <c r="H419" s="154"/>
      <c r="I419" s="154"/>
      <c r="J419" s="154"/>
      <c r="K419" s="154"/>
      <c r="L419" s="154"/>
      <c r="M419" s="154"/>
      <c r="N419" s="154"/>
      <c r="O419" s="154"/>
    </row>
    <row r="420" spans="3:15">
      <c r="C420" s="154"/>
      <c r="D420" s="154"/>
      <c r="E420" s="154"/>
      <c r="F420" s="154"/>
      <c r="G420" s="154"/>
      <c r="H420" s="154"/>
      <c r="I420" s="154"/>
      <c r="J420" s="154"/>
      <c r="K420" s="154"/>
      <c r="L420" s="154"/>
      <c r="M420" s="154"/>
      <c r="N420" s="154"/>
      <c r="O420" s="154"/>
    </row>
    <row r="421" spans="3:15">
      <c r="C421" s="154"/>
      <c r="D421" s="154"/>
      <c r="E421" s="154"/>
      <c r="F421" s="154"/>
      <c r="G421" s="154"/>
      <c r="H421" s="154"/>
      <c r="I421" s="154"/>
      <c r="J421" s="154"/>
      <c r="K421" s="154"/>
      <c r="L421" s="154"/>
      <c r="M421" s="154"/>
      <c r="N421" s="154"/>
      <c r="O421" s="154"/>
    </row>
    <row r="422" spans="3:15">
      <c r="C422" s="154"/>
      <c r="D422" s="154"/>
      <c r="E422" s="154"/>
      <c r="F422" s="154"/>
      <c r="G422" s="154"/>
      <c r="H422" s="154"/>
      <c r="I422" s="154"/>
      <c r="J422" s="154"/>
      <c r="K422" s="154"/>
      <c r="L422" s="154"/>
      <c r="M422" s="154"/>
      <c r="N422" s="154"/>
      <c r="O422" s="154"/>
    </row>
    <row r="423" spans="3:15">
      <c r="C423" s="154"/>
      <c r="D423" s="154"/>
      <c r="E423" s="154"/>
      <c r="F423" s="154"/>
      <c r="G423" s="154"/>
      <c r="H423" s="154"/>
      <c r="I423" s="154"/>
      <c r="J423" s="154"/>
      <c r="K423" s="154"/>
      <c r="L423" s="154"/>
      <c r="M423" s="154"/>
      <c r="N423" s="154"/>
      <c r="O423" s="154"/>
    </row>
    <row r="424" spans="3:15">
      <c r="C424" s="154"/>
      <c r="D424" s="154"/>
      <c r="E424" s="154"/>
      <c r="F424" s="154"/>
      <c r="G424" s="154"/>
      <c r="H424" s="154"/>
      <c r="I424" s="154"/>
      <c r="J424" s="154"/>
      <c r="K424" s="154"/>
      <c r="L424" s="154"/>
      <c r="M424" s="154"/>
      <c r="N424" s="154"/>
      <c r="O424" s="154"/>
    </row>
    <row r="425" spans="3:15">
      <c r="C425" s="154"/>
      <c r="D425" s="154"/>
      <c r="E425" s="154"/>
      <c r="F425" s="154"/>
      <c r="G425" s="154"/>
      <c r="H425" s="154"/>
      <c r="I425" s="154"/>
      <c r="J425" s="154"/>
      <c r="K425" s="154"/>
      <c r="L425" s="154"/>
      <c r="M425" s="154"/>
      <c r="N425" s="154"/>
      <c r="O425" s="154"/>
    </row>
    <row r="426" spans="3:15">
      <c r="C426" s="154"/>
      <c r="D426" s="154"/>
      <c r="E426" s="154"/>
      <c r="F426" s="154"/>
      <c r="G426" s="154"/>
      <c r="H426" s="154"/>
      <c r="I426" s="154"/>
      <c r="J426" s="154"/>
      <c r="K426" s="154"/>
      <c r="L426" s="154"/>
      <c r="M426" s="154"/>
      <c r="N426" s="154"/>
      <c r="O426" s="154"/>
    </row>
    <row r="427" spans="3:15">
      <c r="C427" s="154"/>
      <c r="D427" s="154"/>
      <c r="E427" s="154"/>
      <c r="F427" s="154"/>
      <c r="G427" s="154"/>
      <c r="H427" s="154"/>
      <c r="I427" s="154"/>
      <c r="J427" s="154"/>
      <c r="K427" s="154"/>
      <c r="L427" s="154"/>
      <c r="M427" s="154"/>
      <c r="N427" s="154"/>
      <c r="O427" s="154"/>
    </row>
    <row r="428" spans="3:15">
      <c r="C428" s="154"/>
      <c r="D428" s="154"/>
      <c r="E428" s="154"/>
      <c r="F428" s="154"/>
      <c r="G428" s="154"/>
      <c r="H428" s="154"/>
      <c r="I428" s="154"/>
      <c r="J428" s="154"/>
      <c r="K428" s="154"/>
      <c r="L428" s="154"/>
      <c r="M428" s="154"/>
      <c r="N428" s="154"/>
      <c r="O428" s="154"/>
    </row>
    <row r="429" spans="3:15">
      <c r="C429" s="154"/>
      <c r="D429" s="154"/>
      <c r="E429" s="154"/>
      <c r="F429" s="154"/>
      <c r="G429" s="154"/>
      <c r="H429" s="154"/>
      <c r="I429" s="154"/>
      <c r="J429" s="154"/>
      <c r="K429" s="154"/>
      <c r="L429" s="154"/>
      <c r="M429" s="154"/>
      <c r="N429" s="154"/>
      <c r="O429" s="154"/>
    </row>
    <row r="430" spans="3:15">
      <c r="C430" s="154"/>
      <c r="D430" s="154"/>
      <c r="E430" s="154"/>
      <c r="F430" s="154"/>
      <c r="G430" s="154"/>
      <c r="H430" s="154"/>
      <c r="I430" s="154"/>
      <c r="J430" s="154"/>
      <c r="K430" s="154"/>
      <c r="L430" s="154"/>
      <c r="M430" s="154"/>
      <c r="N430" s="154"/>
      <c r="O430" s="154"/>
    </row>
    <row r="431" spans="3:15">
      <c r="C431" s="154"/>
      <c r="D431" s="154"/>
      <c r="E431" s="154"/>
      <c r="F431" s="154"/>
      <c r="G431" s="154"/>
      <c r="H431" s="154"/>
      <c r="I431" s="154"/>
      <c r="J431" s="154"/>
      <c r="K431" s="154"/>
      <c r="L431" s="154"/>
      <c r="M431" s="154"/>
      <c r="N431" s="154"/>
      <c r="O431" s="154"/>
    </row>
    <row r="432" spans="3:15">
      <c r="C432" s="154"/>
      <c r="D432" s="154"/>
      <c r="E432" s="154"/>
      <c r="F432" s="154"/>
      <c r="G432" s="154"/>
      <c r="H432" s="154"/>
      <c r="I432" s="154"/>
      <c r="J432" s="154"/>
      <c r="K432" s="154"/>
      <c r="L432" s="154"/>
      <c r="M432" s="154"/>
      <c r="N432" s="154"/>
      <c r="O432" s="154"/>
    </row>
    <row r="433" spans="3:15">
      <c r="C433" s="154"/>
      <c r="D433" s="154"/>
      <c r="E433" s="154"/>
      <c r="F433" s="154"/>
      <c r="G433" s="154"/>
      <c r="H433" s="154"/>
      <c r="I433" s="154"/>
      <c r="J433" s="154"/>
      <c r="K433" s="154"/>
      <c r="L433" s="154"/>
      <c r="M433" s="154"/>
      <c r="N433" s="154"/>
      <c r="O433" s="154"/>
    </row>
    <row r="434" spans="3:15">
      <c r="C434" s="154"/>
      <c r="D434" s="154"/>
      <c r="E434" s="154"/>
      <c r="F434" s="154"/>
      <c r="G434" s="154"/>
      <c r="H434" s="154"/>
      <c r="I434" s="154"/>
      <c r="J434" s="154"/>
      <c r="K434" s="154"/>
      <c r="L434" s="154"/>
      <c r="M434" s="154"/>
      <c r="N434" s="154"/>
      <c r="O434" s="154"/>
    </row>
    <row r="435" spans="3:15">
      <c r="C435" s="154"/>
      <c r="D435" s="154"/>
      <c r="E435" s="154"/>
      <c r="F435" s="154"/>
      <c r="G435" s="154"/>
      <c r="H435" s="154"/>
      <c r="I435" s="154"/>
      <c r="J435" s="154"/>
      <c r="K435" s="154"/>
      <c r="L435" s="154"/>
      <c r="M435" s="154"/>
      <c r="N435" s="154"/>
      <c r="O435" s="154"/>
    </row>
    <row r="436" spans="3:15">
      <c r="C436" s="154"/>
      <c r="D436" s="154"/>
      <c r="E436" s="154"/>
      <c r="F436" s="154"/>
      <c r="G436" s="154"/>
      <c r="H436" s="154"/>
      <c r="I436" s="154"/>
      <c r="J436" s="154"/>
      <c r="K436" s="154"/>
      <c r="L436" s="154"/>
      <c r="M436" s="154"/>
      <c r="N436" s="154"/>
      <c r="O436" s="154"/>
    </row>
    <row r="437" spans="3:15">
      <c r="C437" s="154"/>
      <c r="D437" s="154"/>
      <c r="E437" s="154"/>
      <c r="F437" s="154"/>
      <c r="G437" s="154"/>
      <c r="H437" s="154"/>
      <c r="I437" s="154"/>
      <c r="J437" s="154"/>
      <c r="K437" s="154"/>
      <c r="L437" s="154"/>
      <c r="M437" s="154"/>
      <c r="N437" s="154"/>
      <c r="O437" s="154"/>
    </row>
    <row r="438" spans="3:15">
      <c r="C438" s="154"/>
      <c r="D438" s="154"/>
      <c r="E438" s="154"/>
      <c r="F438" s="154"/>
      <c r="G438" s="154"/>
      <c r="H438" s="154"/>
      <c r="I438" s="154"/>
      <c r="J438" s="154"/>
      <c r="K438" s="154"/>
      <c r="L438" s="154"/>
      <c r="M438" s="154"/>
      <c r="N438" s="154"/>
      <c r="O438" s="154"/>
    </row>
    <row r="439" spans="3:15">
      <c r="C439" s="154"/>
      <c r="D439" s="154"/>
      <c r="E439" s="154"/>
      <c r="F439" s="154"/>
      <c r="G439" s="154"/>
      <c r="H439" s="154"/>
      <c r="I439" s="154"/>
      <c r="J439" s="154"/>
      <c r="K439" s="154"/>
      <c r="L439" s="154"/>
      <c r="M439" s="154"/>
      <c r="N439" s="154"/>
      <c r="O439" s="154"/>
    </row>
    <row r="440" spans="3:15">
      <c r="C440" s="154"/>
      <c r="D440" s="154"/>
      <c r="E440" s="154"/>
      <c r="F440" s="154"/>
      <c r="G440" s="154"/>
      <c r="H440" s="154"/>
      <c r="I440" s="154"/>
      <c r="J440" s="154"/>
      <c r="K440" s="154"/>
      <c r="L440" s="154"/>
      <c r="M440" s="154"/>
      <c r="N440" s="154"/>
      <c r="O440" s="154"/>
    </row>
    <row r="441" spans="3:15">
      <c r="C441" s="154"/>
      <c r="D441" s="154"/>
      <c r="E441" s="154"/>
      <c r="F441" s="154"/>
      <c r="G441" s="154"/>
      <c r="H441" s="154"/>
      <c r="I441" s="154"/>
      <c r="J441" s="154"/>
      <c r="K441" s="154"/>
      <c r="L441" s="154"/>
      <c r="M441" s="154"/>
      <c r="N441" s="154"/>
      <c r="O441" s="154"/>
    </row>
    <row r="442" spans="3:15">
      <c r="C442" s="154"/>
      <c r="D442" s="154"/>
      <c r="E442" s="154"/>
      <c r="F442" s="154"/>
      <c r="G442" s="154"/>
      <c r="H442" s="154"/>
      <c r="I442" s="154"/>
      <c r="J442" s="154"/>
      <c r="K442" s="154"/>
      <c r="L442" s="154"/>
      <c r="M442" s="154"/>
      <c r="N442" s="154"/>
      <c r="O442" s="154"/>
    </row>
    <row r="443" spans="3:15">
      <c r="C443" s="154"/>
      <c r="D443" s="154"/>
      <c r="E443" s="154"/>
      <c r="F443" s="154"/>
      <c r="G443" s="154"/>
      <c r="H443" s="154"/>
      <c r="I443" s="154"/>
      <c r="J443" s="154"/>
      <c r="K443" s="154"/>
      <c r="L443" s="154"/>
      <c r="M443" s="154"/>
      <c r="N443" s="154"/>
      <c r="O443" s="154"/>
    </row>
    <row r="444" spans="3:15">
      <c r="C444" s="154"/>
      <c r="D444" s="154"/>
      <c r="E444" s="154"/>
      <c r="F444" s="154"/>
      <c r="G444" s="154"/>
      <c r="H444" s="154"/>
      <c r="I444" s="154"/>
      <c r="J444" s="154"/>
      <c r="K444" s="154"/>
      <c r="L444" s="154"/>
      <c r="M444" s="154"/>
      <c r="N444" s="154"/>
      <c r="O444" s="154"/>
    </row>
    <row r="445" spans="3:15">
      <c r="C445" s="154"/>
      <c r="D445" s="154"/>
      <c r="E445" s="154"/>
      <c r="F445" s="154"/>
      <c r="G445" s="154"/>
      <c r="H445" s="154"/>
      <c r="I445" s="154"/>
      <c r="J445" s="154"/>
      <c r="K445" s="154"/>
      <c r="L445" s="154"/>
      <c r="M445" s="154"/>
      <c r="N445" s="154"/>
      <c r="O445" s="154"/>
    </row>
    <row r="446" spans="3:15">
      <c r="C446" s="154"/>
      <c r="D446" s="154"/>
      <c r="E446" s="154"/>
      <c r="F446" s="154"/>
      <c r="G446" s="154"/>
      <c r="H446" s="154"/>
      <c r="I446" s="154"/>
      <c r="J446" s="154"/>
      <c r="K446" s="154"/>
      <c r="L446" s="154"/>
      <c r="M446" s="154"/>
      <c r="N446" s="154"/>
      <c r="O446" s="154"/>
    </row>
    <row r="447" spans="3:15">
      <c r="C447" s="154"/>
      <c r="D447" s="154"/>
      <c r="E447" s="154"/>
      <c r="F447" s="154"/>
      <c r="G447" s="154"/>
      <c r="H447" s="154"/>
      <c r="I447" s="154"/>
      <c r="J447" s="154"/>
      <c r="K447" s="154"/>
      <c r="L447" s="154"/>
      <c r="M447" s="154"/>
      <c r="N447" s="154"/>
      <c r="O447" s="154"/>
    </row>
    <row r="448" spans="3:15">
      <c r="C448" s="154"/>
      <c r="D448" s="154"/>
      <c r="E448" s="154"/>
      <c r="F448" s="154"/>
      <c r="G448" s="154"/>
      <c r="H448" s="154"/>
      <c r="I448" s="154"/>
      <c r="J448" s="154"/>
      <c r="K448" s="154"/>
      <c r="L448" s="154"/>
      <c r="M448" s="154"/>
      <c r="N448" s="154"/>
      <c r="O448" s="154"/>
    </row>
    <row r="449" spans="3:15">
      <c r="C449" s="154"/>
      <c r="D449" s="154"/>
      <c r="E449" s="154"/>
      <c r="F449" s="154"/>
      <c r="G449" s="154"/>
      <c r="H449" s="154"/>
      <c r="I449" s="154"/>
      <c r="J449" s="154"/>
      <c r="K449" s="154"/>
      <c r="L449" s="154"/>
      <c r="M449" s="154"/>
      <c r="N449" s="154"/>
      <c r="O449" s="154"/>
    </row>
    <row r="450" spans="3:15">
      <c r="C450" s="154"/>
      <c r="D450" s="154"/>
      <c r="E450" s="154"/>
      <c r="F450" s="154"/>
      <c r="G450" s="154"/>
      <c r="H450" s="154"/>
      <c r="I450" s="154"/>
      <c r="J450" s="154"/>
      <c r="K450" s="154"/>
      <c r="L450" s="154"/>
      <c r="M450" s="154"/>
      <c r="N450" s="154"/>
      <c r="O450" s="154"/>
    </row>
    <row r="451" spans="3:15">
      <c r="C451" s="154"/>
      <c r="D451" s="154"/>
      <c r="E451" s="154"/>
      <c r="F451" s="154"/>
      <c r="G451" s="154"/>
      <c r="H451" s="154"/>
      <c r="I451" s="154"/>
      <c r="J451" s="154"/>
      <c r="K451" s="154"/>
      <c r="L451" s="154"/>
      <c r="M451" s="154"/>
      <c r="N451" s="154"/>
      <c r="O451" s="154"/>
    </row>
    <row r="452" spans="3:15">
      <c r="C452" s="154"/>
      <c r="D452" s="154"/>
      <c r="E452" s="154"/>
      <c r="F452" s="154"/>
      <c r="G452" s="154"/>
      <c r="H452" s="154"/>
      <c r="I452" s="154"/>
      <c r="J452" s="154"/>
      <c r="K452" s="154"/>
      <c r="L452" s="154"/>
      <c r="M452" s="154"/>
      <c r="N452" s="154"/>
      <c r="O452" s="154"/>
    </row>
    <row r="453" spans="3:15">
      <c r="C453" s="154"/>
      <c r="D453" s="154"/>
      <c r="E453" s="154"/>
      <c r="F453" s="154"/>
      <c r="G453" s="154"/>
      <c r="H453" s="154"/>
      <c r="I453" s="154"/>
      <c r="J453" s="154"/>
      <c r="K453" s="154"/>
      <c r="L453" s="154"/>
      <c r="M453" s="154"/>
      <c r="N453" s="154"/>
      <c r="O453" s="154"/>
    </row>
    <row r="454" spans="3:15">
      <c r="C454" s="154"/>
      <c r="D454" s="154"/>
      <c r="E454" s="154"/>
      <c r="F454" s="154"/>
      <c r="G454" s="154"/>
      <c r="H454" s="154"/>
      <c r="I454" s="154"/>
      <c r="J454" s="154"/>
      <c r="K454" s="154"/>
      <c r="L454" s="154"/>
      <c r="M454" s="154"/>
      <c r="N454" s="154"/>
      <c r="O454" s="154"/>
    </row>
    <row r="455" spans="3:15">
      <c r="C455" s="154"/>
      <c r="D455" s="154"/>
      <c r="E455" s="154"/>
      <c r="F455" s="154"/>
      <c r="G455" s="154"/>
      <c r="H455" s="154"/>
      <c r="I455" s="154"/>
      <c r="J455" s="154"/>
      <c r="K455" s="154"/>
      <c r="L455" s="154"/>
      <c r="M455" s="154"/>
      <c r="N455" s="154"/>
      <c r="O455" s="154"/>
    </row>
    <row r="456" spans="3:15">
      <c r="C456" s="154"/>
      <c r="D456" s="154"/>
      <c r="E456" s="154"/>
      <c r="F456" s="154"/>
      <c r="G456" s="154"/>
      <c r="H456" s="154"/>
      <c r="I456" s="154"/>
      <c r="J456" s="154"/>
      <c r="K456" s="154"/>
      <c r="L456" s="154"/>
      <c r="M456" s="154"/>
      <c r="N456" s="154"/>
      <c r="O456" s="154"/>
    </row>
    <row r="457" spans="3:15">
      <c r="C457" s="154"/>
      <c r="D457" s="154"/>
      <c r="E457" s="154"/>
      <c r="F457" s="154"/>
      <c r="G457" s="154"/>
      <c r="H457" s="154"/>
      <c r="I457" s="154"/>
      <c r="J457" s="154"/>
      <c r="K457" s="154"/>
      <c r="L457" s="154"/>
      <c r="M457" s="154"/>
      <c r="N457" s="154"/>
      <c r="O457" s="154"/>
    </row>
    <row r="458" spans="3:15">
      <c r="C458" s="154"/>
      <c r="D458" s="154"/>
      <c r="E458" s="154"/>
      <c r="F458" s="154"/>
      <c r="G458" s="154"/>
      <c r="H458" s="154"/>
      <c r="I458" s="154"/>
      <c r="J458" s="154"/>
      <c r="K458" s="154"/>
      <c r="L458" s="154"/>
      <c r="M458" s="154"/>
      <c r="N458" s="154"/>
      <c r="O458" s="154"/>
    </row>
    <row r="459" spans="3:15">
      <c r="C459" s="154"/>
      <c r="D459" s="154"/>
      <c r="E459" s="154"/>
      <c r="F459" s="154"/>
      <c r="G459" s="154"/>
      <c r="H459" s="154"/>
      <c r="I459" s="154"/>
      <c r="J459" s="154"/>
      <c r="K459" s="154"/>
      <c r="L459" s="154"/>
      <c r="M459" s="154"/>
      <c r="N459" s="154"/>
      <c r="O459" s="154"/>
    </row>
    <row r="460" spans="3:15">
      <c r="C460" s="154"/>
      <c r="D460" s="154"/>
      <c r="E460" s="154"/>
      <c r="F460" s="154"/>
      <c r="G460" s="154"/>
      <c r="H460" s="154"/>
      <c r="I460" s="154"/>
      <c r="J460" s="154"/>
      <c r="K460" s="154"/>
      <c r="L460" s="154"/>
      <c r="M460" s="154"/>
      <c r="N460" s="154"/>
      <c r="O460" s="154"/>
    </row>
    <row r="461" spans="3:15">
      <c r="C461" s="154"/>
      <c r="D461" s="154"/>
      <c r="E461" s="154"/>
      <c r="F461" s="154"/>
      <c r="G461" s="154"/>
      <c r="H461" s="154"/>
      <c r="I461" s="154"/>
      <c r="J461" s="154"/>
      <c r="K461" s="154"/>
      <c r="L461" s="154"/>
      <c r="M461" s="154"/>
      <c r="N461" s="154"/>
      <c r="O461" s="154"/>
    </row>
    <row r="462" spans="3:15">
      <c r="C462" s="154"/>
      <c r="D462" s="154"/>
      <c r="E462" s="154"/>
      <c r="F462" s="154"/>
      <c r="G462" s="154"/>
      <c r="H462" s="154"/>
      <c r="I462" s="154"/>
      <c r="J462" s="154"/>
      <c r="K462" s="154"/>
      <c r="L462" s="154"/>
      <c r="M462" s="154"/>
      <c r="N462" s="154"/>
      <c r="O462" s="154"/>
    </row>
    <row r="463" spans="3:15">
      <c r="C463" s="154"/>
      <c r="D463" s="154"/>
      <c r="E463" s="154"/>
      <c r="F463" s="154"/>
      <c r="G463" s="154"/>
      <c r="H463" s="154"/>
      <c r="I463" s="154"/>
      <c r="J463" s="154"/>
      <c r="K463" s="154"/>
      <c r="L463" s="154"/>
      <c r="M463" s="154"/>
      <c r="N463" s="154"/>
      <c r="O463" s="154"/>
    </row>
    <row r="464" spans="3:15">
      <c r="C464" s="154"/>
      <c r="D464" s="154"/>
      <c r="E464" s="154"/>
      <c r="F464" s="154"/>
      <c r="G464" s="154"/>
      <c r="H464" s="154"/>
      <c r="I464" s="154"/>
      <c r="J464" s="154"/>
      <c r="K464" s="154"/>
      <c r="L464" s="154"/>
      <c r="M464" s="154"/>
      <c r="N464" s="154"/>
      <c r="O464" s="154"/>
    </row>
    <row r="465" spans="3:15">
      <c r="C465" s="154"/>
      <c r="D465" s="154"/>
      <c r="E465" s="154"/>
      <c r="F465" s="154"/>
      <c r="G465" s="154"/>
      <c r="H465" s="154"/>
      <c r="I465" s="154"/>
      <c r="J465" s="154"/>
      <c r="K465" s="154"/>
      <c r="L465" s="154"/>
      <c r="M465" s="154"/>
      <c r="N465" s="154"/>
      <c r="O465" s="154"/>
    </row>
    <row r="466" spans="3:15">
      <c r="C466" s="154"/>
      <c r="D466" s="154"/>
      <c r="E466" s="154"/>
      <c r="F466" s="154"/>
      <c r="G466" s="154"/>
      <c r="H466" s="154"/>
      <c r="I466" s="154"/>
      <c r="J466" s="154"/>
      <c r="K466" s="154"/>
      <c r="L466" s="154"/>
      <c r="M466" s="154"/>
      <c r="N466" s="154"/>
      <c r="O466" s="154"/>
    </row>
    <row r="467" spans="3:15">
      <c r="C467" s="154"/>
      <c r="D467" s="154"/>
      <c r="E467" s="154"/>
      <c r="F467" s="154"/>
      <c r="G467" s="154"/>
      <c r="H467" s="154"/>
      <c r="I467" s="154"/>
      <c r="J467" s="154"/>
      <c r="K467" s="154"/>
      <c r="L467" s="154"/>
      <c r="M467" s="154"/>
      <c r="N467" s="154"/>
      <c r="O467" s="154"/>
    </row>
    <row r="468" spans="3:15">
      <c r="C468" s="154"/>
      <c r="D468" s="154"/>
      <c r="E468" s="154"/>
      <c r="F468" s="154"/>
      <c r="G468" s="154"/>
      <c r="H468" s="154"/>
      <c r="I468" s="154"/>
      <c r="J468" s="154"/>
      <c r="K468" s="154"/>
      <c r="L468" s="154"/>
      <c r="M468" s="154"/>
      <c r="N468" s="154"/>
      <c r="O468" s="154"/>
    </row>
    <row r="469" spans="3:15">
      <c r="C469" s="154"/>
      <c r="D469" s="154"/>
      <c r="E469" s="154"/>
      <c r="F469" s="154"/>
      <c r="G469" s="154"/>
      <c r="H469" s="154"/>
      <c r="I469" s="154"/>
      <c r="J469" s="154"/>
      <c r="K469" s="154"/>
      <c r="L469" s="154"/>
      <c r="M469" s="154"/>
      <c r="N469" s="154"/>
      <c r="O469" s="154"/>
    </row>
    <row r="470" spans="3:15">
      <c r="C470" s="154"/>
      <c r="D470" s="154"/>
      <c r="E470" s="154"/>
      <c r="F470" s="154"/>
      <c r="G470" s="154"/>
      <c r="H470" s="154"/>
      <c r="I470" s="154"/>
      <c r="J470" s="154"/>
      <c r="K470" s="154"/>
      <c r="L470" s="154"/>
      <c r="M470" s="154"/>
      <c r="N470" s="154"/>
      <c r="O470" s="154"/>
    </row>
    <row r="471" spans="3:15">
      <c r="C471" s="154"/>
      <c r="D471" s="154"/>
      <c r="E471" s="154"/>
      <c r="F471" s="154"/>
      <c r="G471" s="154"/>
      <c r="H471" s="154"/>
      <c r="I471" s="154"/>
      <c r="J471" s="154"/>
      <c r="K471" s="154"/>
      <c r="L471" s="154"/>
      <c r="M471" s="154"/>
      <c r="N471" s="154"/>
      <c r="O471" s="154"/>
    </row>
    <row r="472" spans="3:15">
      <c r="C472" s="154"/>
      <c r="D472" s="154"/>
      <c r="E472" s="154"/>
      <c r="F472" s="154"/>
      <c r="G472" s="154"/>
      <c r="H472" s="154"/>
      <c r="I472" s="154"/>
      <c r="J472" s="154"/>
      <c r="K472" s="154"/>
      <c r="L472" s="154"/>
      <c r="M472" s="154"/>
      <c r="N472" s="154"/>
      <c r="O472" s="154"/>
    </row>
    <row r="473" spans="3:15">
      <c r="C473" s="154"/>
      <c r="D473" s="154"/>
      <c r="E473" s="154"/>
      <c r="F473" s="154"/>
      <c r="G473" s="154"/>
      <c r="H473" s="154"/>
      <c r="I473" s="154"/>
      <c r="J473" s="154"/>
      <c r="K473" s="154"/>
      <c r="L473" s="154"/>
      <c r="M473" s="154"/>
      <c r="N473" s="154"/>
      <c r="O473" s="154"/>
    </row>
    <row r="474" spans="3:15">
      <c r="C474" s="154"/>
      <c r="D474" s="154"/>
      <c r="E474" s="154"/>
      <c r="F474" s="154"/>
      <c r="G474" s="154"/>
      <c r="H474" s="154"/>
      <c r="I474" s="154"/>
      <c r="J474" s="154"/>
      <c r="K474" s="154"/>
      <c r="L474" s="154"/>
      <c r="M474" s="154"/>
      <c r="N474" s="154"/>
      <c r="O474" s="154"/>
    </row>
    <row r="475" spans="3:15">
      <c r="C475" s="154"/>
      <c r="D475" s="154"/>
      <c r="E475" s="154"/>
      <c r="F475" s="154"/>
      <c r="G475" s="154"/>
      <c r="H475" s="154"/>
      <c r="I475" s="154"/>
      <c r="J475" s="154"/>
      <c r="K475" s="154"/>
      <c r="L475" s="154"/>
      <c r="M475" s="154"/>
      <c r="N475" s="154"/>
      <c r="O475" s="154"/>
    </row>
    <row r="476" spans="3:15">
      <c r="C476" s="154"/>
      <c r="D476" s="154"/>
      <c r="E476" s="154"/>
      <c r="F476" s="154"/>
      <c r="G476" s="154"/>
      <c r="H476" s="154"/>
      <c r="I476" s="154"/>
      <c r="J476" s="154"/>
      <c r="K476" s="154"/>
      <c r="L476" s="154"/>
      <c r="M476" s="154"/>
      <c r="N476" s="154"/>
      <c r="O476" s="154"/>
    </row>
    <row r="477" spans="3:15">
      <c r="C477" s="154"/>
      <c r="D477" s="154"/>
      <c r="E477" s="154"/>
      <c r="F477" s="154"/>
      <c r="G477" s="154"/>
      <c r="H477" s="154"/>
      <c r="I477" s="154"/>
      <c r="J477" s="154"/>
      <c r="K477" s="154"/>
      <c r="L477" s="154"/>
      <c r="M477" s="154"/>
      <c r="N477" s="154"/>
      <c r="O477" s="154"/>
    </row>
    <row r="478" spans="3:15">
      <c r="C478" s="154"/>
      <c r="D478" s="154"/>
      <c r="E478" s="154"/>
      <c r="F478" s="154"/>
      <c r="G478" s="154"/>
      <c r="H478" s="154"/>
      <c r="I478" s="154"/>
      <c r="J478" s="154"/>
      <c r="K478" s="154"/>
      <c r="L478" s="154"/>
      <c r="M478" s="154"/>
      <c r="N478" s="154"/>
      <c r="O478" s="154"/>
    </row>
    <row r="479" spans="3:15">
      <c r="C479" s="154"/>
      <c r="D479" s="154"/>
      <c r="E479" s="154"/>
      <c r="F479" s="154"/>
      <c r="G479" s="154"/>
      <c r="H479" s="154"/>
      <c r="I479" s="154"/>
      <c r="J479" s="154"/>
      <c r="K479" s="154"/>
      <c r="L479" s="154"/>
      <c r="M479" s="154"/>
      <c r="N479" s="154"/>
      <c r="O479" s="154"/>
    </row>
    <row r="480" spans="3:15">
      <c r="C480" s="154"/>
      <c r="D480" s="154"/>
      <c r="E480" s="154"/>
      <c r="F480" s="154"/>
      <c r="G480" s="154"/>
      <c r="H480" s="154"/>
      <c r="I480" s="154"/>
      <c r="J480" s="154"/>
      <c r="K480" s="154"/>
      <c r="L480" s="154"/>
      <c r="M480" s="154"/>
      <c r="N480" s="154"/>
      <c r="O480" s="154"/>
    </row>
    <row r="481" spans="3:15">
      <c r="C481" s="154"/>
      <c r="D481" s="154"/>
      <c r="E481" s="154"/>
      <c r="F481" s="154"/>
      <c r="G481" s="154"/>
      <c r="H481" s="154"/>
      <c r="I481" s="154"/>
      <c r="J481" s="154"/>
      <c r="K481" s="154"/>
      <c r="L481" s="154"/>
      <c r="M481" s="154"/>
      <c r="N481" s="154"/>
      <c r="O481" s="154"/>
    </row>
    <row r="482" spans="3:15">
      <c r="C482" s="154"/>
      <c r="D482" s="154"/>
      <c r="E482" s="154"/>
      <c r="F482" s="154"/>
      <c r="G482" s="154"/>
      <c r="H482" s="154"/>
      <c r="I482" s="154"/>
      <c r="J482" s="154"/>
      <c r="K482" s="154"/>
      <c r="L482" s="154"/>
      <c r="M482" s="154"/>
      <c r="N482" s="154"/>
      <c r="O482" s="154"/>
    </row>
    <row r="483" spans="3:15">
      <c r="C483" s="154"/>
      <c r="D483" s="154"/>
      <c r="E483" s="154"/>
      <c r="F483" s="154"/>
      <c r="G483" s="154"/>
      <c r="H483" s="154"/>
      <c r="I483" s="154"/>
      <c r="J483" s="154"/>
      <c r="K483" s="154"/>
      <c r="L483" s="154"/>
      <c r="M483" s="154"/>
      <c r="N483" s="154"/>
      <c r="O483" s="154"/>
    </row>
    <row r="484" spans="3:15">
      <c r="C484" s="154"/>
      <c r="D484" s="154"/>
      <c r="E484" s="154"/>
      <c r="F484" s="154"/>
      <c r="G484" s="154"/>
      <c r="H484" s="154"/>
      <c r="I484" s="154"/>
      <c r="J484" s="154"/>
      <c r="K484" s="154"/>
      <c r="L484" s="154"/>
      <c r="M484" s="154"/>
      <c r="N484" s="154"/>
      <c r="O484" s="154"/>
    </row>
    <row r="485" spans="3:15">
      <c r="C485" s="154"/>
      <c r="D485" s="154"/>
      <c r="E485" s="154"/>
      <c r="F485" s="154"/>
      <c r="G485" s="154"/>
      <c r="H485" s="154"/>
      <c r="I485" s="154"/>
      <c r="J485" s="154"/>
      <c r="K485" s="154"/>
      <c r="L485" s="154"/>
      <c r="M485" s="154"/>
      <c r="N485" s="154"/>
      <c r="O485" s="154"/>
    </row>
    <row r="486" spans="3:15">
      <c r="C486" s="154"/>
      <c r="D486" s="154"/>
      <c r="E486" s="154"/>
      <c r="F486" s="154"/>
      <c r="G486" s="154"/>
      <c r="H486" s="154"/>
      <c r="I486" s="154"/>
      <c r="J486" s="154"/>
      <c r="K486" s="154"/>
      <c r="L486" s="154"/>
      <c r="M486" s="154"/>
      <c r="N486" s="154"/>
      <c r="O486" s="154"/>
    </row>
    <row r="487" spans="3:15">
      <c r="C487" s="154"/>
      <c r="D487" s="154"/>
      <c r="E487" s="154"/>
      <c r="F487" s="154"/>
      <c r="G487" s="154"/>
      <c r="H487" s="154"/>
      <c r="I487" s="154"/>
      <c r="J487" s="154"/>
      <c r="K487" s="154"/>
      <c r="L487" s="154"/>
      <c r="M487" s="154"/>
      <c r="N487" s="154"/>
      <c r="O487" s="154"/>
    </row>
    <row r="488" spans="3:15">
      <c r="C488" s="154"/>
      <c r="D488" s="154"/>
      <c r="E488" s="154"/>
      <c r="F488" s="154"/>
      <c r="G488" s="154"/>
      <c r="H488" s="154"/>
      <c r="I488" s="154"/>
      <c r="J488" s="154"/>
      <c r="K488" s="154"/>
      <c r="L488" s="154"/>
      <c r="M488" s="154"/>
      <c r="N488" s="154"/>
      <c r="O488" s="154"/>
    </row>
    <row r="489" spans="3:15">
      <c r="C489" s="154"/>
      <c r="D489" s="154"/>
      <c r="E489" s="154"/>
      <c r="F489" s="154"/>
      <c r="G489" s="154"/>
      <c r="H489" s="154"/>
      <c r="I489" s="154"/>
      <c r="J489" s="154"/>
      <c r="K489" s="154"/>
      <c r="L489" s="154"/>
      <c r="M489" s="154"/>
      <c r="N489" s="154"/>
      <c r="O489" s="154"/>
    </row>
    <row r="490" spans="3:15">
      <c r="C490" s="154"/>
      <c r="D490" s="154"/>
      <c r="E490" s="154"/>
      <c r="F490" s="154"/>
      <c r="G490" s="154"/>
      <c r="H490" s="154"/>
      <c r="I490" s="154"/>
      <c r="J490" s="154"/>
      <c r="K490" s="154"/>
      <c r="L490" s="154"/>
      <c r="M490" s="154"/>
      <c r="N490" s="154"/>
      <c r="O490" s="154"/>
    </row>
    <row r="491" spans="3:15">
      <c r="C491" s="154"/>
      <c r="D491" s="154"/>
      <c r="E491" s="154"/>
      <c r="F491" s="154"/>
      <c r="G491" s="154"/>
      <c r="H491" s="154"/>
      <c r="I491" s="154"/>
      <c r="J491" s="154"/>
      <c r="K491" s="154"/>
      <c r="L491" s="154"/>
      <c r="M491" s="154"/>
      <c r="N491" s="154"/>
      <c r="O491" s="154"/>
    </row>
    <row r="492" spans="3:15">
      <c r="C492" s="154"/>
      <c r="D492" s="154"/>
      <c r="E492" s="154"/>
      <c r="F492" s="154"/>
      <c r="G492" s="154"/>
      <c r="H492" s="154"/>
      <c r="I492" s="154"/>
      <c r="J492" s="154"/>
      <c r="K492" s="154"/>
      <c r="L492" s="154"/>
      <c r="M492" s="154"/>
      <c r="N492" s="154"/>
      <c r="O492" s="154"/>
    </row>
    <row r="493" spans="3:15">
      <c r="C493" s="154"/>
      <c r="D493" s="154"/>
      <c r="E493" s="154"/>
      <c r="F493" s="154"/>
      <c r="G493" s="154"/>
      <c r="H493" s="154"/>
      <c r="I493" s="154"/>
      <c r="J493" s="154"/>
      <c r="K493" s="154"/>
      <c r="L493" s="154"/>
      <c r="M493" s="154"/>
      <c r="N493" s="154"/>
      <c r="O493" s="154"/>
    </row>
    <row r="494" spans="3:15">
      <c r="C494" s="154"/>
      <c r="D494" s="154"/>
      <c r="E494" s="154"/>
      <c r="F494" s="154"/>
      <c r="G494" s="154"/>
      <c r="H494" s="154"/>
      <c r="I494" s="154"/>
      <c r="J494" s="154"/>
      <c r="K494" s="154"/>
      <c r="L494" s="154"/>
      <c r="M494" s="154"/>
      <c r="N494" s="154"/>
      <c r="O494" s="154"/>
    </row>
    <row r="495" spans="3:15">
      <c r="C495" s="154"/>
      <c r="D495" s="154"/>
      <c r="E495" s="154"/>
      <c r="F495" s="154"/>
      <c r="G495" s="154"/>
      <c r="H495" s="154"/>
      <c r="I495" s="154"/>
      <c r="J495" s="154"/>
      <c r="K495" s="154"/>
      <c r="L495" s="154"/>
      <c r="M495" s="154"/>
      <c r="N495" s="154"/>
      <c r="O495" s="154"/>
    </row>
    <row r="496" spans="3:15">
      <c r="C496" s="154"/>
      <c r="D496" s="154"/>
      <c r="E496" s="154"/>
      <c r="F496" s="154"/>
      <c r="G496" s="154"/>
      <c r="H496" s="154"/>
      <c r="I496" s="154"/>
      <c r="J496" s="154"/>
      <c r="K496" s="154"/>
      <c r="L496" s="154"/>
      <c r="M496" s="154"/>
      <c r="N496" s="154"/>
      <c r="O496" s="154"/>
    </row>
    <row r="497" spans="3:15">
      <c r="C497" s="154"/>
      <c r="D497" s="154"/>
      <c r="E497" s="154"/>
      <c r="F497" s="154"/>
      <c r="G497" s="154"/>
      <c r="H497" s="154"/>
      <c r="I497" s="154"/>
      <c r="J497" s="154"/>
      <c r="K497" s="154"/>
      <c r="L497" s="154"/>
      <c r="M497" s="154"/>
      <c r="N497" s="154"/>
      <c r="O497" s="154"/>
    </row>
    <row r="498" spans="3:15">
      <c r="C498" s="154"/>
      <c r="D498" s="154"/>
      <c r="E498" s="154"/>
      <c r="F498" s="154"/>
      <c r="G498" s="154"/>
      <c r="H498" s="154"/>
      <c r="I498" s="154"/>
      <c r="J498" s="154"/>
      <c r="K498" s="154"/>
      <c r="L498" s="154"/>
      <c r="M498" s="154"/>
      <c r="N498" s="154"/>
      <c r="O498" s="154"/>
    </row>
    <row r="499" spans="3:15">
      <c r="C499" s="154"/>
      <c r="D499" s="154"/>
      <c r="E499" s="154"/>
      <c r="F499" s="154"/>
      <c r="G499" s="154"/>
      <c r="H499" s="154"/>
      <c r="I499" s="154"/>
      <c r="J499" s="154"/>
      <c r="K499" s="154"/>
      <c r="L499" s="154"/>
      <c r="M499" s="154"/>
      <c r="N499" s="154"/>
      <c r="O499" s="154"/>
    </row>
    <row r="500" spans="3:15">
      <c r="C500" s="154"/>
      <c r="D500" s="154"/>
      <c r="E500" s="154"/>
      <c r="F500" s="154"/>
      <c r="G500" s="154"/>
      <c r="H500" s="154"/>
      <c r="I500" s="154"/>
      <c r="J500" s="154"/>
      <c r="K500" s="154"/>
      <c r="L500" s="154"/>
      <c r="M500" s="154"/>
      <c r="N500" s="154"/>
      <c r="O500" s="154"/>
    </row>
    <row r="501" spans="3:15">
      <c r="C501" s="154"/>
      <c r="D501" s="154"/>
      <c r="E501" s="154"/>
      <c r="F501" s="154"/>
      <c r="G501" s="154"/>
      <c r="H501" s="154"/>
      <c r="I501" s="154"/>
      <c r="J501" s="154"/>
      <c r="K501" s="154"/>
      <c r="L501" s="154"/>
      <c r="M501" s="154"/>
      <c r="N501" s="154"/>
      <c r="O501" s="154"/>
    </row>
    <row r="502" spans="3:15">
      <c r="C502" s="154"/>
      <c r="D502" s="154"/>
      <c r="E502" s="154"/>
      <c r="F502" s="154"/>
      <c r="G502" s="154"/>
      <c r="H502" s="154"/>
      <c r="I502" s="154"/>
      <c r="J502" s="154"/>
      <c r="K502" s="154"/>
      <c r="L502" s="154"/>
      <c r="M502" s="154"/>
      <c r="N502" s="154"/>
      <c r="O502" s="154"/>
    </row>
    <row r="503" spans="3:15">
      <c r="C503" s="154"/>
      <c r="D503" s="154"/>
      <c r="E503" s="154"/>
      <c r="F503" s="154"/>
      <c r="G503" s="154"/>
      <c r="H503" s="154"/>
      <c r="I503" s="154"/>
      <c r="J503" s="154"/>
      <c r="K503" s="154"/>
      <c r="L503" s="154"/>
      <c r="M503" s="154"/>
      <c r="N503" s="154"/>
      <c r="O503" s="154"/>
    </row>
    <row r="504" spans="3:15">
      <c r="C504" s="154"/>
      <c r="D504" s="154"/>
      <c r="E504" s="154"/>
      <c r="F504" s="154"/>
      <c r="G504" s="154"/>
      <c r="H504" s="154"/>
      <c r="I504" s="154"/>
      <c r="J504" s="154"/>
      <c r="K504" s="154"/>
      <c r="L504" s="154"/>
      <c r="M504" s="154"/>
      <c r="N504" s="154"/>
      <c r="O504" s="154"/>
    </row>
    <row r="505" spans="3:15">
      <c r="C505" s="154"/>
      <c r="D505" s="154"/>
      <c r="E505" s="154"/>
      <c r="F505" s="154"/>
      <c r="G505" s="154"/>
      <c r="H505" s="154"/>
      <c r="I505" s="154"/>
      <c r="J505" s="154"/>
      <c r="K505" s="154"/>
      <c r="L505" s="154"/>
      <c r="M505" s="154"/>
      <c r="N505" s="154"/>
      <c r="O505" s="154"/>
    </row>
    <row r="506" spans="3:15">
      <c r="C506" s="154"/>
      <c r="D506" s="154"/>
      <c r="E506" s="154"/>
      <c r="F506" s="154"/>
      <c r="G506" s="154"/>
      <c r="H506" s="154"/>
      <c r="I506" s="154"/>
      <c r="J506" s="154"/>
      <c r="K506" s="154"/>
      <c r="L506" s="154"/>
      <c r="M506" s="154"/>
      <c r="N506" s="154"/>
      <c r="O506" s="154"/>
    </row>
    <row r="507" spans="3:15">
      <c r="C507" s="154"/>
      <c r="D507" s="154"/>
      <c r="E507" s="154"/>
      <c r="F507" s="154"/>
      <c r="G507" s="154"/>
      <c r="H507" s="154"/>
      <c r="I507" s="154"/>
      <c r="J507" s="154"/>
      <c r="K507" s="154"/>
      <c r="L507" s="154"/>
      <c r="M507" s="154"/>
      <c r="N507" s="154"/>
      <c r="O507" s="154"/>
    </row>
    <row r="508" spans="3:15">
      <c r="C508" s="154"/>
      <c r="D508" s="154"/>
      <c r="E508" s="154"/>
      <c r="F508" s="154"/>
      <c r="G508" s="154"/>
      <c r="H508" s="154"/>
      <c r="I508" s="154"/>
      <c r="J508" s="154"/>
      <c r="K508" s="154"/>
      <c r="L508" s="154"/>
      <c r="M508" s="154"/>
      <c r="N508" s="154"/>
      <c r="O508" s="154"/>
    </row>
    <row r="509" spans="3:15">
      <c r="C509" s="154"/>
      <c r="D509" s="154"/>
      <c r="E509" s="154"/>
      <c r="F509" s="154"/>
      <c r="G509" s="154"/>
      <c r="H509" s="154"/>
      <c r="I509" s="154"/>
      <c r="J509" s="154"/>
      <c r="K509" s="154"/>
      <c r="L509" s="154"/>
      <c r="M509" s="154"/>
      <c r="N509" s="154"/>
      <c r="O509" s="154"/>
    </row>
    <row r="510" spans="3:15">
      <c r="C510" s="154"/>
      <c r="D510" s="154"/>
      <c r="E510" s="154"/>
      <c r="F510" s="154"/>
      <c r="G510" s="154"/>
      <c r="H510" s="154"/>
      <c r="I510" s="154"/>
      <c r="J510" s="154"/>
      <c r="K510" s="154"/>
      <c r="L510" s="154"/>
      <c r="M510" s="154"/>
      <c r="N510" s="154"/>
      <c r="O510" s="154"/>
    </row>
    <row r="511" spans="3:15">
      <c r="C511" s="154"/>
      <c r="D511" s="154"/>
      <c r="E511" s="154"/>
      <c r="F511" s="154"/>
      <c r="G511" s="154"/>
      <c r="H511" s="154"/>
      <c r="I511" s="154"/>
      <c r="J511" s="154"/>
      <c r="K511" s="154"/>
      <c r="L511" s="154"/>
      <c r="M511" s="154"/>
      <c r="N511" s="154"/>
      <c r="O511" s="154"/>
    </row>
    <row r="512" spans="3:15">
      <c r="C512" s="154"/>
      <c r="D512" s="154"/>
      <c r="E512" s="154"/>
      <c r="F512" s="154"/>
      <c r="G512" s="154"/>
      <c r="H512" s="154"/>
      <c r="I512" s="154"/>
      <c r="J512" s="154"/>
      <c r="K512" s="154"/>
      <c r="L512" s="154"/>
      <c r="M512" s="154"/>
      <c r="N512" s="154"/>
      <c r="O512" s="154"/>
    </row>
    <row r="513" spans="3:15">
      <c r="C513" s="154"/>
      <c r="D513" s="154"/>
      <c r="E513" s="154"/>
      <c r="F513" s="154"/>
      <c r="G513" s="154"/>
      <c r="H513" s="154"/>
      <c r="I513" s="154"/>
      <c r="J513" s="154"/>
      <c r="K513" s="154"/>
      <c r="L513" s="154"/>
      <c r="M513" s="154"/>
      <c r="N513" s="154"/>
      <c r="O513" s="154"/>
    </row>
    <row r="514" spans="3:15">
      <c r="C514" s="154"/>
      <c r="D514" s="154"/>
      <c r="E514" s="154"/>
      <c r="F514" s="154"/>
      <c r="G514" s="154"/>
      <c r="H514" s="154"/>
      <c r="I514" s="154"/>
      <c r="J514" s="154"/>
      <c r="K514" s="154"/>
      <c r="L514" s="154"/>
      <c r="M514" s="154"/>
      <c r="N514" s="154"/>
      <c r="O514" s="154"/>
    </row>
    <row r="515" spans="3:15">
      <c r="C515" s="154"/>
      <c r="D515" s="154"/>
      <c r="E515" s="154"/>
      <c r="F515" s="154"/>
      <c r="G515" s="154"/>
      <c r="H515" s="154"/>
      <c r="I515" s="154"/>
      <c r="J515" s="154"/>
      <c r="K515" s="154"/>
      <c r="L515" s="154"/>
      <c r="M515" s="154"/>
      <c r="N515" s="154"/>
      <c r="O515" s="154"/>
    </row>
    <row r="516" spans="3:15">
      <c r="C516" s="154"/>
      <c r="D516" s="154"/>
      <c r="E516" s="154"/>
      <c r="F516" s="154"/>
      <c r="G516" s="154"/>
      <c r="H516" s="154"/>
      <c r="I516" s="154"/>
      <c r="J516" s="154"/>
      <c r="K516" s="154"/>
      <c r="L516" s="154"/>
      <c r="M516" s="154"/>
      <c r="N516" s="154"/>
      <c r="O516" s="154"/>
    </row>
    <row r="517" spans="3:15">
      <c r="C517" s="154"/>
      <c r="D517" s="154"/>
      <c r="E517" s="154"/>
      <c r="F517" s="154"/>
      <c r="G517" s="154"/>
      <c r="H517" s="154"/>
      <c r="I517" s="154"/>
      <c r="J517" s="154"/>
      <c r="K517" s="154"/>
      <c r="L517" s="154"/>
      <c r="M517" s="154"/>
      <c r="N517" s="154"/>
      <c r="O517" s="154"/>
    </row>
    <row r="518" spans="3:15">
      <c r="C518" s="154"/>
      <c r="D518" s="154"/>
      <c r="E518" s="154"/>
      <c r="F518" s="154"/>
      <c r="G518" s="154"/>
      <c r="H518" s="154"/>
      <c r="I518" s="154"/>
      <c r="J518" s="154"/>
      <c r="K518" s="154"/>
      <c r="L518" s="154"/>
      <c r="M518" s="154"/>
      <c r="N518" s="154"/>
      <c r="O518" s="154"/>
    </row>
    <row r="519" spans="3:15">
      <c r="C519" s="154"/>
      <c r="D519" s="154"/>
      <c r="E519" s="154"/>
      <c r="F519" s="154"/>
      <c r="G519" s="154"/>
      <c r="H519" s="154"/>
      <c r="I519" s="154"/>
      <c r="J519" s="154"/>
      <c r="K519" s="154"/>
      <c r="L519" s="154"/>
      <c r="M519" s="154"/>
      <c r="N519" s="154"/>
      <c r="O519" s="154"/>
    </row>
    <row r="520" spans="3:15">
      <c r="C520" s="154"/>
      <c r="D520" s="154"/>
      <c r="E520" s="154"/>
      <c r="F520" s="154"/>
      <c r="G520" s="154"/>
      <c r="H520" s="154"/>
      <c r="I520" s="154"/>
      <c r="J520" s="154"/>
      <c r="K520" s="154"/>
      <c r="L520" s="154"/>
      <c r="M520" s="154"/>
      <c r="N520" s="154"/>
      <c r="O520" s="154"/>
    </row>
    <row r="521" spans="3:15">
      <c r="C521" s="154"/>
      <c r="D521" s="154"/>
      <c r="E521" s="154"/>
      <c r="F521" s="154"/>
      <c r="G521" s="154"/>
      <c r="H521" s="154"/>
      <c r="I521" s="154"/>
      <c r="J521" s="154"/>
      <c r="K521" s="154"/>
      <c r="L521" s="154"/>
      <c r="M521" s="154"/>
      <c r="N521" s="154"/>
      <c r="O521" s="154"/>
    </row>
    <row r="522" spans="3:15">
      <c r="C522" s="154"/>
      <c r="D522" s="154"/>
      <c r="E522" s="154"/>
      <c r="F522" s="154"/>
      <c r="G522" s="154"/>
      <c r="H522" s="154"/>
      <c r="I522" s="154"/>
      <c r="J522" s="154"/>
      <c r="K522" s="154"/>
      <c r="L522" s="154"/>
      <c r="M522" s="154"/>
      <c r="N522" s="154"/>
      <c r="O522" s="154"/>
    </row>
    <row r="523" spans="3:15">
      <c r="C523" s="154"/>
      <c r="D523" s="154"/>
      <c r="E523" s="154"/>
      <c r="F523" s="154"/>
      <c r="G523" s="154"/>
      <c r="H523" s="154"/>
      <c r="I523" s="154"/>
      <c r="J523" s="154"/>
      <c r="K523" s="154"/>
      <c r="L523" s="154"/>
      <c r="M523" s="154"/>
      <c r="N523" s="154"/>
      <c r="O523" s="154"/>
    </row>
    <row r="524" spans="3:15">
      <c r="C524" s="154"/>
      <c r="D524" s="154"/>
      <c r="E524" s="154"/>
      <c r="F524" s="154"/>
      <c r="G524" s="154"/>
      <c r="H524" s="154"/>
      <c r="I524" s="154"/>
      <c r="J524" s="154"/>
      <c r="K524" s="154"/>
      <c r="L524" s="154"/>
      <c r="M524" s="154"/>
      <c r="N524" s="154"/>
      <c r="O524" s="154"/>
    </row>
    <row r="525" spans="3:15">
      <c r="C525" s="154"/>
      <c r="D525" s="154"/>
      <c r="E525" s="154"/>
      <c r="F525" s="154"/>
      <c r="G525" s="154"/>
      <c r="H525" s="154"/>
      <c r="I525" s="154"/>
      <c r="J525" s="154"/>
      <c r="K525" s="154"/>
      <c r="L525" s="154"/>
      <c r="M525" s="154"/>
      <c r="N525" s="154"/>
      <c r="O525" s="154"/>
    </row>
    <row r="526" spans="3:15">
      <c r="C526" s="154"/>
      <c r="D526" s="154"/>
      <c r="E526" s="154"/>
      <c r="F526" s="154"/>
      <c r="G526" s="154"/>
      <c r="H526" s="154"/>
      <c r="I526" s="154"/>
      <c r="J526" s="154"/>
      <c r="K526" s="154"/>
      <c r="L526" s="154"/>
      <c r="M526" s="154"/>
      <c r="N526" s="154"/>
      <c r="O526" s="154"/>
    </row>
    <row r="527" spans="3:15">
      <c r="C527" s="154"/>
      <c r="D527" s="154"/>
      <c r="E527" s="154"/>
      <c r="F527" s="154"/>
      <c r="G527" s="154"/>
      <c r="H527" s="154"/>
      <c r="I527" s="154"/>
      <c r="J527" s="154"/>
      <c r="K527" s="154"/>
      <c r="L527" s="154"/>
      <c r="M527" s="154"/>
      <c r="N527" s="154"/>
      <c r="O527" s="154"/>
    </row>
    <row r="528" spans="3:15">
      <c r="C528" s="154"/>
      <c r="D528" s="154"/>
      <c r="E528" s="154"/>
      <c r="F528" s="154"/>
      <c r="G528" s="154"/>
      <c r="H528" s="154"/>
      <c r="I528" s="154"/>
      <c r="J528" s="154"/>
      <c r="K528" s="154"/>
      <c r="L528" s="154"/>
      <c r="M528" s="154"/>
      <c r="N528" s="154"/>
      <c r="O528" s="154"/>
    </row>
    <row r="529" spans="3:15">
      <c r="C529" s="154"/>
      <c r="D529" s="154"/>
      <c r="E529" s="154"/>
      <c r="F529" s="154"/>
      <c r="G529" s="154"/>
      <c r="H529" s="154"/>
      <c r="I529" s="154"/>
      <c r="J529" s="154"/>
      <c r="K529" s="154"/>
      <c r="L529" s="154"/>
      <c r="M529" s="154"/>
      <c r="N529" s="154"/>
      <c r="O529" s="154"/>
    </row>
    <row r="530" spans="3:15">
      <c r="C530" s="154"/>
      <c r="D530" s="154"/>
      <c r="E530" s="154"/>
      <c r="F530" s="154"/>
      <c r="G530" s="154"/>
      <c r="H530" s="154"/>
      <c r="I530" s="154"/>
      <c r="J530" s="154"/>
      <c r="K530" s="154"/>
      <c r="L530" s="154"/>
      <c r="M530" s="154"/>
      <c r="N530" s="154"/>
      <c r="O530" s="154"/>
    </row>
    <row r="531" spans="3:15">
      <c r="C531" s="154"/>
      <c r="D531" s="154"/>
      <c r="E531" s="154"/>
      <c r="F531" s="154"/>
      <c r="G531" s="154"/>
      <c r="H531" s="154"/>
      <c r="I531" s="154"/>
      <c r="J531" s="154"/>
      <c r="K531" s="154"/>
      <c r="L531" s="154"/>
      <c r="M531" s="154"/>
      <c r="N531" s="154"/>
      <c r="O531" s="154"/>
    </row>
    <row r="532" spans="3:15">
      <c r="C532" s="154"/>
      <c r="D532" s="154"/>
      <c r="E532" s="154"/>
      <c r="F532" s="154"/>
      <c r="G532" s="154"/>
      <c r="H532" s="154"/>
      <c r="I532" s="154"/>
      <c r="J532" s="154"/>
      <c r="K532" s="154"/>
      <c r="L532" s="154"/>
      <c r="M532" s="154"/>
      <c r="N532" s="154"/>
      <c r="O532" s="154"/>
    </row>
    <row r="533" spans="3:15">
      <c r="C533" s="154"/>
      <c r="D533" s="154"/>
      <c r="E533" s="154"/>
      <c r="F533" s="154"/>
      <c r="G533" s="154"/>
      <c r="H533" s="154"/>
      <c r="I533" s="154"/>
      <c r="J533" s="154"/>
      <c r="K533" s="154"/>
      <c r="L533" s="154"/>
      <c r="M533" s="154"/>
      <c r="N533" s="154"/>
      <c r="O533" s="154"/>
    </row>
    <row r="534" spans="3:15">
      <c r="C534" s="154"/>
      <c r="D534" s="154"/>
      <c r="E534" s="154"/>
      <c r="F534" s="154"/>
      <c r="G534" s="154"/>
      <c r="H534" s="154"/>
      <c r="I534" s="154"/>
      <c r="J534" s="154"/>
      <c r="K534" s="154"/>
      <c r="L534" s="154"/>
      <c r="M534" s="154"/>
      <c r="N534" s="154"/>
      <c r="O534" s="154"/>
    </row>
    <row r="535" spans="3:15">
      <c r="C535" s="154"/>
      <c r="D535" s="154"/>
      <c r="E535" s="154"/>
      <c r="F535" s="154"/>
      <c r="G535" s="154"/>
      <c r="H535" s="154"/>
      <c r="I535" s="154"/>
      <c r="J535" s="154"/>
      <c r="K535" s="154"/>
      <c r="L535" s="154"/>
      <c r="M535" s="154"/>
      <c r="N535" s="154"/>
      <c r="O535" s="154"/>
    </row>
    <row r="536" spans="3:15">
      <c r="C536" s="154"/>
      <c r="D536" s="154"/>
      <c r="E536" s="154"/>
      <c r="F536" s="154"/>
      <c r="G536" s="154"/>
      <c r="H536" s="154"/>
      <c r="I536" s="154"/>
      <c r="J536" s="154"/>
      <c r="K536" s="154"/>
      <c r="L536" s="154"/>
      <c r="M536" s="154"/>
      <c r="N536" s="154"/>
      <c r="O536" s="154"/>
    </row>
    <row r="537" spans="3:15">
      <c r="C537" s="154"/>
      <c r="D537" s="154"/>
      <c r="E537" s="154"/>
      <c r="F537" s="154"/>
      <c r="G537" s="154"/>
      <c r="H537" s="154"/>
      <c r="I537" s="154"/>
      <c r="J537" s="154"/>
      <c r="K537" s="154"/>
      <c r="L537" s="154"/>
      <c r="M537" s="154"/>
      <c r="N537" s="154"/>
      <c r="O537" s="154"/>
    </row>
    <row r="538" spans="3:15">
      <c r="C538" s="154"/>
      <c r="D538" s="154"/>
      <c r="E538" s="154"/>
      <c r="F538" s="154"/>
      <c r="G538" s="154"/>
      <c r="H538" s="154"/>
      <c r="I538" s="154"/>
      <c r="J538" s="154"/>
      <c r="K538" s="154"/>
      <c r="L538" s="154"/>
      <c r="M538" s="154"/>
      <c r="N538" s="154"/>
      <c r="O538" s="154"/>
    </row>
    <row r="539" spans="3:15">
      <c r="C539" s="154"/>
      <c r="D539" s="154"/>
      <c r="E539" s="154"/>
      <c r="F539" s="154"/>
      <c r="G539" s="154"/>
      <c r="H539" s="154"/>
      <c r="I539" s="154"/>
      <c r="J539" s="154"/>
      <c r="K539" s="154"/>
      <c r="L539" s="154"/>
      <c r="M539" s="154"/>
      <c r="N539" s="154"/>
      <c r="O539" s="154"/>
    </row>
    <row r="540" spans="3:15">
      <c r="C540" s="154"/>
      <c r="D540" s="154"/>
      <c r="E540" s="154"/>
      <c r="F540" s="154"/>
      <c r="G540" s="154"/>
      <c r="H540" s="154"/>
      <c r="I540" s="154"/>
      <c r="J540" s="154"/>
      <c r="K540" s="154"/>
      <c r="L540" s="154"/>
      <c r="M540" s="154"/>
      <c r="N540" s="154"/>
      <c r="O540" s="154"/>
    </row>
    <row r="541" spans="3:15">
      <c r="C541" s="154"/>
      <c r="D541" s="154"/>
      <c r="E541" s="154"/>
      <c r="F541" s="154"/>
      <c r="G541" s="154"/>
      <c r="H541" s="154"/>
      <c r="I541" s="154"/>
      <c r="J541" s="154"/>
      <c r="K541" s="154"/>
      <c r="L541" s="154"/>
      <c r="M541" s="154"/>
      <c r="N541" s="154"/>
      <c r="O541" s="154"/>
    </row>
    <row r="542" spans="3:15">
      <c r="C542" s="154"/>
      <c r="D542" s="154"/>
      <c r="E542" s="154"/>
      <c r="F542" s="154"/>
      <c r="G542" s="154"/>
      <c r="H542" s="154"/>
      <c r="I542" s="154"/>
      <c r="J542" s="154"/>
      <c r="K542" s="154"/>
      <c r="L542" s="154"/>
      <c r="M542" s="154"/>
      <c r="N542" s="154"/>
      <c r="O542" s="154"/>
    </row>
    <row r="543" spans="3:15">
      <c r="C543" s="154"/>
      <c r="D543" s="154"/>
      <c r="E543" s="154"/>
      <c r="F543" s="154"/>
      <c r="G543" s="154"/>
      <c r="H543" s="154"/>
      <c r="I543" s="154"/>
      <c r="J543" s="154"/>
      <c r="K543" s="154"/>
      <c r="L543" s="154"/>
      <c r="M543" s="154"/>
      <c r="N543" s="154"/>
      <c r="O543" s="154"/>
    </row>
    <row r="544" spans="3:15">
      <c r="C544" s="154"/>
      <c r="D544" s="154"/>
      <c r="E544" s="154"/>
      <c r="F544" s="154"/>
      <c r="G544" s="154"/>
      <c r="H544" s="154"/>
      <c r="I544" s="154"/>
      <c r="J544" s="154"/>
      <c r="K544" s="154"/>
      <c r="L544" s="154"/>
      <c r="M544" s="154"/>
      <c r="N544" s="154"/>
      <c r="O544" s="154"/>
    </row>
    <row r="545" spans="3:15">
      <c r="C545" s="154"/>
      <c r="D545" s="154"/>
      <c r="E545" s="154"/>
      <c r="F545" s="154"/>
      <c r="G545" s="154"/>
      <c r="H545" s="154"/>
      <c r="I545" s="154"/>
      <c r="J545" s="154"/>
      <c r="K545" s="154"/>
      <c r="L545" s="154"/>
      <c r="M545" s="154"/>
      <c r="N545" s="154"/>
      <c r="O545" s="154"/>
    </row>
    <row r="546" spans="3:15">
      <c r="C546" s="154"/>
      <c r="D546" s="154"/>
      <c r="E546" s="154"/>
      <c r="F546" s="154"/>
      <c r="G546" s="154"/>
      <c r="H546" s="154"/>
      <c r="I546" s="154"/>
      <c r="J546" s="154"/>
      <c r="K546" s="154"/>
      <c r="L546" s="154"/>
      <c r="M546" s="154"/>
      <c r="N546" s="154"/>
      <c r="O546" s="154"/>
    </row>
    <row r="547" spans="3:15">
      <c r="C547" s="154"/>
      <c r="D547" s="154"/>
      <c r="E547" s="154"/>
      <c r="F547" s="154"/>
      <c r="G547" s="154"/>
      <c r="H547" s="154"/>
      <c r="I547" s="154"/>
      <c r="J547" s="154"/>
      <c r="K547" s="154"/>
      <c r="L547" s="154"/>
      <c r="M547" s="154"/>
      <c r="N547" s="154"/>
      <c r="O547" s="154"/>
    </row>
    <row r="548" spans="3:15">
      <c r="C548" s="154"/>
      <c r="D548" s="154"/>
      <c r="E548" s="154"/>
      <c r="F548" s="154"/>
      <c r="G548" s="154"/>
      <c r="H548" s="154"/>
      <c r="I548" s="154"/>
      <c r="J548" s="154"/>
      <c r="K548" s="154"/>
      <c r="L548" s="154"/>
      <c r="M548" s="154"/>
      <c r="N548" s="154"/>
      <c r="O548" s="154"/>
    </row>
    <row r="549" spans="3:15">
      <c r="C549" s="154"/>
      <c r="D549" s="154"/>
      <c r="E549" s="154"/>
      <c r="F549" s="154"/>
      <c r="G549" s="154"/>
      <c r="H549" s="154"/>
      <c r="I549" s="154"/>
      <c r="J549" s="154"/>
      <c r="K549" s="154"/>
      <c r="L549" s="154"/>
      <c r="M549" s="154"/>
      <c r="N549" s="154"/>
      <c r="O549" s="154"/>
    </row>
    <row r="550" spans="3:15">
      <c r="C550" s="154"/>
      <c r="D550" s="154"/>
      <c r="E550" s="154"/>
      <c r="F550" s="154"/>
      <c r="G550" s="154"/>
      <c r="H550" s="154"/>
      <c r="I550" s="154"/>
      <c r="J550" s="154"/>
      <c r="K550" s="154"/>
      <c r="L550" s="154"/>
      <c r="M550" s="154"/>
      <c r="N550" s="154"/>
      <c r="O550" s="154"/>
    </row>
    <row r="551" spans="3:15">
      <c r="C551" s="154"/>
      <c r="D551" s="154"/>
      <c r="E551" s="154"/>
      <c r="F551" s="154"/>
      <c r="G551" s="154"/>
      <c r="H551" s="154"/>
      <c r="I551" s="154"/>
      <c r="J551" s="154"/>
      <c r="K551" s="154"/>
      <c r="L551" s="154"/>
      <c r="M551" s="154"/>
      <c r="N551" s="154"/>
      <c r="O551" s="154"/>
    </row>
    <row r="552" spans="3:15">
      <c r="C552" s="154"/>
      <c r="D552" s="154"/>
      <c r="E552" s="154"/>
      <c r="F552" s="154"/>
      <c r="G552" s="154"/>
      <c r="H552" s="154"/>
      <c r="I552" s="154"/>
      <c r="J552" s="154"/>
      <c r="K552" s="154"/>
      <c r="L552" s="154"/>
      <c r="M552" s="154"/>
      <c r="N552" s="154"/>
      <c r="O552" s="154"/>
    </row>
    <row r="553" spans="3:15">
      <c r="C553" s="154"/>
      <c r="D553" s="154"/>
      <c r="E553" s="154"/>
      <c r="F553" s="154"/>
      <c r="G553" s="154"/>
      <c r="H553" s="154"/>
      <c r="I553" s="154"/>
      <c r="J553" s="154"/>
      <c r="K553" s="154"/>
      <c r="L553" s="154"/>
      <c r="M553" s="154"/>
      <c r="N553" s="154"/>
      <c r="O553" s="154"/>
    </row>
    <row r="554" spans="3:15">
      <c r="C554" s="154"/>
      <c r="D554" s="154"/>
      <c r="E554" s="154"/>
      <c r="F554" s="154"/>
      <c r="G554" s="154"/>
      <c r="H554" s="154"/>
      <c r="I554" s="154"/>
      <c r="J554" s="154"/>
      <c r="K554" s="154"/>
      <c r="L554" s="154"/>
      <c r="M554" s="154"/>
      <c r="N554" s="154"/>
      <c r="O554" s="154"/>
    </row>
    <row r="555" spans="3:15">
      <c r="C555" s="154"/>
      <c r="D555" s="154"/>
      <c r="E555" s="154"/>
      <c r="F555" s="154"/>
      <c r="G555" s="154"/>
      <c r="H555" s="154"/>
      <c r="I555" s="154"/>
      <c r="J555" s="154"/>
      <c r="K555" s="154"/>
      <c r="L555" s="154"/>
      <c r="M555" s="154"/>
      <c r="N555" s="154"/>
      <c r="O555" s="154"/>
    </row>
    <row r="556" spans="3:15">
      <c r="C556" s="154"/>
      <c r="D556" s="154"/>
      <c r="E556" s="154"/>
      <c r="F556" s="154"/>
      <c r="G556" s="154"/>
      <c r="H556" s="154"/>
      <c r="I556" s="154"/>
      <c r="J556" s="154"/>
      <c r="K556" s="154"/>
      <c r="L556" s="154"/>
      <c r="M556" s="154"/>
      <c r="N556" s="154"/>
      <c r="O556" s="154"/>
    </row>
    <row r="557" spans="3:15">
      <c r="C557" s="154"/>
      <c r="D557" s="154"/>
      <c r="E557" s="154"/>
      <c r="F557" s="154"/>
      <c r="G557" s="154"/>
      <c r="H557" s="154"/>
      <c r="I557" s="154"/>
      <c r="J557" s="154"/>
      <c r="K557" s="154"/>
      <c r="L557" s="154"/>
      <c r="M557" s="154"/>
      <c r="N557" s="154"/>
      <c r="O557" s="154"/>
    </row>
    <row r="558" spans="3:15">
      <c r="C558" s="154"/>
      <c r="D558" s="154"/>
      <c r="E558" s="154"/>
      <c r="F558" s="154"/>
      <c r="G558" s="154"/>
      <c r="H558" s="154"/>
      <c r="I558" s="154"/>
      <c r="J558" s="154"/>
      <c r="K558" s="154"/>
      <c r="L558" s="154"/>
      <c r="M558" s="154"/>
      <c r="N558" s="154"/>
      <c r="O558" s="154"/>
    </row>
    <row r="559" spans="3:15">
      <c r="C559" s="154"/>
      <c r="D559" s="154"/>
      <c r="E559" s="154"/>
      <c r="F559" s="154"/>
      <c r="G559" s="154"/>
      <c r="H559" s="154"/>
      <c r="I559" s="154"/>
      <c r="J559" s="154"/>
      <c r="K559" s="154"/>
      <c r="L559" s="154"/>
      <c r="M559" s="154"/>
      <c r="N559" s="154"/>
      <c r="O559" s="154"/>
    </row>
    <row r="560" spans="3:15">
      <c r="C560" s="154"/>
      <c r="D560" s="154"/>
      <c r="E560" s="154"/>
      <c r="F560" s="154"/>
      <c r="G560" s="154"/>
      <c r="H560" s="154"/>
      <c r="I560" s="154"/>
      <c r="J560" s="154"/>
      <c r="K560" s="154"/>
      <c r="L560" s="154"/>
      <c r="M560" s="154"/>
      <c r="N560" s="154"/>
      <c r="O560" s="154"/>
    </row>
    <row r="561" spans="3:15">
      <c r="C561" s="154"/>
      <c r="D561" s="154"/>
      <c r="E561" s="154"/>
      <c r="F561" s="154"/>
      <c r="G561" s="154"/>
      <c r="H561" s="154"/>
      <c r="I561" s="154"/>
      <c r="J561" s="154"/>
      <c r="K561" s="154"/>
      <c r="L561" s="154"/>
      <c r="M561" s="154"/>
      <c r="N561" s="154"/>
      <c r="O561" s="154"/>
    </row>
    <row r="562" spans="3:15">
      <c r="C562" s="154"/>
      <c r="D562" s="154"/>
      <c r="E562" s="154"/>
      <c r="F562" s="154"/>
      <c r="G562" s="154"/>
      <c r="H562" s="154"/>
      <c r="I562" s="154"/>
      <c r="J562" s="154"/>
      <c r="K562" s="154"/>
      <c r="L562" s="154"/>
      <c r="M562" s="154"/>
      <c r="N562" s="154"/>
      <c r="O562" s="154"/>
    </row>
    <row r="563" spans="3:15">
      <c r="C563" s="154"/>
      <c r="D563" s="154"/>
      <c r="E563" s="154"/>
      <c r="F563" s="154"/>
      <c r="G563" s="154"/>
      <c r="H563" s="154"/>
      <c r="I563" s="154"/>
      <c r="J563" s="154"/>
      <c r="K563" s="154"/>
      <c r="L563" s="154"/>
      <c r="M563" s="154"/>
      <c r="N563" s="154"/>
      <c r="O563" s="154"/>
    </row>
    <row r="564" spans="3:15">
      <c r="C564" s="154"/>
      <c r="D564" s="154"/>
      <c r="E564" s="154"/>
      <c r="F564" s="154"/>
      <c r="G564" s="154"/>
      <c r="H564" s="154"/>
      <c r="I564" s="154"/>
      <c r="J564" s="154"/>
      <c r="K564" s="154"/>
      <c r="L564" s="154"/>
      <c r="M564" s="154"/>
      <c r="N564" s="154"/>
      <c r="O564" s="154"/>
    </row>
    <row r="565" spans="3:15">
      <c r="C565" s="154"/>
      <c r="D565" s="154"/>
      <c r="E565" s="154"/>
      <c r="F565" s="154"/>
      <c r="G565" s="154"/>
      <c r="H565" s="154"/>
      <c r="I565" s="154"/>
      <c r="J565" s="154"/>
      <c r="K565" s="154"/>
      <c r="L565" s="154"/>
      <c r="M565" s="154"/>
      <c r="N565" s="154"/>
      <c r="O565" s="154"/>
    </row>
    <row r="566" spans="3:15">
      <c r="C566" s="154"/>
      <c r="D566" s="154"/>
      <c r="E566" s="154"/>
      <c r="F566" s="154"/>
      <c r="G566" s="154"/>
      <c r="H566" s="154"/>
      <c r="I566" s="154"/>
      <c r="J566" s="154"/>
      <c r="K566" s="154"/>
      <c r="L566" s="154"/>
      <c r="M566" s="154"/>
      <c r="N566" s="154"/>
      <c r="O566" s="154"/>
    </row>
    <row r="567" spans="3:15">
      <c r="C567" s="154"/>
      <c r="D567" s="154"/>
      <c r="E567" s="154"/>
      <c r="F567" s="154"/>
      <c r="G567" s="154"/>
      <c r="H567" s="154"/>
      <c r="I567" s="154"/>
      <c r="J567" s="154"/>
      <c r="K567" s="154"/>
      <c r="L567" s="154"/>
      <c r="M567" s="154"/>
      <c r="N567" s="154"/>
      <c r="O567" s="154"/>
    </row>
    <row r="568" spans="3:15">
      <c r="C568" s="154"/>
      <c r="D568" s="154"/>
      <c r="E568" s="154"/>
      <c r="F568" s="154"/>
      <c r="G568" s="154"/>
      <c r="H568" s="154"/>
      <c r="I568" s="154"/>
      <c r="J568" s="154"/>
      <c r="K568" s="154"/>
      <c r="L568" s="154"/>
      <c r="M568" s="154"/>
      <c r="N568" s="154"/>
      <c r="O568" s="154"/>
    </row>
    <row r="569" spans="3:15">
      <c r="C569" s="154"/>
      <c r="D569" s="154"/>
      <c r="E569" s="154"/>
      <c r="F569" s="154"/>
      <c r="G569" s="154"/>
      <c r="H569" s="154"/>
      <c r="I569" s="154"/>
      <c r="J569" s="154"/>
      <c r="K569" s="154"/>
      <c r="L569" s="154"/>
      <c r="M569" s="154"/>
      <c r="N569" s="154"/>
      <c r="O569" s="154"/>
    </row>
    <row r="570" spans="3:15">
      <c r="C570" s="154"/>
      <c r="D570" s="154"/>
      <c r="E570" s="154"/>
      <c r="F570" s="154"/>
      <c r="G570" s="154"/>
      <c r="H570" s="154"/>
      <c r="I570" s="154"/>
      <c r="J570" s="154"/>
      <c r="K570" s="154"/>
      <c r="L570" s="154"/>
      <c r="M570" s="154"/>
      <c r="N570" s="154"/>
      <c r="O570" s="154"/>
    </row>
    <row r="571" spans="3:15">
      <c r="C571" s="154"/>
      <c r="D571" s="154"/>
      <c r="E571" s="154"/>
      <c r="F571" s="154"/>
      <c r="G571" s="154"/>
      <c r="H571" s="154"/>
      <c r="I571" s="154"/>
      <c r="J571" s="154"/>
      <c r="K571" s="154"/>
      <c r="L571" s="154"/>
      <c r="M571" s="154"/>
      <c r="N571" s="154"/>
      <c r="O571" s="154"/>
    </row>
    <row r="572" spans="3:15">
      <c r="C572" s="154"/>
      <c r="D572" s="154"/>
      <c r="E572" s="154"/>
      <c r="F572" s="154"/>
      <c r="G572" s="154"/>
      <c r="H572" s="154"/>
      <c r="I572" s="154"/>
      <c r="J572" s="154"/>
      <c r="K572" s="154"/>
      <c r="L572" s="154"/>
      <c r="M572" s="154"/>
      <c r="N572" s="154"/>
      <c r="O572" s="154"/>
    </row>
    <row r="573" spans="3:15">
      <c r="C573" s="154"/>
      <c r="D573" s="154"/>
      <c r="E573" s="154"/>
      <c r="F573" s="154"/>
      <c r="G573" s="154"/>
      <c r="H573" s="154"/>
      <c r="I573" s="154"/>
      <c r="J573" s="154"/>
      <c r="K573" s="154"/>
      <c r="L573" s="154"/>
      <c r="M573" s="154"/>
      <c r="N573" s="154"/>
      <c r="O573" s="154"/>
    </row>
    <row r="574" spans="3:15">
      <c r="C574" s="154"/>
      <c r="D574" s="154"/>
      <c r="E574" s="154"/>
      <c r="F574" s="154"/>
      <c r="G574" s="154"/>
      <c r="H574" s="154"/>
      <c r="I574" s="154"/>
      <c r="J574" s="154"/>
      <c r="K574" s="154"/>
      <c r="L574" s="154"/>
      <c r="M574" s="154"/>
      <c r="N574" s="154"/>
      <c r="O574" s="154"/>
    </row>
    <row r="575" spans="3:15">
      <c r="C575" s="154"/>
      <c r="D575" s="154"/>
      <c r="E575" s="154"/>
      <c r="F575" s="154"/>
      <c r="G575" s="154"/>
      <c r="H575" s="154"/>
      <c r="I575" s="154"/>
      <c r="J575" s="154"/>
      <c r="K575" s="154"/>
      <c r="L575" s="154"/>
      <c r="M575" s="154"/>
      <c r="N575" s="154"/>
      <c r="O575" s="154"/>
    </row>
    <row r="576" spans="3:15">
      <c r="C576" s="154"/>
      <c r="D576" s="154"/>
      <c r="E576" s="154"/>
      <c r="F576" s="154"/>
      <c r="G576" s="154"/>
      <c r="H576" s="154"/>
      <c r="I576" s="154"/>
      <c r="J576" s="154"/>
      <c r="K576" s="154"/>
      <c r="L576" s="154"/>
      <c r="M576" s="154"/>
      <c r="N576" s="154"/>
      <c r="O576" s="154"/>
    </row>
    <row r="577" spans="3:15">
      <c r="C577" s="154"/>
      <c r="D577" s="154"/>
      <c r="E577" s="154"/>
      <c r="F577" s="154"/>
      <c r="G577" s="154"/>
      <c r="H577" s="154"/>
      <c r="I577" s="154"/>
      <c r="J577" s="154"/>
      <c r="K577" s="154"/>
      <c r="L577" s="154"/>
      <c r="M577" s="154"/>
      <c r="N577" s="154"/>
      <c r="O577" s="154"/>
    </row>
    <row r="578" spans="3:15">
      <c r="C578" s="154"/>
      <c r="D578" s="154"/>
      <c r="E578" s="154"/>
      <c r="F578" s="154"/>
      <c r="G578" s="154"/>
      <c r="H578" s="154"/>
      <c r="I578" s="154"/>
      <c r="J578" s="154"/>
      <c r="K578" s="154"/>
      <c r="L578" s="154"/>
      <c r="M578" s="154"/>
      <c r="N578" s="154"/>
      <c r="O578" s="154"/>
    </row>
    <row r="579" spans="3:15">
      <c r="C579" s="154"/>
      <c r="D579" s="154"/>
      <c r="E579" s="154"/>
      <c r="F579" s="154"/>
      <c r="G579" s="154"/>
      <c r="H579" s="154"/>
      <c r="I579" s="154"/>
      <c r="J579" s="154"/>
      <c r="K579" s="154"/>
      <c r="L579" s="154"/>
      <c r="M579" s="154"/>
      <c r="N579" s="154"/>
      <c r="O579" s="154"/>
    </row>
    <row r="580" spans="3:15">
      <c r="C580" s="154"/>
      <c r="D580" s="154"/>
      <c r="E580" s="154"/>
      <c r="F580" s="154"/>
      <c r="G580" s="154"/>
      <c r="H580" s="154"/>
      <c r="I580" s="154"/>
      <c r="J580" s="154"/>
      <c r="K580" s="154"/>
      <c r="L580" s="154"/>
      <c r="M580" s="154"/>
      <c r="N580" s="154"/>
      <c r="O580" s="154"/>
    </row>
    <row r="581" spans="3:15">
      <c r="C581" s="154"/>
      <c r="D581" s="154"/>
      <c r="E581" s="154"/>
      <c r="F581" s="154"/>
      <c r="G581" s="154"/>
      <c r="H581" s="154"/>
      <c r="I581" s="154"/>
      <c r="J581" s="154"/>
      <c r="K581" s="154"/>
      <c r="L581" s="154"/>
      <c r="M581" s="154"/>
      <c r="N581" s="154"/>
      <c r="O581" s="154"/>
    </row>
    <row r="582" spans="3:15">
      <c r="C582" s="154"/>
      <c r="D582" s="154"/>
      <c r="E582" s="154"/>
      <c r="F582" s="154"/>
      <c r="G582" s="154"/>
      <c r="H582" s="154"/>
      <c r="I582" s="154"/>
      <c r="J582" s="154"/>
      <c r="K582" s="154"/>
      <c r="L582" s="154"/>
      <c r="M582" s="154"/>
      <c r="N582" s="154"/>
      <c r="O582" s="154"/>
    </row>
    <row r="583" spans="3:15">
      <c r="C583" s="154"/>
      <c r="D583" s="154"/>
      <c r="E583" s="154"/>
      <c r="F583" s="154"/>
      <c r="G583" s="154"/>
      <c r="H583" s="154"/>
      <c r="I583" s="154"/>
      <c r="J583" s="154"/>
      <c r="K583" s="154"/>
      <c r="L583" s="154"/>
      <c r="M583" s="154"/>
      <c r="N583" s="154"/>
      <c r="O583" s="154"/>
    </row>
    <row r="584" spans="3:15">
      <c r="C584" s="154"/>
      <c r="D584" s="154"/>
      <c r="E584" s="154"/>
      <c r="F584" s="154"/>
      <c r="G584" s="154"/>
      <c r="H584" s="154"/>
      <c r="I584" s="154"/>
      <c r="J584" s="154"/>
      <c r="K584" s="154"/>
      <c r="L584" s="154"/>
      <c r="M584" s="154"/>
      <c r="N584" s="154"/>
      <c r="O584" s="154"/>
    </row>
    <row r="585" spans="3:15">
      <c r="C585" s="154"/>
      <c r="D585" s="154"/>
      <c r="E585" s="154"/>
      <c r="F585" s="154"/>
      <c r="G585" s="154"/>
      <c r="H585" s="154"/>
      <c r="I585" s="154"/>
      <c r="J585" s="154"/>
      <c r="K585" s="154"/>
      <c r="L585" s="154"/>
      <c r="M585" s="154"/>
      <c r="N585" s="154"/>
      <c r="O585" s="154"/>
    </row>
    <row r="586" spans="3:15">
      <c r="C586" s="154"/>
      <c r="D586" s="154"/>
      <c r="E586" s="154"/>
      <c r="F586" s="154"/>
      <c r="G586" s="154"/>
      <c r="H586" s="154"/>
      <c r="I586" s="154"/>
      <c r="J586" s="154"/>
      <c r="K586" s="154"/>
      <c r="L586" s="154"/>
      <c r="M586" s="154"/>
      <c r="N586" s="154"/>
      <c r="O586" s="154"/>
    </row>
    <row r="587" spans="3:15">
      <c r="C587" s="154"/>
      <c r="D587" s="154"/>
      <c r="E587" s="154"/>
      <c r="F587" s="154"/>
      <c r="G587" s="154"/>
      <c r="H587" s="154"/>
      <c r="I587" s="154"/>
      <c r="J587" s="154"/>
      <c r="K587" s="154"/>
      <c r="L587" s="154"/>
      <c r="M587" s="154"/>
      <c r="N587" s="154"/>
      <c r="O587" s="154"/>
    </row>
    <row r="588" spans="3:15">
      <c r="C588" s="154"/>
      <c r="D588" s="154"/>
      <c r="E588" s="154"/>
      <c r="F588" s="154"/>
      <c r="G588" s="154"/>
      <c r="H588" s="154"/>
      <c r="I588" s="154"/>
      <c r="J588" s="154"/>
      <c r="K588" s="154"/>
      <c r="L588" s="154"/>
      <c r="M588" s="154"/>
      <c r="N588" s="154"/>
      <c r="O588" s="154"/>
    </row>
    <row r="589" spans="3:15">
      <c r="C589" s="154"/>
      <c r="D589" s="154"/>
      <c r="E589" s="154"/>
      <c r="F589" s="154"/>
      <c r="G589" s="154"/>
      <c r="H589" s="154"/>
      <c r="I589" s="154"/>
      <c r="J589" s="154"/>
      <c r="K589" s="154"/>
      <c r="L589" s="154"/>
      <c r="M589" s="154"/>
      <c r="N589" s="154"/>
      <c r="O589" s="154"/>
    </row>
    <row r="590" spans="3:15">
      <c r="C590" s="154"/>
      <c r="D590" s="154"/>
      <c r="E590" s="154"/>
      <c r="F590" s="154"/>
      <c r="G590" s="154"/>
      <c r="H590" s="154"/>
      <c r="I590" s="154"/>
      <c r="J590" s="154"/>
      <c r="K590" s="154"/>
      <c r="L590" s="154"/>
      <c r="M590" s="154"/>
      <c r="N590" s="154"/>
      <c r="O590" s="154"/>
    </row>
    <row r="591" spans="3:15">
      <c r="C591" s="154"/>
      <c r="D591" s="154"/>
      <c r="E591" s="154"/>
      <c r="F591" s="154"/>
      <c r="G591" s="154"/>
      <c r="H591" s="154"/>
      <c r="I591" s="154"/>
      <c r="J591" s="154"/>
      <c r="K591" s="154"/>
      <c r="L591" s="154"/>
      <c r="M591" s="154"/>
      <c r="N591" s="154"/>
      <c r="O591" s="154"/>
    </row>
    <row r="592" spans="3:15">
      <c r="C592" s="154"/>
      <c r="D592" s="154"/>
      <c r="E592" s="154"/>
      <c r="F592" s="154"/>
      <c r="G592" s="154"/>
      <c r="H592" s="154"/>
      <c r="I592" s="154"/>
      <c r="J592" s="154"/>
      <c r="K592" s="154"/>
      <c r="L592" s="154"/>
      <c r="M592" s="154"/>
      <c r="N592" s="154"/>
      <c r="O592" s="154"/>
    </row>
    <row r="593" spans="3:15">
      <c r="C593" s="154"/>
      <c r="D593" s="154"/>
      <c r="E593" s="154"/>
      <c r="F593" s="154"/>
      <c r="G593" s="154"/>
      <c r="H593" s="154"/>
      <c r="I593" s="154"/>
      <c r="J593" s="154"/>
      <c r="K593" s="154"/>
      <c r="L593" s="154"/>
      <c r="M593" s="154"/>
      <c r="N593" s="154"/>
      <c r="O593" s="154"/>
    </row>
    <row r="594" spans="3:15">
      <c r="C594" s="154"/>
      <c r="D594" s="154"/>
      <c r="E594" s="154"/>
      <c r="F594" s="154"/>
      <c r="G594" s="154"/>
      <c r="H594" s="154"/>
      <c r="I594" s="154"/>
      <c r="J594" s="154"/>
      <c r="K594" s="154"/>
      <c r="L594" s="154"/>
      <c r="M594" s="154"/>
      <c r="N594" s="154"/>
      <c r="O594" s="154"/>
    </row>
    <row r="595" spans="3:15">
      <c r="C595" s="154"/>
      <c r="D595" s="154"/>
      <c r="E595" s="154"/>
      <c r="F595" s="154"/>
      <c r="G595" s="154"/>
      <c r="H595" s="154"/>
      <c r="I595" s="154"/>
      <c r="J595" s="154"/>
      <c r="K595" s="154"/>
      <c r="L595" s="154"/>
      <c r="M595" s="154"/>
      <c r="N595" s="154"/>
      <c r="O595" s="154"/>
    </row>
    <row r="596" spans="3:15">
      <c r="C596" s="154"/>
      <c r="D596" s="154"/>
      <c r="E596" s="154"/>
      <c r="F596" s="154"/>
      <c r="G596" s="154"/>
      <c r="H596" s="154"/>
      <c r="I596" s="154"/>
      <c r="J596" s="154"/>
      <c r="K596" s="154"/>
      <c r="L596" s="154"/>
      <c r="M596" s="154"/>
      <c r="N596" s="154"/>
      <c r="O596" s="154"/>
    </row>
    <row r="597" spans="3:15">
      <c r="C597" s="154"/>
      <c r="D597" s="154"/>
      <c r="E597" s="154"/>
      <c r="F597" s="154"/>
      <c r="G597" s="154"/>
      <c r="H597" s="154"/>
      <c r="I597" s="154"/>
      <c r="J597" s="154"/>
      <c r="K597" s="154"/>
      <c r="L597" s="154"/>
      <c r="M597" s="154"/>
      <c r="N597" s="154"/>
      <c r="O597" s="154"/>
    </row>
    <row r="598" spans="3:15">
      <c r="C598" s="154"/>
      <c r="D598" s="154"/>
      <c r="E598" s="154"/>
      <c r="F598" s="154"/>
      <c r="G598" s="154"/>
      <c r="H598" s="154"/>
      <c r="I598" s="154"/>
      <c r="J598" s="154"/>
      <c r="K598" s="154"/>
      <c r="L598" s="154"/>
      <c r="M598" s="154"/>
      <c r="N598" s="154"/>
      <c r="O598" s="154"/>
    </row>
    <row r="599" spans="3:15">
      <c r="C599" s="154"/>
      <c r="D599" s="154"/>
      <c r="E599" s="154"/>
      <c r="F599" s="154"/>
      <c r="G599" s="154"/>
      <c r="H599" s="154"/>
      <c r="I599" s="154"/>
      <c r="J599" s="154"/>
      <c r="K599" s="154"/>
      <c r="L599" s="154"/>
      <c r="M599" s="154"/>
      <c r="N599" s="154"/>
      <c r="O599" s="154"/>
    </row>
    <row r="600" spans="3:15">
      <c r="C600" s="154"/>
      <c r="D600" s="154"/>
      <c r="E600" s="154"/>
      <c r="F600" s="154"/>
      <c r="G600" s="154"/>
      <c r="H600" s="154"/>
      <c r="I600" s="154"/>
      <c r="J600" s="154"/>
      <c r="K600" s="154"/>
      <c r="L600" s="154"/>
      <c r="M600" s="154"/>
      <c r="N600" s="154"/>
      <c r="O600" s="154"/>
    </row>
    <row r="601" spans="3:15">
      <c r="C601" s="154"/>
      <c r="D601" s="154"/>
      <c r="E601" s="154"/>
      <c r="F601" s="154"/>
      <c r="G601" s="154"/>
      <c r="H601" s="154"/>
      <c r="I601" s="154"/>
      <c r="J601" s="154"/>
      <c r="K601" s="154"/>
      <c r="L601" s="154"/>
      <c r="M601" s="154"/>
      <c r="N601" s="154"/>
      <c r="O601" s="154"/>
    </row>
    <row r="602" spans="3:15">
      <c r="C602" s="154"/>
      <c r="D602" s="154"/>
      <c r="E602" s="154"/>
      <c r="F602" s="154"/>
      <c r="G602" s="154"/>
      <c r="H602" s="154"/>
      <c r="I602" s="154"/>
      <c r="J602" s="154"/>
      <c r="K602" s="154"/>
      <c r="L602" s="154"/>
      <c r="M602" s="154"/>
      <c r="N602" s="154"/>
      <c r="O602" s="154"/>
    </row>
    <row r="603" spans="3:15">
      <c r="C603" s="154"/>
      <c r="D603" s="154"/>
      <c r="E603" s="154"/>
      <c r="F603" s="154"/>
      <c r="G603" s="154"/>
      <c r="H603" s="154"/>
      <c r="I603" s="154"/>
      <c r="J603" s="154"/>
      <c r="K603" s="154"/>
      <c r="L603" s="154"/>
      <c r="M603" s="154"/>
      <c r="N603" s="154"/>
      <c r="O603" s="154"/>
    </row>
    <row r="604" spans="3:15">
      <c r="C604" s="154"/>
      <c r="D604" s="154"/>
      <c r="E604" s="154"/>
      <c r="F604" s="154"/>
      <c r="G604" s="154"/>
      <c r="H604" s="154"/>
      <c r="I604" s="154"/>
      <c r="J604" s="154"/>
      <c r="K604" s="154"/>
      <c r="L604" s="154"/>
      <c r="M604" s="154"/>
      <c r="N604" s="154"/>
      <c r="O604" s="154"/>
    </row>
    <row r="605" spans="3:15">
      <c r="C605" s="154"/>
      <c r="D605" s="154"/>
      <c r="E605" s="154"/>
      <c r="F605" s="154"/>
      <c r="G605" s="154"/>
      <c r="H605" s="154"/>
      <c r="I605" s="154"/>
      <c r="J605" s="154"/>
      <c r="K605" s="154"/>
      <c r="L605" s="154"/>
      <c r="M605" s="154"/>
      <c r="N605" s="154"/>
      <c r="O605" s="154"/>
    </row>
    <row r="606" spans="3:15">
      <c r="C606" s="154"/>
      <c r="D606" s="154"/>
      <c r="E606" s="154"/>
      <c r="F606" s="154"/>
      <c r="G606" s="154"/>
      <c r="H606" s="154"/>
      <c r="I606" s="154"/>
      <c r="J606" s="154"/>
      <c r="K606" s="154"/>
      <c r="L606" s="154"/>
      <c r="M606" s="154"/>
      <c r="N606" s="154"/>
      <c r="O606" s="154"/>
    </row>
    <row r="607" spans="3:15">
      <c r="C607" s="154"/>
      <c r="D607" s="154"/>
      <c r="E607" s="154"/>
      <c r="F607" s="154"/>
      <c r="G607" s="154"/>
      <c r="H607" s="154"/>
      <c r="I607" s="154"/>
      <c r="J607" s="154"/>
      <c r="K607" s="154"/>
      <c r="L607" s="154"/>
      <c r="M607" s="154"/>
      <c r="N607" s="154"/>
      <c r="O607" s="154"/>
    </row>
    <row r="608" spans="3:15">
      <c r="C608" s="154"/>
      <c r="D608" s="154"/>
      <c r="E608" s="154"/>
      <c r="F608" s="154"/>
      <c r="G608" s="154"/>
      <c r="H608" s="154"/>
      <c r="I608" s="154"/>
      <c r="J608" s="154"/>
      <c r="K608" s="154"/>
      <c r="L608" s="154"/>
      <c r="M608" s="154"/>
      <c r="N608" s="154"/>
      <c r="O608" s="154"/>
    </row>
    <row r="609" spans="3:15">
      <c r="C609" s="154"/>
      <c r="D609" s="154"/>
      <c r="E609" s="154"/>
      <c r="F609" s="154"/>
      <c r="G609" s="154"/>
      <c r="H609" s="154"/>
      <c r="I609" s="154"/>
      <c r="J609" s="154"/>
      <c r="K609" s="154"/>
      <c r="L609" s="154"/>
      <c r="M609" s="154"/>
      <c r="N609" s="154"/>
      <c r="O609" s="154"/>
    </row>
    <row r="610" spans="3:15">
      <c r="C610" s="154"/>
      <c r="D610" s="154"/>
      <c r="E610" s="154"/>
      <c r="F610" s="154"/>
      <c r="G610" s="154"/>
      <c r="H610" s="154"/>
      <c r="I610" s="154"/>
      <c r="J610" s="154"/>
      <c r="K610" s="154"/>
      <c r="L610" s="154"/>
      <c r="M610" s="154"/>
      <c r="N610" s="154"/>
      <c r="O610" s="154"/>
    </row>
    <row r="611" spans="3:15">
      <c r="C611" s="154"/>
      <c r="D611" s="154"/>
      <c r="E611" s="154"/>
      <c r="F611" s="154"/>
      <c r="G611" s="154"/>
      <c r="H611" s="154"/>
      <c r="I611" s="154"/>
      <c r="J611" s="154"/>
      <c r="K611" s="154"/>
      <c r="L611" s="154"/>
      <c r="M611" s="154"/>
      <c r="N611" s="154"/>
      <c r="O611" s="154"/>
    </row>
    <row r="612" spans="3:15">
      <c r="C612" s="154"/>
      <c r="D612" s="154"/>
      <c r="E612" s="154"/>
      <c r="F612" s="154"/>
      <c r="G612" s="154"/>
      <c r="H612" s="154"/>
      <c r="I612" s="154"/>
      <c r="J612" s="154"/>
      <c r="K612" s="154"/>
      <c r="L612" s="154"/>
      <c r="M612" s="154"/>
      <c r="N612" s="154"/>
      <c r="O612" s="154"/>
    </row>
    <row r="613" spans="3:15">
      <c r="C613" s="154"/>
      <c r="D613" s="154"/>
      <c r="E613" s="154"/>
      <c r="F613" s="154"/>
      <c r="G613" s="154"/>
      <c r="H613" s="154"/>
      <c r="I613" s="154"/>
      <c r="J613" s="154"/>
      <c r="K613" s="154"/>
      <c r="L613" s="154"/>
      <c r="M613" s="154"/>
      <c r="N613" s="154"/>
      <c r="O613" s="154"/>
    </row>
    <row r="614" spans="3:15">
      <c r="C614" s="154"/>
      <c r="D614" s="154"/>
      <c r="E614" s="154"/>
      <c r="F614" s="154"/>
      <c r="G614" s="154"/>
      <c r="H614" s="154"/>
      <c r="I614" s="154"/>
      <c r="J614" s="154"/>
      <c r="K614" s="154"/>
      <c r="L614" s="154"/>
      <c r="M614" s="154"/>
      <c r="N614" s="154"/>
      <c r="O614" s="154"/>
    </row>
    <row r="615" spans="3:15">
      <c r="C615" s="154"/>
      <c r="D615" s="154"/>
      <c r="E615" s="154"/>
      <c r="F615" s="154"/>
      <c r="G615" s="154"/>
      <c r="H615" s="154"/>
      <c r="I615" s="154"/>
      <c r="J615" s="154"/>
      <c r="K615" s="154"/>
      <c r="L615" s="154"/>
      <c r="M615" s="154"/>
      <c r="N615" s="154"/>
      <c r="O615" s="154"/>
    </row>
    <row r="616" spans="3:15">
      <c r="C616" s="154"/>
      <c r="D616" s="154"/>
      <c r="E616" s="154"/>
      <c r="F616" s="154"/>
      <c r="G616" s="154"/>
      <c r="H616" s="154"/>
      <c r="I616" s="154"/>
      <c r="J616" s="154"/>
      <c r="K616" s="154"/>
      <c r="L616" s="154"/>
      <c r="M616" s="154"/>
      <c r="N616" s="154"/>
      <c r="O616" s="154"/>
    </row>
    <row r="617" spans="3:15">
      <c r="C617" s="154"/>
      <c r="D617" s="154"/>
      <c r="E617" s="154"/>
      <c r="F617" s="154"/>
      <c r="G617" s="154"/>
      <c r="H617" s="154"/>
      <c r="I617" s="154"/>
      <c r="J617" s="154"/>
      <c r="K617" s="154"/>
      <c r="L617" s="154"/>
      <c r="M617" s="154"/>
      <c r="N617" s="154"/>
      <c r="O617" s="154"/>
    </row>
    <row r="618" spans="3:15">
      <c r="C618" s="154"/>
      <c r="D618" s="154"/>
      <c r="E618" s="154"/>
      <c r="F618" s="154"/>
      <c r="G618" s="154"/>
      <c r="H618" s="154"/>
      <c r="I618" s="154"/>
      <c r="J618" s="154"/>
      <c r="K618" s="154"/>
      <c r="L618" s="154"/>
      <c r="M618" s="154"/>
      <c r="N618" s="154"/>
      <c r="O618" s="154"/>
    </row>
    <row r="619" spans="3:15">
      <c r="C619" s="154"/>
      <c r="D619" s="154"/>
      <c r="E619" s="154"/>
      <c r="F619" s="154"/>
      <c r="G619" s="154"/>
      <c r="H619" s="154"/>
      <c r="I619" s="154"/>
      <c r="J619" s="154"/>
      <c r="K619" s="154"/>
      <c r="L619" s="154"/>
      <c r="M619" s="154"/>
      <c r="N619" s="154"/>
      <c r="O619" s="154"/>
    </row>
    <row r="620" spans="3:15">
      <c r="C620" s="154"/>
      <c r="D620" s="154"/>
      <c r="E620" s="154"/>
      <c r="F620" s="154"/>
      <c r="G620" s="154"/>
      <c r="H620" s="154"/>
      <c r="I620" s="154"/>
      <c r="J620" s="154"/>
      <c r="K620" s="154"/>
      <c r="L620" s="154"/>
      <c r="M620" s="154"/>
      <c r="N620" s="154"/>
      <c r="O620" s="154"/>
    </row>
    <row r="621" spans="3:15">
      <c r="C621" s="154"/>
      <c r="D621" s="154"/>
      <c r="E621" s="154"/>
      <c r="F621" s="154"/>
      <c r="G621" s="154"/>
      <c r="H621" s="154"/>
      <c r="I621" s="154"/>
      <c r="J621" s="154"/>
      <c r="K621" s="154"/>
      <c r="L621" s="154"/>
      <c r="M621" s="154"/>
      <c r="N621" s="154"/>
      <c r="O621" s="154"/>
    </row>
    <row r="622" spans="3:15">
      <c r="C622" s="154"/>
      <c r="D622" s="154"/>
      <c r="E622" s="154"/>
      <c r="F622" s="154"/>
      <c r="G622" s="154"/>
      <c r="H622" s="154"/>
      <c r="I622" s="154"/>
      <c r="J622" s="154"/>
      <c r="K622" s="154"/>
      <c r="L622" s="154"/>
      <c r="M622" s="154"/>
      <c r="N622" s="154"/>
      <c r="O622" s="154"/>
    </row>
    <row r="623" spans="3:15">
      <c r="C623" s="154"/>
      <c r="D623" s="154"/>
      <c r="E623" s="154"/>
      <c r="F623" s="154"/>
      <c r="G623" s="154"/>
      <c r="H623" s="154"/>
      <c r="I623" s="154"/>
      <c r="J623" s="154"/>
      <c r="K623" s="154"/>
      <c r="L623" s="154"/>
      <c r="M623" s="154"/>
      <c r="N623" s="154"/>
      <c r="O623" s="154"/>
    </row>
    <row r="624" spans="3:15">
      <c r="C624" s="154"/>
      <c r="D624" s="154"/>
      <c r="E624" s="154"/>
      <c r="F624" s="154"/>
      <c r="G624" s="154"/>
      <c r="H624" s="154"/>
      <c r="I624" s="154"/>
      <c r="J624" s="154"/>
      <c r="K624" s="154"/>
      <c r="L624" s="154"/>
      <c r="M624" s="154"/>
      <c r="N624" s="154"/>
      <c r="O624" s="154"/>
    </row>
    <row r="625" spans="3:15">
      <c r="C625" s="154"/>
      <c r="D625" s="154"/>
      <c r="E625" s="154"/>
      <c r="F625" s="154"/>
      <c r="G625" s="154"/>
      <c r="H625" s="154"/>
      <c r="I625" s="154"/>
      <c r="J625" s="154"/>
      <c r="K625" s="154"/>
      <c r="L625" s="154"/>
      <c r="M625" s="154"/>
      <c r="N625" s="154"/>
      <c r="O625" s="154"/>
    </row>
    <row r="626" spans="3:15">
      <c r="C626" s="154"/>
      <c r="D626" s="154"/>
      <c r="E626" s="154"/>
      <c r="F626" s="154"/>
      <c r="G626" s="154"/>
      <c r="H626" s="154"/>
      <c r="I626" s="154"/>
      <c r="J626" s="154"/>
      <c r="K626" s="154"/>
      <c r="L626" s="154"/>
      <c r="M626" s="154"/>
      <c r="N626" s="154"/>
      <c r="O626" s="154"/>
    </row>
    <row r="627" spans="3:15">
      <c r="C627" s="154"/>
      <c r="D627" s="154"/>
      <c r="E627" s="154"/>
      <c r="F627" s="154"/>
      <c r="G627" s="154"/>
      <c r="H627" s="154"/>
      <c r="I627" s="154"/>
      <c r="J627" s="154"/>
      <c r="K627" s="154"/>
      <c r="L627" s="154"/>
      <c r="M627" s="154"/>
      <c r="N627" s="154"/>
      <c r="O627" s="154"/>
    </row>
    <row r="628" spans="3:15">
      <c r="C628" s="154"/>
      <c r="D628" s="154"/>
      <c r="E628" s="154"/>
      <c r="F628" s="154"/>
      <c r="G628" s="154"/>
      <c r="H628" s="154"/>
      <c r="I628" s="154"/>
      <c r="J628" s="154"/>
      <c r="K628" s="154"/>
      <c r="L628" s="154"/>
      <c r="M628" s="154"/>
      <c r="N628" s="154"/>
      <c r="O628" s="154"/>
    </row>
    <row r="629" spans="3:15">
      <c r="C629" s="154"/>
      <c r="D629" s="154"/>
      <c r="E629" s="154"/>
      <c r="F629" s="154"/>
      <c r="G629" s="154"/>
      <c r="H629" s="154"/>
      <c r="I629" s="154"/>
      <c r="J629" s="154"/>
      <c r="K629" s="154"/>
      <c r="L629" s="154"/>
      <c r="M629" s="154"/>
      <c r="N629" s="154"/>
      <c r="O629" s="154"/>
    </row>
    <row r="630" spans="3:15">
      <c r="C630" s="154"/>
      <c r="D630" s="154"/>
      <c r="E630" s="154"/>
      <c r="F630" s="154"/>
      <c r="G630" s="154"/>
      <c r="H630" s="154"/>
      <c r="I630" s="154"/>
      <c r="J630" s="154"/>
      <c r="K630" s="154"/>
      <c r="L630" s="154"/>
      <c r="M630" s="154"/>
      <c r="N630" s="154"/>
      <c r="O630" s="154"/>
    </row>
    <row r="631" spans="3:15">
      <c r="C631" s="154"/>
      <c r="D631" s="154"/>
      <c r="E631" s="154"/>
      <c r="F631" s="154"/>
      <c r="G631" s="154"/>
      <c r="H631" s="154"/>
      <c r="I631" s="154"/>
      <c r="J631" s="154"/>
      <c r="K631" s="154"/>
      <c r="L631" s="154"/>
      <c r="M631" s="154"/>
      <c r="N631" s="154"/>
      <c r="O631" s="154"/>
    </row>
    <row r="632" spans="3:15">
      <c r="C632" s="154"/>
      <c r="D632" s="154"/>
      <c r="E632" s="154"/>
      <c r="F632" s="154"/>
      <c r="G632" s="154"/>
      <c r="H632" s="154"/>
      <c r="I632" s="154"/>
      <c r="J632" s="154"/>
      <c r="K632" s="154"/>
      <c r="L632" s="154"/>
      <c r="M632" s="154"/>
      <c r="N632" s="154"/>
      <c r="O632" s="154"/>
    </row>
    <row r="633" spans="3:15">
      <c r="C633" s="154"/>
      <c r="D633" s="154"/>
      <c r="E633" s="154"/>
      <c r="F633" s="154"/>
      <c r="G633" s="154"/>
      <c r="H633" s="154"/>
      <c r="I633" s="154"/>
      <c r="J633" s="154"/>
      <c r="K633" s="154"/>
      <c r="L633" s="154"/>
      <c r="M633" s="154"/>
      <c r="N633" s="154"/>
      <c r="O633" s="154"/>
    </row>
    <row r="634" spans="3:15">
      <c r="C634" s="154"/>
      <c r="D634" s="154"/>
      <c r="E634" s="154"/>
      <c r="F634" s="154"/>
      <c r="G634" s="154"/>
      <c r="H634" s="154"/>
      <c r="I634" s="154"/>
      <c r="J634" s="154"/>
      <c r="K634" s="154"/>
      <c r="L634" s="154"/>
      <c r="M634" s="154"/>
      <c r="N634" s="154"/>
      <c r="O634" s="154"/>
    </row>
    <row r="635" spans="3:15">
      <c r="C635" s="154"/>
      <c r="D635" s="154"/>
      <c r="E635" s="154"/>
      <c r="F635" s="154"/>
      <c r="G635" s="154"/>
      <c r="H635" s="154"/>
      <c r="I635" s="154"/>
      <c r="J635" s="154"/>
      <c r="K635" s="154"/>
      <c r="L635" s="154"/>
      <c r="M635" s="154"/>
      <c r="N635" s="154"/>
      <c r="O635" s="154"/>
    </row>
    <row r="636" spans="3:15">
      <c r="C636" s="154"/>
      <c r="D636" s="154"/>
      <c r="E636" s="154"/>
      <c r="F636" s="154"/>
      <c r="G636" s="154"/>
      <c r="H636" s="154"/>
      <c r="I636" s="154"/>
      <c r="J636" s="154"/>
      <c r="K636" s="154"/>
      <c r="L636" s="154"/>
      <c r="M636" s="154"/>
      <c r="N636" s="154"/>
      <c r="O636" s="154"/>
    </row>
    <row r="637" spans="3:15">
      <c r="C637" s="154"/>
      <c r="D637" s="154"/>
      <c r="E637" s="154"/>
      <c r="F637" s="154"/>
      <c r="G637" s="154"/>
      <c r="H637" s="154"/>
      <c r="I637" s="154"/>
      <c r="J637" s="154"/>
      <c r="K637" s="154"/>
      <c r="L637" s="154"/>
      <c r="M637" s="154"/>
      <c r="N637" s="154"/>
      <c r="O637" s="154"/>
    </row>
    <row r="638" spans="3:15">
      <c r="C638" s="154"/>
      <c r="D638" s="154"/>
      <c r="E638" s="154"/>
      <c r="F638" s="154"/>
      <c r="G638" s="154"/>
      <c r="H638" s="154"/>
      <c r="I638" s="154"/>
      <c r="J638" s="154"/>
      <c r="K638" s="154"/>
      <c r="L638" s="154"/>
      <c r="M638" s="154"/>
      <c r="N638" s="154"/>
      <c r="O638" s="154"/>
    </row>
    <row r="639" spans="3:15">
      <c r="C639" s="154"/>
      <c r="D639" s="154"/>
      <c r="E639" s="154"/>
      <c r="F639" s="154"/>
      <c r="G639" s="154"/>
      <c r="H639" s="154"/>
      <c r="I639" s="154"/>
      <c r="J639" s="154"/>
      <c r="K639" s="154"/>
      <c r="L639" s="154"/>
      <c r="M639" s="154"/>
      <c r="N639" s="154"/>
      <c r="O639" s="154"/>
    </row>
    <row r="640" spans="3:15">
      <c r="C640" s="154"/>
      <c r="D640" s="154"/>
      <c r="E640" s="154"/>
      <c r="F640" s="154"/>
      <c r="G640" s="154"/>
      <c r="H640" s="154"/>
      <c r="I640" s="154"/>
      <c r="J640" s="154"/>
      <c r="K640" s="154"/>
      <c r="L640" s="154"/>
      <c r="M640" s="154"/>
      <c r="N640" s="154"/>
      <c r="O640" s="154"/>
    </row>
    <row r="641" spans="3:15">
      <c r="C641" s="154"/>
      <c r="D641" s="154"/>
      <c r="E641" s="154"/>
      <c r="F641" s="154"/>
      <c r="G641" s="154"/>
      <c r="H641" s="154"/>
      <c r="I641" s="154"/>
      <c r="J641" s="154"/>
      <c r="K641" s="154"/>
      <c r="L641" s="154"/>
      <c r="M641" s="154"/>
      <c r="N641" s="154"/>
      <c r="O641" s="154"/>
    </row>
    <row r="642" spans="3:15">
      <c r="C642" s="154"/>
      <c r="D642" s="154"/>
      <c r="E642" s="154"/>
      <c r="F642" s="154"/>
      <c r="G642" s="154"/>
      <c r="H642" s="154"/>
      <c r="I642" s="154"/>
      <c r="J642" s="154"/>
      <c r="K642" s="154"/>
      <c r="L642" s="154"/>
      <c r="M642" s="154"/>
      <c r="N642" s="154"/>
      <c r="O642" s="154"/>
    </row>
    <row r="643" spans="3:15">
      <c r="C643" s="154"/>
      <c r="D643" s="154"/>
      <c r="E643" s="154"/>
      <c r="F643" s="154"/>
      <c r="G643" s="154"/>
      <c r="H643" s="154"/>
      <c r="I643" s="154"/>
      <c r="J643" s="154"/>
      <c r="K643" s="154"/>
      <c r="L643" s="154"/>
      <c r="M643" s="154"/>
      <c r="N643" s="154"/>
      <c r="O643" s="154"/>
    </row>
    <row r="644" spans="3:15">
      <c r="C644" s="154"/>
      <c r="D644" s="154"/>
      <c r="E644" s="154"/>
      <c r="F644" s="154"/>
      <c r="G644" s="154"/>
      <c r="H644" s="154"/>
      <c r="I644" s="154"/>
      <c r="J644" s="154"/>
      <c r="K644" s="154"/>
      <c r="L644" s="154"/>
      <c r="M644" s="154"/>
      <c r="N644" s="154"/>
      <c r="O644" s="154"/>
    </row>
    <row r="645" spans="3:15">
      <c r="C645" s="154"/>
      <c r="D645" s="154"/>
      <c r="E645" s="154"/>
      <c r="F645" s="154"/>
      <c r="G645" s="154"/>
      <c r="H645" s="154"/>
      <c r="I645" s="154"/>
      <c r="J645" s="154"/>
      <c r="K645" s="154"/>
      <c r="L645" s="154"/>
      <c r="M645" s="154"/>
      <c r="N645" s="154"/>
      <c r="O645" s="154"/>
    </row>
    <row r="646" spans="3:15">
      <c r="C646" s="154"/>
      <c r="D646" s="154"/>
      <c r="E646" s="154"/>
      <c r="F646" s="154"/>
      <c r="G646" s="154"/>
      <c r="H646" s="154"/>
      <c r="I646" s="154"/>
      <c r="J646" s="154"/>
      <c r="K646" s="154"/>
      <c r="L646" s="154"/>
      <c r="M646" s="154"/>
      <c r="N646" s="154"/>
      <c r="O646" s="154"/>
    </row>
    <row r="647" spans="3:15">
      <c r="C647" s="154"/>
      <c r="D647" s="154"/>
      <c r="E647" s="154"/>
      <c r="F647" s="154"/>
      <c r="G647" s="154"/>
      <c r="H647" s="154"/>
      <c r="I647" s="154"/>
      <c r="J647" s="154"/>
      <c r="K647" s="154"/>
      <c r="L647" s="154"/>
      <c r="M647" s="154"/>
      <c r="N647" s="154"/>
      <c r="O647" s="154"/>
    </row>
    <row r="648" spans="3:15">
      <c r="C648" s="154"/>
      <c r="D648" s="154"/>
      <c r="E648" s="154"/>
      <c r="F648" s="154"/>
      <c r="G648" s="154"/>
      <c r="H648" s="154"/>
      <c r="I648" s="154"/>
      <c r="J648" s="154"/>
      <c r="K648" s="154"/>
      <c r="L648" s="154"/>
      <c r="M648" s="154"/>
      <c r="N648" s="154"/>
      <c r="O648" s="154"/>
    </row>
    <row r="649" spans="3:15">
      <c r="C649" s="154"/>
      <c r="D649" s="154"/>
      <c r="E649" s="154"/>
      <c r="F649" s="154"/>
      <c r="G649" s="154"/>
      <c r="H649" s="154"/>
      <c r="I649" s="154"/>
      <c r="J649" s="154"/>
      <c r="K649" s="154"/>
      <c r="L649" s="154"/>
      <c r="M649" s="154"/>
      <c r="N649" s="154"/>
      <c r="O649" s="154"/>
    </row>
    <row r="650" spans="3:15">
      <c r="C650" s="154"/>
      <c r="D650" s="154"/>
      <c r="E650" s="154"/>
      <c r="F650" s="154"/>
      <c r="G650" s="154"/>
      <c r="H650" s="154"/>
      <c r="I650" s="154"/>
      <c r="J650" s="154"/>
      <c r="K650" s="154"/>
      <c r="L650" s="154"/>
      <c r="M650" s="154"/>
      <c r="N650" s="154"/>
      <c r="O650" s="154"/>
    </row>
    <row r="651" spans="3:15">
      <c r="C651" s="154"/>
      <c r="D651" s="154"/>
      <c r="E651" s="154"/>
      <c r="F651" s="154"/>
      <c r="G651" s="154"/>
      <c r="H651" s="154"/>
      <c r="I651" s="154"/>
      <c r="J651" s="154"/>
      <c r="K651" s="154"/>
      <c r="L651" s="154"/>
      <c r="M651" s="154"/>
      <c r="N651" s="154"/>
      <c r="O651" s="154"/>
    </row>
    <row r="652" spans="3:15">
      <c r="C652" s="154"/>
      <c r="D652" s="154"/>
      <c r="E652" s="154"/>
      <c r="F652" s="154"/>
      <c r="G652" s="154"/>
      <c r="H652" s="154"/>
      <c r="I652" s="154"/>
      <c r="J652" s="154"/>
      <c r="K652" s="154"/>
      <c r="L652" s="154"/>
      <c r="M652" s="154"/>
      <c r="N652" s="154"/>
      <c r="O652" s="154"/>
    </row>
    <row r="653" spans="3:15">
      <c r="C653" s="154"/>
      <c r="D653" s="154"/>
      <c r="E653" s="154"/>
      <c r="F653" s="154"/>
      <c r="G653" s="154"/>
      <c r="H653" s="154"/>
      <c r="I653" s="154"/>
      <c r="J653" s="154"/>
      <c r="K653" s="154"/>
      <c r="L653" s="154"/>
      <c r="M653" s="154"/>
      <c r="N653" s="154"/>
      <c r="O653" s="154"/>
    </row>
    <row r="654" spans="3:15">
      <c r="C654" s="154"/>
      <c r="D654" s="154"/>
      <c r="E654" s="154"/>
      <c r="F654" s="154"/>
      <c r="G654" s="154"/>
      <c r="H654" s="154"/>
      <c r="I654" s="154"/>
      <c r="J654" s="154"/>
      <c r="K654" s="154"/>
      <c r="L654" s="154"/>
      <c r="M654" s="154"/>
      <c r="N654" s="154"/>
      <c r="O654" s="154"/>
    </row>
    <row r="655" spans="3:15">
      <c r="C655" s="154"/>
      <c r="D655" s="154"/>
      <c r="E655" s="154"/>
      <c r="F655" s="154"/>
      <c r="G655" s="154"/>
      <c r="H655" s="154"/>
      <c r="I655" s="154"/>
      <c r="J655" s="154"/>
      <c r="K655" s="154"/>
      <c r="L655" s="154"/>
      <c r="M655" s="154"/>
      <c r="N655" s="154"/>
      <c r="O655" s="154"/>
    </row>
    <row r="656" spans="3:15">
      <c r="C656" s="154"/>
      <c r="D656" s="154"/>
      <c r="E656" s="154"/>
      <c r="F656" s="154"/>
      <c r="G656" s="154"/>
      <c r="H656" s="154"/>
      <c r="I656" s="154"/>
      <c r="J656" s="154"/>
      <c r="K656" s="154"/>
      <c r="L656" s="154"/>
      <c r="M656" s="154"/>
      <c r="N656" s="154"/>
      <c r="O656" s="154"/>
    </row>
    <row r="657" spans="3:15">
      <c r="C657" s="154"/>
      <c r="D657" s="154"/>
      <c r="E657" s="154"/>
      <c r="F657" s="154"/>
      <c r="G657" s="154"/>
      <c r="H657" s="154"/>
      <c r="I657" s="154"/>
      <c r="J657" s="154"/>
      <c r="K657" s="154"/>
      <c r="L657" s="154"/>
      <c r="M657" s="154"/>
      <c r="N657" s="154"/>
      <c r="O657" s="154"/>
    </row>
    <row r="658" spans="3:15">
      <c r="C658" s="154"/>
      <c r="D658" s="154"/>
      <c r="E658" s="154"/>
      <c r="F658" s="154"/>
      <c r="G658" s="154"/>
      <c r="H658" s="154"/>
      <c r="I658" s="154"/>
      <c r="J658" s="154"/>
      <c r="K658" s="154"/>
      <c r="L658" s="154"/>
      <c r="M658" s="154"/>
      <c r="N658" s="154"/>
      <c r="O658" s="154"/>
    </row>
    <row r="659" spans="3:15">
      <c r="C659" s="154"/>
      <c r="D659" s="154"/>
      <c r="E659" s="154"/>
      <c r="F659" s="154"/>
      <c r="G659" s="154"/>
      <c r="H659" s="154"/>
      <c r="I659" s="154"/>
      <c r="J659" s="154"/>
      <c r="K659" s="154"/>
      <c r="L659" s="154"/>
      <c r="M659" s="154"/>
      <c r="N659" s="154"/>
      <c r="O659" s="154"/>
    </row>
    <row r="660" spans="3:15">
      <c r="C660" s="154"/>
      <c r="D660" s="154"/>
      <c r="E660" s="154"/>
      <c r="F660" s="154"/>
      <c r="G660" s="154"/>
      <c r="H660" s="154"/>
      <c r="I660" s="154"/>
      <c r="J660" s="154"/>
      <c r="K660" s="154"/>
      <c r="L660" s="154"/>
      <c r="M660" s="154"/>
      <c r="N660" s="154"/>
      <c r="O660" s="154"/>
    </row>
    <row r="661" spans="3:15">
      <c r="C661" s="154"/>
      <c r="D661" s="154"/>
      <c r="E661" s="154"/>
      <c r="F661" s="154"/>
      <c r="G661" s="154"/>
      <c r="H661" s="154"/>
      <c r="I661" s="154"/>
      <c r="J661" s="154"/>
      <c r="K661" s="154"/>
      <c r="L661" s="154"/>
      <c r="M661" s="154"/>
      <c r="N661" s="154"/>
      <c r="O661" s="154"/>
    </row>
    <row r="662" spans="3:15">
      <c r="C662" s="154"/>
      <c r="D662" s="154"/>
      <c r="E662" s="154"/>
      <c r="F662" s="154"/>
      <c r="G662" s="154"/>
      <c r="H662" s="154"/>
      <c r="I662" s="154"/>
      <c r="J662" s="154"/>
      <c r="K662" s="154"/>
      <c r="L662" s="154"/>
      <c r="M662" s="154"/>
      <c r="N662" s="154"/>
      <c r="O662" s="154"/>
    </row>
    <row r="663" spans="3:15">
      <c r="C663" s="154"/>
      <c r="D663" s="154"/>
      <c r="E663" s="154"/>
      <c r="F663" s="154"/>
      <c r="G663" s="154"/>
      <c r="H663" s="154"/>
      <c r="I663" s="154"/>
      <c r="J663" s="154"/>
      <c r="K663" s="154"/>
      <c r="L663" s="154"/>
      <c r="M663" s="154"/>
      <c r="N663" s="154"/>
      <c r="O663" s="154"/>
    </row>
    <row r="664" spans="3:15">
      <c r="C664" s="154"/>
      <c r="D664" s="154"/>
      <c r="E664" s="154"/>
      <c r="F664" s="154"/>
      <c r="G664" s="154"/>
      <c r="H664" s="154"/>
      <c r="I664" s="154"/>
      <c r="J664" s="154"/>
      <c r="K664" s="154"/>
      <c r="L664" s="154"/>
      <c r="M664" s="154"/>
      <c r="N664" s="154"/>
      <c r="O664" s="154"/>
    </row>
    <row r="665" spans="3:15">
      <c r="C665" s="154"/>
      <c r="D665" s="154"/>
      <c r="E665" s="154"/>
      <c r="F665" s="154"/>
      <c r="G665" s="154"/>
      <c r="H665" s="154"/>
      <c r="I665" s="154"/>
      <c r="J665" s="154"/>
      <c r="K665" s="154"/>
      <c r="L665" s="154"/>
      <c r="M665" s="154"/>
      <c r="N665" s="154"/>
      <c r="O665" s="154"/>
    </row>
    <row r="666" spans="3:15">
      <c r="C666" s="154"/>
      <c r="D666" s="154"/>
      <c r="E666" s="154"/>
      <c r="F666" s="154"/>
      <c r="G666" s="154"/>
      <c r="H666" s="154"/>
      <c r="I666" s="154"/>
      <c r="J666" s="154"/>
      <c r="K666" s="154"/>
      <c r="L666" s="154"/>
      <c r="M666" s="154"/>
      <c r="N666" s="154"/>
      <c r="O666" s="154"/>
    </row>
    <row r="667" spans="3:15">
      <c r="C667" s="154"/>
      <c r="D667" s="154"/>
      <c r="E667" s="154"/>
      <c r="F667" s="154"/>
      <c r="G667" s="154"/>
      <c r="H667" s="154"/>
      <c r="I667" s="154"/>
      <c r="J667" s="154"/>
      <c r="K667" s="154"/>
      <c r="L667" s="154"/>
      <c r="M667" s="154"/>
      <c r="N667" s="154"/>
      <c r="O667" s="154"/>
    </row>
    <row r="668" spans="3:15">
      <c r="C668" s="154"/>
      <c r="D668" s="154"/>
      <c r="E668" s="154"/>
      <c r="F668" s="154"/>
      <c r="G668" s="154"/>
      <c r="H668" s="154"/>
      <c r="I668" s="154"/>
      <c r="J668" s="154"/>
      <c r="K668" s="154"/>
      <c r="L668" s="154"/>
      <c r="M668" s="154"/>
      <c r="N668" s="154"/>
      <c r="O668" s="154"/>
    </row>
    <row r="669" spans="3:15">
      <c r="C669" s="154"/>
      <c r="D669" s="154"/>
      <c r="E669" s="154"/>
      <c r="F669" s="154"/>
      <c r="G669" s="154"/>
      <c r="H669" s="154"/>
      <c r="I669" s="154"/>
      <c r="J669" s="154"/>
      <c r="K669" s="154"/>
      <c r="L669" s="154"/>
      <c r="M669" s="154"/>
      <c r="N669" s="154"/>
      <c r="O669" s="154"/>
    </row>
    <row r="670" spans="3:15">
      <c r="C670" s="154"/>
      <c r="D670" s="154"/>
      <c r="E670" s="154"/>
      <c r="F670" s="154"/>
      <c r="G670" s="154"/>
      <c r="H670" s="154"/>
      <c r="I670" s="154"/>
      <c r="J670" s="154"/>
      <c r="K670" s="154"/>
      <c r="L670" s="154"/>
      <c r="M670" s="154"/>
      <c r="N670" s="154"/>
      <c r="O670" s="154"/>
    </row>
    <row r="671" spans="3:15">
      <c r="C671" s="154"/>
      <c r="D671" s="154"/>
      <c r="E671" s="154"/>
      <c r="F671" s="154"/>
      <c r="G671" s="154"/>
      <c r="H671" s="154"/>
      <c r="I671" s="154"/>
      <c r="J671" s="154"/>
      <c r="K671" s="154"/>
      <c r="L671" s="154"/>
      <c r="M671" s="154"/>
      <c r="N671" s="154"/>
      <c r="O671" s="154"/>
    </row>
    <row r="672" spans="3:15">
      <c r="C672" s="154"/>
      <c r="D672" s="154"/>
      <c r="E672" s="154"/>
      <c r="F672" s="154"/>
      <c r="G672" s="154"/>
      <c r="H672" s="154"/>
      <c r="I672" s="154"/>
      <c r="J672" s="154"/>
      <c r="K672" s="154"/>
      <c r="L672" s="154"/>
      <c r="M672" s="154"/>
      <c r="N672" s="154"/>
      <c r="O672" s="154"/>
    </row>
    <row r="673" spans="3:15">
      <c r="C673" s="154"/>
      <c r="D673" s="154"/>
      <c r="E673" s="154"/>
      <c r="F673" s="154"/>
      <c r="G673" s="154"/>
      <c r="H673" s="154"/>
      <c r="I673" s="154"/>
      <c r="J673" s="154"/>
      <c r="K673" s="154"/>
      <c r="L673" s="154"/>
      <c r="M673" s="154"/>
      <c r="N673" s="154"/>
      <c r="O673" s="154"/>
    </row>
    <row r="674" spans="3:15">
      <c r="C674" s="154"/>
      <c r="D674" s="154"/>
      <c r="E674" s="154"/>
      <c r="F674" s="154"/>
      <c r="G674" s="154"/>
      <c r="H674" s="154"/>
      <c r="I674" s="154"/>
      <c r="J674" s="154"/>
      <c r="K674" s="154"/>
      <c r="L674" s="154"/>
      <c r="M674" s="154"/>
      <c r="N674" s="154"/>
      <c r="O674" s="154"/>
    </row>
    <row r="675" spans="3:15">
      <c r="C675" s="154"/>
      <c r="D675" s="154"/>
      <c r="E675" s="154"/>
      <c r="F675" s="154"/>
      <c r="G675" s="154"/>
      <c r="H675" s="154"/>
      <c r="I675" s="154"/>
      <c r="J675" s="154"/>
      <c r="K675" s="154"/>
      <c r="L675" s="154"/>
      <c r="M675" s="154"/>
      <c r="N675" s="154"/>
      <c r="O675" s="154"/>
    </row>
    <row r="676" spans="3:15">
      <c r="C676" s="154"/>
      <c r="D676" s="154"/>
      <c r="E676" s="154"/>
      <c r="F676" s="154"/>
      <c r="G676" s="154"/>
      <c r="H676" s="154"/>
      <c r="I676" s="154"/>
      <c r="J676" s="154"/>
      <c r="K676" s="154"/>
      <c r="L676" s="154"/>
      <c r="M676" s="154"/>
      <c r="N676" s="154"/>
      <c r="O676" s="154"/>
    </row>
    <row r="677" spans="3:15">
      <c r="C677" s="154"/>
      <c r="D677" s="154"/>
      <c r="E677" s="154"/>
      <c r="F677" s="154"/>
      <c r="G677" s="154"/>
      <c r="H677" s="154"/>
      <c r="I677" s="154"/>
      <c r="J677" s="154"/>
      <c r="K677" s="154"/>
      <c r="L677" s="154"/>
      <c r="M677" s="154"/>
      <c r="N677" s="154"/>
      <c r="O677" s="154"/>
    </row>
    <row r="678" spans="3:15">
      <c r="C678" s="154"/>
      <c r="D678" s="154"/>
      <c r="E678" s="154"/>
      <c r="F678" s="154"/>
      <c r="G678" s="154"/>
      <c r="H678" s="154"/>
      <c r="I678" s="154"/>
      <c r="J678" s="154"/>
      <c r="K678" s="154"/>
      <c r="L678" s="154"/>
      <c r="M678" s="154"/>
      <c r="N678" s="154"/>
      <c r="O678" s="154"/>
    </row>
    <row r="679" spans="3:15">
      <c r="C679" s="154"/>
      <c r="D679" s="154"/>
      <c r="E679" s="154"/>
      <c r="F679" s="154"/>
      <c r="G679" s="154"/>
      <c r="H679" s="154"/>
      <c r="I679" s="154"/>
      <c r="J679" s="154"/>
      <c r="K679" s="154"/>
      <c r="L679" s="154"/>
      <c r="M679" s="154"/>
      <c r="N679" s="154"/>
      <c r="O679" s="154"/>
    </row>
    <row r="680" spans="3:15">
      <c r="C680" s="154"/>
      <c r="D680" s="154"/>
      <c r="E680" s="154"/>
      <c r="F680" s="154"/>
      <c r="G680" s="154"/>
      <c r="H680" s="154"/>
      <c r="I680" s="154"/>
      <c r="J680" s="154"/>
      <c r="K680" s="154"/>
      <c r="L680" s="154"/>
      <c r="M680" s="154"/>
      <c r="N680" s="154"/>
      <c r="O680" s="154"/>
    </row>
    <row r="681" spans="3:15">
      <c r="C681" s="154"/>
      <c r="D681" s="154"/>
      <c r="E681" s="154"/>
      <c r="F681" s="154"/>
      <c r="G681" s="154"/>
      <c r="H681" s="154"/>
      <c r="I681" s="154"/>
      <c r="J681" s="154"/>
      <c r="K681" s="154"/>
      <c r="L681" s="154"/>
      <c r="M681" s="154"/>
      <c r="N681" s="154"/>
      <c r="O681" s="154"/>
    </row>
    <row r="682" spans="3:15">
      <c r="C682" s="154"/>
      <c r="D682" s="154"/>
      <c r="E682" s="154"/>
      <c r="F682" s="154"/>
      <c r="G682" s="154"/>
      <c r="H682" s="154"/>
      <c r="I682" s="154"/>
      <c r="J682" s="154"/>
      <c r="K682" s="154"/>
      <c r="L682" s="154"/>
      <c r="M682" s="154"/>
      <c r="N682" s="154"/>
      <c r="O682" s="154"/>
    </row>
    <row r="683" spans="3:15">
      <c r="C683" s="154"/>
      <c r="D683" s="154"/>
      <c r="E683" s="154"/>
      <c r="F683" s="154"/>
      <c r="G683" s="154"/>
      <c r="H683" s="154"/>
      <c r="I683" s="154"/>
      <c r="J683" s="154"/>
      <c r="K683" s="154"/>
      <c r="L683" s="154"/>
      <c r="M683" s="154"/>
      <c r="N683" s="154"/>
      <c r="O683" s="154"/>
    </row>
    <row r="684" spans="3:15">
      <c r="C684" s="154"/>
      <c r="D684" s="154"/>
      <c r="E684" s="154"/>
      <c r="F684" s="154"/>
      <c r="G684" s="154"/>
      <c r="H684" s="154"/>
      <c r="I684" s="154"/>
      <c r="J684" s="154"/>
      <c r="K684" s="154"/>
      <c r="L684" s="154"/>
      <c r="M684" s="154"/>
      <c r="N684" s="154"/>
      <c r="O684" s="154"/>
    </row>
    <row r="685" spans="3:15">
      <c r="C685" s="154"/>
      <c r="D685" s="154"/>
      <c r="E685" s="154"/>
      <c r="F685" s="154"/>
      <c r="G685" s="154"/>
      <c r="H685" s="154"/>
      <c r="I685" s="154"/>
      <c r="J685" s="154"/>
      <c r="K685" s="154"/>
      <c r="L685" s="154"/>
      <c r="M685" s="154"/>
      <c r="N685" s="154"/>
      <c r="O685" s="154"/>
    </row>
    <row r="686" spans="3:15">
      <c r="C686" s="154"/>
      <c r="D686" s="154"/>
      <c r="E686" s="154"/>
      <c r="F686" s="154"/>
      <c r="G686" s="154"/>
      <c r="H686" s="154"/>
      <c r="I686" s="154"/>
      <c r="J686" s="154"/>
      <c r="K686" s="154"/>
      <c r="L686" s="154"/>
      <c r="M686" s="154"/>
      <c r="N686" s="154"/>
      <c r="O686" s="154"/>
    </row>
    <row r="687" spans="3:15">
      <c r="C687" s="154"/>
      <c r="D687" s="154"/>
      <c r="E687" s="154"/>
      <c r="F687" s="154"/>
      <c r="G687" s="154"/>
      <c r="H687" s="154"/>
      <c r="I687" s="154"/>
      <c r="J687" s="154"/>
      <c r="K687" s="154"/>
      <c r="L687" s="154"/>
      <c r="M687" s="154"/>
      <c r="N687" s="154"/>
      <c r="O687" s="154"/>
    </row>
    <row r="688" spans="3:15">
      <c r="C688" s="154"/>
      <c r="D688" s="154"/>
      <c r="E688" s="154"/>
      <c r="F688" s="154"/>
      <c r="G688" s="154"/>
      <c r="H688" s="154"/>
      <c r="I688" s="154"/>
      <c r="J688" s="154"/>
      <c r="K688" s="154"/>
      <c r="L688" s="154"/>
      <c r="M688" s="154"/>
      <c r="N688" s="154"/>
      <c r="O688" s="154"/>
    </row>
    <row r="689" spans="3:15">
      <c r="C689" s="154"/>
      <c r="D689" s="154"/>
      <c r="E689" s="154"/>
      <c r="F689" s="154"/>
      <c r="G689" s="154"/>
      <c r="H689" s="154"/>
      <c r="I689" s="154"/>
      <c r="J689" s="154"/>
      <c r="K689" s="154"/>
      <c r="L689" s="154"/>
      <c r="M689" s="154"/>
      <c r="N689" s="154"/>
      <c r="O689" s="154"/>
    </row>
    <row r="690" spans="3:15">
      <c r="C690" s="154"/>
      <c r="D690" s="154"/>
      <c r="E690" s="154"/>
      <c r="F690" s="154"/>
      <c r="G690" s="154"/>
      <c r="H690" s="154"/>
      <c r="I690" s="154"/>
      <c r="J690" s="154"/>
      <c r="K690" s="154"/>
      <c r="L690" s="154"/>
      <c r="M690" s="154"/>
      <c r="N690" s="154"/>
      <c r="O690" s="154"/>
    </row>
    <row r="691" spans="3:15">
      <c r="C691" s="154"/>
      <c r="D691" s="154"/>
      <c r="E691" s="154"/>
      <c r="F691" s="154"/>
      <c r="G691" s="154"/>
      <c r="H691" s="154"/>
      <c r="I691" s="154"/>
      <c r="J691" s="154"/>
      <c r="K691" s="154"/>
      <c r="L691" s="154"/>
      <c r="M691" s="154"/>
      <c r="N691" s="154"/>
      <c r="O691" s="154"/>
    </row>
    <row r="692" spans="3:15">
      <c r="C692" s="154"/>
      <c r="D692" s="154"/>
      <c r="E692" s="154"/>
      <c r="F692" s="154"/>
      <c r="G692" s="154"/>
      <c r="H692" s="154"/>
      <c r="I692" s="154"/>
      <c r="J692" s="154"/>
      <c r="K692" s="154"/>
      <c r="L692" s="154"/>
      <c r="M692" s="154"/>
      <c r="N692" s="154"/>
      <c r="O692" s="154"/>
    </row>
    <row r="693" spans="3:15">
      <c r="C693" s="154"/>
      <c r="D693" s="154"/>
      <c r="E693" s="154"/>
      <c r="F693" s="154"/>
      <c r="G693" s="154"/>
      <c r="H693" s="154"/>
      <c r="I693" s="154"/>
      <c r="J693" s="154"/>
      <c r="K693" s="154"/>
      <c r="L693" s="154"/>
      <c r="M693" s="154"/>
      <c r="N693" s="154"/>
      <c r="O693" s="154"/>
    </row>
    <row r="694" spans="3:15">
      <c r="C694" s="154"/>
      <c r="D694" s="154"/>
      <c r="E694" s="154"/>
      <c r="F694" s="154"/>
      <c r="G694" s="154"/>
      <c r="H694" s="154"/>
      <c r="I694" s="154"/>
      <c r="J694" s="154"/>
      <c r="K694" s="154"/>
      <c r="L694" s="154"/>
      <c r="M694" s="154"/>
      <c r="N694" s="154"/>
      <c r="O694" s="154"/>
    </row>
    <row r="695" spans="3:15">
      <c r="C695" s="154"/>
      <c r="D695" s="154"/>
      <c r="E695" s="154"/>
      <c r="F695" s="154"/>
      <c r="G695" s="154"/>
      <c r="H695" s="154"/>
      <c r="I695" s="154"/>
      <c r="J695" s="154"/>
      <c r="K695" s="154"/>
      <c r="L695" s="154"/>
      <c r="M695" s="154"/>
      <c r="N695" s="154"/>
      <c r="O695" s="154"/>
    </row>
    <row r="696" spans="3:15">
      <c r="C696" s="154"/>
      <c r="D696" s="154"/>
      <c r="E696" s="154"/>
      <c r="F696" s="154"/>
      <c r="G696" s="154"/>
      <c r="H696" s="154"/>
      <c r="I696" s="154"/>
      <c r="J696" s="154"/>
      <c r="K696" s="154"/>
      <c r="L696" s="154"/>
      <c r="M696" s="154"/>
      <c r="N696" s="154"/>
      <c r="O696" s="154"/>
    </row>
    <row r="697" spans="3:15">
      <c r="C697" s="154"/>
      <c r="D697" s="154"/>
      <c r="E697" s="154"/>
      <c r="F697" s="154"/>
      <c r="G697" s="154"/>
      <c r="H697" s="154"/>
      <c r="I697" s="154"/>
      <c r="J697" s="154"/>
      <c r="K697" s="154"/>
      <c r="L697" s="154"/>
      <c r="M697" s="154"/>
      <c r="N697" s="154"/>
      <c r="O697" s="154"/>
    </row>
    <row r="698" spans="3:15">
      <c r="C698" s="154"/>
      <c r="D698" s="154"/>
      <c r="E698" s="154"/>
      <c r="F698" s="154"/>
      <c r="G698" s="154"/>
      <c r="H698" s="154"/>
      <c r="I698" s="154"/>
      <c r="J698" s="154"/>
      <c r="K698" s="154"/>
      <c r="L698" s="154"/>
      <c r="M698" s="154"/>
      <c r="N698" s="154"/>
      <c r="O698" s="154"/>
    </row>
    <row r="699" spans="3:15">
      <c r="C699" s="154"/>
      <c r="D699" s="154"/>
      <c r="E699" s="154"/>
      <c r="F699" s="154"/>
      <c r="G699" s="154"/>
      <c r="H699" s="154"/>
      <c r="I699" s="154"/>
      <c r="J699" s="154"/>
      <c r="K699" s="154"/>
      <c r="L699" s="154"/>
      <c r="M699" s="154"/>
      <c r="N699" s="154"/>
      <c r="O699" s="154"/>
    </row>
    <row r="700" spans="3:15">
      <c r="C700" s="154"/>
      <c r="D700" s="154"/>
      <c r="E700" s="154"/>
      <c r="F700" s="154"/>
      <c r="G700" s="154"/>
      <c r="H700" s="154"/>
      <c r="I700" s="154"/>
      <c r="J700" s="154"/>
      <c r="K700" s="154"/>
      <c r="L700" s="154"/>
      <c r="M700" s="154"/>
      <c r="N700" s="154"/>
      <c r="O700" s="154"/>
    </row>
    <row r="701" spans="3:15">
      <c r="C701" s="154"/>
      <c r="D701" s="154"/>
      <c r="E701" s="154"/>
      <c r="F701" s="154"/>
      <c r="G701" s="154"/>
      <c r="H701" s="154"/>
      <c r="I701" s="154"/>
      <c r="J701" s="154"/>
      <c r="K701" s="154"/>
      <c r="L701" s="154"/>
      <c r="M701" s="154"/>
      <c r="N701" s="154"/>
      <c r="O701" s="154"/>
    </row>
    <row r="702" spans="3:15">
      <c r="C702" s="154"/>
      <c r="D702" s="154"/>
      <c r="E702" s="154"/>
      <c r="F702" s="154"/>
      <c r="G702" s="154"/>
      <c r="H702" s="154"/>
      <c r="I702" s="154"/>
      <c r="J702" s="154"/>
      <c r="K702" s="154"/>
      <c r="L702" s="154"/>
      <c r="M702" s="154"/>
      <c r="N702" s="154"/>
      <c r="O702" s="154"/>
    </row>
    <row r="703" spans="3:15">
      <c r="C703" s="154"/>
      <c r="D703" s="154"/>
      <c r="E703" s="154"/>
      <c r="F703" s="154"/>
      <c r="G703" s="154"/>
      <c r="H703" s="154"/>
      <c r="I703" s="154"/>
      <c r="J703" s="154"/>
      <c r="K703" s="154"/>
      <c r="L703" s="154"/>
      <c r="M703" s="154"/>
      <c r="N703" s="154"/>
      <c r="O703" s="154"/>
    </row>
    <row r="704" spans="3:15">
      <c r="C704" s="154"/>
      <c r="D704" s="154"/>
      <c r="E704" s="154"/>
      <c r="F704" s="154"/>
      <c r="G704" s="154"/>
      <c r="H704" s="154"/>
      <c r="I704" s="154"/>
      <c r="J704" s="154"/>
      <c r="K704" s="154"/>
      <c r="L704" s="154"/>
      <c r="M704" s="154"/>
      <c r="N704" s="154"/>
      <c r="O704" s="154"/>
    </row>
    <row r="705" spans="3:15">
      <c r="C705" s="154"/>
      <c r="D705" s="154"/>
      <c r="E705" s="154"/>
      <c r="F705" s="154"/>
      <c r="G705" s="154"/>
      <c r="H705" s="154"/>
      <c r="I705" s="154"/>
      <c r="J705" s="154"/>
      <c r="K705" s="154"/>
      <c r="L705" s="154"/>
      <c r="M705" s="154"/>
      <c r="N705" s="154"/>
      <c r="O705" s="154"/>
    </row>
    <row r="706" spans="3:15">
      <c r="C706" s="154"/>
      <c r="D706" s="154"/>
      <c r="E706" s="154"/>
      <c r="F706" s="154"/>
      <c r="G706" s="154"/>
      <c r="H706" s="154"/>
      <c r="I706" s="154"/>
      <c r="J706" s="154"/>
      <c r="K706" s="154"/>
      <c r="L706" s="154"/>
      <c r="M706" s="154"/>
      <c r="N706" s="154"/>
      <c r="O706" s="154"/>
    </row>
    <row r="707" spans="3:15">
      <c r="C707" s="154"/>
      <c r="D707" s="154"/>
      <c r="E707" s="154"/>
      <c r="F707" s="154"/>
      <c r="G707" s="154"/>
      <c r="H707" s="154"/>
      <c r="I707" s="154"/>
      <c r="J707" s="154"/>
      <c r="K707" s="154"/>
      <c r="L707" s="154"/>
      <c r="M707" s="154"/>
      <c r="N707" s="154"/>
      <c r="O707" s="154"/>
    </row>
    <row r="708" spans="3:15">
      <c r="C708" s="154"/>
      <c r="D708" s="154"/>
      <c r="E708" s="154"/>
      <c r="F708" s="154"/>
      <c r="G708" s="154"/>
      <c r="H708" s="154"/>
      <c r="I708" s="154"/>
      <c r="J708" s="154"/>
      <c r="K708" s="154"/>
      <c r="L708" s="154"/>
      <c r="M708" s="154"/>
      <c r="N708" s="154"/>
      <c r="O708" s="154"/>
    </row>
    <row r="709" spans="3:15">
      <c r="C709" s="154"/>
      <c r="D709" s="154"/>
      <c r="E709" s="154"/>
      <c r="F709" s="154"/>
      <c r="G709" s="154"/>
      <c r="H709" s="154"/>
      <c r="I709" s="154"/>
      <c r="J709" s="154"/>
      <c r="K709" s="154"/>
      <c r="L709" s="154"/>
      <c r="M709" s="154"/>
      <c r="N709" s="154"/>
      <c r="O709" s="154"/>
    </row>
    <row r="710" spans="3:15">
      <c r="C710" s="154"/>
      <c r="D710" s="154"/>
      <c r="E710" s="154"/>
      <c r="F710" s="154"/>
      <c r="G710" s="154"/>
      <c r="H710" s="154"/>
      <c r="I710" s="154"/>
      <c r="J710" s="154"/>
      <c r="K710" s="154"/>
      <c r="L710" s="154"/>
      <c r="M710" s="154"/>
      <c r="N710" s="154"/>
      <c r="O710" s="154"/>
    </row>
    <row r="711" spans="3:15">
      <c r="C711" s="154"/>
      <c r="D711" s="154"/>
      <c r="E711" s="154"/>
      <c r="F711" s="154"/>
      <c r="G711" s="154"/>
      <c r="H711" s="154"/>
      <c r="I711" s="154"/>
      <c r="J711" s="154"/>
      <c r="K711" s="154"/>
      <c r="L711" s="154"/>
      <c r="M711" s="154"/>
      <c r="N711" s="154"/>
      <c r="O711" s="154"/>
    </row>
    <row r="712" spans="3:15">
      <c r="C712" s="154"/>
      <c r="D712" s="154"/>
      <c r="E712" s="154"/>
      <c r="F712" s="154"/>
      <c r="G712" s="154"/>
      <c r="H712" s="154"/>
      <c r="I712" s="154"/>
      <c r="J712" s="154"/>
      <c r="K712" s="154"/>
      <c r="L712" s="154"/>
      <c r="M712" s="154"/>
      <c r="N712" s="154"/>
      <c r="O712" s="154"/>
    </row>
    <row r="713" spans="3:15">
      <c r="C713" s="154"/>
      <c r="D713" s="154"/>
      <c r="E713" s="154"/>
      <c r="F713" s="154"/>
      <c r="G713" s="154"/>
      <c r="H713" s="154"/>
      <c r="I713" s="154"/>
      <c r="J713" s="154"/>
      <c r="K713" s="154"/>
      <c r="L713" s="154"/>
      <c r="M713" s="154"/>
      <c r="N713" s="154"/>
      <c r="O713" s="154"/>
    </row>
    <row r="714" spans="3:15">
      <c r="C714" s="154"/>
      <c r="D714" s="154"/>
      <c r="E714" s="154"/>
      <c r="F714" s="154"/>
      <c r="G714" s="154"/>
      <c r="H714" s="154"/>
      <c r="I714" s="154"/>
      <c r="J714" s="154"/>
      <c r="K714" s="154"/>
      <c r="L714" s="154"/>
      <c r="M714" s="154"/>
      <c r="N714" s="154"/>
      <c r="O714" s="154"/>
    </row>
    <row r="715" spans="3:15">
      <c r="C715" s="154"/>
      <c r="D715" s="154"/>
      <c r="E715" s="154"/>
      <c r="F715" s="154"/>
      <c r="G715" s="154"/>
      <c r="H715" s="154"/>
      <c r="I715" s="154"/>
      <c r="J715" s="154"/>
      <c r="K715" s="154"/>
      <c r="L715" s="154"/>
      <c r="M715" s="154"/>
      <c r="N715" s="154"/>
      <c r="O715" s="154"/>
    </row>
    <row r="716" spans="3:15">
      <c r="C716" s="154"/>
      <c r="D716" s="154"/>
      <c r="E716" s="154"/>
      <c r="F716" s="154"/>
      <c r="G716" s="154"/>
      <c r="H716" s="154"/>
      <c r="I716" s="154"/>
      <c r="J716" s="154"/>
      <c r="K716" s="154"/>
      <c r="L716" s="154"/>
      <c r="M716" s="154"/>
      <c r="N716" s="154"/>
      <c r="O716" s="154"/>
    </row>
    <row r="717" spans="3:15">
      <c r="C717" s="154"/>
      <c r="D717" s="154"/>
      <c r="E717" s="154"/>
      <c r="F717" s="154"/>
      <c r="G717" s="154"/>
      <c r="H717" s="154"/>
      <c r="I717" s="154"/>
      <c r="J717" s="154"/>
      <c r="K717" s="154"/>
      <c r="L717" s="154"/>
      <c r="M717" s="154"/>
      <c r="N717" s="154"/>
      <c r="O717" s="154"/>
    </row>
    <row r="718" spans="3:15">
      <c r="C718" s="154"/>
      <c r="D718" s="154"/>
      <c r="E718" s="154"/>
      <c r="F718" s="154"/>
      <c r="G718" s="154"/>
      <c r="H718" s="154"/>
      <c r="I718" s="154"/>
      <c r="J718" s="154"/>
      <c r="K718" s="154"/>
      <c r="L718" s="154"/>
      <c r="M718" s="154"/>
      <c r="N718" s="154"/>
      <c r="O718" s="154"/>
    </row>
    <row r="719" spans="3:15">
      <c r="C719" s="154"/>
      <c r="D719" s="154"/>
      <c r="E719" s="154"/>
      <c r="F719" s="154"/>
      <c r="G719" s="154"/>
      <c r="H719" s="154"/>
      <c r="I719" s="154"/>
      <c r="J719" s="154"/>
      <c r="K719" s="154"/>
      <c r="L719" s="154"/>
      <c r="M719" s="154"/>
      <c r="N719" s="154"/>
      <c r="O719" s="154"/>
    </row>
    <row r="720" spans="3:15">
      <c r="C720" s="154"/>
      <c r="D720" s="154"/>
      <c r="E720" s="154"/>
      <c r="F720" s="154"/>
      <c r="G720" s="154"/>
      <c r="H720" s="154"/>
      <c r="I720" s="154"/>
      <c r="J720" s="154"/>
      <c r="K720" s="154"/>
      <c r="L720" s="154"/>
      <c r="M720" s="154"/>
      <c r="N720" s="154"/>
      <c r="O720" s="154"/>
    </row>
    <row r="721" spans="3:15">
      <c r="C721" s="154"/>
      <c r="D721" s="154"/>
      <c r="E721" s="154"/>
      <c r="F721" s="154"/>
      <c r="G721" s="154"/>
      <c r="H721" s="154"/>
      <c r="I721" s="154"/>
      <c r="J721" s="154"/>
      <c r="K721" s="154"/>
      <c r="L721" s="154"/>
      <c r="M721" s="154"/>
      <c r="N721" s="154"/>
      <c r="O721" s="154"/>
    </row>
    <row r="722" spans="3:15">
      <c r="C722" s="154"/>
      <c r="D722" s="154"/>
      <c r="E722" s="154"/>
      <c r="F722" s="154"/>
      <c r="G722" s="154"/>
      <c r="H722" s="154"/>
      <c r="I722" s="154"/>
      <c r="J722" s="154"/>
      <c r="K722" s="154"/>
      <c r="L722" s="154"/>
      <c r="M722" s="154"/>
      <c r="N722" s="154"/>
      <c r="O722" s="154"/>
    </row>
    <row r="723" spans="3:15">
      <c r="C723" s="154"/>
      <c r="D723" s="154"/>
      <c r="E723" s="154"/>
      <c r="F723" s="154"/>
      <c r="G723" s="154"/>
      <c r="H723" s="154"/>
      <c r="I723" s="154"/>
      <c r="J723" s="154"/>
      <c r="K723" s="154"/>
      <c r="L723" s="154"/>
      <c r="M723" s="154"/>
      <c r="N723" s="154"/>
      <c r="O723" s="154"/>
    </row>
    <row r="724" spans="3:15">
      <c r="C724" s="154"/>
      <c r="D724" s="154"/>
      <c r="E724" s="154"/>
      <c r="F724" s="154"/>
      <c r="G724" s="154"/>
      <c r="H724" s="154"/>
      <c r="I724" s="154"/>
      <c r="J724" s="154"/>
      <c r="K724" s="154"/>
      <c r="L724" s="154"/>
      <c r="M724" s="154"/>
      <c r="N724" s="154"/>
      <c r="O724" s="154"/>
    </row>
    <row r="725" spans="3:15">
      <c r="C725" s="154"/>
      <c r="D725" s="154"/>
      <c r="E725" s="154"/>
      <c r="F725" s="154"/>
      <c r="G725" s="154"/>
      <c r="H725" s="154"/>
      <c r="I725" s="154"/>
      <c r="J725" s="154"/>
      <c r="K725" s="154"/>
      <c r="L725" s="154"/>
      <c r="M725" s="154"/>
      <c r="N725" s="154"/>
      <c r="O725" s="154"/>
    </row>
    <row r="726" spans="3:15">
      <c r="C726" s="154"/>
      <c r="D726" s="154"/>
      <c r="E726" s="154"/>
      <c r="F726" s="154"/>
      <c r="G726" s="154"/>
      <c r="H726" s="154"/>
      <c r="I726" s="154"/>
      <c r="J726" s="154"/>
      <c r="K726" s="154"/>
      <c r="L726" s="154"/>
      <c r="M726" s="154"/>
      <c r="N726" s="154"/>
      <c r="O726" s="154"/>
    </row>
    <row r="727" spans="3:15">
      <c r="C727" s="154"/>
      <c r="D727" s="154"/>
      <c r="E727" s="154"/>
      <c r="F727" s="154"/>
      <c r="G727" s="154"/>
      <c r="H727" s="154"/>
      <c r="I727" s="154"/>
      <c r="J727" s="154"/>
      <c r="K727" s="154"/>
      <c r="L727" s="154"/>
      <c r="M727" s="154"/>
      <c r="N727" s="154"/>
      <c r="O727" s="154"/>
    </row>
    <row r="728" spans="3:15">
      <c r="C728" s="154"/>
      <c r="D728" s="154"/>
      <c r="E728" s="154"/>
      <c r="F728" s="154"/>
      <c r="G728" s="154"/>
      <c r="H728" s="154"/>
      <c r="I728" s="154"/>
      <c r="J728" s="154"/>
      <c r="K728" s="154"/>
      <c r="L728" s="154"/>
      <c r="M728" s="154"/>
      <c r="N728" s="154"/>
      <c r="O728" s="154"/>
    </row>
    <row r="729" spans="3:15">
      <c r="C729" s="154"/>
      <c r="D729" s="154"/>
      <c r="E729" s="154"/>
      <c r="F729" s="154"/>
      <c r="G729" s="154"/>
      <c r="H729" s="154"/>
      <c r="I729" s="154"/>
      <c r="J729" s="154"/>
      <c r="K729" s="154"/>
      <c r="L729" s="154"/>
      <c r="M729" s="154"/>
      <c r="N729" s="154"/>
      <c r="O729" s="154"/>
    </row>
    <row r="730" spans="3:15">
      <c r="C730" s="154"/>
      <c r="D730" s="154"/>
      <c r="E730" s="154"/>
      <c r="F730" s="154"/>
      <c r="G730" s="154"/>
      <c r="H730" s="154"/>
      <c r="I730" s="154"/>
      <c r="J730" s="154"/>
      <c r="K730" s="154"/>
      <c r="L730" s="154"/>
      <c r="M730" s="154"/>
      <c r="N730" s="154"/>
      <c r="O730" s="154"/>
    </row>
    <row r="731" spans="3:15">
      <c r="C731" s="154"/>
      <c r="D731" s="154"/>
      <c r="E731" s="154"/>
      <c r="F731" s="154"/>
      <c r="G731" s="154"/>
      <c r="H731" s="154"/>
      <c r="I731" s="154"/>
      <c r="J731" s="154"/>
      <c r="K731" s="154"/>
      <c r="L731" s="154"/>
      <c r="M731" s="154"/>
      <c r="N731" s="154"/>
      <c r="O731" s="154"/>
    </row>
    <row r="732" spans="3:15">
      <c r="C732" s="154"/>
      <c r="D732" s="154"/>
      <c r="E732" s="154"/>
      <c r="F732" s="154"/>
      <c r="G732" s="154"/>
      <c r="H732" s="154"/>
      <c r="I732" s="154"/>
      <c r="J732" s="154"/>
      <c r="K732" s="154"/>
      <c r="L732" s="154"/>
      <c r="M732" s="154"/>
      <c r="N732" s="154"/>
      <c r="O732" s="154"/>
    </row>
    <row r="733" spans="3:15">
      <c r="C733" s="154"/>
      <c r="D733" s="154"/>
      <c r="E733" s="154"/>
      <c r="F733" s="154"/>
      <c r="G733" s="154"/>
      <c r="H733" s="154"/>
      <c r="I733" s="154"/>
      <c r="J733" s="154"/>
      <c r="K733" s="154"/>
      <c r="L733" s="154"/>
      <c r="M733" s="154"/>
      <c r="N733" s="154"/>
      <c r="O733" s="154"/>
    </row>
    <row r="734" spans="3:15">
      <c r="C734" s="154"/>
      <c r="D734" s="154"/>
      <c r="E734" s="154"/>
      <c r="F734" s="154"/>
      <c r="G734" s="154"/>
      <c r="H734" s="154"/>
      <c r="I734" s="154"/>
      <c r="J734" s="154"/>
      <c r="K734" s="154"/>
      <c r="L734" s="154"/>
      <c r="M734" s="154"/>
      <c r="N734" s="154"/>
      <c r="O734" s="154"/>
    </row>
    <row r="735" spans="3:15">
      <c r="C735" s="154"/>
      <c r="D735" s="154"/>
      <c r="E735" s="154"/>
      <c r="F735" s="154"/>
      <c r="G735" s="154"/>
      <c r="H735" s="154"/>
      <c r="I735" s="154"/>
      <c r="J735" s="154"/>
      <c r="K735" s="154"/>
      <c r="L735" s="154"/>
      <c r="M735" s="154"/>
      <c r="N735" s="154"/>
      <c r="O735" s="154"/>
    </row>
    <row r="736" spans="3:15">
      <c r="C736" s="154"/>
      <c r="D736" s="154"/>
      <c r="E736" s="154"/>
      <c r="F736" s="154"/>
      <c r="G736" s="154"/>
      <c r="H736" s="154"/>
      <c r="I736" s="154"/>
      <c r="J736" s="154"/>
      <c r="K736" s="154"/>
      <c r="L736" s="154"/>
      <c r="M736" s="154"/>
      <c r="N736" s="154"/>
      <c r="O736" s="154"/>
    </row>
    <row r="737" spans="3:15">
      <c r="C737" s="154"/>
      <c r="D737" s="154"/>
      <c r="E737" s="154"/>
      <c r="F737" s="154"/>
      <c r="G737" s="154"/>
      <c r="H737" s="154"/>
      <c r="I737" s="154"/>
      <c r="J737" s="154"/>
      <c r="K737" s="154"/>
      <c r="L737" s="154"/>
      <c r="M737" s="154"/>
      <c r="N737" s="154"/>
      <c r="O737" s="154"/>
    </row>
    <row r="738" spans="3:15">
      <c r="C738" s="154"/>
      <c r="D738" s="154"/>
      <c r="E738" s="154"/>
      <c r="F738" s="154"/>
      <c r="G738" s="154"/>
      <c r="H738" s="154"/>
      <c r="I738" s="154"/>
      <c r="J738" s="154"/>
      <c r="K738" s="154"/>
      <c r="L738" s="154"/>
      <c r="M738" s="154"/>
      <c r="N738" s="154"/>
      <c r="O738" s="154"/>
    </row>
    <row r="739" spans="3:15">
      <c r="C739" s="154"/>
      <c r="D739" s="154"/>
      <c r="E739" s="154"/>
      <c r="F739" s="154"/>
      <c r="G739" s="154"/>
      <c r="H739" s="154"/>
      <c r="I739" s="154"/>
      <c r="J739" s="154"/>
      <c r="K739" s="154"/>
      <c r="L739" s="154"/>
      <c r="M739" s="154"/>
      <c r="N739" s="154"/>
      <c r="O739" s="154"/>
    </row>
    <row r="740" spans="3:15">
      <c r="C740" s="154"/>
      <c r="D740" s="154"/>
      <c r="E740" s="154"/>
      <c r="F740" s="154"/>
      <c r="G740" s="154"/>
      <c r="H740" s="154"/>
      <c r="I740" s="154"/>
      <c r="J740" s="154"/>
      <c r="K740" s="154"/>
      <c r="L740" s="154"/>
      <c r="M740" s="154"/>
      <c r="N740" s="154"/>
      <c r="O740" s="154"/>
    </row>
    <row r="741" spans="3:15">
      <c r="C741" s="154"/>
      <c r="D741" s="154"/>
      <c r="E741" s="154"/>
      <c r="F741" s="154"/>
      <c r="G741" s="154"/>
      <c r="H741" s="154"/>
      <c r="I741" s="154"/>
      <c r="J741" s="154"/>
      <c r="K741" s="154"/>
      <c r="L741" s="154"/>
      <c r="M741" s="154"/>
      <c r="N741" s="154"/>
      <c r="O741" s="154"/>
    </row>
    <row r="742" spans="3:15">
      <c r="C742" s="154"/>
      <c r="D742" s="154"/>
      <c r="E742" s="154"/>
      <c r="F742" s="154"/>
      <c r="G742" s="154"/>
      <c r="H742" s="154"/>
      <c r="I742" s="154"/>
      <c r="J742" s="154"/>
      <c r="K742" s="154"/>
      <c r="L742" s="154"/>
      <c r="M742" s="154"/>
      <c r="N742" s="154"/>
      <c r="O742" s="154"/>
    </row>
    <row r="743" spans="3:15">
      <c r="C743" s="154"/>
      <c r="D743" s="154"/>
      <c r="E743" s="154"/>
      <c r="F743" s="154"/>
      <c r="G743" s="154"/>
      <c r="H743" s="154"/>
      <c r="I743" s="154"/>
      <c r="J743" s="154"/>
      <c r="K743" s="154"/>
      <c r="L743" s="154"/>
      <c r="M743" s="154"/>
      <c r="N743" s="154"/>
      <c r="O743" s="154"/>
    </row>
    <row r="744" spans="3:15">
      <c r="C744" s="154"/>
      <c r="D744" s="154"/>
      <c r="E744" s="154"/>
      <c r="F744" s="154"/>
      <c r="G744" s="154"/>
      <c r="H744" s="154"/>
      <c r="I744" s="154"/>
      <c r="J744" s="154"/>
      <c r="K744" s="154"/>
      <c r="L744" s="154"/>
      <c r="M744" s="154"/>
      <c r="N744" s="154"/>
      <c r="O744" s="154"/>
    </row>
    <row r="745" spans="3:15">
      <c r="C745" s="154"/>
      <c r="D745" s="154"/>
      <c r="E745" s="154"/>
      <c r="F745" s="154"/>
      <c r="G745" s="154"/>
      <c r="H745" s="154"/>
      <c r="I745" s="154"/>
      <c r="J745" s="154"/>
      <c r="K745" s="154"/>
      <c r="L745" s="154"/>
      <c r="M745" s="154"/>
      <c r="N745" s="154"/>
      <c r="O745" s="154"/>
    </row>
    <row r="746" spans="3:15">
      <c r="C746" s="154"/>
      <c r="D746" s="154"/>
      <c r="E746" s="154"/>
      <c r="F746" s="154"/>
      <c r="G746" s="154"/>
      <c r="H746" s="154"/>
      <c r="I746" s="154"/>
      <c r="J746" s="154"/>
      <c r="K746" s="154"/>
      <c r="L746" s="154"/>
      <c r="M746" s="154"/>
      <c r="N746" s="154"/>
      <c r="O746" s="154"/>
    </row>
    <row r="747" spans="3:15">
      <c r="C747" s="154"/>
      <c r="D747" s="154"/>
      <c r="E747" s="154"/>
      <c r="F747" s="154"/>
      <c r="G747" s="154"/>
      <c r="H747" s="154"/>
      <c r="I747" s="154"/>
      <c r="J747" s="154"/>
      <c r="K747" s="154"/>
      <c r="L747" s="154"/>
      <c r="M747" s="154"/>
      <c r="N747" s="154"/>
      <c r="O747" s="154"/>
    </row>
    <row r="748" spans="3:15">
      <c r="C748" s="154"/>
      <c r="D748" s="154"/>
      <c r="E748" s="154"/>
      <c r="F748" s="154"/>
      <c r="G748" s="154"/>
      <c r="H748" s="154"/>
      <c r="I748" s="154"/>
      <c r="J748" s="154"/>
      <c r="K748" s="154"/>
      <c r="L748" s="154"/>
      <c r="M748" s="154"/>
      <c r="N748" s="154"/>
      <c r="O748" s="154"/>
    </row>
    <row r="749" spans="3:15">
      <c r="C749" s="154"/>
      <c r="D749" s="154"/>
      <c r="E749" s="154"/>
      <c r="F749" s="154"/>
      <c r="G749" s="154"/>
      <c r="H749" s="154"/>
      <c r="I749" s="154"/>
      <c r="J749" s="154"/>
      <c r="K749" s="154"/>
      <c r="L749" s="154"/>
      <c r="M749" s="154"/>
      <c r="N749" s="154"/>
      <c r="O749" s="154"/>
    </row>
    <row r="750" spans="3:15">
      <c r="C750" s="154"/>
      <c r="D750" s="154"/>
      <c r="E750" s="154"/>
      <c r="F750" s="154"/>
      <c r="G750" s="154"/>
      <c r="H750" s="154"/>
      <c r="I750" s="154"/>
      <c r="J750" s="154"/>
      <c r="K750" s="154"/>
      <c r="L750" s="154"/>
      <c r="M750" s="154"/>
      <c r="N750" s="154"/>
      <c r="O750" s="154"/>
    </row>
    <row r="751" spans="3:15">
      <c r="C751" s="154"/>
      <c r="D751" s="154"/>
      <c r="E751" s="154"/>
      <c r="F751" s="154"/>
      <c r="G751" s="154"/>
      <c r="H751" s="154"/>
      <c r="I751" s="154"/>
      <c r="J751" s="154"/>
      <c r="K751" s="154"/>
      <c r="L751" s="154"/>
      <c r="M751" s="154"/>
      <c r="N751" s="154"/>
      <c r="O751" s="154"/>
    </row>
    <row r="752" spans="3:15">
      <c r="C752" s="154"/>
      <c r="D752" s="154"/>
      <c r="E752" s="154"/>
      <c r="F752" s="154"/>
      <c r="G752" s="154"/>
      <c r="H752" s="154"/>
      <c r="I752" s="154"/>
      <c r="J752" s="154"/>
      <c r="K752" s="154"/>
      <c r="L752" s="154"/>
      <c r="M752" s="154"/>
      <c r="N752" s="154"/>
      <c r="O752" s="154"/>
    </row>
    <row r="753" spans="3:15">
      <c r="C753" s="154"/>
      <c r="D753" s="154"/>
      <c r="E753" s="154"/>
      <c r="F753" s="154"/>
      <c r="G753" s="154"/>
      <c r="H753" s="154"/>
      <c r="I753" s="154"/>
      <c r="J753" s="154"/>
      <c r="K753" s="154"/>
      <c r="L753" s="154"/>
      <c r="M753" s="154"/>
      <c r="N753" s="154"/>
      <c r="O753" s="154"/>
    </row>
    <row r="754" spans="3:15">
      <c r="C754" s="154"/>
      <c r="D754" s="154"/>
      <c r="E754" s="154"/>
      <c r="F754" s="154"/>
      <c r="G754" s="154"/>
      <c r="H754" s="154"/>
      <c r="I754" s="154"/>
      <c r="J754" s="154"/>
      <c r="K754" s="154"/>
      <c r="L754" s="154"/>
      <c r="M754" s="154"/>
      <c r="N754" s="154"/>
      <c r="O754" s="154"/>
    </row>
    <row r="755" spans="3:15">
      <c r="C755" s="154"/>
      <c r="D755" s="154"/>
      <c r="E755" s="154"/>
      <c r="F755" s="154"/>
      <c r="G755" s="154"/>
      <c r="H755" s="154"/>
      <c r="I755" s="154"/>
      <c r="J755" s="154"/>
      <c r="K755" s="154"/>
      <c r="L755" s="154"/>
      <c r="M755" s="154"/>
      <c r="N755" s="154"/>
      <c r="O755" s="154"/>
    </row>
    <row r="756" spans="3:15">
      <c r="C756" s="154"/>
      <c r="D756" s="154"/>
      <c r="E756" s="154"/>
      <c r="F756" s="154"/>
      <c r="G756" s="154"/>
      <c r="H756" s="154"/>
      <c r="I756" s="154"/>
      <c r="J756" s="154"/>
      <c r="K756" s="154"/>
      <c r="L756" s="154"/>
      <c r="M756" s="154"/>
      <c r="N756" s="154"/>
      <c r="O756" s="154"/>
    </row>
    <row r="757" spans="3:15">
      <c r="C757" s="154"/>
      <c r="D757" s="154"/>
      <c r="E757" s="154"/>
      <c r="F757" s="154"/>
      <c r="G757" s="154"/>
      <c r="H757" s="154"/>
      <c r="I757" s="154"/>
      <c r="J757" s="154"/>
      <c r="K757" s="154"/>
      <c r="L757" s="154"/>
      <c r="M757" s="154"/>
      <c r="N757" s="154"/>
      <c r="O757" s="154"/>
    </row>
    <row r="758" spans="3:15">
      <c r="C758" s="154"/>
      <c r="D758" s="154"/>
      <c r="E758" s="154"/>
      <c r="F758" s="154"/>
      <c r="G758" s="154"/>
      <c r="H758" s="154"/>
      <c r="I758" s="154"/>
      <c r="J758" s="154"/>
      <c r="K758" s="154"/>
      <c r="L758" s="154"/>
      <c r="M758" s="154"/>
      <c r="N758" s="154"/>
      <c r="O758" s="154"/>
    </row>
    <row r="759" spans="3:15">
      <c r="C759" s="154"/>
      <c r="D759" s="154"/>
      <c r="E759" s="154"/>
      <c r="F759" s="154"/>
      <c r="G759" s="154"/>
      <c r="H759" s="154"/>
      <c r="I759" s="154"/>
      <c r="J759" s="154"/>
      <c r="K759" s="154"/>
      <c r="L759" s="154"/>
      <c r="M759" s="154"/>
      <c r="N759" s="154"/>
      <c r="O759" s="154"/>
    </row>
    <row r="760" spans="3:15">
      <c r="C760" s="154"/>
      <c r="D760" s="154"/>
      <c r="E760" s="154"/>
      <c r="F760" s="154"/>
      <c r="G760" s="154"/>
      <c r="H760" s="154"/>
      <c r="I760" s="154"/>
      <c r="J760" s="154"/>
      <c r="K760" s="154"/>
      <c r="L760" s="154"/>
      <c r="M760" s="154"/>
      <c r="N760" s="154"/>
      <c r="O760" s="154"/>
    </row>
    <row r="761" spans="3:15">
      <c r="C761" s="154"/>
      <c r="D761" s="154"/>
      <c r="E761" s="154"/>
      <c r="F761" s="154"/>
      <c r="G761" s="154"/>
      <c r="H761" s="154"/>
      <c r="I761" s="154"/>
      <c r="J761" s="154"/>
      <c r="K761" s="154"/>
      <c r="L761" s="154"/>
      <c r="M761" s="154"/>
      <c r="N761" s="154"/>
      <c r="O761" s="154"/>
    </row>
    <row r="762" spans="3:15">
      <c r="C762" s="154"/>
      <c r="D762" s="154"/>
      <c r="E762" s="154"/>
      <c r="F762" s="154"/>
      <c r="G762" s="154"/>
      <c r="H762" s="154"/>
      <c r="I762" s="154"/>
      <c r="J762" s="154"/>
      <c r="K762" s="154"/>
      <c r="L762" s="154"/>
      <c r="M762" s="154"/>
      <c r="N762" s="154"/>
      <c r="O762" s="154"/>
    </row>
    <row r="763" spans="3:15">
      <c r="C763" s="154"/>
      <c r="D763" s="154"/>
      <c r="E763" s="154"/>
      <c r="F763" s="154"/>
      <c r="G763" s="154"/>
      <c r="H763" s="154"/>
      <c r="I763" s="154"/>
      <c r="J763" s="154"/>
      <c r="K763" s="154"/>
      <c r="L763" s="154"/>
      <c r="M763" s="154"/>
      <c r="N763" s="154"/>
      <c r="O763" s="154"/>
    </row>
    <row r="764" spans="3:15">
      <c r="C764" s="154"/>
      <c r="D764" s="154"/>
      <c r="E764" s="154"/>
      <c r="F764" s="154"/>
      <c r="G764" s="154"/>
      <c r="H764" s="154"/>
      <c r="I764" s="154"/>
      <c r="J764" s="154"/>
      <c r="K764" s="154"/>
      <c r="L764" s="154"/>
      <c r="M764" s="154"/>
      <c r="N764" s="154"/>
      <c r="O764" s="154"/>
    </row>
    <row r="765" spans="3:15">
      <c r="C765" s="154"/>
      <c r="D765" s="154"/>
      <c r="E765" s="154"/>
      <c r="F765" s="154"/>
      <c r="G765" s="154"/>
      <c r="H765" s="154"/>
      <c r="I765" s="154"/>
      <c r="J765" s="154"/>
      <c r="K765" s="154"/>
      <c r="L765" s="154"/>
      <c r="M765" s="154"/>
      <c r="N765" s="154"/>
      <c r="O765" s="154"/>
    </row>
    <row r="766" spans="3:15">
      <c r="C766" s="154"/>
      <c r="D766" s="154"/>
      <c r="E766" s="154"/>
      <c r="F766" s="154"/>
      <c r="G766" s="154"/>
      <c r="H766" s="154"/>
      <c r="I766" s="154"/>
      <c r="J766" s="154"/>
      <c r="K766" s="154"/>
      <c r="L766" s="154"/>
      <c r="M766" s="154"/>
      <c r="N766" s="154"/>
      <c r="O766" s="154"/>
    </row>
    <row r="767" spans="3:15">
      <c r="C767" s="154"/>
      <c r="D767" s="154"/>
      <c r="E767" s="154"/>
      <c r="F767" s="154"/>
      <c r="G767" s="154"/>
      <c r="H767" s="154"/>
      <c r="I767" s="154"/>
      <c r="J767" s="154"/>
      <c r="K767" s="154"/>
      <c r="L767" s="154"/>
      <c r="M767" s="154"/>
      <c r="N767" s="154"/>
      <c r="O767" s="154"/>
    </row>
    <row r="768" spans="3:15">
      <c r="C768" s="154"/>
      <c r="D768" s="154"/>
      <c r="E768" s="154"/>
      <c r="F768" s="154"/>
      <c r="G768" s="154"/>
      <c r="H768" s="154"/>
      <c r="I768" s="154"/>
      <c r="J768" s="154"/>
      <c r="K768" s="154"/>
      <c r="L768" s="154"/>
      <c r="M768" s="154"/>
      <c r="N768" s="154"/>
      <c r="O768" s="154"/>
    </row>
    <row r="769" spans="3:15">
      <c r="C769" s="154"/>
      <c r="D769" s="154"/>
      <c r="E769" s="154"/>
      <c r="F769" s="154"/>
      <c r="G769" s="154"/>
      <c r="H769" s="154"/>
      <c r="I769" s="154"/>
      <c r="J769" s="154"/>
      <c r="K769" s="154"/>
      <c r="L769" s="154"/>
      <c r="M769" s="154"/>
      <c r="N769" s="154"/>
      <c r="O769" s="154"/>
    </row>
    <row r="770" spans="3:15">
      <c r="C770" s="154"/>
      <c r="D770" s="154"/>
      <c r="E770" s="154"/>
      <c r="F770" s="154"/>
      <c r="G770" s="154"/>
      <c r="H770" s="154"/>
      <c r="I770" s="154"/>
      <c r="J770" s="154"/>
      <c r="K770" s="154"/>
      <c r="L770" s="154"/>
      <c r="M770" s="154"/>
      <c r="N770" s="154"/>
      <c r="O770" s="154"/>
    </row>
    <row r="771" spans="3:15">
      <c r="C771" s="154"/>
      <c r="D771" s="154"/>
      <c r="E771" s="154"/>
      <c r="F771" s="154"/>
      <c r="G771" s="154"/>
      <c r="H771" s="154"/>
      <c r="I771" s="154"/>
      <c r="J771" s="154"/>
      <c r="K771" s="154"/>
      <c r="L771" s="154"/>
      <c r="M771" s="154"/>
      <c r="N771" s="154"/>
      <c r="O771" s="154"/>
    </row>
    <row r="772" spans="3:15">
      <c r="C772" s="154"/>
      <c r="D772" s="154"/>
      <c r="E772" s="154"/>
      <c r="F772" s="154"/>
      <c r="G772" s="154"/>
      <c r="H772" s="154"/>
      <c r="I772" s="154"/>
      <c r="J772" s="154"/>
      <c r="K772" s="154"/>
      <c r="L772" s="154"/>
      <c r="M772" s="154"/>
      <c r="N772" s="154"/>
      <c r="O772" s="154"/>
    </row>
    <row r="773" spans="3:15">
      <c r="C773" s="154"/>
      <c r="D773" s="154"/>
      <c r="E773" s="154"/>
      <c r="F773" s="154"/>
      <c r="G773" s="154"/>
      <c r="H773" s="154"/>
      <c r="I773" s="154"/>
      <c r="J773" s="154"/>
      <c r="K773" s="154"/>
      <c r="L773" s="154"/>
      <c r="M773" s="154"/>
      <c r="N773" s="154"/>
      <c r="O773" s="154"/>
    </row>
    <row r="774" spans="3:15">
      <c r="C774" s="154"/>
      <c r="D774" s="154"/>
      <c r="E774" s="154"/>
      <c r="F774" s="154"/>
      <c r="G774" s="154"/>
      <c r="H774" s="154"/>
      <c r="I774" s="154"/>
      <c r="J774" s="154"/>
      <c r="K774" s="154"/>
      <c r="L774" s="154"/>
      <c r="M774" s="154"/>
      <c r="N774" s="154"/>
      <c r="O774" s="154"/>
    </row>
    <row r="775" spans="3:15">
      <c r="C775" s="154"/>
      <c r="D775" s="154"/>
      <c r="E775" s="154"/>
      <c r="F775" s="154"/>
      <c r="G775" s="154"/>
      <c r="H775" s="154"/>
      <c r="I775" s="154"/>
      <c r="J775" s="154"/>
      <c r="K775" s="154"/>
      <c r="L775" s="154"/>
      <c r="M775" s="154"/>
      <c r="N775" s="154"/>
      <c r="O775" s="154"/>
    </row>
    <row r="776" spans="3:15">
      <c r="C776" s="154"/>
      <c r="D776" s="154"/>
      <c r="E776" s="154"/>
      <c r="F776" s="154"/>
      <c r="G776" s="154"/>
      <c r="H776" s="154"/>
      <c r="I776" s="154"/>
      <c r="J776" s="154"/>
      <c r="K776" s="154"/>
      <c r="L776" s="154"/>
      <c r="M776" s="154"/>
      <c r="N776" s="154"/>
      <c r="O776" s="154"/>
    </row>
    <row r="777" spans="3:15">
      <c r="C777" s="154"/>
      <c r="D777" s="154"/>
      <c r="E777" s="154"/>
      <c r="F777" s="154"/>
      <c r="G777" s="154"/>
      <c r="H777" s="154"/>
      <c r="I777" s="154"/>
      <c r="J777" s="154"/>
      <c r="K777" s="154"/>
      <c r="L777" s="154"/>
      <c r="M777" s="154"/>
      <c r="N777" s="154"/>
      <c r="O777" s="154"/>
    </row>
    <row r="778" spans="3:15">
      <c r="C778" s="154"/>
      <c r="D778" s="154"/>
      <c r="E778" s="154"/>
      <c r="F778" s="154"/>
      <c r="G778" s="154"/>
      <c r="H778" s="154"/>
      <c r="I778" s="154"/>
      <c r="J778" s="154"/>
      <c r="K778" s="154"/>
      <c r="L778" s="154"/>
      <c r="M778" s="154"/>
      <c r="N778" s="154"/>
      <c r="O778" s="154"/>
    </row>
    <row r="779" spans="3:15">
      <c r="C779" s="154"/>
      <c r="D779" s="154"/>
      <c r="E779" s="154"/>
      <c r="F779" s="154"/>
      <c r="G779" s="154"/>
      <c r="H779" s="154"/>
      <c r="I779" s="154"/>
      <c r="J779" s="154"/>
      <c r="K779" s="154"/>
      <c r="L779" s="154"/>
      <c r="M779" s="154"/>
      <c r="N779" s="154"/>
      <c r="O779" s="154"/>
    </row>
    <row r="780" spans="3:15">
      <c r="C780" s="154"/>
      <c r="D780" s="154"/>
      <c r="E780" s="154"/>
      <c r="F780" s="154"/>
      <c r="G780" s="154"/>
      <c r="H780" s="154"/>
      <c r="I780" s="154"/>
      <c r="J780" s="154"/>
      <c r="K780" s="154"/>
      <c r="L780" s="154"/>
      <c r="M780" s="154"/>
      <c r="N780" s="154"/>
      <c r="O780" s="154"/>
    </row>
    <row r="781" spans="3:15">
      <c r="C781" s="154"/>
      <c r="D781" s="154"/>
      <c r="E781" s="154"/>
      <c r="F781" s="154"/>
      <c r="G781" s="154"/>
      <c r="H781" s="154"/>
      <c r="I781" s="154"/>
      <c r="J781" s="154"/>
      <c r="K781" s="154"/>
      <c r="L781" s="154"/>
      <c r="M781" s="154"/>
      <c r="N781" s="154"/>
      <c r="O781" s="154"/>
    </row>
    <row r="782" spans="3:15">
      <c r="C782" s="154"/>
      <c r="D782" s="154"/>
      <c r="E782" s="154"/>
      <c r="F782" s="154"/>
      <c r="G782" s="154"/>
      <c r="H782" s="154"/>
      <c r="I782" s="154"/>
      <c r="J782" s="154"/>
      <c r="K782" s="154"/>
      <c r="L782" s="154"/>
      <c r="M782" s="154"/>
      <c r="N782" s="154"/>
      <c r="O782" s="154"/>
    </row>
    <row r="783" spans="3:15">
      <c r="C783" s="154"/>
      <c r="D783" s="154"/>
      <c r="E783" s="154"/>
      <c r="F783" s="154"/>
      <c r="G783" s="154"/>
      <c r="H783" s="154"/>
      <c r="I783" s="154"/>
      <c r="J783" s="154"/>
      <c r="K783" s="154"/>
      <c r="L783" s="154"/>
      <c r="M783" s="154"/>
      <c r="N783" s="154"/>
      <c r="O783" s="154"/>
    </row>
    <row r="784" spans="3:15">
      <c r="C784" s="154"/>
      <c r="D784" s="154"/>
      <c r="E784" s="154"/>
      <c r="F784" s="154"/>
      <c r="G784" s="154"/>
      <c r="H784" s="154"/>
      <c r="I784" s="154"/>
      <c r="J784" s="154"/>
      <c r="K784" s="154"/>
      <c r="L784" s="154"/>
      <c r="M784" s="154"/>
      <c r="N784" s="154"/>
      <c r="O784" s="154"/>
    </row>
    <row r="785" spans="3:15">
      <c r="C785" s="154"/>
      <c r="D785" s="154"/>
      <c r="E785" s="154"/>
      <c r="F785" s="154"/>
      <c r="G785" s="154"/>
      <c r="H785" s="154"/>
      <c r="I785" s="154"/>
      <c r="J785" s="154"/>
      <c r="K785" s="154"/>
      <c r="L785" s="154"/>
      <c r="M785" s="154"/>
      <c r="N785" s="154"/>
      <c r="O785" s="154"/>
    </row>
    <row r="786" spans="3:15">
      <c r="C786" s="154"/>
      <c r="D786" s="154"/>
      <c r="E786" s="154"/>
      <c r="F786" s="154"/>
      <c r="G786" s="154"/>
      <c r="H786" s="154"/>
      <c r="I786" s="154"/>
      <c r="J786" s="154"/>
      <c r="K786" s="154"/>
      <c r="L786" s="154"/>
      <c r="M786" s="154"/>
      <c r="N786" s="154"/>
      <c r="O786" s="154"/>
    </row>
    <row r="787" spans="3:15">
      <c r="C787" s="154"/>
      <c r="D787" s="154"/>
      <c r="E787" s="154"/>
      <c r="F787" s="154"/>
      <c r="G787" s="154"/>
      <c r="H787" s="154"/>
      <c r="I787" s="154"/>
      <c r="J787" s="154"/>
      <c r="K787" s="154"/>
      <c r="L787" s="154"/>
      <c r="M787" s="154"/>
      <c r="N787" s="154"/>
      <c r="O787" s="154"/>
    </row>
    <row r="788" spans="3:15">
      <c r="C788" s="154"/>
      <c r="D788" s="154"/>
      <c r="E788" s="154"/>
      <c r="F788" s="154"/>
      <c r="G788" s="154"/>
      <c r="H788" s="154"/>
      <c r="I788" s="154"/>
      <c r="J788" s="154"/>
      <c r="K788" s="154"/>
      <c r="L788" s="154"/>
      <c r="M788" s="154"/>
      <c r="N788" s="154"/>
      <c r="O788" s="154"/>
    </row>
    <row r="789" spans="3:15">
      <c r="C789" s="154"/>
      <c r="D789" s="154"/>
      <c r="E789" s="154"/>
      <c r="F789" s="154"/>
      <c r="G789" s="154"/>
      <c r="H789" s="154"/>
      <c r="I789" s="154"/>
      <c r="J789" s="154"/>
      <c r="K789" s="154"/>
      <c r="L789" s="154"/>
      <c r="M789" s="154"/>
      <c r="N789" s="154"/>
      <c r="O789" s="154"/>
    </row>
    <row r="790" spans="3:15">
      <c r="C790" s="154"/>
      <c r="D790" s="154"/>
      <c r="E790" s="154"/>
      <c r="F790" s="154"/>
      <c r="G790" s="154"/>
      <c r="H790" s="154"/>
      <c r="I790" s="154"/>
      <c r="J790" s="154"/>
      <c r="K790" s="154"/>
      <c r="L790" s="154"/>
      <c r="M790" s="154"/>
      <c r="N790" s="154"/>
      <c r="O790" s="154"/>
    </row>
    <row r="791" spans="3:15">
      <c r="C791" s="154"/>
      <c r="D791" s="154"/>
      <c r="E791" s="154"/>
      <c r="F791" s="154"/>
      <c r="G791" s="154"/>
      <c r="H791" s="154"/>
      <c r="I791" s="154"/>
      <c r="J791" s="154"/>
      <c r="K791" s="154"/>
      <c r="L791" s="154"/>
      <c r="M791" s="154"/>
      <c r="N791" s="154"/>
      <c r="O791" s="154"/>
    </row>
    <row r="792" spans="3:15">
      <c r="C792" s="154"/>
      <c r="D792" s="154"/>
      <c r="E792" s="154"/>
      <c r="F792" s="154"/>
      <c r="G792" s="154"/>
      <c r="H792" s="154"/>
      <c r="I792" s="154"/>
      <c r="J792" s="154"/>
      <c r="K792" s="154"/>
      <c r="L792" s="154"/>
      <c r="M792" s="154"/>
      <c r="N792" s="154"/>
      <c r="O792" s="154"/>
    </row>
    <row r="793" spans="3:15">
      <c r="C793" s="154"/>
      <c r="D793" s="154"/>
      <c r="E793" s="154"/>
      <c r="F793" s="154"/>
      <c r="G793" s="154"/>
      <c r="H793" s="154"/>
      <c r="I793" s="154"/>
      <c r="J793" s="154"/>
      <c r="K793" s="154"/>
      <c r="L793" s="154"/>
      <c r="M793" s="154"/>
      <c r="N793" s="154"/>
      <c r="O793" s="154"/>
    </row>
    <row r="794" spans="3:15">
      <c r="C794" s="154"/>
      <c r="D794" s="154"/>
      <c r="E794" s="154"/>
      <c r="F794" s="154"/>
      <c r="G794" s="154"/>
      <c r="H794" s="154"/>
      <c r="I794" s="154"/>
      <c r="J794" s="154"/>
      <c r="K794" s="154"/>
      <c r="L794" s="154"/>
      <c r="M794" s="154"/>
      <c r="N794" s="154"/>
      <c r="O794" s="154"/>
    </row>
    <row r="795" spans="3:15">
      <c r="C795" s="154"/>
      <c r="D795" s="154"/>
      <c r="E795" s="154"/>
      <c r="F795" s="154"/>
      <c r="G795" s="154"/>
      <c r="H795" s="154"/>
      <c r="I795" s="154"/>
      <c r="J795" s="154"/>
      <c r="K795" s="154"/>
      <c r="L795" s="154"/>
      <c r="M795" s="154"/>
      <c r="N795" s="154"/>
      <c r="O795" s="154"/>
    </row>
    <row r="796" spans="3:15">
      <c r="C796" s="154"/>
      <c r="D796" s="154"/>
      <c r="E796" s="154"/>
      <c r="F796" s="154"/>
      <c r="G796" s="154"/>
      <c r="H796" s="154"/>
      <c r="I796" s="154"/>
      <c r="J796" s="154"/>
      <c r="K796" s="154"/>
      <c r="L796" s="154"/>
      <c r="M796" s="154"/>
      <c r="N796" s="154"/>
      <c r="O796" s="154"/>
    </row>
    <row r="797" spans="3:15">
      <c r="C797" s="154"/>
      <c r="D797" s="154"/>
      <c r="E797" s="154"/>
      <c r="F797" s="154"/>
      <c r="G797" s="154"/>
      <c r="H797" s="154"/>
      <c r="I797" s="154"/>
      <c r="J797" s="154"/>
      <c r="K797" s="154"/>
      <c r="L797" s="154"/>
      <c r="M797" s="154"/>
      <c r="N797" s="154"/>
      <c r="O797" s="154"/>
    </row>
    <row r="798" spans="3:15">
      <c r="C798" s="154"/>
      <c r="D798" s="154"/>
      <c r="E798" s="154"/>
      <c r="F798" s="154"/>
      <c r="G798" s="154"/>
      <c r="H798" s="154"/>
      <c r="I798" s="154"/>
      <c r="J798" s="154"/>
      <c r="K798" s="154"/>
      <c r="L798" s="154"/>
      <c r="M798" s="154"/>
      <c r="N798" s="154"/>
      <c r="O798" s="154"/>
    </row>
    <row r="799" spans="3:15">
      <c r="C799" s="154"/>
      <c r="D799" s="154"/>
      <c r="E799" s="154"/>
      <c r="F799" s="154"/>
      <c r="G799" s="154"/>
      <c r="H799" s="154"/>
      <c r="I799" s="154"/>
      <c r="J799" s="154"/>
      <c r="K799" s="154"/>
      <c r="L799" s="154"/>
      <c r="M799" s="154"/>
      <c r="N799" s="154"/>
      <c r="O799" s="154"/>
    </row>
    <row r="800" spans="3:15">
      <c r="C800" s="154"/>
      <c r="D800" s="154"/>
      <c r="E800" s="154"/>
      <c r="F800" s="154"/>
      <c r="G800" s="154"/>
      <c r="H800" s="154"/>
      <c r="I800" s="154"/>
      <c r="J800" s="154"/>
      <c r="K800" s="154"/>
      <c r="L800" s="154"/>
      <c r="M800" s="154"/>
      <c r="N800" s="154"/>
      <c r="O800" s="154"/>
    </row>
    <row r="801" spans="3:15">
      <c r="C801" s="154"/>
      <c r="D801" s="154"/>
      <c r="E801" s="154"/>
      <c r="F801" s="154"/>
      <c r="G801" s="154"/>
      <c r="H801" s="154"/>
      <c r="I801" s="154"/>
      <c r="J801" s="154"/>
      <c r="K801" s="154"/>
      <c r="L801" s="154"/>
      <c r="M801" s="154"/>
      <c r="N801" s="154"/>
      <c r="O801" s="154"/>
    </row>
    <row r="802" spans="3:15">
      <c r="C802" s="154"/>
      <c r="D802" s="154"/>
      <c r="E802" s="154"/>
      <c r="F802" s="154"/>
      <c r="G802" s="154"/>
      <c r="H802" s="154"/>
      <c r="I802" s="154"/>
      <c r="J802" s="154"/>
      <c r="K802" s="154"/>
      <c r="L802" s="154"/>
      <c r="M802" s="154"/>
      <c r="N802" s="154"/>
      <c r="O802" s="154"/>
    </row>
    <row r="803" spans="3:15">
      <c r="C803" s="154"/>
      <c r="D803" s="154"/>
      <c r="E803" s="154"/>
      <c r="F803" s="154"/>
      <c r="G803" s="154"/>
      <c r="H803" s="154"/>
      <c r="I803" s="154"/>
      <c r="J803" s="154"/>
      <c r="K803" s="154"/>
      <c r="L803" s="154"/>
      <c r="M803" s="154"/>
      <c r="N803" s="154"/>
      <c r="O803" s="154"/>
    </row>
    <row r="804" spans="3:15">
      <c r="C804" s="154"/>
      <c r="D804" s="154"/>
      <c r="E804" s="154"/>
      <c r="F804" s="154"/>
      <c r="G804" s="154"/>
      <c r="H804" s="154"/>
      <c r="I804" s="154"/>
      <c r="J804" s="154"/>
      <c r="K804" s="154"/>
      <c r="L804" s="154"/>
      <c r="M804" s="154"/>
      <c r="N804" s="154"/>
      <c r="O804" s="154"/>
    </row>
    <row r="805" spans="3:15">
      <c r="C805" s="154"/>
      <c r="D805" s="154"/>
      <c r="E805" s="154"/>
      <c r="F805" s="154"/>
      <c r="G805" s="154"/>
      <c r="H805" s="154"/>
      <c r="I805" s="154"/>
      <c r="J805" s="154"/>
      <c r="K805" s="154"/>
      <c r="L805" s="154"/>
      <c r="M805" s="154"/>
      <c r="N805" s="154"/>
      <c r="O805" s="154"/>
    </row>
    <row r="806" spans="3:15">
      <c r="C806" s="154"/>
      <c r="D806" s="154"/>
      <c r="E806" s="154"/>
      <c r="F806" s="154"/>
      <c r="G806" s="154"/>
      <c r="H806" s="154"/>
      <c r="I806" s="154"/>
      <c r="J806" s="154"/>
      <c r="K806" s="154"/>
      <c r="L806" s="154"/>
      <c r="M806" s="154"/>
      <c r="N806" s="154"/>
      <c r="O806" s="154"/>
    </row>
    <row r="807" spans="3:15">
      <c r="C807" s="154"/>
      <c r="D807" s="154"/>
      <c r="E807" s="154"/>
      <c r="F807" s="154"/>
      <c r="G807" s="154"/>
      <c r="H807" s="154"/>
      <c r="I807" s="154"/>
      <c r="J807" s="154"/>
      <c r="K807" s="154"/>
      <c r="L807" s="154"/>
      <c r="M807" s="154"/>
      <c r="N807" s="154"/>
      <c r="O807" s="154"/>
    </row>
    <row r="808" spans="3:15">
      <c r="C808" s="154"/>
      <c r="D808" s="154"/>
      <c r="E808" s="154"/>
      <c r="F808" s="154"/>
      <c r="G808" s="154"/>
      <c r="H808" s="154"/>
      <c r="I808" s="154"/>
      <c r="J808" s="154"/>
      <c r="K808" s="154"/>
      <c r="L808" s="154"/>
      <c r="M808" s="154"/>
      <c r="N808" s="154"/>
      <c r="O808" s="154"/>
    </row>
    <row r="809" spans="3:15">
      <c r="C809" s="154"/>
      <c r="D809" s="154"/>
      <c r="E809" s="154"/>
      <c r="F809" s="154"/>
      <c r="G809" s="154"/>
      <c r="H809" s="154"/>
      <c r="I809" s="154"/>
      <c r="J809" s="154"/>
      <c r="K809" s="154"/>
      <c r="L809" s="154"/>
      <c r="M809" s="154"/>
      <c r="N809" s="154"/>
      <c r="O809" s="154"/>
    </row>
    <row r="810" spans="3:15">
      <c r="C810" s="154"/>
      <c r="D810" s="154"/>
      <c r="E810" s="154"/>
      <c r="F810" s="154"/>
      <c r="G810" s="154"/>
      <c r="H810" s="154"/>
      <c r="I810" s="154"/>
      <c r="J810" s="154"/>
      <c r="K810" s="154"/>
      <c r="L810" s="154"/>
      <c r="M810" s="154"/>
      <c r="N810" s="154"/>
      <c r="O810" s="154"/>
    </row>
    <row r="811" spans="3:15">
      <c r="C811" s="154"/>
      <c r="D811" s="154"/>
      <c r="E811" s="154"/>
      <c r="F811" s="154"/>
      <c r="G811" s="154"/>
      <c r="H811" s="154"/>
      <c r="I811" s="154"/>
      <c r="J811" s="154"/>
      <c r="K811" s="154"/>
      <c r="L811" s="154"/>
      <c r="M811" s="154"/>
      <c r="N811" s="154"/>
      <c r="O811" s="154"/>
    </row>
    <row r="812" spans="3:15">
      <c r="C812" s="154"/>
      <c r="D812" s="154"/>
      <c r="E812" s="154"/>
      <c r="F812" s="154"/>
      <c r="G812" s="154"/>
      <c r="H812" s="154"/>
      <c r="I812" s="154"/>
      <c r="J812" s="154"/>
      <c r="K812" s="154"/>
      <c r="L812" s="154"/>
      <c r="M812" s="154"/>
      <c r="N812" s="154"/>
      <c r="O812" s="154"/>
    </row>
    <row r="813" spans="3:15">
      <c r="C813" s="154"/>
      <c r="D813" s="154"/>
      <c r="E813" s="154"/>
      <c r="F813" s="154"/>
      <c r="G813" s="154"/>
      <c r="H813" s="154"/>
      <c r="I813" s="154"/>
      <c r="J813" s="154"/>
      <c r="K813" s="154"/>
      <c r="L813" s="154"/>
      <c r="M813" s="154"/>
      <c r="N813" s="154"/>
      <c r="O813" s="154"/>
    </row>
    <row r="814" spans="3:15">
      <c r="C814" s="154"/>
      <c r="D814" s="154"/>
      <c r="E814" s="154"/>
      <c r="F814" s="154"/>
      <c r="G814" s="154"/>
      <c r="H814" s="154"/>
      <c r="I814" s="154"/>
      <c r="J814" s="154"/>
      <c r="K814" s="154"/>
      <c r="L814" s="154"/>
      <c r="M814" s="154"/>
      <c r="N814" s="154"/>
      <c r="O814" s="154"/>
    </row>
    <row r="815" spans="3:15">
      <c r="C815" s="154"/>
      <c r="D815" s="154"/>
      <c r="E815" s="154"/>
      <c r="F815" s="154"/>
      <c r="G815" s="154"/>
      <c r="H815" s="154"/>
      <c r="I815" s="154"/>
      <c r="J815" s="154"/>
      <c r="K815" s="154"/>
      <c r="L815" s="154"/>
      <c r="M815" s="154"/>
      <c r="N815" s="154"/>
      <c r="O815" s="154"/>
    </row>
    <row r="816" spans="3:15">
      <c r="C816" s="154"/>
      <c r="D816" s="154"/>
      <c r="E816" s="154"/>
      <c r="F816" s="154"/>
      <c r="G816" s="154"/>
      <c r="H816" s="154"/>
      <c r="I816" s="154"/>
      <c r="J816" s="154"/>
      <c r="K816" s="154"/>
      <c r="L816" s="154"/>
      <c r="M816" s="154"/>
      <c r="N816" s="154"/>
      <c r="O816" s="154"/>
    </row>
    <row r="817" spans="3:15">
      <c r="C817" s="154"/>
      <c r="D817" s="154"/>
      <c r="E817" s="154"/>
      <c r="F817" s="154"/>
      <c r="G817" s="154"/>
      <c r="H817" s="154"/>
      <c r="I817" s="154"/>
      <c r="J817" s="154"/>
      <c r="K817" s="154"/>
      <c r="L817" s="154"/>
      <c r="M817" s="154"/>
      <c r="N817" s="154"/>
      <c r="O817" s="154"/>
    </row>
    <row r="818" spans="3:15">
      <c r="C818" s="154"/>
      <c r="D818" s="154"/>
      <c r="E818" s="154"/>
      <c r="F818" s="154"/>
      <c r="G818" s="154"/>
      <c r="H818" s="154"/>
      <c r="I818" s="154"/>
      <c r="J818" s="154"/>
      <c r="K818" s="154"/>
      <c r="L818" s="154"/>
      <c r="M818" s="154"/>
      <c r="N818" s="154"/>
      <c r="O818" s="154"/>
    </row>
    <row r="819" spans="3:15">
      <c r="C819" s="154"/>
      <c r="D819" s="154"/>
      <c r="E819" s="154"/>
      <c r="F819" s="154"/>
      <c r="G819" s="154"/>
      <c r="H819" s="154"/>
      <c r="I819" s="154"/>
      <c r="J819" s="154"/>
      <c r="K819" s="154"/>
      <c r="L819" s="154"/>
      <c r="M819" s="154"/>
      <c r="N819" s="154"/>
      <c r="O819" s="154"/>
    </row>
    <row r="820" spans="3:15">
      <c r="C820" s="154"/>
      <c r="D820" s="154"/>
      <c r="E820" s="154"/>
      <c r="F820" s="154"/>
      <c r="G820" s="154"/>
      <c r="H820" s="154"/>
      <c r="I820" s="154"/>
      <c r="J820" s="154"/>
      <c r="K820" s="154"/>
      <c r="L820" s="154"/>
      <c r="M820" s="154"/>
      <c r="N820" s="154"/>
      <c r="O820" s="154"/>
    </row>
    <row r="821" spans="3:15">
      <c r="C821" s="154"/>
      <c r="D821" s="154"/>
      <c r="E821" s="154"/>
      <c r="F821" s="154"/>
      <c r="G821" s="154"/>
      <c r="H821" s="154"/>
      <c r="I821" s="154"/>
      <c r="J821" s="154"/>
      <c r="K821" s="154"/>
      <c r="L821" s="154"/>
      <c r="M821" s="154"/>
      <c r="N821" s="154"/>
      <c r="O821" s="154"/>
    </row>
    <row r="822" spans="3:15">
      <c r="C822" s="154"/>
      <c r="D822" s="154"/>
      <c r="E822" s="154"/>
      <c r="F822" s="154"/>
      <c r="G822" s="154"/>
      <c r="H822" s="154"/>
      <c r="I822" s="154"/>
      <c r="J822" s="154"/>
      <c r="K822" s="154"/>
      <c r="L822" s="154"/>
      <c r="M822" s="154"/>
      <c r="N822" s="154"/>
      <c r="O822" s="154"/>
    </row>
    <row r="823" spans="3:15">
      <c r="C823" s="154"/>
      <c r="D823" s="154"/>
      <c r="E823" s="154"/>
      <c r="F823" s="154"/>
      <c r="G823" s="154"/>
      <c r="H823" s="154"/>
      <c r="I823" s="154"/>
      <c r="J823" s="154"/>
      <c r="K823" s="154"/>
      <c r="L823" s="154"/>
      <c r="M823" s="154"/>
      <c r="N823" s="154"/>
      <c r="O823" s="154"/>
    </row>
    <row r="824" spans="3:15">
      <c r="C824" s="154"/>
      <c r="D824" s="154"/>
      <c r="E824" s="154"/>
      <c r="F824" s="154"/>
      <c r="G824" s="154"/>
      <c r="H824" s="154"/>
      <c r="I824" s="154"/>
      <c r="J824" s="154"/>
      <c r="K824" s="154"/>
      <c r="L824" s="154"/>
      <c r="M824" s="154"/>
      <c r="N824" s="154"/>
      <c r="O824" s="154"/>
    </row>
    <row r="825" spans="3:15">
      <c r="C825" s="154"/>
      <c r="D825" s="154"/>
      <c r="E825" s="154"/>
      <c r="F825" s="154"/>
      <c r="G825" s="154"/>
      <c r="H825" s="154"/>
      <c r="I825" s="154"/>
      <c r="J825" s="154"/>
      <c r="K825" s="154"/>
      <c r="L825" s="154"/>
      <c r="M825" s="154"/>
      <c r="N825" s="154"/>
      <c r="O825" s="154"/>
    </row>
    <row r="826" spans="3:15">
      <c r="C826" s="154"/>
      <c r="D826" s="154"/>
      <c r="E826" s="154"/>
      <c r="F826" s="154"/>
      <c r="G826" s="154"/>
      <c r="H826" s="154"/>
      <c r="I826" s="154"/>
      <c r="J826" s="154"/>
      <c r="K826" s="154"/>
      <c r="L826" s="154"/>
      <c r="M826" s="154"/>
      <c r="N826" s="154"/>
      <c r="O826" s="154"/>
    </row>
    <row r="827" spans="3:15">
      <c r="C827" s="154"/>
      <c r="D827" s="154"/>
      <c r="E827" s="154"/>
      <c r="F827" s="154"/>
      <c r="G827" s="154"/>
      <c r="H827" s="154"/>
      <c r="I827" s="154"/>
      <c r="J827" s="154"/>
      <c r="K827" s="154"/>
      <c r="L827" s="154"/>
      <c r="M827" s="154"/>
      <c r="N827" s="154"/>
      <c r="O827" s="154"/>
    </row>
    <row r="828" spans="3:15">
      <c r="C828" s="154"/>
      <c r="D828" s="154"/>
      <c r="E828" s="154"/>
      <c r="F828" s="154"/>
      <c r="G828" s="154"/>
      <c r="H828" s="154"/>
      <c r="I828" s="154"/>
      <c r="J828" s="154"/>
      <c r="K828" s="154"/>
      <c r="L828" s="154"/>
      <c r="M828" s="154"/>
      <c r="N828" s="154"/>
      <c r="O828" s="154"/>
    </row>
    <row r="829" spans="3:15">
      <c r="C829" s="154"/>
      <c r="D829" s="154"/>
      <c r="E829" s="154"/>
      <c r="F829" s="154"/>
      <c r="G829" s="154"/>
      <c r="H829" s="154"/>
      <c r="I829" s="154"/>
      <c r="J829" s="154"/>
      <c r="K829" s="154"/>
      <c r="L829" s="154"/>
      <c r="M829" s="154"/>
      <c r="N829" s="154"/>
      <c r="O829" s="154"/>
    </row>
    <row r="830" spans="3:15">
      <c r="C830" s="154"/>
      <c r="D830" s="154"/>
      <c r="E830" s="154"/>
      <c r="F830" s="154"/>
      <c r="G830" s="154"/>
      <c r="H830" s="154"/>
      <c r="I830" s="154"/>
      <c r="J830" s="154"/>
      <c r="K830" s="154"/>
      <c r="L830" s="154"/>
      <c r="M830" s="154"/>
      <c r="N830" s="154"/>
      <c r="O830" s="154"/>
    </row>
    <row r="831" spans="3:15">
      <c r="C831" s="154"/>
      <c r="D831" s="154"/>
      <c r="E831" s="154"/>
      <c r="F831" s="154"/>
      <c r="G831" s="154"/>
      <c r="H831" s="154"/>
      <c r="I831" s="154"/>
      <c r="J831" s="154"/>
      <c r="K831" s="154"/>
      <c r="L831" s="154"/>
      <c r="M831" s="154"/>
      <c r="N831" s="154"/>
      <c r="O831" s="154"/>
    </row>
    <row r="832" spans="3:15">
      <c r="C832" s="154"/>
      <c r="D832" s="154"/>
      <c r="E832" s="154"/>
      <c r="F832" s="154"/>
      <c r="G832" s="154"/>
      <c r="H832" s="154"/>
      <c r="I832" s="154"/>
      <c r="J832" s="154"/>
      <c r="K832" s="154"/>
      <c r="L832" s="154"/>
      <c r="M832" s="154"/>
      <c r="N832" s="154"/>
      <c r="O832" s="154"/>
    </row>
    <row r="833" spans="3:15">
      <c r="C833" s="154"/>
      <c r="D833" s="154"/>
      <c r="E833" s="154"/>
      <c r="F833" s="154"/>
      <c r="G833" s="154"/>
      <c r="H833" s="154"/>
      <c r="I833" s="154"/>
      <c r="J833" s="154"/>
      <c r="K833" s="154"/>
      <c r="L833" s="154"/>
      <c r="M833" s="154"/>
      <c r="N833" s="154"/>
      <c r="O833" s="154"/>
    </row>
    <row r="834" spans="3:15">
      <c r="C834" s="154"/>
      <c r="D834" s="154"/>
      <c r="E834" s="154"/>
      <c r="F834" s="154"/>
      <c r="G834" s="154"/>
      <c r="H834" s="154"/>
      <c r="I834" s="154"/>
      <c r="J834" s="154"/>
      <c r="K834" s="154"/>
      <c r="L834" s="154"/>
      <c r="M834" s="154"/>
      <c r="N834" s="154"/>
      <c r="O834" s="154"/>
    </row>
    <row r="835" spans="3:15">
      <c r="C835" s="154"/>
      <c r="D835" s="154"/>
      <c r="E835" s="154"/>
      <c r="F835" s="154"/>
      <c r="G835" s="154"/>
      <c r="H835" s="154"/>
      <c r="I835" s="154"/>
      <c r="J835" s="154"/>
      <c r="K835" s="154"/>
      <c r="L835" s="154"/>
      <c r="M835" s="154"/>
      <c r="N835" s="154"/>
      <c r="O835" s="154"/>
    </row>
    <row r="836" spans="3:15">
      <c r="C836" s="154"/>
      <c r="D836" s="154"/>
      <c r="E836" s="154"/>
      <c r="F836" s="154"/>
      <c r="G836" s="154"/>
      <c r="H836" s="154"/>
      <c r="I836" s="154"/>
      <c r="J836" s="154"/>
      <c r="K836" s="154"/>
      <c r="L836" s="154"/>
      <c r="M836" s="154"/>
      <c r="N836" s="154"/>
      <c r="O836" s="154"/>
    </row>
    <row r="837" spans="3:15">
      <c r="C837" s="154"/>
      <c r="D837" s="154"/>
      <c r="E837" s="154"/>
      <c r="F837" s="154"/>
      <c r="G837" s="154"/>
      <c r="H837" s="154"/>
      <c r="I837" s="154"/>
      <c r="J837" s="154"/>
      <c r="K837" s="154"/>
      <c r="L837" s="154"/>
      <c r="M837" s="154"/>
      <c r="N837" s="154"/>
      <c r="O837" s="154"/>
    </row>
    <row r="838" spans="3:15">
      <c r="C838" s="154"/>
      <c r="D838" s="154"/>
      <c r="E838" s="154"/>
      <c r="F838" s="154"/>
      <c r="G838" s="154"/>
      <c r="H838" s="154"/>
      <c r="I838" s="154"/>
      <c r="J838" s="154"/>
      <c r="K838" s="154"/>
      <c r="L838" s="154"/>
      <c r="M838" s="154"/>
      <c r="N838" s="154"/>
      <c r="O838" s="154"/>
    </row>
    <row r="839" spans="3:15">
      <c r="C839" s="154"/>
      <c r="D839" s="154"/>
      <c r="E839" s="154"/>
      <c r="F839" s="154"/>
      <c r="G839" s="154"/>
      <c r="H839" s="154"/>
      <c r="I839" s="154"/>
      <c r="J839" s="154"/>
      <c r="K839" s="154"/>
      <c r="L839" s="154"/>
      <c r="M839" s="154"/>
      <c r="N839" s="154"/>
      <c r="O839" s="154"/>
    </row>
    <row r="840" spans="3:15">
      <c r="C840" s="154"/>
      <c r="D840" s="154"/>
      <c r="E840" s="154"/>
      <c r="F840" s="154"/>
      <c r="G840" s="154"/>
      <c r="H840" s="154"/>
      <c r="I840" s="154"/>
      <c r="J840" s="154"/>
      <c r="K840" s="154"/>
      <c r="L840" s="154"/>
      <c r="M840" s="154"/>
      <c r="N840" s="154"/>
      <c r="O840" s="154"/>
    </row>
    <row r="841" spans="3:15">
      <c r="C841" s="154"/>
      <c r="D841" s="154"/>
      <c r="E841" s="154"/>
      <c r="F841" s="154"/>
      <c r="G841" s="154"/>
      <c r="H841" s="154"/>
      <c r="I841" s="154"/>
      <c r="J841" s="154"/>
      <c r="K841" s="154"/>
      <c r="L841" s="154"/>
      <c r="M841" s="154"/>
      <c r="N841" s="154"/>
      <c r="O841" s="154"/>
    </row>
    <row r="842" spans="3:15">
      <c r="C842" s="154"/>
      <c r="D842" s="154"/>
      <c r="E842" s="154"/>
      <c r="F842" s="154"/>
      <c r="G842" s="154"/>
      <c r="H842" s="154"/>
      <c r="I842" s="154"/>
      <c r="J842" s="154"/>
      <c r="K842" s="154"/>
      <c r="L842" s="154"/>
      <c r="M842" s="154"/>
      <c r="N842" s="154"/>
      <c r="O842" s="154"/>
    </row>
    <row r="843" spans="3:15">
      <c r="C843" s="154"/>
      <c r="D843" s="154"/>
      <c r="E843" s="154"/>
      <c r="F843" s="154"/>
      <c r="G843" s="154"/>
      <c r="H843" s="154"/>
      <c r="I843" s="154"/>
      <c r="J843" s="154"/>
      <c r="K843" s="154"/>
      <c r="L843" s="154"/>
      <c r="M843" s="154"/>
      <c r="N843" s="154"/>
      <c r="O843" s="154"/>
    </row>
    <row r="844" spans="3:15">
      <c r="C844" s="154"/>
      <c r="D844" s="154"/>
      <c r="E844" s="154"/>
      <c r="F844" s="154"/>
      <c r="G844" s="154"/>
      <c r="H844" s="154"/>
      <c r="I844" s="154"/>
      <c r="J844" s="154"/>
      <c r="K844" s="154"/>
      <c r="L844" s="154"/>
      <c r="M844" s="154"/>
      <c r="N844" s="154"/>
      <c r="O844" s="154"/>
    </row>
    <row r="845" spans="3:15">
      <c r="C845" s="154"/>
      <c r="D845" s="154"/>
      <c r="E845" s="154"/>
      <c r="F845" s="154"/>
      <c r="G845" s="154"/>
      <c r="H845" s="154"/>
      <c r="I845" s="154"/>
      <c r="J845" s="154"/>
      <c r="K845" s="154"/>
      <c r="L845" s="154"/>
      <c r="M845" s="154"/>
      <c r="N845" s="154"/>
      <c r="O845" s="154"/>
    </row>
    <row r="846" spans="3:15">
      <c r="C846" s="154"/>
      <c r="D846" s="154"/>
      <c r="E846" s="154"/>
      <c r="F846" s="154"/>
      <c r="G846" s="154"/>
      <c r="H846" s="154"/>
      <c r="I846" s="154"/>
      <c r="J846" s="154"/>
      <c r="K846" s="154"/>
      <c r="L846" s="154"/>
      <c r="M846" s="154"/>
      <c r="N846" s="154"/>
      <c r="O846" s="154"/>
    </row>
    <row r="847" spans="3:15">
      <c r="C847" s="154"/>
      <c r="D847" s="154"/>
      <c r="E847" s="154"/>
      <c r="F847" s="154"/>
      <c r="G847" s="154"/>
      <c r="H847" s="154"/>
      <c r="I847" s="154"/>
      <c r="J847" s="154"/>
      <c r="K847" s="154"/>
      <c r="L847" s="154"/>
      <c r="M847" s="154"/>
      <c r="N847" s="154"/>
      <c r="O847" s="154"/>
    </row>
    <row r="848" spans="3:15">
      <c r="C848" s="154"/>
      <c r="D848" s="154"/>
      <c r="E848" s="154"/>
      <c r="F848" s="154"/>
      <c r="G848" s="154"/>
      <c r="H848" s="154"/>
      <c r="I848" s="154"/>
      <c r="J848" s="154"/>
      <c r="K848" s="154"/>
      <c r="L848" s="154"/>
      <c r="M848" s="154"/>
      <c r="N848" s="154"/>
      <c r="O848" s="154"/>
    </row>
    <row r="849" spans="3:15">
      <c r="C849" s="154"/>
      <c r="D849" s="154"/>
      <c r="E849" s="154"/>
      <c r="F849" s="154"/>
      <c r="G849" s="154"/>
      <c r="H849" s="154"/>
      <c r="I849" s="154"/>
      <c r="J849" s="154"/>
      <c r="K849" s="154"/>
      <c r="L849" s="154"/>
      <c r="M849" s="154"/>
      <c r="N849" s="154"/>
      <c r="O849" s="154"/>
    </row>
    <row r="850" spans="3:15">
      <c r="C850" s="154"/>
      <c r="D850" s="154"/>
      <c r="E850" s="154"/>
      <c r="F850" s="154"/>
      <c r="G850" s="154"/>
      <c r="H850" s="154"/>
      <c r="I850" s="154"/>
      <c r="J850" s="154"/>
      <c r="K850" s="154"/>
      <c r="L850" s="154"/>
      <c r="M850" s="154"/>
      <c r="N850" s="154"/>
      <c r="O850" s="154"/>
    </row>
    <row r="851" spans="3:15">
      <c r="C851" s="154"/>
      <c r="D851" s="154"/>
      <c r="E851" s="154"/>
      <c r="F851" s="154"/>
      <c r="G851" s="154"/>
      <c r="H851" s="154"/>
      <c r="I851" s="154"/>
      <c r="J851" s="154"/>
      <c r="K851" s="154"/>
      <c r="L851" s="154"/>
      <c r="M851" s="154"/>
      <c r="N851" s="154"/>
      <c r="O851" s="154"/>
    </row>
    <row r="852" spans="3:15">
      <c r="C852" s="154"/>
      <c r="D852" s="154"/>
      <c r="E852" s="154"/>
      <c r="F852" s="154"/>
      <c r="G852" s="154"/>
      <c r="H852" s="154"/>
      <c r="I852" s="154"/>
      <c r="J852" s="154"/>
      <c r="K852" s="154"/>
      <c r="L852" s="154"/>
      <c r="M852" s="154"/>
      <c r="N852" s="154"/>
      <c r="O852" s="154"/>
    </row>
    <row r="853" spans="3:15">
      <c r="C853" s="154"/>
      <c r="D853" s="154"/>
      <c r="E853" s="154"/>
      <c r="F853" s="154"/>
      <c r="G853" s="154"/>
      <c r="H853" s="154"/>
      <c r="I853" s="154"/>
      <c r="J853" s="154"/>
      <c r="K853" s="154"/>
      <c r="L853" s="154"/>
      <c r="M853" s="154"/>
      <c r="N853" s="154"/>
      <c r="O853" s="154"/>
    </row>
    <row r="854" spans="3:15">
      <c r="C854" s="154"/>
      <c r="D854" s="154"/>
      <c r="E854" s="154"/>
      <c r="F854" s="154"/>
      <c r="G854" s="154"/>
      <c r="H854" s="154"/>
      <c r="I854" s="154"/>
      <c r="J854" s="154"/>
      <c r="K854" s="154"/>
      <c r="L854" s="154"/>
      <c r="M854" s="154"/>
      <c r="N854" s="154"/>
      <c r="O854" s="154"/>
    </row>
    <row r="855" spans="3:15">
      <c r="C855" s="154"/>
      <c r="D855" s="154"/>
      <c r="E855" s="154"/>
      <c r="F855" s="154"/>
      <c r="G855" s="154"/>
      <c r="H855" s="154"/>
      <c r="I855" s="154"/>
      <c r="J855" s="154"/>
      <c r="K855" s="154"/>
      <c r="L855" s="154"/>
      <c r="M855" s="154"/>
      <c r="N855" s="154"/>
      <c r="O855" s="154"/>
    </row>
    <row r="856" spans="3:15">
      <c r="C856" s="154"/>
      <c r="D856" s="154"/>
      <c r="E856" s="154"/>
      <c r="F856" s="154"/>
      <c r="G856" s="154"/>
      <c r="H856" s="154"/>
      <c r="I856" s="154"/>
      <c r="J856" s="154"/>
      <c r="K856" s="154"/>
      <c r="L856" s="154"/>
      <c r="M856" s="154"/>
      <c r="N856" s="154"/>
      <c r="O856" s="154"/>
    </row>
    <row r="857" spans="3:15">
      <c r="C857" s="154"/>
      <c r="D857" s="154"/>
      <c r="E857" s="154"/>
      <c r="F857" s="154"/>
      <c r="G857" s="154"/>
      <c r="H857" s="154"/>
      <c r="I857" s="154"/>
      <c r="J857" s="154"/>
      <c r="K857" s="154"/>
      <c r="L857" s="154"/>
      <c r="M857" s="154"/>
      <c r="N857" s="154"/>
      <c r="O857" s="154"/>
    </row>
    <row r="858" spans="3:15">
      <c r="C858" s="154"/>
      <c r="D858" s="154"/>
      <c r="E858" s="154"/>
      <c r="F858" s="154"/>
      <c r="G858" s="154"/>
      <c r="H858" s="154"/>
      <c r="I858" s="154"/>
      <c r="J858" s="154"/>
      <c r="K858" s="154"/>
      <c r="L858" s="154"/>
      <c r="M858" s="154"/>
      <c r="N858" s="154"/>
      <c r="O858" s="154"/>
    </row>
    <row r="859" spans="3:15">
      <c r="C859" s="154"/>
      <c r="D859" s="154"/>
      <c r="E859" s="154"/>
      <c r="F859" s="154"/>
      <c r="G859" s="154"/>
      <c r="H859" s="154"/>
      <c r="I859" s="154"/>
      <c r="J859" s="154"/>
      <c r="K859" s="154"/>
      <c r="L859" s="154"/>
      <c r="M859" s="154"/>
      <c r="N859" s="154"/>
      <c r="O859" s="154"/>
    </row>
    <row r="860" spans="3:15">
      <c r="C860" s="154"/>
      <c r="D860" s="154"/>
      <c r="E860" s="154"/>
      <c r="F860" s="154"/>
      <c r="G860" s="154"/>
      <c r="H860" s="154"/>
      <c r="I860" s="154"/>
      <c r="J860" s="154"/>
      <c r="K860" s="154"/>
      <c r="L860" s="154"/>
      <c r="M860" s="154"/>
      <c r="N860" s="154"/>
      <c r="O860" s="154"/>
    </row>
    <row r="861" spans="3:15">
      <c r="C861" s="154"/>
      <c r="D861" s="154"/>
      <c r="E861" s="154"/>
      <c r="F861" s="154"/>
      <c r="G861" s="154"/>
      <c r="H861" s="154"/>
      <c r="I861" s="154"/>
      <c r="J861" s="154"/>
      <c r="K861" s="154"/>
      <c r="L861" s="154"/>
      <c r="M861" s="154"/>
      <c r="N861" s="154"/>
      <c r="O861" s="154"/>
    </row>
    <row r="862" spans="3:15">
      <c r="C862" s="154"/>
      <c r="D862" s="154"/>
      <c r="E862" s="154"/>
      <c r="F862" s="154"/>
      <c r="G862" s="154"/>
      <c r="H862" s="154"/>
      <c r="I862" s="154"/>
      <c r="J862" s="154"/>
      <c r="K862" s="154"/>
      <c r="L862" s="154"/>
      <c r="M862" s="154"/>
      <c r="N862" s="154"/>
      <c r="O862" s="154"/>
    </row>
    <row r="863" spans="3:15">
      <c r="C863" s="154"/>
      <c r="D863" s="154"/>
      <c r="E863" s="154"/>
      <c r="F863" s="154"/>
      <c r="G863" s="154"/>
      <c r="H863" s="154"/>
      <c r="I863" s="154"/>
      <c r="J863" s="154"/>
      <c r="K863" s="154"/>
      <c r="L863" s="154"/>
      <c r="M863" s="154"/>
      <c r="N863" s="154"/>
      <c r="O863" s="154"/>
    </row>
    <row r="864" spans="3:15">
      <c r="C864" s="154"/>
      <c r="D864" s="154"/>
      <c r="E864" s="154"/>
      <c r="F864" s="154"/>
      <c r="G864" s="154"/>
      <c r="H864" s="154"/>
      <c r="I864" s="154"/>
      <c r="J864" s="154"/>
      <c r="K864" s="154"/>
      <c r="L864" s="154"/>
      <c r="M864" s="154"/>
      <c r="N864" s="154"/>
      <c r="O864" s="154"/>
    </row>
    <row r="865" spans="3:15">
      <c r="C865" s="154"/>
      <c r="D865" s="154"/>
      <c r="E865" s="154"/>
      <c r="F865" s="154"/>
      <c r="G865" s="154"/>
      <c r="H865" s="154"/>
      <c r="I865" s="154"/>
      <c r="J865" s="154"/>
      <c r="K865" s="154"/>
      <c r="L865" s="154"/>
      <c r="M865" s="154"/>
      <c r="N865" s="154"/>
      <c r="O865" s="154"/>
    </row>
    <row r="866" spans="3:15">
      <c r="C866" s="154"/>
      <c r="D866" s="154"/>
      <c r="E866" s="154"/>
      <c r="F866" s="154"/>
      <c r="G866" s="154"/>
      <c r="H866" s="154"/>
      <c r="I866" s="154"/>
      <c r="J866" s="154"/>
      <c r="K866" s="154"/>
      <c r="L866" s="154"/>
      <c r="M866" s="154"/>
      <c r="N866" s="154"/>
      <c r="O866" s="154"/>
    </row>
    <row r="867" spans="3:15">
      <c r="C867" s="154"/>
      <c r="D867" s="154"/>
      <c r="E867" s="154"/>
      <c r="F867" s="154"/>
      <c r="G867" s="154"/>
      <c r="H867" s="154"/>
      <c r="I867" s="154"/>
      <c r="J867" s="154"/>
      <c r="K867" s="154"/>
      <c r="L867" s="154"/>
      <c r="M867" s="154"/>
      <c r="N867" s="154"/>
      <c r="O867" s="154"/>
    </row>
    <row r="868" spans="3:15">
      <c r="C868" s="154"/>
      <c r="D868" s="154"/>
      <c r="E868" s="154"/>
      <c r="F868" s="154"/>
      <c r="G868" s="154"/>
      <c r="H868" s="154"/>
      <c r="I868" s="154"/>
      <c r="J868" s="154"/>
      <c r="K868" s="154"/>
      <c r="L868" s="154"/>
      <c r="M868" s="154"/>
      <c r="N868" s="154"/>
      <c r="O868" s="154"/>
    </row>
    <row r="869" spans="3:15">
      <c r="C869" s="154"/>
      <c r="D869" s="154"/>
      <c r="E869" s="154"/>
      <c r="F869" s="154"/>
      <c r="G869" s="154"/>
      <c r="H869" s="154"/>
      <c r="I869" s="154"/>
      <c r="J869" s="154"/>
      <c r="K869" s="154"/>
      <c r="L869" s="154"/>
      <c r="M869" s="154"/>
      <c r="N869" s="154"/>
      <c r="O869" s="154"/>
    </row>
    <row r="870" spans="3:15">
      <c r="C870" s="154"/>
      <c r="D870" s="154"/>
      <c r="E870" s="154"/>
      <c r="F870" s="154"/>
      <c r="G870" s="154"/>
      <c r="H870" s="154"/>
      <c r="I870" s="154"/>
      <c r="J870" s="154"/>
      <c r="K870" s="154"/>
      <c r="L870" s="154"/>
      <c r="M870" s="154"/>
      <c r="N870" s="154"/>
      <c r="O870" s="154"/>
    </row>
    <row r="871" spans="3:15">
      <c r="C871" s="154"/>
      <c r="D871" s="154"/>
      <c r="E871" s="154"/>
      <c r="F871" s="154"/>
      <c r="G871" s="154"/>
      <c r="H871" s="154"/>
      <c r="I871" s="154"/>
      <c r="J871" s="154"/>
      <c r="K871" s="154"/>
      <c r="L871" s="154"/>
      <c r="M871" s="154"/>
      <c r="N871" s="154"/>
      <c r="O871" s="154"/>
    </row>
    <row r="872" spans="3:15">
      <c r="C872" s="154"/>
      <c r="D872" s="154"/>
      <c r="E872" s="154"/>
      <c r="F872" s="154"/>
      <c r="G872" s="154"/>
      <c r="H872" s="154"/>
      <c r="I872" s="154"/>
      <c r="J872" s="154"/>
      <c r="K872" s="154"/>
      <c r="L872" s="154"/>
      <c r="M872" s="154"/>
      <c r="N872" s="154"/>
      <c r="O872" s="154"/>
    </row>
    <row r="873" spans="3:15">
      <c r="C873" s="154"/>
      <c r="D873" s="154"/>
      <c r="E873" s="154"/>
      <c r="F873" s="154"/>
      <c r="G873" s="154"/>
      <c r="H873" s="154"/>
      <c r="I873" s="154"/>
      <c r="J873" s="154"/>
      <c r="K873" s="154"/>
      <c r="L873" s="154"/>
      <c r="M873" s="154"/>
      <c r="N873" s="154"/>
      <c r="O873" s="154"/>
    </row>
    <row r="874" spans="3:15">
      <c r="C874" s="154"/>
      <c r="D874" s="154"/>
      <c r="E874" s="154"/>
      <c r="F874" s="154"/>
      <c r="G874" s="154"/>
      <c r="H874" s="154"/>
      <c r="I874" s="154"/>
      <c r="J874" s="154"/>
      <c r="K874" s="154"/>
      <c r="L874" s="154"/>
      <c r="M874" s="154"/>
      <c r="N874" s="154"/>
      <c r="O874" s="154"/>
    </row>
    <row r="875" spans="3:15">
      <c r="C875" s="154"/>
      <c r="D875" s="154"/>
      <c r="E875" s="154"/>
      <c r="F875" s="154"/>
      <c r="G875" s="154"/>
      <c r="H875" s="154"/>
      <c r="I875" s="154"/>
      <c r="J875" s="154"/>
      <c r="K875" s="154"/>
      <c r="L875" s="154"/>
      <c r="M875" s="154"/>
      <c r="N875" s="154"/>
      <c r="O875" s="154"/>
    </row>
    <row r="876" spans="3:15">
      <c r="C876" s="154"/>
      <c r="D876" s="154"/>
      <c r="E876" s="154"/>
      <c r="F876" s="154"/>
      <c r="G876" s="154"/>
      <c r="H876" s="154"/>
      <c r="I876" s="154"/>
      <c r="J876" s="154"/>
      <c r="K876" s="154"/>
      <c r="L876" s="154"/>
      <c r="M876" s="154"/>
      <c r="N876" s="154"/>
      <c r="O876" s="154"/>
    </row>
    <row r="877" spans="3:15">
      <c r="C877" s="154"/>
      <c r="D877" s="154"/>
      <c r="E877" s="154"/>
      <c r="F877" s="154"/>
      <c r="G877" s="154"/>
      <c r="H877" s="154"/>
      <c r="I877" s="154"/>
      <c r="J877" s="154"/>
      <c r="K877" s="154"/>
      <c r="L877" s="154"/>
      <c r="M877" s="154"/>
      <c r="N877" s="154"/>
      <c r="O877" s="154"/>
    </row>
    <row r="878" spans="3:15">
      <c r="C878" s="154"/>
      <c r="D878" s="154"/>
      <c r="E878" s="154"/>
      <c r="F878" s="154"/>
      <c r="G878" s="154"/>
      <c r="H878" s="154"/>
      <c r="I878" s="154"/>
      <c r="J878" s="154"/>
      <c r="K878" s="154"/>
      <c r="L878" s="154"/>
      <c r="M878" s="154"/>
      <c r="N878" s="154"/>
      <c r="O878" s="154"/>
    </row>
    <row r="879" spans="3:15">
      <c r="C879" s="154"/>
      <c r="D879" s="154"/>
      <c r="E879" s="154"/>
      <c r="F879" s="154"/>
      <c r="G879" s="154"/>
      <c r="H879" s="154"/>
      <c r="I879" s="154"/>
      <c r="J879" s="154"/>
      <c r="K879" s="154"/>
      <c r="L879" s="154"/>
      <c r="M879" s="154"/>
      <c r="N879" s="154"/>
      <c r="O879" s="154"/>
    </row>
    <row r="880" spans="3:15">
      <c r="C880" s="154"/>
      <c r="D880" s="154"/>
      <c r="E880" s="154"/>
      <c r="F880" s="154"/>
      <c r="G880" s="154"/>
      <c r="H880" s="154"/>
      <c r="I880" s="154"/>
      <c r="J880" s="154"/>
      <c r="K880" s="154"/>
      <c r="L880" s="154"/>
      <c r="M880" s="154"/>
      <c r="N880" s="154"/>
      <c r="O880" s="154"/>
    </row>
    <row r="881" spans="3:15">
      <c r="C881" s="154"/>
      <c r="D881" s="154"/>
      <c r="E881" s="154"/>
      <c r="F881" s="154"/>
      <c r="G881" s="154"/>
      <c r="H881" s="154"/>
      <c r="I881" s="154"/>
      <c r="J881" s="154"/>
      <c r="K881" s="154"/>
      <c r="L881" s="154"/>
      <c r="M881" s="154"/>
      <c r="N881" s="154"/>
      <c r="O881" s="154"/>
    </row>
    <row r="882" spans="3:15">
      <c r="C882" s="154"/>
      <c r="D882" s="154"/>
      <c r="E882" s="154"/>
      <c r="F882" s="154"/>
      <c r="G882" s="154"/>
      <c r="H882" s="154"/>
      <c r="I882" s="154"/>
      <c r="J882" s="154"/>
      <c r="K882" s="154"/>
      <c r="L882" s="154"/>
      <c r="M882" s="154"/>
      <c r="N882" s="154"/>
      <c r="O882" s="154"/>
    </row>
    <row r="883" spans="3:15">
      <c r="C883" s="154"/>
      <c r="D883" s="154"/>
      <c r="E883" s="154"/>
      <c r="F883" s="154"/>
      <c r="G883" s="154"/>
      <c r="H883" s="154"/>
      <c r="I883" s="154"/>
      <c r="J883" s="154"/>
      <c r="K883" s="154"/>
      <c r="L883" s="154"/>
      <c r="M883" s="154"/>
      <c r="N883" s="154"/>
      <c r="O883" s="154"/>
    </row>
    <row r="884" spans="3:15">
      <c r="C884" s="154"/>
      <c r="D884" s="154"/>
      <c r="E884" s="154"/>
      <c r="F884" s="154"/>
      <c r="G884" s="154"/>
      <c r="H884" s="154"/>
      <c r="I884" s="154"/>
      <c r="J884" s="154"/>
      <c r="K884" s="154"/>
      <c r="L884" s="154"/>
      <c r="M884" s="154"/>
      <c r="N884" s="154"/>
      <c r="O884" s="154"/>
    </row>
    <row r="885" spans="3:15">
      <c r="C885" s="154"/>
      <c r="D885" s="154"/>
      <c r="E885" s="154"/>
      <c r="F885" s="154"/>
      <c r="G885" s="154"/>
      <c r="H885" s="154"/>
      <c r="I885" s="154"/>
      <c r="J885" s="154"/>
      <c r="K885" s="154"/>
      <c r="L885" s="154"/>
      <c r="M885" s="154"/>
      <c r="N885" s="154"/>
      <c r="O885" s="154"/>
    </row>
    <row r="886" spans="3:15">
      <c r="C886" s="154"/>
      <c r="D886" s="154"/>
      <c r="E886" s="154"/>
      <c r="F886" s="154"/>
      <c r="G886" s="154"/>
      <c r="H886" s="154"/>
      <c r="I886" s="154"/>
      <c r="J886" s="154"/>
      <c r="K886" s="154"/>
      <c r="L886" s="154"/>
      <c r="M886" s="154"/>
      <c r="N886" s="154"/>
      <c r="O886" s="154"/>
    </row>
    <row r="887" spans="3:15">
      <c r="C887" s="154"/>
      <c r="D887" s="154"/>
      <c r="E887" s="154"/>
      <c r="F887" s="154"/>
      <c r="G887" s="154"/>
      <c r="H887" s="154"/>
      <c r="I887" s="154"/>
      <c r="J887" s="154"/>
      <c r="K887" s="154"/>
      <c r="L887" s="154"/>
      <c r="M887" s="154"/>
      <c r="N887" s="154"/>
      <c r="O887" s="154"/>
    </row>
    <row r="888" spans="3:15">
      <c r="C888" s="154"/>
      <c r="D888" s="154"/>
      <c r="E888" s="154"/>
      <c r="F888" s="154"/>
      <c r="G888" s="154"/>
      <c r="H888" s="154"/>
      <c r="I888" s="154"/>
      <c r="J888" s="154"/>
      <c r="K888" s="154"/>
      <c r="L888" s="154"/>
      <c r="M888" s="154"/>
      <c r="N888" s="154"/>
      <c r="O888" s="154"/>
    </row>
    <row r="889" spans="3:15">
      <c r="C889" s="154"/>
      <c r="D889" s="154"/>
      <c r="E889" s="154"/>
      <c r="F889" s="154"/>
      <c r="G889" s="154"/>
      <c r="H889" s="154"/>
      <c r="I889" s="154"/>
      <c r="J889" s="154"/>
      <c r="K889" s="154"/>
      <c r="L889" s="154"/>
      <c r="M889" s="154"/>
      <c r="N889" s="154"/>
      <c r="O889" s="154"/>
    </row>
    <row r="890" spans="3:15">
      <c r="C890" s="154"/>
      <c r="D890" s="154"/>
      <c r="E890" s="154"/>
      <c r="F890" s="154"/>
      <c r="G890" s="154"/>
      <c r="H890" s="154"/>
      <c r="I890" s="154"/>
      <c r="J890" s="154"/>
      <c r="K890" s="154"/>
      <c r="L890" s="154"/>
      <c r="M890" s="154"/>
      <c r="N890" s="154"/>
      <c r="O890" s="154"/>
    </row>
    <row r="891" spans="3:15">
      <c r="C891" s="154"/>
      <c r="D891" s="154"/>
      <c r="E891" s="154"/>
      <c r="F891" s="154"/>
      <c r="G891" s="154"/>
      <c r="H891" s="154"/>
      <c r="I891" s="154"/>
      <c r="J891" s="154"/>
      <c r="K891" s="154"/>
      <c r="L891" s="154"/>
      <c r="M891" s="154"/>
      <c r="N891" s="154"/>
      <c r="O891" s="154"/>
    </row>
    <row r="892" spans="3:15">
      <c r="C892" s="154"/>
      <c r="D892" s="154"/>
      <c r="E892" s="154"/>
      <c r="F892" s="154"/>
      <c r="G892" s="154"/>
      <c r="H892" s="154"/>
      <c r="I892" s="154"/>
      <c r="J892" s="154"/>
      <c r="K892" s="154"/>
      <c r="L892" s="154"/>
      <c r="M892" s="154"/>
      <c r="N892" s="154"/>
      <c r="O892" s="154"/>
    </row>
    <row r="893" spans="3:15">
      <c r="C893" s="154"/>
      <c r="D893" s="154"/>
      <c r="E893" s="154"/>
      <c r="F893" s="154"/>
      <c r="G893" s="154"/>
      <c r="H893" s="154"/>
      <c r="I893" s="154"/>
      <c r="J893" s="154"/>
      <c r="K893" s="154"/>
      <c r="L893" s="154"/>
      <c r="M893" s="154"/>
      <c r="N893" s="154"/>
      <c r="O893" s="154"/>
    </row>
    <row r="894" spans="3:15">
      <c r="C894" s="154"/>
      <c r="D894" s="154"/>
      <c r="E894" s="154"/>
      <c r="F894" s="154"/>
      <c r="G894" s="154"/>
      <c r="H894" s="154"/>
      <c r="I894" s="154"/>
      <c r="J894" s="154"/>
      <c r="K894" s="154"/>
      <c r="L894" s="154"/>
      <c r="M894" s="154"/>
      <c r="N894" s="154"/>
      <c r="O894" s="154"/>
    </row>
    <row r="895" spans="3:15">
      <c r="C895" s="154"/>
      <c r="D895" s="154"/>
      <c r="E895" s="154"/>
      <c r="F895" s="154"/>
      <c r="G895" s="154"/>
      <c r="H895" s="154"/>
      <c r="I895" s="154"/>
      <c r="J895" s="154"/>
      <c r="K895" s="154"/>
      <c r="L895" s="154"/>
      <c r="M895" s="154"/>
      <c r="N895" s="154"/>
      <c r="O895" s="154"/>
    </row>
    <row r="896" spans="3:15">
      <c r="C896" s="154"/>
      <c r="D896" s="154"/>
      <c r="E896" s="154"/>
      <c r="F896" s="154"/>
      <c r="G896" s="154"/>
      <c r="H896" s="154"/>
      <c r="I896" s="154"/>
      <c r="J896" s="154"/>
      <c r="K896" s="154"/>
      <c r="L896" s="154"/>
      <c r="M896" s="154"/>
      <c r="N896" s="154"/>
      <c r="O896" s="154"/>
    </row>
    <row r="897" spans="3:15">
      <c r="C897" s="154"/>
      <c r="D897" s="154"/>
      <c r="E897" s="154"/>
      <c r="F897" s="154"/>
      <c r="G897" s="154"/>
      <c r="H897" s="154"/>
      <c r="I897" s="154"/>
      <c r="J897" s="154"/>
      <c r="K897" s="154"/>
      <c r="L897" s="154"/>
      <c r="M897" s="154"/>
      <c r="N897" s="154"/>
      <c r="O897" s="154"/>
    </row>
    <row r="898" spans="3:15">
      <c r="C898" s="154"/>
      <c r="D898" s="154"/>
      <c r="E898" s="154"/>
      <c r="F898" s="154"/>
      <c r="G898" s="154"/>
      <c r="H898" s="154"/>
      <c r="I898" s="154"/>
      <c r="J898" s="154"/>
      <c r="K898" s="154"/>
      <c r="L898" s="154"/>
      <c r="M898" s="154"/>
      <c r="N898" s="154"/>
      <c r="O898" s="154"/>
    </row>
    <row r="899" spans="3:15">
      <c r="C899" s="154"/>
      <c r="D899" s="154"/>
      <c r="E899" s="154"/>
      <c r="F899" s="154"/>
      <c r="G899" s="154"/>
      <c r="H899" s="154"/>
      <c r="I899" s="154"/>
      <c r="J899" s="154"/>
      <c r="K899" s="154"/>
      <c r="L899" s="154"/>
      <c r="M899" s="154"/>
      <c r="N899" s="154"/>
      <c r="O899" s="154"/>
    </row>
    <row r="900" spans="3:15">
      <c r="C900" s="154"/>
      <c r="D900" s="154"/>
      <c r="E900" s="154"/>
      <c r="F900" s="154"/>
      <c r="G900" s="154"/>
      <c r="H900" s="154"/>
      <c r="I900" s="154"/>
      <c r="J900" s="154"/>
      <c r="K900" s="154"/>
      <c r="L900" s="154"/>
      <c r="M900" s="154"/>
      <c r="N900" s="154"/>
      <c r="O900" s="154"/>
    </row>
    <row r="901" spans="3:15">
      <c r="C901" s="154"/>
      <c r="D901" s="154"/>
      <c r="E901" s="154"/>
      <c r="F901" s="154"/>
      <c r="G901" s="154"/>
      <c r="H901" s="154"/>
      <c r="I901" s="154"/>
      <c r="J901" s="154"/>
      <c r="K901" s="154"/>
      <c r="L901" s="154"/>
      <c r="M901" s="154"/>
      <c r="N901" s="154"/>
      <c r="O901" s="154"/>
    </row>
    <row r="902" spans="3:15">
      <c r="C902" s="154"/>
      <c r="D902" s="154"/>
      <c r="E902" s="154"/>
      <c r="F902" s="154"/>
      <c r="G902" s="154"/>
      <c r="H902" s="154"/>
      <c r="I902" s="154"/>
      <c r="J902" s="154"/>
      <c r="K902" s="154"/>
      <c r="L902" s="154"/>
      <c r="M902" s="154"/>
      <c r="N902" s="154"/>
      <c r="O902" s="154"/>
    </row>
    <row r="903" spans="3:15">
      <c r="C903" s="154"/>
      <c r="D903" s="154"/>
      <c r="E903" s="154"/>
      <c r="F903" s="154"/>
      <c r="G903" s="154"/>
      <c r="H903" s="154"/>
      <c r="I903" s="154"/>
      <c r="J903" s="154"/>
      <c r="K903" s="154"/>
      <c r="L903" s="154"/>
      <c r="M903" s="154"/>
      <c r="N903" s="154"/>
      <c r="O903" s="154"/>
    </row>
    <row r="904" spans="3:15">
      <c r="C904" s="154"/>
      <c r="D904" s="154"/>
      <c r="E904" s="154"/>
      <c r="F904" s="154"/>
      <c r="G904" s="154"/>
      <c r="H904" s="154"/>
      <c r="I904" s="154"/>
      <c r="J904" s="154"/>
      <c r="K904" s="154"/>
      <c r="L904" s="154"/>
      <c r="M904" s="154"/>
      <c r="N904" s="154"/>
      <c r="O904" s="154"/>
    </row>
    <row r="905" spans="3:15">
      <c r="C905" s="154"/>
      <c r="D905" s="154"/>
      <c r="E905" s="154"/>
      <c r="F905" s="154"/>
      <c r="G905" s="154"/>
      <c r="H905" s="154"/>
      <c r="I905" s="154"/>
      <c r="J905" s="154"/>
      <c r="K905" s="154"/>
      <c r="L905" s="154"/>
      <c r="M905" s="154"/>
      <c r="N905" s="154"/>
      <c r="O905" s="154"/>
    </row>
    <row r="906" spans="3:15">
      <c r="C906" s="154"/>
      <c r="D906" s="154"/>
      <c r="E906" s="154"/>
      <c r="F906" s="154"/>
      <c r="G906" s="154"/>
      <c r="H906" s="154"/>
      <c r="I906" s="154"/>
      <c r="J906" s="154"/>
      <c r="K906" s="154"/>
      <c r="L906" s="154"/>
      <c r="M906" s="154"/>
      <c r="N906" s="154"/>
      <c r="O906" s="154"/>
    </row>
    <row r="907" spans="3:15">
      <c r="C907" s="154"/>
      <c r="D907" s="154"/>
      <c r="E907" s="154"/>
      <c r="F907" s="154"/>
      <c r="G907" s="154"/>
      <c r="H907" s="154"/>
      <c r="I907" s="154"/>
      <c r="J907" s="154"/>
      <c r="K907" s="154"/>
      <c r="L907" s="154"/>
      <c r="M907" s="154"/>
      <c r="N907" s="154"/>
      <c r="O907" s="154"/>
    </row>
    <row r="908" spans="3:15">
      <c r="C908" s="154"/>
      <c r="D908" s="154"/>
      <c r="E908" s="154"/>
      <c r="F908" s="154"/>
      <c r="G908" s="154"/>
      <c r="H908" s="154"/>
      <c r="I908" s="154"/>
      <c r="J908" s="154"/>
      <c r="K908" s="154"/>
      <c r="L908" s="154"/>
      <c r="M908" s="154"/>
      <c r="N908" s="154"/>
      <c r="O908" s="154"/>
    </row>
    <row r="909" spans="3:15">
      <c r="C909" s="154"/>
      <c r="D909" s="154"/>
      <c r="E909" s="154"/>
      <c r="F909" s="154"/>
      <c r="G909" s="154"/>
      <c r="H909" s="154"/>
      <c r="I909" s="154"/>
      <c r="J909" s="154"/>
      <c r="K909" s="154"/>
      <c r="L909" s="154"/>
      <c r="M909" s="154"/>
      <c r="N909" s="154"/>
      <c r="O909" s="154"/>
    </row>
    <row r="910" spans="3:15">
      <c r="C910" s="154"/>
      <c r="D910" s="154"/>
      <c r="E910" s="154"/>
      <c r="F910" s="154"/>
      <c r="G910" s="154"/>
      <c r="H910" s="154"/>
      <c r="I910" s="154"/>
      <c r="J910" s="154"/>
      <c r="K910" s="154"/>
      <c r="L910" s="154"/>
      <c r="M910" s="154"/>
      <c r="N910" s="154"/>
      <c r="O910" s="154"/>
    </row>
    <row r="911" spans="3:15">
      <c r="C911" s="154"/>
      <c r="D911" s="154"/>
      <c r="E911" s="154"/>
      <c r="F911" s="154"/>
      <c r="G911" s="154"/>
      <c r="H911" s="154"/>
      <c r="I911" s="154"/>
      <c r="J911" s="154"/>
      <c r="K911" s="154"/>
      <c r="L911" s="154"/>
      <c r="M911" s="154"/>
      <c r="N911" s="154"/>
      <c r="O911" s="154"/>
    </row>
    <row r="912" spans="3:15">
      <c r="C912" s="154"/>
      <c r="D912" s="154"/>
      <c r="E912" s="154"/>
      <c r="F912" s="154"/>
      <c r="G912" s="154"/>
      <c r="H912" s="154"/>
      <c r="I912" s="154"/>
      <c r="J912" s="154"/>
      <c r="K912" s="154"/>
      <c r="L912" s="154"/>
      <c r="M912" s="154"/>
      <c r="N912" s="154"/>
      <c r="O912" s="154"/>
    </row>
    <row r="913" spans="3:15">
      <c r="C913" s="154"/>
      <c r="D913" s="154"/>
      <c r="E913" s="154"/>
      <c r="F913" s="154"/>
      <c r="G913" s="154"/>
      <c r="H913" s="154"/>
      <c r="I913" s="154"/>
      <c r="J913" s="154"/>
      <c r="K913" s="154"/>
      <c r="L913" s="154"/>
      <c r="M913" s="154"/>
      <c r="N913" s="154"/>
      <c r="O913" s="154"/>
    </row>
    <row r="914" spans="3:15">
      <c r="C914" s="154"/>
      <c r="D914" s="154"/>
      <c r="E914" s="154"/>
      <c r="F914" s="154"/>
      <c r="G914" s="154"/>
      <c r="H914" s="154"/>
      <c r="I914" s="154"/>
      <c r="J914" s="154"/>
      <c r="K914" s="154"/>
      <c r="L914" s="154"/>
      <c r="M914" s="154"/>
      <c r="N914" s="154"/>
      <c r="O914" s="154"/>
    </row>
    <row r="915" spans="3:15">
      <c r="C915" s="154"/>
      <c r="D915" s="154"/>
      <c r="E915" s="154"/>
      <c r="F915" s="154"/>
      <c r="G915" s="154"/>
      <c r="H915" s="154"/>
      <c r="I915" s="154"/>
      <c r="J915" s="154"/>
      <c r="K915" s="154"/>
      <c r="L915" s="154"/>
      <c r="M915" s="154"/>
      <c r="N915" s="154"/>
      <c r="O915" s="154"/>
    </row>
    <row r="916" spans="3:15">
      <c r="C916" s="154"/>
      <c r="D916" s="154"/>
      <c r="E916" s="154"/>
      <c r="F916" s="154"/>
      <c r="G916" s="154"/>
      <c r="H916" s="154"/>
      <c r="I916" s="154"/>
      <c r="J916" s="154"/>
      <c r="K916" s="154"/>
      <c r="L916" s="154"/>
      <c r="M916" s="154"/>
      <c r="N916" s="154"/>
      <c r="O916" s="154"/>
    </row>
    <row r="917" spans="3:15">
      <c r="C917" s="154"/>
      <c r="D917" s="154"/>
      <c r="E917" s="154"/>
      <c r="F917" s="154"/>
      <c r="G917" s="154"/>
      <c r="H917" s="154"/>
      <c r="I917" s="154"/>
      <c r="J917" s="154"/>
      <c r="K917" s="154"/>
      <c r="L917" s="154"/>
      <c r="M917" s="154"/>
      <c r="N917" s="154"/>
      <c r="O917" s="154"/>
    </row>
    <row r="918" spans="3:15">
      <c r="C918" s="154"/>
      <c r="D918" s="154"/>
      <c r="E918" s="154"/>
      <c r="F918" s="154"/>
      <c r="G918" s="154"/>
      <c r="H918" s="154"/>
      <c r="I918" s="154"/>
      <c r="J918" s="154"/>
      <c r="K918" s="154"/>
      <c r="L918" s="154"/>
      <c r="M918" s="154"/>
      <c r="N918" s="154"/>
      <c r="O918" s="154"/>
    </row>
    <row r="919" spans="3:15">
      <c r="C919" s="154"/>
      <c r="D919" s="154"/>
      <c r="E919" s="154"/>
      <c r="F919" s="154"/>
      <c r="G919" s="154"/>
      <c r="H919" s="154"/>
      <c r="I919" s="154"/>
      <c r="J919" s="154"/>
      <c r="K919" s="154"/>
      <c r="L919" s="154"/>
      <c r="M919" s="154"/>
      <c r="N919" s="154"/>
      <c r="O919" s="154"/>
    </row>
    <row r="920" spans="3:15">
      <c r="C920" s="154"/>
      <c r="D920" s="154"/>
      <c r="E920" s="154"/>
      <c r="F920" s="154"/>
      <c r="G920" s="154"/>
      <c r="H920" s="154"/>
      <c r="I920" s="154"/>
      <c r="J920" s="154"/>
      <c r="K920" s="154"/>
      <c r="L920" s="154"/>
      <c r="M920" s="154"/>
      <c r="N920" s="154"/>
      <c r="O920" s="154"/>
    </row>
    <row r="921" spans="3:15">
      <c r="C921" s="154"/>
      <c r="D921" s="154"/>
      <c r="E921" s="154"/>
      <c r="F921" s="154"/>
      <c r="G921" s="154"/>
      <c r="H921" s="154"/>
      <c r="I921" s="154"/>
      <c r="J921" s="154"/>
      <c r="K921" s="154"/>
      <c r="L921" s="154"/>
      <c r="M921" s="154"/>
      <c r="N921" s="154"/>
      <c r="O921" s="154"/>
    </row>
    <row r="922" spans="3:15">
      <c r="C922" s="154"/>
      <c r="D922" s="154"/>
      <c r="E922" s="154"/>
      <c r="F922" s="154"/>
      <c r="G922" s="154"/>
      <c r="H922" s="154"/>
      <c r="I922" s="154"/>
      <c r="J922" s="154"/>
      <c r="K922" s="154"/>
      <c r="L922" s="154"/>
      <c r="M922" s="154"/>
      <c r="N922" s="154"/>
      <c r="O922" s="154"/>
    </row>
    <row r="923" spans="3:15">
      <c r="C923" s="154"/>
      <c r="D923" s="154"/>
      <c r="E923" s="154"/>
      <c r="F923" s="154"/>
      <c r="G923" s="154"/>
      <c r="H923" s="154"/>
      <c r="I923" s="154"/>
      <c r="J923" s="154"/>
      <c r="K923" s="154"/>
      <c r="L923" s="154"/>
      <c r="M923" s="154"/>
      <c r="N923" s="154"/>
      <c r="O923" s="154"/>
    </row>
    <row r="924" spans="3:15">
      <c r="C924" s="154"/>
      <c r="D924" s="154"/>
      <c r="E924" s="154"/>
      <c r="F924" s="154"/>
      <c r="G924" s="154"/>
      <c r="H924" s="154"/>
      <c r="I924" s="154"/>
      <c r="J924" s="154"/>
      <c r="K924" s="154"/>
      <c r="L924" s="154"/>
      <c r="M924" s="154"/>
      <c r="N924" s="154"/>
      <c r="O924" s="154"/>
    </row>
    <row r="925" spans="3:15">
      <c r="C925" s="154"/>
      <c r="D925" s="154"/>
      <c r="E925" s="154"/>
      <c r="F925" s="154"/>
      <c r="G925" s="154"/>
      <c r="H925" s="154"/>
      <c r="I925" s="154"/>
      <c r="J925" s="154"/>
      <c r="K925" s="154"/>
      <c r="L925" s="154"/>
      <c r="M925" s="154"/>
      <c r="N925" s="154"/>
      <c r="O925" s="154"/>
    </row>
    <row r="926" spans="3:15">
      <c r="C926" s="154"/>
      <c r="D926" s="154"/>
      <c r="E926" s="154"/>
      <c r="F926" s="154"/>
      <c r="G926" s="154"/>
      <c r="H926" s="154"/>
      <c r="I926" s="154"/>
      <c r="J926" s="154"/>
      <c r="K926" s="154"/>
      <c r="L926" s="154"/>
      <c r="M926" s="154"/>
      <c r="N926" s="154"/>
      <c r="O926" s="154"/>
    </row>
    <row r="927" spans="3:15">
      <c r="C927" s="154"/>
      <c r="D927" s="154"/>
      <c r="E927" s="154"/>
      <c r="F927" s="154"/>
      <c r="G927" s="154"/>
      <c r="H927" s="154"/>
      <c r="I927" s="154"/>
      <c r="J927" s="154"/>
      <c r="K927" s="154"/>
      <c r="L927" s="154"/>
      <c r="M927" s="154"/>
      <c r="N927" s="154"/>
      <c r="O927" s="154"/>
    </row>
    <row r="928" spans="3:15">
      <c r="C928" s="154"/>
      <c r="D928" s="154"/>
      <c r="E928" s="154"/>
      <c r="F928" s="154"/>
      <c r="G928" s="154"/>
      <c r="H928" s="154"/>
      <c r="I928" s="154"/>
      <c r="J928" s="154"/>
      <c r="K928" s="154"/>
      <c r="L928" s="154"/>
      <c r="M928" s="154"/>
      <c r="N928" s="154"/>
      <c r="O928" s="154"/>
    </row>
    <row r="929" spans="3:15">
      <c r="C929" s="154"/>
      <c r="D929" s="154"/>
      <c r="E929" s="154"/>
      <c r="F929" s="154"/>
      <c r="G929" s="154"/>
      <c r="H929" s="154"/>
      <c r="I929" s="154"/>
      <c r="J929" s="154"/>
      <c r="K929" s="154"/>
      <c r="L929" s="154"/>
      <c r="M929" s="154"/>
      <c r="N929" s="154"/>
      <c r="O929" s="154"/>
    </row>
    <row r="930" spans="3:15">
      <c r="C930" s="154"/>
      <c r="D930" s="154"/>
      <c r="E930" s="154"/>
      <c r="F930" s="154"/>
      <c r="G930" s="154"/>
      <c r="H930" s="154"/>
      <c r="I930" s="154"/>
      <c r="J930" s="154"/>
      <c r="K930" s="154"/>
      <c r="L930" s="154"/>
      <c r="M930" s="154"/>
      <c r="N930" s="154"/>
      <c r="O930" s="154"/>
    </row>
    <row r="931" spans="3:15">
      <c r="C931" s="154"/>
      <c r="D931" s="154"/>
      <c r="E931" s="154"/>
      <c r="F931" s="154"/>
      <c r="G931" s="154"/>
      <c r="H931" s="154"/>
      <c r="I931" s="154"/>
      <c r="J931" s="154"/>
      <c r="K931" s="154"/>
      <c r="L931" s="154"/>
      <c r="M931" s="154"/>
      <c r="N931" s="154"/>
      <c r="O931" s="154"/>
    </row>
    <row r="932" spans="3:15">
      <c r="C932" s="154"/>
      <c r="D932" s="154"/>
      <c r="E932" s="154"/>
      <c r="F932" s="154"/>
      <c r="G932" s="154"/>
      <c r="H932" s="154"/>
      <c r="I932" s="154"/>
      <c r="J932" s="154"/>
      <c r="K932" s="154"/>
      <c r="L932" s="154"/>
      <c r="M932" s="154"/>
      <c r="N932" s="154"/>
      <c r="O932" s="154"/>
    </row>
    <row r="933" spans="3:15">
      <c r="C933" s="154"/>
      <c r="D933" s="154"/>
      <c r="E933" s="154"/>
      <c r="F933" s="154"/>
      <c r="G933" s="154"/>
      <c r="H933" s="154"/>
      <c r="I933" s="154"/>
      <c r="J933" s="154"/>
      <c r="K933" s="154"/>
      <c r="L933" s="154"/>
      <c r="M933" s="154"/>
      <c r="N933" s="154"/>
      <c r="O933" s="154"/>
    </row>
    <row r="934" spans="3:15">
      <c r="C934" s="154"/>
      <c r="D934" s="154"/>
      <c r="E934" s="154"/>
      <c r="F934" s="154"/>
      <c r="G934" s="154"/>
      <c r="H934" s="154"/>
      <c r="I934" s="154"/>
      <c r="J934" s="154"/>
      <c r="K934" s="154"/>
      <c r="L934" s="154"/>
      <c r="M934" s="154"/>
      <c r="N934" s="154"/>
      <c r="O934" s="154"/>
    </row>
    <row r="935" spans="3:15">
      <c r="C935" s="154"/>
      <c r="D935" s="154"/>
      <c r="E935" s="154"/>
      <c r="F935" s="154"/>
      <c r="G935" s="154"/>
      <c r="H935" s="154"/>
      <c r="I935" s="154"/>
      <c r="J935" s="154"/>
      <c r="K935" s="154"/>
      <c r="L935" s="154"/>
      <c r="M935" s="154"/>
      <c r="N935" s="154"/>
      <c r="O935" s="154"/>
    </row>
    <row r="936" spans="3:15">
      <c r="C936" s="154"/>
      <c r="D936" s="154"/>
      <c r="E936" s="154"/>
      <c r="F936" s="154"/>
      <c r="G936" s="154"/>
      <c r="H936" s="154"/>
      <c r="I936" s="154"/>
      <c r="J936" s="154"/>
      <c r="K936" s="154"/>
      <c r="L936" s="154"/>
      <c r="M936" s="154"/>
      <c r="N936" s="154"/>
      <c r="O936" s="154"/>
    </row>
    <row r="937" spans="3:15">
      <c r="C937" s="154"/>
      <c r="D937" s="154"/>
      <c r="E937" s="154"/>
      <c r="F937" s="154"/>
      <c r="G937" s="154"/>
      <c r="H937" s="154"/>
      <c r="I937" s="154"/>
      <c r="J937" s="154"/>
      <c r="K937" s="154"/>
      <c r="L937" s="154"/>
      <c r="M937" s="154"/>
      <c r="N937" s="154"/>
      <c r="O937" s="154"/>
    </row>
    <row r="938" spans="3:15">
      <c r="C938" s="154"/>
      <c r="D938" s="154"/>
      <c r="E938" s="154"/>
      <c r="F938" s="154"/>
      <c r="G938" s="154"/>
      <c r="H938" s="154"/>
      <c r="I938" s="154"/>
      <c r="J938" s="154"/>
      <c r="K938" s="154"/>
      <c r="L938" s="154"/>
      <c r="M938" s="154"/>
      <c r="N938" s="154"/>
      <c r="O938" s="154"/>
    </row>
    <row r="939" spans="3:15">
      <c r="C939" s="154"/>
      <c r="D939" s="154"/>
      <c r="E939" s="154"/>
      <c r="F939" s="154"/>
      <c r="G939" s="154"/>
      <c r="H939" s="154"/>
      <c r="I939" s="154"/>
      <c r="J939" s="154"/>
      <c r="K939" s="154"/>
      <c r="L939" s="154"/>
      <c r="M939" s="154"/>
      <c r="N939" s="154"/>
      <c r="O939" s="154"/>
    </row>
    <row r="940" spans="3:15">
      <c r="C940" s="154"/>
      <c r="D940" s="154"/>
      <c r="E940" s="154"/>
      <c r="F940" s="154"/>
      <c r="G940" s="154"/>
      <c r="H940" s="154"/>
      <c r="I940" s="154"/>
      <c r="J940" s="154"/>
      <c r="K940" s="154"/>
      <c r="L940" s="154"/>
      <c r="M940" s="154"/>
      <c r="N940" s="154"/>
      <c r="O940" s="154"/>
    </row>
    <row r="941" spans="3:15">
      <c r="C941" s="154"/>
      <c r="D941" s="154"/>
      <c r="E941" s="154"/>
      <c r="F941" s="154"/>
      <c r="G941" s="154"/>
      <c r="H941" s="154"/>
      <c r="I941" s="154"/>
      <c r="J941" s="154"/>
      <c r="K941" s="154"/>
      <c r="L941" s="154"/>
      <c r="M941" s="154"/>
      <c r="N941" s="154"/>
      <c r="O941" s="154"/>
    </row>
    <row r="942" spans="3:15">
      <c r="C942" s="154"/>
      <c r="D942" s="154"/>
      <c r="E942" s="154"/>
      <c r="F942" s="154"/>
      <c r="G942" s="154"/>
      <c r="H942" s="154"/>
      <c r="I942" s="154"/>
      <c r="J942" s="154"/>
      <c r="K942" s="154"/>
      <c r="L942" s="154"/>
      <c r="M942" s="154"/>
      <c r="N942" s="154"/>
      <c r="O942" s="154"/>
    </row>
    <row r="943" spans="3:15">
      <c r="C943" s="154"/>
      <c r="D943" s="154"/>
      <c r="E943" s="154"/>
      <c r="F943" s="154"/>
      <c r="G943" s="154"/>
      <c r="H943" s="154"/>
      <c r="I943" s="154"/>
      <c r="J943" s="154"/>
      <c r="K943" s="154"/>
      <c r="L943" s="154"/>
      <c r="M943" s="154"/>
      <c r="N943" s="154"/>
      <c r="O943" s="154"/>
    </row>
    <row r="944" spans="3:15">
      <c r="C944" s="154"/>
      <c r="D944" s="154"/>
      <c r="E944" s="154"/>
      <c r="F944" s="154"/>
      <c r="G944" s="154"/>
      <c r="H944" s="154"/>
      <c r="I944" s="154"/>
      <c r="J944" s="154"/>
      <c r="K944" s="154"/>
      <c r="L944" s="154"/>
      <c r="M944" s="154"/>
      <c r="N944" s="154"/>
      <c r="O944" s="154"/>
    </row>
    <row r="945" spans="3:15">
      <c r="C945" s="154"/>
      <c r="D945" s="154"/>
      <c r="E945" s="154"/>
      <c r="F945" s="154"/>
      <c r="G945" s="154"/>
      <c r="H945" s="154"/>
      <c r="I945" s="154"/>
      <c r="J945" s="154"/>
      <c r="K945" s="154"/>
      <c r="L945" s="154"/>
      <c r="M945" s="154"/>
      <c r="N945" s="154"/>
      <c r="O945" s="154"/>
    </row>
    <row r="946" spans="3:15">
      <c r="C946" s="154"/>
      <c r="D946" s="154"/>
      <c r="E946" s="154"/>
      <c r="F946" s="154"/>
      <c r="G946" s="154"/>
      <c r="H946" s="154"/>
      <c r="I946" s="154"/>
      <c r="J946" s="154"/>
      <c r="K946" s="154"/>
      <c r="L946" s="154"/>
      <c r="M946" s="154"/>
      <c r="N946" s="154"/>
      <c r="O946" s="154"/>
    </row>
    <row r="947" spans="3:15">
      <c r="C947" s="154"/>
      <c r="D947" s="154"/>
      <c r="E947" s="154"/>
      <c r="F947" s="154"/>
      <c r="G947" s="154"/>
      <c r="H947" s="154"/>
      <c r="I947" s="154"/>
      <c r="J947" s="154"/>
      <c r="K947" s="154"/>
      <c r="L947" s="154"/>
      <c r="M947" s="154"/>
      <c r="N947" s="154"/>
      <c r="O947" s="154"/>
    </row>
    <row r="948" spans="3:15">
      <c r="C948" s="154"/>
      <c r="D948" s="154"/>
      <c r="E948" s="154"/>
      <c r="F948" s="154"/>
      <c r="G948" s="154"/>
      <c r="H948" s="154"/>
      <c r="I948" s="154"/>
      <c r="J948" s="154"/>
      <c r="K948" s="154"/>
      <c r="L948" s="154"/>
      <c r="M948" s="154"/>
      <c r="N948" s="154"/>
      <c r="O948" s="154"/>
    </row>
    <row r="949" spans="3:15">
      <c r="C949" s="154"/>
      <c r="D949" s="154"/>
      <c r="E949" s="154"/>
      <c r="F949" s="154"/>
      <c r="G949" s="154"/>
      <c r="H949" s="154"/>
      <c r="I949" s="154"/>
      <c r="J949" s="154"/>
      <c r="K949" s="154"/>
      <c r="L949" s="154"/>
      <c r="M949" s="154"/>
      <c r="N949" s="154"/>
      <c r="O949" s="154"/>
    </row>
    <row r="950" spans="3:15">
      <c r="C950" s="154"/>
      <c r="D950" s="154"/>
      <c r="E950" s="154"/>
      <c r="F950" s="154"/>
      <c r="G950" s="154"/>
      <c r="H950" s="154"/>
      <c r="I950" s="154"/>
      <c r="J950" s="154"/>
      <c r="K950" s="154"/>
      <c r="L950" s="154"/>
      <c r="M950" s="154"/>
      <c r="N950" s="154"/>
      <c r="O950" s="154"/>
    </row>
    <row r="951" spans="3:15">
      <c r="C951" s="154"/>
      <c r="D951" s="154"/>
      <c r="E951" s="154"/>
      <c r="F951" s="154"/>
      <c r="G951" s="154"/>
      <c r="H951" s="154"/>
      <c r="I951" s="154"/>
      <c r="J951" s="154"/>
      <c r="K951" s="154"/>
      <c r="L951" s="154"/>
      <c r="M951" s="154"/>
      <c r="N951" s="154"/>
      <c r="O951" s="154"/>
    </row>
    <row r="952" spans="3:15">
      <c r="C952" s="154"/>
      <c r="D952" s="154"/>
      <c r="E952" s="154"/>
      <c r="F952" s="154"/>
      <c r="G952" s="154"/>
      <c r="H952" s="154"/>
      <c r="I952" s="154"/>
      <c r="J952" s="154"/>
      <c r="K952" s="154"/>
      <c r="L952" s="154"/>
      <c r="M952" s="154"/>
      <c r="N952" s="154"/>
      <c r="O952" s="154"/>
    </row>
    <row r="953" spans="3:15">
      <c r="C953" s="154"/>
      <c r="D953" s="154"/>
      <c r="E953" s="154"/>
      <c r="F953" s="154"/>
      <c r="G953" s="154"/>
      <c r="H953" s="154"/>
      <c r="I953" s="154"/>
      <c r="J953" s="154"/>
      <c r="K953" s="154"/>
      <c r="L953" s="154"/>
      <c r="M953" s="154"/>
      <c r="N953" s="154"/>
      <c r="O953" s="154"/>
    </row>
    <row r="954" spans="3:15">
      <c r="C954" s="154"/>
      <c r="D954" s="154"/>
      <c r="E954" s="154"/>
      <c r="F954" s="154"/>
      <c r="G954" s="154"/>
      <c r="H954" s="154"/>
      <c r="I954" s="154"/>
      <c r="J954" s="154"/>
      <c r="K954" s="154"/>
      <c r="L954" s="154"/>
      <c r="M954" s="154"/>
      <c r="N954" s="154"/>
      <c r="O954" s="154"/>
    </row>
    <row r="955" spans="3:15">
      <c r="C955" s="154"/>
      <c r="D955" s="154"/>
      <c r="E955" s="154"/>
      <c r="F955" s="154"/>
      <c r="G955" s="154"/>
      <c r="H955" s="154"/>
      <c r="I955" s="154"/>
      <c r="J955" s="154"/>
      <c r="K955" s="154"/>
      <c r="L955" s="154"/>
      <c r="M955" s="154"/>
      <c r="N955" s="154"/>
      <c r="O955" s="154"/>
    </row>
    <row r="956" spans="3:15">
      <c r="C956" s="154"/>
      <c r="D956" s="154"/>
      <c r="E956" s="154"/>
      <c r="F956" s="154"/>
      <c r="G956" s="154"/>
      <c r="H956" s="154"/>
      <c r="I956" s="154"/>
      <c r="J956" s="154"/>
      <c r="K956" s="154"/>
      <c r="L956" s="154"/>
      <c r="M956" s="154"/>
      <c r="N956" s="154"/>
      <c r="O956" s="154"/>
    </row>
    <row r="957" spans="3:15">
      <c r="C957" s="154"/>
      <c r="D957" s="154"/>
      <c r="E957" s="154"/>
      <c r="F957" s="154"/>
      <c r="G957" s="154"/>
      <c r="H957" s="154"/>
      <c r="I957" s="154"/>
      <c r="J957" s="154"/>
      <c r="K957" s="154"/>
      <c r="L957" s="154"/>
      <c r="M957" s="154"/>
      <c r="N957" s="154"/>
      <c r="O957" s="154"/>
    </row>
    <row r="958" spans="3:15">
      <c r="C958" s="154"/>
      <c r="D958" s="154"/>
      <c r="E958" s="154"/>
      <c r="F958" s="154"/>
      <c r="G958" s="154"/>
      <c r="H958" s="154"/>
      <c r="I958" s="154"/>
      <c r="J958" s="154"/>
      <c r="K958" s="154"/>
      <c r="L958" s="154"/>
      <c r="M958" s="154"/>
      <c r="N958" s="154"/>
      <c r="O958" s="154"/>
    </row>
    <row r="959" spans="3:15">
      <c r="C959" s="154"/>
      <c r="D959" s="154"/>
      <c r="E959" s="154"/>
      <c r="F959" s="154"/>
      <c r="G959" s="154"/>
      <c r="H959" s="154"/>
      <c r="I959" s="154"/>
      <c r="J959" s="154"/>
      <c r="K959" s="154"/>
      <c r="L959" s="154"/>
      <c r="M959" s="154"/>
      <c r="N959" s="154"/>
      <c r="O959" s="154"/>
    </row>
    <row r="960" spans="3:15">
      <c r="C960" s="154"/>
      <c r="D960" s="154"/>
      <c r="E960" s="154"/>
      <c r="F960" s="154"/>
      <c r="G960" s="154"/>
      <c r="H960" s="154"/>
      <c r="I960" s="154"/>
      <c r="J960" s="154"/>
      <c r="K960" s="154"/>
      <c r="L960" s="154"/>
      <c r="M960" s="154"/>
      <c r="N960" s="154"/>
      <c r="O960" s="154"/>
    </row>
    <row r="961" spans="3:15">
      <c r="C961" s="154"/>
      <c r="D961" s="154"/>
      <c r="E961" s="154"/>
      <c r="F961" s="154"/>
      <c r="G961" s="154"/>
      <c r="H961" s="154"/>
      <c r="I961" s="154"/>
      <c r="J961" s="154"/>
      <c r="K961" s="154"/>
      <c r="L961" s="154"/>
      <c r="M961" s="154"/>
      <c r="N961" s="154"/>
      <c r="O961" s="154"/>
    </row>
    <row r="962" spans="3:15">
      <c r="C962" s="154"/>
      <c r="D962" s="154"/>
      <c r="E962" s="154"/>
      <c r="F962" s="154"/>
      <c r="G962" s="154"/>
      <c r="H962" s="154"/>
      <c r="I962" s="154"/>
      <c r="J962" s="154"/>
      <c r="K962" s="154"/>
      <c r="L962" s="154"/>
      <c r="M962" s="154"/>
      <c r="N962" s="154"/>
      <c r="O962" s="154"/>
    </row>
    <row r="963" spans="3:15">
      <c r="C963" s="154"/>
      <c r="D963" s="154"/>
      <c r="E963" s="154"/>
      <c r="F963" s="154"/>
      <c r="G963" s="154"/>
      <c r="H963" s="154"/>
      <c r="I963" s="154"/>
      <c r="J963" s="154"/>
      <c r="K963" s="154"/>
      <c r="L963" s="154"/>
      <c r="M963" s="154"/>
      <c r="N963" s="154"/>
      <c r="O963" s="154"/>
    </row>
    <row r="964" spans="3:15">
      <c r="C964" s="154"/>
      <c r="D964" s="154"/>
      <c r="E964" s="154"/>
      <c r="F964" s="154"/>
      <c r="G964" s="154"/>
      <c r="H964" s="154"/>
      <c r="I964" s="154"/>
      <c r="J964" s="154"/>
      <c r="K964" s="154"/>
      <c r="L964" s="154"/>
      <c r="M964" s="154"/>
      <c r="N964" s="154"/>
      <c r="O964" s="154"/>
    </row>
    <row r="965" spans="3:15">
      <c r="C965" s="154"/>
      <c r="D965" s="154"/>
      <c r="E965" s="154"/>
      <c r="F965" s="154"/>
      <c r="G965" s="154"/>
      <c r="H965" s="154"/>
      <c r="I965" s="154"/>
      <c r="J965" s="154"/>
      <c r="K965" s="154"/>
      <c r="L965" s="154"/>
      <c r="M965" s="154"/>
      <c r="N965" s="154"/>
      <c r="O965" s="154"/>
    </row>
    <row r="966" spans="3:15">
      <c r="C966" s="154"/>
      <c r="D966" s="154"/>
      <c r="E966" s="154"/>
      <c r="F966" s="154"/>
      <c r="G966" s="154"/>
      <c r="H966" s="154"/>
      <c r="I966" s="154"/>
      <c r="J966" s="154"/>
      <c r="K966" s="154"/>
      <c r="L966" s="154"/>
      <c r="M966" s="154"/>
      <c r="N966" s="154"/>
      <c r="O966" s="154"/>
    </row>
    <row r="967" spans="3:15">
      <c r="C967" s="154"/>
      <c r="D967" s="154"/>
      <c r="E967" s="154"/>
      <c r="F967" s="154"/>
      <c r="G967" s="154"/>
      <c r="H967" s="154"/>
      <c r="I967" s="154"/>
      <c r="J967" s="154"/>
      <c r="K967" s="154"/>
      <c r="L967" s="154"/>
      <c r="M967" s="154"/>
      <c r="N967" s="154"/>
      <c r="O967" s="154"/>
    </row>
    <row r="968" spans="3:15">
      <c r="C968" s="154"/>
      <c r="D968" s="154"/>
      <c r="E968" s="154"/>
      <c r="F968" s="154"/>
      <c r="G968" s="154"/>
      <c r="H968" s="154"/>
      <c r="I968" s="154"/>
      <c r="J968" s="154"/>
      <c r="K968" s="154"/>
      <c r="L968" s="154"/>
      <c r="M968" s="154"/>
      <c r="N968" s="154"/>
      <c r="O968" s="154"/>
    </row>
    <row r="969" spans="3:15">
      <c r="C969" s="154"/>
      <c r="D969" s="154"/>
      <c r="E969" s="154"/>
      <c r="F969" s="154"/>
      <c r="G969" s="154"/>
      <c r="H969" s="154"/>
      <c r="I969" s="154"/>
      <c r="J969" s="154"/>
      <c r="K969" s="154"/>
      <c r="L969" s="154"/>
      <c r="M969" s="154"/>
      <c r="N969" s="154"/>
      <c r="O969" s="154"/>
    </row>
    <row r="970" spans="3:15">
      <c r="C970" s="154"/>
      <c r="D970" s="154"/>
      <c r="E970" s="154"/>
      <c r="F970" s="154"/>
      <c r="G970" s="154"/>
      <c r="H970" s="154"/>
      <c r="I970" s="154"/>
      <c r="J970" s="154"/>
      <c r="K970" s="154"/>
      <c r="L970" s="154"/>
      <c r="M970" s="154"/>
      <c r="N970" s="154"/>
      <c r="O970" s="154"/>
    </row>
    <row r="971" spans="3:15">
      <c r="C971" s="154"/>
      <c r="D971" s="154"/>
      <c r="E971" s="154"/>
      <c r="F971" s="154"/>
      <c r="G971" s="154"/>
      <c r="H971" s="154"/>
      <c r="I971" s="154"/>
      <c r="J971" s="154"/>
      <c r="K971" s="154"/>
      <c r="L971" s="154"/>
      <c r="M971" s="154"/>
      <c r="N971" s="154"/>
      <c r="O971" s="154"/>
    </row>
    <row r="972" spans="3:15">
      <c r="C972" s="154"/>
      <c r="D972" s="154"/>
      <c r="E972" s="154"/>
      <c r="F972" s="154"/>
      <c r="G972" s="154"/>
      <c r="H972" s="154"/>
      <c r="I972" s="154"/>
      <c r="J972" s="154"/>
      <c r="K972" s="154"/>
      <c r="L972" s="154"/>
      <c r="M972" s="154"/>
      <c r="N972" s="154"/>
      <c r="O972" s="154"/>
    </row>
    <row r="973" spans="3:15">
      <c r="C973" s="154"/>
      <c r="D973" s="154"/>
      <c r="E973" s="154"/>
      <c r="F973" s="154"/>
      <c r="G973" s="154"/>
      <c r="H973" s="154"/>
      <c r="I973" s="154"/>
      <c r="J973" s="154"/>
      <c r="K973" s="154"/>
      <c r="L973" s="154"/>
      <c r="M973" s="154"/>
      <c r="N973" s="154"/>
      <c r="O973" s="154"/>
    </row>
    <row r="974" spans="3:15">
      <c r="C974" s="154"/>
      <c r="D974" s="154"/>
      <c r="E974" s="154"/>
      <c r="F974" s="154"/>
      <c r="G974" s="154"/>
      <c r="H974" s="154"/>
      <c r="I974" s="154"/>
      <c r="J974" s="154"/>
      <c r="K974" s="154"/>
      <c r="L974" s="154"/>
      <c r="M974" s="154"/>
      <c r="N974" s="154"/>
      <c r="O974" s="154"/>
    </row>
    <row r="975" spans="3:15">
      <c r="C975" s="154"/>
      <c r="D975" s="154"/>
      <c r="E975" s="154"/>
      <c r="F975" s="154"/>
      <c r="G975" s="154"/>
      <c r="H975" s="154"/>
      <c r="I975" s="154"/>
      <c r="J975" s="154"/>
      <c r="K975" s="154"/>
      <c r="L975" s="154"/>
      <c r="M975" s="154"/>
      <c r="N975" s="154"/>
      <c r="O975" s="154"/>
    </row>
    <row r="976" spans="3:15">
      <c r="C976" s="154"/>
      <c r="D976" s="154"/>
      <c r="E976" s="154"/>
      <c r="F976" s="154"/>
      <c r="G976" s="154"/>
      <c r="H976" s="154"/>
      <c r="I976" s="154"/>
      <c r="J976" s="154"/>
      <c r="K976" s="154"/>
      <c r="L976" s="154"/>
      <c r="M976" s="154"/>
      <c r="N976" s="154"/>
      <c r="O976" s="154"/>
    </row>
    <row r="977" spans="3:15">
      <c r="C977" s="154"/>
      <c r="D977" s="154"/>
      <c r="E977" s="154"/>
      <c r="F977" s="154"/>
      <c r="G977" s="154"/>
      <c r="H977" s="154"/>
      <c r="I977" s="154"/>
      <c r="J977" s="154"/>
      <c r="K977" s="154"/>
      <c r="L977" s="154"/>
      <c r="M977" s="154"/>
      <c r="N977" s="154"/>
      <c r="O977" s="154"/>
    </row>
    <row r="978" spans="3:15">
      <c r="C978" s="154"/>
      <c r="D978" s="154"/>
      <c r="E978" s="154"/>
      <c r="F978" s="154"/>
      <c r="G978" s="154"/>
      <c r="H978" s="154"/>
      <c r="I978" s="154"/>
      <c r="J978" s="154"/>
      <c r="K978" s="154"/>
      <c r="L978" s="154"/>
      <c r="M978" s="154"/>
      <c r="N978" s="154"/>
      <c r="O978" s="154"/>
    </row>
    <row r="979" spans="3:15">
      <c r="C979" s="154"/>
      <c r="D979" s="154"/>
      <c r="E979" s="154"/>
      <c r="F979" s="154"/>
      <c r="G979" s="154"/>
      <c r="H979" s="154"/>
      <c r="I979" s="154"/>
      <c r="J979" s="154"/>
      <c r="K979" s="154"/>
      <c r="L979" s="154"/>
      <c r="M979" s="154"/>
      <c r="N979" s="154"/>
      <c r="O979" s="154"/>
    </row>
    <row r="980" spans="3:15">
      <c r="C980" s="154"/>
      <c r="D980" s="154"/>
      <c r="E980" s="154"/>
      <c r="F980" s="154"/>
      <c r="G980" s="154"/>
      <c r="H980" s="154"/>
      <c r="I980" s="154"/>
      <c r="J980" s="154"/>
      <c r="K980" s="154"/>
      <c r="L980" s="154"/>
      <c r="M980" s="154"/>
      <c r="N980" s="154"/>
      <c r="O980" s="154"/>
    </row>
    <row r="981" spans="3:15">
      <c r="C981" s="154"/>
      <c r="D981" s="154"/>
      <c r="E981" s="154"/>
      <c r="F981" s="154"/>
      <c r="G981" s="154"/>
      <c r="H981" s="154"/>
      <c r="I981" s="154"/>
      <c r="J981" s="154"/>
      <c r="K981" s="154"/>
      <c r="L981" s="154"/>
      <c r="M981" s="154"/>
      <c r="N981" s="154"/>
      <c r="O981" s="154"/>
    </row>
    <row r="982" spans="3:15">
      <c r="C982" s="154"/>
      <c r="D982" s="154"/>
      <c r="E982" s="154"/>
      <c r="F982" s="154"/>
      <c r="G982" s="154"/>
      <c r="H982" s="154"/>
      <c r="I982" s="154"/>
      <c r="J982" s="154"/>
      <c r="K982" s="154"/>
      <c r="L982" s="154"/>
      <c r="M982" s="154"/>
      <c r="N982" s="154"/>
      <c r="O982" s="154"/>
    </row>
    <row r="983" spans="3:15">
      <c r="C983" s="154"/>
      <c r="D983" s="154"/>
      <c r="E983" s="154"/>
      <c r="F983" s="154"/>
      <c r="G983" s="154"/>
      <c r="H983" s="154"/>
      <c r="I983" s="154"/>
      <c r="J983" s="154"/>
      <c r="K983" s="154"/>
      <c r="L983" s="154"/>
      <c r="M983" s="154"/>
      <c r="N983" s="154"/>
      <c r="O983" s="154"/>
    </row>
    <row r="984" spans="3:15">
      <c r="C984" s="154"/>
      <c r="D984" s="154"/>
      <c r="E984" s="154"/>
      <c r="F984" s="154"/>
      <c r="G984" s="154"/>
      <c r="H984" s="154"/>
      <c r="I984" s="154"/>
      <c r="J984" s="154"/>
      <c r="K984" s="154"/>
      <c r="L984" s="154"/>
      <c r="M984" s="154"/>
      <c r="N984" s="154"/>
      <c r="O984" s="154"/>
    </row>
    <row r="985" spans="3:15">
      <c r="C985" s="154"/>
      <c r="D985" s="154"/>
      <c r="E985" s="154"/>
      <c r="F985" s="154"/>
      <c r="G985" s="154"/>
      <c r="H985" s="154"/>
      <c r="I985" s="154"/>
      <c r="J985" s="154"/>
      <c r="K985" s="154"/>
      <c r="L985" s="154"/>
      <c r="M985" s="154"/>
      <c r="N985" s="154"/>
      <c r="O985" s="154"/>
    </row>
    <row r="986" spans="3:15">
      <c r="C986" s="154"/>
      <c r="D986" s="154"/>
      <c r="E986" s="154"/>
      <c r="F986" s="154"/>
      <c r="G986" s="154"/>
      <c r="H986" s="154"/>
      <c r="I986" s="154"/>
      <c r="J986" s="154"/>
      <c r="K986" s="154"/>
      <c r="L986" s="154"/>
      <c r="M986" s="154"/>
      <c r="N986" s="154"/>
      <c r="O986" s="154"/>
    </row>
    <row r="987" spans="3:15">
      <c r="C987" s="154"/>
      <c r="D987" s="154"/>
      <c r="E987" s="154"/>
      <c r="F987" s="154"/>
      <c r="G987" s="154"/>
      <c r="H987" s="154"/>
      <c r="I987" s="154"/>
      <c r="J987" s="154"/>
      <c r="K987" s="154"/>
      <c r="L987" s="154"/>
      <c r="M987" s="154"/>
      <c r="N987" s="154"/>
      <c r="O987" s="154"/>
    </row>
    <row r="988" spans="3:15">
      <c r="C988" s="154"/>
      <c r="D988" s="154"/>
      <c r="E988" s="154"/>
      <c r="F988" s="154"/>
      <c r="G988" s="154"/>
      <c r="H988" s="154"/>
      <c r="I988" s="154"/>
      <c r="J988" s="154"/>
      <c r="K988" s="154"/>
      <c r="L988" s="154"/>
      <c r="M988" s="154"/>
      <c r="N988" s="154"/>
      <c r="O988" s="154"/>
    </row>
    <row r="989" spans="3:15">
      <c r="C989" s="154"/>
      <c r="D989" s="154"/>
      <c r="E989" s="154"/>
      <c r="F989" s="154"/>
      <c r="G989" s="154"/>
      <c r="H989" s="154"/>
      <c r="I989" s="154"/>
      <c r="J989" s="154"/>
      <c r="K989" s="154"/>
      <c r="L989" s="154"/>
      <c r="M989" s="154"/>
      <c r="N989" s="154"/>
      <c r="O989" s="154"/>
    </row>
    <row r="990" spans="3:15">
      <c r="C990" s="154"/>
      <c r="D990" s="154"/>
      <c r="E990" s="154"/>
      <c r="F990" s="154"/>
      <c r="G990" s="154"/>
      <c r="H990" s="154"/>
      <c r="I990" s="154"/>
      <c r="J990" s="154"/>
      <c r="K990" s="154"/>
      <c r="L990" s="154"/>
      <c r="M990" s="154"/>
      <c r="N990" s="154"/>
      <c r="O990" s="154"/>
    </row>
    <row r="991" spans="3:15">
      <c r="C991" s="154"/>
      <c r="D991" s="154"/>
      <c r="E991" s="154"/>
      <c r="F991" s="154"/>
      <c r="G991" s="154"/>
      <c r="H991" s="154"/>
      <c r="I991" s="154"/>
      <c r="J991" s="154"/>
      <c r="K991" s="154"/>
      <c r="L991" s="154"/>
      <c r="M991" s="154"/>
      <c r="N991" s="154"/>
      <c r="O991" s="154"/>
    </row>
    <row r="992" spans="3:15">
      <c r="C992" s="154"/>
      <c r="D992" s="154"/>
      <c r="E992" s="154"/>
      <c r="F992" s="154"/>
      <c r="G992" s="154"/>
      <c r="H992" s="154"/>
      <c r="I992" s="154"/>
      <c r="J992" s="154"/>
      <c r="K992" s="154"/>
      <c r="L992" s="154"/>
      <c r="M992" s="154"/>
      <c r="N992" s="154"/>
      <c r="O992" s="154"/>
    </row>
    <row r="993" spans="3:15">
      <c r="C993" s="154"/>
      <c r="D993" s="154"/>
      <c r="E993" s="154"/>
      <c r="F993" s="154"/>
      <c r="G993" s="154"/>
      <c r="H993" s="154"/>
      <c r="I993" s="154"/>
      <c r="J993" s="154"/>
      <c r="K993" s="154"/>
      <c r="L993" s="154"/>
      <c r="M993" s="154"/>
      <c r="N993" s="154"/>
      <c r="O993" s="154"/>
    </row>
    <row r="994" spans="3:15">
      <c r="C994" s="154"/>
      <c r="D994" s="154"/>
      <c r="E994" s="154"/>
      <c r="F994" s="154"/>
      <c r="G994" s="154"/>
      <c r="H994" s="154"/>
      <c r="I994" s="154"/>
      <c r="J994" s="154"/>
      <c r="K994" s="154"/>
      <c r="L994" s="154"/>
      <c r="M994" s="154"/>
      <c r="N994" s="154"/>
      <c r="O994" s="154"/>
    </row>
    <row r="995" spans="3:15">
      <c r="C995" s="154"/>
      <c r="D995" s="154"/>
      <c r="E995" s="154"/>
      <c r="F995" s="154"/>
      <c r="G995" s="154"/>
      <c r="H995" s="154"/>
      <c r="I995" s="154"/>
      <c r="J995" s="154"/>
      <c r="K995" s="154"/>
      <c r="L995" s="154"/>
      <c r="M995" s="154"/>
      <c r="N995" s="154"/>
      <c r="O995" s="154"/>
    </row>
    <row r="996" spans="3:15">
      <c r="C996" s="154"/>
      <c r="D996" s="154"/>
      <c r="E996" s="154"/>
      <c r="F996" s="154"/>
      <c r="G996" s="154"/>
      <c r="H996" s="154"/>
      <c r="I996" s="154"/>
      <c r="J996" s="154"/>
      <c r="K996" s="154"/>
      <c r="L996" s="154"/>
      <c r="M996" s="154"/>
      <c r="N996" s="154"/>
      <c r="O996" s="154"/>
    </row>
    <row r="997" spans="3:15">
      <c r="C997" s="154"/>
      <c r="D997" s="154"/>
      <c r="E997" s="154"/>
      <c r="F997" s="154"/>
      <c r="G997" s="154"/>
      <c r="H997" s="154"/>
      <c r="I997" s="154"/>
      <c r="J997" s="154"/>
      <c r="K997" s="154"/>
      <c r="L997" s="154"/>
      <c r="M997" s="154"/>
      <c r="N997" s="154"/>
      <c r="O997" s="154"/>
    </row>
    <row r="998" spans="3:15">
      <c r="C998" s="154"/>
      <c r="D998" s="154"/>
      <c r="E998" s="154"/>
      <c r="F998" s="154"/>
      <c r="G998" s="154"/>
      <c r="H998" s="154"/>
      <c r="I998" s="154"/>
      <c r="J998" s="154"/>
      <c r="K998" s="154"/>
      <c r="L998" s="154"/>
      <c r="M998" s="154"/>
      <c r="N998" s="154"/>
      <c r="O998" s="154"/>
    </row>
    <row r="999" spans="3:15">
      <c r="C999" s="154"/>
      <c r="D999" s="154"/>
      <c r="E999" s="154"/>
      <c r="F999" s="154"/>
      <c r="G999" s="154"/>
      <c r="H999" s="154"/>
      <c r="I999" s="154"/>
      <c r="J999" s="154"/>
      <c r="K999" s="154"/>
      <c r="L999" s="154"/>
      <c r="M999" s="154"/>
      <c r="N999" s="154"/>
      <c r="O999" s="154"/>
    </row>
    <row r="1000" spans="3:15">
      <c r="C1000" s="154"/>
      <c r="D1000" s="154"/>
      <c r="E1000" s="154"/>
      <c r="F1000" s="154"/>
      <c r="G1000" s="154"/>
      <c r="H1000" s="154"/>
      <c r="I1000" s="154"/>
      <c r="J1000" s="154"/>
      <c r="K1000" s="154"/>
      <c r="L1000" s="154"/>
      <c r="M1000" s="154"/>
      <c r="N1000" s="154"/>
      <c r="O1000" s="154"/>
    </row>
    <row r="1001" spans="3:15">
      <c r="C1001" s="154"/>
      <c r="D1001" s="154"/>
      <c r="E1001" s="154"/>
      <c r="F1001" s="154"/>
      <c r="G1001" s="154"/>
      <c r="H1001" s="154"/>
      <c r="I1001" s="154"/>
      <c r="J1001" s="154"/>
      <c r="K1001" s="154"/>
      <c r="L1001" s="154"/>
      <c r="M1001" s="154"/>
      <c r="N1001" s="154"/>
      <c r="O1001" s="154"/>
    </row>
    <row r="1002" spans="3:15">
      <c r="C1002" s="154"/>
      <c r="D1002" s="154"/>
      <c r="E1002" s="154"/>
      <c r="F1002" s="154"/>
      <c r="G1002" s="154"/>
      <c r="H1002" s="154"/>
      <c r="I1002" s="154"/>
      <c r="J1002" s="154"/>
      <c r="K1002" s="154"/>
      <c r="L1002" s="154"/>
      <c r="M1002" s="154"/>
      <c r="N1002" s="154"/>
      <c r="O1002" s="154"/>
    </row>
    <row r="1003" spans="3:15">
      <c r="C1003" s="154"/>
      <c r="D1003" s="154"/>
      <c r="E1003" s="154"/>
      <c r="F1003" s="154"/>
      <c r="G1003" s="154"/>
      <c r="H1003" s="154"/>
      <c r="I1003" s="154"/>
      <c r="J1003" s="154"/>
      <c r="K1003" s="154"/>
      <c r="L1003" s="154"/>
      <c r="M1003" s="154"/>
      <c r="N1003" s="154"/>
      <c r="O1003" s="154"/>
    </row>
    <row r="1004" spans="3:15">
      <c r="C1004" s="154"/>
      <c r="D1004" s="154"/>
      <c r="E1004" s="154"/>
      <c r="F1004" s="154"/>
      <c r="G1004" s="154"/>
      <c r="H1004" s="154"/>
      <c r="I1004" s="154"/>
      <c r="J1004" s="154"/>
      <c r="K1004" s="154"/>
      <c r="L1004" s="154"/>
      <c r="M1004" s="154"/>
      <c r="N1004" s="154"/>
      <c r="O1004" s="154"/>
    </row>
    <row r="1005" spans="3:15">
      <c r="C1005" s="154"/>
      <c r="D1005" s="154"/>
      <c r="E1005" s="154"/>
      <c r="F1005" s="154"/>
      <c r="G1005" s="154"/>
      <c r="H1005" s="154"/>
      <c r="I1005" s="154"/>
      <c r="J1005" s="154"/>
      <c r="K1005" s="154"/>
      <c r="L1005" s="154"/>
      <c r="M1005" s="154"/>
      <c r="N1005" s="154"/>
      <c r="O1005" s="154"/>
    </row>
    <row r="1006" spans="3:15">
      <c r="C1006" s="154"/>
      <c r="D1006" s="154"/>
      <c r="E1006" s="154"/>
      <c r="F1006" s="154"/>
      <c r="G1006" s="154"/>
      <c r="H1006" s="154"/>
      <c r="I1006" s="154"/>
      <c r="J1006" s="154"/>
      <c r="K1006" s="154"/>
      <c r="L1006" s="154"/>
      <c r="M1006" s="154"/>
      <c r="N1006" s="154"/>
      <c r="O1006" s="154"/>
    </row>
    <row r="1007" spans="3:15">
      <c r="C1007" s="154"/>
      <c r="D1007" s="154"/>
      <c r="E1007" s="154"/>
      <c r="F1007" s="154"/>
      <c r="G1007" s="154"/>
      <c r="H1007" s="154"/>
      <c r="I1007" s="154"/>
      <c r="J1007" s="154"/>
      <c r="K1007" s="154"/>
      <c r="L1007" s="154"/>
      <c r="M1007" s="154"/>
      <c r="N1007" s="154"/>
      <c r="O1007" s="154"/>
    </row>
    <row r="1008" spans="3:15">
      <c r="C1008" s="154"/>
      <c r="D1008" s="154"/>
      <c r="E1008" s="154"/>
      <c r="F1008" s="154"/>
      <c r="G1008" s="154"/>
      <c r="H1008" s="154"/>
      <c r="I1008" s="154"/>
      <c r="J1008" s="154"/>
      <c r="K1008" s="154"/>
      <c r="L1008" s="154"/>
      <c r="M1008" s="154"/>
      <c r="N1008" s="154"/>
      <c r="O1008" s="154"/>
    </row>
    <row r="1009" spans="3:15">
      <c r="C1009" s="154"/>
      <c r="D1009" s="154"/>
      <c r="E1009" s="154"/>
      <c r="F1009" s="154"/>
      <c r="G1009" s="154"/>
      <c r="H1009" s="154"/>
      <c r="I1009" s="154"/>
      <c r="J1009" s="154"/>
      <c r="K1009" s="154"/>
      <c r="L1009" s="154"/>
      <c r="M1009" s="154"/>
      <c r="N1009" s="154"/>
      <c r="O1009" s="154"/>
    </row>
    <row r="1010" spans="3:15">
      <c r="C1010" s="154"/>
      <c r="D1010" s="154"/>
      <c r="E1010" s="154"/>
      <c r="F1010" s="154"/>
      <c r="G1010" s="154"/>
      <c r="H1010" s="154"/>
      <c r="I1010" s="154"/>
      <c r="J1010" s="154"/>
      <c r="K1010" s="154"/>
      <c r="L1010" s="154"/>
      <c r="M1010" s="154"/>
      <c r="N1010" s="154"/>
      <c r="O1010" s="154"/>
    </row>
    <row r="1011" spans="3:15">
      <c r="C1011" s="154"/>
      <c r="D1011" s="154"/>
      <c r="E1011" s="154"/>
      <c r="F1011" s="154"/>
      <c r="G1011" s="154"/>
      <c r="H1011" s="154"/>
      <c r="I1011" s="154"/>
      <c r="J1011" s="154"/>
      <c r="K1011" s="154"/>
      <c r="L1011" s="154"/>
      <c r="M1011" s="154"/>
      <c r="N1011" s="154"/>
      <c r="O1011" s="154"/>
    </row>
    <row r="1012" spans="3:15">
      <c r="C1012" s="154"/>
      <c r="D1012" s="154"/>
      <c r="E1012" s="154"/>
      <c r="F1012" s="154"/>
      <c r="G1012" s="154"/>
      <c r="H1012" s="154"/>
      <c r="I1012" s="154"/>
      <c r="J1012" s="154"/>
      <c r="K1012" s="154"/>
      <c r="L1012" s="154"/>
      <c r="M1012" s="154"/>
      <c r="N1012" s="154"/>
      <c r="O1012" s="154"/>
    </row>
    <row r="1013" spans="3:15">
      <c r="C1013" s="154"/>
      <c r="D1013" s="154"/>
      <c r="E1013" s="154"/>
      <c r="F1013" s="154"/>
      <c r="G1013" s="154"/>
      <c r="H1013" s="154"/>
      <c r="I1013" s="154"/>
      <c r="J1013" s="154"/>
      <c r="K1013" s="154"/>
      <c r="L1013" s="154"/>
      <c r="M1013" s="154"/>
      <c r="N1013" s="154"/>
      <c r="O1013" s="154"/>
    </row>
    <row r="1014" spans="3:15">
      <c r="C1014" s="154"/>
      <c r="D1014" s="154"/>
      <c r="E1014" s="154"/>
      <c r="F1014" s="154"/>
      <c r="G1014" s="154"/>
      <c r="H1014" s="154"/>
      <c r="I1014" s="154"/>
      <c r="J1014" s="154"/>
      <c r="K1014" s="154"/>
      <c r="L1014" s="154"/>
      <c r="M1014" s="154"/>
      <c r="N1014" s="154"/>
      <c r="O1014" s="154"/>
    </row>
    <row r="1015" spans="3:15">
      <c r="C1015" s="154"/>
      <c r="D1015" s="154"/>
      <c r="E1015" s="154"/>
      <c r="F1015" s="154"/>
      <c r="G1015" s="154"/>
      <c r="H1015" s="154"/>
      <c r="I1015" s="154"/>
      <c r="J1015" s="154"/>
      <c r="K1015" s="154"/>
      <c r="L1015" s="154"/>
      <c r="M1015" s="154"/>
      <c r="N1015" s="154"/>
      <c r="O1015" s="154"/>
    </row>
    <row r="1016" spans="3:15">
      <c r="C1016" s="154"/>
      <c r="D1016" s="154"/>
      <c r="E1016" s="154"/>
      <c r="F1016" s="154"/>
      <c r="G1016" s="154"/>
      <c r="H1016" s="154"/>
      <c r="I1016" s="154"/>
      <c r="J1016" s="154"/>
      <c r="K1016" s="154"/>
      <c r="L1016" s="154"/>
      <c r="M1016" s="154"/>
      <c r="N1016" s="154"/>
      <c r="O1016" s="154"/>
    </row>
    <row r="1017" spans="3:15">
      <c r="C1017" s="154"/>
      <c r="D1017" s="154"/>
      <c r="E1017" s="154"/>
      <c r="F1017" s="154"/>
      <c r="G1017" s="154"/>
      <c r="H1017" s="154"/>
      <c r="I1017" s="154"/>
      <c r="J1017" s="154"/>
      <c r="K1017" s="154"/>
      <c r="L1017" s="154"/>
      <c r="M1017" s="154"/>
      <c r="N1017" s="154"/>
      <c r="O1017" s="154"/>
    </row>
    <row r="1018" spans="3:15">
      <c r="C1018" s="154"/>
      <c r="D1018" s="154"/>
      <c r="E1018" s="154"/>
      <c r="F1018" s="154"/>
      <c r="G1018" s="154"/>
      <c r="H1018" s="154"/>
      <c r="I1018" s="154"/>
      <c r="J1018" s="154"/>
      <c r="K1018" s="154"/>
      <c r="L1018" s="154"/>
      <c r="M1018" s="154"/>
      <c r="N1018" s="154"/>
      <c r="O1018" s="154"/>
    </row>
    <row r="1019" spans="3:15">
      <c r="C1019" s="154"/>
      <c r="D1019" s="154"/>
      <c r="E1019" s="154"/>
      <c r="F1019" s="154"/>
      <c r="G1019" s="154"/>
      <c r="H1019" s="154"/>
      <c r="I1019" s="154"/>
      <c r="J1019" s="154"/>
      <c r="K1019" s="154"/>
      <c r="L1019" s="154"/>
      <c r="M1019" s="154"/>
      <c r="N1019" s="154"/>
      <c r="O1019" s="154"/>
    </row>
    <row r="1020" spans="3:15">
      <c r="C1020" s="154"/>
      <c r="D1020" s="154"/>
      <c r="E1020" s="154"/>
      <c r="F1020" s="154"/>
      <c r="G1020" s="154"/>
      <c r="H1020" s="154"/>
      <c r="I1020" s="154"/>
      <c r="J1020" s="154"/>
      <c r="K1020" s="154"/>
      <c r="L1020" s="154"/>
      <c r="M1020" s="154"/>
      <c r="N1020" s="154"/>
      <c r="O1020" s="154"/>
    </row>
    <row r="1021" spans="3:15">
      <c r="C1021" s="154"/>
      <c r="D1021" s="154"/>
      <c r="E1021" s="154"/>
      <c r="F1021" s="154"/>
      <c r="G1021" s="154"/>
      <c r="H1021" s="154"/>
      <c r="I1021" s="154"/>
      <c r="J1021" s="154"/>
      <c r="K1021" s="154"/>
      <c r="L1021" s="154"/>
      <c r="M1021" s="154"/>
      <c r="N1021" s="154"/>
      <c r="O1021" s="154"/>
    </row>
    <row r="1022" spans="3:15">
      <c r="C1022" s="154"/>
      <c r="D1022" s="154"/>
      <c r="E1022" s="154"/>
      <c r="F1022" s="154"/>
      <c r="G1022" s="154"/>
      <c r="H1022" s="154"/>
      <c r="I1022" s="154"/>
      <c r="J1022" s="154"/>
      <c r="K1022" s="154"/>
      <c r="L1022" s="154"/>
      <c r="M1022" s="154"/>
      <c r="N1022" s="154"/>
      <c r="O1022" s="154"/>
    </row>
    <row r="1023" spans="3:15">
      <c r="C1023" s="154"/>
      <c r="D1023" s="154"/>
      <c r="E1023" s="154"/>
      <c r="F1023" s="154"/>
      <c r="G1023" s="154"/>
      <c r="H1023" s="154"/>
      <c r="I1023" s="154"/>
      <c r="J1023" s="154"/>
      <c r="K1023" s="154"/>
      <c r="L1023" s="154"/>
      <c r="M1023" s="154"/>
      <c r="N1023" s="154"/>
      <c r="O1023" s="154"/>
    </row>
    <row r="1024" spans="3:15">
      <c r="C1024" s="154"/>
      <c r="D1024" s="154"/>
      <c r="E1024" s="154"/>
      <c r="F1024" s="154"/>
      <c r="G1024" s="154"/>
      <c r="H1024" s="154"/>
      <c r="I1024" s="154"/>
      <c r="J1024" s="154"/>
      <c r="K1024" s="154"/>
      <c r="L1024" s="154"/>
      <c r="M1024" s="154"/>
      <c r="N1024" s="154"/>
      <c r="O1024" s="154"/>
    </row>
    <row r="1025" spans="3:15">
      <c r="C1025" s="154"/>
      <c r="D1025" s="154"/>
      <c r="E1025" s="154"/>
      <c r="F1025" s="154"/>
      <c r="G1025" s="154"/>
      <c r="H1025" s="154"/>
      <c r="I1025" s="154"/>
      <c r="J1025" s="154"/>
      <c r="K1025" s="154"/>
      <c r="L1025" s="154"/>
      <c r="M1025" s="154"/>
      <c r="N1025" s="154"/>
      <c r="O1025" s="154"/>
    </row>
    <row r="1026" spans="3:15">
      <c r="C1026" s="154"/>
      <c r="D1026" s="154"/>
      <c r="E1026" s="154"/>
      <c r="F1026" s="154"/>
      <c r="G1026" s="154"/>
      <c r="H1026" s="154"/>
      <c r="I1026" s="154"/>
      <c r="J1026" s="154"/>
      <c r="K1026" s="154"/>
      <c r="L1026" s="154"/>
      <c r="M1026" s="154"/>
      <c r="N1026" s="154"/>
      <c r="O1026" s="154"/>
    </row>
    <row r="1027" spans="3:15">
      <c r="C1027" s="154"/>
      <c r="D1027" s="154"/>
      <c r="E1027" s="154"/>
      <c r="F1027" s="154"/>
      <c r="G1027" s="154"/>
      <c r="H1027" s="154"/>
      <c r="I1027" s="154"/>
      <c r="J1027" s="154"/>
      <c r="K1027" s="154"/>
      <c r="L1027" s="154"/>
      <c r="M1027" s="154"/>
      <c r="N1027" s="154"/>
      <c r="O1027" s="154"/>
    </row>
    <row r="1028" spans="3:15">
      <c r="C1028" s="154"/>
      <c r="D1028" s="154"/>
      <c r="E1028" s="154"/>
      <c r="F1028" s="154"/>
      <c r="G1028" s="154"/>
      <c r="H1028" s="154"/>
      <c r="I1028" s="154"/>
      <c r="J1028" s="154"/>
      <c r="K1028" s="154"/>
      <c r="L1028" s="154"/>
      <c r="M1028" s="154"/>
      <c r="N1028" s="154"/>
      <c r="O1028" s="154"/>
    </row>
    <row r="1029" spans="3:15">
      <c r="C1029" s="154"/>
      <c r="D1029" s="154"/>
      <c r="E1029" s="154"/>
      <c r="F1029" s="154"/>
      <c r="G1029" s="154"/>
      <c r="H1029" s="154"/>
      <c r="I1029" s="154"/>
      <c r="J1029" s="154"/>
      <c r="K1029" s="154"/>
      <c r="L1029" s="154"/>
      <c r="M1029" s="154"/>
      <c r="N1029" s="154"/>
      <c r="O1029" s="154"/>
    </row>
    <row r="1030" spans="3:15">
      <c r="C1030" s="154"/>
      <c r="D1030" s="154"/>
      <c r="E1030" s="154"/>
      <c r="F1030" s="154"/>
      <c r="G1030" s="154"/>
      <c r="H1030" s="154"/>
      <c r="I1030" s="154"/>
      <c r="J1030" s="154"/>
      <c r="K1030" s="154"/>
      <c r="L1030" s="154"/>
      <c r="M1030" s="154"/>
      <c r="N1030" s="154"/>
      <c r="O1030" s="154"/>
    </row>
    <row r="1031" spans="3:15">
      <c r="C1031" s="154"/>
      <c r="D1031" s="154"/>
      <c r="E1031" s="154"/>
      <c r="F1031" s="154"/>
      <c r="G1031" s="154"/>
      <c r="H1031" s="154"/>
      <c r="I1031" s="154"/>
      <c r="J1031" s="154"/>
      <c r="K1031" s="154"/>
      <c r="L1031" s="154"/>
      <c r="M1031" s="154"/>
      <c r="N1031" s="154"/>
      <c r="O1031" s="154"/>
    </row>
    <row r="1032" spans="3:15">
      <c r="C1032" s="154"/>
      <c r="D1032" s="154"/>
      <c r="E1032" s="154"/>
      <c r="F1032" s="154"/>
      <c r="G1032" s="154"/>
      <c r="H1032" s="154"/>
      <c r="I1032" s="154"/>
      <c r="J1032" s="154"/>
      <c r="K1032" s="154"/>
      <c r="L1032" s="154"/>
      <c r="M1032" s="154"/>
      <c r="N1032" s="154"/>
      <c r="O1032" s="154"/>
    </row>
    <row r="1033" spans="3:15">
      <c r="C1033" s="154"/>
      <c r="D1033" s="154"/>
      <c r="E1033" s="154"/>
      <c r="F1033" s="154"/>
      <c r="G1033" s="154"/>
      <c r="H1033" s="154"/>
      <c r="I1033" s="154"/>
      <c r="J1033" s="154"/>
      <c r="K1033" s="154"/>
      <c r="L1033" s="154"/>
      <c r="M1033" s="154"/>
      <c r="N1033" s="154"/>
      <c r="O1033" s="154"/>
    </row>
    <row r="1034" spans="3:15">
      <c r="C1034" s="154"/>
      <c r="D1034" s="154"/>
      <c r="E1034" s="154"/>
      <c r="F1034" s="154"/>
      <c r="G1034" s="154"/>
      <c r="H1034" s="154"/>
      <c r="I1034" s="154"/>
      <c r="J1034" s="154"/>
      <c r="K1034" s="154"/>
      <c r="L1034" s="154"/>
      <c r="M1034" s="154"/>
      <c r="N1034" s="154"/>
      <c r="O1034" s="154"/>
    </row>
    <row r="1035" spans="3:15">
      <c r="C1035" s="154"/>
      <c r="D1035" s="154"/>
      <c r="E1035" s="154"/>
      <c r="F1035" s="154"/>
      <c r="G1035" s="154"/>
      <c r="H1035" s="154"/>
      <c r="I1035" s="154"/>
      <c r="J1035" s="154"/>
      <c r="K1035" s="154"/>
      <c r="L1035" s="154"/>
      <c r="M1035" s="154"/>
      <c r="N1035" s="154"/>
      <c r="O1035" s="154"/>
    </row>
    <row r="1036" spans="3:15">
      <c r="C1036" s="154"/>
      <c r="D1036" s="154"/>
      <c r="E1036" s="154"/>
      <c r="F1036" s="154"/>
      <c r="G1036" s="154"/>
      <c r="H1036" s="154"/>
      <c r="I1036" s="154"/>
      <c r="J1036" s="154"/>
      <c r="K1036" s="154"/>
      <c r="L1036" s="154"/>
      <c r="M1036" s="154"/>
      <c r="N1036" s="154"/>
      <c r="O1036" s="154"/>
    </row>
    <row r="1037" spans="3:15">
      <c r="C1037" s="154"/>
      <c r="D1037" s="154"/>
      <c r="E1037" s="154"/>
      <c r="F1037" s="154"/>
      <c r="G1037" s="154"/>
      <c r="H1037" s="154"/>
      <c r="I1037" s="154"/>
      <c r="J1037" s="154"/>
      <c r="K1037" s="154"/>
      <c r="L1037" s="154"/>
      <c r="M1037" s="154"/>
      <c r="N1037" s="154"/>
      <c r="O1037" s="154"/>
    </row>
    <row r="1038" spans="3:15">
      <c r="C1038" s="154"/>
      <c r="D1038" s="154"/>
      <c r="E1038" s="154"/>
      <c r="F1038" s="154"/>
      <c r="G1038" s="154"/>
      <c r="H1038" s="154"/>
      <c r="I1038" s="154"/>
      <c r="J1038" s="154"/>
      <c r="K1038" s="154"/>
      <c r="L1038" s="154"/>
      <c r="M1038" s="154"/>
      <c r="N1038" s="154"/>
      <c r="O1038" s="154"/>
    </row>
    <row r="1039" spans="3:15">
      <c r="C1039" s="154"/>
      <c r="D1039" s="154"/>
      <c r="E1039" s="154"/>
      <c r="F1039" s="154"/>
      <c r="G1039" s="154"/>
      <c r="H1039" s="154"/>
      <c r="I1039" s="154"/>
      <c r="J1039" s="154"/>
      <c r="K1039" s="154"/>
      <c r="L1039" s="154"/>
      <c r="M1039" s="154"/>
      <c r="N1039" s="154"/>
      <c r="O1039" s="154"/>
    </row>
    <row r="1040" spans="3:15">
      <c r="C1040" s="154"/>
      <c r="D1040" s="154"/>
      <c r="E1040" s="154"/>
      <c r="F1040" s="154"/>
      <c r="G1040" s="154"/>
      <c r="H1040" s="154"/>
      <c r="I1040" s="154"/>
      <c r="J1040" s="154"/>
      <c r="K1040" s="154"/>
      <c r="L1040" s="154"/>
      <c r="M1040" s="154"/>
      <c r="N1040" s="154"/>
      <c r="O1040" s="154"/>
    </row>
    <row r="1041" spans="3:15">
      <c r="C1041" s="154"/>
      <c r="D1041" s="154"/>
      <c r="E1041" s="154"/>
      <c r="F1041" s="154"/>
      <c r="G1041" s="154"/>
      <c r="H1041" s="154"/>
      <c r="I1041" s="154"/>
      <c r="J1041" s="154"/>
      <c r="K1041" s="154"/>
      <c r="L1041" s="154"/>
      <c r="M1041" s="154"/>
      <c r="N1041" s="154"/>
      <c r="O1041" s="154"/>
    </row>
    <row r="1042" spans="3:15">
      <c r="C1042" s="154"/>
      <c r="D1042" s="154"/>
      <c r="E1042" s="154"/>
      <c r="F1042" s="154"/>
      <c r="G1042" s="154"/>
      <c r="H1042" s="154"/>
      <c r="I1042" s="154"/>
      <c r="J1042" s="154"/>
      <c r="K1042" s="154"/>
      <c r="L1042" s="154"/>
      <c r="M1042" s="154"/>
      <c r="N1042" s="154"/>
      <c r="O1042" s="154"/>
    </row>
    <row r="1043" spans="3:15">
      <c r="C1043" s="154"/>
      <c r="D1043" s="154"/>
      <c r="E1043" s="154"/>
      <c r="F1043" s="154"/>
      <c r="G1043" s="154"/>
      <c r="H1043" s="154"/>
      <c r="I1043" s="154"/>
      <c r="J1043" s="154"/>
      <c r="K1043" s="154"/>
      <c r="L1043" s="154"/>
      <c r="M1043" s="154"/>
      <c r="N1043" s="154"/>
      <c r="O1043" s="154"/>
    </row>
    <row r="1044" spans="3:15">
      <c r="C1044" s="154"/>
      <c r="D1044" s="154"/>
      <c r="E1044" s="154"/>
      <c r="F1044" s="154"/>
      <c r="G1044" s="154"/>
      <c r="H1044" s="154"/>
      <c r="I1044" s="154"/>
      <c r="J1044" s="154"/>
      <c r="K1044" s="154"/>
      <c r="L1044" s="154"/>
      <c r="M1044" s="154"/>
      <c r="N1044" s="154"/>
      <c r="O1044" s="154"/>
    </row>
    <row r="1045" spans="3:15">
      <c r="C1045" s="154"/>
      <c r="D1045" s="154"/>
      <c r="E1045" s="154"/>
      <c r="F1045" s="154"/>
      <c r="G1045" s="154"/>
      <c r="H1045" s="154"/>
      <c r="I1045" s="154"/>
      <c r="J1045" s="154"/>
      <c r="K1045" s="154"/>
      <c r="L1045" s="154"/>
      <c r="M1045" s="154"/>
      <c r="N1045" s="154"/>
      <c r="O1045" s="154"/>
    </row>
    <row r="1046" spans="3:15">
      <c r="C1046" s="154"/>
      <c r="D1046" s="154"/>
      <c r="E1046" s="154"/>
      <c r="F1046" s="154"/>
      <c r="G1046" s="154"/>
      <c r="H1046" s="154"/>
      <c r="I1046" s="154"/>
      <c r="J1046" s="154"/>
      <c r="K1046" s="154"/>
      <c r="L1046" s="154"/>
      <c r="M1046" s="154"/>
      <c r="N1046" s="154"/>
      <c r="O1046" s="154"/>
    </row>
    <row r="1047" spans="3:15">
      <c r="C1047" s="154"/>
      <c r="D1047" s="154"/>
      <c r="E1047" s="154"/>
      <c r="F1047" s="154"/>
      <c r="G1047" s="154"/>
      <c r="H1047" s="154"/>
      <c r="I1047" s="154"/>
      <c r="J1047" s="154"/>
      <c r="K1047" s="154"/>
      <c r="L1047" s="154"/>
      <c r="M1047" s="154"/>
      <c r="N1047" s="154"/>
      <c r="O1047" s="154"/>
    </row>
    <row r="1048" spans="3:15">
      <c r="C1048" s="154"/>
      <c r="D1048" s="154"/>
      <c r="E1048" s="154"/>
      <c r="F1048" s="154"/>
      <c r="G1048" s="154"/>
      <c r="H1048" s="154"/>
      <c r="I1048" s="154"/>
      <c r="J1048" s="154"/>
      <c r="K1048" s="154"/>
      <c r="L1048" s="154"/>
      <c r="M1048" s="154"/>
      <c r="N1048" s="154"/>
      <c r="O1048" s="154"/>
    </row>
    <row r="1049" spans="3:15">
      <c r="C1049" s="154"/>
      <c r="D1049" s="154"/>
      <c r="E1049" s="154"/>
      <c r="F1049" s="154"/>
      <c r="G1049" s="154"/>
      <c r="H1049" s="154"/>
      <c r="I1049" s="154"/>
      <c r="J1049" s="154"/>
      <c r="K1049" s="154"/>
      <c r="L1049" s="154"/>
      <c r="M1049" s="154"/>
      <c r="N1049" s="154"/>
      <c r="O1049" s="154"/>
    </row>
    <row r="1050" spans="3:15">
      <c r="C1050" s="154"/>
      <c r="D1050" s="154"/>
      <c r="E1050" s="154"/>
      <c r="F1050" s="154"/>
      <c r="G1050" s="154"/>
      <c r="H1050" s="154"/>
      <c r="I1050" s="154"/>
      <c r="J1050" s="154"/>
      <c r="K1050" s="154"/>
      <c r="L1050" s="154"/>
      <c r="M1050" s="154"/>
      <c r="N1050" s="154"/>
      <c r="O1050" s="154"/>
    </row>
    <row r="1051" spans="3:15">
      <c r="C1051" s="154"/>
      <c r="D1051" s="154"/>
      <c r="E1051" s="154"/>
      <c r="F1051" s="154"/>
      <c r="G1051" s="154"/>
      <c r="H1051" s="154"/>
      <c r="I1051" s="154"/>
      <c r="J1051" s="154"/>
      <c r="K1051" s="154"/>
      <c r="L1051" s="154"/>
      <c r="M1051" s="154"/>
      <c r="N1051" s="154"/>
      <c r="O1051" s="154"/>
    </row>
    <row r="1052" spans="3:15">
      <c r="C1052" s="154"/>
      <c r="D1052" s="154"/>
      <c r="E1052" s="154"/>
      <c r="F1052" s="154"/>
      <c r="G1052" s="154"/>
      <c r="H1052" s="154"/>
      <c r="I1052" s="154"/>
      <c r="J1052" s="154"/>
      <c r="K1052" s="154"/>
      <c r="L1052" s="154"/>
      <c r="M1052" s="154"/>
      <c r="N1052" s="154"/>
      <c r="O1052" s="154"/>
    </row>
    <row r="1053" spans="3:15">
      <c r="C1053" s="154"/>
      <c r="D1053" s="154"/>
      <c r="E1053" s="154"/>
      <c r="F1053" s="154"/>
      <c r="G1053" s="154"/>
      <c r="H1053" s="154"/>
      <c r="I1053" s="154"/>
      <c r="J1053" s="154"/>
      <c r="K1053" s="154"/>
      <c r="L1053" s="154"/>
      <c r="M1053" s="154"/>
      <c r="N1053" s="154"/>
      <c r="O1053" s="154"/>
    </row>
    <row r="1054" spans="3:15">
      <c r="C1054" s="154"/>
      <c r="D1054" s="154"/>
      <c r="E1054" s="154"/>
      <c r="F1054" s="154"/>
      <c r="G1054" s="154"/>
      <c r="H1054" s="154"/>
      <c r="I1054" s="154"/>
      <c r="J1054" s="154"/>
      <c r="K1054" s="154"/>
      <c r="L1054" s="154"/>
      <c r="M1054" s="154"/>
      <c r="N1054" s="154"/>
      <c r="O1054" s="154"/>
    </row>
    <row r="1055" spans="3:15">
      <c r="C1055" s="154"/>
      <c r="D1055" s="154"/>
      <c r="E1055" s="154"/>
      <c r="F1055" s="154"/>
      <c r="G1055" s="154"/>
      <c r="H1055" s="154"/>
      <c r="I1055" s="154"/>
      <c r="J1055" s="154"/>
      <c r="K1055" s="154"/>
      <c r="L1055" s="154"/>
      <c r="M1055" s="154"/>
      <c r="N1055" s="154"/>
      <c r="O1055" s="154"/>
    </row>
    <row r="1056" spans="3:15">
      <c r="C1056" s="154"/>
      <c r="D1056" s="154"/>
      <c r="E1056" s="154"/>
      <c r="F1056" s="154"/>
      <c r="G1056" s="154"/>
      <c r="H1056" s="154"/>
      <c r="I1056" s="154"/>
      <c r="J1056" s="154"/>
      <c r="K1056" s="154"/>
      <c r="L1056" s="154"/>
      <c r="M1056" s="154"/>
      <c r="N1056" s="154"/>
      <c r="O1056" s="154"/>
    </row>
    <row r="1057" spans="3:15">
      <c r="C1057" s="154"/>
      <c r="D1057" s="154"/>
      <c r="E1057" s="154"/>
      <c r="F1057" s="154"/>
      <c r="G1057" s="154"/>
      <c r="H1057" s="154"/>
      <c r="I1057" s="154"/>
      <c r="J1057" s="154"/>
      <c r="K1057" s="154"/>
      <c r="L1057" s="154"/>
      <c r="M1057" s="154"/>
      <c r="N1057" s="154"/>
      <c r="O1057" s="154"/>
    </row>
    <row r="1058" spans="3:15">
      <c r="C1058" s="154"/>
      <c r="D1058" s="154"/>
      <c r="E1058" s="154"/>
      <c r="F1058" s="154"/>
      <c r="G1058" s="154"/>
      <c r="H1058" s="154"/>
      <c r="I1058" s="154"/>
      <c r="J1058" s="154"/>
      <c r="K1058" s="154"/>
      <c r="L1058" s="154"/>
      <c r="M1058" s="154"/>
      <c r="N1058" s="154"/>
      <c r="O1058" s="154"/>
    </row>
    <row r="1059" spans="3:15">
      <c r="C1059" s="154"/>
      <c r="D1059" s="154"/>
      <c r="E1059" s="154"/>
      <c r="F1059" s="154"/>
      <c r="G1059" s="154"/>
      <c r="H1059" s="154"/>
      <c r="I1059" s="154"/>
      <c r="J1059" s="154"/>
      <c r="K1059" s="154"/>
      <c r="L1059" s="154"/>
      <c r="M1059" s="154"/>
      <c r="N1059" s="154"/>
      <c r="O1059" s="154"/>
    </row>
    <row r="1060" spans="3:15">
      <c r="C1060" s="154"/>
      <c r="D1060" s="154"/>
      <c r="E1060" s="154"/>
      <c r="F1060" s="154"/>
      <c r="G1060" s="154"/>
      <c r="H1060" s="154"/>
      <c r="I1060" s="154"/>
      <c r="J1060" s="154"/>
      <c r="K1060" s="154"/>
      <c r="L1060" s="154"/>
      <c r="M1060" s="154"/>
      <c r="N1060" s="154"/>
      <c r="O1060" s="154"/>
    </row>
    <row r="1061" spans="3:15">
      <c r="C1061" s="154"/>
      <c r="D1061" s="154"/>
      <c r="E1061" s="154"/>
      <c r="F1061" s="154"/>
      <c r="G1061" s="154"/>
      <c r="H1061" s="154"/>
      <c r="I1061" s="154"/>
      <c r="J1061" s="154"/>
      <c r="K1061" s="154"/>
      <c r="L1061" s="154"/>
      <c r="M1061" s="154"/>
      <c r="N1061" s="154"/>
      <c r="O1061" s="154"/>
    </row>
    <row r="1062" spans="3:15">
      <c r="C1062" s="154"/>
      <c r="D1062" s="154"/>
      <c r="E1062" s="154"/>
      <c r="F1062" s="154"/>
      <c r="G1062" s="154"/>
      <c r="H1062" s="154"/>
      <c r="I1062" s="154"/>
      <c r="J1062" s="154"/>
      <c r="K1062" s="154"/>
      <c r="L1062" s="154"/>
      <c r="M1062" s="154"/>
      <c r="N1062" s="154"/>
      <c r="O1062" s="154"/>
    </row>
    <row r="1063" spans="3:15">
      <c r="C1063" s="154"/>
      <c r="D1063" s="154"/>
      <c r="E1063" s="154"/>
      <c r="F1063" s="154"/>
      <c r="G1063" s="154"/>
      <c r="H1063" s="154"/>
      <c r="I1063" s="154"/>
      <c r="J1063" s="154"/>
      <c r="K1063" s="154"/>
      <c r="L1063" s="154"/>
      <c r="M1063" s="154"/>
      <c r="N1063" s="154"/>
      <c r="O1063" s="154"/>
    </row>
    <row r="1064" spans="3:15">
      <c r="C1064" s="154"/>
      <c r="D1064" s="154"/>
      <c r="E1064" s="154"/>
      <c r="F1064" s="154"/>
      <c r="G1064" s="154"/>
      <c r="H1064" s="154"/>
      <c r="I1064" s="154"/>
      <c r="J1064" s="154"/>
      <c r="K1064" s="154"/>
      <c r="L1064" s="154"/>
      <c r="M1064" s="154"/>
      <c r="N1064" s="154"/>
      <c r="O1064" s="154"/>
    </row>
    <row r="1065" spans="3:15">
      <c r="C1065" s="154"/>
      <c r="D1065" s="154"/>
      <c r="E1065" s="154"/>
      <c r="F1065" s="154"/>
      <c r="G1065" s="154"/>
      <c r="H1065" s="154"/>
      <c r="I1065" s="154"/>
      <c r="J1065" s="154"/>
      <c r="K1065" s="154"/>
      <c r="L1065" s="154"/>
      <c r="M1065" s="154"/>
      <c r="N1065" s="154"/>
      <c r="O1065" s="154"/>
    </row>
    <row r="1066" spans="3:15">
      <c r="C1066" s="154"/>
      <c r="D1066" s="154"/>
      <c r="E1066" s="154"/>
      <c r="F1066" s="154"/>
      <c r="G1066" s="154"/>
      <c r="H1066" s="154"/>
      <c r="I1066" s="154"/>
      <c r="J1066" s="154"/>
      <c r="K1066" s="154"/>
      <c r="L1066" s="154"/>
      <c r="M1066" s="154"/>
      <c r="N1066" s="154"/>
      <c r="O1066" s="154"/>
    </row>
    <row r="1067" spans="3:15">
      <c r="C1067" s="154"/>
      <c r="D1067" s="154"/>
      <c r="E1067" s="154"/>
      <c r="F1067" s="154"/>
      <c r="G1067" s="154"/>
      <c r="H1067" s="154"/>
      <c r="I1067" s="154"/>
      <c r="J1067" s="154"/>
      <c r="K1067" s="154"/>
      <c r="L1067" s="154"/>
      <c r="M1067" s="154"/>
      <c r="N1067" s="154"/>
      <c r="O1067" s="154"/>
    </row>
    <row r="1068" spans="3:15">
      <c r="C1068" s="154"/>
      <c r="D1068" s="154"/>
      <c r="E1068" s="154"/>
      <c r="F1068" s="154"/>
      <c r="G1068" s="154"/>
      <c r="H1068" s="154"/>
      <c r="I1068" s="154"/>
      <c r="J1068" s="154"/>
      <c r="K1068" s="154"/>
      <c r="L1068" s="154"/>
      <c r="M1068" s="154"/>
      <c r="N1068" s="154"/>
      <c r="O1068" s="154"/>
    </row>
    <row r="1069" spans="3:15">
      <c r="C1069" s="154"/>
      <c r="D1069" s="154"/>
      <c r="E1069" s="154"/>
      <c r="F1069" s="154"/>
      <c r="G1069" s="154"/>
      <c r="H1069" s="154"/>
      <c r="I1069" s="154"/>
      <c r="J1069" s="154"/>
      <c r="K1069" s="154"/>
      <c r="L1069" s="154"/>
      <c r="M1069" s="154"/>
      <c r="N1069" s="154"/>
      <c r="O1069" s="154"/>
    </row>
    <row r="1070" spans="3:15">
      <c r="C1070" s="154"/>
      <c r="D1070" s="154"/>
      <c r="E1070" s="154"/>
      <c r="F1070" s="154"/>
      <c r="G1070" s="154"/>
      <c r="H1070" s="154"/>
      <c r="I1070" s="154"/>
      <c r="J1070" s="154"/>
      <c r="K1070" s="154"/>
      <c r="L1070" s="154"/>
      <c r="M1070" s="154"/>
      <c r="N1070" s="154"/>
      <c r="O1070" s="154"/>
    </row>
    <row r="1071" spans="3:15">
      <c r="C1071" s="154"/>
      <c r="D1071" s="154"/>
      <c r="E1071" s="154"/>
      <c r="F1071" s="154"/>
      <c r="G1071" s="154"/>
      <c r="H1071" s="154"/>
      <c r="I1071" s="154"/>
      <c r="J1071" s="154"/>
      <c r="K1071" s="154"/>
      <c r="L1071" s="154"/>
      <c r="M1071" s="154"/>
      <c r="N1071" s="154"/>
      <c r="O1071" s="154"/>
    </row>
  </sheetData>
  <customSheetViews>
    <customSheetView guid="{BD5E6263-A0AD-4076-921A-D4EBD62848EF}" showGridLines="0" showRuler="0">
      <selection activeCell="A2" sqref="A2"/>
      <pageMargins left="0.75" right="0.75" top="1" bottom="1" header="0.5" footer="0.5"/>
      <pageSetup orientation="portrait" r:id="rId1"/>
      <headerFooter alignWithMargins="0"/>
    </customSheetView>
    <customSheetView guid="{1D5AE30A-CA7C-4B32-AEA4-9F37A560AAA8}" showGridLines="0" showRuler="0">
      <selection activeCell="A2" sqref="A2"/>
      <pageMargins left="0.75" right="0.75" top="1" bottom="1" header="0.5" footer="0.5"/>
      <pageSetup orientation="portrait" r:id="rId2"/>
      <headerFooter alignWithMargins="0"/>
    </customSheetView>
  </customSheetViews>
  <mergeCells count="3">
    <mergeCell ref="B4:M7"/>
    <mergeCell ref="C9:G9"/>
    <mergeCell ref="I9:M9"/>
  </mergeCells>
  <phoneticPr fontId="6" type="noConversion"/>
  <pageMargins left="0.75" right="0.75" top="1" bottom="1" header="0.5" footer="0.5"/>
  <pageSetup orientation="portrait" r:id="rId3"/>
  <headerFooter alignWithMargins="0"/>
</worksheet>
</file>

<file path=xl/worksheets/sheet45.xml><?xml version="1.0" encoding="utf-8"?>
<worksheet xmlns="http://schemas.openxmlformats.org/spreadsheetml/2006/main" xmlns:r="http://schemas.openxmlformats.org/officeDocument/2006/relationships">
  <sheetPr codeName="Sheet35"/>
  <dimension ref="B1:U428"/>
  <sheetViews>
    <sheetView showRuler="0" workbookViewId="0"/>
  </sheetViews>
  <sheetFormatPr defaultRowHeight="14.1" customHeight="1"/>
  <cols>
    <col min="1" max="1" width="2.625" customWidth="1"/>
    <col min="2" max="13" width="12.75" customWidth="1"/>
    <col min="15" max="15" width="2.125" customWidth="1"/>
    <col min="18" max="18" width="10" bestFit="1" customWidth="1"/>
  </cols>
  <sheetData>
    <row r="1" spans="2:15" ht="14.1" customHeight="1">
      <c r="O1" s="21">
        <f>ROW()</f>
        <v>1</v>
      </c>
    </row>
    <row r="2" spans="2:15" ht="14.1" customHeight="1">
      <c r="B2" s="1812" t="s">
        <v>1325</v>
      </c>
      <c r="C2" s="113"/>
      <c r="D2" s="113"/>
      <c r="E2" s="113"/>
      <c r="F2" s="113"/>
      <c r="G2" s="113"/>
      <c r="H2" s="113"/>
      <c r="J2" s="1813">
        <f>'Title Page'!K1</f>
        <v>40914</v>
      </c>
      <c r="O2" s="21">
        <f>ROW()</f>
        <v>2</v>
      </c>
    </row>
    <row r="3" spans="2:15" ht="14.1" customHeight="1">
      <c r="B3" s="113"/>
      <c r="C3" s="113"/>
      <c r="D3" s="113"/>
      <c r="E3" s="113"/>
      <c r="F3" s="113"/>
      <c r="G3" s="113"/>
      <c r="H3" s="113"/>
      <c r="I3" s="113"/>
      <c r="J3" s="113"/>
      <c r="O3" s="21">
        <f>ROW()</f>
        <v>3</v>
      </c>
    </row>
    <row r="4" spans="2:15" ht="14.1" customHeight="1">
      <c r="B4" s="113"/>
      <c r="C4" s="113"/>
      <c r="D4" s="113"/>
      <c r="E4" s="113"/>
      <c r="F4" s="113"/>
      <c r="G4" s="113"/>
      <c r="H4" s="113"/>
      <c r="I4" s="113"/>
      <c r="J4" s="113"/>
      <c r="O4" s="21">
        <f>ROW()</f>
        <v>4</v>
      </c>
    </row>
    <row r="5" spans="2:15" ht="14.1" customHeight="1">
      <c r="B5" s="113"/>
      <c r="C5" s="113"/>
      <c r="D5" s="113"/>
      <c r="E5" s="113"/>
      <c r="F5" s="113"/>
      <c r="G5" s="113"/>
      <c r="H5" s="113"/>
      <c r="I5" s="113"/>
      <c r="J5" s="113"/>
      <c r="O5" s="21">
        <f>ROW()</f>
        <v>5</v>
      </c>
    </row>
    <row r="6" spans="2:15" ht="14.1" customHeight="1">
      <c r="B6" s="158" t="s">
        <v>3228</v>
      </c>
      <c r="C6" s="113"/>
      <c r="D6" s="113"/>
      <c r="E6" s="113"/>
      <c r="F6" s="113"/>
      <c r="G6" s="113"/>
      <c r="H6" s="113"/>
      <c r="I6" s="113"/>
      <c r="J6" s="113"/>
      <c r="O6" s="21">
        <f>ROW()</f>
        <v>6</v>
      </c>
    </row>
    <row r="7" spans="2:15" ht="14.1" customHeight="1">
      <c r="B7" s="113"/>
      <c r="C7" s="113"/>
      <c r="D7" s="113"/>
      <c r="E7" s="113"/>
      <c r="F7" s="113"/>
      <c r="G7" s="113"/>
      <c r="H7" s="113"/>
      <c r="I7" s="113"/>
      <c r="J7" s="113"/>
      <c r="O7" s="21">
        <f>ROW()</f>
        <v>7</v>
      </c>
    </row>
    <row r="8" spans="2:15" ht="14.1" customHeight="1">
      <c r="B8" s="158" t="s">
        <v>3245</v>
      </c>
      <c r="C8" s="113"/>
      <c r="D8" s="113"/>
      <c r="E8" s="113"/>
      <c r="F8" s="113"/>
      <c r="G8" s="113"/>
      <c r="H8" s="113"/>
      <c r="I8" s="113"/>
      <c r="J8" s="1846" t="str">
        <f>CONCATENATE("Go to Row ",O21,".")</f>
        <v>Go to Row 21.</v>
      </c>
      <c r="O8" s="21">
        <f>ROW()</f>
        <v>8</v>
      </c>
    </row>
    <row r="9" spans="2:15" ht="14.1" customHeight="1">
      <c r="B9" s="113"/>
      <c r="C9" s="113"/>
      <c r="D9" s="113"/>
      <c r="E9" s="113"/>
      <c r="F9" s="113"/>
      <c r="G9" s="113"/>
      <c r="H9" s="113"/>
      <c r="I9" s="113"/>
      <c r="O9" s="21">
        <f>ROW()</f>
        <v>9</v>
      </c>
    </row>
    <row r="10" spans="2:15" ht="14.1" customHeight="1">
      <c r="B10" s="158" t="s">
        <v>3230</v>
      </c>
      <c r="C10" s="158"/>
      <c r="D10" s="158"/>
      <c r="E10" s="158"/>
      <c r="F10" s="158"/>
      <c r="G10" s="158"/>
      <c r="H10" s="158"/>
      <c r="I10" s="158"/>
      <c r="J10" s="1846" t="str">
        <f>CONCATENATE("Go to Row ",O58,".")</f>
        <v>Go to Row 58.</v>
      </c>
      <c r="O10" s="21">
        <f>ROW()</f>
        <v>10</v>
      </c>
    </row>
    <row r="11" spans="2:15" ht="14.1" customHeight="1">
      <c r="C11" s="158"/>
      <c r="D11" s="158"/>
      <c r="E11" s="158"/>
      <c r="F11" s="158"/>
      <c r="G11" s="158"/>
      <c r="H11" s="158"/>
      <c r="I11" s="158"/>
      <c r="O11" s="21">
        <f>ROW()</f>
        <v>11</v>
      </c>
    </row>
    <row r="12" spans="2:15" ht="14.1" customHeight="1">
      <c r="B12" s="4707" t="s">
        <v>3231</v>
      </c>
      <c r="C12" s="4707"/>
      <c r="D12" s="4707"/>
      <c r="E12" s="4707"/>
      <c r="F12" s="4707"/>
      <c r="G12" s="4707"/>
      <c r="H12" s="4707"/>
      <c r="I12" s="4707"/>
      <c r="J12" s="1846" t="str">
        <f>CONCATENATE("Go to Row ",O161,".")</f>
        <v>Go to Row 161.</v>
      </c>
      <c r="O12" s="21">
        <f>ROW()</f>
        <v>12</v>
      </c>
    </row>
    <row r="13" spans="2:15" ht="14.1" customHeight="1">
      <c r="B13" s="4707"/>
      <c r="C13" s="4707"/>
      <c r="D13" s="4707"/>
      <c r="E13" s="4707"/>
      <c r="F13" s="4707"/>
      <c r="G13" s="4707"/>
      <c r="H13" s="4707"/>
      <c r="I13" s="4707"/>
      <c r="J13" s="113"/>
      <c r="O13" s="21">
        <f>ROW()</f>
        <v>13</v>
      </c>
    </row>
    <row r="14" spans="2:15" ht="14.1" customHeight="1">
      <c r="O14" s="21">
        <f>ROW()</f>
        <v>14</v>
      </c>
    </row>
    <row r="15" spans="2:15" ht="14.1" customHeight="1">
      <c r="B15" s="4707" t="s">
        <v>3232</v>
      </c>
      <c r="C15" s="4707"/>
      <c r="D15" s="4707"/>
      <c r="E15" s="4707"/>
      <c r="F15" s="4707"/>
      <c r="G15" s="4707"/>
      <c r="H15" s="4707"/>
      <c r="I15" s="4707"/>
      <c r="J15" s="1846" t="str">
        <f>CONCATENATE("Go to Row ",O304,".")</f>
        <v>Go to Row 304.</v>
      </c>
      <c r="O15" s="21">
        <f>ROW()</f>
        <v>15</v>
      </c>
    </row>
    <row r="16" spans="2:15" ht="14.1" customHeight="1">
      <c r="B16" s="4707"/>
      <c r="C16" s="4707"/>
      <c r="D16" s="4707"/>
      <c r="E16" s="4707"/>
      <c r="F16" s="4707"/>
      <c r="G16" s="4707"/>
      <c r="H16" s="4707"/>
      <c r="I16" s="4707"/>
      <c r="O16" s="21">
        <f>ROW()</f>
        <v>16</v>
      </c>
    </row>
    <row r="17" spans="2:15" ht="14.1" customHeight="1">
      <c r="O17" s="21">
        <f>ROW()</f>
        <v>17</v>
      </c>
    </row>
    <row r="18" spans="2:15" ht="14.1" customHeight="1">
      <c r="B18" s="158" t="s">
        <v>3233</v>
      </c>
      <c r="C18" s="113"/>
      <c r="D18" s="113"/>
      <c r="E18" s="113"/>
      <c r="F18" s="113"/>
      <c r="I18" s="113"/>
      <c r="J18" s="1846" t="str">
        <f>CONCATENATE("Go to Row ",O347,".")</f>
        <v>Go to Row 347.</v>
      </c>
      <c r="O18" s="21">
        <f>ROW()</f>
        <v>18</v>
      </c>
    </row>
    <row r="19" spans="2:15" ht="14.1" customHeight="1">
      <c r="C19" s="196"/>
      <c r="D19" s="196"/>
      <c r="E19" s="196"/>
      <c r="F19" s="196"/>
      <c r="G19" s="196"/>
      <c r="H19" s="196"/>
      <c r="I19" s="196"/>
      <c r="J19" s="113"/>
      <c r="O19" s="21">
        <f>ROW()</f>
        <v>19</v>
      </c>
    </row>
    <row r="20" spans="2:15" ht="14.1" customHeight="1">
      <c r="B20" s="196"/>
      <c r="C20" s="196"/>
      <c r="D20" s="196"/>
      <c r="E20" s="196"/>
      <c r="F20" s="196"/>
      <c r="G20" s="196"/>
      <c r="H20" s="196"/>
      <c r="I20" s="196"/>
      <c r="J20" s="113"/>
      <c r="O20" s="21">
        <f>ROW()</f>
        <v>20</v>
      </c>
    </row>
    <row r="21" spans="2:15" ht="14.1" customHeight="1">
      <c r="B21" s="648" t="s">
        <v>3240</v>
      </c>
      <c r="C21" s="196"/>
      <c r="D21" s="196"/>
      <c r="E21" s="196"/>
      <c r="F21" s="196"/>
      <c r="G21" s="196"/>
      <c r="H21" s="196"/>
      <c r="I21" s="196"/>
      <c r="J21" s="196"/>
      <c r="K21" s="45"/>
      <c r="O21" s="21">
        <f>ROW()</f>
        <v>21</v>
      </c>
    </row>
    <row r="22" spans="2:15" ht="14.1" customHeight="1">
      <c r="B22" s="113"/>
      <c r="C22" s="113"/>
      <c r="D22" s="113"/>
      <c r="E22" s="113"/>
      <c r="F22" s="113"/>
      <c r="G22" s="113"/>
      <c r="H22" s="113"/>
      <c r="I22" s="113"/>
      <c r="J22" s="113"/>
      <c r="O22" s="21">
        <f>ROW()</f>
        <v>22</v>
      </c>
    </row>
    <row r="23" spans="2:15" ht="14.1" customHeight="1">
      <c r="B23" s="4707" t="s">
        <v>2985</v>
      </c>
      <c r="C23" s="3796"/>
      <c r="D23" s="3796"/>
      <c r="E23" s="3796"/>
      <c r="F23" s="3796"/>
      <c r="G23" s="3796"/>
      <c r="H23" s="3796"/>
      <c r="I23" s="3796"/>
      <c r="J23" s="113"/>
      <c r="O23" s="21">
        <f>ROW()</f>
        <v>23</v>
      </c>
    </row>
    <row r="24" spans="2:15" ht="14.1" customHeight="1">
      <c r="B24" s="3796"/>
      <c r="C24" s="3796"/>
      <c r="D24" s="3796"/>
      <c r="E24" s="3796"/>
      <c r="F24" s="3796"/>
      <c r="G24" s="3796"/>
      <c r="H24" s="3796"/>
      <c r="I24" s="3796"/>
      <c r="J24" s="113"/>
      <c r="O24" s="21">
        <f>ROW()</f>
        <v>24</v>
      </c>
    </row>
    <row r="25" spans="2:15" ht="14.1" customHeight="1">
      <c r="B25" s="3796"/>
      <c r="C25" s="3796"/>
      <c r="D25" s="3796"/>
      <c r="E25" s="3796"/>
      <c r="F25" s="3796"/>
      <c r="G25" s="3796"/>
      <c r="H25" s="3796"/>
      <c r="I25" s="3796"/>
      <c r="J25" s="113"/>
      <c r="O25" s="21">
        <f>ROW()</f>
        <v>25</v>
      </c>
    </row>
    <row r="26" spans="2:15" ht="14.1" customHeight="1">
      <c r="B26" s="196"/>
      <c r="C26" s="196"/>
      <c r="D26" s="196"/>
      <c r="E26" s="196"/>
      <c r="F26" s="196"/>
      <c r="G26" s="196"/>
      <c r="H26" s="196"/>
      <c r="I26" s="196"/>
      <c r="J26" s="196"/>
      <c r="K26" s="45"/>
      <c r="O26" s="21">
        <f>ROW()</f>
        <v>26</v>
      </c>
    </row>
    <row r="27" spans="2:15" ht="14.1" customHeight="1">
      <c r="B27" s="196"/>
      <c r="C27" s="196"/>
      <c r="D27" s="196"/>
      <c r="E27" s="196"/>
      <c r="F27" s="3797" t="s">
        <v>52</v>
      </c>
      <c r="G27" s="3797"/>
      <c r="H27" s="5121" t="s">
        <v>6061</v>
      </c>
      <c r="I27" s="3797"/>
      <c r="J27" s="196"/>
      <c r="K27" s="45"/>
      <c r="O27" s="21">
        <f>ROW()</f>
        <v>27</v>
      </c>
    </row>
    <row r="28" spans="2:15" ht="14.1" customHeight="1">
      <c r="B28" s="196"/>
      <c r="C28" s="196"/>
      <c r="D28" s="196"/>
      <c r="F28" s="3806" t="s">
        <v>3242</v>
      </c>
      <c r="G28" s="3806" t="s">
        <v>3243</v>
      </c>
      <c r="H28" s="3806" t="s">
        <v>3242</v>
      </c>
      <c r="I28" s="3806" t="s">
        <v>3243</v>
      </c>
      <c r="J28" s="196"/>
      <c r="K28" s="45"/>
      <c r="O28" s="21">
        <f>ROW()</f>
        <v>28</v>
      </c>
    </row>
    <row r="29" spans="2:15" ht="14.1" customHeight="1">
      <c r="B29" s="196"/>
      <c r="C29" s="196"/>
      <c r="D29" s="196"/>
      <c r="F29" s="3807"/>
      <c r="G29" s="3807"/>
      <c r="H29" s="3807"/>
      <c r="I29" s="3807"/>
      <c r="J29" s="196"/>
      <c r="K29" s="45"/>
      <c r="O29" s="21">
        <f>ROW()</f>
        <v>29</v>
      </c>
    </row>
    <row r="30" spans="2:15" ht="14.1" customHeight="1">
      <c r="B30" s="196"/>
      <c r="C30" s="196"/>
      <c r="D30" s="196"/>
      <c r="F30" s="3807"/>
      <c r="G30" s="3807"/>
      <c r="H30" s="3807"/>
      <c r="I30" s="3807"/>
      <c r="J30" s="196"/>
      <c r="K30" s="45"/>
      <c r="O30" s="21">
        <f>ROW()</f>
        <v>30</v>
      </c>
    </row>
    <row r="31" spans="2:15" ht="14.1" customHeight="1">
      <c r="B31" s="1831" t="s">
        <v>3241</v>
      </c>
      <c r="C31" s="113"/>
      <c r="D31" s="113"/>
      <c r="E31" s="113"/>
      <c r="F31" s="3807"/>
      <c r="G31" s="3807"/>
      <c r="H31" s="3807"/>
      <c r="I31" s="3807"/>
      <c r="J31" s="113"/>
      <c r="O31" s="21">
        <f>ROW()</f>
        <v>31</v>
      </c>
    </row>
    <row r="32" spans="2:15" ht="14.1" customHeight="1">
      <c r="B32" s="158" t="s">
        <v>3246</v>
      </c>
      <c r="C32" s="113"/>
      <c r="D32" s="113"/>
      <c r="E32" s="113"/>
      <c r="F32" s="629">
        <v>0.38</v>
      </c>
      <c r="G32" s="1814">
        <v>24.42</v>
      </c>
      <c r="H32" s="991">
        <f>F32+F32/($F$33+$F$32)*($F$35-$H$35)</f>
        <v>0.3967906976744186</v>
      </c>
      <c r="I32" s="1976">
        <v>25</v>
      </c>
      <c r="J32" s="5131" t="str">
        <f>CONCATENATE("Note: Daily parking costs shown immediately at left are used to guide specification of baseline parking costs in 'Motor Vs' worksheet (Rows ",'Motor Vs'!O244, "-",'Motor Vs'!O246, ", rather than being inputted directly into those rows.")</f>
        <v>Note: Daily parking costs shown immediately at left are used to guide specification of baseline parking costs in 'Motor Vs' worksheet (Rows 244-246, rather than being inputted directly into those rows.</v>
      </c>
      <c r="K32" s="4721"/>
      <c r="L32" s="4721"/>
      <c r="M32" s="4721"/>
      <c r="N32" s="4722"/>
      <c r="O32" s="21">
        <f>ROW()</f>
        <v>32</v>
      </c>
    </row>
    <row r="33" spans="2:15" ht="14.1" customHeight="1">
      <c r="B33" s="158" t="s">
        <v>3247</v>
      </c>
      <c r="C33" s="113"/>
      <c r="D33" s="113"/>
      <c r="E33" s="113"/>
      <c r="F33" s="629">
        <v>0.05</v>
      </c>
      <c r="G33" s="1814">
        <v>1.73</v>
      </c>
      <c r="H33" s="991">
        <f>F33+F33/($F$33+$F$32)*($F$35-$H$35)</f>
        <v>5.2209302325581394E-2</v>
      </c>
      <c r="I33" s="1977">
        <v>2</v>
      </c>
      <c r="J33" s="4723"/>
      <c r="K33" s="4724"/>
      <c r="L33" s="4724"/>
      <c r="M33" s="4724"/>
      <c r="N33" s="4725"/>
      <c r="O33" s="21">
        <f>ROW()</f>
        <v>33</v>
      </c>
    </row>
    <row r="34" spans="2:15" ht="14.1" customHeight="1">
      <c r="B34" s="139" t="s">
        <v>5959</v>
      </c>
      <c r="C34" s="113"/>
      <c r="D34" s="113"/>
      <c r="E34" s="113"/>
      <c r="F34" s="629">
        <v>0.38</v>
      </c>
      <c r="G34" s="1814">
        <v>0</v>
      </c>
      <c r="H34" s="991">
        <v>0.38</v>
      </c>
      <c r="I34" s="1977">
        <f>I46*G32</f>
        <v>6.1050000000000004</v>
      </c>
      <c r="J34" s="4723"/>
      <c r="K34" s="4724"/>
      <c r="L34" s="4724"/>
      <c r="M34" s="4724"/>
      <c r="N34" s="4725"/>
      <c r="O34" s="21">
        <f>ROW()</f>
        <v>34</v>
      </c>
    </row>
    <row r="35" spans="2:15" ht="14.1" customHeight="1">
      <c r="B35" s="158" t="s">
        <v>3249</v>
      </c>
      <c r="C35" s="113"/>
      <c r="D35" s="113"/>
      <c r="E35" s="113"/>
      <c r="F35" s="629">
        <v>0.19</v>
      </c>
      <c r="G35" s="1814">
        <v>0</v>
      </c>
      <c r="H35" s="991">
        <f>F35*0.9</f>
        <v>0.17100000000000001</v>
      </c>
      <c r="I35" s="1978">
        <v>0</v>
      </c>
      <c r="J35" s="5132"/>
      <c r="K35" s="5133"/>
      <c r="L35" s="5133"/>
      <c r="M35" s="5133"/>
      <c r="N35" s="5134"/>
      <c r="O35" s="21">
        <f>ROW()</f>
        <v>35</v>
      </c>
    </row>
    <row r="36" spans="2:15" ht="14.1" customHeight="1">
      <c r="B36" s="1831" t="s">
        <v>228</v>
      </c>
      <c r="C36" s="113"/>
      <c r="D36" s="113"/>
      <c r="E36" s="113"/>
      <c r="F36" s="1832">
        <f>SUM(F32:F35)</f>
        <v>1</v>
      </c>
      <c r="G36" s="1833">
        <f>SUMPRODUCT(F32:F35,G32:G35)</f>
        <v>9.3660999999999994</v>
      </c>
      <c r="H36" s="1832">
        <f>SUM(H32:H35)</f>
        <v>1</v>
      </c>
      <c r="I36" s="1833">
        <f>SUMPRODUCT(H32:H35,I32:I35)</f>
        <v>12.344086046511627</v>
      </c>
      <c r="J36" s="113"/>
      <c r="O36" s="21">
        <f>ROW()</f>
        <v>36</v>
      </c>
    </row>
    <row r="37" spans="2:15" ht="14.1" customHeight="1">
      <c r="B37" s="113"/>
      <c r="C37" s="113"/>
      <c r="D37" s="113"/>
      <c r="E37" s="113"/>
      <c r="F37" s="113"/>
      <c r="G37" s="113"/>
      <c r="H37" s="113"/>
      <c r="I37" s="113"/>
      <c r="J37" s="113"/>
      <c r="O37" s="21">
        <f>ROW()</f>
        <v>37</v>
      </c>
    </row>
    <row r="38" spans="2:15" ht="14.1" customHeight="1">
      <c r="B38" s="1478" t="s">
        <v>3244</v>
      </c>
      <c r="C38" s="113"/>
      <c r="D38" s="113"/>
      <c r="E38" s="113"/>
      <c r="F38" s="113"/>
      <c r="G38" s="113"/>
      <c r="H38" s="113"/>
      <c r="I38" s="113"/>
      <c r="J38" s="113"/>
      <c r="O38" s="21">
        <f>ROW()</f>
        <v>38</v>
      </c>
    </row>
    <row r="39" spans="2:15" ht="14.1" customHeight="1">
      <c r="B39" s="113"/>
      <c r="C39" s="113"/>
      <c r="D39" s="113"/>
      <c r="E39" s="113"/>
      <c r="F39" s="113"/>
      <c r="G39" s="113"/>
      <c r="H39" s="113"/>
      <c r="I39" s="113"/>
      <c r="J39" s="113"/>
      <c r="O39" s="21">
        <f>ROW()</f>
        <v>39</v>
      </c>
    </row>
    <row r="40" spans="2:15" ht="14.1" customHeight="1">
      <c r="B40" s="5142" t="s">
        <v>3250</v>
      </c>
      <c r="C40" s="3681"/>
      <c r="D40" s="3681"/>
      <c r="E40" s="3681"/>
      <c r="F40" s="3681"/>
      <c r="G40" s="3681"/>
      <c r="H40" s="3681"/>
      <c r="I40" s="3681"/>
      <c r="J40" s="113"/>
      <c r="O40" s="21">
        <f>ROW()</f>
        <v>40</v>
      </c>
    </row>
    <row r="41" spans="2:15" ht="14.1" customHeight="1">
      <c r="B41" s="3681"/>
      <c r="C41" s="3681"/>
      <c r="D41" s="3681"/>
      <c r="E41" s="3681"/>
      <c r="F41" s="3681"/>
      <c r="G41" s="3681"/>
      <c r="H41" s="3681"/>
      <c r="I41" s="3681"/>
      <c r="J41" s="113"/>
      <c r="O41" s="21">
        <f>ROW()</f>
        <v>41</v>
      </c>
    </row>
    <row r="42" spans="2:15" ht="14.1" customHeight="1">
      <c r="B42" s="3681"/>
      <c r="C42" s="3681"/>
      <c r="D42" s="3681"/>
      <c r="E42" s="3681"/>
      <c r="F42" s="3681"/>
      <c r="G42" s="3681"/>
      <c r="H42" s="3681"/>
      <c r="I42" s="3681"/>
      <c r="J42" s="113"/>
      <c r="O42" s="21">
        <f>ROW()</f>
        <v>42</v>
      </c>
    </row>
    <row r="43" spans="2:15" ht="14.1" customHeight="1">
      <c r="B43" s="3681"/>
      <c r="C43" s="3681"/>
      <c r="D43" s="3681"/>
      <c r="E43" s="3681"/>
      <c r="F43" s="3681"/>
      <c r="G43" s="3681"/>
      <c r="H43" s="3681"/>
      <c r="I43" s="3681"/>
      <c r="J43" s="113"/>
      <c r="O43" s="21">
        <f>ROW()</f>
        <v>43</v>
      </c>
    </row>
    <row r="44" spans="2:15" ht="14.1" customHeight="1">
      <c r="B44" s="3681"/>
      <c r="C44" s="3681"/>
      <c r="D44" s="3681"/>
      <c r="E44" s="3681"/>
      <c r="F44" s="3681"/>
      <c r="G44" s="3681"/>
      <c r="H44" s="3681"/>
      <c r="I44" s="3681"/>
      <c r="J44" s="113"/>
      <c r="O44" s="21">
        <f>ROW()</f>
        <v>44</v>
      </c>
    </row>
    <row r="45" spans="2:15" ht="14.1" customHeight="1">
      <c r="O45" s="21">
        <f>ROW()</f>
        <v>45</v>
      </c>
    </row>
    <row r="46" spans="2:15" ht="14.1" customHeight="1">
      <c r="B46" t="s">
        <v>605</v>
      </c>
      <c r="I46" s="670">
        <v>0.25</v>
      </c>
      <c r="O46" s="21">
        <f>ROW()</f>
        <v>46</v>
      </c>
    </row>
    <row r="47" spans="2:15" ht="14.1" customHeight="1">
      <c r="B47" s="3754" t="s">
        <v>205</v>
      </c>
      <c r="C47" s="3659"/>
      <c r="D47" s="3659"/>
      <c r="E47" s="3659"/>
      <c r="F47" s="3659"/>
      <c r="G47" s="3659"/>
      <c r="H47" s="3659"/>
      <c r="I47" s="3659"/>
      <c r="J47" s="7"/>
      <c r="O47" s="21">
        <f>ROW()</f>
        <v>47</v>
      </c>
    </row>
    <row r="48" spans="2:15" ht="14.1" customHeight="1">
      <c r="B48" s="3659"/>
      <c r="C48" s="3659"/>
      <c r="D48" s="3659"/>
      <c r="E48" s="3659"/>
      <c r="F48" s="3659"/>
      <c r="G48" s="3659"/>
      <c r="H48" s="3659"/>
      <c r="I48" s="3659"/>
      <c r="J48" s="7"/>
      <c r="O48" s="21">
        <f>ROW()</f>
        <v>48</v>
      </c>
    </row>
    <row r="49" spans="2:21" ht="14.1" customHeight="1">
      <c r="B49" s="3659"/>
      <c r="C49" s="3659"/>
      <c r="D49" s="3659"/>
      <c r="E49" s="3659"/>
      <c r="F49" s="3659"/>
      <c r="G49" s="3659"/>
      <c r="H49" s="3659"/>
      <c r="I49" s="3659"/>
      <c r="J49" s="7"/>
      <c r="O49" s="21">
        <f>ROW()</f>
        <v>49</v>
      </c>
    </row>
    <row r="50" spans="2:21" ht="14.1" customHeight="1">
      <c r="B50" s="3659"/>
      <c r="C50" s="3659"/>
      <c r="D50" s="3659"/>
      <c r="E50" s="3659"/>
      <c r="F50" s="3659"/>
      <c r="G50" s="3659"/>
      <c r="H50" s="3659"/>
      <c r="I50" s="3659"/>
      <c r="O50" s="21">
        <f>ROW()</f>
        <v>50</v>
      </c>
    </row>
    <row r="51" spans="2:21" ht="14.1" customHeight="1">
      <c r="B51" s="4480" t="s">
        <v>2984</v>
      </c>
      <c r="C51" s="4291"/>
      <c r="D51" s="4291"/>
      <c r="E51" s="4291"/>
      <c r="F51" s="4291"/>
      <c r="G51" s="4291"/>
      <c r="H51" s="4291"/>
      <c r="I51" s="4291"/>
      <c r="O51" s="21">
        <f>ROW()</f>
        <v>51</v>
      </c>
    </row>
    <row r="52" spans="2:21" ht="14.1" customHeight="1">
      <c r="B52" s="4291"/>
      <c r="C52" s="4291"/>
      <c r="D52" s="4291"/>
      <c r="E52" s="4291"/>
      <c r="F52" s="4291"/>
      <c r="G52" s="4291"/>
      <c r="H52" s="4291"/>
      <c r="I52" s="4291"/>
      <c r="O52" s="21">
        <f>ROW()</f>
        <v>52</v>
      </c>
    </row>
    <row r="53" spans="2:21" ht="14.1" customHeight="1">
      <c r="B53" s="4291"/>
      <c r="C53" s="4291"/>
      <c r="D53" s="4291"/>
      <c r="E53" s="4291"/>
      <c r="F53" s="4291"/>
      <c r="G53" s="4291"/>
      <c r="H53" s="4291"/>
      <c r="I53" s="4291"/>
      <c r="O53" s="21">
        <f>ROW()</f>
        <v>53</v>
      </c>
    </row>
    <row r="54" spans="2:21" ht="14.1" customHeight="1">
      <c r="B54" s="4291"/>
      <c r="C54" s="4291"/>
      <c r="D54" s="4291"/>
      <c r="E54" s="4291"/>
      <c r="F54" s="4291"/>
      <c r="G54" s="4291"/>
      <c r="H54" s="4291"/>
      <c r="I54" s="4291"/>
      <c r="O54" s="21">
        <f>ROW()</f>
        <v>54</v>
      </c>
    </row>
    <row r="55" spans="2:21" ht="14.1" customHeight="1">
      <c r="B55" s="4291"/>
      <c r="C55" s="4291"/>
      <c r="D55" s="4291"/>
      <c r="E55" s="4291"/>
      <c r="F55" s="4291"/>
      <c r="G55" s="4291"/>
      <c r="H55" s="4291"/>
      <c r="I55" s="4291"/>
      <c r="O55" s="21">
        <f>ROW()</f>
        <v>55</v>
      </c>
    </row>
    <row r="56" spans="2:21" ht="14.1" customHeight="1">
      <c r="B56" s="1830"/>
      <c r="C56" s="1830"/>
      <c r="D56" s="1830"/>
      <c r="E56" s="1830"/>
      <c r="F56" s="1830"/>
      <c r="G56" s="1830"/>
      <c r="H56" s="1830"/>
      <c r="I56" s="1830"/>
      <c r="O56" s="21">
        <f>ROW()</f>
        <v>56</v>
      </c>
    </row>
    <row r="57" spans="2:21" ht="14.1" customHeight="1">
      <c r="O57" s="21">
        <f>ROW()</f>
        <v>57</v>
      </c>
    </row>
    <row r="58" spans="2:21" ht="14.1" customHeight="1">
      <c r="B58" s="24" t="s">
        <v>3229</v>
      </c>
      <c r="J58" s="9"/>
      <c r="O58" s="21">
        <f>ROW()</f>
        <v>58</v>
      </c>
    </row>
    <row r="59" spans="2:21" ht="14.1" customHeight="1">
      <c r="O59" s="21">
        <f>ROW()</f>
        <v>59</v>
      </c>
    </row>
    <row r="60" spans="2:21" ht="14.1" customHeight="1" thickBot="1">
      <c r="B60" s="2" t="s">
        <v>3236</v>
      </c>
      <c r="O60" s="21">
        <f>ROW()</f>
        <v>60</v>
      </c>
    </row>
    <row r="61" spans="2:21" ht="14.1" customHeight="1">
      <c r="B61" s="9"/>
      <c r="O61" s="21">
        <f>ROW()</f>
        <v>61</v>
      </c>
      <c r="Q61" s="5125" t="s">
        <v>3106</v>
      </c>
      <c r="R61" s="5126"/>
      <c r="S61" s="5126"/>
      <c r="T61" s="5126"/>
      <c r="U61" s="5127"/>
    </row>
    <row r="62" spans="2:21" ht="14.1" customHeight="1">
      <c r="B62" s="9" t="s">
        <v>3237</v>
      </c>
      <c r="O62" s="21">
        <f>ROW()</f>
        <v>62</v>
      </c>
      <c r="Q62" s="885"/>
      <c r="R62" s="113"/>
      <c r="S62" s="113"/>
      <c r="T62" s="113"/>
      <c r="U62" s="185"/>
    </row>
    <row r="63" spans="2:21" ht="14.1" customHeight="1">
      <c r="O63" s="21">
        <f>ROW()</f>
        <v>63</v>
      </c>
      <c r="Q63" s="5122" t="s">
        <v>3110</v>
      </c>
      <c r="R63" s="4157"/>
      <c r="S63" s="4157"/>
      <c r="T63" s="4157"/>
      <c r="U63" s="5123"/>
    </row>
    <row r="64" spans="2:21" ht="14.1" customHeight="1">
      <c r="B64" s="2"/>
      <c r="C64" s="2"/>
      <c r="E64" s="4232" t="s">
        <v>3058</v>
      </c>
      <c r="F64" s="4232" t="s">
        <v>3059</v>
      </c>
      <c r="G64" s="4232" t="s">
        <v>2871</v>
      </c>
      <c r="H64" s="4232" t="s">
        <v>3116</v>
      </c>
      <c r="I64" s="4232" t="s">
        <v>3117</v>
      </c>
      <c r="O64" s="21">
        <f>ROW()</f>
        <v>64</v>
      </c>
      <c r="Q64" s="5124"/>
      <c r="R64" s="4157"/>
      <c r="S64" s="4157"/>
      <c r="T64" s="4157"/>
      <c r="U64" s="5123"/>
    </row>
    <row r="65" spans="2:21" ht="14.1" customHeight="1">
      <c r="B65" s="2" t="s">
        <v>3062</v>
      </c>
      <c r="C65" s="2"/>
      <c r="E65" s="4232"/>
      <c r="F65" s="4232"/>
      <c r="G65" s="4232"/>
      <c r="H65" s="4232"/>
      <c r="I65" s="4232"/>
      <c r="J65" s="2" t="s">
        <v>536</v>
      </c>
      <c r="O65" s="21">
        <f>ROW()</f>
        <v>65</v>
      </c>
      <c r="Q65" s="1905" t="s">
        <v>3107</v>
      </c>
      <c r="R65" s="1893" t="s">
        <v>2871</v>
      </c>
      <c r="S65" s="1893" t="s">
        <v>3108</v>
      </c>
      <c r="T65" s="1893" t="s">
        <v>3109</v>
      </c>
      <c r="U65" s="1906" t="s">
        <v>3125</v>
      </c>
    </row>
    <row r="66" spans="2:21" ht="14.1" customHeight="1">
      <c r="O66" s="21">
        <f>ROW()</f>
        <v>66</v>
      </c>
      <c r="Q66" s="1907">
        <v>1</v>
      </c>
      <c r="R66" s="1908">
        <v>955.6</v>
      </c>
      <c r="S66" s="1909">
        <v>1.5</v>
      </c>
      <c r="T66" s="1910">
        <v>9</v>
      </c>
      <c r="U66" s="1330">
        <f t="shared" ref="U66:U78" si="0">R66/$R$78</f>
        <v>7.0350574966503238E-2</v>
      </c>
    </row>
    <row r="67" spans="2:21" ht="14.1" customHeight="1">
      <c r="B67" s="9" t="s">
        <v>2132</v>
      </c>
      <c r="E67" s="1865">
        <v>6904</v>
      </c>
      <c r="F67" s="1865">
        <v>28737</v>
      </c>
      <c r="G67" s="1179">
        <f>R98</f>
        <v>5752.5999999999995</v>
      </c>
      <c r="H67" s="509">
        <f>E67/$G67</f>
        <v>1.2001529743072699</v>
      </c>
      <c r="I67" s="509">
        <f>F67/$G67</f>
        <v>4.9954803045579395</v>
      </c>
      <c r="J67" s="7" t="str">
        <f>CONCATENATE("Spaces: NYCDCP 2002 study, cited in Shoup book, p. 552. Acres: Row ",O98,".")</f>
        <v>Spaces: NYCDCP 2002 study, cited in Shoup book, p. 552. Acres: Row 98.</v>
      </c>
      <c r="O67" s="21">
        <f>ROW()</f>
        <v>67</v>
      </c>
      <c r="Q67" s="1907">
        <v>2</v>
      </c>
      <c r="R67" s="1908">
        <v>866.4</v>
      </c>
      <c r="S67" s="1909">
        <v>1.4</v>
      </c>
      <c r="T67" s="1910">
        <v>39</v>
      </c>
      <c r="U67" s="1330">
        <f t="shared" si="0"/>
        <v>6.3783736030743401E-2</v>
      </c>
    </row>
    <row r="68" spans="2:21" ht="14.1" customHeight="1">
      <c r="H68" s="509"/>
      <c r="I68" s="509"/>
      <c r="O68" s="21">
        <f>ROW()</f>
        <v>68</v>
      </c>
      <c r="Q68" s="1907">
        <v>3</v>
      </c>
      <c r="R68" s="1908">
        <v>1077.0999999999999</v>
      </c>
      <c r="S68" s="1909">
        <v>1.7</v>
      </c>
      <c r="T68" s="1910">
        <v>57</v>
      </c>
      <c r="U68" s="1330">
        <f t="shared" si="0"/>
        <v>7.9295316342005678E-2</v>
      </c>
    </row>
    <row r="69" spans="2:21" ht="14.1" customHeight="1">
      <c r="B69" s="9" t="s">
        <v>3060</v>
      </c>
      <c r="E69" s="1865">
        <v>2890</v>
      </c>
      <c r="F69" s="1865">
        <v>13590</v>
      </c>
      <c r="G69" s="1179">
        <f>R97</f>
        <v>3025.5</v>
      </c>
      <c r="H69" s="509">
        <f>E69/$G69</f>
        <v>0.95521401421252683</v>
      </c>
      <c r="I69" s="509">
        <f>F69/$G69</f>
        <v>4.4918195339613289</v>
      </c>
      <c r="J69" s="7" t="str">
        <f>CONCATENATE("Spaces: NYCDCP 2002 study, cited in Gary Roth, p. 46. Acres: Row ",O97,".")</f>
        <v>Spaces: NYCDCP 2002 study, cited in Gary Roth, p. 46. Acres: Row 97.</v>
      </c>
      <c r="O69" s="21">
        <f>ROW()</f>
        <v>69</v>
      </c>
      <c r="Q69" s="1907">
        <v>4</v>
      </c>
      <c r="R69" s="1908">
        <v>1131.8</v>
      </c>
      <c r="S69" s="1909">
        <v>1.8</v>
      </c>
      <c r="T69" s="1910">
        <v>85</v>
      </c>
      <c r="U69" s="1330">
        <f t="shared" si="0"/>
        <v>8.3322290442746291E-2</v>
      </c>
    </row>
    <row r="70" spans="2:21" ht="14.1" customHeight="1">
      <c r="H70" s="509"/>
      <c r="I70" s="509"/>
      <c r="J70" s="7"/>
      <c r="O70" s="21">
        <f>ROW()</f>
        <v>70</v>
      </c>
      <c r="Q70" s="1907">
        <v>5</v>
      </c>
      <c r="R70" s="1908">
        <v>1005.3</v>
      </c>
      <c r="S70" s="1909">
        <v>1.6</v>
      </c>
      <c r="T70" s="1910">
        <v>121</v>
      </c>
      <c r="U70" s="1330">
        <f t="shared" si="0"/>
        <v>7.4009452714342505E-2</v>
      </c>
    </row>
    <row r="71" spans="2:21" ht="14.1" customHeight="1">
      <c r="B71" s="9" t="s">
        <v>3119</v>
      </c>
      <c r="F71" s="1865">
        <v>50084</v>
      </c>
      <c r="G71" s="1179">
        <f>R99</f>
        <v>8242.2999999999993</v>
      </c>
      <c r="H71" s="509"/>
      <c r="I71" s="509">
        <f>F71/$G71</f>
        <v>6.0764592407459093</v>
      </c>
      <c r="J71" s="7" t="str">
        <f>CONCATENATE("Spaces: NYCDCP 2002 study, cited in Gary Roth, p. 47. Acres: Row ",O99,".")</f>
        <v>Spaces: NYCDCP 2002 study, cited in Gary Roth, p. 47. Acres: Row 99.</v>
      </c>
      <c r="O71" s="21">
        <f>ROW()</f>
        <v>71</v>
      </c>
      <c r="Q71" s="1907">
        <v>6</v>
      </c>
      <c r="R71" s="1908">
        <v>888.4</v>
      </c>
      <c r="S71" s="1909">
        <v>1.4</v>
      </c>
      <c r="T71" s="1910">
        <v>143</v>
      </c>
      <c r="U71" s="1330">
        <f t="shared" si="0"/>
        <v>6.5403359983509282E-2</v>
      </c>
    </row>
    <row r="72" spans="2:21" ht="14.1" customHeight="1">
      <c r="H72" s="509"/>
      <c r="I72" s="509"/>
      <c r="J72" s="7"/>
      <c r="O72" s="21">
        <f>ROW()</f>
        <v>72</v>
      </c>
      <c r="Q72" s="1907">
        <v>7</v>
      </c>
      <c r="R72" s="1908">
        <v>1222.7</v>
      </c>
      <c r="S72" s="1909">
        <v>1.9</v>
      </c>
      <c r="T72" s="1910">
        <v>161</v>
      </c>
      <c r="U72" s="1330">
        <f t="shared" si="0"/>
        <v>9.001428213849258E-2</v>
      </c>
    </row>
    <row r="73" spans="2:21" ht="14.1" customHeight="1">
      <c r="B73" s="9" t="s">
        <v>3061</v>
      </c>
      <c r="E73" s="1865">
        <f>E67-E69</f>
        <v>4014</v>
      </c>
      <c r="F73" s="1865">
        <f>F67-F69</f>
        <v>15147</v>
      </c>
      <c r="G73" s="1179">
        <f>G67-G69</f>
        <v>2727.0999999999995</v>
      </c>
      <c r="H73" s="509">
        <f>E73/$G73</f>
        <v>1.4718932199039276</v>
      </c>
      <c r="I73" s="509">
        <f>F73/$G73</f>
        <v>5.5542517692787223</v>
      </c>
      <c r="J73" s="7" t="str">
        <f>CONCATENATE("Subtract Row ",O69, " from Row ",O67, ".")</f>
        <v>Subtract Row 69 from Row 67.</v>
      </c>
      <c r="O73" s="21">
        <f>ROW()</f>
        <v>73</v>
      </c>
      <c r="Q73" s="1907">
        <v>8</v>
      </c>
      <c r="R73" s="1908">
        <v>1267</v>
      </c>
      <c r="S73" s="1909">
        <v>2</v>
      </c>
      <c r="T73" s="1910">
        <v>189</v>
      </c>
      <c r="U73" s="1330">
        <f t="shared" si="0"/>
        <v>9.3275615825198402E-2</v>
      </c>
    </row>
    <row r="74" spans="2:21" ht="14.1" customHeight="1">
      <c r="H74" s="509"/>
      <c r="I74" s="509"/>
      <c r="J74" s="7"/>
      <c r="K74" s="7"/>
      <c r="L74" s="7"/>
      <c r="M74" s="7"/>
      <c r="N74" s="7"/>
      <c r="O74" s="21">
        <f>ROW()</f>
        <v>74</v>
      </c>
      <c r="Q74" s="1907">
        <v>9</v>
      </c>
      <c r="R74" s="1908">
        <v>961.3</v>
      </c>
      <c r="S74" s="1909">
        <v>1.5</v>
      </c>
      <c r="T74" s="1910">
        <v>215</v>
      </c>
      <c r="U74" s="1330">
        <f t="shared" si="0"/>
        <v>7.0770204808810758E-2</v>
      </c>
    </row>
    <row r="75" spans="2:21" ht="14.1" customHeight="1">
      <c r="B75" s="9" t="s">
        <v>3121</v>
      </c>
      <c r="F75" s="1866">
        <f>F71-F67</f>
        <v>21347</v>
      </c>
      <c r="G75" s="1179">
        <f>G71-G67</f>
        <v>2489.6999999999998</v>
      </c>
      <c r="H75" s="509"/>
      <c r="I75" s="509">
        <f>F75/$G75</f>
        <v>8.574125396634134</v>
      </c>
      <c r="J75" s="7" t="str">
        <f>CONCATENATE("Subtract Row ",O67, " from Row ",O71, ". Acreage matches sum of Rows ",O89, " and ",O90,".")</f>
        <v>Subtract Row 67 from Row 71. Acreage matches sum of Rows 89 and 90.</v>
      </c>
      <c r="K75" s="119"/>
      <c r="L75" s="119"/>
      <c r="M75" s="119"/>
      <c r="N75" s="119"/>
      <c r="O75" s="21">
        <f>ROW()</f>
        <v>75</v>
      </c>
      <c r="Q75" s="1907">
        <v>10</v>
      </c>
      <c r="R75" s="1908">
        <v>897</v>
      </c>
      <c r="S75" s="1909">
        <v>1.4</v>
      </c>
      <c r="T75" s="1910">
        <v>239</v>
      </c>
      <c r="U75" s="1330">
        <f t="shared" si="0"/>
        <v>6.6036485710499582E-2</v>
      </c>
    </row>
    <row r="76" spans="2:21" ht="14.1" customHeight="1">
      <c r="H76" s="509"/>
      <c r="I76" s="509"/>
      <c r="J76" s="119"/>
      <c r="K76" s="119"/>
      <c r="L76" s="119"/>
      <c r="M76" s="119"/>
      <c r="N76" s="119"/>
      <c r="O76" s="21">
        <f>ROW()</f>
        <v>76</v>
      </c>
      <c r="Q76" s="1907">
        <v>11</v>
      </c>
      <c r="R76" s="1908">
        <v>1520.2</v>
      </c>
      <c r="S76" s="1909">
        <v>2.4</v>
      </c>
      <c r="T76" s="1910">
        <v>265</v>
      </c>
      <c r="U76" s="1330">
        <f t="shared" si="0"/>
        <v>0.11191601513612204</v>
      </c>
    </row>
    <row r="77" spans="2:21" ht="14.1" customHeight="1">
      <c r="B77" s="9" t="s">
        <v>3064</v>
      </c>
      <c r="E77" s="1867">
        <f>G77*H77</f>
        <v>3170.5416915620349</v>
      </c>
      <c r="F77" s="1867">
        <f>G77*I77</f>
        <v>18469.153652656791</v>
      </c>
      <c r="G77" s="1179">
        <f>37/51*R89+R90</f>
        <v>2154.056862745098</v>
      </c>
      <c r="H77" s="509">
        <f>H73</f>
        <v>1.4718932199039276</v>
      </c>
      <c r="I77" s="509">
        <f>I75</f>
        <v>8.574125396634134</v>
      </c>
      <c r="J77" s="7" t="str">
        <f>CONCATENATE("acreage: sum of Row ",O90, " and prorated Row ",O89, ".")</f>
        <v>acreage: sum of Row 90 and prorated Row 89.</v>
      </c>
      <c r="M77" s="119"/>
      <c r="N77" s="119"/>
      <c r="O77" s="21">
        <f>ROW()</f>
        <v>77</v>
      </c>
      <c r="Q77" s="1907">
        <v>12</v>
      </c>
      <c r="R77" s="1908">
        <v>1790.6</v>
      </c>
      <c r="S77" s="1909">
        <v>2.8</v>
      </c>
      <c r="T77" s="1910">
        <v>297</v>
      </c>
      <c r="U77" s="1330">
        <f t="shared" si="0"/>
        <v>0.13182266590102626</v>
      </c>
    </row>
    <row r="78" spans="2:21" ht="14.1" customHeight="1">
      <c r="B78" s="9"/>
      <c r="G78" s="1179"/>
      <c r="H78" s="509"/>
      <c r="I78" s="509"/>
      <c r="J78" s="7" t="str">
        <f>CONCATENATE("metered: apply per-sq mile figure from CBD to 14th Street (Row ",O73, ").")</f>
        <v>metered: apply per-sq mile figure from CBD to 14th Street (Row 73).</v>
      </c>
      <c r="K78" s="119"/>
      <c r="L78" s="119"/>
      <c r="M78" s="119"/>
      <c r="N78" s="119"/>
      <c r="O78" s="21">
        <f>ROW()</f>
        <v>78</v>
      </c>
      <c r="Q78" s="1911" t="s">
        <v>3111</v>
      </c>
      <c r="R78" s="1912">
        <f>SUM(R66:R77)</f>
        <v>13583.4</v>
      </c>
      <c r="S78" s="1912">
        <f>SUM(S66:S77)</f>
        <v>21.4</v>
      </c>
      <c r="T78" s="113"/>
      <c r="U78" s="1330">
        <f t="shared" si="0"/>
        <v>1</v>
      </c>
    </row>
    <row r="79" spans="2:21" ht="14.1" customHeight="1">
      <c r="B79" s="1895" t="s">
        <v>3122</v>
      </c>
      <c r="C79" s="1896"/>
      <c r="D79" s="1897"/>
      <c r="E79" s="1898" t="s">
        <v>3127</v>
      </c>
      <c r="F79" s="1899"/>
      <c r="G79" s="1899"/>
      <c r="H79" s="1900"/>
      <c r="J79" s="7" t="str">
        <f>CONCATENATE("potential: apply per-sq mile figure from CB 7+8 data in Row ",O75, ".")</f>
        <v>potential: apply per-sq mile figure from CB 7+8 data in Row 75.</v>
      </c>
      <c r="K79" s="119"/>
      <c r="L79" s="119"/>
      <c r="M79" s="119"/>
      <c r="N79" s="119"/>
      <c r="O79" s="21">
        <f>ROW()</f>
        <v>79</v>
      </c>
      <c r="Q79" s="885"/>
      <c r="R79" s="113"/>
      <c r="S79" s="113"/>
      <c r="T79" s="113"/>
      <c r="U79" s="185"/>
    </row>
    <row r="80" spans="2:21" ht="14.1" customHeight="1">
      <c r="B80" s="7"/>
      <c r="C80" s="7"/>
      <c r="D80" s="7"/>
      <c r="E80" s="7"/>
      <c r="F80" s="7"/>
      <c r="G80" s="7"/>
      <c r="O80" s="21">
        <f>ROW()</f>
        <v>80</v>
      </c>
      <c r="Q80" s="5122" t="s">
        <v>3123</v>
      </c>
      <c r="R80" s="4157"/>
      <c r="S80" s="4157"/>
      <c r="T80" s="4157"/>
      <c r="U80" s="5123"/>
    </row>
    <row r="81" spans="2:21" ht="14.1" customHeight="1">
      <c r="B81" s="5103" t="s">
        <v>3238</v>
      </c>
      <c r="C81" s="3781"/>
      <c r="D81" s="3781"/>
      <c r="E81" s="3781"/>
      <c r="F81" s="3781"/>
      <c r="G81" s="3781"/>
      <c r="H81" s="3781"/>
      <c r="I81" s="3781"/>
      <c r="K81" s="843" t="s">
        <v>3084</v>
      </c>
      <c r="L81" s="1868"/>
      <c r="M81" s="1869"/>
      <c r="O81" s="21">
        <f>ROW()</f>
        <v>81</v>
      </c>
      <c r="Q81" s="5124"/>
      <c r="R81" s="4157"/>
      <c r="S81" s="4157"/>
      <c r="T81" s="4157"/>
      <c r="U81" s="5123"/>
    </row>
    <row r="82" spans="2:21" ht="14.1" customHeight="1">
      <c r="B82" s="3781"/>
      <c r="C82" s="3781"/>
      <c r="D82" s="3781"/>
      <c r="E82" s="3781"/>
      <c r="F82" s="3781"/>
      <c r="G82" s="3781"/>
      <c r="H82" s="3781"/>
      <c r="I82" s="3781"/>
      <c r="K82" s="493" t="s">
        <v>3087</v>
      </c>
      <c r="L82" s="1870"/>
      <c r="M82" s="1871"/>
      <c r="O82" s="21">
        <f>ROW()</f>
        <v>82</v>
      </c>
      <c r="Q82" s="1905" t="s">
        <v>3107</v>
      </c>
      <c r="R82" s="1893" t="s">
        <v>2871</v>
      </c>
      <c r="S82" s="1893" t="s">
        <v>3108</v>
      </c>
      <c r="T82" s="1893"/>
      <c r="U82" s="1906" t="s">
        <v>3126</v>
      </c>
    </row>
    <row r="83" spans="2:21" ht="14.1" customHeight="1">
      <c r="B83" s="3781"/>
      <c r="C83" s="3781"/>
      <c r="D83" s="3781"/>
      <c r="E83" s="3781"/>
      <c r="F83" s="3781"/>
      <c r="G83" s="3781"/>
      <c r="H83" s="3781"/>
      <c r="I83" s="3781"/>
      <c r="O83" s="21">
        <f>ROW()</f>
        <v>83</v>
      </c>
      <c r="Q83" s="1907">
        <v>1</v>
      </c>
      <c r="R83" s="1908">
        <f>R66-R101</f>
        <v>783.6</v>
      </c>
      <c r="S83" s="1909">
        <f>R83/Constants!$J$18</f>
        <v>1.224375</v>
      </c>
      <c r="T83" s="1910"/>
      <c r="U83" s="1330">
        <f t="shared" ref="U83:U99" si="1">R83/$R$95</f>
        <v>5.8427904618458926E-2</v>
      </c>
    </row>
    <row r="84" spans="2:21" ht="14.1" customHeight="1">
      <c r="B84" s="3781"/>
      <c r="C84" s="3781"/>
      <c r="D84" s="3781"/>
      <c r="E84" s="3781"/>
      <c r="F84" s="3781"/>
      <c r="G84" s="3781"/>
      <c r="H84" s="3781"/>
      <c r="I84" s="3781"/>
      <c r="O84" s="21">
        <f>ROW()</f>
        <v>84</v>
      </c>
      <c r="Q84" s="1907">
        <v>2</v>
      </c>
      <c r="R84" s="1908">
        <f t="shared" ref="R84:R94" si="2">R67</f>
        <v>866.4</v>
      </c>
      <c r="S84" s="1909">
        <f>R84/Constants!$J$18</f>
        <v>1.35375</v>
      </c>
      <c r="T84" s="1910"/>
      <c r="U84" s="1330">
        <f t="shared" si="1"/>
        <v>6.4601756714436978E-2</v>
      </c>
    </row>
    <row r="85" spans="2:21" ht="14.1" customHeight="1">
      <c r="B85" s="3781"/>
      <c r="C85" s="3781"/>
      <c r="D85" s="3781"/>
      <c r="E85" s="3781"/>
      <c r="F85" s="3781"/>
      <c r="G85" s="3781"/>
      <c r="H85" s="3781"/>
      <c r="I85" s="3781"/>
      <c r="O85" s="21">
        <f>ROW()</f>
        <v>85</v>
      </c>
      <c r="Q85" s="1907">
        <v>3</v>
      </c>
      <c r="R85" s="1908">
        <f t="shared" si="2"/>
        <v>1077.0999999999999</v>
      </c>
      <c r="S85" s="1909">
        <f>R85/Constants!$J$18</f>
        <v>1.6829687499999999</v>
      </c>
      <c r="T85" s="1910"/>
      <c r="U85" s="1330">
        <f t="shared" si="1"/>
        <v>8.0312271649492215E-2</v>
      </c>
    </row>
    <row r="86" spans="2:21" ht="14.1" customHeight="1">
      <c r="O86" s="21">
        <f>ROW()</f>
        <v>86</v>
      </c>
      <c r="Q86" s="1907">
        <v>4</v>
      </c>
      <c r="R86" s="1908">
        <f t="shared" si="2"/>
        <v>1131.8</v>
      </c>
      <c r="S86" s="1909">
        <f>R86/Constants!$J$18</f>
        <v>1.7684374999999999</v>
      </c>
      <c r="T86" s="1910"/>
      <c r="U86" s="1330">
        <f t="shared" si="1"/>
        <v>8.4390891331255505E-2</v>
      </c>
    </row>
    <row r="87" spans="2:21" ht="14.1" customHeight="1">
      <c r="B87" s="5103" t="s">
        <v>3057</v>
      </c>
      <c r="C87" s="3781"/>
      <c r="D87" s="3781"/>
      <c r="E87" s="3781"/>
      <c r="F87" s="3781"/>
      <c r="G87" s="3781"/>
      <c r="H87" s="3781"/>
      <c r="I87" s="3781"/>
      <c r="O87" s="21">
        <f>ROW()</f>
        <v>87</v>
      </c>
      <c r="Q87" s="1907">
        <v>5</v>
      </c>
      <c r="R87" s="1908">
        <f t="shared" si="2"/>
        <v>1005.3</v>
      </c>
      <c r="S87" s="1909">
        <f>R87/Constants!$J$18</f>
        <v>1.57078125</v>
      </c>
      <c r="T87" s="1910"/>
      <c r="U87" s="1330">
        <f t="shared" si="1"/>
        <v>7.4958617295733485E-2</v>
      </c>
    </row>
    <row r="88" spans="2:21" ht="14.1" customHeight="1">
      <c r="B88" s="3781"/>
      <c r="C88" s="3781"/>
      <c r="D88" s="3781"/>
      <c r="E88" s="3781"/>
      <c r="F88" s="3781"/>
      <c r="G88" s="3781"/>
      <c r="H88" s="3781"/>
      <c r="I88" s="3781"/>
      <c r="O88" s="21">
        <f>ROW()</f>
        <v>88</v>
      </c>
      <c r="Q88" s="1907">
        <v>6</v>
      </c>
      <c r="R88" s="1908">
        <f t="shared" si="2"/>
        <v>888.4</v>
      </c>
      <c r="S88" s="1909">
        <f>R88/Constants!$J$18</f>
        <v>1.3881250000000001</v>
      </c>
      <c r="T88" s="1910"/>
      <c r="U88" s="1330">
        <f t="shared" si="1"/>
        <v>6.6242152198875581E-2</v>
      </c>
    </row>
    <row r="89" spans="2:21" ht="14.1" customHeight="1">
      <c r="O89" s="21">
        <f>ROW()</f>
        <v>89</v>
      </c>
      <c r="Q89" s="1907">
        <v>7</v>
      </c>
      <c r="R89" s="1908">
        <f t="shared" si="2"/>
        <v>1222.7</v>
      </c>
      <c r="S89" s="1909">
        <f>R89/Constants!$J$18</f>
        <v>1.9104687500000002</v>
      </c>
      <c r="T89" s="1910"/>
      <c r="U89" s="1330">
        <f t="shared" si="1"/>
        <v>9.1168707219231412E-2</v>
      </c>
    </row>
    <row r="90" spans="2:21" ht="14.1" customHeight="1">
      <c r="B90" s="5103" t="s">
        <v>3063</v>
      </c>
      <c r="C90" s="5103"/>
      <c r="D90" s="5103"/>
      <c r="E90" s="5103"/>
      <c r="F90" s="5103"/>
      <c r="G90" s="5103"/>
      <c r="H90" s="5103"/>
      <c r="I90" s="5103"/>
      <c r="O90" s="21">
        <f>ROW()</f>
        <v>90</v>
      </c>
      <c r="Q90" s="1907">
        <v>8</v>
      </c>
      <c r="R90" s="1908">
        <f t="shared" si="2"/>
        <v>1267</v>
      </c>
      <c r="S90" s="1909">
        <f>R90/Constants!$J$18</f>
        <v>1.9796875</v>
      </c>
      <c r="T90" s="1910"/>
      <c r="U90" s="1330">
        <f t="shared" si="1"/>
        <v>9.4471867217441885E-2</v>
      </c>
    </row>
    <row r="91" spans="2:21" ht="14.1" customHeight="1">
      <c r="B91" s="5103"/>
      <c r="C91" s="5103"/>
      <c r="D91" s="5103"/>
      <c r="E91" s="5103"/>
      <c r="F91" s="5103"/>
      <c r="G91" s="5103"/>
      <c r="H91" s="5103"/>
      <c r="I91" s="5103"/>
      <c r="O91" s="21">
        <f>ROW()</f>
        <v>91</v>
      </c>
      <c r="Q91" s="1907">
        <v>9</v>
      </c>
      <c r="R91" s="1908">
        <f t="shared" si="2"/>
        <v>961.3</v>
      </c>
      <c r="S91" s="1909">
        <f>R91/Constants!$J$18</f>
        <v>1.5020312499999999</v>
      </c>
      <c r="T91" s="1910"/>
      <c r="U91" s="1330">
        <f t="shared" si="1"/>
        <v>7.167782632685625E-2</v>
      </c>
    </row>
    <row r="92" spans="2:21" ht="14.1" customHeight="1">
      <c r="B92" s="5103"/>
      <c r="C92" s="5103"/>
      <c r="D92" s="5103"/>
      <c r="E92" s="5103"/>
      <c r="F92" s="5103"/>
      <c r="G92" s="5103"/>
      <c r="H92" s="5103"/>
      <c r="I92" s="5103"/>
      <c r="O92" s="21">
        <f>ROW()</f>
        <v>92</v>
      </c>
      <c r="Q92" s="1907">
        <v>10</v>
      </c>
      <c r="R92" s="1908">
        <f t="shared" si="2"/>
        <v>897</v>
      </c>
      <c r="S92" s="1909">
        <f>R92/Constants!$J$18</f>
        <v>1.4015625</v>
      </c>
      <c r="T92" s="1910"/>
      <c r="U92" s="1330">
        <f t="shared" si="1"/>
        <v>6.6883397706428857E-2</v>
      </c>
    </row>
    <row r="93" spans="2:21" ht="14.1" customHeight="1">
      <c r="B93" s="5103"/>
      <c r="C93" s="5103"/>
      <c r="D93" s="5103"/>
      <c r="E93" s="5103"/>
      <c r="F93" s="5103"/>
      <c r="G93" s="5103"/>
      <c r="H93" s="5103"/>
      <c r="I93" s="5103"/>
      <c r="O93" s="21">
        <f>ROW()</f>
        <v>93</v>
      </c>
      <c r="Q93" s="1907">
        <v>11</v>
      </c>
      <c r="R93" s="1908">
        <f t="shared" si="2"/>
        <v>1520.2</v>
      </c>
      <c r="S93" s="1909">
        <f>R93/Constants!$J$18</f>
        <v>2.3753125000000002</v>
      </c>
      <c r="T93" s="1910"/>
      <c r="U93" s="1330">
        <f t="shared" si="1"/>
        <v>0.11335132797470809</v>
      </c>
    </row>
    <row r="94" spans="2:21" ht="14.1" customHeight="1">
      <c r="B94" s="5103"/>
      <c r="C94" s="5103"/>
      <c r="D94" s="5103"/>
      <c r="E94" s="5103"/>
      <c r="F94" s="5103"/>
      <c r="G94" s="5103"/>
      <c r="H94" s="5103"/>
      <c r="I94" s="5103"/>
      <c r="O94" s="21">
        <f>ROW()</f>
        <v>94</v>
      </c>
      <c r="Q94" s="1907">
        <v>12</v>
      </c>
      <c r="R94" s="1908">
        <f t="shared" si="2"/>
        <v>1790.6</v>
      </c>
      <c r="S94" s="1909">
        <f>R94/Constants!$J$18</f>
        <v>2.7978125</v>
      </c>
      <c r="T94" s="1910"/>
      <c r="U94" s="1330">
        <f t="shared" si="1"/>
        <v>0.13351327974708083</v>
      </c>
    </row>
    <row r="95" spans="2:21" ht="14.1" customHeight="1">
      <c r="B95" s="3781"/>
      <c r="C95" s="3781"/>
      <c r="D95" s="3781"/>
      <c r="E95" s="3781"/>
      <c r="F95" s="3781"/>
      <c r="G95" s="3781"/>
      <c r="H95" s="3781"/>
      <c r="I95" s="3781"/>
      <c r="O95" s="21">
        <f>ROW()</f>
        <v>95</v>
      </c>
      <c r="Q95" s="1911" t="s">
        <v>3111</v>
      </c>
      <c r="R95" s="1912">
        <f>SUM(R83:R94)</f>
        <v>13411.4</v>
      </c>
      <c r="S95" s="1912">
        <f>SUM(S83:S94)</f>
        <v>20.955312500000002</v>
      </c>
      <c r="T95" s="113"/>
      <c r="U95" s="1330">
        <f t="shared" si="1"/>
        <v>1</v>
      </c>
    </row>
    <row r="96" spans="2:21" ht="14.1" customHeight="1">
      <c r="B96" s="3781"/>
      <c r="C96" s="3781"/>
      <c r="D96" s="3781"/>
      <c r="E96" s="3781"/>
      <c r="F96" s="3781"/>
      <c r="G96" s="3781"/>
      <c r="H96" s="3781"/>
      <c r="I96" s="3781"/>
      <c r="O96" s="21">
        <f>ROW()</f>
        <v>96</v>
      </c>
      <c r="Q96" s="1911" t="s">
        <v>3115</v>
      </c>
      <c r="R96" s="1912">
        <f>SUM(R83:R85)</f>
        <v>2727.1</v>
      </c>
      <c r="S96" s="1912">
        <f>SUM(S83:S85)</f>
        <v>4.2610937499999997</v>
      </c>
      <c r="T96" s="1912"/>
      <c r="U96" s="1330">
        <f t="shared" si="1"/>
        <v>0.20334193298238812</v>
      </c>
    </row>
    <row r="97" spans="2:21" ht="14.1" customHeight="1">
      <c r="B97" s="3781"/>
      <c r="C97" s="3781"/>
      <c r="D97" s="3781"/>
      <c r="E97" s="3781"/>
      <c r="F97" s="3781"/>
      <c r="G97" s="3781"/>
      <c r="H97" s="3781"/>
      <c r="I97" s="3781"/>
      <c r="O97" s="21">
        <f>ROW()</f>
        <v>97</v>
      </c>
      <c r="Q97" s="1911" t="s">
        <v>3118</v>
      </c>
      <c r="R97" s="1912">
        <f>SUM(R86:R88)</f>
        <v>3025.5</v>
      </c>
      <c r="S97" s="1912">
        <f>SUM(S86:S88)</f>
        <v>4.7273437499999993</v>
      </c>
      <c r="T97" s="113"/>
      <c r="U97" s="1330">
        <f t="shared" si="1"/>
        <v>0.22559166082586457</v>
      </c>
    </row>
    <row r="98" spans="2:21" ht="14.1" customHeight="1">
      <c r="B98" s="3781"/>
      <c r="C98" s="3781"/>
      <c r="D98" s="3781"/>
      <c r="E98" s="3781"/>
      <c r="F98" s="3781"/>
      <c r="G98" s="3781"/>
      <c r="H98" s="3781"/>
      <c r="I98" s="3781"/>
      <c r="O98" s="21">
        <f>ROW()</f>
        <v>98</v>
      </c>
      <c r="Q98" s="1911" t="s">
        <v>3112</v>
      </c>
      <c r="R98" s="1912">
        <f>SUM(R83:R88)</f>
        <v>5752.5999999999995</v>
      </c>
      <c r="S98" s="1912">
        <f>SUM(S83:S88)</f>
        <v>8.9884374999999999</v>
      </c>
      <c r="T98" s="113"/>
      <c r="U98" s="1330">
        <f t="shared" si="1"/>
        <v>0.42893359380825263</v>
      </c>
    </row>
    <row r="99" spans="2:21" ht="14.1" customHeight="1">
      <c r="B99" s="3781"/>
      <c r="C99" s="3781"/>
      <c r="D99" s="3781"/>
      <c r="E99" s="3781"/>
      <c r="F99" s="3781"/>
      <c r="G99" s="3781"/>
      <c r="H99" s="3781"/>
      <c r="I99" s="3781"/>
      <c r="O99" s="21">
        <f>ROW()</f>
        <v>99</v>
      </c>
      <c r="Q99" s="1911" t="s">
        <v>3120</v>
      </c>
      <c r="R99" s="1912">
        <f>SUM(R83:R90)</f>
        <v>8242.2999999999993</v>
      </c>
      <c r="S99" s="1912">
        <f>SUM(S83:S90)</f>
        <v>12.87859375</v>
      </c>
      <c r="T99" s="113"/>
      <c r="U99" s="1330">
        <f t="shared" si="1"/>
        <v>0.61457416824492594</v>
      </c>
    </row>
    <row r="100" spans="2:21" ht="14.1" customHeight="1">
      <c r="O100" s="21">
        <f>ROW()</f>
        <v>100</v>
      </c>
      <c r="Q100" s="885"/>
      <c r="R100" s="113"/>
      <c r="S100" s="113"/>
      <c r="T100" s="113"/>
      <c r="U100" s="185"/>
    </row>
    <row r="101" spans="2:21" ht="14.1" customHeight="1">
      <c r="B101" s="2" t="s">
        <v>3239</v>
      </c>
      <c r="O101" s="21">
        <f>ROW()</f>
        <v>101</v>
      </c>
      <c r="Q101" s="1911" t="s">
        <v>3124</v>
      </c>
      <c r="R101" s="113">
        <v>172</v>
      </c>
      <c r="S101" s="113"/>
      <c r="T101" s="113"/>
      <c r="U101" s="185"/>
    </row>
    <row r="102" spans="2:21" ht="14.1" customHeight="1" thickBot="1">
      <c r="D102" s="1892" t="s">
        <v>2132</v>
      </c>
      <c r="E102" s="1892" t="s">
        <v>3097</v>
      </c>
      <c r="F102" s="1892" t="s">
        <v>2132</v>
      </c>
      <c r="G102" s="1892" t="s">
        <v>3097</v>
      </c>
      <c r="H102" s="1892" t="s">
        <v>3068</v>
      </c>
      <c r="I102" s="3804" t="s">
        <v>3129</v>
      </c>
      <c r="O102" s="21">
        <f>ROW()</f>
        <v>102</v>
      </c>
      <c r="Q102" s="1839" t="s">
        <v>3113</v>
      </c>
      <c r="R102" s="166"/>
      <c r="S102" s="166"/>
      <c r="T102" s="166"/>
      <c r="U102" s="1840"/>
    </row>
    <row r="103" spans="2:21" ht="14.1" customHeight="1">
      <c r="B103" s="9" t="s">
        <v>2589</v>
      </c>
      <c r="D103" s="4591" t="s">
        <v>3069</v>
      </c>
      <c r="E103" s="4591"/>
      <c r="F103" s="4591" t="s">
        <v>3070</v>
      </c>
      <c r="G103" s="4591"/>
      <c r="H103" s="1872" t="s">
        <v>3071</v>
      </c>
      <c r="I103" s="3804"/>
      <c r="O103" s="21">
        <f>ROW()</f>
        <v>103</v>
      </c>
    </row>
    <row r="104" spans="2:21" ht="14.1" customHeight="1">
      <c r="B104" s="280" t="s">
        <v>3065</v>
      </c>
      <c r="D104" s="716">
        <v>2</v>
      </c>
      <c r="E104" s="716">
        <f>$E$108*D104</f>
        <v>1.5</v>
      </c>
      <c r="F104" s="716">
        <f>D104/1</f>
        <v>2</v>
      </c>
      <c r="G104" s="716">
        <f>E104/1</f>
        <v>1.5</v>
      </c>
      <c r="H104" s="1873">
        <f>5*(0.5*3+0.75*4+0.5*3)/10</f>
        <v>3</v>
      </c>
      <c r="I104" s="1902">
        <f>G104/H104</f>
        <v>0.5</v>
      </c>
      <c r="J104" s="5128" t="s">
        <v>3131</v>
      </c>
      <c r="K104" s="5062"/>
      <c r="O104" s="21">
        <f>ROW()</f>
        <v>104</v>
      </c>
    </row>
    <row r="105" spans="2:21" ht="14.1" customHeight="1">
      <c r="B105" s="280" t="s">
        <v>3066</v>
      </c>
      <c r="D105" s="716">
        <v>5</v>
      </c>
      <c r="E105" s="716">
        <f>$E$108*D105</f>
        <v>3.75</v>
      </c>
      <c r="F105" s="716">
        <f>D105/2</f>
        <v>2.5</v>
      </c>
      <c r="G105" s="716">
        <f>E105/2</f>
        <v>1.875</v>
      </c>
      <c r="H105" s="1874">
        <f>5*(0.5*3+0.75*4+0.5*3)/10</f>
        <v>3</v>
      </c>
      <c r="I105" s="1901">
        <f>G105/H105</f>
        <v>0.625</v>
      </c>
      <c r="J105" s="5129"/>
      <c r="K105" s="5130"/>
      <c r="O105" s="21">
        <f>ROW()</f>
        <v>105</v>
      </c>
    </row>
    <row r="106" spans="2:21" ht="14.1" customHeight="1">
      <c r="B106" s="280" t="s">
        <v>3067</v>
      </c>
      <c r="D106" s="716">
        <v>9</v>
      </c>
      <c r="E106" s="716">
        <f>$E$108*D106</f>
        <v>6.75</v>
      </c>
      <c r="F106" s="716">
        <f>D106/3</f>
        <v>3</v>
      </c>
      <c r="G106" s="716">
        <f>E106/3</f>
        <v>2.25</v>
      </c>
      <c r="H106" s="1875">
        <f>5*(0.5*3+0.75*4+0.5*3)/10</f>
        <v>3</v>
      </c>
      <c r="I106" s="1903">
        <f>G106/H106</f>
        <v>0.75</v>
      </c>
      <c r="J106" s="4384"/>
      <c r="K106" s="4385"/>
      <c r="O106" s="21">
        <f>ROW()</f>
        <v>106</v>
      </c>
    </row>
    <row r="107" spans="2:21" ht="14.1" customHeight="1">
      <c r="B107" s="215" t="s">
        <v>3130</v>
      </c>
      <c r="H107" s="113"/>
      <c r="I107" s="113"/>
      <c r="O107" s="21">
        <f>ROW()</f>
        <v>107</v>
      </c>
    </row>
    <row r="108" spans="2:21" ht="14.1" customHeight="1">
      <c r="B108" s="280" t="s">
        <v>3128</v>
      </c>
      <c r="E108" s="23">
        <v>0.75</v>
      </c>
      <c r="H108" s="113"/>
      <c r="I108" s="113"/>
      <c r="O108" s="21">
        <f>ROW()</f>
        <v>108</v>
      </c>
    </row>
    <row r="109" spans="2:21" ht="14.1" customHeight="1">
      <c r="B109" s="280" t="s">
        <v>3072</v>
      </c>
      <c r="F109" s="716">
        <f>AVERAGE(F104:F106)</f>
        <v>2.5</v>
      </c>
      <c r="G109" s="716">
        <f>AVERAGE(G104:G106)</f>
        <v>1.875</v>
      </c>
      <c r="H109" s="1904">
        <f>AVERAGE(H104:H106)</f>
        <v>3</v>
      </c>
      <c r="I109" s="113"/>
      <c r="O109" s="21">
        <f>ROW()</f>
        <v>109</v>
      </c>
    </row>
    <row r="110" spans="2:21" ht="14.1" customHeight="1">
      <c r="B110" s="215" t="s">
        <v>3085</v>
      </c>
      <c r="O110" s="21">
        <f>ROW()</f>
        <v>110</v>
      </c>
    </row>
    <row r="111" spans="2:21" ht="14.1" customHeight="1">
      <c r="B111" s="4218" t="s">
        <v>3073</v>
      </c>
      <c r="C111" s="4184"/>
      <c r="D111" s="4184"/>
      <c r="E111" s="4184"/>
      <c r="F111" s="4184"/>
      <c r="G111" s="4184"/>
      <c r="H111" s="4184"/>
      <c r="I111" s="4184"/>
      <c r="O111" s="21">
        <f>ROW()</f>
        <v>111</v>
      </c>
    </row>
    <row r="112" spans="2:21" ht="14.1" customHeight="1">
      <c r="B112" s="4184"/>
      <c r="C112" s="4184"/>
      <c r="D112" s="4184"/>
      <c r="E112" s="4184"/>
      <c r="F112" s="4184"/>
      <c r="G112" s="4184"/>
      <c r="H112" s="4184"/>
      <c r="I112" s="4184"/>
      <c r="O112" s="21">
        <f>ROW()</f>
        <v>112</v>
      </c>
    </row>
    <row r="113" spans="2:15" ht="14.1" customHeight="1">
      <c r="B113" s="4184"/>
      <c r="C113" s="4184"/>
      <c r="D113" s="4184"/>
      <c r="E113" s="4184"/>
      <c r="F113" s="4184"/>
      <c r="G113" s="4184"/>
      <c r="H113" s="4184"/>
      <c r="I113" s="4184"/>
      <c r="O113" s="21">
        <f>ROW()</f>
        <v>113</v>
      </c>
    </row>
    <row r="114" spans="2:15" ht="14.1" customHeight="1">
      <c r="B114" s="280" t="s">
        <v>3074</v>
      </c>
      <c r="I114">
        <v>14</v>
      </c>
      <c r="O114" s="21">
        <f>ROW()</f>
        <v>114</v>
      </c>
    </row>
    <row r="115" spans="2:15" ht="14.1" customHeight="1">
      <c r="B115" s="215" t="s">
        <v>3075</v>
      </c>
      <c r="O115" s="21">
        <f>ROW()</f>
        <v>115</v>
      </c>
    </row>
    <row r="116" spans="2:15" ht="14.1" customHeight="1">
      <c r="B116" s="280" t="s">
        <v>3076</v>
      </c>
      <c r="I116">
        <v>7</v>
      </c>
      <c r="O116" s="21">
        <f>ROW()</f>
        <v>116</v>
      </c>
    </row>
    <row r="117" spans="2:15" ht="14.1" customHeight="1">
      <c r="B117" s="215" t="s">
        <v>3077</v>
      </c>
      <c r="O117" s="21">
        <f>ROW()</f>
        <v>117</v>
      </c>
    </row>
    <row r="118" spans="2:15" ht="14.1" customHeight="1">
      <c r="B118" s="280" t="s">
        <v>3079</v>
      </c>
      <c r="I118" s="23">
        <v>0.05</v>
      </c>
      <c r="O118" s="21">
        <f>ROW()</f>
        <v>118</v>
      </c>
    </row>
    <row r="119" spans="2:15" ht="14.1" customHeight="1">
      <c r="B119" s="280" t="s">
        <v>3078</v>
      </c>
      <c r="I119" s="1122">
        <f>I114*Constants!J8*I116/7*(1-I118)</f>
        <v>4854.5</v>
      </c>
      <c r="O119" s="21">
        <f>ROW()</f>
        <v>119</v>
      </c>
    </row>
    <row r="120" spans="2:15" ht="14.1" customHeight="1">
      <c r="B120" s="215" t="str">
        <f>CONCATENATE("Product of Row ",O114, " times Row ",O116, " divided by 7, times days in year, times complement of Row ",O118, ".")</f>
        <v>Product of Row 114 times Row 116 divided by 7, times days in year, times complement of Row 118.</v>
      </c>
      <c r="O120" s="21">
        <f>ROW()</f>
        <v>120</v>
      </c>
    </row>
    <row r="121" spans="2:15" ht="14.1" customHeight="1">
      <c r="B121" s="280" t="s">
        <v>3086</v>
      </c>
      <c r="I121" s="23">
        <v>0.85</v>
      </c>
      <c r="O121" s="21">
        <f>ROW()</f>
        <v>121</v>
      </c>
    </row>
    <row r="122" spans="2:15" ht="14.1" customHeight="1">
      <c r="B122" s="280" t="s">
        <v>3132</v>
      </c>
      <c r="I122" s="23">
        <v>0.1</v>
      </c>
      <c r="O122" s="21">
        <f>ROW()</f>
        <v>122</v>
      </c>
    </row>
    <row r="123" spans="2:15" ht="14.1" customHeight="1">
      <c r="B123" s="280" t="str">
        <f>CONCATENATE("Occupancy rate assumed for revenue estimation (Row ",O121," less Row ",O122,").")</f>
        <v>Occupancy rate assumed for revenue estimation (Row 121 less Row 122).</v>
      </c>
      <c r="I123" s="23">
        <f>I121-I122</f>
        <v>0.75</v>
      </c>
      <c r="O123" s="21">
        <f>ROW()</f>
        <v>123</v>
      </c>
    </row>
    <row r="124" spans="2:15" ht="14.1" customHeight="1">
      <c r="O124" s="21">
        <f>ROW()</f>
        <v>124</v>
      </c>
    </row>
    <row r="125" spans="2:15" ht="14.1" customHeight="1">
      <c r="B125" s="2" t="s">
        <v>3083</v>
      </c>
      <c r="O125" s="21">
        <f>ROW()</f>
        <v>125</v>
      </c>
    </row>
    <row r="126" spans="2:15" ht="14.1" customHeight="1">
      <c r="G126" s="1892" t="s">
        <v>2132</v>
      </c>
      <c r="H126" s="1892" t="s">
        <v>3097</v>
      </c>
      <c r="I126" s="1892" t="s">
        <v>3082</v>
      </c>
      <c r="O126" s="21">
        <f>ROW()</f>
        <v>126</v>
      </c>
    </row>
    <row r="127" spans="2:15" ht="14.1" customHeight="1">
      <c r="B127" s="280" t="s">
        <v>3080</v>
      </c>
      <c r="G127" s="870">
        <f>$I$119*$I$123*F109</f>
        <v>9102.1875</v>
      </c>
      <c r="H127" s="870">
        <f>$I$119*$I$123*G109</f>
        <v>6826.640625</v>
      </c>
      <c r="O127" s="21">
        <f>ROW()</f>
        <v>127</v>
      </c>
    </row>
    <row r="128" spans="2:15" ht="14.1" customHeight="1">
      <c r="B128" s="215" t="str">
        <f>CONCATENATE("Product of Rows ",O119, " and ",O123, " times Row ",O109, " (Column F).")</f>
        <v>Product of Rows 119 and 123 times Row 109 (Column F).</v>
      </c>
      <c r="G128" s="870"/>
      <c r="H128" s="870"/>
      <c r="O128" s="21">
        <f>ROW()</f>
        <v>128</v>
      </c>
    </row>
    <row r="129" spans="2:15" ht="14.1" customHeight="1">
      <c r="B129" s="518" t="s">
        <v>3081</v>
      </c>
      <c r="C129" s="2"/>
      <c r="D129" s="2"/>
      <c r="E129" s="2"/>
      <c r="F129" s="2"/>
      <c r="G129" s="1890">
        <f>ROUND(G127*F67,-6)</f>
        <v>262000000</v>
      </c>
      <c r="H129" s="1890">
        <f>ROUND(H127*F77,-6)</f>
        <v>126000000</v>
      </c>
      <c r="I129" s="1891">
        <f>G129+H129</f>
        <v>388000000</v>
      </c>
      <c r="O129" s="21">
        <f>ROW()</f>
        <v>129</v>
      </c>
    </row>
    <row r="130" spans="2:15" ht="14.1" customHeight="1">
      <c r="B130" s="215" t="str">
        <f>CONCATENATE("Product of Row ",O127, " times either Row ",O77, " or ",O67, ".")</f>
        <v>Product of Row 127 times either Row 77 or 67.</v>
      </c>
      <c r="O130" s="21">
        <f>ROW()</f>
        <v>130</v>
      </c>
    </row>
    <row r="131" spans="2:15" ht="14.1" customHeight="1">
      <c r="O131" s="21">
        <f>ROW()</f>
        <v>131</v>
      </c>
    </row>
    <row r="132" spans="2:15" ht="14.1" customHeight="1">
      <c r="B132" s="2" t="str">
        <f>CONCATENATE("D. Estimate current annual revenues (to be netted from Row ",O129, " figure to yield potential revenue increase).")</f>
        <v>D. Estimate current annual revenues (to be netted from Row 129 figure to yield potential revenue increase).</v>
      </c>
      <c r="O132" s="21">
        <f>ROW()</f>
        <v>132</v>
      </c>
    </row>
    <row r="133" spans="2:15" ht="14.1" customHeight="1">
      <c r="O133" s="21">
        <f>ROW()</f>
        <v>133</v>
      </c>
    </row>
    <row r="134" spans="2:15" ht="14.1" customHeight="1">
      <c r="F134" s="1892" t="s">
        <v>2132</v>
      </c>
      <c r="G134" s="1892" t="s">
        <v>3097</v>
      </c>
      <c r="H134" s="1892" t="s">
        <v>3082</v>
      </c>
      <c r="I134" s="169" t="s">
        <v>1552</v>
      </c>
      <c r="O134" s="21">
        <f>ROW()</f>
        <v>134</v>
      </c>
    </row>
    <row r="135" spans="2:15" ht="14.1" customHeight="1">
      <c r="B135" s="280" t="str">
        <f>CONCATENATE("Number of metered spaces (from Rows ",O67, " and ",O77, ", Column E).")</f>
        <v>Number of metered spaces (from Rows 67 and 77, Column E).</v>
      </c>
      <c r="F135" s="1179">
        <f>E67</f>
        <v>6904</v>
      </c>
      <c r="G135" s="1179">
        <f>E77</f>
        <v>3170.5416915620349</v>
      </c>
      <c r="H135" s="1179">
        <f>F135+G135</f>
        <v>10074.541691562035</v>
      </c>
      <c r="K135" s="5084" t="s">
        <v>3092</v>
      </c>
      <c r="L135" s="5137"/>
      <c r="M135" s="5138"/>
      <c r="O135" s="21">
        <f>ROW()</f>
        <v>135</v>
      </c>
    </row>
    <row r="136" spans="2:15" ht="14.1" customHeight="1">
      <c r="B136" s="215" t="str">
        <f>CONCATENATE("From Rows ",O67, " and ",O77, ".")</f>
        <v>From Rows 67 and 77.</v>
      </c>
      <c r="K136" s="5139"/>
      <c r="L136" s="5140"/>
      <c r="M136" s="5141"/>
      <c r="O136" s="21">
        <f>ROW()</f>
        <v>136</v>
      </c>
    </row>
    <row r="137" spans="2:15" ht="14.1" customHeight="1">
      <c r="B137" s="280" t="s">
        <v>3088</v>
      </c>
      <c r="I137" s="1179">
        <v>67000</v>
      </c>
      <c r="K137" s="5139"/>
      <c r="L137" s="5140"/>
      <c r="M137" s="5141"/>
      <c r="O137" s="21">
        <f>ROW()</f>
        <v>137</v>
      </c>
    </row>
    <row r="138" spans="2:15" ht="14.1" customHeight="1">
      <c r="B138" s="215" t="s">
        <v>3089</v>
      </c>
      <c r="K138" s="5139"/>
      <c r="L138" s="5140"/>
      <c r="M138" s="5141"/>
      <c r="O138" s="21">
        <f>ROW()</f>
        <v>138</v>
      </c>
    </row>
    <row r="139" spans="2:15" ht="14.1" customHeight="1">
      <c r="B139" s="280" t="s">
        <v>3090</v>
      </c>
      <c r="I139" s="183">
        <v>147332000</v>
      </c>
      <c r="K139" s="5139"/>
      <c r="L139" s="5140"/>
      <c r="M139" s="5141"/>
      <c r="O139" s="21">
        <f>ROW()</f>
        <v>139</v>
      </c>
    </row>
    <row r="140" spans="2:15" ht="14.1" customHeight="1">
      <c r="B140" s="215" t="s">
        <v>3091</v>
      </c>
      <c r="K140" s="5139"/>
      <c r="L140" s="5140"/>
      <c r="M140" s="5141"/>
      <c r="O140" s="21">
        <f>ROW()</f>
        <v>140</v>
      </c>
    </row>
    <row r="141" spans="2:15" ht="14.1" customHeight="1">
      <c r="B141" s="280" t="s">
        <v>3093</v>
      </c>
      <c r="F141">
        <f>1/2</f>
        <v>0.5</v>
      </c>
      <c r="K141" s="3738"/>
      <c r="L141" s="3739"/>
      <c r="M141" s="3922"/>
      <c r="O141" s="21">
        <f>ROW()</f>
        <v>141</v>
      </c>
    </row>
    <row r="142" spans="2:15" ht="14.1" customHeight="1">
      <c r="B142" s="215" t="s">
        <v>451</v>
      </c>
      <c r="K142" s="3741"/>
      <c r="L142" s="3742"/>
      <c r="M142" s="3777"/>
      <c r="O142" s="21">
        <f>ROW()</f>
        <v>142</v>
      </c>
    </row>
    <row r="143" spans="2:15" ht="14.1" customHeight="1">
      <c r="B143" s="280" t="s">
        <v>3094</v>
      </c>
      <c r="F143" s="183">
        <f>ROUND(F141*I139,-5)</f>
        <v>73700000</v>
      </c>
      <c r="O143" s="21">
        <f>ROW()</f>
        <v>143</v>
      </c>
    </row>
    <row r="144" spans="2:15" ht="14.1" customHeight="1">
      <c r="B144" s="215" t="str">
        <f>CONCATENATE("Row ",O141, " x Row ",O139, ".")</f>
        <v>Row 141 x Row 139.</v>
      </c>
      <c r="O144" s="21">
        <f>ROW()</f>
        <v>144</v>
      </c>
    </row>
    <row r="145" spans="2:15" ht="14.1" customHeight="1">
      <c r="B145" s="280" t="s">
        <v>3095</v>
      </c>
      <c r="F145" s="183">
        <f>ROUND(F143*E108*G135/F135,-5)</f>
        <v>25400000</v>
      </c>
      <c r="O145" s="21">
        <f>ROW()</f>
        <v>145</v>
      </c>
    </row>
    <row r="146" spans="2:15" ht="14.1" customHeight="1" thickBot="1">
      <c r="B146" s="215" t="str">
        <f>CONCATENATE("Product of Row ",377, ", Row ",O143, " and ratio of non-CBD to CBD revenues in Row ",O135, ".")</f>
        <v>Product of Row 377, Row 143 and ratio of non-CBD to CBD revenues in Row 135.</v>
      </c>
      <c r="O146" s="21">
        <f>ROW()</f>
        <v>146</v>
      </c>
    </row>
    <row r="147" spans="2:15" ht="14.1" customHeight="1" thickTop="1">
      <c r="B147" s="1879" t="s">
        <v>3096</v>
      </c>
      <c r="C147" s="1880"/>
      <c r="D147" s="1880"/>
      <c r="E147" s="1880"/>
      <c r="F147" s="1880"/>
      <c r="G147" s="1880"/>
      <c r="H147" s="1881"/>
      <c r="O147" s="21">
        <f>ROW()</f>
        <v>147</v>
      </c>
    </row>
    <row r="148" spans="2:15" ht="14.1" customHeight="1">
      <c r="B148" s="1882"/>
      <c r="C148" s="113"/>
      <c r="D148" s="113"/>
      <c r="E148" s="113"/>
      <c r="F148" s="1893" t="s">
        <v>2132</v>
      </c>
      <c r="G148" s="1893" t="s">
        <v>3097</v>
      </c>
      <c r="H148" s="1894" t="s">
        <v>3098</v>
      </c>
      <c r="O148" s="21">
        <f>ROW()</f>
        <v>148</v>
      </c>
    </row>
    <row r="149" spans="2:15" ht="14.1" customHeight="1">
      <c r="B149" s="1883" t="s">
        <v>2738</v>
      </c>
      <c r="C149" s="113"/>
      <c r="D149" s="5128" t="s">
        <v>3101</v>
      </c>
      <c r="E149" s="5062"/>
      <c r="F149" s="1876">
        <f>F143</f>
        <v>73700000</v>
      </c>
      <c r="G149" s="1876">
        <f>F145</f>
        <v>25400000</v>
      </c>
      <c r="H149" s="1884">
        <f>I139-F149-G149</f>
        <v>48232000</v>
      </c>
      <c r="O149" s="21">
        <f>ROW()</f>
        <v>149</v>
      </c>
    </row>
    <row r="150" spans="2:15" ht="14.1" customHeight="1" thickBot="1">
      <c r="B150" s="1883" t="s">
        <v>3099</v>
      </c>
      <c r="C150" s="113"/>
      <c r="D150" s="5129"/>
      <c r="E150" s="5130"/>
      <c r="F150" s="1877">
        <f>F135</f>
        <v>6904</v>
      </c>
      <c r="G150" s="1877">
        <f>G135</f>
        <v>3170.5416915620349</v>
      </c>
      <c r="H150" s="1885">
        <f>I137-H135</f>
        <v>56925.458308437963</v>
      </c>
      <c r="O150" s="21">
        <f>ROW()</f>
        <v>150</v>
      </c>
    </row>
    <row r="151" spans="2:15" ht="14.1" customHeight="1" thickTop="1" thickBot="1">
      <c r="B151" s="1886" t="s">
        <v>3100</v>
      </c>
      <c r="C151" s="1878"/>
      <c r="D151" s="5135"/>
      <c r="E151" s="5136"/>
      <c r="F151" s="1887">
        <f>F149/F150</f>
        <v>10674.971031286212</v>
      </c>
      <c r="G151" s="1888">
        <f>G149/G150</f>
        <v>8011.24932928611</v>
      </c>
      <c r="H151" s="1889">
        <f>H149/H150</f>
        <v>847.28347268924233</v>
      </c>
      <c r="O151" s="21">
        <f>ROW()</f>
        <v>151</v>
      </c>
    </row>
    <row r="152" spans="2:15" ht="14.1" customHeight="1" thickTop="1">
      <c r="O152" s="21">
        <f>ROW()</f>
        <v>152</v>
      </c>
    </row>
    <row r="153" spans="2:15" ht="14.1" customHeight="1">
      <c r="B153" s="2" t="s">
        <v>3102</v>
      </c>
      <c r="O153" s="21">
        <f>ROW()</f>
        <v>153</v>
      </c>
    </row>
    <row r="154" spans="2:15" ht="14.1" customHeight="1">
      <c r="F154" s="1893" t="s">
        <v>2132</v>
      </c>
      <c r="G154" s="1893" t="s">
        <v>3097</v>
      </c>
      <c r="H154" s="1893" t="s">
        <v>3082</v>
      </c>
      <c r="O154" s="21">
        <f>ROW()</f>
        <v>154</v>
      </c>
    </row>
    <row r="155" spans="2:15" ht="14.1" customHeight="1">
      <c r="B155" s="280" t="s">
        <v>3103</v>
      </c>
      <c r="F155" s="128">
        <f>G129</f>
        <v>262000000</v>
      </c>
      <c r="G155" s="128">
        <f>H129</f>
        <v>126000000</v>
      </c>
      <c r="H155" s="128">
        <f>F155+G155</f>
        <v>388000000</v>
      </c>
      <c r="O155" s="21">
        <f>ROW()</f>
        <v>155</v>
      </c>
    </row>
    <row r="156" spans="2:15" ht="14.1" customHeight="1">
      <c r="B156" s="280" t="s">
        <v>3104</v>
      </c>
      <c r="F156" s="183">
        <f>F149</f>
        <v>73700000</v>
      </c>
      <c r="G156" s="183">
        <f>G149</f>
        <v>25400000</v>
      </c>
      <c r="H156" s="128">
        <f>F156+G156</f>
        <v>99100000</v>
      </c>
      <c r="O156" s="21">
        <f>ROW()</f>
        <v>156</v>
      </c>
    </row>
    <row r="157" spans="2:15" ht="14.1" customHeight="1">
      <c r="B157" s="518" t="s">
        <v>3105</v>
      </c>
      <c r="C157" s="2"/>
      <c r="D157" s="2"/>
      <c r="E157" s="2"/>
      <c r="F157" s="1891">
        <f>F155-F156</f>
        <v>188300000</v>
      </c>
      <c r="G157" s="1891">
        <f>G155-G156</f>
        <v>100600000</v>
      </c>
      <c r="H157" s="1891">
        <f>H155-H156</f>
        <v>288900000</v>
      </c>
      <c r="O157" s="21">
        <f>ROW()</f>
        <v>157</v>
      </c>
    </row>
    <row r="158" spans="2:15" ht="14.1" customHeight="1">
      <c r="O158" s="21">
        <f>ROW()</f>
        <v>158</v>
      </c>
    </row>
    <row r="159" spans="2:15" ht="14.1" customHeight="1">
      <c r="O159" s="21">
        <f>ROW()</f>
        <v>159</v>
      </c>
    </row>
    <row r="160" spans="2:15" ht="14.1" customHeight="1">
      <c r="O160" s="21">
        <f>ROW()</f>
        <v>160</v>
      </c>
    </row>
    <row r="161" spans="2:15" ht="14.1" customHeight="1">
      <c r="B161" s="24" t="s">
        <v>3234</v>
      </c>
      <c r="O161" s="21">
        <f>ROW()</f>
        <v>161</v>
      </c>
    </row>
    <row r="162" spans="2:15" ht="14.1" customHeight="1">
      <c r="O162" s="21">
        <f>ROW()</f>
        <v>162</v>
      </c>
    </row>
    <row r="163" spans="2:15" ht="14.1" customHeight="1">
      <c r="B163" t="s">
        <v>606</v>
      </c>
      <c r="O163" s="21">
        <f>ROW()</f>
        <v>163</v>
      </c>
    </row>
    <row r="164" spans="2:15" ht="14.1" customHeight="1">
      <c r="O164" s="21">
        <f>ROW()</f>
        <v>164</v>
      </c>
    </row>
    <row r="165" spans="2:15" ht="14.1" customHeight="1">
      <c r="B165" s="3779" t="s">
        <v>2254</v>
      </c>
      <c r="C165" s="3779"/>
      <c r="D165" s="3779"/>
      <c r="E165" s="3779"/>
      <c r="F165" s="3779"/>
      <c r="G165" s="3779"/>
      <c r="H165" s="3779"/>
      <c r="I165" s="3779"/>
      <c r="O165" s="21">
        <f>ROW()</f>
        <v>165</v>
      </c>
    </row>
    <row r="166" spans="2:15" ht="14.1" customHeight="1">
      <c r="B166" s="3779"/>
      <c r="C166" s="3779"/>
      <c r="D166" s="3779"/>
      <c r="E166" s="3779"/>
      <c r="F166" s="3779"/>
      <c r="G166" s="3779"/>
      <c r="H166" s="3779"/>
      <c r="I166" s="3779"/>
      <c r="O166" s="21">
        <f>ROW()</f>
        <v>166</v>
      </c>
    </row>
    <row r="167" spans="2:15" ht="14.1" customHeight="1">
      <c r="B167" s="3779"/>
      <c r="C167" s="3779"/>
      <c r="D167" s="3779"/>
      <c r="E167" s="3779"/>
      <c r="F167" s="3779"/>
      <c r="G167" s="3779"/>
      <c r="H167" s="3779"/>
      <c r="I167" s="3779"/>
      <c r="O167" s="21">
        <f>ROW()</f>
        <v>167</v>
      </c>
    </row>
    <row r="168" spans="2:15" ht="14.1" customHeight="1">
      <c r="B168" s="3779"/>
      <c r="C168" s="3779"/>
      <c r="D168" s="3779"/>
      <c r="E168" s="3779"/>
      <c r="F168" s="3779"/>
      <c r="G168" s="3779"/>
      <c r="H168" s="3779"/>
      <c r="I168" s="3779"/>
      <c r="O168" s="21">
        <f>ROW()</f>
        <v>168</v>
      </c>
    </row>
    <row r="169" spans="2:15" ht="14.1" customHeight="1">
      <c r="O169" s="21">
        <f>ROW()</f>
        <v>169</v>
      </c>
    </row>
    <row r="170" spans="2:15" ht="14.1" customHeight="1">
      <c r="B170" s="3779" t="s">
        <v>604</v>
      </c>
      <c r="C170" s="3779"/>
      <c r="D170" s="3779"/>
      <c r="E170" s="3779"/>
      <c r="F170" s="3779"/>
      <c r="G170" s="3779"/>
      <c r="H170" s="3779"/>
      <c r="I170" s="3779"/>
      <c r="O170" s="21">
        <f>ROW()</f>
        <v>170</v>
      </c>
    </row>
    <row r="171" spans="2:15" ht="14.1" customHeight="1">
      <c r="B171" s="3779"/>
      <c r="C171" s="3779"/>
      <c r="D171" s="3779"/>
      <c r="E171" s="3779"/>
      <c r="F171" s="3779"/>
      <c r="G171" s="3779"/>
      <c r="H171" s="3779"/>
      <c r="I171" s="3779"/>
      <c r="O171" s="21">
        <f>ROW()</f>
        <v>171</v>
      </c>
    </row>
    <row r="172" spans="2:15" ht="14.1" customHeight="1">
      <c r="B172" s="3779"/>
      <c r="C172" s="3779"/>
      <c r="D172" s="3779"/>
      <c r="E172" s="3779"/>
      <c r="F172" s="3779"/>
      <c r="G172" s="3779"/>
      <c r="H172" s="3779"/>
      <c r="I172" s="3779"/>
      <c r="O172" s="21">
        <f>ROW()</f>
        <v>172</v>
      </c>
    </row>
    <row r="173" spans="2:15" ht="14.1" customHeight="1">
      <c r="B173" s="3779"/>
      <c r="C173" s="3779"/>
      <c r="D173" s="3779"/>
      <c r="E173" s="3779"/>
      <c r="F173" s="3779"/>
      <c r="G173" s="3779"/>
      <c r="H173" s="3779"/>
      <c r="I173" s="3779"/>
      <c r="O173" s="21">
        <f>ROW()</f>
        <v>173</v>
      </c>
    </row>
    <row r="174" spans="2:15" ht="14.1" customHeight="1">
      <c r="O174" s="21">
        <f>ROW()</f>
        <v>174</v>
      </c>
    </row>
    <row r="175" spans="2:15" ht="14.1" customHeight="1">
      <c r="B175" t="s">
        <v>607</v>
      </c>
      <c r="O175" s="21">
        <f>ROW()</f>
        <v>175</v>
      </c>
    </row>
    <row r="176" spans="2:15" ht="14.1" customHeight="1">
      <c r="O176" s="21">
        <f>ROW()</f>
        <v>176</v>
      </c>
    </row>
    <row r="177" spans="2:15" ht="14.1" customHeight="1">
      <c r="B177" s="3779" t="s">
        <v>629</v>
      </c>
      <c r="C177" s="3779"/>
      <c r="D177" s="3779"/>
      <c r="E177" s="3779"/>
      <c r="F177" s="3779"/>
      <c r="G177" s="3779"/>
      <c r="H177" s="3779"/>
      <c r="I177" s="3779"/>
      <c r="O177" s="21">
        <f>ROW()</f>
        <v>177</v>
      </c>
    </row>
    <row r="178" spans="2:15" ht="14.1" customHeight="1">
      <c r="B178" s="3779"/>
      <c r="C178" s="3779"/>
      <c r="D178" s="3779"/>
      <c r="E178" s="3779"/>
      <c r="F178" s="3779"/>
      <c r="G178" s="3779"/>
      <c r="H178" s="3779"/>
      <c r="I178" s="3779"/>
      <c r="O178" s="21">
        <f>ROW()</f>
        <v>178</v>
      </c>
    </row>
    <row r="179" spans="2:15" ht="14.1" customHeight="1">
      <c r="B179" s="3779"/>
      <c r="C179" s="3779"/>
      <c r="D179" s="3779"/>
      <c r="E179" s="3779"/>
      <c r="F179" s="3779"/>
      <c r="G179" s="3779"/>
      <c r="H179" s="3779"/>
      <c r="I179" s="3779"/>
      <c r="O179" s="21">
        <f>ROW()</f>
        <v>179</v>
      </c>
    </row>
    <row r="180" spans="2:15" ht="14.1" customHeight="1">
      <c r="B180" s="3779"/>
      <c r="C180" s="3779"/>
      <c r="D180" s="3779"/>
      <c r="E180" s="3779"/>
      <c r="F180" s="3779"/>
      <c r="G180" s="3779"/>
      <c r="H180" s="3779"/>
      <c r="I180" s="3779"/>
      <c r="O180" s="21">
        <f>ROW()</f>
        <v>180</v>
      </c>
    </row>
    <row r="181" spans="2:15" ht="14.1" customHeight="1">
      <c r="B181" s="3779"/>
      <c r="C181" s="3779"/>
      <c r="D181" s="3779"/>
      <c r="E181" s="3779"/>
      <c r="F181" s="3779"/>
      <c r="G181" s="3779"/>
      <c r="H181" s="3779"/>
      <c r="I181" s="3779"/>
      <c r="O181" s="21">
        <f>ROW()</f>
        <v>181</v>
      </c>
    </row>
    <row r="182" spans="2:15" ht="14.1" customHeight="1">
      <c r="B182" s="3779"/>
      <c r="C182" s="3779"/>
      <c r="D182" s="3779"/>
      <c r="E182" s="3779"/>
      <c r="F182" s="3779"/>
      <c r="G182" s="3779"/>
      <c r="H182" s="3779"/>
      <c r="I182" s="3779"/>
      <c r="O182" s="21">
        <f>ROW()</f>
        <v>182</v>
      </c>
    </row>
    <row r="183" spans="2:15" ht="14.1" customHeight="1">
      <c r="O183" s="21">
        <f>ROW()</f>
        <v>183</v>
      </c>
    </row>
    <row r="184" spans="2:15" ht="14.1" customHeight="1">
      <c r="B184" s="3781" t="s">
        <v>2986</v>
      </c>
      <c r="C184" s="3781"/>
      <c r="D184" s="3781"/>
      <c r="E184" s="3781"/>
      <c r="F184" s="3781"/>
      <c r="G184" s="3781"/>
      <c r="H184" s="3781"/>
      <c r="I184" s="3781"/>
      <c r="O184" s="21">
        <f>ROW()</f>
        <v>184</v>
      </c>
    </row>
    <row r="185" spans="2:15" ht="14.1" customHeight="1">
      <c r="B185" s="3781"/>
      <c r="C185" s="3781"/>
      <c r="D185" s="3781"/>
      <c r="E185" s="3781"/>
      <c r="F185" s="3781"/>
      <c r="G185" s="3781"/>
      <c r="H185" s="3781"/>
      <c r="I185" s="3781"/>
      <c r="O185" s="21">
        <f>ROW()</f>
        <v>185</v>
      </c>
    </row>
    <row r="186" spans="2:15" ht="14.1" customHeight="1">
      <c r="O186" s="21">
        <f>ROW()</f>
        <v>186</v>
      </c>
    </row>
    <row r="187" spans="2:15" ht="14.1" customHeight="1">
      <c r="B187" t="s">
        <v>1993</v>
      </c>
      <c r="O187" s="21">
        <f>ROW()</f>
        <v>187</v>
      </c>
    </row>
    <row r="188" spans="2:15" ht="14.1" customHeight="1">
      <c r="O188" s="21">
        <f>ROW()</f>
        <v>188</v>
      </c>
    </row>
    <row r="189" spans="2:15" ht="14.1" customHeight="1">
      <c r="B189" t="s">
        <v>2623</v>
      </c>
      <c r="I189" s="870">
        <v>500</v>
      </c>
      <c r="J189" s="9" t="s">
        <v>2616</v>
      </c>
      <c r="O189" s="21">
        <f>ROW()</f>
        <v>189</v>
      </c>
    </row>
    <row r="190" spans="2:15" ht="14.1" customHeight="1">
      <c r="B190" s="4101" t="s">
        <v>2622</v>
      </c>
      <c r="C190" s="3659"/>
      <c r="D190" s="3659"/>
      <c r="E190" s="3659"/>
      <c r="F190" s="3659"/>
      <c r="G190" s="3659"/>
      <c r="H190" s="3659"/>
      <c r="I190" s="3659"/>
      <c r="O190" s="21">
        <f>ROW()</f>
        <v>190</v>
      </c>
    </row>
    <row r="191" spans="2:15" ht="14.1" customHeight="1">
      <c r="B191" s="3659"/>
      <c r="C191" s="3659"/>
      <c r="D191" s="3659"/>
      <c r="E191" s="3659"/>
      <c r="F191" s="3659"/>
      <c r="G191" s="3659"/>
      <c r="H191" s="3659"/>
      <c r="I191" s="3659"/>
      <c r="O191" s="21">
        <f>ROW()</f>
        <v>191</v>
      </c>
    </row>
    <row r="192" spans="2:15" ht="14.1" customHeight="1">
      <c r="B192" t="s">
        <v>2625</v>
      </c>
      <c r="I192" s="23">
        <v>0.1</v>
      </c>
      <c r="O192" s="21">
        <f>ROW()</f>
        <v>192</v>
      </c>
    </row>
    <row r="193" spans="2:15" ht="14.1" customHeight="1">
      <c r="B193" s="4365" t="s">
        <v>630</v>
      </c>
      <c r="C193" s="4365"/>
      <c r="D193" s="4365"/>
      <c r="E193" s="4365"/>
      <c r="F193" s="4365"/>
      <c r="G193" s="4365"/>
      <c r="H193" s="4365"/>
      <c r="I193" s="4365"/>
      <c r="O193" s="21">
        <f>ROW()</f>
        <v>193</v>
      </c>
    </row>
    <row r="194" spans="2:15" ht="14.1" customHeight="1">
      <c r="B194" s="4365"/>
      <c r="C194" s="4365"/>
      <c r="D194" s="4365"/>
      <c r="E194" s="4365"/>
      <c r="F194" s="4365"/>
      <c r="G194" s="4365"/>
      <c r="H194" s="4365"/>
      <c r="I194" s="4365"/>
      <c r="O194" s="21">
        <f>ROW()</f>
        <v>194</v>
      </c>
    </row>
    <row r="195" spans="2:15" ht="14.1" customHeight="1">
      <c r="B195" s="4365"/>
      <c r="C195" s="4365"/>
      <c r="D195" s="4365"/>
      <c r="E195" s="4365"/>
      <c r="F195" s="4365"/>
      <c r="G195" s="4365"/>
      <c r="H195" s="4365"/>
      <c r="I195" s="4365"/>
      <c r="O195" s="21">
        <f>ROW()</f>
        <v>195</v>
      </c>
    </row>
    <row r="196" spans="2:15" ht="14.1" customHeight="1">
      <c r="B196" t="s">
        <v>2624</v>
      </c>
      <c r="I196" s="870">
        <f>I192*I189</f>
        <v>50</v>
      </c>
      <c r="J196" s="9" t="s">
        <v>2616</v>
      </c>
      <c r="O196" s="21">
        <f>ROW()</f>
        <v>196</v>
      </c>
    </row>
    <row r="197" spans="2:15" ht="14.1" customHeight="1">
      <c r="B197" s="282" t="str">
        <f>CONCATENATE("Product of % in Row ",O192, " and dollar figure in Row ",O189, ".")</f>
        <v>Product of % in Row 192 and dollar figure in Row 189.</v>
      </c>
      <c r="I197" s="1232"/>
      <c r="O197" s="21">
        <f>ROW()</f>
        <v>197</v>
      </c>
    </row>
    <row r="198" spans="2:15" ht="14.1" customHeight="1">
      <c r="B198" t="s">
        <v>2633</v>
      </c>
      <c r="I198" s="23">
        <v>0.25</v>
      </c>
      <c r="O198" s="21">
        <f>ROW()</f>
        <v>198</v>
      </c>
    </row>
    <row r="199" spans="2:15" ht="14.1" customHeight="1">
      <c r="B199" s="282" t="s">
        <v>2634</v>
      </c>
      <c r="I199" s="1232"/>
      <c r="O199" s="21">
        <f>ROW()</f>
        <v>199</v>
      </c>
    </row>
    <row r="200" spans="2:15" ht="14.1" customHeight="1">
      <c r="B200" t="s">
        <v>631</v>
      </c>
      <c r="I200" s="12">
        <f>weekday_per_yr/(weekday_per_yr+wkend_per_yr*Parking!I198)</f>
        <v>0.89686098654708524</v>
      </c>
      <c r="O200" s="21">
        <f>ROW()</f>
        <v>200</v>
      </c>
    </row>
    <row r="201" spans="2:15" ht="14.1" customHeight="1">
      <c r="B201" s="282" t="str">
        <f>CONCATENATE("Algebra on 'intensity' in Row ",O198, " and number of weekdays (vs. wknds/holidays) in year, shown in 'Constants' worksheet.")</f>
        <v>Algebra on 'intensity' in Row 198 and number of weekdays (vs. wknds/holidays) in year, shown in 'Constants' worksheet.</v>
      </c>
      <c r="C201" s="282"/>
      <c r="D201" s="282"/>
      <c r="E201" s="282"/>
      <c r="F201" s="282"/>
      <c r="G201" s="282"/>
      <c r="H201" s="282"/>
      <c r="I201" s="282"/>
      <c r="O201" s="21">
        <f>ROW()</f>
        <v>201</v>
      </c>
    </row>
    <row r="202" spans="2:15" ht="14.1" customHeight="1">
      <c r="B202" s="879"/>
      <c r="C202" s="879"/>
      <c r="D202" s="879"/>
      <c r="E202" s="879"/>
      <c r="F202" s="879"/>
      <c r="G202" s="879"/>
      <c r="H202" s="879"/>
      <c r="I202" s="879"/>
      <c r="O202" s="21">
        <f>ROW()</f>
        <v>202</v>
      </c>
    </row>
    <row r="203" spans="2:15" ht="14.1" customHeight="1">
      <c r="B203" t="s">
        <v>1991</v>
      </c>
      <c r="O203" s="21">
        <f>ROW()</f>
        <v>203</v>
      </c>
    </row>
    <row r="204" spans="2:15" ht="14.1" customHeight="1">
      <c r="O204" s="21">
        <f>ROW()</f>
        <v>204</v>
      </c>
    </row>
    <row r="205" spans="2:15" ht="14.1" customHeight="1">
      <c r="B205" s="49" t="s">
        <v>1988</v>
      </c>
      <c r="O205" s="21">
        <f>ROW()</f>
        <v>205</v>
      </c>
    </row>
    <row r="206" spans="2:15" ht="14.1" customHeight="1">
      <c r="B206" t="s">
        <v>2626</v>
      </c>
      <c r="I206" s="1122">
        <v>6900</v>
      </c>
      <c r="O206" s="21">
        <f>ROW()</f>
        <v>206</v>
      </c>
    </row>
    <row r="207" spans="2:15" ht="14.1" customHeight="1">
      <c r="B207" s="282" t="s">
        <v>632</v>
      </c>
      <c r="O207" s="21">
        <f>ROW()</f>
        <v>207</v>
      </c>
    </row>
    <row r="208" spans="2:15" ht="14.1" customHeight="1">
      <c r="B208" t="s">
        <v>2627</v>
      </c>
      <c r="I208" s="1122">
        <v>47000</v>
      </c>
      <c r="O208" s="21">
        <f>ROW()</f>
        <v>208</v>
      </c>
    </row>
    <row r="209" spans="2:15" ht="14.1" customHeight="1">
      <c r="B209" s="282" t="s">
        <v>2628</v>
      </c>
      <c r="O209" s="21">
        <f>ROW()</f>
        <v>209</v>
      </c>
    </row>
    <row r="210" spans="2:15" ht="14.1" customHeight="1">
      <c r="B210" t="s">
        <v>2629</v>
      </c>
      <c r="I210" s="39">
        <f>I206/I208</f>
        <v>0.14680851063829786</v>
      </c>
      <c r="O210" s="21">
        <f>ROW()</f>
        <v>210</v>
      </c>
    </row>
    <row r="211" spans="2:15" ht="14.1" customHeight="1">
      <c r="B211" s="282" t="s">
        <v>633</v>
      </c>
      <c r="O211" s="21">
        <f>ROW()</f>
        <v>211</v>
      </c>
    </row>
    <row r="212" spans="2:15" ht="14.1" customHeight="1">
      <c r="B212" t="s">
        <v>2630</v>
      </c>
      <c r="I212" s="23">
        <f>ROUND(I210,2)</f>
        <v>0.15</v>
      </c>
      <c r="O212" s="21">
        <f>ROW()</f>
        <v>212</v>
      </c>
    </row>
    <row r="213" spans="2:15" ht="14.1" customHeight="1">
      <c r="B213" s="282" t="s">
        <v>2631</v>
      </c>
      <c r="O213" s="21">
        <f>ROW()</f>
        <v>213</v>
      </c>
    </row>
    <row r="214" spans="2:15" ht="14.1" customHeight="1">
      <c r="B214" t="s">
        <v>2632</v>
      </c>
      <c r="I214" s="1834">
        <f>I212*I196</f>
        <v>7.5</v>
      </c>
      <c r="J214" s="9" t="s">
        <v>2616</v>
      </c>
      <c r="O214" s="21">
        <f>ROW()</f>
        <v>214</v>
      </c>
    </row>
    <row r="215" spans="2:15" ht="14.1" customHeight="1">
      <c r="B215" s="282" t="str">
        <f>CONCATENATE("Product of % in Row ",O212, " and dollar figure in Row ",O196, ".")</f>
        <v>Product of % in Row 212 and dollar figure in Row 196.</v>
      </c>
      <c r="I215" s="1834"/>
      <c r="O215" s="21">
        <f>ROW()</f>
        <v>215</v>
      </c>
    </row>
    <row r="216" spans="2:15" ht="14.1" customHeight="1">
      <c r="B216" t="s">
        <v>2636</v>
      </c>
      <c r="I216" s="1834">
        <f>I200*I214</f>
        <v>6.7264573991031389</v>
      </c>
      <c r="J216" s="9" t="s">
        <v>2616</v>
      </c>
      <c r="O216" s="21">
        <f>ROW()</f>
        <v>216</v>
      </c>
    </row>
    <row r="217" spans="2:15" ht="14.1" customHeight="1">
      <c r="B217" s="282" t="str">
        <f>CONCATENATE("Product of % in Row ",O214, " and dollar figure in Row ",O200, ".")</f>
        <v>Product of % in Row 214 and dollar figure in Row 200.</v>
      </c>
      <c r="I217" s="1232"/>
      <c r="O217" s="21">
        <f>ROW()</f>
        <v>217</v>
      </c>
    </row>
    <row r="218" spans="2:15" ht="14.1" customHeight="1">
      <c r="B218" t="s">
        <v>2637</v>
      </c>
      <c r="I218" s="10">
        <f>'Motor Vs'!H76-'Motor Vs'!L76-'Motor Vs'!N76</f>
        <v>609502.22222222225</v>
      </c>
      <c r="O218" s="21">
        <f>ROW()</f>
        <v>218</v>
      </c>
    </row>
    <row r="219" spans="2:15" ht="14.1" customHeight="1">
      <c r="B219" s="282" t="str">
        <f>CONCATENATE("From figures in Row ",'Motor Vs'!O68, " of 'Motor Vs' worksheet.")</f>
        <v>From figures in Row 68 of 'Motor Vs' worksheet.</v>
      </c>
      <c r="I219" s="10"/>
      <c r="O219" s="21">
        <f>ROW()</f>
        <v>219</v>
      </c>
    </row>
    <row r="220" spans="2:15" ht="14.1" customHeight="1">
      <c r="B220" t="s">
        <v>2638</v>
      </c>
      <c r="I220" s="10">
        <f>I218*weekday_per_yr</f>
        <v>152375555.55555555</v>
      </c>
      <c r="O220" s="21">
        <f>ROW()</f>
        <v>220</v>
      </c>
    </row>
    <row r="221" spans="2:15" ht="14.1" customHeight="1">
      <c r="B221" s="282" t="str">
        <f>CONCATENATE("Product of Figure in Row ",O218, " and number of weekdays in year from 'Constants' worksheet.")</f>
        <v>Product of Figure in Row 218 and number of weekdays in year from 'Constants' worksheet.</v>
      </c>
      <c r="I221" s="10"/>
      <c r="O221" s="21">
        <f>ROW()</f>
        <v>221</v>
      </c>
    </row>
    <row r="222" spans="2:15" ht="14.1" customHeight="1">
      <c r="B222" s="6" t="s">
        <v>2639</v>
      </c>
      <c r="I222" s="1835">
        <f>I216*1000000/I220</f>
        <v>4.4143940112826678E-2</v>
      </c>
      <c r="O222" s="21">
        <f>ROW()</f>
        <v>222</v>
      </c>
    </row>
    <row r="223" spans="2:15" ht="14.1" customHeight="1">
      <c r="B223" s="282" t="str">
        <f>CONCATENATE("Ratio of annual weekdays gross revenue loss in Row ",O216, " and annual 'eligible' weekday trips in year in Row ",O220, ".")</f>
        <v>Ratio of annual weekdays gross revenue loss in Row 216 and annual 'eligible' weekday trips in year in Row 220.</v>
      </c>
      <c r="O223" s="21">
        <f>ROW()</f>
        <v>223</v>
      </c>
    </row>
    <row r="224" spans="2:15" ht="14.1" customHeight="1">
      <c r="O224" s="21">
        <f>ROW()</f>
        <v>224</v>
      </c>
    </row>
    <row r="225" spans="2:15" ht="14.1" customHeight="1">
      <c r="B225" s="49" t="str">
        <f>CONCATENATE("Part 2: Input 'reduced toll' from Row ",O222," into traffic model to estimate weekday congestion impacts within CBD")</f>
        <v>Part 2: Input 'reduced toll' from Row 222 into traffic model to estimate weekday congestion impacts within CBD</v>
      </c>
      <c r="O225" s="21">
        <f>ROW()</f>
        <v>225</v>
      </c>
    </row>
    <row r="226" spans="2:15" ht="14.1" customHeight="1">
      <c r="B226" t="s">
        <v>634</v>
      </c>
      <c r="I226" s="10">
        <f>'Motor Vs'!N190</f>
        <v>326990.62668744614</v>
      </c>
      <c r="O226" s="21">
        <f>ROW()</f>
        <v>226</v>
      </c>
    </row>
    <row r="227" spans="2:15" ht="14.1" customHeight="1">
      <c r="B227" s="282" t="str">
        <f>CONCATENATE("Taken directly from Row ",'Motor Vs'!O190, " in 'Motor Vs' worksheet.")</f>
        <v>Taken directly from Row 190 in 'Motor Vs' worksheet.</v>
      </c>
      <c r="O227" s="21">
        <f>ROW()</f>
        <v>227</v>
      </c>
    </row>
    <row r="228" spans="2:15" ht="14.1" customHeight="1">
      <c r="B228" t="s">
        <v>2061</v>
      </c>
      <c r="I228" s="43">
        <f>ROUND(733.360114948591,0)</f>
        <v>733</v>
      </c>
      <c r="O228" s="21">
        <f>ROW()</f>
        <v>228</v>
      </c>
    </row>
    <row r="229" spans="2:15" ht="14.1" customHeight="1">
      <c r="B229" s="3754" t="str">
        <f>CONCATENATE("Calculated in Row ",'Motor Vs'!O891, " of 'Motor Vs' worksheet, after inputting per-trip revenue loss from Row ",O222, " above, as a uniform negative weekday toll under Scenario 4. Figure had to be 'hard-wired' so as to remain unchanged when BTA is run w/ other scenarios. 'Toll' inputting is performed in Column J of 'User Inputs' worksheet.")</f>
        <v>Calculated in Row 891 of 'Motor Vs' worksheet, after inputting per-trip revenue loss from Row 222 above, as a uniform negative weekday toll under Scenario 4. Figure had to be 'hard-wired' so as to remain unchanged when BTA is run w/ other scenarios. 'Toll' inputting is performed in Column J of 'User Inputs' worksheet.</v>
      </c>
      <c r="C229" s="3754"/>
      <c r="D229" s="3754"/>
      <c r="E229" s="3754"/>
      <c r="F229" s="3754"/>
      <c r="G229" s="3754"/>
      <c r="H229" s="3754"/>
      <c r="O229" s="21">
        <f>ROW()</f>
        <v>229</v>
      </c>
    </row>
    <row r="230" spans="2:15" ht="14.1" customHeight="1">
      <c r="B230" s="3754"/>
      <c r="C230" s="3754"/>
      <c r="D230" s="3754"/>
      <c r="E230" s="3754"/>
      <c r="F230" s="3754"/>
      <c r="G230" s="3754"/>
      <c r="H230" s="3754"/>
      <c r="O230" s="21">
        <f>ROW()</f>
        <v>230</v>
      </c>
    </row>
    <row r="231" spans="2:15" ht="14.1" customHeight="1">
      <c r="B231" s="3754"/>
      <c r="C231" s="3754"/>
      <c r="D231" s="3754"/>
      <c r="E231" s="3754"/>
      <c r="F231" s="3754"/>
      <c r="G231" s="3754"/>
      <c r="H231" s="3754"/>
      <c r="O231" s="21">
        <f>ROW()</f>
        <v>231</v>
      </c>
    </row>
    <row r="232" spans="2:15" ht="14.1" customHeight="1">
      <c r="B232" s="3754"/>
      <c r="C232" s="3754"/>
      <c r="D232" s="3754"/>
      <c r="E232" s="3754"/>
      <c r="F232" s="3754"/>
      <c r="G232" s="3754"/>
      <c r="H232" s="3754"/>
      <c r="O232" s="21">
        <f>ROW()</f>
        <v>232</v>
      </c>
    </row>
    <row r="233" spans="2:15" ht="14.1" customHeight="1">
      <c r="B233" t="s">
        <v>2060</v>
      </c>
      <c r="I233" s="1593">
        <v>421414</v>
      </c>
      <c r="O233" s="21">
        <f>ROW()</f>
        <v>233</v>
      </c>
    </row>
    <row r="234" spans="2:15" ht="14.1" customHeight="1">
      <c r="B234" s="4101" t="str">
        <f>CONCATENATE("Calculated in Row ",'Motor Vs'!O962, " of 'Motor Vs' worksheet, after same inputting described in previous note, and 'hard-wiring' similarly.")</f>
        <v>Calculated in Row 962 of 'Motor Vs' worksheet, after same inputting described in previous note, and 'hard-wiring' similarly.</v>
      </c>
      <c r="C234" s="4101"/>
      <c r="D234" s="4101"/>
      <c r="E234" s="4101"/>
      <c r="F234" s="4101"/>
      <c r="G234" s="4101"/>
      <c r="H234" s="4101"/>
      <c r="O234" s="21">
        <f>ROW()</f>
        <v>234</v>
      </c>
    </row>
    <row r="235" spans="2:15" ht="14.1" customHeight="1">
      <c r="B235" s="4101"/>
      <c r="C235" s="4101"/>
      <c r="D235" s="4101"/>
      <c r="E235" s="4101"/>
      <c r="F235" s="4101"/>
      <c r="G235" s="4101"/>
      <c r="H235" s="4101"/>
      <c r="O235" s="21">
        <f>ROW()</f>
        <v>235</v>
      </c>
    </row>
    <row r="236" spans="2:15" ht="14.1" customHeight="1">
      <c r="B236" t="s">
        <v>2062</v>
      </c>
      <c r="I236" s="10">
        <f>I233*('Motor Vs'!N122/('Motor Vs'!N122+I228))</f>
        <v>420964.15087161073</v>
      </c>
      <c r="O236" s="21">
        <f>ROW()</f>
        <v>236</v>
      </c>
    </row>
    <row r="237" spans="2:15" ht="14.1" customHeight="1">
      <c r="B237" s="4101" t="str">
        <f>CONCATENATE("Prorates Row ",O233, " figure by ratio of increase in trips (from Row ",O228, ") upon base in Row ",'Motor Vs'!O122, " of 'Motor Vs' worksheet. This downward adjustment is required to reflect fact that some of the increased hours are expended in the new trips themselves. Omitting it would spuriously increase hours lost.")</f>
        <v>Prorates Row 233 figure by ratio of increase in trips (from Row 228) upon base in Row 122 of 'Motor Vs' worksheet. This downward adjustment is required to reflect fact that some of the increased hours are expended in the new trips themselves. Omitting it would spuriously increase hours lost.</v>
      </c>
      <c r="C237" s="4101"/>
      <c r="D237" s="4101"/>
      <c r="E237" s="4101"/>
      <c r="F237" s="4101"/>
      <c r="G237" s="4101"/>
      <c r="H237" s="4101"/>
      <c r="O237" s="21">
        <f>ROW()</f>
        <v>237</v>
      </c>
    </row>
    <row r="238" spans="2:15" ht="14.1" customHeight="1">
      <c r="B238" s="4101"/>
      <c r="C238" s="4101"/>
      <c r="D238" s="4101"/>
      <c r="E238" s="4101"/>
      <c r="F238" s="4101"/>
      <c r="G238" s="4101"/>
      <c r="H238" s="4101"/>
      <c r="O238" s="21">
        <f>ROW()</f>
        <v>238</v>
      </c>
    </row>
    <row r="239" spans="2:15" ht="14.1" customHeight="1">
      <c r="B239" s="3659"/>
      <c r="C239" s="3659"/>
      <c r="D239" s="3659"/>
      <c r="E239" s="3659"/>
      <c r="F239" s="3659"/>
      <c r="G239" s="3659"/>
      <c r="H239" s="3659"/>
      <c r="O239" s="21">
        <f>ROW()</f>
        <v>239</v>
      </c>
    </row>
    <row r="240" spans="2:15" ht="14.1" customHeight="1">
      <c r="B240" t="s">
        <v>2841</v>
      </c>
      <c r="I240" s="10">
        <f>I236-I226</f>
        <v>93973.524184164591</v>
      </c>
      <c r="O240" s="21">
        <f>ROW()</f>
        <v>240</v>
      </c>
    </row>
    <row r="241" spans="2:15" ht="14.1" customHeight="1">
      <c r="B241" s="282" t="str">
        <f>CONCATENATE("Difference between Rows ",O236, " and ",O226,".")</f>
        <v>Difference between Rows 236 and 226.</v>
      </c>
      <c r="O241" s="21">
        <f>ROW()</f>
        <v>241</v>
      </c>
    </row>
    <row r="242" spans="2:15" ht="14.1" customHeight="1">
      <c r="B242" t="s">
        <v>1990</v>
      </c>
      <c r="I242" s="10">
        <f>I240*weekday_per_yr</f>
        <v>23493381.046041146</v>
      </c>
      <c r="O242" s="21">
        <f>ROW()</f>
        <v>242</v>
      </c>
    </row>
    <row r="243" spans="2:15" ht="14.1" customHeight="1">
      <c r="B243" s="282" t="str">
        <f>CONCATENATE("Product of Figure in Row ",O240, " and number of weekdays in year from 'Constants' worksheet.")</f>
        <v>Product of Figure in Row 240 and number of weekdays in year from 'Constants' worksheet.</v>
      </c>
      <c r="I243" s="10"/>
      <c r="O243" s="21">
        <f>ROW()</f>
        <v>243</v>
      </c>
    </row>
    <row r="244" spans="2:15" ht="14.1" customHeight="1">
      <c r="O244" s="21">
        <f>ROW()</f>
        <v>244</v>
      </c>
    </row>
    <row r="245" spans="2:15" ht="14.1" customHeight="1">
      <c r="B245" s="49" t="s">
        <v>1995</v>
      </c>
      <c r="O245" s="21">
        <f>ROW()</f>
        <v>245</v>
      </c>
    </row>
    <row r="246" spans="2:15" ht="14.1" customHeight="1">
      <c r="B246" s="5146" t="s">
        <v>973</v>
      </c>
      <c r="C246" s="3779"/>
      <c r="D246" s="3779"/>
      <c r="E246" s="3779"/>
      <c r="F246" s="3779"/>
      <c r="G246" s="3779"/>
      <c r="H246" s="3779"/>
      <c r="I246" s="3779"/>
      <c r="O246" s="21">
        <f>ROW()</f>
        <v>246</v>
      </c>
    </row>
    <row r="247" spans="2:15" ht="14.1" customHeight="1">
      <c r="B247" s="3779"/>
      <c r="C247" s="3779"/>
      <c r="D247" s="3779"/>
      <c r="E247" s="3779"/>
      <c r="F247" s="3779"/>
      <c r="G247" s="3779"/>
      <c r="H247" s="3779"/>
      <c r="I247" s="3779"/>
      <c r="O247" s="21">
        <f>ROW()</f>
        <v>247</v>
      </c>
    </row>
    <row r="248" spans="2:15" ht="14.1" customHeight="1">
      <c r="B248" s="3779"/>
      <c r="C248" s="3779"/>
      <c r="D248" s="3779"/>
      <c r="E248" s="3779"/>
      <c r="F248" s="3779"/>
      <c r="G248" s="3779"/>
      <c r="H248" s="3779"/>
      <c r="I248" s="3779"/>
      <c r="O248" s="21">
        <f>ROW()</f>
        <v>248</v>
      </c>
    </row>
    <row r="249" spans="2:15" ht="14.1" customHeight="1">
      <c r="B249" t="s">
        <v>2635</v>
      </c>
      <c r="I249" s="22">
        <f>1-I200</f>
        <v>0.10313901345291476</v>
      </c>
      <c r="O249" s="21">
        <f>ROW()</f>
        <v>249</v>
      </c>
    </row>
    <row r="250" spans="2:15" ht="14.1" customHeight="1">
      <c r="B250" s="282" t="str">
        <f>CONCATENATE("Complement of Row ",O200, " figure.")</f>
        <v>Complement of Row 200 figure.</v>
      </c>
      <c r="I250" s="23"/>
      <c r="O250" s="21">
        <f>ROW()</f>
        <v>250</v>
      </c>
    </row>
    <row r="251" spans="2:15" ht="14.1" customHeight="1">
      <c r="B251" t="s">
        <v>1989</v>
      </c>
      <c r="I251" s="117">
        <f>'Delays Weekends'!$L$156/Delays!$L$156</f>
        <v>0.64025617066292573</v>
      </c>
      <c r="O251" s="21">
        <f>ROW()</f>
        <v>251</v>
      </c>
    </row>
    <row r="252" spans="2:15" ht="14.1" customHeight="1">
      <c r="B252" s="282" t="str">
        <f>CONCATENATE("Ratio of respective Row ",Delays!$O$156, " figures from 'Delays Weekends' and 'Delays Weekends' worksheeet.")</f>
        <v>Ratio of respective Row 156 figures from 'Delays Weekends' and 'Delays Weekends' worksheeet.</v>
      </c>
      <c r="O252" s="21">
        <f>ROW()</f>
        <v>252</v>
      </c>
    </row>
    <row r="253" spans="2:15" ht="14.1" customHeight="1">
      <c r="B253" t="s">
        <v>974</v>
      </c>
      <c r="I253" s="12">
        <f>I251*I249</f>
        <v>6.6035389799315183E-2</v>
      </c>
      <c r="O253" s="21">
        <f>ROW()</f>
        <v>253</v>
      </c>
    </row>
    <row r="254" spans="2:15" ht="14.1" customHeight="1">
      <c r="B254" s="282" t="str">
        <f>CONCATENATE("Product of Rows ",O249, " and ",O251,".")</f>
        <v>Product of Rows 249 and 251.</v>
      </c>
      <c r="O254" s="21">
        <f>ROW()</f>
        <v>254</v>
      </c>
    </row>
    <row r="255" spans="2:15" ht="14.1" customHeight="1">
      <c r="B255" t="str">
        <f>CONCATENATE("Estimated annual incrs in hours in CBD traffic on weekends (adjusted as noted in Row ",O242, ")")</f>
        <v>Estimated annual incrs in hours in CBD traffic on weekends (adjusted as noted in Row 242)</v>
      </c>
      <c r="I255" s="10">
        <f>I253*I242</f>
        <v>1551394.5750791701</v>
      </c>
      <c r="O255" s="21">
        <f>ROW()</f>
        <v>255</v>
      </c>
    </row>
    <row r="256" spans="2:15" ht="14.1" customHeight="1">
      <c r="B256" s="282" t="str">
        <f>CONCATENATE("Product of Rows ",O242, " and ",O253,".")</f>
        <v>Product of Rows 242 and 253.</v>
      </c>
      <c r="I256" s="10"/>
      <c r="O256" s="21">
        <f>ROW()</f>
        <v>256</v>
      </c>
    </row>
    <row r="257" spans="2:15" ht="14.1" customHeight="1">
      <c r="B257" t="s">
        <v>1994</v>
      </c>
      <c r="I257" s="10">
        <f>ROUND(I242+I255,-2)</f>
        <v>25044800</v>
      </c>
      <c r="O257" s="21">
        <f>ROW()</f>
        <v>257</v>
      </c>
    </row>
    <row r="258" spans="2:15" ht="14.1" customHeight="1">
      <c r="B258" s="282" t="str">
        <f>CONCATENATE("Sum of Rows ",O242, " and ",O255,".")</f>
        <v>Sum of Rows 242 and 255.</v>
      </c>
      <c r="O258" s="21">
        <f>ROW()</f>
        <v>258</v>
      </c>
    </row>
    <row r="259" spans="2:15" ht="14.1" customHeight="1">
      <c r="O259" s="21">
        <f>ROW()</f>
        <v>259</v>
      </c>
    </row>
    <row r="260" spans="2:15" ht="14.1" customHeight="1">
      <c r="B260" s="49" t="s">
        <v>1996</v>
      </c>
      <c r="O260" s="21">
        <f>ROW()</f>
        <v>260</v>
      </c>
    </row>
    <row r="261" spans="2:15" ht="14.1" customHeight="1">
      <c r="B261" s="49" t="s">
        <v>1997</v>
      </c>
      <c r="C261" s="49"/>
      <c r="D261" s="49"/>
      <c r="E261" s="49"/>
      <c r="F261" s="49"/>
      <c r="G261" s="49"/>
      <c r="H261" s="49"/>
      <c r="I261" s="49"/>
      <c r="O261" s="21">
        <f>ROW()</f>
        <v>261</v>
      </c>
    </row>
    <row r="262" spans="2:15" ht="14.1" customHeight="1">
      <c r="B262" t="s">
        <v>1998</v>
      </c>
      <c r="I262" s="117">
        <f>I284</f>
        <v>6.028433525175326</v>
      </c>
      <c r="O262" s="21">
        <f>ROW()</f>
        <v>262</v>
      </c>
    </row>
    <row r="263" spans="2:15" ht="14.1" customHeight="1">
      <c r="B263" s="4101" t="str">
        <f>CONCATENATE("Calculated and shown in Row ",O284, " below. Applies to weekdays, but since weekend figure is greater, our use of weekday figure here for all days is conservative.")</f>
        <v>Calculated and shown in Row 284 below. Applies to weekdays, but since weekend figure is greater, our use of weekday figure here for all days is conservative.</v>
      </c>
      <c r="C263" s="3659"/>
      <c r="D263" s="3659"/>
      <c r="E263" s="3659"/>
      <c r="F263" s="3659"/>
      <c r="G263" s="3659"/>
      <c r="H263" s="3659"/>
      <c r="I263" s="49"/>
      <c r="O263" s="21">
        <f>ROW()</f>
        <v>263</v>
      </c>
    </row>
    <row r="264" spans="2:15" ht="14.1" customHeight="1">
      <c r="B264" s="3659"/>
      <c r="C264" s="3659"/>
      <c r="D264" s="3659"/>
      <c r="E264" s="3659"/>
      <c r="F264" s="3659"/>
      <c r="G264" s="3659"/>
      <c r="H264" s="3659"/>
      <c r="I264" s="49"/>
      <c r="O264" s="21">
        <f>ROW()</f>
        <v>264</v>
      </c>
    </row>
    <row r="265" spans="2:15" ht="14.1" customHeight="1">
      <c r="B265" t="s">
        <v>1999</v>
      </c>
      <c r="I265" s="10">
        <f>ROUND(I262*I257,-2)</f>
        <v>150980900</v>
      </c>
      <c r="O265" s="21">
        <f>ROW()</f>
        <v>265</v>
      </c>
    </row>
    <row r="266" spans="2:15" ht="14.1" customHeight="1">
      <c r="B266" s="282" t="str">
        <f>CONCATENATE("Product of Rows ",O262, " and ",O257,".")</f>
        <v>Product of Rows 262 and 257.</v>
      </c>
      <c r="O266" s="21">
        <f>ROW()</f>
        <v>266</v>
      </c>
    </row>
    <row r="267" spans="2:15" ht="14.1" customHeight="1">
      <c r="B267" s="6" t="s">
        <v>1352</v>
      </c>
      <c r="C267" s="6"/>
      <c r="D267" s="6"/>
      <c r="E267" s="6"/>
      <c r="F267" s="6"/>
      <c r="G267" s="6"/>
      <c r="H267" s="6"/>
      <c r="I267" s="186">
        <f>ROUND(I265+I257,-2)</f>
        <v>176025700</v>
      </c>
      <c r="O267" s="21">
        <f>ROW()</f>
        <v>267</v>
      </c>
    </row>
    <row r="268" spans="2:15" ht="14.1" customHeight="1">
      <c r="B268" s="282" t="str">
        <f>CONCATENATE("Sum of Rows ",O257, " and ",O265,".")</f>
        <v>Sum of Rows 257 and 265.</v>
      </c>
      <c r="O268" s="21">
        <f>ROW()</f>
        <v>268</v>
      </c>
    </row>
    <row r="269" spans="2:15" ht="14.1" customHeight="1">
      <c r="O269" s="21">
        <f>ROW()</f>
        <v>269</v>
      </c>
    </row>
    <row r="270" spans="2:15" ht="14.1" customHeight="1">
      <c r="B270" t="s">
        <v>1992</v>
      </c>
      <c r="O270" s="21">
        <f>ROW()</f>
        <v>270</v>
      </c>
    </row>
    <row r="271" spans="2:15" ht="14.1" customHeight="1">
      <c r="B271" s="4892" t="str">
        <f>CONCATENATE("This calculation is performed by prorating the result in Row ",O267, " by the three relevant differences between the CBD and the rest of the City:")</f>
        <v>This calculation is performed by prorating the result in Row 267 by the three relevant differences between the CBD and the rest of the City:</v>
      </c>
      <c r="C271" s="4892"/>
      <c r="D271" s="4892"/>
      <c r="E271" s="4892"/>
      <c r="F271" s="4892"/>
      <c r="G271" s="4892"/>
      <c r="H271" s="4892"/>
      <c r="I271" s="4892"/>
      <c r="O271" s="21">
        <f>ROW()</f>
        <v>271</v>
      </c>
    </row>
    <row r="272" spans="2:15" ht="14.1" customHeight="1">
      <c r="B272" s="4892"/>
      <c r="C272" s="4892"/>
      <c r="D272" s="4892"/>
      <c r="E272" s="4892"/>
      <c r="F272" s="4892"/>
      <c r="G272" s="4892"/>
      <c r="H272" s="4892"/>
      <c r="I272" s="4892"/>
      <c r="O272" s="21">
        <f>ROW()</f>
        <v>272</v>
      </c>
    </row>
    <row r="273" spans="2:15" ht="14.1" customHeight="1">
      <c r="B273" s="281" t="s">
        <v>1353</v>
      </c>
      <c r="O273" s="21">
        <f>ROW()</f>
        <v>273</v>
      </c>
    </row>
    <row r="274" spans="2:15" ht="14.1" customHeight="1">
      <c r="B274" s="281" t="s">
        <v>1354</v>
      </c>
      <c r="O274" s="21">
        <f>ROW()</f>
        <v>274</v>
      </c>
    </row>
    <row r="275" spans="2:15" ht="14.1" customHeight="1">
      <c r="B275" s="281" t="s">
        <v>1355</v>
      </c>
      <c r="O275" s="21">
        <f>ROW()</f>
        <v>275</v>
      </c>
    </row>
    <row r="276" spans="2:15" ht="14.1" customHeight="1">
      <c r="O276" s="21">
        <f>ROW()</f>
        <v>276</v>
      </c>
    </row>
    <row r="277" spans="2:15" ht="14.1" customHeight="1">
      <c r="B277" s="49" t="s">
        <v>2770</v>
      </c>
      <c r="I277" s="1592">
        <f>1/3</f>
        <v>0.33333333333333331</v>
      </c>
      <c r="O277" s="21">
        <f>ROW()</f>
        <v>277</v>
      </c>
    </row>
    <row r="278" spans="2:15" ht="14.1" customHeight="1">
      <c r="B278" s="282" t="s">
        <v>451</v>
      </c>
      <c r="O278" s="21">
        <f>ROW()</f>
        <v>278</v>
      </c>
    </row>
    <row r="279" spans="2:15" ht="14.1" customHeight="1">
      <c r="B279" s="49" t="s">
        <v>2174</v>
      </c>
      <c r="O279" s="21">
        <f>ROW()</f>
        <v>279</v>
      </c>
    </row>
    <row r="280" spans="2:15" ht="14.1" customHeight="1">
      <c r="B280" t="s">
        <v>462</v>
      </c>
      <c r="I280" s="10">
        <f>Delays!N131</f>
        <v>282.56347673758864</v>
      </c>
      <c r="O280" s="21">
        <f>ROW()</f>
        <v>280</v>
      </c>
    </row>
    <row r="281" spans="2:15" ht="14.1" customHeight="1">
      <c r="B281" s="282" t="str">
        <f>CONCATENATE("From delay impact in Row ",Delays!O131, " of 'Delays' worksheet.")</f>
        <v>From delay impact in Row 131 of 'Delays' worksheet.</v>
      </c>
      <c r="O281" s="21">
        <f>ROW()</f>
        <v>281</v>
      </c>
    </row>
    <row r="282" spans="2:15" ht="14.1" customHeight="1">
      <c r="B282" t="s">
        <v>600</v>
      </c>
      <c r="I282" s="10">
        <f>Delays!N124</f>
        <v>46.871791080979165</v>
      </c>
      <c r="O282" s="21">
        <f>ROW()</f>
        <v>282</v>
      </c>
    </row>
    <row r="283" spans="2:15" ht="14.1" customHeight="1">
      <c r="B283" s="282" t="str">
        <f>CONCATENATE("From delay impact in Row ",Delays!O124, " of 'Delays' worksheet.")</f>
        <v>From delay impact in Row 124 of 'Delays' worksheet.</v>
      </c>
      <c r="O283" s="21">
        <f>ROW()</f>
        <v>283</v>
      </c>
    </row>
    <row r="284" spans="2:15" ht="14.1" customHeight="1">
      <c r="B284" t="s">
        <v>601</v>
      </c>
      <c r="I284" s="117">
        <f>I280/I282</f>
        <v>6.028433525175326</v>
      </c>
      <c r="O284" s="21">
        <f>ROW()</f>
        <v>284</v>
      </c>
    </row>
    <row r="285" spans="2:15" ht="14.1" customHeight="1">
      <c r="B285" s="282" t="str">
        <f>CONCATENATE("Ratio of respective delay hours in Rows ",O280, " and ",O282, ".")</f>
        <v>Ratio of respective delay hours in Rows 280 and 282.</v>
      </c>
      <c r="O285" s="21">
        <f>ROW()</f>
        <v>285</v>
      </c>
    </row>
    <row r="286" spans="2:15" ht="14.1" customHeight="1">
      <c r="B286" t="s">
        <v>2175</v>
      </c>
      <c r="I286" s="117">
        <f>'Motor Vs'!I85/'Motor Vs'!I79</f>
        <v>7.3964240003039777E-2</v>
      </c>
      <c r="O286" s="21">
        <f>ROW()</f>
        <v>286</v>
      </c>
    </row>
    <row r="287" spans="2:15" ht="14.1" customHeight="1">
      <c r="B287" s="282" t="str">
        <f>CONCATENATE("Ratio of respective mileages in Rows ",'Motor Vs'!O85, " and ",'Motor Vs'!O79, " of Motor Vs worksheet, for work trips (is same for non-work).")</f>
        <v>Ratio of respective mileages in Rows 85 and 79 of Motor Vs worksheet, for work trips (is same for non-work).</v>
      </c>
      <c r="I287" s="117"/>
      <c r="O287" s="21">
        <f>ROW()</f>
        <v>287</v>
      </c>
    </row>
    <row r="288" spans="2:15" ht="14.1" customHeight="1">
      <c r="B288" t="s">
        <v>2176</v>
      </c>
      <c r="I288" s="1592">
        <f>I286*I284</f>
        <v>0.44588850409843894</v>
      </c>
      <c r="O288" s="21">
        <f>ROW()</f>
        <v>288</v>
      </c>
    </row>
    <row r="289" spans="2:15" ht="14.1" customHeight="1">
      <c r="B289" s="282" t="str">
        <f>CONCATENATE("Product of Rows ",O284, " and ",O286, ".")</f>
        <v>Product of Rows 284 and 286.</v>
      </c>
      <c r="O289" s="21">
        <f>ROW()</f>
        <v>289</v>
      </c>
    </row>
    <row r="290" spans="2:15" ht="14.1" customHeight="1">
      <c r="B290" t="s">
        <v>2178</v>
      </c>
      <c r="I290" s="1592">
        <f>(1-I212)/I212</f>
        <v>5.666666666666667</v>
      </c>
      <c r="O290" s="21">
        <f>ROW()</f>
        <v>290</v>
      </c>
    </row>
    <row r="291" spans="2:15" ht="14.1" customHeight="1">
      <c r="B291" s="282" t="str">
        <f>CONCATENATE("Algebra on percentage in Row ",O212, ".")</f>
        <v>Algebra on percentage in Row 212.</v>
      </c>
      <c r="O291" s="21">
        <f>ROW()</f>
        <v>291</v>
      </c>
    </row>
    <row r="292" spans="2:15" ht="14.1" customHeight="1">
      <c r="B292" t="s">
        <v>2177</v>
      </c>
      <c r="I292" s="1592">
        <f>I277*I288*I290</f>
        <v>0.84223384107482913</v>
      </c>
      <c r="O292" s="21">
        <f>ROW()</f>
        <v>292</v>
      </c>
    </row>
    <row r="293" spans="2:15" ht="14.1" customHeight="1">
      <c r="B293" s="282" t="str">
        <f>CONCATENATE("Product of Rows ",O277, ", ",O288, " and ",O290, ".")</f>
        <v>Product of Rows 277, 288 and 290.</v>
      </c>
      <c r="O293" s="21">
        <f>ROW()</f>
        <v>293</v>
      </c>
    </row>
    <row r="294" spans="2:15" ht="14.1" customHeight="1">
      <c r="B294" s="6" t="s">
        <v>2179</v>
      </c>
      <c r="I294" s="186">
        <f>ROUND(I292*I267,-2)</f>
        <v>148254800</v>
      </c>
      <c r="O294" s="21">
        <f>ROW()</f>
        <v>294</v>
      </c>
    </row>
    <row r="295" spans="2:15" ht="14.1" customHeight="1">
      <c r="O295" s="21">
        <f>ROW()</f>
        <v>295</v>
      </c>
    </row>
    <row r="296" spans="2:15" ht="14.1" customHeight="1">
      <c r="B296" s="6" t="s">
        <v>2180</v>
      </c>
      <c r="I296" s="186">
        <f>I267+I294</f>
        <v>324280500</v>
      </c>
      <c r="O296" s="21">
        <f>ROW()</f>
        <v>296</v>
      </c>
    </row>
    <row r="297" spans="2:15" ht="14.1" customHeight="1">
      <c r="B297" s="282" t="str">
        <f>CONCATENATE("Sum of Rows ",O267, " and ",O294,".")</f>
        <v>Sum of Rows 267 and 294.</v>
      </c>
      <c r="O297" s="21">
        <f>ROW()</f>
        <v>297</v>
      </c>
    </row>
    <row r="298" spans="2:15" ht="14.1" customHeight="1">
      <c r="O298" s="21">
        <f>ROW()</f>
        <v>298</v>
      </c>
    </row>
    <row r="299" spans="2:15" ht="14.1" customHeight="1">
      <c r="B299" t="s">
        <v>1242</v>
      </c>
      <c r="I299" s="39">
        <f>I257/I296</f>
        <v>7.7231902627509202E-2</v>
      </c>
      <c r="O299" s="21">
        <f>ROW()</f>
        <v>299</v>
      </c>
    </row>
    <row r="300" spans="2:15" ht="14.1" customHeight="1">
      <c r="B300" s="282" t="str">
        <f>CONCATENATE("Ratio of Rows ",O257, " and ",O296,".")</f>
        <v>Ratio of Rows 257 and 296.</v>
      </c>
      <c r="O300" s="21">
        <f>ROW()</f>
        <v>300</v>
      </c>
    </row>
    <row r="301" spans="2:15" ht="14.1" customHeight="1">
      <c r="B301" s="282" t="s">
        <v>602</v>
      </c>
      <c r="O301" s="21">
        <f>ROW()</f>
        <v>301</v>
      </c>
    </row>
    <row r="302" spans="2:15" ht="14.1" customHeight="1">
      <c r="O302" s="21">
        <f>ROW()</f>
        <v>302</v>
      </c>
    </row>
    <row r="303" spans="2:15" ht="14.1" customHeight="1">
      <c r="O303" s="21">
        <f>ROW()</f>
        <v>303</v>
      </c>
    </row>
    <row r="304" spans="2:15" ht="14.1" customHeight="1">
      <c r="B304" s="24" t="s">
        <v>3235</v>
      </c>
      <c r="O304" s="21">
        <f>ROW()</f>
        <v>304</v>
      </c>
    </row>
    <row r="305" spans="2:15" ht="14.1" customHeight="1">
      <c r="O305" s="21">
        <f>ROW()</f>
        <v>305</v>
      </c>
    </row>
    <row r="306" spans="2:15" ht="14.1" customHeight="1">
      <c r="B306" s="3779" t="s">
        <v>2458</v>
      </c>
      <c r="C306" s="3779"/>
      <c r="D306" s="3779"/>
      <c r="E306" s="3779"/>
      <c r="F306" s="3779"/>
      <c r="G306" s="3779"/>
      <c r="H306" s="3779"/>
      <c r="I306" s="3779"/>
      <c r="O306" s="21">
        <f>ROW()</f>
        <v>306</v>
      </c>
    </row>
    <row r="307" spans="2:15" ht="14.1" customHeight="1">
      <c r="B307" s="3779"/>
      <c r="C307" s="3779"/>
      <c r="D307" s="3779"/>
      <c r="E307" s="3779"/>
      <c r="F307" s="3779"/>
      <c r="G307" s="3779"/>
      <c r="H307" s="3779"/>
      <c r="I307" s="3779"/>
      <c r="O307" s="21">
        <f>ROW()</f>
        <v>307</v>
      </c>
    </row>
    <row r="308" spans="2:15" ht="14.1" customHeight="1">
      <c r="B308" s="3779"/>
      <c r="C308" s="3779"/>
      <c r="D308" s="3779"/>
      <c r="E308" s="3779"/>
      <c r="F308" s="3779"/>
      <c r="G308" s="3779"/>
      <c r="H308" s="3779"/>
      <c r="I308" s="3779"/>
      <c r="O308" s="21">
        <f>ROW()</f>
        <v>308</v>
      </c>
    </row>
    <row r="309" spans="2:15" ht="14.1" customHeight="1">
      <c r="B309" s="3779"/>
      <c r="C309" s="3779"/>
      <c r="D309" s="3779"/>
      <c r="E309" s="3779"/>
      <c r="F309" s="3779"/>
      <c r="G309" s="3779"/>
      <c r="H309" s="3779"/>
      <c r="I309" s="3779"/>
      <c r="O309" s="21">
        <f>ROW()</f>
        <v>309</v>
      </c>
    </row>
    <row r="310" spans="2:15" ht="14.1" customHeight="1">
      <c r="O310" s="21">
        <f>ROW()</f>
        <v>310</v>
      </c>
    </row>
    <row r="311" spans="2:15" ht="14.1" customHeight="1">
      <c r="B311" s="3781" t="s">
        <v>2459</v>
      </c>
      <c r="C311" s="3781"/>
      <c r="D311" s="3781"/>
      <c r="E311" s="3781"/>
      <c r="F311" s="3781"/>
      <c r="G311" s="3781"/>
      <c r="H311" s="3781"/>
      <c r="I311" s="3781"/>
      <c r="O311" s="21">
        <f>ROW()</f>
        <v>311</v>
      </c>
    </row>
    <row r="312" spans="2:15" ht="14.1" customHeight="1">
      <c r="B312" s="3781"/>
      <c r="C312" s="3781"/>
      <c r="D312" s="3781"/>
      <c r="E312" s="3781"/>
      <c r="F312" s="3781"/>
      <c r="G312" s="3781"/>
      <c r="H312" s="3781"/>
      <c r="I312" s="3781"/>
      <c r="O312" s="21">
        <f>ROW()</f>
        <v>312</v>
      </c>
    </row>
    <row r="313" spans="2:15" ht="14.1" customHeight="1">
      <c r="B313" s="3781"/>
      <c r="C313" s="3781"/>
      <c r="D313" s="3781"/>
      <c r="E313" s="3781"/>
      <c r="F313" s="3781"/>
      <c r="G313" s="3781"/>
      <c r="H313" s="3781"/>
      <c r="I313" s="3781"/>
      <c r="O313" s="21">
        <f>ROW()</f>
        <v>313</v>
      </c>
    </row>
    <row r="314" spans="2:15" ht="14.1" customHeight="1">
      <c r="O314" s="21">
        <f>ROW()</f>
        <v>314</v>
      </c>
    </row>
    <row r="315" spans="2:15" ht="14.1" customHeight="1">
      <c r="B315" s="4147" t="s">
        <v>2460</v>
      </c>
      <c r="C315" s="4147"/>
      <c r="D315" s="4147"/>
      <c r="E315" s="4147"/>
      <c r="F315" s="4147"/>
      <c r="G315" s="4147"/>
      <c r="H315" s="4147"/>
      <c r="O315" s="21">
        <f>ROW()</f>
        <v>315</v>
      </c>
    </row>
    <row r="316" spans="2:15" ht="14.1" customHeight="1">
      <c r="B316" s="20" t="str">
        <f>'Motor Vs'!P226</f>
        <v>Graveyard</v>
      </c>
      <c r="C316" s="20" t="str">
        <f>'Motor Vs'!Q226</f>
        <v>A.M. Pre-peak</v>
      </c>
      <c r="D316" s="20" t="str">
        <f>'Motor Vs'!R226</f>
        <v>A.M. Peak</v>
      </c>
      <c r="E316" s="20" t="str">
        <f>'Motor Vs'!S226</f>
        <v>A.M. Post-peak</v>
      </c>
      <c r="F316" s="20" t="str">
        <f>'Motor Vs'!T226</f>
        <v>Midday Peak</v>
      </c>
      <c r="G316" s="20" t="str">
        <f>'Motor Vs'!U226</f>
        <v>P.M. Peak</v>
      </c>
      <c r="H316" s="20" t="str">
        <f>'Motor Vs'!V226</f>
        <v>P.M. Post-peak</v>
      </c>
      <c r="O316" s="21">
        <f>ROW()</f>
        <v>316</v>
      </c>
    </row>
    <row r="317" spans="2:15" ht="14.1" customHeight="1">
      <c r="B317" s="18" t="str">
        <f>'Motor Vs'!P227</f>
        <v>11 p.m. - 5 a.m.</v>
      </c>
      <c r="C317" s="18" t="str">
        <f>'Motor Vs'!Q227</f>
        <v>5 a.m. - 6 a.m.</v>
      </c>
      <c r="D317" s="18" t="str">
        <f>'Motor Vs'!R227</f>
        <v>6 a.m. - 9 a.m.</v>
      </c>
      <c r="E317" s="18" t="str">
        <f>'Motor Vs'!S227</f>
        <v>9 a.m. - 10 a.m.</v>
      </c>
      <c r="F317" s="18" t="str">
        <f>'Motor Vs'!T227</f>
        <v>10 a.m. - 2 p.m.</v>
      </c>
      <c r="G317" s="18" t="str">
        <f>'Motor Vs'!U227</f>
        <v xml:space="preserve">2 p.m. - 8 p.m. </v>
      </c>
      <c r="H317" s="18" t="str">
        <f>'Motor Vs'!V227</f>
        <v>8 p.m. - 11 p.m.</v>
      </c>
      <c r="O317" s="21">
        <f>ROW()</f>
        <v>317</v>
      </c>
    </row>
    <row r="318" spans="2:15" ht="14.1" customHeight="1">
      <c r="B318" s="223">
        <f>'Motor Vs'!P255</f>
        <v>1.42</v>
      </c>
      <c r="C318" s="223">
        <f>'Motor Vs'!Q255</f>
        <v>4.24</v>
      </c>
      <c r="D318" s="223">
        <f>'Motor Vs'!R255</f>
        <v>14.919999999999998</v>
      </c>
      <c r="E318" s="223">
        <f>'Motor Vs'!S255</f>
        <v>18.78</v>
      </c>
      <c r="F318" s="223">
        <f>'Motor Vs'!T255</f>
        <v>17.319999999999997</v>
      </c>
      <c r="G318" s="223">
        <f>'Motor Vs'!U255</f>
        <v>10.889999999999999</v>
      </c>
      <c r="H318" s="223">
        <f>'Motor Vs'!V255</f>
        <v>6.34</v>
      </c>
      <c r="O318" s="21">
        <f>ROW()</f>
        <v>318</v>
      </c>
    </row>
    <row r="319" spans="2:15" ht="14.1" customHeight="1">
      <c r="B319" s="282" t="str">
        <f>CONCATENATE("Above Rows were copied from 'Motor Vs' worksheet, including Row ",'Motor Vs'!O255, " for dollar cost.")</f>
        <v>Above Rows were copied from 'Motor Vs' worksheet, including Row 255 for dollar cost.</v>
      </c>
      <c r="O319" s="21">
        <f>ROW()</f>
        <v>319</v>
      </c>
    </row>
    <row r="320" spans="2:15" ht="14.1" customHeight="1">
      <c r="O320" s="21">
        <f>ROW()</f>
        <v>320</v>
      </c>
    </row>
    <row r="321" spans="2:15" ht="14.1" customHeight="1">
      <c r="B321" s="4147" t="s">
        <v>2461</v>
      </c>
      <c r="C321" s="4147"/>
      <c r="D321" s="4147"/>
      <c r="E321" s="4147"/>
      <c r="F321" s="4147"/>
      <c r="G321" s="4147"/>
      <c r="H321" s="4147"/>
      <c r="O321" s="21">
        <f>ROW()</f>
        <v>321</v>
      </c>
    </row>
    <row r="322" spans="2:15" ht="14.1" customHeight="1">
      <c r="B322" s="20" t="str">
        <f t="shared" ref="B322:H322" si="3">B316</f>
        <v>Graveyard</v>
      </c>
      <c r="C322" s="20" t="str">
        <f t="shared" si="3"/>
        <v>A.M. Pre-peak</v>
      </c>
      <c r="D322" s="20" t="str">
        <f t="shared" si="3"/>
        <v>A.M. Peak</v>
      </c>
      <c r="E322" s="20" t="str">
        <f t="shared" si="3"/>
        <v>A.M. Post-peak</v>
      </c>
      <c r="F322" s="20" t="str">
        <f t="shared" si="3"/>
        <v>Midday Peak</v>
      </c>
      <c r="G322" s="20" t="str">
        <f t="shared" si="3"/>
        <v>P.M. Peak</v>
      </c>
      <c r="H322" s="20" t="str">
        <f t="shared" si="3"/>
        <v>P.M. Post-peak</v>
      </c>
      <c r="O322" s="21">
        <f>ROW()</f>
        <v>322</v>
      </c>
    </row>
    <row r="323" spans="2:15" ht="14.1" customHeight="1">
      <c r="B323" s="18" t="str">
        <f>B317</f>
        <v>11 p.m. - 5 a.m.</v>
      </c>
      <c r="C323" s="18" t="str">
        <f t="shared" ref="C323:H323" si="4">C317</f>
        <v>5 a.m. - 6 a.m.</v>
      </c>
      <c r="D323" s="18" t="str">
        <f t="shared" si="4"/>
        <v>6 a.m. - 9 a.m.</v>
      </c>
      <c r="E323" s="18" t="str">
        <f t="shared" si="4"/>
        <v>9 a.m. - 10 a.m.</v>
      </c>
      <c r="F323" s="18" t="str">
        <f t="shared" si="4"/>
        <v>10 a.m. - 2 p.m.</v>
      </c>
      <c r="G323" s="18" t="str">
        <f t="shared" si="4"/>
        <v xml:space="preserve">2 p.m. - 8 p.m. </v>
      </c>
      <c r="H323" s="18" t="str">
        <f t="shared" si="4"/>
        <v>8 p.m. - 11 p.m.</v>
      </c>
      <c r="O323" s="21">
        <f>ROW()</f>
        <v>323</v>
      </c>
    </row>
    <row r="324" spans="2:15" ht="14.1" customHeight="1">
      <c r="B324" s="223">
        <f>'Motor Vs'!Y255</f>
        <v>2.29</v>
      </c>
      <c r="C324" s="223">
        <f>'Motor Vs'!Z255</f>
        <v>7.2799999999999994</v>
      </c>
      <c r="D324" s="223">
        <f>'Motor Vs'!AA255</f>
        <v>15.08</v>
      </c>
      <c r="E324" s="223">
        <f>'Motor Vs'!AB255</f>
        <v>18.87</v>
      </c>
      <c r="F324" s="223">
        <f>'Motor Vs'!AC255</f>
        <v>17.600000000000001</v>
      </c>
      <c r="G324" s="223">
        <f>'Motor Vs'!AD255</f>
        <v>12.299999999999999</v>
      </c>
      <c r="H324" s="223">
        <f>'Motor Vs'!AE255</f>
        <v>6.18</v>
      </c>
      <c r="O324" s="21">
        <f>ROW()</f>
        <v>324</v>
      </c>
    </row>
    <row r="325" spans="2:15" ht="14.1" customHeight="1">
      <c r="O325" s="21">
        <f>ROW()</f>
        <v>325</v>
      </c>
    </row>
    <row r="326" spans="2:15" ht="14.1" customHeight="1">
      <c r="B326" s="6" t="s">
        <v>2462</v>
      </c>
      <c r="O326" s="21">
        <f>ROW()</f>
        <v>326</v>
      </c>
    </row>
    <row r="327" spans="2:15" ht="14.1" customHeight="1">
      <c r="B327" s="34">
        <v>1</v>
      </c>
      <c r="C327" s="34">
        <v>2</v>
      </c>
      <c r="D327" s="34">
        <v>5</v>
      </c>
      <c r="E327" s="34">
        <v>4</v>
      </c>
      <c r="F327" s="34">
        <v>3</v>
      </c>
      <c r="G327" s="34">
        <v>4</v>
      </c>
      <c r="H327" s="34">
        <v>2</v>
      </c>
      <c r="O327" s="21">
        <f>ROW()</f>
        <v>327</v>
      </c>
    </row>
    <row r="328" spans="2:15" ht="14.1" customHeight="1">
      <c r="O328" s="21">
        <f>ROW()</f>
        <v>328</v>
      </c>
    </row>
    <row r="329" spans="2:15" ht="14.1" customHeight="1">
      <c r="B329" s="6" t="s">
        <v>2463</v>
      </c>
      <c r="O329" s="21">
        <f>ROW()</f>
        <v>329</v>
      </c>
    </row>
    <row r="330" spans="2:15" ht="14.1" customHeight="1">
      <c r="O330" s="21">
        <f>ROW()</f>
        <v>330</v>
      </c>
    </row>
    <row r="331" spans="2:15" ht="14.1" customHeight="1">
      <c r="B331" s="6" t="s">
        <v>2464</v>
      </c>
      <c r="O331" s="21">
        <f>ROW()</f>
        <v>331</v>
      </c>
    </row>
    <row r="332" spans="2:15" ht="14.1" customHeight="1">
      <c r="C332" s="34">
        <v>1</v>
      </c>
      <c r="D332" s="34">
        <v>2</v>
      </c>
      <c r="E332" s="34">
        <v>3</v>
      </c>
      <c r="F332" s="34">
        <v>4</v>
      </c>
      <c r="G332" s="34">
        <v>5</v>
      </c>
      <c r="O332" s="21">
        <f>ROW()</f>
        <v>332</v>
      </c>
    </row>
    <row r="333" spans="2:15" ht="14.1" customHeight="1">
      <c r="B333" t="s">
        <v>2248</v>
      </c>
      <c r="C333" s="223">
        <f>B318</f>
        <v>1.42</v>
      </c>
      <c r="D333" s="223">
        <f>(C318*'Motor Vs'!Q122+H318*'Motor Vs'!V122)/('Motor Vs'!Q122+'Motor Vs'!V122)</f>
        <v>5.4029603815796818</v>
      </c>
      <c r="E333" s="223">
        <f>F318</f>
        <v>17.319999999999997</v>
      </c>
      <c r="F333" s="223">
        <f>(E318*'Motor Vs'!S122+G318*'Motor Vs'!U122)/('Motor Vs'!S122+'Motor Vs'!U122)</f>
        <v>12.853337465577869</v>
      </c>
      <c r="G333" s="223">
        <f>D318</f>
        <v>14.919999999999998</v>
      </c>
      <c r="H333" s="3754" t="s">
        <v>2373</v>
      </c>
      <c r="I333" s="3659"/>
      <c r="J333" s="3659"/>
      <c r="K333" s="3659"/>
      <c r="O333" s="21">
        <f>ROW()</f>
        <v>333</v>
      </c>
    </row>
    <row r="334" spans="2:15" ht="14.1" customHeight="1">
      <c r="B334" t="s">
        <v>2465</v>
      </c>
      <c r="C334" s="223">
        <f>B324</f>
        <v>2.29</v>
      </c>
      <c r="D334" s="223">
        <f>(C324*'Motor Vs'!Q122+H324*'Motor Vs'!V122)/('Motor Vs'!Q122+'Motor Vs'!V122)</f>
        <v>6.670830276315403</v>
      </c>
      <c r="E334" s="223">
        <f>F324</f>
        <v>17.600000000000001</v>
      </c>
      <c r="F334" s="223">
        <f>(E324*'Motor Vs'!S122+G324*'Motor Vs'!U122)/('Motor Vs'!S122+'Motor Vs'!U122)</f>
        <v>13.934870361070544</v>
      </c>
      <c r="G334" s="223">
        <f>D324</f>
        <v>15.08</v>
      </c>
      <c r="H334" s="3659"/>
      <c r="I334" s="3659"/>
      <c r="J334" s="3659"/>
      <c r="K334" s="3659"/>
      <c r="O334" s="21">
        <f>ROW()</f>
        <v>334</v>
      </c>
    </row>
    <row r="335" spans="2:15" ht="14.1" customHeight="1">
      <c r="B335" t="s">
        <v>2374</v>
      </c>
      <c r="C335" s="223">
        <f>(C333*'Motor Vs'!P122+C334*'Motor Vs'!Y122)/('Motor Vs'!P122+'Motor Vs'!Y122)</f>
        <v>2.0045144480171735</v>
      </c>
      <c r="D335" s="223">
        <f>(D333*('Motor Vs'!Q122+'Motor Vs'!V122)+D334*('Motor Vs'!Z122+'Motor Vs'!AE122))/(('Motor Vs'!Q122+'Motor Vs'!V122)+('Motor Vs'!Z122+'Motor Vs'!AE122))</f>
        <v>5.9881341370321639</v>
      </c>
      <c r="E335" s="223">
        <f>(E333*'Motor Vs'!R122+E334*'Motor Vs'!AA122)/('Motor Vs'!R122+'Motor Vs'!AA122)</f>
        <v>17.364145605087796</v>
      </c>
      <c r="F335" s="223">
        <f>(F333*('Motor Vs'!S122+'Motor Vs'!U122)+F334*('Motor Vs'!AA122+'Motor Vs'!AC122))/(('Motor Vs'!S122+'Motor Vs'!U122)+('Motor Vs'!AA122+'Motor Vs'!AC122))</f>
        <v>13.270585271511875</v>
      </c>
      <c r="G335" s="223">
        <f>(G333*'Motor Vs'!T122+G334*'Motor Vs'!AC122)/('Motor Vs'!T122+'Motor Vs'!AC122)</f>
        <v>14.98241309897813</v>
      </c>
      <c r="O335" s="21">
        <f>ROW()</f>
        <v>335</v>
      </c>
    </row>
    <row r="336" spans="2:15" ht="14.1" customHeight="1">
      <c r="O336" s="21">
        <f>ROW()</f>
        <v>336</v>
      </c>
    </row>
    <row r="337" spans="2:15" ht="14.1" customHeight="1">
      <c r="B337" s="6" t="s">
        <v>898</v>
      </c>
      <c r="O337" s="21">
        <f>ROW()</f>
        <v>337</v>
      </c>
    </row>
    <row r="338" spans="2:15" ht="14.1" customHeight="1">
      <c r="O338" s="21">
        <f>ROW()</f>
        <v>338</v>
      </c>
    </row>
    <row r="339" spans="2:15" ht="14.1" customHeight="1">
      <c r="B339" s="3779" t="s">
        <v>4655</v>
      </c>
      <c r="C339" s="3779"/>
      <c r="D339" s="3779"/>
      <c r="E339" s="3779"/>
      <c r="F339" s="3779"/>
      <c r="G339" s="3779"/>
      <c r="H339" s="3779"/>
      <c r="I339" s="3779"/>
      <c r="O339" s="21">
        <f>ROW()</f>
        <v>339</v>
      </c>
    </row>
    <row r="340" spans="2:15" ht="14.1" customHeight="1">
      <c r="B340" s="3779"/>
      <c r="C340" s="3779"/>
      <c r="D340" s="3779"/>
      <c r="E340" s="3779"/>
      <c r="F340" s="3779"/>
      <c r="G340" s="3779"/>
      <c r="H340" s="3779"/>
      <c r="I340" s="3779"/>
      <c r="O340" s="21">
        <f>ROW()</f>
        <v>340</v>
      </c>
    </row>
    <row r="341" spans="2:15" ht="14.1" customHeight="1">
      <c r="B341" s="3779"/>
      <c r="C341" s="3779"/>
      <c r="D341" s="3779"/>
      <c r="E341" s="3779"/>
      <c r="F341" s="3779"/>
      <c r="G341" s="3779"/>
      <c r="H341" s="3779"/>
      <c r="I341" s="3779"/>
      <c r="O341" s="21">
        <f>ROW()</f>
        <v>341</v>
      </c>
    </row>
    <row r="342" spans="2:15" ht="14.1" customHeight="1">
      <c r="B342" s="3779"/>
      <c r="C342" s="3779"/>
      <c r="D342" s="3779"/>
      <c r="E342" s="3779"/>
      <c r="F342" s="3779"/>
      <c r="G342" s="3779"/>
      <c r="H342" s="3779"/>
      <c r="I342" s="3779"/>
      <c r="O342" s="21">
        <f>ROW()</f>
        <v>342</v>
      </c>
    </row>
    <row r="343" spans="2:15" ht="14.1" customHeight="1">
      <c r="B343" s="3779"/>
      <c r="C343" s="3779"/>
      <c r="D343" s="3779"/>
      <c r="E343" s="3779"/>
      <c r="F343" s="3779"/>
      <c r="G343" s="3779"/>
      <c r="H343" s="3779"/>
      <c r="I343" s="3779"/>
      <c r="O343" s="21">
        <f>ROW()</f>
        <v>343</v>
      </c>
    </row>
    <row r="344" spans="2:15" ht="14.1" customHeight="1">
      <c r="B344" s="3779"/>
      <c r="C344" s="3779"/>
      <c r="D344" s="3779"/>
      <c r="E344" s="3779"/>
      <c r="F344" s="3779"/>
      <c r="G344" s="3779"/>
      <c r="H344" s="3779"/>
      <c r="I344" s="3779"/>
      <c r="O344" s="21">
        <f>ROW()</f>
        <v>344</v>
      </c>
    </row>
    <row r="345" spans="2:15" ht="14.1" customHeight="1">
      <c r="O345" s="21">
        <f>ROW()</f>
        <v>345</v>
      </c>
    </row>
    <row r="346" spans="2:15" ht="14.1" customHeight="1">
      <c r="O346" s="21">
        <f>ROW()</f>
        <v>346</v>
      </c>
    </row>
    <row r="347" spans="2:15" ht="14.1" customHeight="1">
      <c r="B347" s="24" t="s">
        <v>3233</v>
      </c>
      <c r="I347" s="5143" t="str">
        <f>CONCATENATE("Go to Row ",O385, " for results and to Row ",O391, " for graph.")</f>
        <v>Go to Row 385 for results and to Row 391 for graph.</v>
      </c>
      <c r="J347" s="5144"/>
      <c r="K347" s="5144"/>
      <c r="L347" s="5145"/>
      <c r="O347" s="21">
        <f>ROW()</f>
        <v>347</v>
      </c>
    </row>
    <row r="348" spans="2:15" ht="14.1" customHeight="1">
      <c r="O348" s="21">
        <f>ROW()</f>
        <v>348</v>
      </c>
    </row>
    <row r="349" spans="2:15" ht="14.1" customHeight="1">
      <c r="B349" s="9" t="s">
        <v>2987</v>
      </c>
      <c r="O349" s="21">
        <f>ROW()</f>
        <v>349</v>
      </c>
    </row>
    <row r="350" spans="2:15" ht="14.1" customHeight="1">
      <c r="O350" s="21">
        <f>ROW()</f>
        <v>350</v>
      </c>
    </row>
    <row r="351" spans="2:15" ht="14.1" customHeight="1">
      <c r="G351" s="20" t="str">
        <f t="shared" ref="G351:M352" si="5">B316</f>
        <v>Graveyard</v>
      </c>
      <c r="H351" s="20" t="str">
        <f t="shared" si="5"/>
        <v>A.M. Pre-peak</v>
      </c>
      <c r="I351" s="20" t="str">
        <f t="shared" si="5"/>
        <v>A.M. Peak</v>
      </c>
      <c r="J351" s="20" t="str">
        <f t="shared" si="5"/>
        <v>A.M. Post-peak</v>
      </c>
      <c r="K351" s="20" t="str">
        <f t="shared" si="5"/>
        <v>Midday Peak</v>
      </c>
      <c r="L351" s="20" t="str">
        <f t="shared" si="5"/>
        <v>P.M. Peak</v>
      </c>
      <c r="M351" s="20" t="str">
        <f t="shared" si="5"/>
        <v>P.M. Post-peak</v>
      </c>
      <c r="O351" s="21">
        <f>ROW()</f>
        <v>351</v>
      </c>
    </row>
    <row r="352" spans="2:15" ht="14.1" customHeight="1">
      <c r="G352" s="194" t="str">
        <f t="shared" si="5"/>
        <v>11 p.m. - 5 a.m.</v>
      </c>
      <c r="H352" s="194" t="str">
        <f t="shared" si="5"/>
        <v>5 a.m. - 6 a.m.</v>
      </c>
      <c r="I352" s="194" t="str">
        <f t="shared" si="5"/>
        <v>6 a.m. - 9 a.m.</v>
      </c>
      <c r="J352" s="194" t="str">
        <f t="shared" si="5"/>
        <v>9 a.m. - 10 a.m.</v>
      </c>
      <c r="K352" s="194" t="str">
        <f t="shared" si="5"/>
        <v>10 a.m. - 2 p.m.</v>
      </c>
      <c r="L352" s="194" t="str">
        <f t="shared" si="5"/>
        <v xml:space="preserve">2 p.m. - 8 p.m. </v>
      </c>
      <c r="M352" s="194" t="str">
        <f t="shared" si="5"/>
        <v>8 p.m. - 11 p.m.</v>
      </c>
      <c r="O352" s="21">
        <f>ROW()</f>
        <v>352</v>
      </c>
    </row>
    <row r="353" spans="2:15" ht="14.1" customHeight="1">
      <c r="B353" s="9" t="s">
        <v>1986</v>
      </c>
      <c r="G353" s="332">
        <f>'Motor Vs'!G184</f>
        <v>21.069959679339988</v>
      </c>
      <c r="H353" s="332">
        <f>'Motor Vs'!H184</f>
        <v>20.198796211465559</v>
      </c>
      <c r="I353" s="332">
        <f>'Motor Vs'!I184</f>
        <v>9.18464960823135</v>
      </c>
      <c r="J353" s="332">
        <f>'Motor Vs'!J184</f>
        <v>9.7946762584405249</v>
      </c>
      <c r="K353" s="332">
        <f>'Motor Vs'!K184</f>
        <v>12.090312708203816</v>
      </c>
      <c r="L353" s="332">
        <f>'Motor Vs'!L184</f>
        <v>8.1810393307876197</v>
      </c>
      <c r="M353" s="332">
        <f>'Motor Vs'!M184</f>
        <v>11.923235598532427</v>
      </c>
      <c r="O353" s="21">
        <f>ROW()</f>
        <v>353</v>
      </c>
    </row>
    <row r="354" spans="2:15" ht="14.1" customHeight="1">
      <c r="B354" s="282" t="str">
        <f>CONCATENATE("From Motor Vs worksheet, Row ",'Motor Vs'!O184, ".")</f>
        <v>From Motor Vs worksheet, Row 184.</v>
      </c>
      <c r="O354" s="21">
        <f>ROW()</f>
        <v>354</v>
      </c>
    </row>
    <row r="355" spans="2:15" ht="14.1" customHeight="1">
      <c r="B355" s="9" t="s">
        <v>2988</v>
      </c>
      <c r="F355">
        <v>100</v>
      </c>
      <c r="O355" s="21">
        <f>ROW()</f>
        <v>355</v>
      </c>
    </row>
    <row r="356" spans="2:15" ht="14.1" customHeight="1">
      <c r="B356" s="265" t="s">
        <v>2989</v>
      </c>
      <c r="O356" s="21">
        <f>ROW()</f>
        <v>356</v>
      </c>
    </row>
    <row r="357" spans="2:15" ht="14.1" customHeight="1">
      <c r="B357" s="9" t="s">
        <v>2990</v>
      </c>
      <c r="F357" s="117">
        <f>1/2</f>
        <v>0.5</v>
      </c>
      <c r="O357" s="21">
        <f>ROW()</f>
        <v>357</v>
      </c>
    </row>
    <row r="358" spans="2:15" ht="14.1" customHeight="1">
      <c r="B358" s="265" t="str">
        <f>CONCATENATE("See discussion in 'FreshDirect' worksheet, Row ",FreshDirect!P130, ". By 'truck,' we refer to a 9-ton gross weight vehicle, approx'ly 24 feet long.")</f>
        <v>See discussion in 'FreshDirect' worksheet, Row 130. By 'truck,' we refer to a 9-ton gross weight vehicle, approx'ly 24 feet long.</v>
      </c>
      <c r="O358" s="21">
        <f>ROW()</f>
        <v>358</v>
      </c>
    </row>
    <row r="359" spans="2:15" ht="14.1" customHeight="1">
      <c r="B359" s="9" t="s">
        <v>2992</v>
      </c>
      <c r="F359" s="12">
        <f>2/3</f>
        <v>0.66666666666666663</v>
      </c>
      <c r="O359" s="21">
        <f>ROW()</f>
        <v>359</v>
      </c>
    </row>
    <row r="360" spans="2:15" ht="14.1" customHeight="1">
      <c r="B360" s="265" t="s">
        <v>768</v>
      </c>
      <c r="O360" s="21">
        <f>ROW()</f>
        <v>360</v>
      </c>
    </row>
    <row r="361" spans="2:15" ht="14.1" customHeight="1">
      <c r="B361" s="9" t="s">
        <v>2995</v>
      </c>
      <c r="F361" s="1177">
        <f>(Cordon!J160)/(20*3)</f>
        <v>2.338052338052338E-2</v>
      </c>
      <c r="O361" s="21">
        <f>ROW()</f>
        <v>361</v>
      </c>
    </row>
    <row r="362" spans="2:15" ht="14.1" customHeight="1">
      <c r="B362" s="265" t="s">
        <v>2993</v>
      </c>
      <c r="O362" s="21">
        <f>ROW()</f>
        <v>362</v>
      </c>
    </row>
    <row r="363" spans="2:15" ht="14.1" customHeight="1">
      <c r="B363" s="9" t="s">
        <v>2994</v>
      </c>
      <c r="F363" s="117">
        <f>F355*F361</f>
        <v>2.3380523380523379</v>
      </c>
      <c r="O363" s="21">
        <f>ROW()</f>
        <v>363</v>
      </c>
    </row>
    <row r="364" spans="2:15" ht="14.1" customHeight="1">
      <c r="B364" s="265" t="str">
        <f>CONCATENATE("Product of Rows ",O355, " and ",O361, ".")</f>
        <v>Product of Rows 355 and 361.</v>
      </c>
      <c r="O364" s="21">
        <f>ROW()</f>
        <v>364</v>
      </c>
    </row>
    <row r="365" spans="2:15" ht="14.1" customHeight="1">
      <c r="B365" t="s">
        <v>2991</v>
      </c>
      <c r="F365" s="575">
        <f>Cordon!F189</f>
        <v>1270</v>
      </c>
      <c r="O365" s="21">
        <f>ROW()</f>
        <v>365</v>
      </c>
    </row>
    <row r="366" spans="2:15" ht="14.1" customHeight="1">
      <c r="B366" s="265" t="s">
        <v>2996</v>
      </c>
      <c r="O366" s="21">
        <f>ROW()</f>
        <v>366</v>
      </c>
    </row>
    <row r="367" spans="2:15" ht="14.1" customHeight="1">
      <c r="B367" s="9" t="s">
        <v>2997</v>
      </c>
      <c r="F367" s="1837">
        <f>F363/F365</f>
        <v>1.8409860929545967E-3</v>
      </c>
      <c r="O367" s="21">
        <f>ROW()</f>
        <v>367</v>
      </c>
    </row>
    <row r="368" spans="2:15" ht="14.1" customHeight="1">
      <c r="B368" s="265" t="str">
        <f>CONCATENATE("Ratio of Row ",O363, " to Row ",O365, ".")</f>
        <v>Ratio of Row 363 to Row 365.</v>
      </c>
      <c r="O368" s="21">
        <f>ROW()</f>
        <v>368</v>
      </c>
    </row>
    <row r="369" spans="2:15" ht="14.1" customHeight="1">
      <c r="B369" s="9" t="s">
        <v>2999</v>
      </c>
      <c r="F369" s="1836">
        <f>1/(1-F367)</f>
        <v>1.0018443815737821</v>
      </c>
      <c r="O369" s="21">
        <f>ROW()</f>
        <v>369</v>
      </c>
    </row>
    <row r="370" spans="2:15" ht="14.1" customHeight="1">
      <c r="B370" s="282" t="str">
        <f>CONCATENATE("Complement of percent in Row ",O367, ".")</f>
        <v>Complement of percent in Row 367.</v>
      </c>
      <c r="O370" s="21">
        <f>ROW()</f>
        <v>370</v>
      </c>
    </row>
    <row r="371" spans="2:15" ht="14.1" customHeight="1">
      <c r="B371" s="9" t="s">
        <v>3000</v>
      </c>
      <c r="G371" s="1183">
        <f>'Motor Vs'!G149</f>
        <v>74471.375725727543</v>
      </c>
      <c r="H371" s="1183">
        <f>'Motor Vs'!H149</f>
        <v>88784.918344910053</v>
      </c>
      <c r="I371" s="1183">
        <f>'Motor Vs'!I149</f>
        <v>176582.16272114028</v>
      </c>
      <c r="J371" s="1183">
        <f>'Motor Vs'!J149</f>
        <v>171660.21926752295</v>
      </c>
      <c r="K371" s="1183">
        <f>'Motor Vs'!K149</f>
        <v>154591.44714293882</v>
      </c>
      <c r="L371" s="1183">
        <f>'Motor Vs'!L149</f>
        <v>185223.71205129349</v>
      </c>
      <c r="M371" s="1183">
        <f>'Motor Vs'!M149</f>
        <v>155779.96551094626</v>
      </c>
      <c r="O371" s="21">
        <f>ROW()</f>
        <v>371</v>
      </c>
    </row>
    <row r="372" spans="2:15" ht="14.1" customHeight="1">
      <c r="B372" s="282" t="str">
        <f>CONCATENATE("From Motor Vs worksheet, Row ",'Motor Vs'!O147, ". Is needed here as in input to formula in Row ",O373, ".")</f>
        <v>From Motor Vs worksheet, Row 147. Is needed here as in input to formula in Row 373.</v>
      </c>
      <c r="O372" s="21">
        <f>ROW()</f>
        <v>372</v>
      </c>
    </row>
    <row r="373" spans="2:15" ht="14.1" customHeight="1">
      <c r="B373" s="9" t="s">
        <v>2998</v>
      </c>
      <c r="G373" s="332">
        <f t="shared" ref="G373:M373" si="6">24.2/(1+0.1*((G371*$F$369)/V_sub_k)^4.08)</f>
        <v>23.185579810169294</v>
      </c>
      <c r="H373" s="332">
        <f t="shared" si="6"/>
        <v>22.209147481807886</v>
      </c>
      <c r="I373" s="332">
        <f t="shared" si="6"/>
        <v>9.7504945493826689</v>
      </c>
      <c r="J373" s="332">
        <f t="shared" si="6"/>
        <v>10.428826725437288</v>
      </c>
      <c r="K373" s="332">
        <f t="shared" si="6"/>
        <v>13.001589215665495</v>
      </c>
      <c r="L373" s="332">
        <f t="shared" si="6"/>
        <v>8.6401346027225188</v>
      </c>
      <c r="M373" s="332">
        <f t="shared" si="6"/>
        <v>12.813387127306655</v>
      </c>
      <c r="O373" s="21">
        <f>ROW()</f>
        <v>373</v>
      </c>
    </row>
    <row r="374" spans="2:15" ht="14.1" customHeight="1">
      <c r="B374" s="282" t="str">
        <f>CONCATENATE("Calculated by multiplying traffic volumes in Row ",O371, " by factor incrs in Row ",O369, " and inputting product into 'VsubK' algorithm detailed in 'Speed-Vol., Cordon' worksheet.")</f>
        <v>Calculated by multiplying traffic volumes in Row 371 by factor incrs in Row 369 and inputting product into 'VsubK' algorithm detailed in 'Speed-Vol., Cordon' worksheet.</v>
      </c>
      <c r="O374" s="21">
        <f>ROW()</f>
        <v>374</v>
      </c>
    </row>
    <row r="375" spans="2:15" ht="14.1" customHeight="1">
      <c r="B375" s="9" t="s">
        <v>3001</v>
      </c>
      <c r="G375" s="1179">
        <f t="shared" ref="G375:M375" si="7">G371*60/G353</f>
        <v>212068.87016138897</v>
      </c>
      <c r="H375" s="1179">
        <f t="shared" si="7"/>
        <v>263733.2960303225</v>
      </c>
      <c r="I375" s="1179">
        <f t="shared" si="7"/>
        <v>1153547.5184347983</v>
      </c>
      <c r="J375" s="1179">
        <f t="shared" si="7"/>
        <v>1051552.1783760565</v>
      </c>
      <c r="K375" s="1179">
        <f t="shared" si="7"/>
        <v>767183.36840721243</v>
      </c>
      <c r="L375" s="1179">
        <f t="shared" si="7"/>
        <v>1358436.5352278142</v>
      </c>
      <c r="M375" s="1179">
        <f t="shared" si="7"/>
        <v>783914.55519064202</v>
      </c>
      <c r="O375" s="21">
        <f>ROW()</f>
        <v>375</v>
      </c>
    </row>
    <row r="376" spans="2:15" ht="14.1" customHeight="1">
      <c r="B376" s="265" t="str">
        <f>CONCATENATE("Ratio of Row ",O371, " to Row ",O353, ", multiplied by 60.")</f>
        <v>Ratio of Row 371 to Row 353, multiplied by 60.</v>
      </c>
      <c r="O376" s="21">
        <f>ROW()</f>
        <v>376</v>
      </c>
    </row>
    <row r="377" spans="2:15" ht="14.1" customHeight="1">
      <c r="B377" s="9" t="s">
        <v>3002</v>
      </c>
      <c r="G377" s="1179">
        <f t="shared" ref="G377:M377" si="8">G371*60/G373</f>
        <v>192718.17138615809</v>
      </c>
      <c r="H377" s="1179">
        <f t="shared" si="8"/>
        <v>239860.40459491618</v>
      </c>
      <c r="I377" s="1179">
        <f t="shared" si="8"/>
        <v>1086604.3470522438</v>
      </c>
      <c r="J377" s="1179">
        <f t="shared" si="8"/>
        <v>987609.96104473167</v>
      </c>
      <c r="K377" s="1179">
        <f t="shared" si="8"/>
        <v>713411.77410838217</v>
      </c>
      <c r="L377" s="1179">
        <f t="shared" si="8"/>
        <v>1286255.739531622</v>
      </c>
      <c r="M377" s="1179">
        <f t="shared" si="8"/>
        <v>729455.67302323843</v>
      </c>
      <c r="O377" s="21">
        <f>ROW()</f>
        <v>377</v>
      </c>
    </row>
    <row r="378" spans="2:15" ht="14.1" customHeight="1">
      <c r="B378" s="265" t="str">
        <f>CONCATENATE("Ratio of Row ",O371, " to Row ",O373, ", multiplied by 60.")</f>
        <v>Ratio of Row 371 to Row 373, multiplied by 60.</v>
      </c>
      <c r="O378" s="21">
        <f>ROW()</f>
        <v>378</v>
      </c>
    </row>
    <row r="379" spans="2:15" ht="14.1" customHeight="1">
      <c r="B379" s="9" t="s">
        <v>3003</v>
      </c>
      <c r="G379" s="1179">
        <f t="shared" ref="G379:M379" si="9">G377-G375</f>
        <v>-19350.698775230878</v>
      </c>
      <c r="H379" s="1179">
        <f t="shared" si="9"/>
        <v>-23872.891435406316</v>
      </c>
      <c r="I379" s="1179">
        <f t="shared" si="9"/>
        <v>-66943.171382554574</v>
      </c>
      <c r="J379" s="1179">
        <f t="shared" si="9"/>
        <v>-63942.21733132482</v>
      </c>
      <c r="K379" s="1179">
        <f t="shared" si="9"/>
        <v>-53771.594298830256</v>
      </c>
      <c r="L379" s="1179">
        <f t="shared" si="9"/>
        <v>-72180.795696192188</v>
      </c>
      <c r="M379" s="1179">
        <f t="shared" si="9"/>
        <v>-54458.882167403586</v>
      </c>
      <c r="O379" s="21">
        <f>ROW()</f>
        <v>379</v>
      </c>
    </row>
    <row r="380" spans="2:15" ht="14.1" customHeight="1">
      <c r="B380" s="265" t="str">
        <f>CONCATENATE("Row ",O377, " less Row ",O375, ".")</f>
        <v>Row 377 less Row 375.</v>
      </c>
      <c r="O380" s="21">
        <f>ROW()</f>
        <v>380</v>
      </c>
    </row>
    <row r="381" spans="2:15" ht="14.1" customHeight="1">
      <c r="B381" s="9" t="s">
        <v>3004</v>
      </c>
      <c r="G381" s="509">
        <f t="shared" ref="G381:M381" si="10">G379/$F$355</f>
        <v>-193.50698775230879</v>
      </c>
      <c r="H381" s="509">
        <f t="shared" si="10"/>
        <v>-238.72891435406316</v>
      </c>
      <c r="I381" s="509">
        <f t="shared" si="10"/>
        <v>-669.43171382554578</v>
      </c>
      <c r="J381" s="509">
        <f t="shared" si="10"/>
        <v>-639.42217331324821</v>
      </c>
      <c r="K381" s="509">
        <f t="shared" si="10"/>
        <v>-537.71594298830257</v>
      </c>
      <c r="L381" s="509">
        <f t="shared" si="10"/>
        <v>-721.80795696192183</v>
      </c>
      <c r="M381" s="509">
        <f t="shared" si="10"/>
        <v>-544.5888216740359</v>
      </c>
      <c r="O381" s="21">
        <f>ROW()</f>
        <v>381</v>
      </c>
    </row>
    <row r="382" spans="2:15" ht="14.1" customHeight="1">
      <c r="B382" s="265" t="str">
        <f>CONCATENATE("Row ",O379, " divided by Row ",O355, ".")</f>
        <v>Row 379 divided by Row 355.</v>
      </c>
      <c r="O382" s="21">
        <f>ROW()</f>
        <v>382</v>
      </c>
    </row>
    <row r="383" spans="2:15" ht="14.1" customHeight="1">
      <c r="B383" s="9" t="s">
        <v>3005</v>
      </c>
      <c r="F383" s="277">
        <f ca="1">'Cost-Benefit'!$I$205</f>
        <v>41.450576392516979</v>
      </c>
      <c r="O383" s="21">
        <f>ROW()</f>
        <v>383</v>
      </c>
    </row>
    <row r="384" spans="2:15" ht="14.1" customHeight="1" thickBot="1">
      <c r="B384" s="265" t="s">
        <v>3006</v>
      </c>
      <c r="O384" s="21">
        <f>ROW()</f>
        <v>384</v>
      </c>
    </row>
    <row r="385" spans="2:15" s="2" customFormat="1" ht="14.1" customHeight="1">
      <c r="B385" s="1841" t="s">
        <v>3007</v>
      </c>
      <c r="C385" s="1842"/>
      <c r="D385" s="1842"/>
      <c r="E385" s="1842"/>
      <c r="F385" s="1842"/>
      <c r="G385" s="1843">
        <f t="shared" ref="G385:M385" ca="1" si="11">$F$383*G381/60</f>
        <v>-133.68293630521538</v>
      </c>
      <c r="H385" s="1843">
        <f t="shared" ca="1" si="11"/>
        <v>-164.92418502559565</v>
      </c>
      <c r="I385" s="1843">
        <f t="shared" ca="1" si="11"/>
        <v>-462.47217322498915</v>
      </c>
      <c r="J385" s="1843">
        <f t="shared" ca="1" si="11"/>
        <v>-441.74029403316706</v>
      </c>
      <c r="K385" s="1843">
        <f t="shared" ca="1" si="11"/>
        <v>-371.47726287184901</v>
      </c>
      <c r="L385" s="1843">
        <f t="shared" ca="1" si="11"/>
        <v>-498.65593101294581</v>
      </c>
      <c r="M385" s="1844">
        <f t="shared" ca="1" si="11"/>
        <v>-376.2253425885072</v>
      </c>
      <c r="O385" s="21">
        <f>ROW()</f>
        <v>385</v>
      </c>
    </row>
    <row r="386" spans="2:15" ht="14.1" customHeight="1">
      <c r="B386" s="1838" t="str">
        <f>CONCATENATE("Product of Rows ",O381, " and ",O383, ", divided by 60.")</f>
        <v>Product of Rows 381 and 383, divided by 60.</v>
      </c>
      <c r="C386" s="113"/>
      <c r="D386" s="113"/>
      <c r="E386" s="113"/>
      <c r="F386" s="113"/>
      <c r="G386" s="113"/>
      <c r="H386" s="113"/>
      <c r="I386" s="113"/>
      <c r="J386" s="113"/>
      <c r="K386" s="113"/>
      <c r="L386" s="113"/>
      <c r="M386" s="185"/>
      <c r="O386" s="21">
        <f>ROW()</f>
        <v>386</v>
      </c>
    </row>
    <row r="387" spans="2:15" s="2" customFormat="1" ht="14.1" customHeight="1">
      <c r="B387" s="1845" t="s">
        <v>3008</v>
      </c>
      <c r="C387" s="1846"/>
      <c r="D387" s="1846"/>
      <c r="E387" s="1846"/>
      <c r="F387" s="1846"/>
      <c r="G387" s="1847">
        <f t="shared" ref="G387:M387" ca="1" si="12">G385/60</f>
        <v>-2.2280489384202564</v>
      </c>
      <c r="H387" s="1848">
        <f t="shared" ca="1" si="12"/>
        <v>-2.7487364170932609</v>
      </c>
      <c r="I387" s="1848">
        <f t="shared" ca="1" si="12"/>
        <v>-7.707869553749819</v>
      </c>
      <c r="J387" s="1848">
        <f t="shared" ca="1" si="12"/>
        <v>-7.3623382338861179</v>
      </c>
      <c r="K387" s="1848">
        <f t="shared" ca="1" si="12"/>
        <v>-6.1912877145308167</v>
      </c>
      <c r="L387" s="1848">
        <f t="shared" ca="1" si="12"/>
        <v>-8.310932183549097</v>
      </c>
      <c r="M387" s="1849">
        <f t="shared" ca="1" si="12"/>
        <v>-6.2704223764751204</v>
      </c>
      <c r="O387" s="21">
        <f>ROW()</f>
        <v>387</v>
      </c>
    </row>
    <row r="388" spans="2:15" ht="14.1" customHeight="1" thickBot="1">
      <c r="B388" s="1839" t="str">
        <f>CONCATENATE("Row ",O385, ", divided by 60.")</f>
        <v>Row 385, divided by 60.</v>
      </c>
      <c r="C388" s="166"/>
      <c r="D388" s="166"/>
      <c r="E388" s="166"/>
      <c r="F388" s="166"/>
      <c r="G388" s="166"/>
      <c r="H388" s="166"/>
      <c r="I388" s="166"/>
      <c r="J388" s="166"/>
      <c r="K388" s="166"/>
      <c r="L388" s="166"/>
      <c r="M388" s="1840"/>
      <c r="O388" s="21">
        <f>ROW()</f>
        <v>388</v>
      </c>
    </row>
    <row r="389" spans="2:15" ht="14.1" customHeight="1">
      <c r="O389" s="21">
        <f>ROW()</f>
        <v>389</v>
      </c>
    </row>
    <row r="390" spans="2:15" ht="14.1" customHeight="1">
      <c r="O390" s="21">
        <f>ROW()</f>
        <v>390</v>
      </c>
    </row>
    <row r="391" spans="2:15" ht="14.1" customHeight="1">
      <c r="O391" s="21">
        <f>ROW()</f>
        <v>391</v>
      </c>
    </row>
    <row r="392" spans="2:15" ht="14.1" customHeight="1">
      <c r="O392" s="21">
        <f>ROW()</f>
        <v>392</v>
      </c>
    </row>
    <row r="393" spans="2:15" ht="14.1" customHeight="1">
      <c r="O393" s="21">
        <f>ROW()</f>
        <v>393</v>
      </c>
    </row>
    <row r="394" spans="2:15" ht="14.1" customHeight="1">
      <c r="O394" s="21">
        <f>ROW()</f>
        <v>394</v>
      </c>
    </row>
    <row r="395" spans="2:15" ht="14.1" customHeight="1">
      <c r="O395" s="21">
        <f>ROW()</f>
        <v>395</v>
      </c>
    </row>
    <row r="396" spans="2:15" ht="14.1" customHeight="1">
      <c r="O396" s="21">
        <f>ROW()</f>
        <v>396</v>
      </c>
    </row>
    <row r="397" spans="2:15" ht="14.1" customHeight="1">
      <c r="O397" s="21">
        <f>ROW()</f>
        <v>397</v>
      </c>
    </row>
    <row r="398" spans="2:15" ht="14.1" customHeight="1">
      <c r="O398" s="21">
        <f>ROW()</f>
        <v>398</v>
      </c>
    </row>
    <row r="399" spans="2:15" ht="14.1" customHeight="1">
      <c r="O399" s="21">
        <f>ROW()</f>
        <v>399</v>
      </c>
    </row>
    <row r="400" spans="2:15" ht="14.1" customHeight="1">
      <c r="O400" s="21">
        <f>ROW()</f>
        <v>400</v>
      </c>
    </row>
    <row r="401" spans="15:15" ht="14.1" customHeight="1">
      <c r="O401" s="21">
        <f>ROW()</f>
        <v>401</v>
      </c>
    </row>
    <row r="402" spans="15:15" ht="14.1" customHeight="1">
      <c r="O402" s="21">
        <f>ROW()</f>
        <v>402</v>
      </c>
    </row>
    <row r="403" spans="15:15" ht="14.1" customHeight="1">
      <c r="O403" s="21">
        <f>ROW()</f>
        <v>403</v>
      </c>
    </row>
    <row r="404" spans="15:15" ht="14.1" customHeight="1">
      <c r="O404" s="21">
        <f>ROW()</f>
        <v>404</v>
      </c>
    </row>
    <row r="405" spans="15:15" ht="14.1" customHeight="1">
      <c r="O405" s="21">
        <f>ROW()</f>
        <v>405</v>
      </c>
    </row>
    <row r="406" spans="15:15" ht="14.1" customHeight="1">
      <c r="O406" s="21">
        <f>ROW()</f>
        <v>406</v>
      </c>
    </row>
    <row r="407" spans="15:15" ht="14.1" customHeight="1">
      <c r="O407" s="21">
        <f>ROW()</f>
        <v>407</v>
      </c>
    </row>
    <row r="408" spans="15:15" ht="14.1" customHeight="1">
      <c r="O408" s="21">
        <f>ROW()</f>
        <v>408</v>
      </c>
    </row>
    <row r="409" spans="15:15" ht="14.1" customHeight="1">
      <c r="O409" s="21">
        <f>ROW()</f>
        <v>409</v>
      </c>
    </row>
    <row r="410" spans="15:15" ht="14.1" customHeight="1">
      <c r="O410" s="21">
        <f>ROW()</f>
        <v>410</v>
      </c>
    </row>
    <row r="411" spans="15:15" ht="14.1" customHeight="1">
      <c r="O411" s="21">
        <f>ROW()</f>
        <v>411</v>
      </c>
    </row>
    <row r="412" spans="15:15" ht="14.1" customHeight="1">
      <c r="O412" s="21">
        <f>ROW()</f>
        <v>412</v>
      </c>
    </row>
    <row r="413" spans="15:15" ht="14.1" customHeight="1">
      <c r="O413" s="21">
        <f>ROW()</f>
        <v>413</v>
      </c>
    </row>
    <row r="414" spans="15:15" ht="14.1" customHeight="1">
      <c r="O414" s="21">
        <f>ROW()</f>
        <v>414</v>
      </c>
    </row>
    <row r="415" spans="15:15" ht="14.1" customHeight="1">
      <c r="O415" s="21">
        <f>ROW()</f>
        <v>415</v>
      </c>
    </row>
    <row r="416" spans="15:15" ht="14.1" customHeight="1">
      <c r="O416" s="21">
        <f>ROW()</f>
        <v>416</v>
      </c>
    </row>
    <row r="417" spans="15:15" ht="14.1" customHeight="1">
      <c r="O417" s="21">
        <f>ROW()</f>
        <v>417</v>
      </c>
    </row>
    <row r="418" spans="15:15" ht="14.1" customHeight="1">
      <c r="O418" s="21">
        <f>ROW()</f>
        <v>418</v>
      </c>
    </row>
    <row r="419" spans="15:15" ht="14.1" customHeight="1">
      <c r="O419" s="21">
        <f>ROW()</f>
        <v>419</v>
      </c>
    </row>
    <row r="420" spans="15:15" ht="14.1" customHeight="1">
      <c r="O420" s="21">
        <f>ROW()</f>
        <v>420</v>
      </c>
    </row>
    <row r="421" spans="15:15" ht="14.1" customHeight="1">
      <c r="O421" s="21">
        <f>ROW()</f>
        <v>421</v>
      </c>
    </row>
    <row r="422" spans="15:15" ht="14.1" customHeight="1">
      <c r="O422" s="21">
        <f>ROW()</f>
        <v>422</v>
      </c>
    </row>
    <row r="423" spans="15:15" ht="14.1" customHeight="1">
      <c r="O423" s="21">
        <f>ROW()</f>
        <v>423</v>
      </c>
    </row>
    <row r="424" spans="15:15" ht="14.1" customHeight="1">
      <c r="O424" s="21">
        <f>ROW()</f>
        <v>424</v>
      </c>
    </row>
    <row r="425" spans="15:15" ht="14.1" customHeight="1">
      <c r="O425" s="21">
        <f>ROW()</f>
        <v>425</v>
      </c>
    </row>
    <row r="426" spans="15:15" ht="14.1" customHeight="1">
      <c r="O426" s="21">
        <f>ROW()</f>
        <v>426</v>
      </c>
    </row>
    <row r="427" spans="15:15" ht="14.1" customHeight="1">
      <c r="O427" s="21">
        <f>ROW()</f>
        <v>427</v>
      </c>
    </row>
    <row r="428" spans="15:15" ht="14.1" customHeight="1">
      <c r="O428" s="21">
        <f>ROW()</f>
        <v>428</v>
      </c>
    </row>
  </sheetData>
  <customSheetViews>
    <customSheetView guid="{BD5E6263-A0AD-4076-921A-D4EBD62848EF}" showPageBreaks="1" printArea="1" showRuler="0">
      <selection activeCell="I2" sqref="I2"/>
      <pageMargins left="1.64" right="0.75" top="1" bottom="1" header="0.5" footer="0.5"/>
      <pageSetup orientation="landscape" r:id="rId1"/>
      <headerFooter alignWithMargins="0"/>
    </customSheetView>
    <customSheetView guid="{1D5AE30A-CA7C-4B32-AEA4-9F37A560AAA8}" showPageBreaks="1" printArea="1" showRuler="0">
      <selection activeCell="I2" sqref="I2"/>
      <pageMargins left="1.64" right="0.75" top="1" bottom="1" header="0.5" footer="0.5"/>
      <pageSetup orientation="landscape" r:id="rId2"/>
      <headerFooter alignWithMargins="0"/>
    </customSheetView>
  </customSheetViews>
  <mergeCells count="51">
    <mergeCell ref="B165:I168"/>
    <mergeCell ref="B170:I173"/>
    <mergeCell ref="B177:I182"/>
    <mergeCell ref="B263:H264"/>
    <mergeCell ref="B271:H272"/>
    <mergeCell ref="I271:I272"/>
    <mergeCell ref="B190:I191"/>
    <mergeCell ref="B184:I185"/>
    <mergeCell ref="I347:L347"/>
    <mergeCell ref="B229:H232"/>
    <mergeCell ref="B193:I195"/>
    <mergeCell ref="B237:H239"/>
    <mergeCell ref="B246:I248"/>
    <mergeCell ref="H333:K334"/>
    <mergeCell ref="B315:H315"/>
    <mergeCell ref="B321:H321"/>
    <mergeCell ref="B234:H235"/>
    <mergeCell ref="B339:I344"/>
    <mergeCell ref="B306:I309"/>
    <mergeCell ref="B311:I313"/>
    <mergeCell ref="J32:N35"/>
    <mergeCell ref="B51:I55"/>
    <mergeCell ref="D149:E151"/>
    <mergeCell ref="K135:M142"/>
    <mergeCell ref="B40:I44"/>
    <mergeCell ref="B90:I99"/>
    <mergeCell ref="B47:I50"/>
    <mergeCell ref="B111:I113"/>
    <mergeCell ref="Q63:U64"/>
    <mergeCell ref="Q61:U61"/>
    <mergeCell ref="Q80:U81"/>
    <mergeCell ref="I64:I65"/>
    <mergeCell ref="J104:K106"/>
    <mergeCell ref="B87:I88"/>
    <mergeCell ref="F103:G103"/>
    <mergeCell ref="E64:E65"/>
    <mergeCell ref="I102:I103"/>
    <mergeCell ref="D103:E103"/>
    <mergeCell ref="B81:I85"/>
    <mergeCell ref="B15:I16"/>
    <mergeCell ref="B12:I13"/>
    <mergeCell ref="B23:I25"/>
    <mergeCell ref="F64:F65"/>
    <mergeCell ref="G64:G65"/>
    <mergeCell ref="H27:I27"/>
    <mergeCell ref="G28:G31"/>
    <mergeCell ref="H28:H31"/>
    <mergeCell ref="I28:I31"/>
    <mergeCell ref="F27:G27"/>
    <mergeCell ref="H64:H65"/>
    <mergeCell ref="F28:F31"/>
  </mergeCells>
  <phoneticPr fontId="6" type="noConversion"/>
  <pageMargins left="1.64" right="0.75" top="1" bottom="1" header="0.5" footer="0.5"/>
  <pageSetup orientation="landscape" r:id="rId3"/>
  <headerFooter alignWithMargins="0"/>
  <drawing r:id="rId4"/>
</worksheet>
</file>

<file path=xl/worksheets/sheet46.xml><?xml version="1.0" encoding="utf-8"?>
<worksheet xmlns="http://schemas.openxmlformats.org/spreadsheetml/2006/main" xmlns:r="http://schemas.openxmlformats.org/officeDocument/2006/relationships">
  <sheetPr codeName="Sheet56"/>
  <dimension ref="B1:J95"/>
  <sheetViews>
    <sheetView workbookViewId="0"/>
  </sheetViews>
  <sheetFormatPr defaultColWidth="9" defaultRowHeight="15" customHeight="1"/>
  <cols>
    <col min="1" max="1" width="2.625" style="1" customWidth="1"/>
    <col min="2" max="2" width="42.125" style="1" customWidth="1"/>
    <col min="3" max="4" width="11.75" style="1" customWidth="1"/>
    <col min="5" max="5" width="9.875" style="1" customWidth="1"/>
    <col min="6" max="6" width="2" style="1" customWidth="1"/>
    <col min="7" max="8" width="10.375" customWidth="1"/>
    <col min="9" max="9" width="9.875" customWidth="1"/>
    <col min="10" max="16384" width="9" style="1"/>
  </cols>
  <sheetData>
    <row r="1" spans="2:9" ht="15" customHeight="1">
      <c r="F1" s="638">
        <f>ROW()</f>
        <v>1</v>
      </c>
    </row>
    <row r="2" spans="2:9" ht="15" customHeight="1">
      <c r="B2" s="115" t="s">
        <v>1635</v>
      </c>
      <c r="E2" s="181">
        <f>'Title Page'!K1</f>
        <v>40914</v>
      </c>
      <c r="F2" s="638">
        <f>ROW()</f>
        <v>2</v>
      </c>
    </row>
    <row r="3" spans="2:9" ht="15" customHeight="1">
      <c r="F3" s="638">
        <f>ROW()</f>
        <v>3</v>
      </c>
    </row>
    <row r="4" spans="2:9" ht="15" customHeight="1">
      <c r="B4" s="3788" t="s">
        <v>3986</v>
      </c>
      <c r="C4" s="3779"/>
      <c r="D4" s="3779"/>
      <c r="E4" s="3779"/>
      <c r="F4" s="638">
        <f>ROW()</f>
        <v>4</v>
      </c>
    </row>
    <row r="5" spans="2:9" ht="15" customHeight="1">
      <c r="B5" s="3779"/>
      <c r="C5" s="3779"/>
      <c r="D5" s="3779"/>
      <c r="E5" s="3779"/>
      <c r="F5" s="638">
        <f>ROW()</f>
        <v>5</v>
      </c>
    </row>
    <row r="6" spans="2:9" ht="15" customHeight="1">
      <c r="B6" s="3779"/>
      <c r="C6" s="3779"/>
      <c r="D6" s="3779"/>
      <c r="E6" s="3779"/>
      <c r="F6" s="638">
        <f>ROW()</f>
        <v>6</v>
      </c>
    </row>
    <row r="7" spans="2:9" ht="15" customHeight="1">
      <c r="B7" s="2681"/>
      <c r="C7" s="2681"/>
      <c r="D7" s="2681"/>
      <c r="E7" s="2681"/>
      <c r="F7" s="638">
        <f>ROW()</f>
        <v>7</v>
      </c>
    </row>
    <row r="8" spans="2:9" ht="15" customHeight="1">
      <c r="B8" s="3787" t="s">
        <v>5449</v>
      </c>
      <c r="C8" s="3779"/>
      <c r="D8" s="3779"/>
      <c r="E8" s="3779"/>
      <c r="F8" s="638">
        <f>ROW()</f>
        <v>8</v>
      </c>
    </row>
    <row r="9" spans="2:9" ht="15" customHeight="1">
      <c r="B9" s="3779"/>
      <c r="C9" s="3779"/>
      <c r="D9" s="3779"/>
      <c r="E9" s="3779"/>
      <c r="F9" s="638">
        <f>ROW()</f>
        <v>9</v>
      </c>
    </row>
    <row r="10" spans="2:9" ht="15" customHeight="1">
      <c r="B10" s="2362"/>
      <c r="C10" s="2362"/>
      <c r="D10" s="2362"/>
      <c r="E10" s="2362"/>
      <c r="F10" s="638">
        <f>ROW()</f>
        <v>10</v>
      </c>
    </row>
    <row r="11" spans="2:9" ht="15" customHeight="1">
      <c r="B11" s="3301" t="s">
        <v>5842</v>
      </c>
      <c r="C11" s="3298"/>
      <c r="D11" s="3298"/>
      <c r="E11" s="3298"/>
      <c r="F11" s="638">
        <f>ROW()</f>
        <v>11</v>
      </c>
      <c r="G11" s="3300"/>
      <c r="H11" s="3300"/>
      <c r="I11" s="3300"/>
    </row>
    <row r="12" spans="2:9" ht="15" customHeight="1">
      <c r="B12" s="3298"/>
      <c r="C12" s="3298"/>
      <c r="D12" s="3298"/>
      <c r="E12" s="3298"/>
      <c r="F12" s="638">
        <f>ROW()</f>
        <v>12</v>
      </c>
      <c r="G12" s="3300"/>
      <c r="H12" s="3300"/>
      <c r="I12" s="3300"/>
    </row>
    <row r="13" spans="2:9" ht="15" customHeight="1">
      <c r="B13" s="24" t="s">
        <v>4640</v>
      </c>
      <c r="F13" s="638">
        <f>ROW()</f>
        <v>13</v>
      </c>
    </row>
    <row r="14" spans="2:9" ht="15" customHeight="1">
      <c r="F14" s="638">
        <f>ROW()</f>
        <v>14</v>
      </c>
    </row>
    <row r="15" spans="2:9" ht="15" customHeight="1">
      <c r="B15" s="3787" t="s">
        <v>3987</v>
      </c>
      <c r="C15" s="3779"/>
      <c r="D15" s="3779"/>
      <c r="E15" s="3779"/>
      <c r="F15" s="638">
        <f>ROW()</f>
        <v>15</v>
      </c>
    </row>
    <row r="16" spans="2:9" ht="15" customHeight="1">
      <c r="B16" s="3779"/>
      <c r="C16" s="3779"/>
      <c r="D16" s="3779"/>
      <c r="E16" s="3779"/>
      <c r="F16" s="638">
        <f>ROW()</f>
        <v>16</v>
      </c>
    </row>
    <row r="17" spans="2:9" ht="15" customHeight="1">
      <c r="B17" s="2363"/>
      <c r="C17" s="2363"/>
      <c r="D17" s="2363"/>
      <c r="E17" s="2363"/>
      <c r="F17" s="638">
        <f>ROW()</f>
        <v>17</v>
      </c>
    </row>
    <row r="18" spans="2:9" s="17" customFormat="1" ht="30" customHeight="1">
      <c r="C18" s="2365" t="s">
        <v>3978</v>
      </c>
      <c r="D18" s="2365" t="s">
        <v>810</v>
      </c>
      <c r="E18" s="374" t="s">
        <v>228</v>
      </c>
      <c r="F18" s="638">
        <f>ROW()</f>
        <v>18</v>
      </c>
      <c r="G18"/>
      <c r="H18"/>
      <c r="I18"/>
    </row>
    <row r="19" spans="2:9" ht="15" customHeight="1">
      <c r="F19" s="638">
        <f>ROW()</f>
        <v>19</v>
      </c>
    </row>
    <row r="20" spans="2:9" ht="15" customHeight="1">
      <c r="B20" s="132" t="s">
        <v>1554</v>
      </c>
      <c r="F20" s="638">
        <f>ROW()</f>
        <v>20</v>
      </c>
    </row>
    <row r="21" spans="2:9" ht="15" customHeight="1">
      <c r="B21" s="2351" t="s">
        <v>1414</v>
      </c>
      <c r="C21" s="2352"/>
      <c r="D21" s="2352"/>
      <c r="E21" s="2352"/>
      <c r="F21" s="2353">
        <f>ROW()</f>
        <v>21</v>
      </c>
    </row>
    <row r="22" spans="2:9" ht="15" customHeight="1">
      <c r="B22" s="2352" t="s">
        <v>1415</v>
      </c>
      <c r="C22" s="2354">
        <v>84528</v>
      </c>
      <c r="D22" s="2354">
        <v>0</v>
      </c>
      <c r="E22" s="2354">
        <f t="shared" ref="E22:E33" si="0">C22+D22</f>
        <v>84528</v>
      </c>
      <c r="F22" s="2353">
        <f>ROW()</f>
        <v>22</v>
      </c>
    </row>
    <row r="23" spans="2:9" ht="15" customHeight="1">
      <c r="B23" s="2352" t="s">
        <v>1416</v>
      </c>
      <c r="C23" s="2354">
        <v>20287</v>
      </c>
      <c r="D23" s="2354">
        <v>145</v>
      </c>
      <c r="E23" s="2354">
        <f t="shared" si="0"/>
        <v>20432</v>
      </c>
      <c r="F23" s="2353">
        <f>ROW()</f>
        <v>23</v>
      </c>
    </row>
    <row r="24" spans="2:9" ht="15" customHeight="1">
      <c r="B24" s="2352" t="s">
        <v>1417</v>
      </c>
      <c r="C24" s="2354">
        <v>47207</v>
      </c>
      <c r="D24" s="2354">
        <v>312</v>
      </c>
      <c r="E24" s="2354">
        <f t="shared" si="0"/>
        <v>47519</v>
      </c>
      <c r="F24" s="2353">
        <f>ROW()</f>
        <v>24</v>
      </c>
    </row>
    <row r="25" spans="2:9" ht="15" customHeight="1">
      <c r="B25" s="2352" t="s">
        <v>3979</v>
      </c>
      <c r="C25" s="2354">
        <v>0</v>
      </c>
      <c r="D25" s="2354">
        <v>0</v>
      </c>
      <c r="E25" s="2354">
        <f t="shared" si="0"/>
        <v>0</v>
      </c>
      <c r="F25" s="2353">
        <f>ROW()</f>
        <v>25</v>
      </c>
    </row>
    <row r="26" spans="2:9" ht="15" customHeight="1">
      <c r="B26" s="2352" t="s">
        <v>1418</v>
      </c>
      <c r="C26" s="2354">
        <v>26880</v>
      </c>
      <c r="D26" s="2354">
        <v>416</v>
      </c>
      <c r="E26" s="2354">
        <f t="shared" si="0"/>
        <v>27296</v>
      </c>
      <c r="F26" s="2353">
        <f>ROW()</f>
        <v>26</v>
      </c>
    </row>
    <row r="27" spans="2:9" ht="15" customHeight="1">
      <c r="B27" s="2352" t="s">
        <v>1419</v>
      </c>
      <c r="C27" s="2354">
        <v>22997</v>
      </c>
      <c r="D27" s="2354">
        <v>0</v>
      </c>
      <c r="E27" s="2354">
        <f t="shared" si="0"/>
        <v>22997</v>
      </c>
      <c r="F27" s="2353">
        <f>ROW()</f>
        <v>27</v>
      </c>
    </row>
    <row r="28" spans="2:9" ht="15" customHeight="1">
      <c r="B28" s="2352" t="s">
        <v>1420</v>
      </c>
      <c r="C28" s="2354">
        <v>26155</v>
      </c>
      <c r="D28" s="2354">
        <v>934</v>
      </c>
      <c r="E28" s="2354">
        <f t="shared" si="0"/>
        <v>27089</v>
      </c>
      <c r="F28" s="2353">
        <f>ROW()</f>
        <v>28</v>
      </c>
    </row>
    <row r="29" spans="2:9" ht="15" customHeight="1">
      <c r="B29" s="2352" t="s">
        <v>3980</v>
      </c>
      <c r="C29" s="2354">
        <v>2442</v>
      </c>
      <c r="D29" s="2354">
        <v>0</v>
      </c>
      <c r="E29" s="2354">
        <f t="shared" si="0"/>
        <v>2442</v>
      </c>
      <c r="F29" s="2353">
        <f>ROW()</f>
        <v>29</v>
      </c>
    </row>
    <row r="30" spans="2:9" ht="15" customHeight="1">
      <c r="B30" s="2352" t="s">
        <v>88</v>
      </c>
      <c r="C30" s="2354">
        <v>17915</v>
      </c>
      <c r="D30" s="2354">
        <v>596</v>
      </c>
      <c r="E30" s="2354">
        <f t="shared" si="0"/>
        <v>18511</v>
      </c>
      <c r="F30" s="2353">
        <f>ROW()</f>
        <v>30</v>
      </c>
    </row>
    <row r="31" spans="2:9" ht="15" customHeight="1">
      <c r="B31" s="2352" t="s">
        <v>87</v>
      </c>
      <c r="C31" s="2354">
        <v>25055</v>
      </c>
      <c r="D31" s="2354">
        <v>113</v>
      </c>
      <c r="E31" s="2354">
        <f t="shared" si="0"/>
        <v>25168</v>
      </c>
      <c r="F31" s="2353">
        <f>ROW()</f>
        <v>31</v>
      </c>
    </row>
    <row r="32" spans="2:9" ht="15" customHeight="1">
      <c r="B32" s="2352" t="s">
        <v>1747</v>
      </c>
      <c r="C32" s="2354">
        <v>15987</v>
      </c>
      <c r="D32" s="2354">
        <v>97</v>
      </c>
      <c r="E32" s="2354">
        <f t="shared" si="0"/>
        <v>16084</v>
      </c>
      <c r="F32" s="2353">
        <f>ROW()</f>
        <v>32</v>
      </c>
    </row>
    <row r="33" spans="2:8" ht="15" customHeight="1">
      <c r="B33" s="2352" t="s">
        <v>1748</v>
      </c>
      <c r="C33" s="2355">
        <v>63582</v>
      </c>
      <c r="D33" s="2355">
        <v>0</v>
      </c>
      <c r="E33" s="2355">
        <f t="shared" si="0"/>
        <v>63582</v>
      </c>
      <c r="F33" s="2353">
        <f>ROW()</f>
        <v>33</v>
      </c>
    </row>
    <row r="34" spans="2:8" ht="15" customHeight="1">
      <c r="B34" s="132" t="s">
        <v>3983</v>
      </c>
      <c r="C34" s="2356">
        <f>SUM(C22:C33)</f>
        <v>353035</v>
      </c>
      <c r="D34" s="2356">
        <f>SUM(D22:D33)</f>
        <v>2613</v>
      </c>
      <c r="E34" s="2356">
        <f>SUM(E22:E33)</f>
        <v>355648</v>
      </c>
      <c r="F34" s="2353">
        <f>ROW()</f>
        <v>34</v>
      </c>
      <c r="G34" s="12">
        <f>E34/$E$60</f>
        <v>0.4475817361964966</v>
      </c>
      <c r="H34" s="1" t="s">
        <v>4637</v>
      </c>
    </row>
    <row r="35" spans="2:8" ht="15" customHeight="1">
      <c r="F35" s="638">
        <f>ROW()</f>
        <v>35</v>
      </c>
    </row>
    <row r="36" spans="2:8" ht="15" customHeight="1">
      <c r="C36" s="134"/>
      <c r="D36" s="134"/>
      <c r="E36" s="134"/>
      <c r="F36" s="638">
        <f>ROW()</f>
        <v>36</v>
      </c>
    </row>
    <row r="37" spans="2:8" ht="15" customHeight="1">
      <c r="B37" s="132" t="s">
        <v>2338</v>
      </c>
      <c r="C37" s="134"/>
      <c r="D37" s="134"/>
      <c r="E37" s="134"/>
      <c r="F37" s="638">
        <f>ROW()</f>
        <v>37</v>
      </c>
    </row>
    <row r="38" spans="2:8" ht="15" customHeight="1">
      <c r="B38" s="2351" t="s">
        <v>2339</v>
      </c>
      <c r="C38" s="2352"/>
      <c r="D38" s="2352"/>
      <c r="E38" s="2352"/>
      <c r="F38" s="2353">
        <f>ROW()</f>
        <v>38</v>
      </c>
    </row>
    <row r="39" spans="2:8" ht="15" customHeight="1">
      <c r="B39" s="2352" t="s">
        <v>739</v>
      </c>
      <c r="C39" s="2354">
        <v>58365</v>
      </c>
      <c r="D39" s="2354">
        <v>67</v>
      </c>
      <c r="E39" s="2354">
        <f>C39+D39</f>
        <v>58432</v>
      </c>
      <c r="F39" s="2353">
        <f>ROW()</f>
        <v>39</v>
      </c>
    </row>
    <row r="40" spans="2:8" ht="15" customHeight="1">
      <c r="B40" s="2352" t="s">
        <v>2157</v>
      </c>
      <c r="C40" s="2354">
        <v>35610</v>
      </c>
      <c r="D40" s="2354">
        <v>33</v>
      </c>
      <c r="E40" s="2354">
        <f>C40+D40</f>
        <v>35643</v>
      </c>
      <c r="F40" s="2353">
        <f>ROW()</f>
        <v>40</v>
      </c>
    </row>
    <row r="41" spans="2:8" ht="15" customHeight="1">
      <c r="B41" s="2352" t="s">
        <v>1586</v>
      </c>
      <c r="C41" s="2354">
        <v>67595</v>
      </c>
      <c r="D41" s="2354">
        <v>0</v>
      </c>
      <c r="E41" s="2354">
        <f>C41+D41</f>
        <v>67595</v>
      </c>
      <c r="F41" s="2353">
        <f>ROW()</f>
        <v>41</v>
      </c>
    </row>
    <row r="42" spans="2:8" ht="15" customHeight="1">
      <c r="B42" s="2352" t="s">
        <v>1585</v>
      </c>
      <c r="C42" s="2355">
        <v>29938</v>
      </c>
      <c r="D42" s="2355">
        <v>791</v>
      </c>
      <c r="E42" s="2355">
        <f>C42+D42</f>
        <v>30729</v>
      </c>
      <c r="F42" s="2353">
        <f>ROW()</f>
        <v>42</v>
      </c>
    </row>
    <row r="43" spans="2:8" ht="15" customHeight="1">
      <c r="B43" s="132" t="s">
        <v>3982</v>
      </c>
      <c r="C43" s="2356">
        <f>SUM(C39:C42)</f>
        <v>191508</v>
      </c>
      <c r="D43" s="2356">
        <f>SUM(D39:D42)</f>
        <v>891</v>
      </c>
      <c r="E43" s="2356">
        <f>SUM(E39:E42)</f>
        <v>192399</v>
      </c>
      <c r="F43" s="2353">
        <f>ROW()</f>
        <v>43</v>
      </c>
      <c r="G43" s="12">
        <f>E43/$E$60</f>
        <v>0.24213345347779194</v>
      </c>
      <c r="H43" s="1" t="s">
        <v>4637</v>
      </c>
    </row>
    <row r="44" spans="2:8" ht="15" customHeight="1">
      <c r="C44" s="89"/>
      <c r="D44" s="89"/>
      <c r="E44" s="89"/>
      <c r="F44" s="638">
        <f>ROW()</f>
        <v>44</v>
      </c>
    </row>
    <row r="45" spans="2:8" ht="15" customHeight="1">
      <c r="C45" s="89"/>
      <c r="D45" s="89"/>
      <c r="E45" s="89"/>
      <c r="F45" s="638">
        <f>ROW()</f>
        <v>45</v>
      </c>
    </row>
    <row r="46" spans="2:8" ht="15" customHeight="1">
      <c r="B46" s="132" t="s">
        <v>1328</v>
      </c>
      <c r="C46" s="89"/>
      <c r="D46" s="89"/>
      <c r="E46" s="89"/>
      <c r="F46" s="638">
        <f>ROW()</f>
        <v>46</v>
      </c>
    </row>
    <row r="47" spans="2:8" ht="15" customHeight="1">
      <c r="B47" s="2351" t="s">
        <v>2339</v>
      </c>
      <c r="C47" s="2352"/>
      <c r="D47" s="2352"/>
      <c r="E47" s="2352"/>
      <c r="F47" s="2353">
        <f>ROW()</f>
        <v>47</v>
      </c>
    </row>
    <row r="48" spans="2:8" ht="15" customHeight="1">
      <c r="B48" s="2352" t="s">
        <v>1329</v>
      </c>
      <c r="C48" s="2354">
        <v>46668</v>
      </c>
      <c r="D48" s="2354">
        <v>524</v>
      </c>
      <c r="E48" s="2354">
        <f>C48+D48</f>
        <v>47192</v>
      </c>
      <c r="F48" s="2353">
        <f>ROW()</f>
        <v>48</v>
      </c>
    </row>
    <row r="49" spans="2:10" ht="15" customHeight="1">
      <c r="B49" s="2352" t="s">
        <v>1535</v>
      </c>
      <c r="C49" s="2355">
        <v>89196</v>
      </c>
      <c r="D49" s="2355">
        <v>319</v>
      </c>
      <c r="E49" s="2355">
        <f>C49+D49</f>
        <v>89515</v>
      </c>
      <c r="F49" s="2353">
        <f>ROW()</f>
        <v>49</v>
      </c>
    </row>
    <row r="50" spans="2:10" ht="15" customHeight="1">
      <c r="B50" s="132" t="s">
        <v>3984</v>
      </c>
      <c r="C50" s="2356">
        <f>SUM(C48:C49)</f>
        <v>135864</v>
      </c>
      <c r="D50" s="2356">
        <f>SUM(D48:D49)</f>
        <v>843</v>
      </c>
      <c r="E50" s="2356">
        <f>SUM(E48:E49)</f>
        <v>136707</v>
      </c>
      <c r="F50" s="2353">
        <f>ROW()</f>
        <v>50</v>
      </c>
      <c r="G50" s="12">
        <f>E50/$E$60</f>
        <v>0.1720452706333635</v>
      </c>
      <c r="H50" s="1" t="s">
        <v>4637</v>
      </c>
    </row>
    <row r="51" spans="2:10" ht="15" customHeight="1">
      <c r="F51" s="638">
        <f>ROW()</f>
        <v>51</v>
      </c>
    </row>
    <row r="52" spans="2:10" ht="15" customHeight="1">
      <c r="F52" s="638">
        <f>ROW()</f>
        <v>52</v>
      </c>
    </row>
    <row r="53" spans="2:10" ht="15" customHeight="1">
      <c r="B53" s="132" t="s">
        <v>3981</v>
      </c>
      <c r="C53" s="135"/>
      <c r="D53" s="135"/>
      <c r="E53" s="135"/>
      <c r="F53" s="638">
        <f>ROW()</f>
        <v>53</v>
      </c>
    </row>
    <row r="54" spans="2:10" ht="15" customHeight="1">
      <c r="B54" s="2351" t="s">
        <v>970</v>
      </c>
      <c r="C54" s="2357"/>
      <c r="D54" s="2357"/>
      <c r="E54" s="2357"/>
      <c r="F54" s="2353">
        <f>ROW()</f>
        <v>54</v>
      </c>
    </row>
    <row r="55" spans="2:10" ht="15" customHeight="1">
      <c r="B55" s="2352" t="s">
        <v>951</v>
      </c>
      <c r="C55" s="2354">
        <v>47437</v>
      </c>
      <c r="D55" s="2354">
        <v>789</v>
      </c>
      <c r="E55" s="2354">
        <f>C55+D55</f>
        <v>48226</v>
      </c>
      <c r="F55" s="2353">
        <f>ROW()</f>
        <v>55</v>
      </c>
    </row>
    <row r="56" spans="2:10" ht="15" customHeight="1">
      <c r="B56" s="2352" t="s">
        <v>2488</v>
      </c>
      <c r="C56" s="2355">
        <v>54879</v>
      </c>
      <c r="D56" s="2355">
        <v>6740</v>
      </c>
      <c r="E56" s="2355">
        <f>C56+D56</f>
        <v>61619</v>
      </c>
      <c r="F56" s="2353">
        <f>ROW()</f>
        <v>56</v>
      </c>
    </row>
    <row r="57" spans="2:10" ht="15" customHeight="1">
      <c r="B57" s="132" t="s">
        <v>3985</v>
      </c>
      <c r="C57" s="2356">
        <f>SUM(C55:C56)</f>
        <v>102316</v>
      </c>
      <c r="D57" s="2356">
        <f>SUM(D55:D56)</f>
        <v>7529</v>
      </c>
      <c r="E57" s="2356">
        <f>SUM(E55:E56)</f>
        <v>109845</v>
      </c>
      <c r="F57" s="2353">
        <f>ROW()</f>
        <v>57</v>
      </c>
      <c r="G57" s="12">
        <f>E57/$E$60</f>
        <v>0.13823953969234795</v>
      </c>
      <c r="H57" s="1" t="s">
        <v>4637</v>
      </c>
    </row>
    <row r="58" spans="2:10" ht="15" customHeight="1">
      <c r="C58" s="135"/>
      <c r="D58" s="135"/>
      <c r="E58" s="135"/>
      <c r="F58" s="638">
        <f>ROW()</f>
        <v>58</v>
      </c>
    </row>
    <row r="59" spans="2:10" ht="15" customHeight="1">
      <c r="B59"/>
      <c r="C59" s="135"/>
      <c r="D59" s="135"/>
      <c r="E59" s="135"/>
      <c r="F59" s="638">
        <f>ROW()</f>
        <v>59</v>
      </c>
    </row>
    <row r="60" spans="2:10" s="24" customFormat="1" ht="15" customHeight="1">
      <c r="B60" s="2358" t="s">
        <v>3977</v>
      </c>
      <c r="C60" s="2359">
        <f>C34+C43+C50+C57</f>
        <v>782723</v>
      </c>
      <c r="D60" s="2359">
        <f>D34+D43+D50+D57</f>
        <v>11876</v>
      </c>
      <c r="E60" s="2359">
        <f>E34+E43+E50+E57</f>
        <v>794599</v>
      </c>
      <c r="F60" s="2360">
        <f>ROW()</f>
        <v>60</v>
      </c>
      <c r="G60" s="12">
        <f>E60/$E$60</f>
        <v>1</v>
      </c>
      <c r="H60" s="1" t="s">
        <v>4637</v>
      </c>
      <c r="I60"/>
    </row>
    <row r="61" spans="2:10" ht="15" customHeight="1">
      <c r="B61" s="2361"/>
      <c r="C61" s="4"/>
      <c r="D61" s="4"/>
      <c r="E61" s="4"/>
      <c r="F61" s="638">
        <f>ROW()</f>
        <v>61</v>
      </c>
    </row>
    <row r="62" spans="2:10" ht="15" customHeight="1">
      <c r="F62" s="638">
        <f>ROW()</f>
        <v>62</v>
      </c>
      <c r="J62"/>
    </row>
    <row r="63" spans="2:10" ht="15" customHeight="1">
      <c r="B63" s="1006" t="s">
        <v>419</v>
      </c>
      <c r="C63" s="89"/>
      <c r="D63" s="89"/>
      <c r="E63" s="2366">
        <f>SUM(E39:E41)+E49</f>
        <v>251185</v>
      </c>
      <c r="F63" s="638">
        <f>ROW()</f>
        <v>63</v>
      </c>
      <c r="J63"/>
    </row>
    <row r="64" spans="2:10" ht="15" customHeight="1">
      <c r="B64" s="1006" t="s">
        <v>420</v>
      </c>
      <c r="C64" s="89"/>
      <c r="D64" s="89"/>
      <c r="E64" s="2367">
        <f>E63/$E$60</f>
        <v>0.31611542425802197</v>
      </c>
      <c r="F64" s="638">
        <f>ROW()</f>
        <v>64</v>
      </c>
      <c r="J64"/>
    </row>
    <row r="65" spans="2:10" ht="15" customHeight="1">
      <c r="F65" s="638">
        <f>ROW()</f>
        <v>65</v>
      </c>
      <c r="J65"/>
    </row>
    <row r="66" spans="2:10" customFormat="1" ht="15" customHeight="1">
      <c r="B66" s="1006" t="s">
        <v>4638</v>
      </c>
      <c r="E66" s="2715">
        <f>E42+E48</f>
        <v>77921</v>
      </c>
      <c r="F66" s="638">
        <f>ROW()</f>
        <v>66</v>
      </c>
    </row>
    <row r="67" spans="2:10" customFormat="1" ht="15" customHeight="1">
      <c r="B67" s="1006" t="s">
        <v>4639</v>
      </c>
      <c r="E67" s="2367">
        <f>E66/$E$60</f>
        <v>9.8063299853133473E-2</v>
      </c>
      <c r="F67" s="638">
        <f>ROW()</f>
        <v>67</v>
      </c>
    </row>
    <row r="68" spans="2:10" customFormat="1" ht="15" customHeight="1">
      <c r="F68" s="638">
        <f>ROW()</f>
        <v>68</v>
      </c>
    </row>
    <row r="69" spans="2:10" customFormat="1" ht="15" customHeight="1">
      <c r="F69" s="638">
        <f>ROW()</f>
        <v>69</v>
      </c>
    </row>
    <row r="70" spans="2:10" customFormat="1" ht="15" customHeight="1">
      <c r="B70" s="5147" t="s">
        <v>6010</v>
      </c>
      <c r="C70" s="3779"/>
      <c r="D70" s="3779"/>
      <c r="E70" s="3779"/>
      <c r="F70" s="638">
        <f>ROW()</f>
        <v>70</v>
      </c>
    </row>
    <row r="71" spans="2:10" customFormat="1" ht="15" customHeight="1">
      <c r="B71" s="3779"/>
      <c r="C71" s="3779"/>
      <c r="D71" s="3779"/>
      <c r="E71" s="3779"/>
      <c r="F71" s="638">
        <f>ROW()</f>
        <v>71</v>
      </c>
    </row>
    <row r="72" spans="2:10" ht="15" customHeight="1">
      <c r="F72" s="638">
        <f>ROW()</f>
        <v>72</v>
      </c>
      <c r="J72"/>
    </row>
    <row r="73" spans="2:10" ht="15" customHeight="1">
      <c r="B73" s="2" t="s">
        <v>6168</v>
      </c>
      <c r="F73" s="638">
        <f>ROW()</f>
        <v>73</v>
      </c>
      <c r="J73"/>
    </row>
    <row r="74" spans="2:10" ht="15" customHeight="1">
      <c r="B74" s="1" t="s">
        <v>4641</v>
      </c>
      <c r="E74" s="589">
        <f>G57</f>
        <v>0.13823953969234795</v>
      </c>
      <c r="F74" s="638">
        <f>ROW()</f>
        <v>74</v>
      </c>
      <c r="J74"/>
    </row>
    <row r="75" spans="2:10" ht="15" customHeight="1">
      <c r="B75" s="265" t="str">
        <f>CONCATENATE("Taken directly from Row ",F57, ".")</f>
        <v>Taken directly from Row 57.</v>
      </c>
      <c r="F75" s="638">
        <f>ROW()</f>
        <v>75</v>
      </c>
      <c r="J75"/>
    </row>
    <row r="76" spans="2:10" ht="15" customHeight="1">
      <c r="F76" s="638">
        <f>ROW()</f>
        <v>76</v>
      </c>
      <c r="J76"/>
    </row>
    <row r="77" spans="2:10" ht="15" customHeight="1">
      <c r="B77" s="2" t="s">
        <v>6011</v>
      </c>
      <c r="F77" s="638">
        <f>ROW()</f>
        <v>77</v>
      </c>
      <c r="J77"/>
    </row>
    <row r="78" spans="2:10" ht="15" customHeight="1">
      <c r="B78" s="3754" t="str">
        <f>CONCATENATE("This adj'ment is programmed directly into the cells in Row ",'Motor Vs'!O278, " of the 'Motor Vs' and 'Motor Vs Weekends' worksheet tabs.")</f>
        <v>This adj'ment is programmed directly into the cells in Row 278 of the 'Motor Vs' and 'Motor Vs Weekends' worksheet tabs.</v>
      </c>
      <c r="C78" s="3659"/>
      <c r="D78" s="3659"/>
      <c r="E78" s="3659"/>
      <c r="F78" s="638">
        <f>ROW()</f>
        <v>78</v>
      </c>
      <c r="J78"/>
    </row>
    <row r="79" spans="2:10" ht="15" customHeight="1">
      <c r="B79" s="3659"/>
      <c r="C79" s="3659"/>
      <c r="D79" s="3659"/>
      <c r="E79" s="3659"/>
      <c r="F79" s="638">
        <f>ROW()</f>
        <v>79</v>
      </c>
    </row>
    <row r="80" spans="2:10" ht="15" customHeight="1">
      <c r="F80" s="638">
        <f>ROW()</f>
        <v>80</v>
      </c>
    </row>
    <row r="81" spans="2:6" ht="15" customHeight="1">
      <c r="B81" s="3301" t="s">
        <v>5850</v>
      </c>
      <c r="F81" s="638">
        <f>ROW()</f>
        <v>81</v>
      </c>
    </row>
    <row r="82" spans="2:6" ht="15" customHeight="1">
      <c r="F82" s="638">
        <f>ROW()</f>
        <v>82</v>
      </c>
    </row>
    <row r="83" spans="2:6" ht="15" customHeight="1">
      <c r="B83" s="3787" t="s">
        <v>5848</v>
      </c>
      <c r="C83" s="4380"/>
      <c r="D83" s="4380"/>
      <c r="E83" s="4380"/>
      <c r="F83" s="638">
        <f>ROW()</f>
        <v>83</v>
      </c>
    </row>
    <row r="84" spans="2:6" ht="15" customHeight="1">
      <c r="B84" s="4380"/>
      <c r="C84" s="4380"/>
      <c r="D84" s="4380"/>
      <c r="E84" s="4380"/>
      <c r="F84" s="638">
        <f>ROW()</f>
        <v>84</v>
      </c>
    </row>
    <row r="85" spans="2:6" ht="15" customHeight="1">
      <c r="F85" s="638">
        <f>ROW()</f>
        <v>85</v>
      </c>
    </row>
    <row r="86" spans="2:6" ht="15" customHeight="1">
      <c r="B86" s="1" t="s">
        <v>5843</v>
      </c>
      <c r="E86" s="3306">
        <v>99866</v>
      </c>
      <c r="F86" s="638">
        <f>ROW()</f>
        <v>86</v>
      </c>
    </row>
    <row r="87" spans="2:6" ht="15" customHeight="1">
      <c r="B87" s="1" t="s">
        <v>5844</v>
      </c>
      <c r="E87" s="3306">
        <v>115958</v>
      </c>
      <c r="F87" s="638">
        <f>ROW()</f>
        <v>87</v>
      </c>
    </row>
    <row r="88" spans="2:6" ht="15" customHeight="1">
      <c r="B88" s="1" t="s">
        <v>5846</v>
      </c>
      <c r="E88" s="3306">
        <v>83152</v>
      </c>
      <c r="F88" s="638">
        <f>ROW()</f>
        <v>88</v>
      </c>
    </row>
    <row r="89" spans="2:6" ht="15" customHeight="1">
      <c r="B89" s="1" t="s">
        <v>5845</v>
      </c>
      <c r="E89" s="3306">
        <v>1804</v>
      </c>
      <c r="F89" s="638">
        <f>ROW()</f>
        <v>89</v>
      </c>
    </row>
    <row r="90" spans="2:6" ht="15" customHeight="1">
      <c r="B90" s="2" t="s">
        <v>5847</v>
      </c>
      <c r="E90" s="2715">
        <f>SUM(E86:E89)</f>
        <v>300780</v>
      </c>
      <c r="F90" s="638">
        <f>ROW()</f>
        <v>90</v>
      </c>
    </row>
    <row r="91" spans="2:6" ht="15" customHeight="1">
      <c r="F91" s="638">
        <f>ROW()</f>
        <v>91</v>
      </c>
    </row>
    <row r="92" spans="2:6" ht="15" customHeight="1">
      <c r="B92" s="3305" t="s">
        <v>5849</v>
      </c>
      <c r="E92" s="2715">
        <v>21792</v>
      </c>
      <c r="F92" s="638">
        <f>ROW()</f>
        <v>92</v>
      </c>
    </row>
    <row r="93" spans="2:6" ht="15" customHeight="1">
      <c r="F93" s="638">
        <f>ROW()</f>
        <v>93</v>
      </c>
    </row>
    <row r="94" spans="2:6" ht="15" customHeight="1">
      <c r="B94" s="2779" t="s">
        <v>5851</v>
      </c>
      <c r="C94"/>
      <c r="D94"/>
      <c r="E94" s="2715">
        <v>52630</v>
      </c>
      <c r="F94" s="638">
        <f>ROW()</f>
        <v>94</v>
      </c>
    </row>
    <row r="95" spans="2:6" ht="15" customHeight="1">
      <c r="B95"/>
      <c r="C95"/>
      <c r="D95"/>
      <c r="E95"/>
    </row>
  </sheetData>
  <mergeCells count="6">
    <mergeCell ref="B83:E84"/>
    <mergeCell ref="B4:E6"/>
    <mergeCell ref="B15:E16"/>
    <mergeCell ref="B8:E9"/>
    <mergeCell ref="B70:E71"/>
    <mergeCell ref="B78:E79"/>
  </mergeCells>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38"/>
  <dimension ref="B2:V76"/>
  <sheetViews>
    <sheetView showGridLines="0" showRuler="0" workbookViewId="0"/>
  </sheetViews>
  <sheetFormatPr defaultColWidth="11.625" defaultRowHeight="13.95" customHeight="1"/>
  <cols>
    <col min="1" max="1" width="2.625" customWidth="1"/>
  </cols>
  <sheetData>
    <row r="2" spans="2:22" ht="13.95" customHeight="1">
      <c r="B2" s="115" t="s">
        <v>5961</v>
      </c>
      <c r="K2" s="181">
        <f>'Title Page'!K1</f>
        <v>40914</v>
      </c>
    </row>
    <row r="3" spans="2:22" s="3401" customFormat="1" ht="13.95" customHeight="1">
      <c r="B3" s="115"/>
      <c r="K3" s="181"/>
    </row>
    <row r="5" spans="2:22" ht="13.95" customHeight="1">
      <c r="B5" s="4071" t="s">
        <v>5957</v>
      </c>
      <c r="C5" s="3659"/>
      <c r="D5" s="3659"/>
      <c r="E5" s="3659"/>
      <c r="F5" s="3659"/>
      <c r="G5" s="3659"/>
      <c r="H5" s="3659"/>
      <c r="I5" s="3659"/>
      <c r="J5" s="3659"/>
      <c r="K5" s="1584"/>
    </row>
    <row r="6" spans="2:22" ht="13.95" customHeight="1">
      <c r="B6" s="3659"/>
      <c r="C6" s="3659"/>
      <c r="D6" s="3659"/>
      <c r="E6" s="3659"/>
      <c r="F6" s="3659"/>
      <c r="G6" s="3659"/>
      <c r="H6" s="3659"/>
      <c r="I6" s="3659"/>
      <c r="J6" s="3659"/>
      <c r="K6" s="1584"/>
    </row>
    <row r="7" spans="2:22" ht="13.95" customHeight="1">
      <c r="B7" s="3659"/>
      <c r="C7" s="3659"/>
      <c r="D7" s="3659"/>
      <c r="E7" s="3659"/>
      <c r="F7" s="3659"/>
      <c r="G7" s="3659"/>
      <c r="H7" s="3659"/>
      <c r="I7" s="3659"/>
      <c r="J7" s="3659"/>
      <c r="K7" s="1584"/>
    </row>
    <row r="8" spans="2:22" s="3401" customFormat="1" ht="13.95" customHeight="1">
      <c r="B8" s="3659"/>
      <c r="C8" s="3659"/>
      <c r="D8" s="3659"/>
      <c r="E8" s="3659"/>
      <c r="F8" s="3659"/>
      <c r="G8" s="3659"/>
      <c r="H8" s="3659"/>
      <c r="I8" s="3659"/>
      <c r="J8" s="3659"/>
      <c r="K8" s="3400"/>
    </row>
    <row r="9" spans="2:22" s="3401" customFormat="1" ht="13.95" customHeight="1">
      <c r="B9" s="3400"/>
      <c r="C9" s="3400"/>
      <c r="D9" s="3400"/>
      <c r="E9" s="3400"/>
      <c r="F9" s="3400"/>
      <c r="G9" s="3400"/>
      <c r="H9" s="3400"/>
      <c r="I9" s="3400"/>
      <c r="J9" s="3400"/>
      <c r="K9" s="3400"/>
    </row>
    <row r="10" spans="2:22" ht="13.95" customHeight="1">
      <c r="B10" s="45"/>
      <c r="C10" s="45"/>
      <c r="D10" s="45"/>
      <c r="E10" s="45"/>
      <c r="F10" s="45"/>
      <c r="G10" s="45"/>
      <c r="H10" s="45"/>
      <c r="I10" s="45"/>
      <c r="J10" s="45"/>
      <c r="K10" s="4606" t="s">
        <v>887</v>
      </c>
      <c r="L10" s="4606" t="s">
        <v>2266</v>
      </c>
    </row>
    <row r="11" spans="2:22" s="3401" customFormat="1" ht="13.95" customHeight="1">
      <c r="B11" s="3396"/>
      <c r="C11" s="3396"/>
      <c r="D11" s="3396"/>
      <c r="E11" s="3396"/>
      <c r="F11" s="3396"/>
      <c r="G11" s="3396"/>
      <c r="H11" s="3396"/>
      <c r="I11" s="3396"/>
      <c r="J11" s="3396"/>
      <c r="K11" s="3807"/>
      <c r="L11" s="3807"/>
      <c r="N11" s="3397"/>
      <c r="O11" s="3397"/>
      <c r="P11" s="3397"/>
      <c r="Q11" s="3397"/>
      <c r="R11" s="3397"/>
      <c r="S11" s="3397"/>
      <c r="T11" s="3397"/>
      <c r="U11" s="3397"/>
      <c r="V11" s="3397"/>
    </row>
    <row r="12" spans="2:22" ht="13.95" customHeight="1">
      <c r="B12" s="498" t="s">
        <v>610</v>
      </c>
      <c r="K12" s="3807"/>
      <c r="L12" s="3807"/>
      <c r="N12" s="4189" t="s">
        <v>958</v>
      </c>
      <c r="O12" s="4190"/>
      <c r="P12" s="4190"/>
      <c r="Q12" s="4190"/>
      <c r="R12" s="4190"/>
      <c r="S12" s="4911"/>
      <c r="T12" s="3397"/>
      <c r="U12" s="3397"/>
      <c r="V12" s="3397"/>
    </row>
    <row r="13" spans="2:22" ht="13.95" customHeight="1">
      <c r="K13" s="22"/>
      <c r="N13" s="3402"/>
      <c r="O13" s="75" t="s">
        <v>928</v>
      </c>
      <c r="P13" s="75" t="s">
        <v>929</v>
      </c>
      <c r="Q13" s="75" t="s">
        <v>1552</v>
      </c>
      <c r="R13" s="75" t="s">
        <v>930</v>
      </c>
      <c r="S13" s="2278" t="s">
        <v>931</v>
      </c>
      <c r="T13" s="3397"/>
      <c r="U13" s="3397"/>
      <c r="V13" s="3397"/>
    </row>
    <row r="14" spans="2:22" ht="13.95" customHeight="1">
      <c r="B14" s="214" t="s">
        <v>2288</v>
      </c>
      <c r="K14" s="241">
        <v>0.22500000000000001</v>
      </c>
      <c r="L14" s="3408" t="s">
        <v>2417</v>
      </c>
      <c r="N14" s="3406">
        <v>40777</v>
      </c>
      <c r="O14" s="562">
        <v>3.581</v>
      </c>
      <c r="P14" s="562">
        <v>3.8290000000000002</v>
      </c>
      <c r="Q14" s="562">
        <v>3.7080000000000002</v>
      </c>
      <c r="R14" s="376">
        <f t="shared" ref="R14:S16" si="0">P14/$O14-1</f>
        <v>6.9254398212789781E-2</v>
      </c>
      <c r="S14" s="3407">
        <f t="shared" si="0"/>
        <v>3.5464953923485032E-2</v>
      </c>
      <c r="T14" s="3397"/>
      <c r="U14" s="3397"/>
      <c r="V14" s="3397"/>
    </row>
    <row r="15" spans="2:22" ht="13.95" customHeight="1">
      <c r="B15" s="314" t="s">
        <v>894</v>
      </c>
      <c r="K15" s="34"/>
      <c r="L15" s="34"/>
      <c r="N15" s="3406">
        <f>N14+7</f>
        <v>40784</v>
      </c>
      <c r="O15" s="562">
        <v>3.6269999999999998</v>
      </c>
      <c r="P15" s="562">
        <v>3.8010000000000002</v>
      </c>
      <c r="Q15" s="562">
        <v>3.7080000000000002</v>
      </c>
      <c r="R15" s="376">
        <f t="shared" si="0"/>
        <v>4.7973531844499595E-2</v>
      </c>
      <c r="S15" s="3407">
        <f t="shared" si="0"/>
        <v>2.2332506203474045E-2</v>
      </c>
      <c r="T15" s="3397"/>
      <c r="U15" s="3397"/>
      <c r="V15" s="3397"/>
    </row>
    <row r="16" spans="2:22" ht="13.95" customHeight="1">
      <c r="B16" s="214" t="s">
        <v>2290</v>
      </c>
      <c r="K16" s="211">
        <v>0.15</v>
      </c>
      <c r="L16" s="211">
        <v>0.05</v>
      </c>
      <c r="N16" s="3406">
        <f>N15+7</f>
        <v>40791</v>
      </c>
      <c r="O16" s="562">
        <v>3.6739999999999999</v>
      </c>
      <c r="P16" s="562">
        <v>3.8580000000000001</v>
      </c>
      <c r="Q16" s="562">
        <v>3.7370000000000001</v>
      </c>
      <c r="R16" s="376">
        <f t="shared" si="0"/>
        <v>5.0081654872074166E-2</v>
      </c>
      <c r="S16" s="3407">
        <f t="shared" si="0"/>
        <v>1.7147523135547127E-2</v>
      </c>
      <c r="T16" s="3397"/>
      <c r="U16" s="3397"/>
      <c r="V16" s="3397"/>
    </row>
    <row r="17" spans="2:22" ht="13.95" customHeight="1">
      <c r="B17" s="2232" t="s">
        <v>5958</v>
      </c>
      <c r="C17" s="320"/>
      <c r="D17" s="320"/>
      <c r="E17" s="320"/>
      <c r="F17" s="320"/>
      <c r="G17" s="320"/>
      <c r="H17" s="320"/>
      <c r="I17" s="320"/>
      <c r="J17" s="320"/>
      <c r="K17" s="34"/>
      <c r="L17" s="34"/>
      <c r="N17" s="493" t="s">
        <v>932</v>
      </c>
      <c r="O17" s="3398"/>
      <c r="P17" s="3398"/>
      <c r="Q17" s="3398"/>
      <c r="R17" s="3398"/>
      <c r="S17" s="3399"/>
      <c r="T17" s="3397"/>
      <c r="U17" s="3397"/>
      <c r="V17" s="3397"/>
    </row>
    <row r="18" spans="2:22" ht="13.95" customHeight="1">
      <c r="B18" s="316" t="s">
        <v>1422</v>
      </c>
      <c r="K18" s="210">
        <v>11.3</v>
      </c>
      <c r="L18" s="210">
        <v>11.3</v>
      </c>
      <c r="N18" s="3397"/>
      <c r="O18" s="3397"/>
      <c r="P18" s="3397"/>
      <c r="Q18" s="3397"/>
      <c r="R18" s="3397"/>
      <c r="S18" s="3397"/>
      <c r="T18" s="3397"/>
      <c r="U18" s="3397"/>
      <c r="V18" s="3397"/>
    </row>
    <row r="19" spans="2:22" ht="13.95" customHeight="1">
      <c r="B19" s="314" t="s">
        <v>2263</v>
      </c>
      <c r="K19" s="34"/>
      <c r="L19" s="34"/>
    </row>
    <row r="20" spans="2:22" ht="13.95" customHeight="1">
      <c r="B20" s="316" t="s">
        <v>953</v>
      </c>
      <c r="K20" s="211">
        <v>0.4</v>
      </c>
      <c r="L20" s="211">
        <v>0.5</v>
      </c>
    </row>
    <row r="21" spans="2:22" ht="13.95" customHeight="1">
      <c r="B21" s="314" t="s">
        <v>425</v>
      </c>
      <c r="K21" s="34"/>
      <c r="L21" s="34"/>
    </row>
    <row r="22" spans="2:22" ht="13.95" customHeight="1">
      <c r="B22" s="316" t="s">
        <v>955</v>
      </c>
      <c r="K22" s="276">
        <v>0.05</v>
      </c>
      <c r="L22" s="276" t="s">
        <v>2213</v>
      </c>
      <c r="N22" s="3410" t="s">
        <v>5960</v>
      </c>
    </row>
    <row r="23" spans="2:22" ht="13.95" customHeight="1">
      <c r="B23" s="316" t="s">
        <v>1613</v>
      </c>
      <c r="K23" s="276">
        <v>0.15</v>
      </c>
      <c r="L23" s="276">
        <v>0.08</v>
      </c>
      <c r="M23" s="3409"/>
      <c r="N23" s="276">
        <f>0.5*L23</f>
        <v>0.04</v>
      </c>
    </row>
    <row r="24" spans="2:22" ht="13.95" customHeight="1">
      <c r="B24" s="5052" t="s">
        <v>1322</v>
      </c>
      <c r="C24" s="5148"/>
      <c r="D24" s="5148"/>
      <c r="E24" s="5148"/>
      <c r="F24" s="5148"/>
      <c r="G24" s="5148"/>
      <c r="H24" s="5148"/>
      <c r="I24" s="5148"/>
      <c r="J24" s="5148"/>
      <c r="M24" s="562"/>
    </row>
    <row r="25" spans="2:22" ht="13.95" customHeight="1">
      <c r="B25" s="5148"/>
      <c r="C25" s="5148"/>
      <c r="D25" s="5148"/>
      <c r="E25" s="5148"/>
      <c r="F25" s="5148"/>
      <c r="G25" s="5148"/>
      <c r="H25" s="5148"/>
      <c r="I25" s="5148"/>
      <c r="J25" s="5148"/>
    </row>
    <row r="26" spans="2:22" ht="13.95" customHeight="1">
      <c r="B26" s="5148"/>
      <c r="C26" s="5148"/>
      <c r="D26" s="5148"/>
      <c r="E26" s="5148"/>
      <c r="F26" s="5148"/>
      <c r="G26" s="5148"/>
      <c r="H26" s="5148"/>
      <c r="I26" s="5148"/>
      <c r="J26" s="5148"/>
    </row>
    <row r="27" spans="2:22" ht="13.95" customHeight="1">
      <c r="B27" s="563"/>
      <c r="C27" s="563"/>
      <c r="D27" s="563"/>
      <c r="E27" s="563"/>
      <c r="F27" s="563"/>
      <c r="G27" s="563"/>
      <c r="H27" s="563"/>
      <c r="I27" s="563"/>
      <c r="J27" s="563"/>
    </row>
    <row r="28" spans="2:22" ht="13.95" customHeight="1">
      <c r="B28" s="266"/>
      <c r="C28" s="262" t="s">
        <v>724</v>
      </c>
      <c r="D28" s="262" t="s">
        <v>2291</v>
      </c>
      <c r="E28" s="262" t="s">
        <v>65</v>
      </c>
      <c r="F28" s="262" t="s">
        <v>66</v>
      </c>
      <c r="G28" s="262" t="s">
        <v>67</v>
      </c>
      <c r="H28" s="262" t="s">
        <v>70</v>
      </c>
      <c r="I28" s="262" t="s">
        <v>725</v>
      </c>
      <c r="J28" s="450" t="s">
        <v>484</v>
      </c>
      <c r="K28" s="262" t="s">
        <v>222</v>
      </c>
      <c r="L28" s="450" t="s">
        <v>222</v>
      </c>
      <c r="M28" s="450" t="s">
        <v>677</v>
      </c>
      <c r="N28" s="450" t="s">
        <v>722</v>
      </c>
      <c r="O28" s="262" t="s">
        <v>2135</v>
      </c>
      <c r="P28" s="262" t="s">
        <v>2137</v>
      </c>
      <c r="Q28" s="262" t="s">
        <v>2136</v>
      </c>
    </row>
    <row r="29" spans="2:22" ht="13.95" customHeight="1">
      <c r="B29" s="264" t="s">
        <v>217</v>
      </c>
      <c r="C29" s="264" t="s">
        <v>723</v>
      </c>
      <c r="D29" s="264" t="s">
        <v>723</v>
      </c>
      <c r="E29" s="264" t="s">
        <v>71</v>
      </c>
      <c r="F29" s="264" t="s">
        <v>71</v>
      </c>
      <c r="G29" s="264" t="s">
        <v>68</v>
      </c>
      <c r="H29" s="264" t="s">
        <v>71</v>
      </c>
      <c r="I29" s="264" t="s">
        <v>2289</v>
      </c>
      <c r="J29" s="451" t="s">
        <v>2264</v>
      </c>
      <c r="K29" s="264" t="s">
        <v>1421</v>
      </c>
      <c r="L29" s="451" t="s">
        <v>954</v>
      </c>
      <c r="M29" s="451" t="s">
        <v>678</v>
      </c>
      <c r="N29" s="451" t="s">
        <v>2264</v>
      </c>
      <c r="O29" s="264" t="s">
        <v>2264</v>
      </c>
      <c r="P29" s="264" t="s">
        <v>2138</v>
      </c>
      <c r="Q29" s="264" t="s">
        <v>2139</v>
      </c>
    </row>
    <row r="30" spans="2:22" ht="13.95" customHeight="1">
      <c r="B30" s="34">
        <v>1970</v>
      </c>
      <c r="C30" s="34"/>
      <c r="D30" s="34"/>
      <c r="E30" s="34"/>
      <c r="F30" s="34"/>
      <c r="G30" s="34"/>
      <c r="H30" s="34"/>
      <c r="I30" s="34"/>
      <c r="J30" s="452"/>
      <c r="K30" s="34"/>
      <c r="L30" s="452"/>
      <c r="M30" s="452"/>
      <c r="N30" s="452">
        <f>2*'Toll Rates'!P35</f>
        <v>0.20899652063628399</v>
      </c>
      <c r="O30" s="34"/>
      <c r="P30" s="34"/>
      <c r="Q30" s="34"/>
    </row>
    <row r="31" spans="2:22" ht="13.95" customHeight="1">
      <c r="B31" s="34">
        <v>1971</v>
      </c>
      <c r="C31" s="34"/>
      <c r="D31" s="34"/>
      <c r="E31" s="34"/>
      <c r="F31" s="34"/>
      <c r="G31" s="34"/>
      <c r="H31" s="34"/>
      <c r="I31" s="34"/>
      <c r="J31" s="452"/>
      <c r="K31" s="34"/>
      <c r="L31" s="452"/>
      <c r="M31" s="452"/>
      <c r="N31" s="452">
        <f>2*'Toll Rates'!P36</f>
        <v>0.21805618263939447</v>
      </c>
      <c r="O31" s="453" t="s">
        <v>679</v>
      </c>
      <c r="P31" s="34"/>
      <c r="Q31" s="298" t="s">
        <v>1710</v>
      </c>
    </row>
    <row r="32" spans="2:22" ht="13.95" customHeight="1">
      <c r="B32" s="34">
        <v>1972</v>
      </c>
      <c r="C32" s="34"/>
      <c r="D32" s="34"/>
      <c r="E32" s="34"/>
      <c r="F32" s="34"/>
      <c r="G32" s="34"/>
      <c r="H32" s="34"/>
      <c r="I32" s="34"/>
      <c r="J32" s="452"/>
      <c r="K32" s="34"/>
      <c r="L32" s="452"/>
      <c r="M32" s="452"/>
      <c r="N32" s="452">
        <f>2*'Toll Rates'!P37</f>
        <v>0.38148641070068384</v>
      </c>
      <c r="O32" s="453" t="s">
        <v>680</v>
      </c>
      <c r="P32" s="34"/>
      <c r="Q32" s="298" t="s">
        <v>1711</v>
      </c>
    </row>
    <row r="33" spans="2:17" ht="13.95" customHeight="1">
      <c r="B33" s="34">
        <v>1973</v>
      </c>
      <c r="C33" s="34"/>
      <c r="D33" s="34"/>
      <c r="E33" s="231">
        <v>13.4</v>
      </c>
      <c r="F33" s="231">
        <v>10.5</v>
      </c>
      <c r="G33" s="278">
        <v>0</v>
      </c>
      <c r="H33" s="231">
        <f t="shared" ref="H33:H65" si="1">E33*(1-G33)+F33*G33</f>
        <v>13.4</v>
      </c>
      <c r="I33" s="231">
        <f>H33*(1-$K$14)</f>
        <v>10.385</v>
      </c>
      <c r="J33" s="452"/>
      <c r="K33" s="34"/>
      <c r="L33" s="452"/>
      <c r="M33" s="452"/>
      <c r="N33" s="452">
        <f>2*'Toll Rates'!P38</f>
        <v>0.38027125288901542</v>
      </c>
      <c r="O33" s="453" t="s">
        <v>681</v>
      </c>
      <c r="P33" s="34"/>
      <c r="Q33" s="298" t="s">
        <v>2209</v>
      </c>
    </row>
    <row r="34" spans="2:17" ht="13.95" customHeight="1">
      <c r="B34" s="34">
        <v>1974</v>
      </c>
      <c r="C34" s="34"/>
      <c r="D34" s="34"/>
      <c r="E34" s="231">
        <v>13.6</v>
      </c>
      <c r="F34" s="231">
        <v>11</v>
      </c>
      <c r="G34" s="278">
        <v>0</v>
      </c>
      <c r="H34" s="231">
        <f t="shared" si="1"/>
        <v>13.6</v>
      </c>
      <c r="I34" s="231">
        <f t="shared" ref="I34:I65" si="2">H34*(1-$K$14)</f>
        <v>10.54</v>
      </c>
      <c r="J34" s="452"/>
      <c r="K34" s="34"/>
      <c r="L34" s="452"/>
      <c r="M34" s="452"/>
      <c r="N34" s="452">
        <f>2*'Toll Rates'!P39</f>
        <v>0.37246848013672795</v>
      </c>
      <c r="O34" s="34"/>
      <c r="P34" s="34"/>
      <c r="Q34" s="34"/>
    </row>
    <row r="35" spans="2:17" ht="13.95" customHeight="1">
      <c r="B35" s="34">
        <v>1975</v>
      </c>
      <c r="C35" s="34"/>
      <c r="D35" s="34"/>
      <c r="E35" s="231">
        <v>14</v>
      </c>
      <c r="F35" s="231">
        <v>10.5</v>
      </c>
      <c r="G35" s="278">
        <v>0</v>
      </c>
      <c r="H35" s="231">
        <f t="shared" si="1"/>
        <v>14</v>
      </c>
      <c r="I35" s="231">
        <f t="shared" si="2"/>
        <v>10.85</v>
      </c>
      <c r="J35" s="452"/>
      <c r="K35" s="277">
        <v>5</v>
      </c>
      <c r="L35" s="452">
        <f>K35*$K$20</f>
        <v>2</v>
      </c>
      <c r="M35" s="452">
        <f>K22*$K$18*2</f>
        <v>1.1300000000000001</v>
      </c>
      <c r="N35" s="452">
        <f>2*'Toll Rates'!P40</f>
        <v>0.38488570540821276</v>
      </c>
      <c r="O35" s="34"/>
      <c r="P35" s="231">
        <v>53.8</v>
      </c>
      <c r="Q35" s="34"/>
    </row>
    <row r="36" spans="2:17" ht="13.95" customHeight="1">
      <c r="B36" s="34">
        <v>1976</v>
      </c>
      <c r="C36" s="34"/>
      <c r="D36" s="34"/>
      <c r="E36" s="231">
        <v>13.8</v>
      </c>
      <c r="F36" s="231">
        <v>10.8</v>
      </c>
      <c r="G36" s="278">
        <v>0</v>
      </c>
      <c r="H36" s="231">
        <f t="shared" si="1"/>
        <v>13.8</v>
      </c>
      <c r="I36" s="231">
        <f t="shared" si="2"/>
        <v>10.695</v>
      </c>
      <c r="J36" s="452"/>
      <c r="K36" s="277">
        <f t="shared" ref="K36:K59" si="3">K35+(K$60-K$35)/($B$60-$B$35)</f>
        <v>5.4</v>
      </c>
      <c r="L36" s="452">
        <f t="shared" ref="L36:L65" si="4">K36*$K$20</f>
        <v>2.16</v>
      </c>
      <c r="M36" s="452">
        <f t="shared" ref="M36:M64" si="5">M35+(M$65-M$35)/($B$65-$B$35)</f>
        <v>1.2053333333333334</v>
      </c>
      <c r="N36" s="452">
        <f>2*'Toll Rates'!P41</f>
        <v>0.47867320455874357</v>
      </c>
      <c r="O36" s="34"/>
      <c r="P36" s="231">
        <v>56.9</v>
      </c>
      <c r="Q36" s="34"/>
    </row>
    <row r="37" spans="2:17" ht="13.95" customHeight="1">
      <c r="B37" s="34">
        <v>1977</v>
      </c>
      <c r="C37" s="34"/>
      <c r="D37" s="34"/>
      <c r="E37" s="231">
        <v>14.1</v>
      </c>
      <c r="F37" s="231">
        <v>11.2</v>
      </c>
      <c r="G37" s="278">
        <v>0</v>
      </c>
      <c r="H37" s="231">
        <f t="shared" si="1"/>
        <v>14.1</v>
      </c>
      <c r="I37" s="231">
        <f t="shared" si="2"/>
        <v>10.9275</v>
      </c>
      <c r="J37" s="452"/>
      <c r="K37" s="277">
        <f t="shared" si="3"/>
        <v>5.8000000000000007</v>
      </c>
      <c r="L37" s="452">
        <f t="shared" si="4"/>
        <v>2.3200000000000003</v>
      </c>
      <c r="M37" s="452">
        <f t="shared" si="5"/>
        <v>1.2806666666666666</v>
      </c>
      <c r="N37" s="452">
        <f>2*'Toll Rates'!P42</f>
        <v>0.49808074944720881</v>
      </c>
      <c r="O37" s="34"/>
      <c r="P37" s="231">
        <v>60.6</v>
      </c>
      <c r="Q37" s="34"/>
    </row>
    <row r="38" spans="2:17" ht="13.95" customHeight="1">
      <c r="B38" s="34">
        <v>1978</v>
      </c>
      <c r="C38" s="454">
        <v>65.2</v>
      </c>
      <c r="D38" s="454">
        <f>C38*(1+$K$16)</f>
        <v>74.98</v>
      </c>
      <c r="E38" s="231">
        <v>14.3</v>
      </c>
      <c r="F38" s="231">
        <v>11.6</v>
      </c>
      <c r="G38" s="278">
        <v>0</v>
      </c>
      <c r="H38" s="231">
        <f t="shared" si="1"/>
        <v>14.3</v>
      </c>
      <c r="I38" s="231">
        <f t="shared" si="2"/>
        <v>11.082500000000001</v>
      </c>
      <c r="J38" s="452">
        <f t="shared" ref="J38:J65" si="6">D38*$K$18*2/(I38*100)</f>
        <v>1.5290304534175501</v>
      </c>
      <c r="K38" s="277">
        <f t="shared" si="3"/>
        <v>6.2000000000000011</v>
      </c>
      <c r="L38" s="452">
        <f t="shared" si="4"/>
        <v>2.4800000000000004</v>
      </c>
      <c r="M38" s="452">
        <f t="shared" si="5"/>
        <v>1.3559999999999999</v>
      </c>
      <c r="N38" s="452">
        <f>2*'Toll Rates'!P43</f>
        <v>0.51225508749872462</v>
      </c>
      <c r="O38" s="223">
        <f t="shared" ref="O38:O65" si="7">J38+N38+L38+M38</f>
        <v>5.877285540916275</v>
      </c>
      <c r="P38" s="231">
        <v>65.2</v>
      </c>
      <c r="Q38" s="455">
        <f t="shared" ref="Q38:Q65" si="8">P$60/P38*O38</f>
        <v>15.522524081990527</v>
      </c>
    </row>
    <row r="39" spans="2:17" ht="13.95" customHeight="1">
      <c r="B39" s="34">
        <v>1979</v>
      </c>
      <c r="C39" s="454">
        <v>88.2</v>
      </c>
      <c r="D39" s="454">
        <f t="shared" ref="D39:D65" si="9">C39*(1+$K$16)</f>
        <v>101.42999999999999</v>
      </c>
      <c r="E39" s="231">
        <v>14.6</v>
      </c>
      <c r="F39" s="231">
        <v>11.9</v>
      </c>
      <c r="G39" s="278">
        <v>0</v>
      </c>
      <c r="H39" s="231">
        <f t="shared" si="1"/>
        <v>14.6</v>
      </c>
      <c r="I39" s="231">
        <f t="shared" si="2"/>
        <v>11.315</v>
      </c>
      <c r="J39" s="452">
        <f t="shared" si="6"/>
        <v>2.025910737958462</v>
      </c>
      <c r="K39" s="277">
        <f t="shared" si="3"/>
        <v>6.6000000000000014</v>
      </c>
      <c r="L39" s="452">
        <f t="shared" si="4"/>
        <v>2.6400000000000006</v>
      </c>
      <c r="M39" s="452">
        <f t="shared" si="5"/>
        <v>1.4313333333333331</v>
      </c>
      <c r="N39" s="452">
        <f>2*'Toll Rates'!P44</f>
        <v>0.54522438914667981</v>
      </c>
      <c r="O39" s="223">
        <f t="shared" si="7"/>
        <v>6.6424684604384758</v>
      </c>
      <c r="P39" s="231">
        <v>72.599999999999994</v>
      </c>
      <c r="Q39" s="455">
        <f t="shared" si="8"/>
        <v>15.755276430957375</v>
      </c>
    </row>
    <row r="40" spans="2:17" ht="13.95" customHeight="1">
      <c r="B40" s="34">
        <v>1980</v>
      </c>
      <c r="C40" s="454">
        <v>122.1</v>
      </c>
      <c r="D40" s="454">
        <f t="shared" si="9"/>
        <v>140.41499999999999</v>
      </c>
      <c r="E40" s="231">
        <v>16</v>
      </c>
      <c r="F40" s="231">
        <v>12.2</v>
      </c>
      <c r="G40" s="278">
        <v>0</v>
      </c>
      <c r="H40" s="231">
        <f t="shared" si="1"/>
        <v>16</v>
      </c>
      <c r="I40" s="231">
        <f t="shared" si="2"/>
        <v>12.4</v>
      </c>
      <c r="J40" s="452">
        <f t="shared" si="6"/>
        <v>2.5591766129032258</v>
      </c>
      <c r="K40" s="277">
        <f t="shared" si="3"/>
        <v>7.0000000000000018</v>
      </c>
      <c r="L40" s="452">
        <f t="shared" si="4"/>
        <v>2.8000000000000007</v>
      </c>
      <c r="M40" s="452">
        <f t="shared" si="5"/>
        <v>1.5066666666666664</v>
      </c>
      <c r="N40" s="452">
        <f>2*'Toll Rates'!P45</f>
        <v>0.65780703576343147</v>
      </c>
      <c r="O40" s="223">
        <f t="shared" si="7"/>
        <v>7.5236503153333238</v>
      </c>
      <c r="P40" s="231">
        <v>82.4</v>
      </c>
      <c r="Q40" s="455">
        <f t="shared" si="8"/>
        <v>15.722968256072795</v>
      </c>
    </row>
    <row r="41" spans="2:17" ht="13.95" customHeight="1">
      <c r="B41" s="34">
        <v>1981</v>
      </c>
      <c r="C41" s="454">
        <v>135.30000000000001</v>
      </c>
      <c r="D41" s="454">
        <f t="shared" si="9"/>
        <v>155.595</v>
      </c>
      <c r="E41" s="231">
        <v>16.5</v>
      </c>
      <c r="F41" s="231">
        <v>12.5</v>
      </c>
      <c r="G41" s="278">
        <f>(B41-1980)/100</f>
        <v>0.01</v>
      </c>
      <c r="H41" s="231">
        <f t="shared" si="1"/>
        <v>16.46</v>
      </c>
      <c r="I41" s="231">
        <f t="shared" si="2"/>
        <v>12.756500000000001</v>
      </c>
      <c r="J41" s="452">
        <f t="shared" si="6"/>
        <v>2.7565923254811273</v>
      </c>
      <c r="K41" s="277">
        <f t="shared" si="3"/>
        <v>7.4000000000000021</v>
      </c>
      <c r="L41" s="452">
        <f t="shared" si="4"/>
        <v>2.9600000000000009</v>
      </c>
      <c r="M41" s="452">
        <f t="shared" si="5"/>
        <v>1.5819999999999996</v>
      </c>
      <c r="N41" s="452">
        <f>2*'Toll Rates'!P46</f>
        <v>0.7423490580150679</v>
      </c>
      <c r="O41" s="223">
        <f t="shared" si="7"/>
        <v>8.0409413834961949</v>
      </c>
      <c r="P41" s="231">
        <v>90.9</v>
      </c>
      <c r="Q41" s="455">
        <f t="shared" si="8"/>
        <v>15.232674436062098</v>
      </c>
    </row>
    <row r="42" spans="2:17" ht="13.95" customHeight="1">
      <c r="B42" s="34">
        <v>1982</v>
      </c>
      <c r="C42" s="454">
        <v>128.1</v>
      </c>
      <c r="D42" s="454">
        <f t="shared" si="9"/>
        <v>147.31499999999997</v>
      </c>
      <c r="E42" s="231">
        <v>16.899999999999999</v>
      </c>
      <c r="F42" s="231">
        <v>13.5</v>
      </c>
      <c r="G42" s="278">
        <f t="shared" ref="G42:G65" si="10">(B42-1980)/100</f>
        <v>0.02</v>
      </c>
      <c r="H42" s="231">
        <f t="shared" si="1"/>
        <v>16.831999999999997</v>
      </c>
      <c r="I42" s="231">
        <f t="shared" si="2"/>
        <v>13.044799999999999</v>
      </c>
      <c r="J42" s="452">
        <f t="shared" si="6"/>
        <v>2.5522192751134551</v>
      </c>
      <c r="K42" s="277">
        <f t="shared" si="3"/>
        <v>7.8000000000000025</v>
      </c>
      <c r="L42" s="452">
        <f t="shared" si="4"/>
        <v>3.120000000000001</v>
      </c>
      <c r="M42" s="452">
        <f t="shared" si="5"/>
        <v>1.6573333333333329</v>
      </c>
      <c r="N42" s="452">
        <f>2*'Toll Rates'!P47</f>
        <v>0.91299374026145907</v>
      </c>
      <c r="O42" s="223">
        <f t="shared" si="7"/>
        <v>8.2425463487082489</v>
      </c>
      <c r="P42" s="231">
        <v>96.5</v>
      </c>
      <c r="Q42" s="455">
        <f t="shared" si="8"/>
        <v>14.708460945570575</v>
      </c>
    </row>
    <row r="43" spans="2:17" ht="13.95" customHeight="1">
      <c r="B43" s="34">
        <v>1983</v>
      </c>
      <c r="C43" s="454">
        <v>122.5</v>
      </c>
      <c r="D43" s="454">
        <f t="shared" si="9"/>
        <v>140.875</v>
      </c>
      <c r="E43" s="231">
        <v>17.100000000000001</v>
      </c>
      <c r="F43" s="231">
        <v>13.7</v>
      </c>
      <c r="G43" s="278">
        <f t="shared" si="10"/>
        <v>0.03</v>
      </c>
      <c r="H43" s="231">
        <f t="shared" si="1"/>
        <v>16.998000000000001</v>
      </c>
      <c r="I43" s="231">
        <f t="shared" si="2"/>
        <v>13.173450000000001</v>
      </c>
      <c r="J43" s="452">
        <f t="shared" si="6"/>
        <v>2.4168118450367975</v>
      </c>
      <c r="K43" s="277">
        <f t="shared" si="3"/>
        <v>8.2000000000000028</v>
      </c>
      <c r="L43" s="452">
        <f t="shared" si="4"/>
        <v>3.2800000000000011</v>
      </c>
      <c r="M43" s="452">
        <f t="shared" si="5"/>
        <v>1.7326666666666661</v>
      </c>
      <c r="N43" s="452">
        <f>2*'Toll Rates'!P48</f>
        <v>1.0321437038161836</v>
      </c>
      <c r="O43" s="223">
        <f t="shared" si="7"/>
        <v>8.4616222155196485</v>
      </c>
      <c r="P43" s="231">
        <v>99.6</v>
      </c>
      <c r="Q43" s="455">
        <f t="shared" si="8"/>
        <v>14.629431179844211</v>
      </c>
    </row>
    <row r="44" spans="2:17" ht="13.95" customHeight="1">
      <c r="B44" s="34">
        <v>1984</v>
      </c>
      <c r="C44" s="454">
        <v>119.8</v>
      </c>
      <c r="D44" s="454">
        <f t="shared" si="9"/>
        <v>137.76999999999998</v>
      </c>
      <c r="E44" s="231">
        <v>17.399999999999999</v>
      </c>
      <c r="F44" s="231">
        <v>14</v>
      </c>
      <c r="G44" s="278">
        <f t="shared" si="10"/>
        <v>0.04</v>
      </c>
      <c r="H44" s="231">
        <f t="shared" si="1"/>
        <v>17.263999999999996</v>
      </c>
      <c r="I44" s="231">
        <f t="shared" si="2"/>
        <v>13.379599999999996</v>
      </c>
      <c r="J44" s="452">
        <f t="shared" si="6"/>
        <v>2.3271263714909272</v>
      </c>
      <c r="K44" s="277">
        <f t="shared" si="3"/>
        <v>8.6000000000000032</v>
      </c>
      <c r="L44" s="452">
        <f t="shared" si="4"/>
        <v>3.4400000000000013</v>
      </c>
      <c r="M44" s="452">
        <f t="shared" si="5"/>
        <v>1.8079999999999994</v>
      </c>
      <c r="N44" s="452">
        <f>2*'Toll Rates'!P49</f>
        <v>1.0420831886547635</v>
      </c>
      <c r="O44" s="223">
        <f t="shared" si="7"/>
        <v>8.6172095601456906</v>
      </c>
      <c r="P44" s="231">
        <v>103.9</v>
      </c>
      <c r="Q44" s="455">
        <f t="shared" si="8"/>
        <v>14.281842986112489</v>
      </c>
    </row>
    <row r="45" spans="2:17" ht="13.95" customHeight="1">
      <c r="B45" s="34">
        <v>1985</v>
      </c>
      <c r="C45" s="454">
        <v>119.6</v>
      </c>
      <c r="D45" s="454">
        <f t="shared" si="9"/>
        <v>137.54</v>
      </c>
      <c r="E45" s="231">
        <v>17.5</v>
      </c>
      <c r="F45" s="231">
        <v>14.3</v>
      </c>
      <c r="G45" s="278">
        <f t="shared" si="10"/>
        <v>0.05</v>
      </c>
      <c r="H45" s="231">
        <f t="shared" si="1"/>
        <v>17.34</v>
      </c>
      <c r="I45" s="231">
        <f t="shared" si="2"/>
        <v>13.438499999999999</v>
      </c>
      <c r="J45" s="452">
        <f t="shared" si="6"/>
        <v>2.3130587491163448</v>
      </c>
      <c r="K45" s="277">
        <f t="shared" si="3"/>
        <v>9.0000000000000036</v>
      </c>
      <c r="L45" s="452">
        <f t="shared" si="4"/>
        <v>3.6000000000000014</v>
      </c>
      <c r="M45" s="452">
        <f t="shared" si="5"/>
        <v>1.8833333333333326</v>
      </c>
      <c r="N45" s="452">
        <f>2*'Toll Rates'!P50</f>
        <v>0.98919192914771681</v>
      </c>
      <c r="O45" s="223">
        <f t="shared" si="7"/>
        <v>8.7855840115973951</v>
      </c>
      <c r="P45" s="231">
        <v>107.6</v>
      </c>
      <c r="Q45" s="455">
        <f t="shared" si="8"/>
        <v>14.060200434917022</v>
      </c>
    </row>
    <row r="46" spans="2:17" ht="13.95" customHeight="1">
      <c r="B46" s="34">
        <v>1986</v>
      </c>
      <c r="C46" s="454">
        <v>93.1</v>
      </c>
      <c r="D46" s="454">
        <f t="shared" si="9"/>
        <v>107.06499999999998</v>
      </c>
      <c r="E46" s="231">
        <v>17.399999999999999</v>
      </c>
      <c r="F46" s="231">
        <v>14.6</v>
      </c>
      <c r="G46" s="278">
        <f t="shared" si="10"/>
        <v>0.06</v>
      </c>
      <c r="H46" s="231">
        <f t="shared" si="1"/>
        <v>17.231999999999999</v>
      </c>
      <c r="I46" s="231">
        <f t="shared" si="2"/>
        <v>13.354799999999999</v>
      </c>
      <c r="J46" s="452">
        <f t="shared" si="6"/>
        <v>1.8118346961392158</v>
      </c>
      <c r="K46" s="277">
        <f t="shared" si="3"/>
        <v>9.4000000000000039</v>
      </c>
      <c r="L46" s="452">
        <f t="shared" si="4"/>
        <v>3.7600000000000016</v>
      </c>
      <c r="M46" s="452">
        <f t="shared" si="5"/>
        <v>1.9586666666666659</v>
      </c>
      <c r="N46" s="452">
        <f>2*'Toll Rates'!P51</f>
        <v>1.1359061488440449</v>
      </c>
      <c r="O46" s="223">
        <f t="shared" si="7"/>
        <v>8.6664075116499291</v>
      </c>
      <c r="P46" s="231">
        <v>109.6</v>
      </c>
      <c r="Q46" s="455">
        <f t="shared" si="8"/>
        <v>13.616381145128813</v>
      </c>
    </row>
    <row r="47" spans="2:17" ht="13.95" customHeight="1">
      <c r="B47" s="34">
        <v>1987</v>
      </c>
      <c r="C47" s="454">
        <v>95.7</v>
      </c>
      <c r="D47" s="454">
        <f t="shared" si="9"/>
        <v>110.05499999999999</v>
      </c>
      <c r="E47" s="231">
        <v>18</v>
      </c>
      <c r="F47" s="231">
        <v>14.9</v>
      </c>
      <c r="G47" s="278">
        <f t="shared" si="10"/>
        <v>7.0000000000000007E-2</v>
      </c>
      <c r="H47" s="231">
        <f t="shared" si="1"/>
        <v>17.782999999999998</v>
      </c>
      <c r="I47" s="231">
        <f t="shared" si="2"/>
        <v>13.781824999999998</v>
      </c>
      <c r="J47" s="452">
        <f t="shared" si="6"/>
        <v>1.8047268776087348</v>
      </c>
      <c r="K47" s="277">
        <f t="shared" si="3"/>
        <v>9.8000000000000043</v>
      </c>
      <c r="L47" s="452">
        <f t="shared" si="4"/>
        <v>3.9200000000000017</v>
      </c>
      <c r="M47" s="452">
        <f t="shared" si="5"/>
        <v>2.0339999999999994</v>
      </c>
      <c r="N47" s="452">
        <f>2*'Toll Rates'!P52</f>
        <v>1.3426601329444587</v>
      </c>
      <c r="O47" s="223">
        <f t="shared" si="7"/>
        <v>9.1013870105531947</v>
      </c>
      <c r="P47" s="231">
        <v>113.6</v>
      </c>
      <c r="Q47" s="455">
        <f t="shared" si="8"/>
        <v>13.796292633954755</v>
      </c>
    </row>
    <row r="48" spans="2:17" ht="13.95" customHeight="1">
      <c r="B48" s="34">
        <v>1988</v>
      </c>
      <c r="C48" s="454">
        <v>96.3</v>
      </c>
      <c r="D48" s="454">
        <f t="shared" si="9"/>
        <v>110.74499999999999</v>
      </c>
      <c r="E48" s="231">
        <v>18.8</v>
      </c>
      <c r="F48" s="231">
        <v>15.4</v>
      </c>
      <c r="G48" s="278">
        <f t="shared" si="10"/>
        <v>0.08</v>
      </c>
      <c r="H48" s="231">
        <f t="shared" si="1"/>
        <v>18.528000000000002</v>
      </c>
      <c r="I48" s="231">
        <f t="shared" si="2"/>
        <v>14.359200000000001</v>
      </c>
      <c r="J48" s="452">
        <f t="shared" si="6"/>
        <v>1.7430198061173323</v>
      </c>
      <c r="K48" s="277">
        <f t="shared" si="3"/>
        <v>10.200000000000005</v>
      </c>
      <c r="L48" s="452">
        <f t="shared" si="4"/>
        <v>4.0800000000000018</v>
      </c>
      <c r="M48" s="452">
        <f t="shared" si="5"/>
        <v>2.1093333333333328</v>
      </c>
      <c r="N48" s="452">
        <f>2*'Toll Rates'!P53</f>
        <v>1.3646357816605623</v>
      </c>
      <c r="O48" s="223">
        <f t="shared" si="7"/>
        <v>9.2969889211112289</v>
      </c>
      <c r="P48" s="231">
        <v>118.3</v>
      </c>
      <c r="Q48" s="455">
        <f t="shared" si="8"/>
        <v>13.532895115937054</v>
      </c>
    </row>
    <row r="49" spans="2:17" ht="13.95" customHeight="1">
      <c r="B49" s="34">
        <v>1989</v>
      </c>
      <c r="C49" s="454">
        <v>106</v>
      </c>
      <c r="D49" s="454">
        <f t="shared" si="9"/>
        <v>121.89999999999999</v>
      </c>
      <c r="E49" s="231">
        <v>19</v>
      </c>
      <c r="F49" s="231">
        <v>16.100000000000001</v>
      </c>
      <c r="G49" s="278">
        <f t="shared" si="10"/>
        <v>0.09</v>
      </c>
      <c r="H49" s="231">
        <f t="shared" si="1"/>
        <v>18.739000000000001</v>
      </c>
      <c r="I49" s="231">
        <f t="shared" si="2"/>
        <v>14.522725000000001</v>
      </c>
      <c r="J49" s="452">
        <f t="shared" si="6"/>
        <v>1.896985586382721</v>
      </c>
      <c r="K49" s="277">
        <f t="shared" si="3"/>
        <v>10.600000000000005</v>
      </c>
      <c r="L49" s="452">
        <f t="shared" si="4"/>
        <v>4.240000000000002</v>
      </c>
      <c r="M49" s="452">
        <f t="shared" si="5"/>
        <v>2.1846666666666663</v>
      </c>
      <c r="N49" s="452">
        <f>2*'Toll Rates'!P54</f>
        <v>1.462732985198296</v>
      </c>
      <c r="O49" s="223">
        <f t="shared" si="7"/>
        <v>9.784385238247685</v>
      </c>
      <c r="P49" s="231">
        <v>124</v>
      </c>
      <c r="Q49" s="455">
        <f t="shared" si="8"/>
        <v>13.58767046795364</v>
      </c>
    </row>
    <row r="50" spans="2:17" ht="13.95" customHeight="1">
      <c r="B50" s="34">
        <v>1990</v>
      </c>
      <c r="C50" s="454">
        <v>121.7</v>
      </c>
      <c r="D50" s="454">
        <f t="shared" si="9"/>
        <v>139.95499999999998</v>
      </c>
      <c r="E50" s="231">
        <v>20.2</v>
      </c>
      <c r="F50" s="231">
        <v>16.100000000000001</v>
      </c>
      <c r="G50" s="278">
        <f t="shared" si="10"/>
        <v>0.1</v>
      </c>
      <c r="H50" s="231">
        <f t="shared" si="1"/>
        <v>19.79</v>
      </c>
      <c r="I50" s="231">
        <f t="shared" si="2"/>
        <v>15.337249999999999</v>
      </c>
      <c r="J50" s="452">
        <f t="shared" si="6"/>
        <v>2.0622882198568844</v>
      </c>
      <c r="K50" s="277">
        <f t="shared" si="3"/>
        <v>11.000000000000005</v>
      </c>
      <c r="L50" s="452">
        <f t="shared" si="4"/>
        <v>4.4000000000000021</v>
      </c>
      <c r="M50" s="452">
        <f t="shared" si="5"/>
        <v>2.2599999999999998</v>
      </c>
      <c r="N50" s="452">
        <f>2*'Toll Rates'!P55</f>
        <v>1.7018571086260805</v>
      </c>
      <c r="O50" s="223">
        <f t="shared" si="7"/>
        <v>10.424145328482966</v>
      </c>
      <c r="P50" s="231">
        <v>130.69999999999999</v>
      </c>
      <c r="Q50" s="455">
        <f t="shared" si="8"/>
        <v>13.734030800036471</v>
      </c>
    </row>
    <row r="51" spans="2:17" ht="13.95" customHeight="1">
      <c r="B51" s="34">
        <v>1991</v>
      </c>
      <c r="C51" s="454">
        <v>119.6</v>
      </c>
      <c r="D51" s="454">
        <f t="shared" si="9"/>
        <v>137.54</v>
      </c>
      <c r="E51" s="231">
        <v>21.1</v>
      </c>
      <c r="F51" s="231">
        <v>17</v>
      </c>
      <c r="G51" s="278">
        <f t="shared" si="10"/>
        <v>0.11</v>
      </c>
      <c r="H51" s="231">
        <f t="shared" si="1"/>
        <v>20.649000000000001</v>
      </c>
      <c r="I51" s="231">
        <f t="shared" si="2"/>
        <v>16.002975000000003</v>
      </c>
      <c r="J51" s="452">
        <f t="shared" si="6"/>
        <v>1.9423913366108485</v>
      </c>
      <c r="K51" s="277">
        <f t="shared" si="3"/>
        <v>11.400000000000006</v>
      </c>
      <c r="L51" s="452">
        <f t="shared" si="4"/>
        <v>4.5600000000000023</v>
      </c>
      <c r="M51" s="452">
        <f t="shared" si="5"/>
        <v>2.3353333333333333</v>
      </c>
      <c r="N51" s="452">
        <f>2*'Toll Rates'!P56</f>
        <v>1.7394589165229162</v>
      </c>
      <c r="O51" s="223">
        <f t="shared" si="7"/>
        <v>10.577183586467099</v>
      </c>
      <c r="P51" s="231">
        <v>136.19999999999999</v>
      </c>
      <c r="Q51" s="455">
        <f t="shared" si="8"/>
        <v>13.372914930907742</v>
      </c>
    </row>
    <row r="52" spans="2:17" ht="13.95" customHeight="1">
      <c r="B52" s="34">
        <v>1992</v>
      </c>
      <c r="C52" s="454">
        <v>119</v>
      </c>
      <c r="D52" s="454">
        <f t="shared" si="9"/>
        <v>136.85</v>
      </c>
      <c r="E52" s="231">
        <v>21</v>
      </c>
      <c r="F52" s="231">
        <v>17.3</v>
      </c>
      <c r="G52" s="278">
        <f t="shared" si="10"/>
        <v>0.12</v>
      </c>
      <c r="H52" s="231">
        <f t="shared" si="1"/>
        <v>20.556000000000001</v>
      </c>
      <c r="I52" s="231">
        <f t="shared" si="2"/>
        <v>15.930900000000001</v>
      </c>
      <c r="J52" s="452">
        <f t="shared" si="6"/>
        <v>1.9413906307867099</v>
      </c>
      <c r="K52" s="277">
        <f t="shared" si="3"/>
        <v>11.800000000000006</v>
      </c>
      <c r="L52" s="452">
        <f t="shared" si="4"/>
        <v>4.7200000000000024</v>
      </c>
      <c r="M52" s="452">
        <f t="shared" si="5"/>
        <v>2.4106666666666667</v>
      </c>
      <c r="N52" s="452">
        <f>2*'Toll Rates'!P57</f>
        <v>1.7638909985277968</v>
      </c>
      <c r="O52" s="223">
        <f t="shared" si="7"/>
        <v>10.835948295981176</v>
      </c>
      <c r="P52" s="231">
        <v>140.30000000000001</v>
      </c>
      <c r="Q52" s="455">
        <f t="shared" si="8"/>
        <v>13.299717010462995</v>
      </c>
    </row>
    <row r="53" spans="2:17" ht="13.95" customHeight="1">
      <c r="B53" s="34">
        <v>1993</v>
      </c>
      <c r="C53" s="454">
        <v>117.3</v>
      </c>
      <c r="D53" s="454">
        <f t="shared" si="9"/>
        <v>134.89499999999998</v>
      </c>
      <c r="E53" s="231">
        <v>20.5</v>
      </c>
      <c r="F53" s="231">
        <v>17.399999999999999</v>
      </c>
      <c r="G53" s="278">
        <f t="shared" si="10"/>
        <v>0.13</v>
      </c>
      <c r="H53" s="231">
        <f t="shared" si="1"/>
        <v>20.097000000000001</v>
      </c>
      <c r="I53" s="231">
        <f t="shared" si="2"/>
        <v>15.575175000000002</v>
      </c>
      <c r="J53" s="452">
        <f t="shared" si="6"/>
        <v>1.9573629188757107</v>
      </c>
      <c r="K53" s="277">
        <f t="shared" si="3"/>
        <v>12.200000000000006</v>
      </c>
      <c r="L53" s="452">
        <f t="shared" si="4"/>
        <v>4.8800000000000026</v>
      </c>
      <c r="M53" s="452">
        <f t="shared" si="5"/>
        <v>2.4860000000000002</v>
      </c>
      <c r="N53" s="452">
        <f>2*'Toll Rates'!P58</f>
        <v>2.0418400688780061</v>
      </c>
      <c r="O53" s="223">
        <f t="shared" si="7"/>
        <v>11.365202987753719</v>
      </c>
      <c r="P53" s="231">
        <v>144.5</v>
      </c>
      <c r="Q53" s="455">
        <f t="shared" si="8"/>
        <v>13.54386127675564</v>
      </c>
    </row>
    <row r="54" spans="2:17" ht="13.95" customHeight="1">
      <c r="B54" s="34">
        <v>1994</v>
      </c>
      <c r="C54" s="454">
        <v>117.4</v>
      </c>
      <c r="D54" s="454">
        <f t="shared" si="9"/>
        <v>135.01</v>
      </c>
      <c r="E54" s="231">
        <v>20.7</v>
      </c>
      <c r="F54" s="231">
        <v>17.3</v>
      </c>
      <c r="G54" s="278">
        <f t="shared" si="10"/>
        <v>0.14000000000000001</v>
      </c>
      <c r="H54" s="231">
        <f t="shared" si="1"/>
        <v>20.224</v>
      </c>
      <c r="I54" s="231">
        <f t="shared" si="2"/>
        <v>15.6736</v>
      </c>
      <c r="J54" s="452">
        <f t="shared" si="6"/>
        <v>1.9467295324622294</v>
      </c>
      <c r="K54" s="277">
        <f t="shared" si="3"/>
        <v>12.600000000000007</v>
      </c>
      <c r="L54" s="452">
        <f t="shared" si="4"/>
        <v>5.0400000000000027</v>
      </c>
      <c r="M54" s="452">
        <f t="shared" si="5"/>
        <v>2.5613333333333337</v>
      </c>
      <c r="N54" s="452">
        <f>2*'Toll Rates'!P59</f>
        <v>1.8832338674744347</v>
      </c>
      <c r="O54" s="223">
        <f t="shared" si="7"/>
        <v>11.431296733270001</v>
      </c>
      <c r="P54" s="231">
        <v>148.19999999999999</v>
      </c>
      <c r="Q54" s="455">
        <f t="shared" si="8"/>
        <v>13.282518876309677</v>
      </c>
    </row>
    <row r="55" spans="2:17" ht="13.95" customHeight="1">
      <c r="B55" s="34">
        <v>1995</v>
      </c>
      <c r="C55" s="454">
        <v>120.5</v>
      </c>
      <c r="D55" s="454">
        <f t="shared" si="9"/>
        <v>138.57499999999999</v>
      </c>
      <c r="E55" s="231">
        <v>21.1</v>
      </c>
      <c r="F55" s="231">
        <v>17.3</v>
      </c>
      <c r="G55" s="278">
        <f t="shared" si="10"/>
        <v>0.15</v>
      </c>
      <c r="H55" s="231">
        <f t="shared" si="1"/>
        <v>20.53</v>
      </c>
      <c r="I55" s="231">
        <f t="shared" si="2"/>
        <v>15.910750000000002</v>
      </c>
      <c r="J55" s="452">
        <f t="shared" si="6"/>
        <v>1.9683515861917253</v>
      </c>
      <c r="K55" s="277">
        <f t="shared" si="3"/>
        <v>13.000000000000007</v>
      </c>
      <c r="L55" s="452">
        <f t="shared" si="4"/>
        <v>5.2000000000000028</v>
      </c>
      <c r="M55" s="452">
        <f t="shared" si="5"/>
        <v>2.6366666666666672</v>
      </c>
      <c r="N55" s="452">
        <f>2*'Toll Rates'!P60</f>
        <v>1.9897840357228089</v>
      </c>
      <c r="O55" s="223">
        <f t="shared" si="7"/>
        <v>11.794802288581204</v>
      </c>
      <c r="P55" s="231">
        <v>152.4</v>
      </c>
      <c r="Q55" s="455">
        <f t="shared" si="8"/>
        <v>13.327197861507109</v>
      </c>
    </row>
    <row r="56" spans="2:17" ht="13.95" customHeight="1">
      <c r="B56" s="34">
        <v>1996</v>
      </c>
      <c r="C56" s="454">
        <v>128.80000000000001</v>
      </c>
      <c r="D56" s="454">
        <f t="shared" si="9"/>
        <v>148.12</v>
      </c>
      <c r="E56" s="231">
        <v>21.2</v>
      </c>
      <c r="F56" s="231">
        <v>17.2</v>
      </c>
      <c r="G56" s="278">
        <f t="shared" si="10"/>
        <v>0.16</v>
      </c>
      <c r="H56" s="231">
        <f t="shared" si="1"/>
        <v>20.56</v>
      </c>
      <c r="I56" s="231">
        <f t="shared" si="2"/>
        <v>15.933999999999999</v>
      </c>
      <c r="J56" s="452">
        <f t="shared" si="6"/>
        <v>2.1008610518388355</v>
      </c>
      <c r="K56" s="277">
        <f t="shared" si="3"/>
        <v>13.400000000000007</v>
      </c>
      <c r="L56" s="452">
        <f t="shared" si="4"/>
        <v>5.360000000000003</v>
      </c>
      <c r="M56" s="452">
        <f t="shared" si="5"/>
        <v>2.7120000000000006</v>
      </c>
      <c r="N56" s="452">
        <f>2*'Toll Rates'!P61</f>
        <v>2.215446336530877</v>
      </c>
      <c r="O56" s="223">
        <f t="shared" si="7"/>
        <v>12.388307388369714</v>
      </c>
      <c r="P56" s="231">
        <v>156.9</v>
      </c>
      <c r="Q56" s="455">
        <f t="shared" si="8"/>
        <v>13.59634501132737</v>
      </c>
    </row>
    <row r="57" spans="2:17" ht="13.95" customHeight="1">
      <c r="B57" s="34">
        <v>1997</v>
      </c>
      <c r="C57" s="454">
        <v>129.1</v>
      </c>
      <c r="D57" s="454">
        <f t="shared" si="9"/>
        <v>148.46499999999997</v>
      </c>
      <c r="E57" s="231">
        <v>21.5</v>
      </c>
      <c r="F57" s="231">
        <v>17.2</v>
      </c>
      <c r="G57" s="278">
        <f t="shared" si="10"/>
        <v>0.17</v>
      </c>
      <c r="H57" s="231">
        <f t="shared" si="1"/>
        <v>20.768999999999998</v>
      </c>
      <c r="I57" s="231">
        <f t="shared" si="2"/>
        <v>16.095974999999999</v>
      </c>
      <c r="J57" s="452">
        <f t="shared" si="6"/>
        <v>2.0845639981423929</v>
      </c>
      <c r="K57" s="277">
        <f t="shared" si="3"/>
        <v>13.800000000000008</v>
      </c>
      <c r="L57" s="452">
        <f t="shared" si="4"/>
        <v>5.5200000000000031</v>
      </c>
      <c r="M57" s="452">
        <f t="shared" si="5"/>
        <v>2.7873333333333341</v>
      </c>
      <c r="N57" s="452">
        <f>2*'Toll Rates'!P62</f>
        <v>2.1323160682914626</v>
      </c>
      <c r="O57" s="223">
        <f t="shared" si="7"/>
        <v>12.524213399767193</v>
      </c>
      <c r="P57" s="231">
        <v>160.5</v>
      </c>
      <c r="Q57" s="455">
        <f t="shared" si="8"/>
        <v>13.437193441993212</v>
      </c>
    </row>
    <row r="58" spans="2:17" ht="13.95" customHeight="1">
      <c r="B58" s="34">
        <v>1998</v>
      </c>
      <c r="C58" s="454">
        <v>111.5</v>
      </c>
      <c r="D58" s="454">
        <f t="shared" si="9"/>
        <v>128.22499999999999</v>
      </c>
      <c r="E58" s="231">
        <v>21.6</v>
      </c>
      <c r="F58" s="231">
        <v>17.2</v>
      </c>
      <c r="G58" s="278">
        <f t="shared" si="10"/>
        <v>0.18</v>
      </c>
      <c r="H58" s="231">
        <f t="shared" si="1"/>
        <v>20.808000000000003</v>
      </c>
      <c r="I58" s="231">
        <f t="shared" si="2"/>
        <v>16.126200000000004</v>
      </c>
      <c r="J58" s="452">
        <f t="shared" si="6"/>
        <v>1.7970042539469928</v>
      </c>
      <c r="K58" s="277">
        <f t="shared" si="3"/>
        <v>14.200000000000008</v>
      </c>
      <c r="L58" s="452">
        <f t="shared" si="4"/>
        <v>5.6800000000000033</v>
      </c>
      <c r="M58" s="452">
        <f t="shared" si="5"/>
        <v>2.8626666666666676</v>
      </c>
      <c r="N58" s="452">
        <f>2*'Toll Rates'!P63</f>
        <v>2.1659873328753161</v>
      </c>
      <c r="O58" s="223">
        <f t="shared" si="7"/>
        <v>12.50565825348898</v>
      </c>
      <c r="P58" s="231">
        <v>163</v>
      </c>
      <c r="Q58" s="455">
        <f t="shared" si="8"/>
        <v>13.211499087428233</v>
      </c>
    </row>
    <row r="59" spans="2:17" ht="13.95" customHeight="1">
      <c r="B59" s="34">
        <v>1999</v>
      </c>
      <c r="C59" s="454">
        <v>122.1</v>
      </c>
      <c r="D59" s="454">
        <f t="shared" si="9"/>
        <v>140.41499999999999</v>
      </c>
      <c r="E59" s="231">
        <v>21.4</v>
      </c>
      <c r="F59" s="231">
        <v>17</v>
      </c>
      <c r="G59" s="278">
        <f t="shared" si="10"/>
        <v>0.19</v>
      </c>
      <c r="H59" s="231">
        <f t="shared" si="1"/>
        <v>20.564</v>
      </c>
      <c r="I59" s="231">
        <f t="shared" si="2"/>
        <v>15.937100000000001</v>
      </c>
      <c r="J59" s="452">
        <f t="shared" si="6"/>
        <v>1.9911897396640541</v>
      </c>
      <c r="K59" s="277">
        <f t="shared" si="3"/>
        <v>14.600000000000009</v>
      </c>
      <c r="L59" s="452">
        <f t="shared" si="4"/>
        <v>5.8400000000000034</v>
      </c>
      <c r="M59" s="452">
        <f t="shared" si="5"/>
        <v>2.9380000000000011</v>
      </c>
      <c r="N59" s="452">
        <f>2*'Toll Rates'!P64</f>
        <v>2.2383630884963677</v>
      </c>
      <c r="O59" s="223">
        <f t="shared" si="7"/>
        <v>13.007552828160426</v>
      </c>
      <c r="P59" s="231">
        <v>166.6</v>
      </c>
      <c r="Q59" s="455">
        <f t="shared" si="8"/>
        <v>13.444781494653212</v>
      </c>
    </row>
    <row r="60" spans="2:17" ht="13.95" customHeight="1">
      <c r="B60" s="34">
        <v>2000</v>
      </c>
      <c r="C60" s="454">
        <v>156.30000000000001</v>
      </c>
      <c r="D60" s="454">
        <f t="shared" si="9"/>
        <v>179.745</v>
      </c>
      <c r="E60" s="231">
        <v>21.9</v>
      </c>
      <c r="F60" s="231">
        <v>17.399999999999999</v>
      </c>
      <c r="G60" s="278">
        <f t="shared" si="10"/>
        <v>0.2</v>
      </c>
      <c r="H60" s="231">
        <f t="shared" si="1"/>
        <v>21</v>
      </c>
      <c r="I60" s="231">
        <f t="shared" si="2"/>
        <v>16.275000000000002</v>
      </c>
      <c r="J60" s="452">
        <f t="shared" si="6"/>
        <v>2.4959981566820275</v>
      </c>
      <c r="K60" s="277">
        <v>15</v>
      </c>
      <c r="L60" s="452">
        <f t="shared" si="4"/>
        <v>6</v>
      </c>
      <c r="M60" s="452">
        <f t="shared" si="5"/>
        <v>3.0133333333333345</v>
      </c>
      <c r="N60" s="452">
        <f>2*'Toll Rates'!P65</f>
        <v>2.2709644905881747</v>
      </c>
      <c r="O60" s="223">
        <f t="shared" si="7"/>
        <v>13.780295980603537</v>
      </c>
      <c r="P60" s="231">
        <v>172.2</v>
      </c>
      <c r="Q60" s="455">
        <f t="shared" si="8"/>
        <v>13.780295980603537</v>
      </c>
    </row>
    <row r="61" spans="2:17" ht="13.95" customHeight="1">
      <c r="B61" s="34">
        <v>2001</v>
      </c>
      <c r="C61" s="454">
        <v>153.1</v>
      </c>
      <c r="D61" s="454">
        <f t="shared" si="9"/>
        <v>176.06499999999997</v>
      </c>
      <c r="E61" s="231">
        <v>22.1</v>
      </c>
      <c r="F61" s="231">
        <v>17.600000000000001</v>
      </c>
      <c r="G61" s="278">
        <f t="shared" si="10"/>
        <v>0.21</v>
      </c>
      <c r="H61" s="231">
        <f t="shared" si="1"/>
        <v>21.155000000000005</v>
      </c>
      <c r="I61" s="231">
        <f t="shared" si="2"/>
        <v>16.395125000000004</v>
      </c>
      <c r="J61" s="452">
        <f t="shared" si="6"/>
        <v>2.4269830208674827</v>
      </c>
      <c r="K61" s="277">
        <f>K60+(K$65-K$60)/($B$65-$B$60)</f>
        <v>16</v>
      </c>
      <c r="L61" s="452">
        <f t="shared" si="4"/>
        <v>6.4</v>
      </c>
      <c r="M61" s="452">
        <f t="shared" si="5"/>
        <v>3.088666666666668</v>
      </c>
      <c r="N61" s="452">
        <f>2*'Toll Rates'!P66</f>
        <v>2.4013932137511675</v>
      </c>
      <c r="O61" s="223">
        <f t="shared" si="7"/>
        <v>14.317042901285319</v>
      </c>
      <c r="P61" s="231">
        <v>177.1</v>
      </c>
      <c r="Q61" s="455">
        <f t="shared" si="8"/>
        <v>13.920919184648966</v>
      </c>
    </row>
    <row r="62" spans="2:17" ht="13.95" customHeight="1">
      <c r="B62" s="34">
        <v>2002</v>
      </c>
      <c r="C62" s="454">
        <v>144.1</v>
      </c>
      <c r="D62" s="454">
        <f t="shared" si="9"/>
        <v>165.71499999999997</v>
      </c>
      <c r="E62" s="231">
        <v>22</v>
      </c>
      <c r="F62" s="231">
        <v>17.5</v>
      </c>
      <c r="G62" s="278">
        <f t="shared" si="10"/>
        <v>0.22</v>
      </c>
      <c r="H62" s="231">
        <f t="shared" si="1"/>
        <v>21.01</v>
      </c>
      <c r="I62" s="231">
        <f t="shared" si="2"/>
        <v>16.28275</v>
      </c>
      <c r="J62" s="452">
        <f t="shared" si="6"/>
        <v>2.3000776895794628</v>
      </c>
      <c r="K62" s="277">
        <f>K61+(K$65-K$60)/($B$65-$B$60)</f>
        <v>17</v>
      </c>
      <c r="L62" s="452">
        <f t="shared" si="4"/>
        <v>6.8000000000000007</v>
      </c>
      <c r="M62" s="452">
        <f t="shared" si="5"/>
        <v>3.1640000000000015</v>
      </c>
      <c r="N62" s="452">
        <f>2*'Toll Rates'!P67</f>
        <v>2.3401772111126791</v>
      </c>
      <c r="O62" s="223">
        <f t="shared" si="7"/>
        <v>14.604254900692144</v>
      </c>
      <c r="P62" s="231">
        <v>179.9</v>
      </c>
      <c r="Q62" s="455">
        <f t="shared" si="8"/>
        <v>13.979170060584698</v>
      </c>
    </row>
    <row r="63" spans="2:17" ht="13.95" customHeight="1">
      <c r="B63" s="34">
        <v>2003</v>
      </c>
      <c r="C63" s="454">
        <v>163.80000000000001</v>
      </c>
      <c r="D63" s="454">
        <f t="shared" si="9"/>
        <v>188.37</v>
      </c>
      <c r="E63" s="231">
        <v>22.2</v>
      </c>
      <c r="F63" s="231">
        <v>16.2</v>
      </c>
      <c r="G63" s="278">
        <f t="shared" si="10"/>
        <v>0.23</v>
      </c>
      <c r="H63" s="231">
        <f t="shared" si="1"/>
        <v>20.82</v>
      </c>
      <c r="I63" s="231">
        <f t="shared" si="2"/>
        <v>16.1355</v>
      </c>
      <c r="J63" s="452">
        <f t="shared" si="6"/>
        <v>2.6383824486380965</v>
      </c>
      <c r="K63" s="277">
        <f>K62+(K$65-K$60)/($B$65-$B$60)</f>
        <v>18</v>
      </c>
      <c r="L63" s="452">
        <f t="shared" si="4"/>
        <v>7.2</v>
      </c>
      <c r="M63" s="452">
        <f t="shared" si="5"/>
        <v>3.239333333333335</v>
      </c>
      <c r="N63" s="452">
        <f>2*'Toll Rates'!P68</f>
        <v>2.4586026992081655</v>
      </c>
      <c r="O63" s="223">
        <f t="shared" si="7"/>
        <v>15.536318481179595</v>
      </c>
      <c r="P63" s="231">
        <v>184</v>
      </c>
      <c r="Q63" s="455">
        <f t="shared" si="8"/>
        <v>14.53996762206047</v>
      </c>
    </row>
    <row r="64" spans="2:17" ht="13.95" customHeight="1">
      <c r="B64" s="34">
        <v>2004</v>
      </c>
      <c r="C64" s="454">
        <v>192.3</v>
      </c>
      <c r="D64" s="454">
        <f t="shared" si="9"/>
        <v>221.14499999999998</v>
      </c>
      <c r="E64" s="231">
        <v>22.5</v>
      </c>
      <c r="F64" s="231">
        <v>16.2</v>
      </c>
      <c r="G64" s="278">
        <f t="shared" si="10"/>
        <v>0.24</v>
      </c>
      <c r="H64" s="231">
        <f t="shared" si="1"/>
        <v>20.988</v>
      </c>
      <c r="I64" s="231">
        <f t="shared" si="2"/>
        <v>16.265699999999999</v>
      </c>
      <c r="J64" s="452">
        <f t="shared" si="6"/>
        <v>3.0726479647356091</v>
      </c>
      <c r="K64" s="277">
        <f>K63+(K$65-K$60)/($B$65-$B$60)</f>
        <v>19</v>
      </c>
      <c r="L64" s="452">
        <f t="shared" si="4"/>
        <v>7.6000000000000005</v>
      </c>
      <c r="M64" s="452">
        <f t="shared" si="5"/>
        <v>3.3146666666666684</v>
      </c>
      <c r="N64" s="452">
        <f>2*'Toll Rates'!P69</f>
        <v>2.5613084858176829</v>
      </c>
      <c r="O64" s="223">
        <f t="shared" si="7"/>
        <v>16.548623117219961</v>
      </c>
      <c r="P64" s="231">
        <v>188.9</v>
      </c>
      <c r="Q64" s="455">
        <f t="shared" si="8"/>
        <v>15.085616203204218</v>
      </c>
    </row>
    <row r="65" spans="2:17" ht="13.95" customHeight="1">
      <c r="B65" s="34">
        <v>2005</v>
      </c>
      <c r="C65" s="454">
        <v>233.8</v>
      </c>
      <c r="D65" s="454">
        <f t="shared" si="9"/>
        <v>268.87</v>
      </c>
      <c r="E65" s="231">
        <v>22.9</v>
      </c>
      <c r="F65" s="231">
        <v>16.2</v>
      </c>
      <c r="G65" s="278">
        <f t="shared" si="10"/>
        <v>0.25</v>
      </c>
      <c r="H65" s="231">
        <f t="shared" si="1"/>
        <v>21.224999999999998</v>
      </c>
      <c r="I65" s="231">
        <f t="shared" si="2"/>
        <v>16.449375</v>
      </c>
      <c r="J65" s="452">
        <f t="shared" si="6"/>
        <v>3.694038223336753</v>
      </c>
      <c r="K65" s="277">
        <v>20</v>
      </c>
      <c r="L65" s="452">
        <f t="shared" si="4"/>
        <v>8</v>
      </c>
      <c r="M65" s="452">
        <f>K23*$K$18*2</f>
        <v>3.39</v>
      </c>
      <c r="N65" s="452">
        <f>2*'Toll Rates'!P70</f>
        <v>2.7562495881015567</v>
      </c>
      <c r="O65" s="223">
        <f t="shared" si="7"/>
        <v>17.840287811438309</v>
      </c>
      <c r="P65" s="231">
        <v>195.3</v>
      </c>
      <c r="Q65" s="455">
        <f t="shared" si="8"/>
        <v>15.730146242343453</v>
      </c>
    </row>
    <row r="66" spans="2:17" ht="13.95" customHeight="1">
      <c r="B66" s="34">
        <v>2006</v>
      </c>
      <c r="C66" s="34"/>
      <c r="D66" s="34"/>
      <c r="E66" s="34"/>
      <c r="F66" s="34"/>
      <c r="G66" s="34"/>
      <c r="H66" s="231"/>
      <c r="I66" s="34"/>
      <c r="J66" s="34"/>
      <c r="K66" s="34"/>
      <c r="L66" s="34"/>
      <c r="M66" s="34"/>
      <c r="N66" s="34"/>
      <c r="O66" s="34"/>
      <c r="P66" s="231">
        <v>201.6</v>
      </c>
      <c r="Q66" s="34"/>
    </row>
    <row r="68" spans="2:17" ht="13.95" customHeight="1">
      <c r="B68" s="215" t="s">
        <v>609</v>
      </c>
      <c r="C68" s="7"/>
      <c r="D68" s="7"/>
      <c r="E68" s="7"/>
      <c r="F68" s="7"/>
      <c r="G68" s="7"/>
      <c r="H68" s="7"/>
    </row>
    <row r="69" spans="2:17" ht="13.95" customHeight="1">
      <c r="B69" s="215" t="s">
        <v>69</v>
      </c>
    </row>
    <row r="70" spans="2:17" ht="13.95" customHeight="1">
      <c r="B70" s="215" t="s">
        <v>2767</v>
      </c>
    </row>
    <row r="71" spans="2:17" ht="13.95" customHeight="1">
      <c r="B71" s="215" t="s">
        <v>2656</v>
      </c>
    </row>
    <row r="72" spans="2:17" ht="13.95" customHeight="1">
      <c r="B72" s="215" t="s">
        <v>413</v>
      </c>
    </row>
    <row r="73" spans="2:17" ht="13.95" customHeight="1">
      <c r="B73" s="215" t="s">
        <v>952</v>
      </c>
    </row>
    <row r="74" spans="2:17" ht="13.95" customHeight="1">
      <c r="B74" s="215" t="s">
        <v>2331</v>
      </c>
    </row>
    <row r="75" spans="2:17" ht="13.95" customHeight="1">
      <c r="B75" s="215" t="s">
        <v>136</v>
      </c>
    </row>
    <row r="76" spans="2:17" ht="13.95" customHeight="1">
      <c r="B76" s="215" t="s">
        <v>2140</v>
      </c>
    </row>
  </sheetData>
  <customSheetViews>
    <customSheetView guid="{BD5E6263-A0AD-4076-921A-D4EBD62848EF}" showGridLines="0" showRuler="0">
      <selection activeCell="B19" sqref="B19"/>
      <pageMargins left="0.75" right="0.75" top="1" bottom="1" header="0.5" footer="0.5"/>
      <pageSetup orientation="portrait" verticalDpi="1200" r:id="rId1"/>
      <headerFooter alignWithMargins="0"/>
    </customSheetView>
    <customSheetView guid="{1D5AE30A-CA7C-4B32-AEA4-9F37A560AAA8}" showGridLines="0" showRuler="0">
      <selection activeCell="B19" sqref="B19"/>
      <pageMargins left="0.75" right="0.75" top="1" bottom="1" header="0.5" footer="0.5"/>
      <pageSetup orientation="portrait" verticalDpi="1200" r:id="rId2"/>
      <headerFooter alignWithMargins="0"/>
    </customSheetView>
  </customSheetViews>
  <mergeCells count="5">
    <mergeCell ref="N12:S12"/>
    <mergeCell ref="B5:J8"/>
    <mergeCell ref="B24:J26"/>
    <mergeCell ref="K10:K12"/>
    <mergeCell ref="L10:L12"/>
  </mergeCells>
  <phoneticPr fontId="6" type="noConversion"/>
  <pageMargins left="0.75" right="0.75" top="1" bottom="1" header="0.5" footer="0.5"/>
  <pageSetup orientation="portrait" verticalDpi="1200" r:id="rId3"/>
  <headerFooter alignWithMargins="0"/>
</worksheet>
</file>

<file path=xl/worksheets/sheet48.xml><?xml version="1.0" encoding="utf-8"?>
<worksheet xmlns="http://schemas.openxmlformats.org/spreadsheetml/2006/main" xmlns:r="http://schemas.openxmlformats.org/officeDocument/2006/relationships">
  <sheetPr codeName="Sheet40"/>
  <dimension ref="B1:Z144"/>
  <sheetViews>
    <sheetView showGridLines="0" showRuler="0" workbookViewId="0"/>
  </sheetViews>
  <sheetFormatPr defaultRowHeight="13.95" customHeight="1"/>
  <cols>
    <col min="1" max="1" width="2.75" customWidth="1"/>
    <col min="2" max="2" width="16.375" customWidth="1"/>
    <col min="3" max="3" width="18.75" customWidth="1"/>
    <col min="5" max="5" width="10.125" customWidth="1"/>
    <col min="6" max="6" width="9.875" customWidth="1"/>
    <col min="7" max="7" width="14.625" customWidth="1"/>
    <col min="8" max="8" width="12" bestFit="1" customWidth="1"/>
    <col min="9" max="9" width="11.125" customWidth="1"/>
    <col min="10" max="10" width="10" customWidth="1"/>
    <col min="11" max="11" width="1.625" customWidth="1"/>
    <col min="12" max="12" width="7.875" customWidth="1"/>
    <col min="16" max="16" width="10" customWidth="1"/>
    <col min="19" max="19" width="10" customWidth="1"/>
    <col min="20" max="20" width="1.625" customWidth="1"/>
    <col min="22" max="22" width="10.25" customWidth="1"/>
    <col min="26" max="26" width="2.375" customWidth="1"/>
  </cols>
  <sheetData>
    <row r="1" spans="2:26" ht="13.95" customHeight="1">
      <c r="Z1" s="117">
        <f>ROW()</f>
        <v>1</v>
      </c>
    </row>
    <row r="2" spans="2:26" ht="13.95" customHeight="1">
      <c r="B2" s="115" t="s">
        <v>2501</v>
      </c>
      <c r="H2" s="181">
        <f>'Title Page'!K1</f>
        <v>40914</v>
      </c>
      <c r="Z2" s="117">
        <f>ROW()</f>
        <v>2</v>
      </c>
    </row>
    <row r="3" spans="2:26" ht="13.95" customHeight="1">
      <c r="Z3" s="117">
        <f>ROW()</f>
        <v>3</v>
      </c>
    </row>
    <row r="4" spans="2:26" ht="13.95" customHeight="1">
      <c r="B4" s="3781" t="s">
        <v>188</v>
      </c>
      <c r="C4" s="3781"/>
      <c r="D4" s="3781"/>
      <c r="E4" s="3781"/>
      <c r="F4" s="3781"/>
      <c r="G4" s="3781"/>
      <c r="H4" s="3781"/>
      <c r="I4" s="3781"/>
      <c r="J4" s="3781"/>
      <c r="K4" s="3781"/>
      <c r="Z4" s="117">
        <f>ROW()</f>
        <v>4</v>
      </c>
    </row>
    <row r="5" spans="2:26" ht="13.95" customHeight="1">
      <c r="B5" s="3781"/>
      <c r="C5" s="3781"/>
      <c r="D5" s="3781"/>
      <c r="E5" s="3781"/>
      <c r="F5" s="3781"/>
      <c r="G5" s="3781"/>
      <c r="H5" s="3781"/>
      <c r="I5" s="3781"/>
      <c r="J5" s="3781"/>
      <c r="K5" s="3781"/>
      <c r="Z5" s="117">
        <f>ROW()</f>
        <v>5</v>
      </c>
    </row>
    <row r="6" spans="2:26" ht="13.95" customHeight="1">
      <c r="B6" s="3781"/>
      <c r="C6" s="3781"/>
      <c r="D6" s="3781"/>
      <c r="E6" s="3781"/>
      <c r="F6" s="3781"/>
      <c r="G6" s="3781"/>
      <c r="H6" s="3781"/>
      <c r="I6" s="3781"/>
      <c r="J6" s="3781"/>
      <c r="K6" s="3781"/>
      <c r="Z6" s="117">
        <f>ROW()</f>
        <v>6</v>
      </c>
    </row>
    <row r="7" spans="2:26" ht="13.95" customHeight="1">
      <c r="Z7" s="117">
        <f>ROW()</f>
        <v>7</v>
      </c>
    </row>
    <row r="8" spans="2:26" ht="13.95" customHeight="1">
      <c r="Z8" s="117">
        <f>ROW()</f>
        <v>8</v>
      </c>
    </row>
    <row r="9" spans="2:26" ht="13.95" customHeight="1">
      <c r="B9" s="6" t="s">
        <v>839</v>
      </c>
      <c r="Z9" s="117">
        <f>ROW()</f>
        <v>9</v>
      </c>
    </row>
    <row r="10" spans="2:26" ht="13.95" customHeight="1">
      <c r="B10" s="3781" t="s">
        <v>1890</v>
      </c>
      <c r="C10" s="3781"/>
      <c r="D10" s="3781"/>
      <c r="E10" s="3781"/>
      <c r="F10" s="3781"/>
      <c r="G10" s="3781"/>
      <c r="H10" s="3781"/>
      <c r="I10" s="3781"/>
      <c r="J10" s="3781"/>
      <c r="Z10" s="117">
        <f>ROW()</f>
        <v>10</v>
      </c>
    </row>
    <row r="11" spans="2:26" ht="13.95" customHeight="1">
      <c r="B11" s="3781"/>
      <c r="C11" s="3781"/>
      <c r="D11" s="3781"/>
      <c r="E11" s="3781"/>
      <c r="F11" s="3781"/>
      <c r="G11" s="3781"/>
      <c r="H11" s="3781"/>
      <c r="I11" s="3781"/>
      <c r="J11" s="3781"/>
      <c r="Z11" s="117">
        <f>ROW()</f>
        <v>11</v>
      </c>
    </row>
    <row r="12" spans="2:26" ht="13.95" customHeight="1">
      <c r="B12" s="3781"/>
      <c r="C12" s="3781"/>
      <c r="D12" s="3781"/>
      <c r="E12" s="3781"/>
      <c r="F12" s="3781"/>
      <c r="G12" s="3781"/>
      <c r="H12" s="3781"/>
      <c r="I12" s="3781"/>
      <c r="J12" s="3781"/>
      <c r="Z12" s="117">
        <f>ROW()</f>
        <v>12</v>
      </c>
    </row>
    <row r="13" spans="2:26" ht="13.95" customHeight="1">
      <c r="Z13" s="117">
        <f>ROW()</f>
        <v>13</v>
      </c>
    </row>
    <row r="14" spans="2:26" ht="13.95" customHeight="1">
      <c r="B14" s="6" t="s">
        <v>149</v>
      </c>
      <c r="C14" s="6"/>
      <c r="D14" s="6"/>
      <c r="E14" s="6"/>
      <c r="F14" s="6"/>
      <c r="G14" s="6"/>
      <c r="H14" s="6"/>
      <c r="I14" s="6"/>
      <c r="J14" s="6"/>
      <c r="K14" s="6"/>
      <c r="L14" s="6"/>
      <c r="M14" s="6"/>
      <c r="N14" s="6"/>
      <c r="O14" s="6"/>
      <c r="P14" s="6"/>
      <c r="Q14" s="6"/>
      <c r="R14" s="6"/>
      <c r="S14" s="6"/>
      <c r="T14" s="6"/>
      <c r="U14" s="6"/>
      <c r="V14" s="6"/>
      <c r="Z14" s="117">
        <f>ROW()</f>
        <v>14</v>
      </c>
    </row>
    <row r="15" spans="2:26" ht="13.95" customHeight="1">
      <c r="Z15" s="117">
        <f>ROW()</f>
        <v>15</v>
      </c>
    </row>
    <row r="16" spans="2:26" s="7" customFormat="1" ht="13.95" customHeight="1" thickBot="1">
      <c r="C16" s="3803" t="s">
        <v>150</v>
      </c>
      <c r="D16" s="5151"/>
      <c r="E16" s="5151"/>
      <c r="F16" s="5151"/>
      <c r="G16" s="5151"/>
      <c r="H16" s="5151"/>
      <c r="I16" s="5152"/>
      <c r="J16" s="75"/>
      <c r="L16" s="3803" t="s">
        <v>151</v>
      </c>
      <c r="M16" s="5151"/>
      <c r="N16" s="5151"/>
      <c r="O16" s="5151"/>
      <c r="P16" s="5151"/>
      <c r="Q16" s="5151"/>
      <c r="R16" s="5152"/>
      <c r="S16" s="75"/>
      <c r="Z16" s="117">
        <f>ROW()</f>
        <v>16</v>
      </c>
    </row>
    <row r="17" spans="2:26" ht="54" customHeight="1" thickBot="1">
      <c r="C17" s="510" t="s">
        <v>967</v>
      </c>
      <c r="D17" s="511" t="s">
        <v>152</v>
      </c>
      <c r="E17" s="512" t="s">
        <v>153</v>
      </c>
      <c r="F17" s="510" t="s">
        <v>841</v>
      </c>
      <c r="G17" s="513" t="s">
        <v>2067</v>
      </c>
      <c r="H17" s="512" t="s">
        <v>1187</v>
      </c>
      <c r="I17" s="514" t="s">
        <v>1188</v>
      </c>
      <c r="J17" s="58" t="s">
        <v>1128</v>
      </c>
      <c r="K17" s="60"/>
      <c r="L17" s="515" t="s">
        <v>967</v>
      </c>
      <c r="M17" s="511" t="s">
        <v>152</v>
      </c>
      <c r="N17" s="516" t="s">
        <v>153</v>
      </c>
      <c r="O17" s="510" t="s">
        <v>841</v>
      </c>
      <c r="P17" s="513" t="s">
        <v>2067</v>
      </c>
      <c r="Q17" s="511" t="s">
        <v>1187</v>
      </c>
      <c r="R17" s="514" t="s">
        <v>1121</v>
      </c>
      <c r="S17" s="58" t="s">
        <v>1128</v>
      </c>
      <c r="T17" s="61"/>
      <c r="U17" s="56" t="s">
        <v>1122</v>
      </c>
      <c r="V17" s="58" t="s">
        <v>1128</v>
      </c>
      <c r="Z17" s="117">
        <f>ROW()</f>
        <v>17</v>
      </c>
    </row>
    <row r="18" spans="2:26" ht="13.95" customHeight="1">
      <c r="B18" t="s">
        <v>1123</v>
      </c>
      <c r="C18" s="380">
        <v>1360</v>
      </c>
      <c r="D18" s="381">
        <v>131836</v>
      </c>
      <c r="E18" s="381">
        <f>C18+D18</f>
        <v>133196</v>
      </c>
      <c r="F18" s="381">
        <v>211672</v>
      </c>
      <c r="G18" s="381">
        <v>3127</v>
      </c>
      <c r="H18" s="381">
        <f>SUM(F18:G18)</f>
        <v>214799</v>
      </c>
      <c r="I18" s="381">
        <f>E18+H18</f>
        <v>347995</v>
      </c>
      <c r="J18" s="62">
        <f>E18/I18</f>
        <v>0.38275262575611718</v>
      </c>
      <c r="K18" s="63"/>
      <c r="L18" s="377">
        <v>22684</v>
      </c>
      <c r="M18" s="377">
        <v>24530</v>
      </c>
      <c r="N18" s="377">
        <f>L18+M18</f>
        <v>47214</v>
      </c>
      <c r="O18" s="377">
        <v>339181</v>
      </c>
      <c r="P18" s="377">
        <v>5540</v>
      </c>
      <c r="Q18" s="377">
        <f>SUM(O18:P18)</f>
        <v>344721</v>
      </c>
      <c r="R18" s="377">
        <f>N18+Q18</f>
        <v>391935</v>
      </c>
      <c r="S18" s="64">
        <f>N18/R18</f>
        <v>0.12046385242450916</v>
      </c>
      <c r="T18" s="65"/>
      <c r="U18" s="390">
        <f>I18+R18</f>
        <v>739930</v>
      </c>
      <c r="V18" s="64">
        <f>(E18+N18)/U18</f>
        <v>0.24382036138553648</v>
      </c>
      <c r="Z18" s="117">
        <f>ROW()</f>
        <v>18</v>
      </c>
    </row>
    <row r="19" spans="2:26" ht="13.95" customHeight="1">
      <c r="B19" t="s">
        <v>1124</v>
      </c>
      <c r="C19" s="382">
        <v>4982</v>
      </c>
      <c r="D19" s="383">
        <v>102511</v>
      </c>
      <c r="E19" s="383">
        <f>C19+D19</f>
        <v>107493</v>
      </c>
      <c r="F19" s="383">
        <v>110661</v>
      </c>
      <c r="G19" s="383">
        <v>3354</v>
      </c>
      <c r="H19" s="383">
        <f>SUM(F19:G19)</f>
        <v>114015</v>
      </c>
      <c r="I19" s="383">
        <f>E19+H19</f>
        <v>221508</v>
      </c>
      <c r="J19" s="66">
        <f>E19/I19</f>
        <v>0.48527818408364481</v>
      </c>
      <c r="K19" s="67"/>
      <c r="L19" s="378">
        <v>9586</v>
      </c>
      <c r="M19" s="378">
        <v>24239</v>
      </c>
      <c r="N19" s="378">
        <f>L19+M19</f>
        <v>33825</v>
      </c>
      <c r="O19" s="378">
        <v>128082</v>
      </c>
      <c r="P19" s="378">
        <v>2971</v>
      </c>
      <c r="Q19" s="378">
        <f>SUM(O19:P19)</f>
        <v>131053</v>
      </c>
      <c r="R19" s="378">
        <f>N19+Q19</f>
        <v>164878</v>
      </c>
      <c r="S19" s="68">
        <f>N19/R19</f>
        <v>0.20515168791470056</v>
      </c>
      <c r="T19" s="69"/>
      <c r="U19" s="391">
        <f>I19+R19</f>
        <v>386386</v>
      </c>
      <c r="V19" s="68">
        <f>(E19+N19)/U19</f>
        <v>0.3657430652249305</v>
      </c>
      <c r="Z19" s="117">
        <f>ROW()</f>
        <v>19</v>
      </c>
    </row>
    <row r="20" spans="2:26" ht="13.95" customHeight="1">
      <c r="B20" t="s">
        <v>1125</v>
      </c>
      <c r="C20" s="386">
        <v>87386</v>
      </c>
      <c r="D20" s="387">
        <v>143615</v>
      </c>
      <c r="E20" s="387">
        <f>C20+D20</f>
        <v>231001</v>
      </c>
      <c r="F20" s="387">
        <v>185355</v>
      </c>
      <c r="G20" s="387">
        <v>8515</v>
      </c>
      <c r="H20" s="387">
        <f>SUM(F20:G20)</f>
        <v>193870</v>
      </c>
      <c r="I20" s="387">
        <f>E20+H20</f>
        <v>424871</v>
      </c>
      <c r="J20" s="388">
        <f>E20/I20</f>
        <v>0.54369679267354087</v>
      </c>
      <c r="K20" s="67"/>
      <c r="L20" s="389">
        <v>29340</v>
      </c>
      <c r="M20" s="389">
        <v>46311</v>
      </c>
      <c r="N20" s="389">
        <f>L20+M20</f>
        <v>75651</v>
      </c>
      <c r="O20" s="389">
        <v>175650</v>
      </c>
      <c r="P20" s="389">
        <v>6478</v>
      </c>
      <c r="Q20" s="389">
        <f>SUM(O20:P20)</f>
        <v>182128</v>
      </c>
      <c r="R20" s="389">
        <f>N20+Q20</f>
        <v>257779</v>
      </c>
      <c r="S20" s="68">
        <f>N20/R20</f>
        <v>0.29347231543298719</v>
      </c>
      <c r="T20" s="69"/>
      <c r="U20" s="393">
        <f>I20+R20</f>
        <v>682650</v>
      </c>
      <c r="V20" s="68">
        <f>(E20+N20)/U20</f>
        <v>0.44920823262286674</v>
      </c>
      <c r="Z20" s="117">
        <f>ROW()</f>
        <v>20</v>
      </c>
    </row>
    <row r="21" spans="2:26" s="9" customFormat="1" ht="13.95" customHeight="1" thickBot="1">
      <c r="B21" s="6" t="s">
        <v>1126</v>
      </c>
      <c r="C21" s="384">
        <f>SUM(C18:C20)</f>
        <v>93728</v>
      </c>
      <c r="D21" s="385">
        <v>377962</v>
      </c>
      <c r="E21" s="385">
        <f>C21+D21</f>
        <v>471690</v>
      </c>
      <c r="F21" s="385">
        <f>SUM(F18:F20)</f>
        <v>507688</v>
      </c>
      <c r="G21" s="385">
        <f>SUM(G18:G20)</f>
        <v>14996</v>
      </c>
      <c r="H21" s="385">
        <f>SUM(F21:G21)</f>
        <v>522684</v>
      </c>
      <c r="I21" s="385">
        <f>E21+H21</f>
        <v>994374</v>
      </c>
      <c r="J21" s="71">
        <f>E21/I21</f>
        <v>0.47435874228409031</v>
      </c>
      <c r="K21" s="72"/>
      <c r="L21" s="379">
        <f>SUM(L18:L20)</f>
        <v>61610</v>
      </c>
      <c r="M21" s="379">
        <v>95080</v>
      </c>
      <c r="N21" s="379">
        <f>L21+M21</f>
        <v>156690</v>
      </c>
      <c r="O21" s="379">
        <f>SUM(O18:O20)</f>
        <v>642913</v>
      </c>
      <c r="P21" s="379">
        <f>SUM(P18:P20)</f>
        <v>14989</v>
      </c>
      <c r="Q21" s="379">
        <f>SUM(O21:P21)</f>
        <v>657902</v>
      </c>
      <c r="R21" s="379">
        <f>N21+Q21</f>
        <v>814592</v>
      </c>
      <c r="S21" s="73">
        <f>N21/R21</f>
        <v>0.19235396370207417</v>
      </c>
      <c r="T21" s="74"/>
      <c r="U21" s="392">
        <f>I21+R21</f>
        <v>1808966</v>
      </c>
      <c r="V21" s="73">
        <f>(E21+N21)/U21</f>
        <v>0.3473697128635917</v>
      </c>
      <c r="Z21" s="117">
        <f>ROW()</f>
        <v>21</v>
      </c>
    </row>
    <row r="22" spans="2:26" ht="13.95" customHeight="1">
      <c r="C22" s="70"/>
      <c r="D22" s="44"/>
      <c r="E22" s="44"/>
      <c r="F22" s="44"/>
      <c r="G22" s="44"/>
      <c r="H22" s="44"/>
      <c r="I22" s="44"/>
      <c r="J22" s="44"/>
      <c r="K22" s="44"/>
      <c r="L22" s="44"/>
      <c r="M22" s="44"/>
      <c r="N22" s="44"/>
      <c r="O22" s="44"/>
      <c r="P22" s="44"/>
      <c r="Q22" s="44"/>
      <c r="R22" s="44"/>
      <c r="S22" s="44"/>
      <c r="Z22" s="117">
        <f>ROW()</f>
        <v>22</v>
      </c>
    </row>
    <row r="23" spans="2:26" ht="13.95" customHeight="1">
      <c r="B23" s="269" t="s">
        <v>1127</v>
      </c>
      <c r="C23" s="44"/>
      <c r="D23" s="44"/>
      <c r="E23" s="44"/>
      <c r="F23" s="44"/>
      <c r="G23" s="44"/>
      <c r="H23" s="44"/>
      <c r="I23" s="44"/>
      <c r="J23" s="44"/>
      <c r="K23" s="44"/>
      <c r="L23" s="44"/>
      <c r="M23" s="44"/>
      <c r="N23" s="44"/>
      <c r="O23" s="44"/>
      <c r="P23" s="44"/>
      <c r="Q23" s="44"/>
      <c r="R23" s="44"/>
      <c r="S23" s="44"/>
      <c r="Z23" s="117">
        <f>ROW()</f>
        <v>23</v>
      </c>
    </row>
    <row r="24" spans="2:26" ht="13.95" customHeight="1">
      <c r="Z24" s="117">
        <f>ROW()</f>
        <v>24</v>
      </c>
    </row>
    <row r="25" spans="2:26" ht="13.95" customHeight="1">
      <c r="B25" s="46" t="s">
        <v>1129</v>
      </c>
      <c r="Z25" s="117">
        <f>ROW()</f>
        <v>25</v>
      </c>
    </row>
    <row r="26" spans="2:26" ht="13.95" customHeight="1">
      <c r="B26" s="281" t="s">
        <v>1131</v>
      </c>
      <c r="H26" s="20" t="s">
        <v>833</v>
      </c>
      <c r="I26" s="20" t="s">
        <v>835</v>
      </c>
      <c r="Z26" s="117">
        <f>ROW()</f>
        <v>26</v>
      </c>
    </row>
    <row r="27" spans="2:26" ht="13.95" customHeight="1">
      <c r="D27" s="242" t="s">
        <v>2065</v>
      </c>
      <c r="E27" s="242" t="s">
        <v>2066</v>
      </c>
      <c r="F27" s="242" t="s">
        <v>1130</v>
      </c>
      <c r="H27" s="242" t="s">
        <v>834</v>
      </c>
      <c r="I27" s="242" t="s">
        <v>836</v>
      </c>
      <c r="Z27" s="117">
        <f>ROW()</f>
        <v>27</v>
      </c>
    </row>
    <row r="28" spans="2:26" ht="13.95" customHeight="1">
      <c r="B28" t="s">
        <v>1123</v>
      </c>
      <c r="D28" s="155">
        <f>F18</f>
        <v>211672</v>
      </c>
      <c r="E28" s="155">
        <f>O18</f>
        <v>339181</v>
      </c>
      <c r="F28" s="155">
        <f>D28+E28</f>
        <v>550853</v>
      </c>
      <c r="H28" s="223">
        <f>'Trip Price'!N65</f>
        <v>2.7562495881015567</v>
      </c>
      <c r="I28" s="155">
        <f>F28*H28</f>
        <v>1518288.3543545068</v>
      </c>
      <c r="Z28" s="117">
        <f>ROW()</f>
        <v>28</v>
      </c>
    </row>
    <row r="29" spans="2:26" ht="13.95" customHeight="1">
      <c r="B29" t="s">
        <v>1124</v>
      </c>
      <c r="D29" s="155">
        <f>F19</f>
        <v>110661</v>
      </c>
      <c r="E29" s="155">
        <f>O19</f>
        <v>128082</v>
      </c>
      <c r="F29" s="155">
        <f>D29+E29</f>
        <v>238743</v>
      </c>
      <c r="H29" s="223">
        <v>0.5</v>
      </c>
      <c r="I29" s="155">
        <f>F29*H29</f>
        <v>119371.5</v>
      </c>
      <c r="Z29" s="117">
        <f>ROW()</f>
        <v>29</v>
      </c>
    </row>
    <row r="30" spans="2:26" ht="13.95" customHeight="1">
      <c r="B30" t="s">
        <v>1125</v>
      </c>
      <c r="D30" s="155">
        <f>F20</f>
        <v>185355</v>
      </c>
      <c r="E30" s="155">
        <f>O20</f>
        <v>175650</v>
      </c>
      <c r="F30" s="345">
        <f>D30+E30</f>
        <v>361005</v>
      </c>
      <c r="H30" s="223">
        <v>5</v>
      </c>
      <c r="I30" s="345">
        <f>F30*H30</f>
        <v>1805025</v>
      </c>
      <c r="Z30" s="117">
        <f>ROW()</f>
        <v>30</v>
      </c>
    </row>
    <row r="31" spans="2:26" ht="13.95" customHeight="1">
      <c r="B31" t="s">
        <v>837</v>
      </c>
      <c r="D31" s="155"/>
      <c r="E31" s="155"/>
      <c r="F31" s="394">
        <f>SUM(F28:F30)</f>
        <v>1150601</v>
      </c>
      <c r="H31" s="26"/>
      <c r="I31" s="328">
        <f>SUM(I28:I30)</f>
        <v>3442684.8543545068</v>
      </c>
      <c r="Z31" s="117">
        <f>ROW()</f>
        <v>31</v>
      </c>
    </row>
    <row r="32" spans="2:26" ht="13.95" customHeight="1">
      <c r="B32" t="s">
        <v>838</v>
      </c>
      <c r="F32" s="7"/>
      <c r="H32" s="26"/>
      <c r="I32" s="396">
        <f>I31/F31</f>
        <v>2.992075319206664</v>
      </c>
      <c r="Z32" s="117">
        <f>ROW()</f>
        <v>32</v>
      </c>
    </row>
    <row r="33" spans="2:26" ht="13.95" customHeight="1">
      <c r="B33" t="s">
        <v>909</v>
      </c>
      <c r="F33" s="7"/>
      <c r="H33" s="26"/>
      <c r="I33" s="395">
        <f>I32/H28</f>
        <v>1.0855603687427811</v>
      </c>
      <c r="Z33" s="117">
        <f>ROW()</f>
        <v>33</v>
      </c>
    </row>
    <row r="34" spans="2:26" ht="13.95" customHeight="1">
      <c r="H34" s="26"/>
      <c r="Z34" s="117">
        <f>ROW()</f>
        <v>34</v>
      </c>
    </row>
    <row r="35" spans="2:26" ht="13.95" customHeight="1">
      <c r="B35" s="4581" t="s">
        <v>2390</v>
      </c>
      <c r="C35" s="4187"/>
      <c r="D35" s="4187"/>
      <c r="E35" s="4187"/>
      <c r="F35" s="4187"/>
      <c r="G35" s="4187"/>
      <c r="H35" s="4187"/>
      <c r="I35" s="4187"/>
      <c r="J35" s="4187"/>
      <c r="Z35" s="117">
        <f>ROW()</f>
        <v>35</v>
      </c>
    </row>
    <row r="36" spans="2:26" ht="13.95" customHeight="1">
      <c r="B36" s="4187"/>
      <c r="C36" s="4187"/>
      <c r="D36" s="4187"/>
      <c r="E36" s="4187"/>
      <c r="F36" s="4187"/>
      <c r="G36" s="4187"/>
      <c r="H36" s="4187"/>
      <c r="I36" s="4187"/>
      <c r="J36" s="4187"/>
      <c r="Z36" s="117">
        <f>ROW()</f>
        <v>36</v>
      </c>
    </row>
    <row r="37" spans="2:26" ht="13.95" customHeight="1">
      <c r="B37" s="4187"/>
      <c r="C37" s="4187"/>
      <c r="D37" s="4187"/>
      <c r="E37" s="4187"/>
      <c r="F37" s="4187"/>
      <c r="G37" s="4187"/>
      <c r="H37" s="4187"/>
      <c r="I37" s="4187"/>
      <c r="J37" s="4187"/>
      <c r="Z37" s="117">
        <f>ROW()</f>
        <v>37</v>
      </c>
    </row>
    <row r="38" spans="2:26" ht="13.95" customHeight="1">
      <c r="Z38" s="117">
        <f>ROW()</f>
        <v>38</v>
      </c>
    </row>
    <row r="39" spans="2:26" ht="13.95" customHeight="1">
      <c r="B39" s="6" t="s">
        <v>513</v>
      </c>
      <c r="Z39" s="117">
        <f>ROW()</f>
        <v>39</v>
      </c>
    </row>
    <row r="40" spans="2:26" ht="13.95" customHeight="1">
      <c r="Z40" s="117">
        <f>ROW()</f>
        <v>40</v>
      </c>
    </row>
    <row r="41" spans="2:26" ht="13.95" customHeight="1">
      <c r="B41" s="6" t="s">
        <v>2811</v>
      </c>
      <c r="C41" s="55"/>
      <c r="D41" s="55"/>
      <c r="E41" s="55"/>
      <c r="F41" s="55"/>
      <c r="G41" s="55"/>
      <c r="H41" s="55"/>
      <c r="Z41" s="117">
        <f>ROW()</f>
        <v>41</v>
      </c>
    </row>
    <row r="42" spans="2:26" ht="13.95" customHeight="1">
      <c r="B42" s="9" t="s">
        <v>886</v>
      </c>
      <c r="C42" s="55"/>
      <c r="D42" s="55"/>
      <c r="E42" s="55"/>
      <c r="F42" s="55"/>
      <c r="G42" s="55"/>
      <c r="H42" s="55"/>
      <c r="Z42" s="117">
        <f>ROW()</f>
        <v>42</v>
      </c>
    </row>
    <row r="43" spans="2:26" ht="13.95" customHeight="1" thickBot="1">
      <c r="B43" s="55"/>
      <c r="C43" s="55"/>
      <c r="D43" s="55"/>
      <c r="E43" s="55"/>
      <c r="F43" s="55"/>
      <c r="G43" s="55"/>
      <c r="H43" s="55"/>
      <c r="Z43" s="117">
        <f>ROW()</f>
        <v>43</v>
      </c>
    </row>
    <row r="44" spans="2:26" ht="13.95" customHeight="1" thickBot="1">
      <c r="B44" s="76" t="s">
        <v>2812</v>
      </c>
      <c r="C44" s="5153" t="s">
        <v>2065</v>
      </c>
      <c r="D44" s="5154"/>
      <c r="E44" s="5155" t="s">
        <v>2692</v>
      </c>
      <c r="F44" s="5154"/>
      <c r="G44" s="5156" t="s">
        <v>228</v>
      </c>
      <c r="H44" s="5157"/>
      <c r="I44" s="34" t="s">
        <v>2691</v>
      </c>
      <c r="Z44" s="117">
        <f>ROW()</f>
        <v>44</v>
      </c>
    </row>
    <row r="45" spans="2:26" ht="13.95" customHeight="1">
      <c r="B45" s="77" t="s">
        <v>2814</v>
      </c>
      <c r="C45" s="1559">
        <v>21561</v>
      </c>
      <c r="D45" s="78">
        <f>C45/C50</f>
        <v>1.4695017556868988E-2</v>
      </c>
      <c r="E45" s="1560">
        <v>18214</v>
      </c>
      <c r="F45" s="79">
        <f>SUM(E45/E50)</f>
        <v>2.3754406511529637E-2</v>
      </c>
      <c r="G45" s="1560">
        <f t="shared" ref="G45:G50" si="0">C45+E45</f>
        <v>39775</v>
      </c>
      <c r="H45" s="80">
        <f>SUM(G45/G50)</f>
        <v>1.7804426598985228E-2</v>
      </c>
      <c r="I45" s="567">
        <f>SUM('Weekday Hours'!D31:D36)</f>
        <v>9.6607377922319826E-2</v>
      </c>
      <c r="Z45" s="117">
        <f>ROW()</f>
        <v>45</v>
      </c>
    </row>
    <row r="46" spans="2:26" ht="13.95" customHeight="1">
      <c r="B46" s="81" t="s">
        <v>2815</v>
      </c>
      <c r="C46" s="1559">
        <v>1064813</v>
      </c>
      <c r="D46" s="78">
        <f>C46/C50</f>
        <v>0.72572912804518985</v>
      </c>
      <c r="E46" s="1560">
        <v>243745</v>
      </c>
      <c r="F46" s="79">
        <f>SUM(E46/E50)</f>
        <v>0.31788831751140834</v>
      </c>
      <c r="G46" s="1560">
        <f t="shared" si="0"/>
        <v>1308558</v>
      </c>
      <c r="H46" s="78">
        <f>SUM(G46/G50)</f>
        <v>0.58574795377787325</v>
      </c>
      <c r="I46" s="567">
        <f>SUM('Weekday Hours'!D37:D40)</f>
        <v>0.26238042320401983</v>
      </c>
      <c r="Z46" s="117">
        <f>ROW()</f>
        <v>46</v>
      </c>
    </row>
    <row r="47" spans="2:26" ht="13.95" customHeight="1">
      <c r="B47" s="81" t="s">
        <v>2816</v>
      </c>
      <c r="C47" s="1559">
        <v>240448</v>
      </c>
      <c r="D47" s="78">
        <f>C47/C50</f>
        <v>0.16387865041111427</v>
      </c>
      <c r="E47" s="1560">
        <v>295228</v>
      </c>
      <c r="F47" s="79">
        <f>SUM(E47/E50)</f>
        <v>0.38503161993992929</v>
      </c>
      <c r="G47" s="1560">
        <f t="shared" si="0"/>
        <v>535676</v>
      </c>
      <c r="H47" s="78">
        <f>SUM(G47/G50)</f>
        <v>0.23978388492364575</v>
      </c>
      <c r="I47" s="567">
        <f>SUM('Weekday Hours'!D41:D46)</f>
        <v>0.29651069101837257</v>
      </c>
      <c r="Z47" s="117">
        <f>ROW()</f>
        <v>47</v>
      </c>
    </row>
    <row r="48" spans="2:26" ht="13.95" customHeight="1">
      <c r="B48" s="81" t="s">
        <v>2817</v>
      </c>
      <c r="C48" s="1559">
        <v>112047</v>
      </c>
      <c r="D48" s="78">
        <f>C48/C50</f>
        <v>7.6366246101502694E-2</v>
      </c>
      <c r="E48" s="1560">
        <v>154093</v>
      </c>
      <c r="F48" s="79">
        <f>SUM(E48/E50)</f>
        <v>0.20096561779845923</v>
      </c>
      <c r="G48" s="1560">
        <f t="shared" si="0"/>
        <v>266140</v>
      </c>
      <c r="H48" s="78">
        <f>SUM(G48/G50)</f>
        <v>0.11913186914026218</v>
      </c>
      <c r="I48" s="567">
        <f>SUM('Weekday Hours'!D47:D50)</f>
        <v>0.20996544803497472</v>
      </c>
      <c r="Z48" s="117">
        <f>ROW()</f>
        <v>48</v>
      </c>
    </row>
    <row r="49" spans="2:26" ht="13.95" customHeight="1" thickBot="1">
      <c r="B49" s="81" t="s">
        <v>2818</v>
      </c>
      <c r="C49" s="1559">
        <v>28363</v>
      </c>
      <c r="D49" s="78">
        <f>C49/C50</f>
        <v>1.9330957885324202E-2</v>
      </c>
      <c r="E49" s="1560">
        <v>55483</v>
      </c>
      <c r="F49" s="79">
        <f>SUM(E49/E50)</f>
        <v>7.2360038238673485E-2</v>
      </c>
      <c r="G49" s="1560">
        <f t="shared" si="0"/>
        <v>83846</v>
      </c>
      <c r="H49" s="78">
        <f>SUM(G49/G50)</f>
        <v>3.7531865559233574E-2</v>
      </c>
      <c r="I49" s="567">
        <f>SUM('Weekday Hours'!D51:D54)</f>
        <v>0.13453605982031303</v>
      </c>
      <c r="Z49" s="117">
        <f>ROW()</f>
        <v>49</v>
      </c>
    </row>
    <row r="50" spans="2:26" ht="13.95" customHeight="1" thickBot="1">
      <c r="B50" s="82" t="s">
        <v>1126</v>
      </c>
      <c r="C50" s="1561">
        <f>SUM(C45:C49)</f>
        <v>1467232</v>
      </c>
      <c r="D50" s="83">
        <f>SUM(D45:D49)</f>
        <v>1</v>
      </c>
      <c r="E50" s="1562">
        <f>SUM(E45:E49)</f>
        <v>766763</v>
      </c>
      <c r="F50" s="84">
        <f>SUM(F45:F49)</f>
        <v>1</v>
      </c>
      <c r="G50" s="1561">
        <f t="shared" si="0"/>
        <v>2233995</v>
      </c>
      <c r="H50" s="83">
        <f>SUM(H45:H49)</f>
        <v>1</v>
      </c>
      <c r="I50" s="83">
        <f>SUM(I45:I49)</f>
        <v>1</v>
      </c>
      <c r="Z50" s="117">
        <f>ROW()</f>
        <v>50</v>
      </c>
    </row>
    <row r="51" spans="2:26" ht="13.95" customHeight="1">
      <c r="B51" s="55"/>
      <c r="C51" s="55"/>
      <c r="D51" s="55"/>
      <c r="E51" s="55"/>
      <c r="F51" s="55"/>
      <c r="G51" s="55"/>
      <c r="H51" s="55"/>
      <c r="Z51" s="117">
        <f>ROW()</f>
        <v>51</v>
      </c>
    </row>
    <row r="52" spans="2:26" ht="13.95" customHeight="1">
      <c r="B52" s="18" t="s">
        <v>614</v>
      </c>
      <c r="C52" s="55"/>
      <c r="D52" s="55"/>
      <c r="E52" s="55"/>
      <c r="F52" s="55"/>
      <c r="G52" s="55"/>
      <c r="H52" s="55"/>
      <c r="Z52" s="117">
        <f>ROW()</f>
        <v>52</v>
      </c>
    </row>
    <row r="53" spans="2:26" ht="13.95" customHeight="1">
      <c r="Z53" s="117">
        <f>ROW()</f>
        <v>53</v>
      </c>
    </row>
    <row r="54" spans="2:26" ht="13.95" customHeight="1">
      <c r="B54" s="46" t="s">
        <v>2819</v>
      </c>
      <c r="Z54" s="117">
        <f>ROW()</f>
        <v>54</v>
      </c>
    </row>
    <row r="55" spans="2:26" ht="13.95" customHeight="1">
      <c r="Z55" s="117">
        <f>ROW()</f>
        <v>55</v>
      </c>
    </row>
    <row r="56" spans="2:26" ht="13.95" customHeight="1">
      <c r="C56" s="8" t="s">
        <v>2684</v>
      </c>
      <c r="D56" s="8" t="s">
        <v>2684</v>
      </c>
      <c r="G56" s="8" t="s">
        <v>255</v>
      </c>
      <c r="H56" s="398">
        <f>'Motor Vs'!I37/'Motor Vs'!H27</f>
        <v>0.55871698113207535</v>
      </c>
      <c r="I56" s="399" t="s">
        <v>2741</v>
      </c>
      <c r="Z56" s="117">
        <f>ROW()</f>
        <v>56</v>
      </c>
    </row>
    <row r="57" spans="2:26" ht="13.95" customHeight="1">
      <c r="B57" t="s">
        <v>2820</v>
      </c>
      <c r="C57" s="155">
        <f>C50</f>
        <v>1467232</v>
      </c>
      <c r="D57" s="39">
        <f>C57/$C$59</f>
        <v>0.65677497040056043</v>
      </c>
      <c r="H57" s="278">
        <f>D57*$H$56</f>
        <v>0.36695132874530928</v>
      </c>
      <c r="I57" s="400">
        <f>ROUND(H57*200,-1)/200</f>
        <v>0.35</v>
      </c>
      <c r="Z57" s="117">
        <f>ROW()</f>
        <v>57</v>
      </c>
    </row>
    <row r="58" spans="2:26" ht="13.95" customHeight="1">
      <c r="B58" t="s">
        <v>2821</v>
      </c>
      <c r="C58" s="345">
        <f>E50</f>
        <v>766763</v>
      </c>
      <c r="D58" s="397">
        <f>C58/$C$59</f>
        <v>0.34322502959943957</v>
      </c>
      <c r="H58" s="278">
        <f>D58*$H$56</f>
        <v>0.19176565238676607</v>
      </c>
      <c r="I58" s="401">
        <f>ROUND(H58*200,-1)/200</f>
        <v>0.2</v>
      </c>
      <c r="Z58" s="117">
        <f>ROW()</f>
        <v>58</v>
      </c>
    </row>
    <row r="59" spans="2:26" ht="13.95" customHeight="1">
      <c r="B59" t="s">
        <v>228</v>
      </c>
      <c r="C59" s="155">
        <f>G50</f>
        <v>2233995</v>
      </c>
      <c r="D59" s="39">
        <f>C59/$C$59</f>
        <v>1</v>
      </c>
      <c r="H59" s="278">
        <f>D59*$H$56</f>
        <v>0.55871698113207535</v>
      </c>
      <c r="Z59" s="117">
        <f>ROW()</f>
        <v>59</v>
      </c>
    </row>
    <row r="60" spans="2:26" ht="13.95" customHeight="1">
      <c r="Z60" s="117">
        <f>ROW()</f>
        <v>60</v>
      </c>
    </row>
    <row r="61" spans="2:26" ht="13.95" customHeight="1">
      <c r="B61" s="4581" t="s">
        <v>2690</v>
      </c>
      <c r="C61" s="4187"/>
      <c r="D61" s="4187"/>
      <c r="E61" s="4187"/>
      <c r="F61" s="4187"/>
      <c r="G61" s="4187"/>
      <c r="H61" s="4187"/>
      <c r="I61" s="4187"/>
      <c r="J61" s="4187"/>
      <c r="Z61" s="117">
        <f>ROW()</f>
        <v>61</v>
      </c>
    </row>
    <row r="62" spans="2:26" ht="13.95" customHeight="1">
      <c r="Z62" s="117">
        <f>ROW()</f>
        <v>62</v>
      </c>
    </row>
    <row r="63" spans="2:26" ht="13.95" customHeight="1">
      <c r="B63" s="6" t="s">
        <v>1137</v>
      </c>
      <c r="Z63" s="117">
        <f>ROW()</f>
        <v>63</v>
      </c>
    </row>
    <row r="64" spans="2:26" ht="13.95" customHeight="1">
      <c r="Z64" s="117">
        <f>ROW()</f>
        <v>64</v>
      </c>
    </row>
    <row r="65" spans="2:26" ht="13.95" customHeight="1">
      <c r="C65" s="8" t="s">
        <v>878</v>
      </c>
      <c r="D65" s="8"/>
      <c r="E65" s="4412" t="s">
        <v>879</v>
      </c>
      <c r="F65" s="4412"/>
      <c r="G65" s="4412"/>
      <c r="H65" s="8"/>
      <c r="Z65" s="117">
        <f>ROW()</f>
        <v>65</v>
      </c>
    </row>
    <row r="66" spans="2:26" ht="13.95" customHeight="1">
      <c r="E66" s="8" t="s">
        <v>880</v>
      </c>
      <c r="F66" s="8" t="s">
        <v>881</v>
      </c>
      <c r="G66" s="8" t="s">
        <v>882</v>
      </c>
      <c r="Z66" s="117">
        <f>ROW()</f>
        <v>66</v>
      </c>
    </row>
    <row r="67" spans="2:26" ht="13.95" customHeight="1">
      <c r="B67" t="s">
        <v>883</v>
      </c>
      <c r="C67" s="155">
        <v>389098</v>
      </c>
      <c r="D67" s="155"/>
      <c r="E67" s="155">
        <v>220662</v>
      </c>
      <c r="F67" s="155">
        <v>89883</v>
      </c>
      <c r="G67" s="155">
        <v>310545</v>
      </c>
      <c r="Z67" s="117">
        <f>ROW()</f>
        <v>67</v>
      </c>
    </row>
    <row r="68" spans="2:26" ht="13.95" customHeight="1">
      <c r="B68" t="s">
        <v>884</v>
      </c>
      <c r="C68" s="155">
        <v>3139528</v>
      </c>
      <c r="D68" s="155"/>
      <c r="E68" s="155">
        <v>1320725</v>
      </c>
      <c r="F68" s="155">
        <v>644776</v>
      </c>
      <c r="G68" s="155">
        <v>1965501</v>
      </c>
      <c r="Z68" s="117">
        <f>ROW()</f>
        <v>68</v>
      </c>
    </row>
    <row r="69" spans="2:26" ht="13.95" customHeight="1">
      <c r="B69" t="s">
        <v>885</v>
      </c>
      <c r="C69" s="345">
        <v>1087587</v>
      </c>
      <c r="D69" s="155"/>
      <c r="E69" s="345">
        <v>554194</v>
      </c>
      <c r="F69" s="345">
        <v>928845</v>
      </c>
      <c r="G69" s="345">
        <v>1883701</v>
      </c>
      <c r="Z69" s="117">
        <f>ROW()</f>
        <v>69</v>
      </c>
    </row>
    <row r="70" spans="2:26" ht="13.95" customHeight="1">
      <c r="B70" t="s">
        <v>228</v>
      </c>
      <c r="C70" s="155">
        <v>4616213</v>
      </c>
      <c r="D70" s="155"/>
      <c r="E70" s="155">
        <v>2094067</v>
      </c>
      <c r="F70" s="155">
        <v>1660962</v>
      </c>
      <c r="G70" s="155">
        <v>3755029</v>
      </c>
      <c r="Z70" s="117">
        <f>ROW()</f>
        <v>70</v>
      </c>
    </row>
    <row r="71" spans="2:26" ht="13.95" customHeight="1">
      <c r="Z71" s="117">
        <f>ROW()</f>
        <v>71</v>
      </c>
    </row>
    <row r="72" spans="2:26" ht="13.95" customHeight="1">
      <c r="B72" t="s">
        <v>1454</v>
      </c>
      <c r="C72" s="257">
        <f>(C67+C68)/C70</f>
        <v>0.76439843655394579</v>
      </c>
      <c r="G72" s="257">
        <f>G68/G70</f>
        <v>0.52343164327093084</v>
      </c>
      <c r="Z72" s="117">
        <f>ROW()</f>
        <v>72</v>
      </c>
    </row>
    <row r="73" spans="2:26" ht="13.95" customHeight="1">
      <c r="B73" s="6" t="s">
        <v>2346</v>
      </c>
      <c r="C73" s="273">
        <f>C72/2</f>
        <v>0.3821992182769729</v>
      </c>
      <c r="G73" s="257">
        <f>G72/2</f>
        <v>0.26171582163546542</v>
      </c>
      <c r="Z73" s="117">
        <f>ROW()</f>
        <v>73</v>
      </c>
    </row>
    <row r="74" spans="2:26" ht="13.95" customHeight="1">
      <c r="B74" s="6" t="s">
        <v>2052</v>
      </c>
      <c r="C74" s="273">
        <f>FLOOR(C73*100,10)/100</f>
        <v>0.3</v>
      </c>
      <c r="Z74" s="117">
        <f>ROW()</f>
        <v>74</v>
      </c>
    </row>
    <row r="75" spans="2:26" ht="13.95" customHeight="1">
      <c r="Z75" s="117">
        <f>ROW()</f>
        <v>75</v>
      </c>
    </row>
    <row r="76" spans="2:26" ht="13.95" customHeight="1">
      <c r="B76" s="6" t="s">
        <v>514</v>
      </c>
      <c r="Z76" s="117">
        <f>ROW()</f>
        <v>76</v>
      </c>
    </row>
    <row r="77" spans="2:26" ht="13.95" customHeight="1">
      <c r="B77" s="6"/>
      <c r="Z77" s="117">
        <f>ROW()</f>
        <v>77</v>
      </c>
    </row>
    <row r="78" spans="2:26" ht="13.95" customHeight="1">
      <c r="B78" s="6" t="s">
        <v>6234</v>
      </c>
      <c r="Z78" s="117">
        <f>ROW()</f>
        <v>78</v>
      </c>
    </row>
    <row r="79" spans="2:26" ht="13.95" customHeight="1" thickBot="1">
      <c r="B79" s="6"/>
      <c r="Z79" s="117">
        <f>ROW()</f>
        <v>79</v>
      </c>
    </row>
    <row r="80" spans="2:26" ht="13.95" customHeight="1" thickBot="1">
      <c r="B80" s="92"/>
      <c r="C80" s="92"/>
      <c r="D80" s="5162" t="s">
        <v>704</v>
      </c>
      <c r="E80" s="5163"/>
      <c r="F80" s="5163"/>
      <c r="G80" s="5163"/>
      <c r="H80" s="5163"/>
      <c r="I80" s="5163"/>
      <c r="J80" s="5163"/>
      <c r="K80" s="93"/>
      <c r="L80" s="94"/>
      <c r="M80" s="5162" t="s">
        <v>705</v>
      </c>
      <c r="N80" s="5163"/>
      <c r="O80" s="5163"/>
      <c r="P80" s="5163"/>
      <c r="Q80" s="5163"/>
      <c r="R80" s="5163"/>
      <c r="S80" s="5163"/>
      <c r="T80" s="93"/>
      <c r="U80" s="94"/>
      <c r="V80" s="5149" t="s">
        <v>1170</v>
      </c>
      <c r="W80" s="5150"/>
      <c r="Z80" s="117">
        <f>ROW()</f>
        <v>80</v>
      </c>
    </row>
    <row r="81" spans="2:26" ht="63" customHeight="1" thickBot="1">
      <c r="B81" s="92"/>
      <c r="C81" s="95"/>
      <c r="D81" s="56" t="s">
        <v>967</v>
      </c>
      <c r="E81" s="57" t="s">
        <v>1171</v>
      </c>
      <c r="F81" s="96" t="s">
        <v>153</v>
      </c>
      <c r="G81" s="56" t="s">
        <v>841</v>
      </c>
      <c r="H81" s="59" t="s">
        <v>2067</v>
      </c>
      <c r="I81" s="96" t="s">
        <v>5669</v>
      </c>
      <c r="J81" s="97" t="s">
        <v>1188</v>
      </c>
      <c r="K81" s="98"/>
      <c r="L81" s="99"/>
      <c r="M81" s="56" t="s">
        <v>967</v>
      </c>
      <c r="N81" s="57" t="s">
        <v>1171</v>
      </c>
      <c r="O81" s="100" t="s">
        <v>153</v>
      </c>
      <c r="P81" s="56" t="s">
        <v>841</v>
      </c>
      <c r="Q81" s="59" t="s">
        <v>2067</v>
      </c>
      <c r="R81" s="96" t="s">
        <v>5669</v>
      </c>
      <c r="S81" s="101" t="s">
        <v>1121</v>
      </c>
      <c r="T81" s="98"/>
      <c r="U81" s="60"/>
      <c r="V81" s="102" t="s">
        <v>1122</v>
      </c>
      <c r="W81" s="102" t="s">
        <v>2122</v>
      </c>
      <c r="Z81" s="117">
        <f>ROW()</f>
        <v>81</v>
      </c>
    </row>
    <row r="82" spans="2:26" ht="13.95" customHeight="1">
      <c r="B82" s="5158" t="s">
        <v>1481</v>
      </c>
      <c r="C82" s="103" t="s">
        <v>1482</v>
      </c>
      <c r="D82" s="402">
        <v>34389</v>
      </c>
      <c r="E82" s="403">
        <v>220662</v>
      </c>
      <c r="F82" s="404">
        <f t="shared" ref="F82:F87" si="1">D82+E82</f>
        <v>255051</v>
      </c>
      <c r="G82" s="402">
        <v>58945</v>
      </c>
      <c r="H82" s="403">
        <v>75077</v>
      </c>
      <c r="I82" s="404">
        <f t="shared" ref="I82:I116" si="2">SUM(G82:H82)</f>
        <v>134022</v>
      </c>
      <c r="J82" s="405">
        <f t="shared" ref="J82:J87" si="3">F82+I82</f>
        <v>389073</v>
      </c>
      <c r="K82" s="406"/>
      <c r="L82" s="407"/>
      <c r="M82" s="402">
        <v>61746</v>
      </c>
      <c r="N82" s="403">
        <v>89883</v>
      </c>
      <c r="O82" s="404">
        <f t="shared" ref="O82:O87" si="4">M82+N82</f>
        <v>151629</v>
      </c>
      <c r="P82" s="402">
        <v>86727</v>
      </c>
      <c r="Q82" s="403">
        <v>54345</v>
      </c>
      <c r="R82" s="404">
        <f t="shared" ref="R82:R116" si="5">SUM(P82:Q82)</f>
        <v>141072</v>
      </c>
      <c r="S82" s="405">
        <f t="shared" ref="S82:S87" si="6">O82+R82</f>
        <v>292701</v>
      </c>
      <c r="T82" s="406"/>
      <c r="U82" s="407"/>
      <c r="V82" s="408">
        <f t="shared" ref="V82:V87" si="7">J82+S82</f>
        <v>681774</v>
      </c>
      <c r="W82" s="107">
        <f t="shared" ref="W82:W120" si="8">(F82+O82)/V82</f>
        <v>0.59650265337193853</v>
      </c>
      <c r="Z82" s="117">
        <f>ROW()</f>
        <v>82</v>
      </c>
    </row>
    <row r="83" spans="2:26" ht="13.95" customHeight="1">
      <c r="B83" s="5159"/>
      <c r="C83" s="104" t="s">
        <v>1483</v>
      </c>
      <c r="D83" s="409">
        <v>18543</v>
      </c>
      <c r="E83" s="410">
        <v>165365</v>
      </c>
      <c r="F83" s="411">
        <f t="shared" si="1"/>
        <v>183908</v>
      </c>
      <c r="G83" s="409">
        <v>18784</v>
      </c>
      <c r="H83" s="410">
        <v>21478</v>
      </c>
      <c r="I83" s="411">
        <f t="shared" si="2"/>
        <v>40262</v>
      </c>
      <c r="J83" s="410">
        <f t="shared" si="3"/>
        <v>224170</v>
      </c>
      <c r="K83" s="412"/>
      <c r="L83" s="413"/>
      <c r="M83" s="409">
        <v>34034</v>
      </c>
      <c r="N83" s="410">
        <v>118830</v>
      </c>
      <c r="O83" s="411">
        <f t="shared" si="4"/>
        <v>152864</v>
      </c>
      <c r="P83" s="409">
        <v>36227</v>
      </c>
      <c r="Q83" s="410">
        <v>18746</v>
      </c>
      <c r="R83" s="411">
        <f t="shared" si="5"/>
        <v>54973</v>
      </c>
      <c r="S83" s="410">
        <f t="shared" si="6"/>
        <v>207837</v>
      </c>
      <c r="T83" s="412"/>
      <c r="U83" s="413"/>
      <c r="V83" s="414">
        <f t="shared" si="7"/>
        <v>432007</v>
      </c>
      <c r="W83" s="108">
        <f t="shared" si="8"/>
        <v>0.77955218318221697</v>
      </c>
      <c r="Z83" s="117">
        <f>ROW()</f>
        <v>83</v>
      </c>
    </row>
    <row r="84" spans="2:26" ht="13.95" customHeight="1">
      <c r="B84" s="5159"/>
      <c r="C84" s="104" t="s">
        <v>1484</v>
      </c>
      <c r="D84" s="409">
        <v>8152</v>
      </c>
      <c r="E84" s="410">
        <v>206218</v>
      </c>
      <c r="F84" s="411">
        <f t="shared" si="1"/>
        <v>214370</v>
      </c>
      <c r="G84" s="409">
        <v>44619</v>
      </c>
      <c r="H84" s="410">
        <v>9560</v>
      </c>
      <c r="I84" s="411">
        <f t="shared" si="2"/>
        <v>54179</v>
      </c>
      <c r="J84" s="410">
        <f t="shared" si="3"/>
        <v>268549</v>
      </c>
      <c r="K84" s="412"/>
      <c r="L84" s="413"/>
      <c r="M84" s="409">
        <v>2066</v>
      </c>
      <c r="N84" s="410">
        <v>86780</v>
      </c>
      <c r="O84" s="411">
        <f t="shared" si="4"/>
        <v>88846</v>
      </c>
      <c r="P84" s="409">
        <v>17426</v>
      </c>
      <c r="Q84" s="410">
        <v>3016</v>
      </c>
      <c r="R84" s="411">
        <f t="shared" si="5"/>
        <v>20442</v>
      </c>
      <c r="S84" s="410">
        <f t="shared" si="6"/>
        <v>109288</v>
      </c>
      <c r="T84" s="412"/>
      <c r="U84" s="413"/>
      <c r="V84" s="414">
        <f t="shared" si="7"/>
        <v>377837</v>
      </c>
      <c r="W84" s="108">
        <f t="shared" si="8"/>
        <v>0.80250478380889112</v>
      </c>
      <c r="Z84" s="117">
        <f>ROW()</f>
        <v>84</v>
      </c>
    </row>
    <row r="85" spans="2:26" ht="13.95" customHeight="1">
      <c r="B85" s="5159"/>
      <c r="C85" s="104" t="s">
        <v>1485</v>
      </c>
      <c r="D85" s="409">
        <v>4684</v>
      </c>
      <c r="E85" s="410">
        <v>82905</v>
      </c>
      <c r="F85" s="411">
        <f t="shared" si="1"/>
        <v>87589</v>
      </c>
      <c r="G85" s="409">
        <v>5112</v>
      </c>
      <c r="H85" s="410">
        <v>822</v>
      </c>
      <c r="I85" s="411">
        <f t="shared" si="2"/>
        <v>5934</v>
      </c>
      <c r="J85" s="410">
        <f t="shared" si="3"/>
        <v>93523</v>
      </c>
      <c r="K85" s="412"/>
      <c r="L85" s="413"/>
      <c r="M85" s="409">
        <v>2051</v>
      </c>
      <c r="N85" s="410">
        <v>40741</v>
      </c>
      <c r="O85" s="411">
        <f t="shared" si="4"/>
        <v>42792</v>
      </c>
      <c r="P85" s="409">
        <v>17268</v>
      </c>
      <c r="Q85" s="414">
        <v>0</v>
      </c>
      <c r="R85" s="411">
        <f t="shared" si="5"/>
        <v>17268</v>
      </c>
      <c r="S85" s="410">
        <f t="shared" si="6"/>
        <v>60060</v>
      </c>
      <c r="T85" s="412"/>
      <c r="U85" s="413"/>
      <c r="V85" s="414">
        <f t="shared" si="7"/>
        <v>153583</v>
      </c>
      <c r="W85" s="108">
        <f t="shared" si="8"/>
        <v>0.84892859235722706</v>
      </c>
      <c r="Z85" s="117">
        <f>ROW()</f>
        <v>85</v>
      </c>
    </row>
    <row r="86" spans="2:26" ht="13.95" customHeight="1">
      <c r="B86" s="5159"/>
      <c r="C86" s="104" t="s">
        <v>1486</v>
      </c>
      <c r="D86" s="409">
        <v>4148</v>
      </c>
      <c r="E86" s="410">
        <v>226462</v>
      </c>
      <c r="F86" s="411">
        <f t="shared" si="1"/>
        <v>230610</v>
      </c>
      <c r="G86" s="409">
        <v>40819</v>
      </c>
      <c r="H86" s="410">
        <v>1355</v>
      </c>
      <c r="I86" s="411">
        <f t="shared" si="2"/>
        <v>42174</v>
      </c>
      <c r="J86" s="410">
        <f t="shared" si="3"/>
        <v>272784</v>
      </c>
      <c r="K86" s="412"/>
      <c r="L86" s="413"/>
      <c r="M86" s="409">
        <v>7495</v>
      </c>
      <c r="N86" s="410">
        <v>68351</v>
      </c>
      <c r="O86" s="411">
        <f t="shared" si="4"/>
        <v>75846</v>
      </c>
      <c r="P86" s="409">
        <v>54523</v>
      </c>
      <c r="Q86" s="410">
        <v>5275</v>
      </c>
      <c r="R86" s="411">
        <f t="shared" si="5"/>
        <v>59798</v>
      </c>
      <c r="S86" s="410">
        <f t="shared" si="6"/>
        <v>135644</v>
      </c>
      <c r="T86" s="412"/>
      <c r="U86" s="413"/>
      <c r="V86" s="414">
        <f t="shared" si="7"/>
        <v>408428</v>
      </c>
      <c r="W86" s="108">
        <f t="shared" si="8"/>
        <v>0.75033053561460039</v>
      </c>
      <c r="Z86" s="117">
        <f>ROW()</f>
        <v>86</v>
      </c>
    </row>
    <row r="87" spans="2:26" ht="13.95" customHeight="1">
      <c r="B87" s="5159"/>
      <c r="C87" s="103" t="s">
        <v>1487</v>
      </c>
      <c r="D87" s="415">
        <v>11894</v>
      </c>
      <c r="E87" s="405">
        <v>18247</v>
      </c>
      <c r="F87" s="416">
        <f t="shared" si="1"/>
        <v>30141</v>
      </c>
      <c r="G87" s="415">
        <v>11427</v>
      </c>
      <c r="H87" s="405">
        <v>904</v>
      </c>
      <c r="I87" s="416">
        <f t="shared" si="2"/>
        <v>12331</v>
      </c>
      <c r="J87" s="405">
        <f t="shared" si="3"/>
        <v>42472</v>
      </c>
      <c r="K87" s="406"/>
      <c r="L87" s="407"/>
      <c r="M87" s="415">
        <v>1136</v>
      </c>
      <c r="N87" s="405">
        <v>6107</v>
      </c>
      <c r="O87" s="416">
        <f t="shared" si="4"/>
        <v>7243</v>
      </c>
      <c r="P87" s="415">
        <v>7283</v>
      </c>
      <c r="Q87" s="405">
        <v>591</v>
      </c>
      <c r="R87" s="416">
        <f t="shared" si="5"/>
        <v>7874</v>
      </c>
      <c r="S87" s="405">
        <f t="shared" si="6"/>
        <v>15117</v>
      </c>
      <c r="T87" s="406"/>
      <c r="U87" s="407"/>
      <c r="V87" s="408">
        <f t="shared" si="7"/>
        <v>57589</v>
      </c>
      <c r="W87" s="109">
        <f t="shared" si="8"/>
        <v>0.64915174772960116</v>
      </c>
      <c r="Z87" s="117">
        <f>ROW()</f>
        <v>87</v>
      </c>
    </row>
    <row r="88" spans="2:26" ht="13.95" customHeight="1">
      <c r="B88" s="5159"/>
      <c r="C88" s="103" t="s">
        <v>515</v>
      </c>
      <c r="D88" s="415">
        <f t="shared" ref="D88:J88" si="9">D84+D86</f>
        <v>12300</v>
      </c>
      <c r="E88" s="405">
        <f t="shared" si="9"/>
        <v>432680</v>
      </c>
      <c r="F88" s="416">
        <f t="shared" si="9"/>
        <v>444980</v>
      </c>
      <c r="G88" s="415">
        <f t="shared" si="9"/>
        <v>85438</v>
      </c>
      <c r="H88" s="405">
        <f t="shared" si="9"/>
        <v>10915</v>
      </c>
      <c r="I88" s="416">
        <f t="shared" si="9"/>
        <v>96353</v>
      </c>
      <c r="J88" s="405">
        <f t="shared" si="9"/>
        <v>541333</v>
      </c>
      <c r="K88" s="406"/>
      <c r="L88" s="407"/>
      <c r="M88" s="415">
        <f t="shared" ref="M88:S88" si="10">M84+M86</f>
        <v>9561</v>
      </c>
      <c r="N88" s="405">
        <f t="shared" si="10"/>
        <v>155131</v>
      </c>
      <c r="O88" s="416">
        <f t="shared" si="10"/>
        <v>164692</v>
      </c>
      <c r="P88" s="415">
        <f t="shared" si="10"/>
        <v>71949</v>
      </c>
      <c r="Q88" s="405">
        <f t="shared" si="10"/>
        <v>8291</v>
      </c>
      <c r="R88" s="416">
        <f t="shared" si="10"/>
        <v>80240</v>
      </c>
      <c r="S88" s="405">
        <f t="shared" si="10"/>
        <v>244932</v>
      </c>
      <c r="T88" s="406"/>
      <c r="U88" s="407"/>
      <c r="V88" s="405">
        <f>V84+V86</f>
        <v>786265</v>
      </c>
      <c r="W88" s="109">
        <f t="shared" si="8"/>
        <v>0.77540269502012682</v>
      </c>
      <c r="Z88" s="117">
        <f>ROW()</f>
        <v>88</v>
      </c>
    </row>
    <row r="89" spans="2:26" ht="13.95" customHeight="1">
      <c r="B89" s="5159"/>
      <c r="C89" s="103" t="s">
        <v>1488</v>
      </c>
      <c r="D89" s="415">
        <f t="shared" ref="D89:J89" si="11">D83+D85</f>
        <v>23227</v>
      </c>
      <c r="E89" s="405">
        <f t="shared" si="11"/>
        <v>248270</v>
      </c>
      <c r="F89" s="416">
        <f t="shared" si="11"/>
        <v>271497</v>
      </c>
      <c r="G89" s="415">
        <f t="shared" si="11"/>
        <v>23896</v>
      </c>
      <c r="H89" s="405">
        <f t="shared" si="11"/>
        <v>22300</v>
      </c>
      <c r="I89" s="416">
        <f t="shared" si="11"/>
        <v>46196</v>
      </c>
      <c r="J89" s="405">
        <f t="shared" si="11"/>
        <v>317693</v>
      </c>
      <c r="K89" s="406"/>
      <c r="L89" s="407"/>
      <c r="M89" s="415">
        <f t="shared" ref="M89:S89" si="12">M83+M85</f>
        <v>36085</v>
      </c>
      <c r="N89" s="405">
        <f t="shared" si="12"/>
        <v>159571</v>
      </c>
      <c r="O89" s="416">
        <f t="shared" si="12"/>
        <v>195656</v>
      </c>
      <c r="P89" s="415">
        <f t="shared" si="12"/>
        <v>53495</v>
      </c>
      <c r="Q89" s="405">
        <f t="shared" si="12"/>
        <v>18746</v>
      </c>
      <c r="R89" s="416">
        <f t="shared" si="12"/>
        <v>72241</v>
      </c>
      <c r="S89" s="405">
        <f t="shared" si="12"/>
        <v>267897</v>
      </c>
      <c r="T89" s="406"/>
      <c r="U89" s="407"/>
      <c r="V89" s="405">
        <f>V83+V85</f>
        <v>585590</v>
      </c>
      <c r="W89" s="109">
        <f t="shared" si="8"/>
        <v>0.79774757082600456</v>
      </c>
      <c r="Z89" s="117">
        <f>ROW()</f>
        <v>89</v>
      </c>
    </row>
    <row r="90" spans="2:26" ht="13.95" customHeight="1">
      <c r="B90" s="5159"/>
      <c r="C90" s="103" t="s">
        <v>516</v>
      </c>
      <c r="D90" s="426">
        <f t="shared" ref="D90:J90" si="13">SUM(D83:D87)</f>
        <v>47421</v>
      </c>
      <c r="E90" s="427">
        <v>699197</v>
      </c>
      <c r="F90" s="428">
        <f t="shared" si="13"/>
        <v>746618</v>
      </c>
      <c r="G90" s="426">
        <f t="shared" si="13"/>
        <v>120761</v>
      </c>
      <c r="H90" s="427">
        <f t="shared" si="13"/>
        <v>34119</v>
      </c>
      <c r="I90" s="428">
        <f t="shared" si="13"/>
        <v>154880</v>
      </c>
      <c r="J90" s="427">
        <f t="shared" si="13"/>
        <v>901498</v>
      </c>
      <c r="K90" s="429"/>
      <c r="L90" s="430"/>
      <c r="M90" s="426">
        <f t="shared" ref="M90:S90" si="14">SUM(M83:M87)</f>
        <v>46782</v>
      </c>
      <c r="N90" s="427">
        <v>320809</v>
      </c>
      <c r="O90" s="428">
        <f t="shared" si="14"/>
        <v>367591</v>
      </c>
      <c r="P90" s="426">
        <f t="shared" si="14"/>
        <v>132727</v>
      </c>
      <c r="Q90" s="427">
        <f t="shared" si="14"/>
        <v>27628</v>
      </c>
      <c r="R90" s="428">
        <f t="shared" si="14"/>
        <v>160355</v>
      </c>
      <c r="S90" s="427">
        <f t="shared" si="14"/>
        <v>527946</v>
      </c>
      <c r="T90" s="429"/>
      <c r="U90" s="430"/>
      <c r="V90" s="427">
        <f>SUM(V83:V87)</f>
        <v>1429444</v>
      </c>
      <c r="W90" s="109">
        <f t="shared" si="8"/>
        <v>0.77947019960208308</v>
      </c>
      <c r="Z90" s="117">
        <f>ROW()</f>
        <v>90</v>
      </c>
    </row>
    <row r="91" spans="2:26" ht="13.95" customHeight="1">
      <c r="B91" s="5159"/>
      <c r="C91" s="105" t="s">
        <v>170</v>
      </c>
      <c r="D91" s="419">
        <f t="shared" ref="D91:J91" si="15">D82+D90</f>
        <v>81810</v>
      </c>
      <c r="E91" s="420">
        <v>919859</v>
      </c>
      <c r="F91" s="421">
        <f t="shared" si="15"/>
        <v>1001669</v>
      </c>
      <c r="G91" s="419">
        <f t="shared" si="15"/>
        <v>179706</v>
      </c>
      <c r="H91" s="420">
        <f t="shared" si="15"/>
        <v>109196</v>
      </c>
      <c r="I91" s="421">
        <f t="shared" si="15"/>
        <v>288902</v>
      </c>
      <c r="J91" s="420">
        <f t="shared" si="15"/>
        <v>1290571</v>
      </c>
      <c r="K91" s="422"/>
      <c r="L91" s="423"/>
      <c r="M91" s="419">
        <f t="shared" ref="M91:S91" si="16">M82+M90</f>
        <v>108528</v>
      </c>
      <c r="N91" s="420">
        <v>410692</v>
      </c>
      <c r="O91" s="421">
        <f t="shared" si="16"/>
        <v>519220</v>
      </c>
      <c r="P91" s="419">
        <f t="shared" si="16"/>
        <v>219454</v>
      </c>
      <c r="Q91" s="420">
        <f t="shared" si="16"/>
        <v>81973</v>
      </c>
      <c r="R91" s="421">
        <f t="shared" si="16"/>
        <v>301427</v>
      </c>
      <c r="S91" s="420">
        <f t="shared" si="16"/>
        <v>820647</v>
      </c>
      <c r="T91" s="422"/>
      <c r="U91" s="423"/>
      <c r="V91" s="420">
        <f>V82+V90</f>
        <v>2111218</v>
      </c>
      <c r="W91" s="110">
        <f t="shared" si="8"/>
        <v>0.72038463105183836</v>
      </c>
      <c r="Z91" s="117">
        <f>ROW()</f>
        <v>91</v>
      </c>
    </row>
    <row r="92" spans="2:26" ht="13.95" customHeight="1">
      <c r="B92" s="5159"/>
      <c r="C92" s="104" t="s">
        <v>2144</v>
      </c>
      <c r="D92" s="409">
        <v>0</v>
      </c>
      <c r="E92" s="410">
        <v>86727</v>
      </c>
      <c r="F92" s="411">
        <f>D92+E92</f>
        <v>86727</v>
      </c>
      <c r="G92" s="409">
        <v>30271</v>
      </c>
      <c r="H92" s="410">
        <v>1594</v>
      </c>
      <c r="I92" s="411">
        <f t="shared" si="2"/>
        <v>31865</v>
      </c>
      <c r="J92" s="410">
        <f>F92+I92</f>
        <v>118592</v>
      </c>
      <c r="K92" s="412"/>
      <c r="L92" s="413"/>
      <c r="M92" s="424">
        <v>0</v>
      </c>
      <c r="N92" s="410">
        <v>11155</v>
      </c>
      <c r="O92" s="411">
        <f>M92+N92</f>
        <v>11155</v>
      </c>
      <c r="P92" s="409">
        <v>25217</v>
      </c>
      <c r="Q92" s="414">
        <v>0</v>
      </c>
      <c r="R92" s="411">
        <f t="shared" si="5"/>
        <v>25217</v>
      </c>
      <c r="S92" s="410">
        <f>O92+R92</f>
        <v>36372</v>
      </c>
      <c r="T92" s="412"/>
      <c r="U92" s="413"/>
      <c r="V92" s="414">
        <f>J92+S92</f>
        <v>154964</v>
      </c>
      <c r="W92" s="108">
        <f t="shared" si="8"/>
        <v>0.63164347848532565</v>
      </c>
      <c r="Z92" s="117">
        <f>ROW()</f>
        <v>92</v>
      </c>
    </row>
    <row r="93" spans="2:26" ht="13.95" customHeight="1">
      <c r="B93" s="5159"/>
      <c r="C93" s="104" t="s">
        <v>2145</v>
      </c>
      <c r="D93" s="431">
        <v>304</v>
      </c>
      <c r="E93" s="432">
        <v>27816</v>
      </c>
      <c r="F93" s="433">
        <f>D93+E93</f>
        <v>28120</v>
      </c>
      <c r="G93" s="431">
        <v>10533</v>
      </c>
      <c r="H93" s="432">
        <v>1533</v>
      </c>
      <c r="I93" s="433">
        <f t="shared" si="2"/>
        <v>12066</v>
      </c>
      <c r="J93" s="432">
        <f>F93+I93</f>
        <v>40186</v>
      </c>
      <c r="K93" s="434"/>
      <c r="L93" s="435"/>
      <c r="M93" s="436">
        <v>0</v>
      </c>
      <c r="N93" s="432">
        <v>5324</v>
      </c>
      <c r="O93" s="433">
        <f>M93+N93</f>
        <v>5324</v>
      </c>
      <c r="P93" s="431">
        <v>2367</v>
      </c>
      <c r="Q93" s="437">
        <v>0</v>
      </c>
      <c r="R93" s="433">
        <f t="shared" si="5"/>
        <v>2367</v>
      </c>
      <c r="S93" s="432">
        <f>O93+R93</f>
        <v>7691</v>
      </c>
      <c r="T93" s="434"/>
      <c r="U93" s="435"/>
      <c r="V93" s="437">
        <f>J93+S93</f>
        <v>47877</v>
      </c>
      <c r="W93" s="108">
        <f t="shared" si="8"/>
        <v>0.69854000877247946</v>
      </c>
      <c r="Z93" s="117">
        <f>ROW()</f>
        <v>93</v>
      </c>
    </row>
    <row r="94" spans="2:26" ht="13.95" customHeight="1">
      <c r="B94" s="5159"/>
      <c r="C94" s="105" t="s">
        <v>171</v>
      </c>
      <c r="D94" s="419">
        <f t="shared" ref="D94:J94" si="17">SUM(D92:D93)</f>
        <v>304</v>
      </c>
      <c r="E94" s="420">
        <v>114543</v>
      </c>
      <c r="F94" s="421">
        <f t="shared" si="17"/>
        <v>114847</v>
      </c>
      <c r="G94" s="419">
        <f t="shared" si="17"/>
        <v>40804</v>
      </c>
      <c r="H94" s="420">
        <f t="shared" si="17"/>
        <v>3127</v>
      </c>
      <c r="I94" s="421">
        <f t="shared" si="17"/>
        <v>43931</v>
      </c>
      <c r="J94" s="420">
        <f t="shared" si="17"/>
        <v>158778</v>
      </c>
      <c r="K94" s="422"/>
      <c r="L94" s="423"/>
      <c r="M94" s="419">
        <f t="shared" ref="M94:S94" si="18">SUM(M92:M93)</f>
        <v>0</v>
      </c>
      <c r="N94" s="420">
        <v>16479</v>
      </c>
      <c r="O94" s="421">
        <f t="shared" si="18"/>
        <v>16479</v>
      </c>
      <c r="P94" s="419">
        <f t="shared" si="18"/>
        <v>27584</v>
      </c>
      <c r="Q94" s="420">
        <f t="shared" si="18"/>
        <v>0</v>
      </c>
      <c r="R94" s="421">
        <f t="shared" si="18"/>
        <v>27584</v>
      </c>
      <c r="S94" s="420">
        <f t="shared" si="18"/>
        <v>44063</v>
      </c>
      <c r="T94" s="422"/>
      <c r="U94" s="423"/>
      <c r="V94" s="420">
        <f>SUM(V92:V93)</f>
        <v>202841</v>
      </c>
      <c r="W94" s="110">
        <f t="shared" si="8"/>
        <v>0.64743321123441511</v>
      </c>
      <c r="Z94" s="117">
        <f>ROW()</f>
        <v>94</v>
      </c>
    </row>
    <row r="95" spans="2:26" ht="13.95" customHeight="1">
      <c r="B95" s="5159"/>
      <c r="C95" s="104" t="s">
        <v>1193</v>
      </c>
      <c r="D95" s="409">
        <v>1752</v>
      </c>
      <c r="E95" s="410">
        <v>53486</v>
      </c>
      <c r="F95" s="411">
        <f>D95+E95</f>
        <v>55238</v>
      </c>
      <c r="G95" s="409">
        <v>23163</v>
      </c>
      <c r="H95" s="410">
        <v>0</v>
      </c>
      <c r="I95" s="411">
        <f t="shared" si="2"/>
        <v>23163</v>
      </c>
      <c r="J95" s="410">
        <f>F95+I95</f>
        <v>78401</v>
      </c>
      <c r="K95" s="412"/>
      <c r="L95" s="413"/>
      <c r="M95" s="409">
        <v>2254</v>
      </c>
      <c r="N95" s="410">
        <v>10447</v>
      </c>
      <c r="O95" s="411">
        <f>M95+N95</f>
        <v>12701</v>
      </c>
      <c r="P95" s="409">
        <v>6458</v>
      </c>
      <c r="Q95" s="414">
        <v>0</v>
      </c>
      <c r="R95" s="411">
        <f t="shared" si="5"/>
        <v>6458</v>
      </c>
      <c r="S95" s="410">
        <f>O95+R95</f>
        <v>19159</v>
      </c>
      <c r="T95" s="412"/>
      <c r="U95" s="413"/>
      <c r="V95" s="414">
        <f>J95+S95</f>
        <v>97560</v>
      </c>
      <c r="W95" s="108">
        <f t="shared" si="8"/>
        <v>0.6963817138171382</v>
      </c>
      <c r="Z95" s="117">
        <f>ROW()</f>
        <v>95</v>
      </c>
    </row>
    <row r="96" spans="2:26" ht="13.95" customHeight="1">
      <c r="B96" s="5159"/>
      <c r="C96" s="104" t="s">
        <v>1194</v>
      </c>
      <c r="D96" s="409">
        <v>0</v>
      </c>
      <c r="E96" s="410">
        <v>3049</v>
      </c>
      <c r="F96" s="411">
        <f>D96+E96</f>
        <v>3049</v>
      </c>
      <c r="G96" s="409">
        <v>248</v>
      </c>
      <c r="H96" s="410">
        <v>0</v>
      </c>
      <c r="I96" s="411">
        <f t="shared" si="2"/>
        <v>248</v>
      </c>
      <c r="J96" s="410">
        <f>F96+I96</f>
        <v>3297</v>
      </c>
      <c r="K96" s="412"/>
      <c r="L96" s="413"/>
      <c r="M96" s="424">
        <v>0</v>
      </c>
      <c r="N96" s="410">
        <v>677</v>
      </c>
      <c r="O96" s="411">
        <f>M96+N96</f>
        <v>677</v>
      </c>
      <c r="P96" s="409">
        <v>206</v>
      </c>
      <c r="Q96" s="414">
        <v>0</v>
      </c>
      <c r="R96" s="411">
        <f t="shared" si="5"/>
        <v>206</v>
      </c>
      <c r="S96" s="410">
        <f>O96+R96</f>
        <v>883</v>
      </c>
      <c r="T96" s="412"/>
      <c r="U96" s="413"/>
      <c r="V96" s="414">
        <f>J96+S96</f>
        <v>4180</v>
      </c>
      <c r="W96" s="108">
        <f t="shared" si="8"/>
        <v>0.8913875598086124</v>
      </c>
      <c r="Z96" s="117">
        <f>ROW()</f>
        <v>96</v>
      </c>
    </row>
    <row r="97" spans="2:26" ht="13.95" customHeight="1">
      <c r="B97" s="5159"/>
      <c r="C97" s="104" t="s">
        <v>1195</v>
      </c>
      <c r="D97" s="409">
        <v>0</v>
      </c>
      <c r="E97" s="410">
        <v>258</v>
      </c>
      <c r="F97" s="411">
        <f>D97+E97</f>
        <v>258</v>
      </c>
      <c r="G97" s="410">
        <v>0</v>
      </c>
      <c r="H97" s="410">
        <v>0</v>
      </c>
      <c r="I97" s="411">
        <f>SUM(G97:H97)</f>
        <v>0</v>
      </c>
      <c r="J97" s="410">
        <f>F97+I97</f>
        <v>258</v>
      </c>
      <c r="K97" s="412"/>
      <c r="L97" s="413"/>
      <c r="M97" s="424">
        <v>0</v>
      </c>
      <c r="N97" s="410">
        <v>450</v>
      </c>
      <c r="O97" s="411">
        <f>M97+N97</f>
        <v>450</v>
      </c>
      <c r="P97" s="409">
        <v>1738</v>
      </c>
      <c r="Q97" s="414">
        <v>0</v>
      </c>
      <c r="R97" s="411">
        <f>SUM(P97:Q97)</f>
        <v>1738</v>
      </c>
      <c r="S97" s="410">
        <f>O97+R97</f>
        <v>2188</v>
      </c>
      <c r="T97" s="412"/>
      <c r="U97" s="413"/>
      <c r="V97" s="414">
        <f>J97+S97</f>
        <v>2446</v>
      </c>
      <c r="W97" s="108">
        <f t="shared" si="8"/>
        <v>0.28945216680294356</v>
      </c>
      <c r="Z97" s="117">
        <f>ROW()</f>
        <v>97</v>
      </c>
    </row>
    <row r="98" spans="2:26" ht="13.95" customHeight="1">
      <c r="B98" s="5159"/>
      <c r="C98" s="104" t="s">
        <v>1196</v>
      </c>
      <c r="D98" s="409">
        <v>272</v>
      </c>
      <c r="E98" s="410">
        <v>2087</v>
      </c>
      <c r="F98" s="411">
        <f>D98+E98</f>
        <v>2359</v>
      </c>
      <c r="G98" s="409">
        <v>164</v>
      </c>
      <c r="H98" s="410">
        <v>548</v>
      </c>
      <c r="I98" s="411">
        <f t="shared" si="2"/>
        <v>712</v>
      </c>
      <c r="J98" s="410">
        <f>F98+I98</f>
        <v>3071</v>
      </c>
      <c r="K98" s="412"/>
      <c r="L98" s="413"/>
      <c r="M98" s="424">
        <v>0</v>
      </c>
      <c r="N98" s="410">
        <v>208</v>
      </c>
      <c r="O98" s="411">
        <f>M98+N98</f>
        <v>208</v>
      </c>
      <c r="P98" s="409">
        <v>600</v>
      </c>
      <c r="Q98" s="414">
        <v>0</v>
      </c>
      <c r="R98" s="411">
        <f t="shared" si="5"/>
        <v>600</v>
      </c>
      <c r="S98" s="410">
        <f>O98+R98</f>
        <v>808</v>
      </c>
      <c r="T98" s="412"/>
      <c r="U98" s="413"/>
      <c r="V98" s="414">
        <f>J98+S98</f>
        <v>3879</v>
      </c>
      <c r="W98" s="108">
        <f t="shared" si="8"/>
        <v>0.66176849703531837</v>
      </c>
      <c r="Z98" s="117">
        <f>ROW()</f>
        <v>98</v>
      </c>
    </row>
    <row r="99" spans="2:26" ht="13.95" customHeight="1">
      <c r="B99" s="5159"/>
      <c r="C99" s="104" t="s">
        <v>1197</v>
      </c>
      <c r="D99" s="431">
        <v>0</v>
      </c>
      <c r="E99" s="432">
        <v>26007</v>
      </c>
      <c r="F99" s="433">
        <f>D99+E99</f>
        <v>26007</v>
      </c>
      <c r="G99" s="431">
        <v>3167</v>
      </c>
      <c r="H99" s="432">
        <v>1595</v>
      </c>
      <c r="I99" s="433">
        <f t="shared" si="2"/>
        <v>4762</v>
      </c>
      <c r="J99" s="432">
        <f>F99+I99</f>
        <v>30769</v>
      </c>
      <c r="K99" s="434"/>
      <c r="L99" s="435"/>
      <c r="M99" s="431">
        <v>772</v>
      </c>
      <c r="N99" s="432">
        <v>8133</v>
      </c>
      <c r="O99" s="433">
        <f>M99+N99</f>
        <v>8905</v>
      </c>
      <c r="P99" s="431">
        <v>2484</v>
      </c>
      <c r="Q99" s="437">
        <v>0</v>
      </c>
      <c r="R99" s="433">
        <f t="shared" si="5"/>
        <v>2484</v>
      </c>
      <c r="S99" s="432">
        <f>O99+R99</f>
        <v>11389</v>
      </c>
      <c r="T99" s="434"/>
      <c r="U99" s="435"/>
      <c r="V99" s="437">
        <f>J99+S99</f>
        <v>42158</v>
      </c>
      <c r="W99" s="108">
        <f t="shared" si="8"/>
        <v>0.82812277622278097</v>
      </c>
      <c r="Z99" s="117">
        <f>ROW()</f>
        <v>99</v>
      </c>
    </row>
    <row r="100" spans="2:26" ht="13.95" customHeight="1">
      <c r="B100" s="5159"/>
      <c r="C100" s="105" t="s">
        <v>172</v>
      </c>
      <c r="D100" s="419">
        <f t="shared" ref="D100:J100" si="19">SUM(D95:D99)</f>
        <v>2024</v>
      </c>
      <c r="E100" s="420">
        <v>84887</v>
      </c>
      <c r="F100" s="421">
        <f t="shared" si="19"/>
        <v>86911</v>
      </c>
      <c r="G100" s="419">
        <f t="shared" si="19"/>
        <v>26742</v>
      </c>
      <c r="H100" s="420">
        <f t="shared" si="19"/>
        <v>2143</v>
      </c>
      <c r="I100" s="421">
        <f t="shared" si="19"/>
        <v>28885</v>
      </c>
      <c r="J100" s="420">
        <f t="shared" si="19"/>
        <v>115796</v>
      </c>
      <c r="K100" s="422"/>
      <c r="L100" s="423"/>
      <c r="M100" s="419">
        <f t="shared" ref="M100:S100" si="20">SUM(M95:M99)</f>
        <v>3026</v>
      </c>
      <c r="N100" s="420">
        <v>19915</v>
      </c>
      <c r="O100" s="421">
        <f t="shared" si="20"/>
        <v>22941</v>
      </c>
      <c r="P100" s="419">
        <f t="shared" si="20"/>
        <v>11486</v>
      </c>
      <c r="Q100" s="420">
        <f t="shared" si="20"/>
        <v>0</v>
      </c>
      <c r="R100" s="421">
        <f t="shared" si="20"/>
        <v>11486</v>
      </c>
      <c r="S100" s="420">
        <f t="shared" si="20"/>
        <v>34427</v>
      </c>
      <c r="T100" s="422"/>
      <c r="U100" s="423"/>
      <c r="V100" s="420">
        <f>SUM(V95:V99)</f>
        <v>150223</v>
      </c>
      <c r="W100" s="110">
        <f t="shared" si="8"/>
        <v>0.73125952750244638</v>
      </c>
      <c r="Z100" s="117">
        <f>ROW()</f>
        <v>100</v>
      </c>
    </row>
    <row r="101" spans="2:26" ht="13.95" customHeight="1">
      <c r="B101" s="5159"/>
      <c r="C101" s="104" t="s">
        <v>1198</v>
      </c>
      <c r="D101" s="409">
        <v>24307</v>
      </c>
      <c r="E101" s="410">
        <v>11454</v>
      </c>
      <c r="F101" s="411">
        <f t="shared" ref="F101:F116" si="21">D101+E101</f>
        <v>35761</v>
      </c>
      <c r="G101" s="409">
        <v>14820</v>
      </c>
      <c r="H101" s="410">
        <v>1260</v>
      </c>
      <c r="I101" s="411">
        <f t="shared" si="2"/>
        <v>16080</v>
      </c>
      <c r="J101" s="410">
        <f t="shared" ref="J101:J116" si="22">F101+I101</f>
        <v>51841</v>
      </c>
      <c r="K101" s="412"/>
      <c r="L101" s="413"/>
      <c r="M101" s="409">
        <v>6113</v>
      </c>
      <c r="N101" s="410">
        <v>1764</v>
      </c>
      <c r="O101" s="411">
        <f t="shared" ref="O101:O116" si="23">M101+N101</f>
        <v>7877</v>
      </c>
      <c r="P101" s="409">
        <v>17916</v>
      </c>
      <c r="Q101" s="410">
        <v>304</v>
      </c>
      <c r="R101" s="411">
        <f t="shared" si="5"/>
        <v>18220</v>
      </c>
      <c r="S101" s="410">
        <f t="shared" ref="S101:S116" si="24">O101+R101</f>
        <v>26097</v>
      </c>
      <c r="T101" s="412"/>
      <c r="U101" s="413"/>
      <c r="V101" s="414">
        <f t="shared" ref="V101:V116" si="25">J101+S101</f>
        <v>77938</v>
      </c>
      <c r="W101" s="108">
        <f t="shared" si="8"/>
        <v>0.5599065924196156</v>
      </c>
      <c r="Z101" s="117">
        <f>ROW()</f>
        <v>101</v>
      </c>
    </row>
    <row r="102" spans="2:26" ht="13.95" customHeight="1">
      <c r="B102" s="5159"/>
      <c r="C102" s="104" t="s">
        <v>1199</v>
      </c>
      <c r="D102" s="409">
        <v>2005</v>
      </c>
      <c r="E102" s="410">
        <v>3355</v>
      </c>
      <c r="F102" s="411">
        <f t="shared" si="21"/>
        <v>5360</v>
      </c>
      <c r="G102" s="409">
        <v>2868</v>
      </c>
      <c r="H102" s="410">
        <v>147</v>
      </c>
      <c r="I102" s="411">
        <f>SUM(G102:H102)</f>
        <v>3015</v>
      </c>
      <c r="J102" s="410">
        <f t="shared" si="22"/>
        <v>8375</v>
      </c>
      <c r="K102" s="412"/>
      <c r="L102" s="413"/>
      <c r="M102" s="409">
        <v>548</v>
      </c>
      <c r="N102" s="410">
        <v>595</v>
      </c>
      <c r="O102" s="411">
        <f t="shared" si="23"/>
        <v>1143</v>
      </c>
      <c r="P102" s="414">
        <v>0</v>
      </c>
      <c r="Q102" s="414">
        <v>0</v>
      </c>
      <c r="R102" s="411">
        <f>SUM(P102:Q102)</f>
        <v>0</v>
      </c>
      <c r="S102" s="410">
        <f t="shared" si="24"/>
        <v>1143</v>
      </c>
      <c r="T102" s="412"/>
      <c r="U102" s="413"/>
      <c r="V102" s="414">
        <f t="shared" si="25"/>
        <v>9518</v>
      </c>
      <c r="W102" s="108">
        <f t="shared" si="8"/>
        <v>0.68323177138054214</v>
      </c>
      <c r="Z102" s="117">
        <f>ROW()</f>
        <v>102</v>
      </c>
    </row>
    <row r="103" spans="2:26" ht="13.95" customHeight="1">
      <c r="B103" s="5159"/>
      <c r="C103" s="104" t="s">
        <v>1200</v>
      </c>
      <c r="D103" s="409">
        <v>3232</v>
      </c>
      <c r="E103" s="410">
        <v>2719</v>
      </c>
      <c r="F103" s="411">
        <f t="shared" si="21"/>
        <v>5951</v>
      </c>
      <c r="G103" s="409">
        <v>1267</v>
      </c>
      <c r="H103" s="410">
        <v>0</v>
      </c>
      <c r="I103" s="411">
        <f>SUM(G103:H103)</f>
        <v>1267</v>
      </c>
      <c r="J103" s="410">
        <f t="shared" si="22"/>
        <v>7218</v>
      </c>
      <c r="K103" s="412"/>
      <c r="L103" s="413"/>
      <c r="M103" s="409">
        <v>1465</v>
      </c>
      <c r="N103" s="410">
        <v>583</v>
      </c>
      <c r="O103" s="411">
        <f t="shared" si="23"/>
        <v>2048</v>
      </c>
      <c r="P103" s="409">
        <v>7948</v>
      </c>
      <c r="Q103" s="414">
        <v>0</v>
      </c>
      <c r="R103" s="411">
        <f>SUM(P103:Q103)</f>
        <v>7948</v>
      </c>
      <c r="S103" s="410">
        <f t="shared" si="24"/>
        <v>9996</v>
      </c>
      <c r="T103" s="412"/>
      <c r="U103" s="413"/>
      <c r="V103" s="414">
        <f t="shared" si="25"/>
        <v>17214</v>
      </c>
      <c r="W103" s="108">
        <f t="shared" si="8"/>
        <v>0.46467991169977924</v>
      </c>
      <c r="Z103" s="117">
        <f>ROW()</f>
        <v>103</v>
      </c>
    </row>
    <row r="104" spans="2:26" ht="13.95" customHeight="1">
      <c r="B104" s="5159"/>
      <c r="C104" s="104" t="s">
        <v>1201</v>
      </c>
      <c r="D104" s="409">
        <v>5073</v>
      </c>
      <c r="E104" s="410">
        <v>1827</v>
      </c>
      <c r="F104" s="411">
        <f t="shared" si="21"/>
        <v>6900</v>
      </c>
      <c r="G104" s="409">
        <v>3018</v>
      </c>
      <c r="H104" s="410">
        <v>0</v>
      </c>
      <c r="I104" s="411">
        <f t="shared" si="2"/>
        <v>3018</v>
      </c>
      <c r="J104" s="410">
        <f t="shared" si="22"/>
        <v>9918</v>
      </c>
      <c r="K104" s="412"/>
      <c r="L104" s="413"/>
      <c r="M104" s="409">
        <v>305</v>
      </c>
      <c r="N104" s="414">
        <v>0</v>
      </c>
      <c r="O104" s="411">
        <f t="shared" si="23"/>
        <v>305</v>
      </c>
      <c r="P104" s="409">
        <v>3695</v>
      </c>
      <c r="Q104" s="414">
        <v>0</v>
      </c>
      <c r="R104" s="411">
        <f t="shared" si="5"/>
        <v>3695</v>
      </c>
      <c r="S104" s="410">
        <f t="shared" si="24"/>
        <v>4000</v>
      </c>
      <c r="T104" s="412"/>
      <c r="U104" s="413"/>
      <c r="V104" s="414">
        <f t="shared" si="25"/>
        <v>13918</v>
      </c>
      <c r="W104" s="108">
        <f t="shared" si="8"/>
        <v>0.5176749532978876</v>
      </c>
      <c r="Z104" s="117">
        <f>ROW()</f>
        <v>104</v>
      </c>
    </row>
    <row r="105" spans="2:26" ht="13.95" customHeight="1">
      <c r="B105" s="5159"/>
      <c r="C105" s="104" t="s">
        <v>1473</v>
      </c>
      <c r="D105" s="409">
        <v>9271</v>
      </c>
      <c r="E105" s="410">
        <v>41976</v>
      </c>
      <c r="F105" s="411">
        <f t="shared" si="21"/>
        <v>51247</v>
      </c>
      <c r="G105" s="409">
        <v>11559</v>
      </c>
      <c r="H105" s="410">
        <v>1735</v>
      </c>
      <c r="I105" s="411">
        <f t="shared" si="2"/>
        <v>13294</v>
      </c>
      <c r="J105" s="410">
        <f t="shared" si="22"/>
        <v>64541</v>
      </c>
      <c r="K105" s="412"/>
      <c r="L105" s="413"/>
      <c r="M105" s="409">
        <v>8322</v>
      </c>
      <c r="N105" s="410">
        <v>15860</v>
      </c>
      <c r="O105" s="411">
        <f t="shared" si="23"/>
        <v>24182</v>
      </c>
      <c r="P105" s="409">
        <v>10947</v>
      </c>
      <c r="Q105" s="410">
        <v>1290</v>
      </c>
      <c r="R105" s="411">
        <f t="shared" si="5"/>
        <v>12237</v>
      </c>
      <c r="S105" s="410">
        <f t="shared" si="24"/>
        <v>36419</v>
      </c>
      <c r="T105" s="412"/>
      <c r="U105" s="413"/>
      <c r="V105" s="414">
        <f t="shared" si="25"/>
        <v>100960</v>
      </c>
      <c r="W105" s="108">
        <f t="shared" si="8"/>
        <v>0.74711767036450083</v>
      </c>
      <c r="Z105" s="117">
        <f>ROW()</f>
        <v>105</v>
      </c>
    </row>
    <row r="106" spans="2:26" ht="13.95" customHeight="1">
      <c r="B106" s="5159"/>
      <c r="C106" s="104" t="s">
        <v>1474</v>
      </c>
      <c r="D106" s="409">
        <v>5344</v>
      </c>
      <c r="E106" s="410">
        <v>19325</v>
      </c>
      <c r="F106" s="411">
        <f t="shared" si="21"/>
        <v>24669</v>
      </c>
      <c r="G106" s="409">
        <v>5776</v>
      </c>
      <c r="H106" s="410">
        <v>726</v>
      </c>
      <c r="I106" s="411">
        <f t="shared" si="2"/>
        <v>6502</v>
      </c>
      <c r="J106" s="410">
        <f t="shared" si="22"/>
        <v>31171</v>
      </c>
      <c r="K106" s="412"/>
      <c r="L106" s="413"/>
      <c r="M106" s="409">
        <v>1008</v>
      </c>
      <c r="N106" s="410">
        <v>3601</v>
      </c>
      <c r="O106" s="411">
        <f t="shared" si="23"/>
        <v>4609</v>
      </c>
      <c r="P106" s="409">
        <v>5192</v>
      </c>
      <c r="Q106" s="414">
        <v>0</v>
      </c>
      <c r="R106" s="411">
        <f t="shared" si="5"/>
        <v>5192</v>
      </c>
      <c r="S106" s="410">
        <f t="shared" si="24"/>
        <v>9801</v>
      </c>
      <c r="T106" s="412"/>
      <c r="U106" s="413"/>
      <c r="V106" s="414">
        <f t="shared" si="25"/>
        <v>40972</v>
      </c>
      <c r="W106" s="108">
        <f t="shared" si="8"/>
        <v>0.7145855706336034</v>
      </c>
      <c r="Z106" s="117">
        <f>ROW()</f>
        <v>106</v>
      </c>
    </row>
    <row r="107" spans="2:26" ht="13.95" customHeight="1">
      <c r="B107" s="5159"/>
      <c r="C107" s="104" t="s">
        <v>1475</v>
      </c>
      <c r="D107" s="409">
        <v>1070</v>
      </c>
      <c r="E107" s="410">
        <v>10241</v>
      </c>
      <c r="F107" s="411">
        <f t="shared" si="21"/>
        <v>11311</v>
      </c>
      <c r="G107" s="409">
        <v>3858</v>
      </c>
      <c r="H107" s="410">
        <v>288</v>
      </c>
      <c r="I107" s="411">
        <f t="shared" si="2"/>
        <v>4146</v>
      </c>
      <c r="J107" s="410">
        <f t="shared" si="22"/>
        <v>15457</v>
      </c>
      <c r="K107" s="412"/>
      <c r="L107" s="413"/>
      <c r="M107" s="424">
        <v>0</v>
      </c>
      <c r="N107" s="410">
        <v>990</v>
      </c>
      <c r="O107" s="411">
        <f t="shared" si="23"/>
        <v>990</v>
      </c>
      <c r="P107" s="409">
        <v>2546</v>
      </c>
      <c r="Q107" s="414">
        <v>0</v>
      </c>
      <c r="R107" s="411">
        <f t="shared" si="5"/>
        <v>2546</v>
      </c>
      <c r="S107" s="410">
        <f t="shared" si="24"/>
        <v>3536</v>
      </c>
      <c r="T107" s="412"/>
      <c r="U107" s="413"/>
      <c r="V107" s="414">
        <f t="shared" si="25"/>
        <v>18993</v>
      </c>
      <c r="W107" s="108">
        <f t="shared" si="8"/>
        <v>0.64765966408676878</v>
      </c>
      <c r="Z107" s="117">
        <f>ROW()</f>
        <v>107</v>
      </c>
    </row>
    <row r="108" spans="2:26" ht="13.95" customHeight="1">
      <c r="B108" s="5159"/>
      <c r="C108" s="104" t="s">
        <v>1476</v>
      </c>
      <c r="D108" s="409">
        <v>2687</v>
      </c>
      <c r="E108" s="410">
        <v>5709</v>
      </c>
      <c r="F108" s="411">
        <f t="shared" si="21"/>
        <v>8396</v>
      </c>
      <c r="G108" s="409">
        <v>4219</v>
      </c>
      <c r="H108" s="410">
        <v>0</v>
      </c>
      <c r="I108" s="411">
        <f t="shared" si="2"/>
        <v>4219</v>
      </c>
      <c r="J108" s="410">
        <f t="shared" si="22"/>
        <v>12615</v>
      </c>
      <c r="K108" s="412"/>
      <c r="L108" s="413"/>
      <c r="M108" s="424">
        <v>0</v>
      </c>
      <c r="N108" s="410">
        <v>601</v>
      </c>
      <c r="O108" s="411">
        <f t="shared" si="23"/>
        <v>601</v>
      </c>
      <c r="P108" s="409">
        <v>885</v>
      </c>
      <c r="Q108" s="410">
        <v>280</v>
      </c>
      <c r="R108" s="411">
        <f t="shared" si="5"/>
        <v>1165</v>
      </c>
      <c r="S108" s="410">
        <f t="shared" si="24"/>
        <v>1766</v>
      </c>
      <c r="T108" s="412"/>
      <c r="U108" s="413"/>
      <c r="V108" s="414">
        <f t="shared" si="25"/>
        <v>14381</v>
      </c>
      <c r="W108" s="108">
        <f t="shared" si="8"/>
        <v>0.62561713371810024</v>
      </c>
      <c r="Z108" s="117">
        <f>ROW()</f>
        <v>108</v>
      </c>
    </row>
    <row r="109" spans="2:26" ht="13.95" customHeight="1">
      <c r="B109" s="5159"/>
      <c r="C109" s="104" t="s">
        <v>1477</v>
      </c>
      <c r="D109" s="409">
        <v>1029</v>
      </c>
      <c r="E109" s="410">
        <v>2122</v>
      </c>
      <c r="F109" s="411">
        <f t="shared" si="21"/>
        <v>3151</v>
      </c>
      <c r="G109" s="409">
        <v>1189</v>
      </c>
      <c r="H109" s="410">
        <v>410</v>
      </c>
      <c r="I109" s="411">
        <f t="shared" si="2"/>
        <v>1599</v>
      </c>
      <c r="J109" s="410">
        <f t="shared" si="22"/>
        <v>4750</v>
      </c>
      <c r="K109" s="412"/>
      <c r="L109" s="413"/>
      <c r="M109" s="424">
        <v>0</v>
      </c>
      <c r="N109" s="414">
        <v>0</v>
      </c>
      <c r="O109" s="411">
        <f t="shared" si="23"/>
        <v>0</v>
      </c>
      <c r="P109" s="409">
        <v>469</v>
      </c>
      <c r="Q109" s="414">
        <v>0</v>
      </c>
      <c r="R109" s="411">
        <f t="shared" si="5"/>
        <v>469</v>
      </c>
      <c r="S109" s="410">
        <f t="shared" si="24"/>
        <v>469</v>
      </c>
      <c r="T109" s="412"/>
      <c r="U109" s="413"/>
      <c r="V109" s="414">
        <f t="shared" si="25"/>
        <v>5219</v>
      </c>
      <c r="W109" s="108">
        <f t="shared" si="8"/>
        <v>0.60375550871814521</v>
      </c>
      <c r="Z109" s="117">
        <f>ROW()</f>
        <v>109</v>
      </c>
    </row>
    <row r="110" spans="2:26" ht="13.95" customHeight="1">
      <c r="B110" s="5159"/>
      <c r="C110" s="104" t="s">
        <v>1478</v>
      </c>
      <c r="D110" s="409">
        <v>4806</v>
      </c>
      <c r="E110" s="410">
        <v>7076</v>
      </c>
      <c r="F110" s="411">
        <f t="shared" si="21"/>
        <v>11882</v>
      </c>
      <c r="G110" s="409">
        <v>5142</v>
      </c>
      <c r="H110" s="410">
        <v>0</v>
      </c>
      <c r="I110" s="411">
        <f t="shared" si="2"/>
        <v>5142</v>
      </c>
      <c r="J110" s="410">
        <f t="shared" si="22"/>
        <v>17024</v>
      </c>
      <c r="K110" s="412"/>
      <c r="L110" s="413"/>
      <c r="M110" s="424">
        <v>0</v>
      </c>
      <c r="N110" s="410">
        <v>3575</v>
      </c>
      <c r="O110" s="411">
        <f t="shared" si="23"/>
        <v>3575</v>
      </c>
      <c r="P110" s="409">
        <v>2245</v>
      </c>
      <c r="Q110" s="414">
        <v>0</v>
      </c>
      <c r="R110" s="411">
        <f t="shared" si="5"/>
        <v>2245</v>
      </c>
      <c r="S110" s="410">
        <f t="shared" si="24"/>
        <v>5820</v>
      </c>
      <c r="T110" s="412"/>
      <c r="U110" s="413"/>
      <c r="V110" s="414">
        <f t="shared" si="25"/>
        <v>22844</v>
      </c>
      <c r="W110" s="108">
        <f t="shared" si="8"/>
        <v>0.67663281386797414</v>
      </c>
      <c r="Z110" s="117">
        <f>ROW()</f>
        <v>110</v>
      </c>
    </row>
    <row r="111" spans="2:26" ht="13.95" customHeight="1">
      <c r="B111" s="5159"/>
      <c r="C111" s="104" t="s">
        <v>1479</v>
      </c>
      <c r="D111" s="409">
        <v>7711</v>
      </c>
      <c r="E111" s="410">
        <v>5447</v>
      </c>
      <c r="F111" s="411">
        <f t="shared" si="21"/>
        <v>13158</v>
      </c>
      <c r="G111" s="409">
        <v>3885</v>
      </c>
      <c r="H111" s="410">
        <v>0</v>
      </c>
      <c r="I111" s="411">
        <f t="shared" si="2"/>
        <v>3885</v>
      </c>
      <c r="J111" s="410">
        <f t="shared" si="22"/>
        <v>17043</v>
      </c>
      <c r="K111" s="412"/>
      <c r="L111" s="413"/>
      <c r="M111" s="409">
        <v>1702</v>
      </c>
      <c r="N111" s="410">
        <v>6550</v>
      </c>
      <c r="O111" s="411">
        <f t="shared" si="23"/>
        <v>8252</v>
      </c>
      <c r="P111" s="409">
        <v>1048</v>
      </c>
      <c r="Q111" s="414">
        <v>0</v>
      </c>
      <c r="R111" s="411">
        <f t="shared" si="5"/>
        <v>1048</v>
      </c>
      <c r="S111" s="410">
        <f t="shared" si="24"/>
        <v>9300</v>
      </c>
      <c r="T111" s="412"/>
      <c r="U111" s="413"/>
      <c r="V111" s="414">
        <f t="shared" si="25"/>
        <v>26343</v>
      </c>
      <c r="W111" s="108">
        <f t="shared" si="8"/>
        <v>0.8127396272254489</v>
      </c>
      <c r="Z111" s="117">
        <f>ROW()</f>
        <v>111</v>
      </c>
    </row>
    <row r="112" spans="2:26" ht="13.95" customHeight="1">
      <c r="B112" s="5159"/>
      <c r="C112" s="104" t="s">
        <v>1480</v>
      </c>
      <c r="D112" s="409">
        <v>0</v>
      </c>
      <c r="E112" s="410">
        <v>172</v>
      </c>
      <c r="F112" s="411">
        <f t="shared" si="21"/>
        <v>172</v>
      </c>
      <c r="G112" s="409">
        <v>2057</v>
      </c>
      <c r="H112" s="410">
        <v>0</v>
      </c>
      <c r="I112" s="411">
        <f t="shared" si="2"/>
        <v>2057</v>
      </c>
      <c r="J112" s="410">
        <f t="shared" si="22"/>
        <v>2229</v>
      </c>
      <c r="K112" s="412"/>
      <c r="L112" s="413"/>
      <c r="M112" s="424">
        <v>0</v>
      </c>
      <c r="N112" s="414">
        <v>0</v>
      </c>
      <c r="O112" s="411">
        <f t="shared" si="23"/>
        <v>0</v>
      </c>
      <c r="P112" s="409">
        <v>2984</v>
      </c>
      <c r="Q112" s="414">
        <v>0</v>
      </c>
      <c r="R112" s="411">
        <f t="shared" si="5"/>
        <v>2984</v>
      </c>
      <c r="S112" s="410">
        <f t="shared" si="24"/>
        <v>2984</v>
      </c>
      <c r="T112" s="412"/>
      <c r="U112" s="413"/>
      <c r="V112" s="414">
        <f t="shared" si="25"/>
        <v>5213</v>
      </c>
      <c r="W112" s="108">
        <f t="shared" si="8"/>
        <v>3.2994436984461924E-2</v>
      </c>
      <c r="Z112" s="117">
        <f>ROW()</f>
        <v>112</v>
      </c>
    </row>
    <row r="113" spans="2:26" ht="13.95" customHeight="1">
      <c r="B113" s="5159"/>
      <c r="C113" s="104" t="s">
        <v>2018</v>
      </c>
      <c r="D113" s="409">
        <v>310</v>
      </c>
      <c r="E113" s="410">
        <v>634</v>
      </c>
      <c r="F113" s="411">
        <f t="shared" si="21"/>
        <v>944</v>
      </c>
      <c r="G113" s="424">
        <v>0</v>
      </c>
      <c r="H113" s="410">
        <v>0</v>
      </c>
      <c r="I113" s="411">
        <f t="shared" si="2"/>
        <v>0</v>
      </c>
      <c r="J113" s="410">
        <f t="shared" si="22"/>
        <v>944</v>
      </c>
      <c r="K113" s="412"/>
      <c r="L113" s="413"/>
      <c r="M113" s="424">
        <v>0</v>
      </c>
      <c r="N113" s="410">
        <v>1587</v>
      </c>
      <c r="O113" s="411">
        <f t="shared" si="23"/>
        <v>1587</v>
      </c>
      <c r="P113" s="409">
        <v>522</v>
      </c>
      <c r="Q113" s="414">
        <v>0</v>
      </c>
      <c r="R113" s="411">
        <f t="shared" si="5"/>
        <v>522</v>
      </c>
      <c r="S113" s="410">
        <f t="shared" si="24"/>
        <v>2109</v>
      </c>
      <c r="T113" s="412"/>
      <c r="U113" s="413"/>
      <c r="V113" s="414">
        <f t="shared" si="25"/>
        <v>3053</v>
      </c>
      <c r="W113" s="108">
        <f t="shared" si="8"/>
        <v>0.82902063544055027</v>
      </c>
      <c r="Z113" s="117">
        <f>ROW()</f>
        <v>113</v>
      </c>
    </row>
    <row r="114" spans="2:26" ht="13.95" customHeight="1">
      <c r="B114" s="5159"/>
      <c r="C114" s="104" t="s">
        <v>2019</v>
      </c>
      <c r="D114" s="409">
        <v>0</v>
      </c>
      <c r="E114" s="414">
        <v>0</v>
      </c>
      <c r="F114" s="411">
        <f t="shared" si="21"/>
        <v>0</v>
      </c>
      <c r="G114" s="409">
        <v>429</v>
      </c>
      <c r="H114" s="410">
        <v>0</v>
      </c>
      <c r="I114" s="411">
        <f t="shared" si="2"/>
        <v>429</v>
      </c>
      <c r="J114" s="410">
        <f t="shared" si="22"/>
        <v>429</v>
      </c>
      <c r="K114" s="412"/>
      <c r="L114" s="413"/>
      <c r="M114" s="424">
        <v>0</v>
      </c>
      <c r="N114" s="410">
        <v>421</v>
      </c>
      <c r="O114" s="411">
        <f t="shared" si="23"/>
        <v>421</v>
      </c>
      <c r="P114" s="409">
        <v>609</v>
      </c>
      <c r="Q114" s="414">
        <v>0</v>
      </c>
      <c r="R114" s="411">
        <f t="shared" si="5"/>
        <v>609</v>
      </c>
      <c r="S114" s="410">
        <f t="shared" si="24"/>
        <v>1030</v>
      </c>
      <c r="T114" s="412"/>
      <c r="U114" s="413"/>
      <c r="V114" s="414">
        <f t="shared" si="25"/>
        <v>1459</v>
      </c>
      <c r="W114" s="108">
        <f t="shared" si="8"/>
        <v>0.28855380397532554</v>
      </c>
      <c r="Z114" s="117">
        <f>ROW()</f>
        <v>114</v>
      </c>
    </row>
    <row r="115" spans="2:26" ht="13.95" customHeight="1">
      <c r="B115" s="5159"/>
      <c r="C115" s="104" t="s">
        <v>2020</v>
      </c>
      <c r="D115" s="409">
        <v>0</v>
      </c>
      <c r="E115" s="410">
        <v>435</v>
      </c>
      <c r="F115" s="411">
        <f t="shared" si="21"/>
        <v>435</v>
      </c>
      <c r="G115" s="409">
        <v>450</v>
      </c>
      <c r="H115" s="410">
        <v>158</v>
      </c>
      <c r="I115" s="411">
        <f t="shared" si="2"/>
        <v>608</v>
      </c>
      <c r="J115" s="410">
        <f t="shared" si="22"/>
        <v>1043</v>
      </c>
      <c r="K115" s="412"/>
      <c r="L115" s="413"/>
      <c r="M115" s="409">
        <v>334</v>
      </c>
      <c r="N115" s="414">
        <v>0</v>
      </c>
      <c r="O115" s="411">
        <f t="shared" si="23"/>
        <v>334</v>
      </c>
      <c r="P115" s="409">
        <v>158</v>
      </c>
      <c r="Q115" s="414">
        <v>0</v>
      </c>
      <c r="R115" s="411">
        <f t="shared" si="5"/>
        <v>158</v>
      </c>
      <c r="S115" s="410">
        <f t="shared" si="24"/>
        <v>492</v>
      </c>
      <c r="T115" s="412"/>
      <c r="U115" s="413"/>
      <c r="V115" s="414">
        <f t="shared" si="25"/>
        <v>1535</v>
      </c>
      <c r="W115" s="108">
        <f t="shared" si="8"/>
        <v>0.50097719869706836</v>
      </c>
      <c r="Z115" s="117">
        <f>ROW()</f>
        <v>115</v>
      </c>
    </row>
    <row r="116" spans="2:26" ht="13.95" customHeight="1">
      <c r="B116" s="5159"/>
      <c r="C116" s="104" t="s">
        <v>2021</v>
      </c>
      <c r="D116" s="431">
        <v>0</v>
      </c>
      <c r="E116" s="432">
        <v>3408</v>
      </c>
      <c r="F116" s="433">
        <f t="shared" si="21"/>
        <v>3408</v>
      </c>
      <c r="G116" s="431">
        <v>2510</v>
      </c>
      <c r="H116" s="432">
        <v>1130</v>
      </c>
      <c r="I116" s="433">
        <f t="shared" si="2"/>
        <v>3640</v>
      </c>
      <c r="J116" s="432">
        <f t="shared" si="22"/>
        <v>7048</v>
      </c>
      <c r="K116" s="434"/>
      <c r="L116" s="435"/>
      <c r="M116" s="436">
        <v>0</v>
      </c>
      <c r="N116" s="432">
        <v>1095</v>
      </c>
      <c r="O116" s="433">
        <f t="shared" si="23"/>
        <v>1095</v>
      </c>
      <c r="P116" s="431">
        <v>1631</v>
      </c>
      <c r="Q116" s="437">
        <v>0</v>
      </c>
      <c r="R116" s="433">
        <f t="shared" si="5"/>
        <v>1631</v>
      </c>
      <c r="S116" s="432">
        <f t="shared" si="24"/>
        <v>2726</v>
      </c>
      <c r="T116" s="434"/>
      <c r="U116" s="435"/>
      <c r="V116" s="437">
        <f t="shared" si="25"/>
        <v>9774</v>
      </c>
      <c r="W116" s="108">
        <f t="shared" si="8"/>
        <v>0.46071209330877838</v>
      </c>
      <c r="Z116" s="117">
        <f>ROW()</f>
        <v>116</v>
      </c>
    </row>
    <row r="117" spans="2:26" ht="13.95" customHeight="1">
      <c r="B117" s="5160"/>
      <c r="C117" s="105" t="s">
        <v>2762</v>
      </c>
      <c r="D117" s="419">
        <f t="shared" ref="D117:J117" si="26">SUM(D101:D116)</f>
        <v>66845</v>
      </c>
      <c r="E117" s="420">
        <v>115900</v>
      </c>
      <c r="F117" s="421">
        <f t="shared" si="26"/>
        <v>182745</v>
      </c>
      <c r="G117" s="419">
        <f t="shared" si="26"/>
        <v>63047</v>
      </c>
      <c r="H117" s="420">
        <f t="shared" si="26"/>
        <v>5854</v>
      </c>
      <c r="I117" s="421">
        <f t="shared" si="26"/>
        <v>68901</v>
      </c>
      <c r="J117" s="420">
        <f t="shared" si="26"/>
        <v>251646</v>
      </c>
      <c r="K117" s="422"/>
      <c r="L117" s="423"/>
      <c r="M117" s="419">
        <f t="shared" ref="M117:S117" si="27">SUM(M101:M116)</f>
        <v>19797</v>
      </c>
      <c r="N117" s="420">
        <v>37222</v>
      </c>
      <c r="O117" s="421">
        <f t="shared" si="27"/>
        <v>57019</v>
      </c>
      <c r="P117" s="419">
        <f t="shared" si="27"/>
        <v>58795</v>
      </c>
      <c r="Q117" s="420">
        <f t="shared" si="27"/>
        <v>1874</v>
      </c>
      <c r="R117" s="421">
        <f t="shared" si="27"/>
        <v>60669</v>
      </c>
      <c r="S117" s="420">
        <f t="shared" si="27"/>
        <v>117688</v>
      </c>
      <c r="T117" s="422"/>
      <c r="U117" s="423"/>
      <c r="V117" s="420">
        <f>SUM(V101:V116)</f>
        <v>369334</v>
      </c>
      <c r="W117" s="110">
        <f t="shared" si="8"/>
        <v>0.64917933361131119</v>
      </c>
      <c r="Z117" s="117">
        <f>ROW()</f>
        <v>117</v>
      </c>
    </row>
    <row r="118" spans="2:26" ht="13.95" customHeight="1">
      <c r="B118" s="5160"/>
      <c r="C118" s="103" t="s">
        <v>2763</v>
      </c>
      <c r="D118" s="417">
        <f t="shared" ref="D118:J118" si="28">D94+D100+D117</f>
        <v>69173</v>
      </c>
      <c r="E118" s="408">
        <f t="shared" si="28"/>
        <v>315330</v>
      </c>
      <c r="F118" s="418">
        <f t="shared" si="28"/>
        <v>384503</v>
      </c>
      <c r="G118" s="417">
        <f t="shared" si="28"/>
        <v>130593</v>
      </c>
      <c r="H118" s="408">
        <f t="shared" si="28"/>
        <v>11124</v>
      </c>
      <c r="I118" s="418">
        <f t="shared" si="28"/>
        <v>141717</v>
      </c>
      <c r="J118" s="408">
        <f t="shared" si="28"/>
        <v>526220</v>
      </c>
      <c r="K118" s="406"/>
      <c r="L118" s="407"/>
      <c r="M118" s="417">
        <f t="shared" ref="M118:S118" si="29">M94+M100+M117</f>
        <v>22823</v>
      </c>
      <c r="N118" s="408">
        <f t="shared" si="29"/>
        <v>73616</v>
      </c>
      <c r="O118" s="418">
        <f t="shared" si="29"/>
        <v>96439</v>
      </c>
      <c r="P118" s="417">
        <f t="shared" si="29"/>
        <v>97865</v>
      </c>
      <c r="Q118" s="408">
        <f t="shared" si="29"/>
        <v>1874</v>
      </c>
      <c r="R118" s="418">
        <f t="shared" si="29"/>
        <v>99739</v>
      </c>
      <c r="S118" s="408">
        <f t="shared" si="29"/>
        <v>196178</v>
      </c>
      <c r="T118" s="406"/>
      <c r="U118" s="425">
        <f>U94+U100+U117</f>
        <v>0</v>
      </c>
      <c r="V118" s="408">
        <f>V94+V100+V117</f>
        <v>722398</v>
      </c>
      <c r="W118" s="109">
        <f t="shared" si="8"/>
        <v>0.66575765713637081</v>
      </c>
      <c r="Z118" s="117">
        <f>ROW()</f>
        <v>118</v>
      </c>
    </row>
    <row r="119" spans="2:26" ht="13.95" customHeight="1" thickBot="1">
      <c r="B119" s="5160"/>
      <c r="C119" s="106" t="s">
        <v>2764</v>
      </c>
      <c r="D119" s="438">
        <f t="shared" ref="D119:J119" si="30">D120-D82</f>
        <v>116594</v>
      </c>
      <c r="E119" s="439">
        <f t="shared" si="30"/>
        <v>1014527</v>
      </c>
      <c r="F119" s="440">
        <f t="shared" si="30"/>
        <v>1131121</v>
      </c>
      <c r="G119" s="438">
        <f t="shared" si="30"/>
        <v>251354</v>
      </c>
      <c r="H119" s="439">
        <f t="shared" si="30"/>
        <v>45243</v>
      </c>
      <c r="I119" s="440">
        <f t="shared" si="30"/>
        <v>296597</v>
      </c>
      <c r="J119" s="439">
        <f t="shared" si="30"/>
        <v>1427718</v>
      </c>
      <c r="K119" s="441"/>
      <c r="L119" s="442"/>
      <c r="M119" s="438">
        <f t="shared" ref="M119:S119" si="31">M120-M82</f>
        <v>69605</v>
      </c>
      <c r="N119" s="439">
        <f t="shared" si="31"/>
        <v>394425</v>
      </c>
      <c r="O119" s="440">
        <f t="shared" si="31"/>
        <v>464030</v>
      </c>
      <c r="P119" s="438">
        <f t="shared" si="31"/>
        <v>230592</v>
      </c>
      <c r="Q119" s="439">
        <f t="shared" si="31"/>
        <v>29502</v>
      </c>
      <c r="R119" s="440">
        <f t="shared" si="31"/>
        <v>260094</v>
      </c>
      <c r="S119" s="439">
        <f t="shared" si="31"/>
        <v>724124</v>
      </c>
      <c r="T119" s="441"/>
      <c r="U119" s="443"/>
      <c r="V119" s="439">
        <f>V120-V82</f>
        <v>2151842</v>
      </c>
      <c r="W119" s="111">
        <f t="shared" si="8"/>
        <v>0.74129559698156278</v>
      </c>
      <c r="Z119" s="117">
        <f>ROW()</f>
        <v>119</v>
      </c>
    </row>
    <row r="120" spans="2:26" s="1" customFormat="1" ht="16.2" customHeight="1" thickBot="1">
      <c r="B120" s="5161"/>
      <c r="C120" s="3250" t="s">
        <v>2765</v>
      </c>
      <c r="D120" s="3251">
        <f t="shared" ref="D120:J120" si="32">D91+D94+D100+D117</f>
        <v>150983</v>
      </c>
      <c r="E120" s="3252">
        <v>1235189</v>
      </c>
      <c r="F120" s="3253">
        <f t="shared" si="32"/>
        <v>1386172</v>
      </c>
      <c r="G120" s="3251">
        <f t="shared" si="32"/>
        <v>310299</v>
      </c>
      <c r="H120" s="3254">
        <f t="shared" si="32"/>
        <v>120320</v>
      </c>
      <c r="I120" s="3253">
        <f t="shared" si="32"/>
        <v>430619</v>
      </c>
      <c r="J120" s="3254">
        <f t="shared" si="32"/>
        <v>1816791</v>
      </c>
      <c r="K120" s="3255"/>
      <c r="L120" s="3256"/>
      <c r="M120" s="3251">
        <f t="shared" ref="M120:S120" si="33">M91+M94+M100+M117</f>
        <v>131351</v>
      </c>
      <c r="N120" s="3254">
        <v>484308</v>
      </c>
      <c r="O120" s="3253">
        <f t="shared" si="33"/>
        <v>615659</v>
      </c>
      <c r="P120" s="3251">
        <f t="shared" si="33"/>
        <v>317319</v>
      </c>
      <c r="Q120" s="3254">
        <f t="shared" si="33"/>
        <v>83847</v>
      </c>
      <c r="R120" s="3253">
        <f t="shared" si="33"/>
        <v>401166</v>
      </c>
      <c r="S120" s="3254">
        <f t="shared" si="33"/>
        <v>1016825</v>
      </c>
      <c r="T120" s="3255"/>
      <c r="U120" s="3256"/>
      <c r="V120" s="3254">
        <f>V91+V94+V100+V117</f>
        <v>2833616</v>
      </c>
      <c r="W120" s="3257">
        <f t="shared" si="8"/>
        <v>0.70645810864986647</v>
      </c>
      <c r="Z120" s="638">
        <f>ROW()</f>
        <v>120</v>
      </c>
    </row>
    <row r="121" spans="2:26" ht="13.95" customHeight="1">
      <c r="H121" s="621"/>
      <c r="Q121" s="621"/>
      <c r="Z121" s="117">
        <f>ROW()</f>
        <v>121</v>
      </c>
    </row>
    <row r="122" spans="2:26" ht="13.95" customHeight="1">
      <c r="B122" t="s">
        <v>920</v>
      </c>
      <c r="Z122" s="117">
        <f>ROW()</f>
        <v>122</v>
      </c>
    </row>
    <row r="123" spans="2:26" ht="13.95" customHeight="1">
      <c r="C123" s="112"/>
      <c r="G123" s="3540" t="s">
        <v>6228</v>
      </c>
      <c r="H123" s="3540" t="s">
        <v>6229</v>
      </c>
      <c r="I123" s="252" t="s">
        <v>1130</v>
      </c>
      <c r="Z123" s="117">
        <f>ROW()</f>
        <v>123</v>
      </c>
    </row>
    <row r="124" spans="2:26" ht="13.95" customHeight="1">
      <c r="C124" t="s">
        <v>923</v>
      </c>
      <c r="D124" s="7"/>
      <c r="E124" s="7"/>
      <c r="F124" s="7"/>
      <c r="G124" s="205">
        <f>G119</f>
        <v>251354</v>
      </c>
      <c r="H124" s="205">
        <f>P119</f>
        <v>230592</v>
      </c>
      <c r="I124" s="205">
        <f>G124+H124</f>
        <v>481946</v>
      </c>
      <c r="J124" s="7"/>
      <c r="K124" s="7"/>
      <c r="L124" s="7"/>
      <c r="M124" s="7"/>
      <c r="N124" s="7"/>
      <c r="O124" s="7"/>
      <c r="Z124" s="117">
        <f>ROW()</f>
        <v>124</v>
      </c>
    </row>
    <row r="125" spans="2:26" ht="13.95" customHeight="1">
      <c r="C125" s="265" t="s">
        <v>921</v>
      </c>
      <c r="D125" s="7"/>
      <c r="E125" s="7"/>
      <c r="F125" s="7"/>
      <c r="G125" s="189"/>
      <c r="H125" s="189"/>
      <c r="I125" s="189"/>
      <c r="J125" s="7"/>
      <c r="K125" s="7"/>
      <c r="L125" s="7"/>
      <c r="M125" s="7"/>
      <c r="N125" s="7"/>
      <c r="O125" s="7"/>
      <c r="Z125" s="117">
        <f>ROW()</f>
        <v>125</v>
      </c>
    </row>
    <row r="126" spans="2:26" ht="13.95" customHeight="1">
      <c r="C126" t="s">
        <v>233</v>
      </c>
      <c r="D126" s="7"/>
      <c r="E126" s="7"/>
      <c r="F126" s="7"/>
      <c r="G126" s="444">
        <f>G124/$I124</f>
        <v>0.52153975756620041</v>
      </c>
      <c r="H126" s="444">
        <f>H124/$I124</f>
        <v>0.47846024243379964</v>
      </c>
      <c r="I126" s="444">
        <f>I124/$I124</f>
        <v>1</v>
      </c>
      <c r="J126" s="7"/>
      <c r="K126" s="7"/>
      <c r="L126" s="7"/>
      <c r="M126" s="7"/>
      <c r="N126" s="7"/>
      <c r="O126" s="7"/>
      <c r="Z126" s="117">
        <f>ROW()</f>
        <v>126</v>
      </c>
    </row>
    <row r="127" spans="2:26" ht="13.95" customHeight="1">
      <c r="C127" s="265" t="s">
        <v>234</v>
      </c>
      <c r="D127" s="7"/>
      <c r="E127" s="7"/>
      <c r="F127" s="7"/>
      <c r="G127" s="189"/>
      <c r="H127" s="189"/>
      <c r="I127" s="189"/>
      <c r="J127" s="7"/>
      <c r="K127" s="7"/>
      <c r="L127" s="7"/>
      <c r="M127" s="7"/>
      <c r="N127" s="7"/>
      <c r="O127" s="7"/>
      <c r="Z127" s="117">
        <f>ROW()</f>
        <v>127</v>
      </c>
    </row>
    <row r="128" spans="2:26" ht="13.95" customHeight="1">
      <c r="C128" t="s">
        <v>924</v>
      </c>
      <c r="D128" s="7"/>
      <c r="E128" s="7"/>
      <c r="F128" s="7"/>
      <c r="G128" s="189">
        <v>1.1499999999999999</v>
      </c>
      <c r="H128" s="724">
        <v>1.5</v>
      </c>
      <c r="I128" s="189"/>
      <c r="J128" s="7"/>
      <c r="K128" s="7"/>
      <c r="L128" s="7"/>
      <c r="M128" s="7"/>
      <c r="N128" s="7"/>
      <c r="O128" s="7"/>
      <c r="Z128" s="117">
        <f>ROW()</f>
        <v>128</v>
      </c>
    </row>
    <row r="129" spans="3:26" ht="13.95" customHeight="1">
      <c r="C129" s="265" t="s">
        <v>922</v>
      </c>
      <c r="D129" s="7"/>
      <c r="E129" s="7"/>
      <c r="F129" s="7"/>
      <c r="G129" s="189"/>
      <c r="H129" s="189"/>
      <c r="I129" s="189"/>
      <c r="J129" s="7"/>
      <c r="K129" s="7"/>
      <c r="L129" s="7"/>
      <c r="M129" s="7"/>
      <c r="N129" s="7"/>
      <c r="O129" s="7"/>
      <c r="P129" s="7"/>
      <c r="Z129" s="117">
        <f>ROW()</f>
        <v>129</v>
      </c>
    </row>
    <row r="130" spans="3:26" ht="13.95" customHeight="1">
      <c r="C130" t="s">
        <v>925</v>
      </c>
      <c r="G130" s="448">
        <f>G124/G128</f>
        <v>218568.69565217392</v>
      </c>
      <c r="H130" s="448">
        <f>H124/H128</f>
        <v>153728</v>
      </c>
      <c r="I130" s="449">
        <f>G130+H130</f>
        <v>372296.69565217395</v>
      </c>
      <c r="Z130" s="117">
        <f>ROW()</f>
        <v>130</v>
      </c>
    </row>
    <row r="131" spans="3:26" ht="13.95" customHeight="1">
      <c r="C131" s="312" t="s">
        <v>926</v>
      </c>
      <c r="G131" s="573">
        <f>G130/$I$130</f>
        <v>0.58708201873587496</v>
      </c>
      <c r="H131" s="445">
        <f>H130/$I$130</f>
        <v>0.41291798126412499</v>
      </c>
      <c r="I131" s="445">
        <f>I130/$I$130</f>
        <v>1</v>
      </c>
      <c r="Z131" s="117">
        <f>ROW()</f>
        <v>131</v>
      </c>
    </row>
    <row r="132" spans="3:26" ht="13.95" customHeight="1">
      <c r="C132" s="312" t="s">
        <v>1844</v>
      </c>
      <c r="G132" s="445">
        <f>G131*$I$132</f>
        <v>0.49901971592549371</v>
      </c>
      <c r="H132" s="445">
        <f>H131*$I$132</f>
        <v>0.35098028407450621</v>
      </c>
      <c r="I132" s="446">
        <v>0.85</v>
      </c>
      <c r="Z132" s="117">
        <f>ROW()</f>
        <v>132</v>
      </c>
    </row>
    <row r="133" spans="3:26" ht="13.95" customHeight="1">
      <c r="C133" s="1" t="s">
        <v>2741</v>
      </c>
      <c r="G133" s="447">
        <f>ROUND(G132*200,-1)/200</f>
        <v>0.5</v>
      </c>
      <c r="H133" s="447">
        <f>ROUND(H132*200,-1)/200</f>
        <v>0.35</v>
      </c>
      <c r="I133" s="208"/>
      <c r="Z133" s="117">
        <f>ROW()</f>
        <v>133</v>
      </c>
    </row>
    <row r="134" spans="3:26" ht="13.95" customHeight="1">
      <c r="E134" s="8"/>
      <c r="F134" s="85"/>
      <c r="G134" s="114"/>
      <c r="H134" s="113"/>
      <c r="I134" s="113"/>
      <c r="Z134" s="117">
        <f>ROW()</f>
        <v>134</v>
      </c>
    </row>
    <row r="135" spans="3:26" ht="13.95" customHeight="1">
      <c r="F135" s="39"/>
      <c r="G135" s="3540" t="s">
        <v>6230</v>
      </c>
      <c r="H135" s="3540" t="s">
        <v>6231</v>
      </c>
      <c r="I135" s="252" t="s">
        <v>1130</v>
      </c>
      <c r="Z135" s="117">
        <f>ROW()</f>
        <v>135</v>
      </c>
    </row>
    <row r="136" spans="3:26" ht="13.95" customHeight="1">
      <c r="C136" t="s">
        <v>1413</v>
      </c>
      <c r="F136" s="39"/>
      <c r="G136" s="205">
        <f>D119</f>
        <v>116594</v>
      </c>
      <c r="H136" s="205">
        <f>M119</f>
        <v>69605</v>
      </c>
      <c r="I136" s="205">
        <f>G136+H136</f>
        <v>186199</v>
      </c>
      <c r="Z136" s="117">
        <f>ROW()</f>
        <v>136</v>
      </c>
    </row>
    <row r="137" spans="3:26" ht="13.95" customHeight="1">
      <c r="C137" s="7" t="s">
        <v>921</v>
      </c>
      <c r="F137" s="39"/>
      <c r="G137" s="208"/>
      <c r="H137" s="208"/>
      <c r="I137" s="208"/>
      <c r="Z137" s="117">
        <f>ROW()</f>
        <v>137</v>
      </c>
    </row>
    <row r="138" spans="3:26" ht="13.95" customHeight="1">
      <c r="C138" t="s">
        <v>233</v>
      </c>
      <c r="D138" s="7"/>
      <c r="E138" s="7"/>
      <c r="F138" s="7"/>
      <c r="G138" s="444">
        <f>G136/$I136</f>
        <v>0.62617951761287649</v>
      </c>
      <c r="H138" s="444">
        <f>H136/$I136</f>
        <v>0.37382048238712345</v>
      </c>
      <c r="I138" s="444">
        <f>I136/$I136</f>
        <v>1</v>
      </c>
      <c r="Z138" s="117">
        <f>ROW()</f>
        <v>138</v>
      </c>
    </row>
    <row r="139" spans="3:26" ht="13.95" customHeight="1">
      <c r="G139" s="34"/>
      <c r="H139" s="34"/>
      <c r="I139" s="34"/>
      <c r="Z139" s="117">
        <f>ROW()</f>
        <v>139</v>
      </c>
    </row>
    <row r="140" spans="3:26" ht="13.95" customHeight="1">
      <c r="G140" s="3540" t="s">
        <v>6232</v>
      </c>
      <c r="H140" s="3540" t="s">
        <v>6233</v>
      </c>
      <c r="I140" s="252" t="s">
        <v>1130</v>
      </c>
      <c r="Z140" s="117">
        <f>ROW()</f>
        <v>140</v>
      </c>
    </row>
    <row r="141" spans="3:26" ht="13.95" customHeight="1">
      <c r="C141" t="s">
        <v>923</v>
      </c>
      <c r="G141" s="342">
        <f>E119</f>
        <v>1014527</v>
      </c>
      <c r="H141" s="342">
        <f>N119</f>
        <v>394425</v>
      </c>
      <c r="I141" s="205">
        <f>G141+H141</f>
        <v>1408952</v>
      </c>
      <c r="Z141" s="117">
        <f>ROW()</f>
        <v>141</v>
      </c>
    </row>
    <row r="142" spans="3:26" ht="13.95" customHeight="1">
      <c r="C142" s="7" t="s">
        <v>921</v>
      </c>
      <c r="G142" s="34"/>
      <c r="H142" s="34"/>
      <c r="I142" s="34"/>
      <c r="Z142" s="117">
        <f>ROW()</f>
        <v>142</v>
      </c>
    </row>
    <row r="143" spans="3:26" ht="13.95" customHeight="1">
      <c r="C143" t="s">
        <v>233</v>
      </c>
      <c r="G143" s="444">
        <f>G141/$I141</f>
        <v>0.72005788699686013</v>
      </c>
      <c r="H143" s="444">
        <f>H141/$I141</f>
        <v>0.27994211300313993</v>
      </c>
      <c r="I143" s="444">
        <f>I141/$I141</f>
        <v>1</v>
      </c>
      <c r="Z143" s="117">
        <f>ROW()</f>
        <v>143</v>
      </c>
    </row>
    <row r="144" spans="3:26" ht="13.95" customHeight="1">
      <c r="Z144" s="117">
        <f>ROW()</f>
        <v>144</v>
      </c>
    </row>
  </sheetData>
  <customSheetViews>
    <customSheetView guid="{BD5E6263-A0AD-4076-921A-D4EBD62848EF}" showGridLines="0" showRuler="0" topLeftCell="A109">
      <selection activeCell="G128" sqref="G128"/>
      <pageMargins left="0.75" right="0.75" top="1" bottom="1" header="0.5" footer="0.5"/>
      <pageSetup orientation="portrait" r:id="rId1"/>
      <headerFooter alignWithMargins="0"/>
    </customSheetView>
    <customSheetView guid="{1D5AE30A-CA7C-4B32-AEA4-9F37A560AAA8}" showGridLines="0" showRuler="0" topLeftCell="A109">
      <selection activeCell="G128" sqref="G128"/>
      <pageMargins left="0.75" right="0.75" top="1" bottom="1" header="0.5" footer="0.5"/>
      <pageSetup orientation="portrait" r:id="rId2"/>
      <headerFooter alignWithMargins="0"/>
    </customSheetView>
  </customSheetViews>
  <mergeCells count="14">
    <mergeCell ref="B82:B120"/>
    <mergeCell ref="D80:J80"/>
    <mergeCell ref="L16:R16"/>
    <mergeCell ref="B61:J61"/>
    <mergeCell ref="M80:S80"/>
    <mergeCell ref="V80:W80"/>
    <mergeCell ref="E65:G65"/>
    <mergeCell ref="B35:J37"/>
    <mergeCell ref="B4:K6"/>
    <mergeCell ref="C16:I16"/>
    <mergeCell ref="B10:J12"/>
    <mergeCell ref="C44:D44"/>
    <mergeCell ref="E44:F44"/>
    <mergeCell ref="G44:H44"/>
  </mergeCells>
  <phoneticPr fontId="6" type="noConversion"/>
  <pageMargins left="0.75" right="0.75" top="1" bottom="1" header="0.5" footer="0.5"/>
  <pageSetup orientation="portrait" r:id="rId3"/>
  <headerFooter alignWithMargins="0"/>
</worksheet>
</file>

<file path=xl/worksheets/sheet49.xml><?xml version="1.0" encoding="utf-8"?>
<worksheet xmlns="http://schemas.openxmlformats.org/spreadsheetml/2006/main" xmlns:r="http://schemas.openxmlformats.org/officeDocument/2006/relationships">
  <sheetPr codeName="Sheet41"/>
  <dimension ref="B1:O132"/>
  <sheetViews>
    <sheetView showGridLines="0" showRuler="0" zoomScaleNormal="100" workbookViewId="0"/>
  </sheetViews>
  <sheetFormatPr defaultColWidth="10.75" defaultRowHeight="14.1" customHeight="1"/>
  <cols>
    <col min="1" max="1" width="2.75" style="1" customWidth="1"/>
    <col min="2" max="14" width="13.75" style="1" customWidth="1"/>
    <col min="15" max="15" width="1.875" style="1" customWidth="1"/>
    <col min="16" max="16384" width="10.75" style="1"/>
  </cols>
  <sheetData>
    <row r="1" spans="2:15" ht="14.1" customHeight="1">
      <c r="O1" s="638">
        <f>ROW()</f>
        <v>1</v>
      </c>
    </row>
    <row r="2" spans="2:15" ht="14.1" customHeight="1">
      <c r="B2" s="1668" t="s">
        <v>5509</v>
      </c>
      <c r="L2" s="181">
        <f>'Title Page'!K1</f>
        <v>40914</v>
      </c>
      <c r="O2" s="638">
        <f>ROW()</f>
        <v>2</v>
      </c>
    </row>
    <row r="3" spans="2:15" ht="14.1" customHeight="1">
      <c r="O3" s="638">
        <f>ROW()</f>
        <v>3</v>
      </c>
    </row>
    <row r="4" spans="2:15" ht="14.1" customHeight="1">
      <c r="O4" s="638">
        <f>ROW()</f>
        <v>4</v>
      </c>
    </row>
    <row r="5" spans="2:15" ht="14.1" customHeight="1">
      <c r="O5" s="638">
        <f>ROW()</f>
        <v>5</v>
      </c>
    </row>
    <row r="6" spans="2:15" ht="14.1" customHeight="1">
      <c r="B6" s="308" t="s">
        <v>424</v>
      </c>
      <c r="O6" s="638">
        <f>ROW()</f>
        <v>6</v>
      </c>
    </row>
    <row r="7" spans="2:15" ht="14.1" customHeight="1">
      <c r="O7" s="638">
        <f>ROW()</f>
        <v>7</v>
      </c>
    </row>
    <row r="8" spans="2:15" ht="14.1" customHeight="1">
      <c r="B8" s="316" t="str">
        <f>CONCATENATE("2007 Inbound m.v. crossings via E Riv. Bridges (from Row ",O131, ", below)")</f>
        <v>2007 Inbound m.v. crossings via E Riv. Bridges (from Row 131, below)</v>
      </c>
      <c r="I8" s="5164" t="str">
        <f>CONCATENATE("Note added 22-March-2010: The bold % in Row ",O10, " is superseded by the more precise figure from 'Hub-Bound' worksheet shown in Row ",O11, ".")</f>
        <v>Note added 22-March-2010: The bold % in Row 10 is superseded by the more precise figure from 'Hub-Bound' worksheet shown in Row 11.</v>
      </c>
      <c r="J8" s="5165"/>
      <c r="K8" s="5166"/>
      <c r="L8" s="4">
        <f>K131</f>
        <v>251185</v>
      </c>
      <c r="O8" s="638">
        <f>ROW()</f>
        <v>8</v>
      </c>
    </row>
    <row r="9" spans="2:15" ht="14.1" customHeight="1">
      <c r="B9" s="323" t="str">
        <f>CONCATENATE("2007 all m.v. crossings into CBD (from 'Motor Vs' worksheet, Row ",'Motor Vs'!O27, ")")</f>
        <v>2007 all m.v. crossings into CBD (from 'Motor Vs' worksheet, Row 27)</v>
      </c>
      <c r="I9" s="5167"/>
      <c r="J9" s="5168"/>
      <c r="K9" s="5169"/>
      <c r="L9" s="186">
        <f>'Motor Vs'!H27</f>
        <v>795000</v>
      </c>
      <c r="O9" s="638">
        <f>ROW()</f>
        <v>9</v>
      </c>
    </row>
    <row r="10" spans="2:15" ht="14.1" customHeight="1">
      <c r="B10" s="323" t="str">
        <f>CONCATENATE("East River bridges share of all inbound crossings into CBD (Row ",O8, " divided by Row ",O9, ")")</f>
        <v>East River bridges share of all inbound crossings into CBD (Row 8 divided by Row 9)</v>
      </c>
      <c r="I10" s="5170"/>
      <c r="J10" s="5171"/>
      <c r="K10" s="5172"/>
      <c r="L10" s="2628">
        <f>L8/L9</f>
        <v>0.31595597484276727</v>
      </c>
      <c r="O10" s="638">
        <f>ROW()</f>
        <v>10</v>
      </c>
    </row>
    <row r="11" spans="2:15" ht="14.1" customHeight="1">
      <c r="B11" s="323" t="s">
        <v>293</v>
      </c>
      <c r="H11" s="1716"/>
      <c r="I11" s="1716"/>
      <c r="J11" s="1716"/>
      <c r="K11" s="1526"/>
      <c r="L11" s="2629">
        <f>'Hub-Bound'!E64</f>
        <v>0.31611542425802197</v>
      </c>
      <c r="O11" s="638">
        <f>ROW()</f>
        <v>11</v>
      </c>
    </row>
    <row r="12" spans="2:15" ht="14.1" customHeight="1">
      <c r="B12" s="323"/>
      <c r="H12" s="1716"/>
      <c r="I12" s="1716"/>
      <c r="J12" s="1716"/>
      <c r="K12" s="1526"/>
      <c r="L12" s="839"/>
      <c r="O12" s="638">
        <f>ROW()</f>
        <v>12</v>
      </c>
    </row>
    <row r="13" spans="2:15" ht="14.1" customHeight="1">
      <c r="B13" s="518" t="s">
        <v>4586</v>
      </c>
      <c r="H13" s="1716"/>
      <c r="I13" s="1716"/>
      <c r="J13" s="1716"/>
      <c r="K13" s="1526"/>
      <c r="L13" s="839"/>
      <c r="O13" s="638">
        <f>ROW()</f>
        <v>13</v>
      </c>
    </row>
    <row r="14" spans="2:15" ht="14.1" customHeight="1">
      <c r="B14" s="308"/>
      <c r="H14" s="1716"/>
      <c r="I14" s="1716"/>
      <c r="J14" s="1716"/>
      <c r="K14" s="1526"/>
      <c r="L14" s="839"/>
      <c r="O14" s="638">
        <f>ROW()</f>
        <v>14</v>
      </c>
    </row>
    <row r="15" spans="2:15" ht="14.1" customHeight="1">
      <c r="C15" s="8" t="s">
        <v>2002</v>
      </c>
      <c r="D15" s="8" t="s">
        <v>2111</v>
      </c>
      <c r="E15" s="8" t="s">
        <v>2110</v>
      </c>
      <c r="F15" s="8" t="s">
        <v>2112</v>
      </c>
      <c r="G15" s="8" t="s">
        <v>304</v>
      </c>
      <c r="H15" s="8" t="s">
        <v>2113</v>
      </c>
      <c r="I15" s="8" t="s">
        <v>2114</v>
      </c>
      <c r="J15" s="8" t="s">
        <v>1860</v>
      </c>
      <c r="L15" s="8" t="s">
        <v>228</v>
      </c>
      <c r="O15" s="638">
        <f>ROW()</f>
        <v>15</v>
      </c>
    </row>
    <row r="16" spans="2:15" ht="14.1" customHeight="1">
      <c r="C16" s="1132">
        <v>53827</v>
      </c>
      <c r="D16" s="1132">
        <v>59712</v>
      </c>
      <c r="E16" s="1132">
        <v>21920</v>
      </c>
      <c r="F16" s="1132">
        <v>10613</v>
      </c>
      <c r="G16" s="1132">
        <v>21041</v>
      </c>
      <c r="H16" s="1132">
        <v>22949</v>
      </c>
      <c r="I16" s="1132">
        <v>23729</v>
      </c>
      <c r="J16" s="1132">
        <v>18432</v>
      </c>
      <c r="L16" s="186">
        <f>SUM(C16:J16)</f>
        <v>232223</v>
      </c>
      <c r="O16" s="638">
        <f>ROW()</f>
        <v>16</v>
      </c>
    </row>
    <row r="17" spans="2:15" ht="14.1" customHeight="1">
      <c r="B17" s="314" t="s">
        <v>4585</v>
      </c>
      <c r="D17" s="1132"/>
      <c r="E17" s="1132"/>
      <c r="F17" s="1132"/>
      <c r="G17" s="1132"/>
      <c r="H17" s="1132"/>
      <c r="I17" s="1132"/>
      <c r="J17" s="1132"/>
      <c r="K17" s="4"/>
      <c r="O17" s="638">
        <f>ROW()</f>
        <v>17</v>
      </c>
    </row>
    <row r="18" spans="2:15" ht="14.1" customHeight="1">
      <c r="B18" s="316" t="str">
        <f>CONCATENATE("Ratio of 2007 Harlem River bridge crossings (inbound only) to all inbound crossings into CBD (Row ",O16, " divided by Row ",O9, ")")</f>
        <v>Ratio of 2007 Harlem River bridge crossings (inbound only) to all inbound crossings into CBD (Row 16 divided by Row 9)</v>
      </c>
      <c r="D18" s="1132"/>
      <c r="E18" s="1132"/>
      <c r="F18" s="1132"/>
      <c r="G18" s="1132"/>
      <c r="H18" s="1132"/>
      <c r="I18" s="1132"/>
      <c r="J18" s="1132"/>
      <c r="K18" s="4"/>
      <c r="L18" s="2627">
        <f>L16/L9</f>
        <v>0.29210440251572328</v>
      </c>
      <c r="O18" s="638">
        <f>ROW()</f>
        <v>18</v>
      </c>
    </row>
    <row r="19" spans="2:15" ht="14.1" customHeight="1">
      <c r="B19" s="314" t="s">
        <v>422</v>
      </c>
      <c r="D19" s="1132"/>
      <c r="E19" s="1132"/>
      <c r="F19" s="1132"/>
      <c r="G19" s="1132"/>
      <c r="O19" s="638">
        <f>ROW()</f>
        <v>19</v>
      </c>
    </row>
    <row r="20" spans="2:15" ht="14.1" customHeight="1">
      <c r="B20" s="316" t="s">
        <v>4587</v>
      </c>
      <c r="D20" s="1132"/>
      <c r="E20" s="1132"/>
      <c r="F20" s="1132"/>
      <c r="G20" s="1132"/>
      <c r="K20" s="3" t="str">
        <f>CONCATENATE("Chosen by user, and entered in Row ",'User Inputs'!N47, " of 'User Inputs' worksheet.")</f>
        <v>Chosen by user, and entered in Row 47 of 'User Inputs' worksheet.</v>
      </c>
      <c r="L20" s="48">
        <f>'User Inputs'!J47</f>
        <v>0.5</v>
      </c>
      <c r="O20" s="638">
        <f>ROW()</f>
        <v>20</v>
      </c>
    </row>
    <row r="21" spans="2:15" ht="14.1" customHeight="1">
      <c r="B21" s="323" t="s">
        <v>423</v>
      </c>
      <c r="D21" s="1132"/>
      <c r="E21" s="1132"/>
      <c r="F21" s="1132"/>
      <c r="G21" s="1132"/>
      <c r="L21" s="838">
        <f>L20*L18</f>
        <v>0.14605220125786164</v>
      </c>
      <c r="O21" s="638">
        <f>ROW()</f>
        <v>21</v>
      </c>
    </row>
    <row r="22" spans="2:15" ht="14.1" customHeight="1">
      <c r="B22" s="316" t="s">
        <v>4588</v>
      </c>
      <c r="D22" s="1132"/>
      <c r="E22" s="1132"/>
      <c r="F22" s="1132"/>
      <c r="G22" s="1132"/>
      <c r="L22" s="2629">
        <f>L11+L21</f>
        <v>0.46216762551588364</v>
      </c>
      <c r="O22" s="638">
        <f>ROW()</f>
        <v>22</v>
      </c>
    </row>
    <row r="23" spans="2:15" ht="14.1" customHeight="1">
      <c r="B23" s="314" t="str">
        <f>CONCATENATE("Sum of East River bridge share in Row ",O11, " and effective Harlem River bridge share in Row ",O21, ")")</f>
        <v>Sum of East River bridge share in Row 11 and effective Harlem River bridge share in Row 21)</v>
      </c>
      <c r="D23" s="1132"/>
      <c r="E23" s="1132"/>
      <c r="F23" s="1132"/>
      <c r="G23" s="1132"/>
      <c r="O23" s="638">
        <f>ROW()</f>
        <v>23</v>
      </c>
    </row>
    <row r="24" spans="2:15" ht="14.1" customHeight="1">
      <c r="B24" s="314"/>
      <c r="D24" s="1132"/>
      <c r="E24" s="1132"/>
      <c r="F24" s="1132"/>
      <c r="G24" s="1132"/>
      <c r="H24" s="1132"/>
      <c r="I24" s="1132"/>
      <c r="J24" s="1132"/>
      <c r="K24" s="4"/>
      <c r="O24" s="638">
        <f>ROW()</f>
        <v>24</v>
      </c>
    </row>
    <row r="25" spans="2:15" ht="14.1" customHeight="1">
      <c r="B25" s="518" t="s">
        <v>4589</v>
      </c>
      <c r="F25" s="7" t="str">
        <f>CONCATENATE("Used to calculate baseline tolls -- a key input in 'Motor Vs' and 'Motor Vs' Weekends' worksheets, Row ",'Motor Vs'!O256,)</f>
        <v>Used to calculate baseline tolls -- a key input in 'Motor Vs' and 'Motor Vs' Weekends' worksheets, Row 256</v>
      </c>
      <c r="O25" s="638">
        <f>ROW()</f>
        <v>25</v>
      </c>
    </row>
    <row r="26" spans="2:15" ht="14.1" customHeight="1">
      <c r="O26" s="638">
        <f>ROW()</f>
        <v>26</v>
      </c>
    </row>
    <row r="27" spans="2:15" ht="14.1" customHeight="1">
      <c r="B27" s="217"/>
      <c r="C27" s="217"/>
      <c r="D27" s="217"/>
      <c r="E27" s="3185" t="s">
        <v>2559</v>
      </c>
      <c r="F27" s="747" t="s">
        <v>2563</v>
      </c>
      <c r="G27" s="747" t="s">
        <v>2562</v>
      </c>
      <c r="H27" s="747" t="s">
        <v>2561</v>
      </c>
      <c r="I27" s="747" t="s">
        <v>2560</v>
      </c>
      <c r="J27" s="747" t="s">
        <v>1555</v>
      </c>
      <c r="K27" s="747" t="s">
        <v>1556</v>
      </c>
      <c r="L27" s="747"/>
      <c r="O27" s="638">
        <f>ROW()</f>
        <v>27</v>
      </c>
    </row>
    <row r="28" spans="2:15" ht="14.1" customHeight="1">
      <c r="E28" s="3804" t="s">
        <v>5511</v>
      </c>
      <c r="F28" s="3804" t="s">
        <v>5520</v>
      </c>
      <c r="G28" s="3804" t="s">
        <v>5521</v>
      </c>
      <c r="H28" s="3804" t="s">
        <v>5518</v>
      </c>
      <c r="I28" s="3804" t="s">
        <v>5519</v>
      </c>
      <c r="J28" s="3804" t="s">
        <v>5522</v>
      </c>
      <c r="K28" s="3804" t="s">
        <v>5523</v>
      </c>
      <c r="O28" s="638">
        <f>ROW()</f>
        <v>28</v>
      </c>
    </row>
    <row r="29" spans="2:15" ht="14.1" customHeight="1">
      <c r="E29" s="3807"/>
      <c r="F29" s="3807"/>
      <c r="G29" s="3807"/>
      <c r="H29" s="3807"/>
      <c r="I29" s="3807"/>
      <c r="J29" s="3807"/>
      <c r="K29" s="3807"/>
      <c r="O29" s="638">
        <f>ROW()</f>
        <v>29</v>
      </c>
    </row>
    <row r="30" spans="2:15" ht="14.1" customHeight="1">
      <c r="E30" s="3807"/>
      <c r="F30" s="3807"/>
      <c r="G30" s="3807"/>
      <c r="H30" s="3807"/>
      <c r="I30" s="3807"/>
      <c r="J30" s="3807"/>
      <c r="K30" s="3807"/>
      <c r="O30" s="638">
        <f>ROW()</f>
        <v>30</v>
      </c>
    </row>
    <row r="31" spans="2:15" ht="14.1" customHeight="1">
      <c r="E31" s="3807"/>
      <c r="F31" s="3807"/>
      <c r="G31" s="3807"/>
      <c r="H31" s="3807"/>
      <c r="I31" s="3807"/>
      <c r="J31" s="3807"/>
      <c r="K31" s="3807"/>
      <c r="M31" s="3804"/>
      <c r="O31" s="638">
        <f>ROW()</f>
        <v>31</v>
      </c>
    </row>
    <row r="32" spans="2:15" ht="14.1" customHeight="1">
      <c r="B32" s="322" t="s">
        <v>2499</v>
      </c>
      <c r="E32" s="3807"/>
      <c r="F32" s="3807"/>
      <c r="G32" s="3807"/>
      <c r="H32" s="3807"/>
      <c r="I32" s="3807"/>
      <c r="J32" s="3807"/>
      <c r="K32" s="3807"/>
      <c r="M32" s="3804"/>
      <c r="O32" s="638">
        <f>ROW()</f>
        <v>32</v>
      </c>
    </row>
    <row r="33" spans="2:15" ht="14.1" customHeight="1">
      <c r="B33" s="322"/>
      <c r="E33" s="1892"/>
      <c r="F33" s="3182"/>
      <c r="G33" s="3182"/>
      <c r="H33" s="3179"/>
      <c r="I33" s="3179"/>
      <c r="J33" s="3179"/>
      <c r="K33" s="3182"/>
      <c r="M33" s="3180"/>
      <c r="O33" s="638">
        <f>ROW()</f>
        <v>33</v>
      </c>
    </row>
    <row r="34" spans="2:15" ht="14.1" customHeight="1">
      <c r="B34" s="1815" t="s">
        <v>1367</v>
      </c>
      <c r="E34" s="3179"/>
      <c r="F34" s="3182"/>
      <c r="G34" s="3182"/>
      <c r="H34" s="3179"/>
      <c r="I34" s="3179"/>
      <c r="J34" s="3179"/>
      <c r="K34" s="3182"/>
      <c r="M34" s="3180"/>
      <c r="O34" s="638">
        <f>ROW()</f>
        <v>34</v>
      </c>
    </row>
    <row r="35" spans="2:15" ht="14.1" customHeight="1">
      <c r="B35" s="316" t="s">
        <v>1552</v>
      </c>
      <c r="E35" s="182">
        <f>SUM(Incidence!G191:'Incidence'!K191)</f>
        <v>0.5682540757618223</v>
      </c>
      <c r="F35" s="182">
        <f>(SUMPRODUCT(Incidence!G204:K204,Incidence!G191:K191)+SUMPRODUCT(Incidence!G205:K205,Incidence!G191:K191))/SUM(Incidence!G191:K191)+3%</f>
        <v>6.8062850734659591E-2</v>
      </c>
      <c r="G35" s="182">
        <f>(SUMPRODUCT(Incidence!G206:K206,Incidence!G191:K191)+SUMPRODUCT(Incidence!G207:K207,Incidence!G191:K191))/SUM(Incidence!G191:K191)+3%</f>
        <v>0.2041357192706845</v>
      </c>
      <c r="H35" s="745">
        <f t="shared" ref="H35:H40" si="0">$G$77*$H$53+(1-$G$77)*$I$53</f>
        <v>8</v>
      </c>
      <c r="I35" s="745">
        <f t="shared" ref="I35:I40" si="1">$G$77*$G$75+(1-$G$77)*$G$74</f>
        <v>5.2249999999999996</v>
      </c>
      <c r="J35" s="745">
        <f t="shared" ref="J35:J40" si="2">F35*H35+G35*I35</f>
        <v>1.6111119390666031</v>
      </c>
      <c r="K35" s="745">
        <f t="shared" ref="K35:K40" si="3">E35*J35</f>
        <v>0.91552092588312994</v>
      </c>
      <c r="M35" s="745"/>
      <c r="O35" s="638">
        <f>ROW()</f>
        <v>35</v>
      </c>
    </row>
    <row r="36" spans="2:15" ht="14.1" customHeight="1">
      <c r="B36" s="316" t="s">
        <v>1913</v>
      </c>
      <c r="E36" s="182">
        <f>SUM(Incidence!M191:'Incidence'!N191)</f>
        <v>0.10890647474343779</v>
      </c>
      <c r="F36" s="182">
        <f>(SUMPRODUCT(Incidence!M204:N204,Incidence!M191:N191)+SUMPRODUCT(Incidence!M205:N205,Incidence!M191:N191))/SUM(Incidence!M191:N191)</f>
        <v>0</v>
      </c>
      <c r="G36" s="182">
        <f>(SUMPRODUCT(Incidence!M206:N206,Incidence!M191:N191)+SUMPRODUCT(Incidence!M207:N207,Incidence!M191:N191))/SUM(Incidence!M191:N191)</f>
        <v>0.2</v>
      </c>
      <c r="H36" s="745">
        <f t="shared" si="0"/>
        <v>8</v>
      </c>
      <c r="I36" s="745">
        <f t="shared" si="1"/>
        <v>5.2249999999999996</v>
      </c>
      <c r="J36" s="745">
        <f t="shared" si="2"/>
        <v>1.0449999999999999</v>
      </c>
      <c r="K36" s="745">
        <f t="shared" si="3"/>
        <v>0.11380726610689249</v>
      </c>
      <c r="M36" s="745"/>
      <c r="O36" s="638">
        <f>ROW()</f>
        <v>36</v>
      </c>
    </row>
    <row r="37" spans="2:15" ht="14.1" customHeight="1">
      <c r="B37" s="316" t="s">
        <v>5508</v>
      </c>
      <c r="E37" s="182">
        <f>SUM(Incidence!O191:'Incidence'!S191)</f>
        <v>9.654672959169594E-2</v>
      </c>
      <c r="F37" s="182">
        <f>(SUMPRODUCT(Incidence!O204:S204,Incidence!O191:S191)+SUMPRODUCT(Incidence!O205:S205,Incidence!O191:S191))/SUM(Incidence!O191:S191)</f>
        <v>8.9439800050934881E-2</v>
      </c>
      <c r="G37" s="182">
        <f>(SUMPRODUCT(Incidence!O206:S206,Incidence!O191:S191)+SUMPRODUCT(Incidence!O207:S207,Incidence!O191:S191))/SUM(Incidence!O191:S191)</f>
        <v>0</v>
      </c>
      <c r="H37" s="745">
        <f t="shared" si="0"/>
        <v>8</v>
      </c>
      <c r="I37" s="745">
        <f t="shared" si="1"/>
        <v>5.2249999999999996</v>
      </c>
      <c r="J37" s="745">
        <f t="shared" si="2"/>
        <v>0.71551840040747905</v>
      </c>
      <c r="K37" s="745">
        <f t="shared" si="3"/>
        <v>6.9080961522023698E-2</v>
      </c>
      <c r="M37" s="745"/>
      <c r="O37" s="638">
        <f>ROW()</f>
        <v>37</v>
      </c>
    </row>
    <row r="38" spans="2:15" ht="14.1" customHeight="1">
      <c r="B38" s="316" t="s">
        <v>1915</v>
      </c>
      <c r="E38" s="182">
        <f>Incidence!U191</f>
        <v>0.19805169398907435</v>
      </c>
      <c r="F38" s="182">
        <f>(Incidence!U204+Incidence!U205)</f>
        <v>0.65</v>
      </c>
      <c r="G38" s="182">
        <f>(Incidence!U206+Incidence!U207)</f>
        <v>0</v>
      </c>
      <c r="H38" s="745">
        <f t="shared" si="0"/>
        <v>8</v>
      </c>
      <c r="I38" s="745">
        <f t="shared" si="1"/>
        <v>5.2249999999999996</v>
      </c>
      <c r="J38" s="745">
        <f t="shared" si="2"/>
        <v>5.2</v>
      </c>
      <c r="K38" s="745">
        <f t="shared" si="3"/>
        <v>1.0298688087431866</v>
      </c>
      <c r="M38" s="767"/>
      <c r="O38" s="638">
        <f>ROW()</f>
        <v>38</v>
      </c>
    </row>
    <row r="39" spans="2:15" ht="14.1" customHeight="1">
      <c r="B39" s="316" t="s">
        <v>1914</v>
      </c>
      <c r="E39" s="182">
        <f>Incidence!V191</f>
        <v>1.903302303448361E-2</v>
      </c>
      <c r="F39" s="182">
        <f>(Incidence!V204+Incidence!V205)</f>
        <v>0</v>
      </c>
      <c r="G39" s="182">
        <f>(Incidence!V206+Incidence!V207)</f>
        <v>0</v>
      </c>
      <c r="H39" s="745">
        <f t="shared" si="0"/>
        <v>8</v>
      </c>
      <c r="I39" s="745">
        <f t="shared" si="1"/>
        <v>5.2249999999999996</v>
      </c>
      <c r="J39" s="745">
        <f t="shared" si="2"/>
        <v>0</v>
      </c>
      <c r="K39" s="745">
        <f t="shared" si="3"/>
        <v>0</v>
      </c>
      <c r="M39" s="745"/>
      <c r="O39" s="638">
        <f>ROW()</f>
        <v>39</v>
      </c>
    </row>
    <row r="40" spans="2:15" ht="14.1" customHeight="1">
      <c r="B40" s="316" t="s">
        <v>677</v>
      </c>
      <c r="E40" s="182">
        <f>Incidence!W191</f>
        <v>9.2080028794857896E-3</v>
      </c>
      <c r="F40" s="182">
        <f>(Incidence!W204+Incidence!W205)</f>
        <v>0.4</v>
      </c>
      <c r="G40" s="182">
        <f>(Incidence!W206+Incidence!W207)</f>
        <v>0</v>
      </c>
      <c r="H40" s="745">
        <f t="shared" si="0"/>
        <v>8</v>
      </c>
      <c r="I40" s="745">
        <f t="shared" si="1"/>
        <v>5.2249999999999996</v>
      </c>
      <c r="J40" s="745">
        <f t="shared" si="2"/>
        <v>3.2</v>
      </c>
      <c r="K40" s="745">
        <f t="shared" si="3"/>
        <v>2.9465609214354527E-2</v>
      </c>
      <c r="M40" s="745"/>
      <c r="O40" s="638">
        <f>ROW()</f>
        <v>40</v>
      </c>
    </row>
    <row r="41" spans="2:15" s="2" customFormat="1" ht="14.1" customHeight="1">
      <c r="B41" s="1815" t="s">
        <v>837</v>
      </c>
      <c r="E41" s="2292">
        <f>SUM(E35:E40)</f>
        <v>0.99999999999999978</v>
      </c>
      <c r="K41" s="2449">
        <f>SUM(K35:K40)</f>
        <v>2.1577435714695872</v>
      </c>
      <c r="M41" s="1"/>
      <c r="O41" s="638">
        <f>ROW()</f>
        <v>41</v>
      </c>
    </row>
    <row r="42" spans="2:15" ht="14.1" customHeight="1">
      <c r="B42" s="215"/>
      <c r="E42" s="182"/>
      <c r="G42" s="182"/>
      <c r="K42" s="745"/>
      <c r="L42" s="745"/>
      <c r="O42" s="638">
        <f>ROW()</f>
        <v>42</v>
      </c>
    </row>
    <row r="43" spans="2:15" ht="14.1" customHeight="1">
      <c r="B43" s="1815" t="s">
        <v>5512</v>
      </c>
      <c r="E43" s="3179"/>
      <c r="F43" s="3182"/>
      <c r="G43" s="3182"/>
      <c r="H43" s="3179"/>
      <c r="I43" s="3179"/>
      <c r="J43" s="3179"/>
      <c r="K43" s="3182"/>
      <c r="L43" s="745"/>
      <c r="O43" s="638">
        <f>ROW()</f>
        <v>43</v>
      </c>
    </row>
    <row r="44" spans="2:15" ht="14.1" customHeight="1">
      <c r="B44" s="316" t="s">
        <v>1552</v>
      </c>
      <c r="E44" s="182">
        <f t="shared" ref="E44:G49" si="4">E35</f>
        <v>0.5682540757618223</v>
      </c>
      <c r="F44" s="182">
        <f t="shared" si="4"/>
        <v>6.8062850734659591E-2</v>
      </c>
      <c r="G44" s="182">
        <f t="shared" si="4"/>
        <v>0.2041357192706845</v>
      </c>
      <c r="H44" s="745">
        <f>$G$77*$H$53+(1-$G$77)*$I$53</f>
        <v>8</v>
      </c>
      <c r="I44" s="745">
        <f t="shared" ref="I44:I49" si="5">$G$77*$G$75+(1-$G$77)*$G$74</f>
        <v>5.2249999999999996</v>
      </c>
      <c r="J44" s="745">
        <f t="shared" ref="J44:J49" si="6">F44*H44+G44*I44</f>
        <v>1.6111119390666031</v>
      </c>
      <c r="K44" s="745">
        <f t="shared" ref="K44:K49" si="7">E44*J44</f>
        <v>0.91552092588312994</v>
      </c>
      <c r="L44" s="745"/>
      <c r="O44" s="638">
        <f>ROW()</f>
        <v>44</v>
      </c>
    </row>
    <row r="45" spans="2:15" ht="14.1" customHeight="1">
      <c r="B45" s="316" t="s">
        <v>1913</v>
      </c>
      <c r="E45" s="182">
        <f t="shared" si="4"/>
        <v>0.10890647474343779</v>
      </c>
      <c r="F45" s="182">
        <f t="shared" si="4"/>
        <v>0</v>
      </c>
      <c r="G45" s="182">
        <f t="shared" si="4"/>
        <v>0.2</v>
      </c>
      <c r="H45" s="745">
        <f>$G$77*$H$53+(1-$G$77)*$I$53</f>
        <v>8</v>
      </c>
      <c r="I45" s="745">
        <f t="shared" si="5"/>
        <v>5.2249999999999996</v>
      </c>
      <c r="J45" s="745">
        <f t="shared" si="6"/>
        <v>1.0449999999999999</v>
      </c>
      <c r="K45" s="745">
        <f t="shared" si="7"/>
        <v>0.11380726610689249</v>
      </c>
      <c r="L45" s="745"/>
      <c r="O45" s="638">
        <f>ROW()</f>
        <v>45</v>
      </c>
    </row>
    <row r="46" spans="2:15" ht="14.1" customHeight="1">
      <c r="B46" s="316" t="s">
        <v>5508</v>
      </c>
      <c r="E46" s="182">
        <f t="shared" si="4"/>
        <v>9.654672959169594E-2</v>
      </c>
      <c r="F46" s="182">
        <f t="shared" si="4"/>
        <v>8.9439800050934881E-2</v>
      </c>
      <c r="G46" s="182">
        <f t="shared" si="4"/>
        <v>0</v>
      </c>
      <c r="H46" s="745">
        <f>$G$77*$H$53+(1-$G$77)*$I$53</f>
        <v>8</v>
      </c>
      <c r="I46" s="745">
        <f t="shared" si="5"/>
        <v>5.2249999999999996</v>
      </c>
      <c r="J46" s="745">
        <f t="shared" si="6"/>
        <v>0.71551840040747905</v>
      </c>
      <c r="K46" s="745">
        <f t="shared" si="7"/>
        <v>6.9080961522023698E-2</v>
      </c>
      <c r="L46" s="745"/>
      <c r="O46" s="638">
        <f>ROW()</f>
        <v>46</v>
      </c>
    </row>
    <row r="47" spans="2:15" ht="14.1" customHeight="1">
      <c r="B47" s="316" t="s">
        <v>1915</v>
      </c>
      <c r="E47" s="182">
        <f t="shared" si="4"/>
        <v>0.19805169398907435</v>
      </c>
      <c r="F47" s="182">
        <f t="shared" si="4"/>
        <v>0.65</v>
      </c>
      <c r="G47" s="182">
        <f t="shared" si="4"/>
        <v>0</v>
      </c>
      <c r="H47" s="745">
        <f>$G$77*$H$54+(1-$G$77)*$I$54</f>
        <v>6.5</v>
      </c>
      <c r="I47" s="745">
        <f t="shared" si="5"/>
        <v>5.2249999999999996</v>
      </c>
      <c r="J47" s="745">
        <f t="shared" si="6"/>
        <v>4.2250000000000005</v>
      </c>
      <c r="K47" s="745">
        <f t="shared" si="7"/>
        <v>0.83676840710383926</v>
      </c>
      <c r="L47" s="745"/>
      <c r="O47" s="638">
        <f>ROW()</f>
        <v>47</v>
      </c>
    </row>
    <row r="48" spans="2:15" ht="14.1" customHeight="1">
      <c r="B48" s="316" t="s">
        <v>1914</v>
      </c>
      <c r="E48" s="182">
        <f t="shared" si="4"/>
        <v>1.903302303448361E-2</v>
      </c>
      <c r="F48" s="182">
        <f t="shared" si="4"/>
        <v>0</v>
      </c>
      <c r="G48" s="182">
        <f t="shared" si="4"/>
        <v>0</v>
      </c>
      <c r="H48" s="745">
        <f>$G$77*$H$53+(1-$G$77)*$I$53</f>
        <v>8</v>
      </c>
      <c r="I48" s="745">
        <f t="shared" si="5"/>
        <v>5.2249999999999996</v>
      </c>
      <c r="J48" s="745">
        <f t="shared" si="6"/>
        <v>0</v>
      </c>
      <c r="K48" s="745">
        <f t="shared" si="7"/>
        <v>0</v>
      </c>
      <c r="L48" s="745"/>
      <c r="O48" s="638">
        <f>ROW()</f>
        <v>48</v>
      </c>
    </row>
    <row r="49" spans="2:15" ht="14.1" customHeight="1">
      <c r="B49" s="316" t="s">
        <v>677</v>
      </c>
      <c r="E49" s="182">
        <f t="shared" si="4"/>
        <v>9.2080028794857896E-3</v>
      </c>
      <c r="F49" s="182">
        <f t="shared" si="4"/>
        <v>0.4</v>
      </c>
      <c r="G49" s="182">
        <f t="shared" si="4"/>
        <v>0</v>
      </c>
      <c r="H49" s="745">
        <f>$G$77*$H$53+(1-$G$77)*$I$53</f>
        <v>8</v>
      </c>
      <c r="I49" s="745">
        <f t="shared" si="5"/>
        <v>5.2249999999999996</v>
      </c>
      <c r="J49" s="745">
        <f t="shared" si="6"/>
        <v>3.2</v>
      </c>
      <c r="K49" s="745">
        <f t="shared" si="7"/>
        <v>2.9465609214354527E-2</v>
      </c>
      <c r="L49" s="745"/>
      <c r="O49" s="638">
        <f>ROW()</f>
        <v>49</v>
      </c>
    </row>
    <row r="50" spans="2:15" s="2" customFormat="1" ht="14.1" customHeight="1">
      <c r="B50" s="1815" t="s">
        <v>837</v>
      </c>
      <c r="E50" s="2292">
        <f>SUM(E44:E49)</f>
        <v>0.99999999999999978</v>
      </c>
      <c r="K50" s="2449">
        <f>SUM(K44:K49)</f>
        <v>1.9646431698302398</v>
      </c>
      <c r="L50" s="2449"/>
      <c r="M50" s="1"/>
      <c r="O50" s="638">
        <f>ROW()</f>
        <v>50</v>
      </c>
    </row>
    <row r="51" spans="2:15" ht="14.1" customHeight="1">
      <c r="B51" s="215"/>
      <c r="E51" s="182"/>
      <c r="F51" s="182"/>
      <c r="G51" s="182"/>
      <c r="K51" s="745"/>
      <c r="L51" s="745"/>
      <c r="O51" s="638">
        <f>ROW()</f>
        <v>51</v>
      </c>
    </row>
    <row r="52" spans="2:15" ht="14.1" customHeight="1">
      <c r="B52" s="3184" t="s">
        <v>5514</v>
      </c>
      <c r="E52" s="4591"/>
      <c r="F52" s="4412"/>
      <c r="G52" s="182"/>
      <c r="K52" s="745"/>
      <c r="L52" s="745"/>
      <c r="O52" s="638">
        <f>ROW()</f>
        <v>52</v>
      </c>
    </row>
    <row r="53" spans="2:15" ht="14.1" customHeight="1">
      <c r="B53" s="316" t="s">
        <v>1367</v>
      </c>
      <c r="E53" s="4409"/>
      <c r="F53" s="4409"/>
      <c r="G53" s="182">
        <v>0.95</v>
      </c>
      <c r="H53" s="745">
        <v>8</v>
      </c>
      <c r="I53" s="745">
        <v>8</v>
      </c>
      <c r="J53" s="182">
        <f>$G$77</f>
        <v>0.75</v>
      </c>
      <c r="K53" s="745">
        <f>H53*J53+I53*(1-J53)</f>
        <v>8</v>
      </c>
      <c r="L53" s="745">
        <f>G53*K53</f>
        <v>7.6</v>
      </c>
      <c r="O53" s="638">
        <f>ROW()</f>
        <v>53</v>
      </c>
    </row>
    <row r="54" spans="2:15" ht="14.1" customHeight="1">
      <c r="B54" s="316" t="s">
        <v>2210</v>
      </c>
      <c r="E54" s="4409"/>
      <c r="F54" s="4409"/>
      <c r="G54" s="182">
        <v>0.95</v>
      </c>
      <c r="H54" s="745">
        <v>6</v>
      </c>
      <c r="I54" s="745">
        <v>8</v>
      </c>
      <c r="J54" s="182">
        <f>$G$77</f>
        <v>0.75</v>
      </c>
      <c r="K54" s="745">
        <f>H54*J54+I54*(1-J54)</f>
        <v>6.5</v>
      </c>
      <c r="L54" s="745">
        <f>G54*K54</f>
        <v>6.1749999999999998</v>
      </c>
      <c r="O54" s="638">
        <f>ROW()</f>
        <v>54</v>
      </c>
    </row>
    <row r="55" spans="2:15" ht="14.1" customHeight="1">
      <c r="B55" s="213"/>
      <c r="E55" s="48"/>
      <c r="F55" s="48"/>
      <c r="L55" s="746"/>
      <c r="O55" s="638">
        <f>ROW()</f>
        <v>55</v>
      </c>
    </row>
    <row r="56" spans="2:15" ht="14.1" customHeight="1">
      <c r="B56" s="3785" t="s">
        <v>6249</v>
      </c>
      <c r="C56" s="3785"/>
      <c r="D56" s="3785"/>
      <c r="E56" s="3785"/>
      <c r="F56" s="3785"/>
      <c r="G56" s="3785"/>
      <c r="H56" s="3785"/>
      <c r="I56" s="3785"/>
      <c r="J56" s="3785"/>
      <c r="K56" s="3785"/>
      <c r="L56" s="3785"/>
      <c r="O56" s="638">
        <f>ROW()</f>
        <v>56</v>
      </c>
    </row>
    <row r="57" spans="2:15" ht="14.1" customHeight="1">
      <c r="B57" s="3785"/>
      <c r="C57" s="3785"/>
      <c r="D57" s="3785"/>
      <c r="E57" s="3785"/>
      <c r="F57" s="3785"/>
      <c r="G57" s="3785"/>
      <c r="H57" s="3785"/>
      <c r="I57" s="3785"/>
      <c r="J57" s="3785"/>
      <c r="K57" s="3785"/>
      <c r="L57" s="3785"/>
      <c r="O57" s="638">
        <f>ROW()</f>
        <v>57</v>
      </c>
    </row>
    <row r="58" spans="2:15" ht="14.1" customHeight="1">
      <c r="B58" s="3785"/>
      <c r="C58" s="3785"/>
      <c r="D58" s="3785"/>
      <c r="E58" s="3785"/>
      <c r="F58" s="3785"/>
      <c r="G58" s="3785"/>
      <c r="H58" s="3785"/>
      <c r="I58" s="3785"/>
      <c r="J58" s="3785"/>
      <c r="K58" s="3785"/>
      <c r="L58" s="3785"/>
      <c r="O58" s="638">
        <f>ROW()</f>
        <v>58</v>
      </c>
    </row>
    <row r="59" spans="2:15" ht="14.1" customHeight="1">
      <c r="O59" s="638">
        <f>ROW()</f>
        <v>59</v>
      </c>
    </row>
    <row r="60" spans="2:15" ht="14.1" customHeight="1">
      <c r="B60" s="518" t="s">
        <v>5515</v>
      </c>
      <c r="O60" s="638">
        <f>ROW()</f>
        <v>60</v>
      </c>
    </row>
    <row r="61" spans="2:15" ht="14.1" customHeight="1">
      <c r="H61" s="1892" t="s">
        <v>2002</v>
      </c>
      <c r="I61" s="1892" t="s">
        <v>4592</v>
      </c>
      <c r="J61" s="1892" t="s">
        <v>4593</v>
      </c>
      <c r="K61" s="1892" t="s">
        <v>4596</v>
      </c>
      <c r="L61" s="1892" t="s">
        <v>4594</v>
      </c>
      <c r="O61" s="638">
        <f>ROW()</f>
        <v>61</v>
      </c>
    </row>
    <row r="62" spans="2:15" ht="14.1" customHeight="1">
      <c r="B62" s="316" t="s">
        <v>4598</v>
      </c>
      <c r="H62" s="1132">
        <v>59741</v>
      </c>
      <c r="I62" s="1132">
        <v>28620</v>
      </c>
      <c r="J62" s="1132">
        <v>16899</v>
      </c>
      <c r="K62" s="2641">
        <f>SUM(H62:J62)</f>
        <v>105260</v>
      </c>
      <c r="L62" s="1132">
        <f>295680</f>
        <v>295680</v>
      </c>
      <c r="O62" s="638">
        <f>ROW()</f>
        <v>62</v>
      </c>
    </row>
    <row r="63" spans="2:15" ht="14.1" customHeight="1">
      <c r="B63" s="316" t="s">
        <v>4599</v>
      </c>
      <c r="H63" s="1132">
        <v>1205</v>
      </c>
      <c r="I63" s="1132">
        <v>421</v>
      </c>
      <c r="J63" s="1132">
        <v>492</v>
      </c>
      <c r="K63" s="2641">
        <f>SUM(H63:J63)</f>
        <v>2118</v>
      </c>
      <c r="L63" s="1132">
        <v>3564</v>
      </c>
      <c r="O63" s="638">
        <f>ROW()</f>
        <v>63</v>
      </c>
    </row>
    <row r="64" spans="2:15" ht="14.1" customHeight="1">
      <c r="B64" s="316" t="s">
        <v>4600</v>
      </c>
      <c r="H64" s="1132">
        <f>H62+H63</f>
        <v>60946</v>
      </c>
      <c r="I64" s="1132">
        <f>I62+I63</f>
        <v>29041</v>
      </c>
      <c r="J64" s="1132">
        <f>J62+J63</f>
        <v>17391</v>
      </c>
      <c r="K64" s="1132">
        <f>K62+K63</f>
        <v>107378</v>
      </c>
      <c r="L64" s="1132">
        <f>L62+L63</f>
        <v>299244</v>
      </c>
      <c r="O64" s="638">
        <f>ROW()</f>
        <v>64</v>
      </c>
    </row>
    <row r="65" spans="2:15" ht="14.1" customHeight="1">
      <c r="B65" s="316" t="s">
        <v>4595</v>
      </c>
      <c r="H65" s="2640">
        <f>H63/H64</f>
        <v>1.9771601089489055E-2</v>
      </c>
      <c r="I65" s="2640">
        <f>I63/I64</f>
        <v>1.4496745979821632E-2</v>
      </c>
      <c r="J65" s="2640">
        <f>J63/J64</f>
        <v>2.8290495083663963E-2</v>
      </c>
      <c r="K65" s="2661">
        <f>K63/K64</f>
        <v>1.9724710834621618E-2</v>
      </c>
      <c r="L65" s="2662">
        <f>L63/L64</f>
        <v>1.1910013233348038E-2</v>
      </c>
      <c r="O65" s="638">
        <f>ROW()</f>
        <v>65</v>
      </c>
    </row>
    <row r="66" spans="2:15" ht="14.1" customHeight="1">
      <c r="B66" s="4182" t="s">
        <v>4621</v>
      </c>
      <c r="C66" s="3726"/>
      <c r="D66" s="3726"/>
      <c r="E66" s="3726"/>
      <c r="F66" s="3726"/>
      <c r="G66" s="3726"/>
      <c r="H66" s="3726"/>
      <c r="I66" s="3726"/>
      <c r="J66" s="3726"/>
      <c r="K66" s="5173" t="str">
        <f>CONCATENATE("This figure, doubled, is entered in 'User Inputs,' Row ",'User Inputs'!N64,"")</f>
        <v>This figure, doubled, is entered in 'User Inputs,' Row 64</v>
      </c>
      <c r="L66" s="5176" t="s">
        <v>4601</v>
      </c>
      <c r="O66" s="638">
        <f>ROW()</f>
        <v>66</v>
      </c>
    </row>
    <row r="67" spans="2:15" ht="14.1" customHeight="1">
      <c r="B67" s="3726"/>
      <c r="C67" s="3726"/>
      <c r="D67" s="3726"/>
      <c r="E67" s="3726"/>
      <c r="F67" s="3726"/>
      <c r="G67" s="3726"/>
      <c r="H67" s="3726"/>
      <c r="I67" s="3726"/>
      <c r="J67" s="3726"/>
      <c r="K67" s="5174"/>
      <c r="L67" s="4225"/>
      <c r="M67" s="314"/>
      <c r="O67" s="638">
        <f>ROW()</f>
        <v>67</v>
      </c>
    </row>
    <row r="68" spans="2:15" ht="14.1" customHeight="1">
      <c r="B68" s="3726"/>
      <c r="C68" s="3726"/>
      <c r="D68" s="3726"/>
      <c r="E68" s="3726"/>
      <c r="F68" s="3726"/>
      <c r="G68" s="3726"/>
      <c r="H68" s="3726"/>
      <c r="I68" s="3726"/>
      <c r="J68" s="3726"/>
      <c r="K68" s="5174"/>
      <c r="L68" s="4225"/>
      <c r="M68" s="314"/>
      <c r="O68" s="638">
        <f>ROW()</f>
        <v>68</v>
      </c>
    </row>
    <row r="69" spans="2:15" ht="14.1" customHeight="1">
      <c r="B69" s="3726"/>
      <c r="C69" s="3726"/>
      <c r="D69" s="3726"/>
      <c r="E69" s="3726"/>
      <c r="F69" s="3726"/>
      <c r="G69" s="3726"/>
      <c r="H69" s="3726"/>
      <c r="I69" s="3726"/>
      <c r="J69" s="3726"/>
      <c r="K69" s="5175"/>
      <c r="L69" s="5177"/>
      <c r="O69" s="638">
        <f>ROW()</f>
        <v>69</v>
      </c>
    </row>
    <row r="70" spans="2:15" ht="14.1" customHeight="1">
      <c r="B70" s="3726"/>
      <c r="C70" s="3726"/>
      <c r="D70" s="3726"/>
      <c r="E70" s="3726"/>
      <c r="F70" s="3726"/>
      <c r="G70" s="3726"/>
      <c r="H70" s="3726"/>
      <c r="I70" s="3726"/>
      <c r="J70" s="3726"/>
      <c r="K70" s="2678"/>
      <c r="L70" s="2679"/>
      <c r="O70" s="638">
        <f>ROW()</f>
        <v>70</v>
      </c>
    </row>
    <row r="71" spans="2:15" ht="14.1" customHeight="1">
      <c r="B71" s="3726"/>
      <c r="C71" s="3726"/>
      <c r="D71" s="3726"/>
      <c r="E71" s="3726"/>
      <c r="F71" s="3726"/>
      <c r="G71" s="3726"/>
      <c r="H71" s="3726"/>
      <c r="I71" s="3726"/>
      <c r="J71" s="3726"/>
      <c r="K71" s="2678"/>
      <c r="L71" s="2679"/>
      <c r="O71" s="638">
        <f>ROW()</f>
        <v>71</v>
      </c>
    </row>
    <row r="72" spans="2:15" ht="14.1" customHeight="1">
      <c r="K72" s="2678"/>
      <c r="L72" s="2679"/>
      <c r="O72" s="638">
        <f>ROW()</f>
        <v>72</v>
      </c>
    </row>
    <row r="73" spans="2:15" ht="14.1" customHeight="1">
      <c r="B73" s="518" t="s">
        <v>5516</v>
      </c>
      <c r="O73" s="638">
        <f>ROW()</f>
        <v>73</v>
      </c>
    </row>
    <row r="74" spans="2:15" ht="14.1" customHeight="1">
      <c r="B74" s="316" t="s">
        <v>4613</v>
      </c>
      <c r="G74" s="588">
        <v>6.5</v>
      </c>
      <c r="O74" s="638">
        <f>ROW()</f>
        <v>74</v>
      </c>
    </row>
    <row r="75" spans="2:15" ht="14.1" customHeight="1">
      <c r="B75" s="316" t="s">
        <v>4615</v>
      </c>
      <c r="G75" s="588">
        <v>4.8</v>
      </c>
      <c r="O75" s="638">
        <f>ROW()</f>
        <v>75</v>
      </c>
    </row>
    <row r="76" spans="2:15" ht="14.1" customHeight="1">
      <c r="B76" s="314" t="s">
        <v>4614</v>
      </c>
      <c r="O76" s="638">
        <f>ROW()</f>
        <v>76</v>
      </c>
    </row>
    <row r="77" spans="2:15" ht="14.1" customHeight="1">
      <c r="B77" s="316" t="s">
        <v>6007</v>
      </c>
      <c r="G77" s="182">
        <v>0.75</v>
      </c>
      <c r="O77" s="638">
        <f>ROW()</f>
        <v>77</v>
      </c>
    </row>
    <row r="78" spans="2:15" ht="14.1" customHeight="1">
      <c r="B78" s="4182" t="str">
        <f>CONCATENATE("E-ZPass Participation Rates were 74.0% in 2008 and 73.9%, according to URS report cited in Row ",O66, ", Table 2, p. 12 of 69. Note. Rates were higher for crossings into CBD: 82.0% for BBT and 78.1% for QMT.")</f>
        <v>E-ZPass Participation Rates were 74.0% in 2008 and 73.9%, according to URS report cited in Row 66, Table 2, p. 12 of 69. Note. Rates were higher for crossings into CBD: 82.0% for BBT and 78.1% for QMT.</v>
      </c>
      <c r="C78" s="4182"/>
      <c r="D78" s="4182"/>
      <c r="E78" s="4182"/>
      <c r="F78" s="4182"/>
      <c r="G78" s="4182"/>
      <c r="H78" s="4182"/>
      <c r="I78" s="4182"/>
      <c r="J78" s="4182"/>
      <c r="K78" s="314"/>
      <c r="L78" s="314"/>
      <c r="M78" s="314"/>
      <c r="O78" s="638">
        <f>ROW()</f>
        <v>78</v>
      </c>
    </row>
    <row r="79" spans="2:15" ht="14.1" customHeight="1">
      <c r="B79" s="4182"/>
      <c r="C79" s="4182"/>
      <c r="D79" s="4182"/>
      <c r="E79" s="4182"/>
      <c r="F79" s="4182"/>
      <c r="G79" s="4182"/>
      <c r="H79" s="4182"/>
      <c r="I79" s="4182"/>
      <c r="J79" s="4182"/>
      <c r="K79" s="314"/>
      <c r="L79" s="314"/>
      <c r="M79" s="314"/>
      <c r="O79" s="638">
        <f>ROW()</f>
        <v>79</v>
      </c>
    </row>
    <row r="80" spans="2:15" ht="14.1" customHeight="1">
      <c r="B80" s="316" t="s">
        <v>4617</v>
      </c>
      <c r="G80" s="588">
        <f>G77*G75+(1-G77)*G74</f>
        <v>5.2249999999999996</v>
      </c>
      <c r="O80" s="638">
        <f>ROW()</f>
        <v>80</v>
      </c>
    </row>
    <row r="81" spans="2:15" ht="14.1" customHeight="1">
      <c r="B81" s="316" t="str">
        <f>CONCATENATE("Sum of cross-products of toll rates in Rows ",O74, " and ",O75, " and percentages of weekday drivers using E-ZPass indicated in Row ",O77, ".")</f>
        <v>Sum of cross-products of toll rates in Rows 74 and 75 and percentages of weekday drivers using E-ZPass indicated in Row 77.</v>
      </c>
      <c r="G81" s="588"/>
      <c r="O81" s="638">
        <f>ROW()</f>
        <v>81</v>
      </c>
    </row>
    <row r="82" spans="2:15" ht="14.1" customHeight="1">
      <c r="B82" s="323" t="s">
        <v>2347</v>
      </c>
      <c r="G82" s="589">
        <f>M126</f>
        <v>0.31301527680680402</v>
      </c>
      <c r="O82" s="638">
        <f>ROW()</f>
        <v>82</v>
      </c>
    </row>
    <row r="83" spans="2:15" ht="14.1" customHeight="1">
      <c r="B83" s="314" t="str">
        <f>CONCATENATE("Last column of Row ",O126, ". Note that Brian Ketcham estimated that 29.5% of all m.v. trips into the CBD pay a toll. See his spreadsheet, 'Vehicles Ent[tering] CBD by Hour Tolled and Free 3-25-08.'")</f>
        <v>Last column of Row 126. Note that Brian Ketcham estimated that 29.5% of all m.v. trips into the CBD pay a toll. See his spreadsheet, 'Vehicles Ent[tering] CBD by Hour Tolled and Free 3-25-08.'</v>
      </c>
      <c r="C83" s="314"/>
      <c r="D83" s="314"/>
      <c r="E83" s="314"/>
      <c r="F83" s="314"/>
      <c r="G83" s="314"/>
      <c r="H83" s="314"/>
      <c r="I83" s="314"/>
      <c r="J83" s="314"/>
      <c r="K83" s="314"/>
      <c r="L83" s="314"/>
      <c r="M83" s="314"/>
      <c r="O83" s="638">
        <f>ROW()</f>
        <v>83</v>
      </c>
    </row>
    <row r="84" spans="2:15" ht="14.1" customHeight="1">
      <c r="B84" s="316" t="s">
        <v>4616</v>
      </c>
      <c r="G84" s="590">
        <f>2*G82*G80</f>
        <v>3.2710096426311019</v>
      </c>
      <c r="O84" s="638">
        <f>ROW()</f>
        <v>84</v>
      </c>
    </row>
    <row r="85" spans="2:15" ht="14.1" customHeight="1">
      <c r="B85" s="314" t="str">
        <f>CONCATENATE("Calculated as 2x average 2011 toll in Row ",O80, ", times % of E. Riv crossings paying toll in Row ",O82, ". Toll is doubled to reflect both-way charging.")</f>
        <v>Calculated as 2x average 2011 toll in Row 80, times % of E. Riv crossings paying toll in Row 82. Toll is doubled to reflect both-way charging.</v>
      </c>
      <c r="O85" s="638">
        <f>ROW()</f>
        <v>85</v>
      </c>
    </row>
    <row r="86" spans="2:15" ht="14.1" customHeight="1">
      <c r="O86" s="638">
        <f>ROW()</f>
        <v>86</v>
      </c>
    </row>
    <row r="87" spans="2:15" ht="14.1" customHeight="1">
      <c r="B87" s="518" t="s">
        <v>5517</v>
      </c>
      <c r="O87" s="638">
        <f>ROW()</f>
        <v>87</v>
      </c>
    </row>
    <row r="88" spans="2:15" ht="14.1" customHeight="1">
      <c r="B88" s="316" t="s">
        <v>2107</v>
      </c>
      <c r="O88" s="638">
        <f>ROW()</f>
        <v>88</v>
      </c>
    </row>
    <row r="89" spans="2:15" ht="14.1" customHeight="1">
      <c r="B89" s="2"/>
      <c r="O89" s="638">
        <f>ROW()</f>
        <v>89</v>
      </c>
    </row>
    <row r="90" spans="2:15" ht="14.1" customHeight="1">
      <c r="C90" s="253" t="s">
        <v>144</v>
      </c>
      <c r="D90" s="253" t="s">
        <v>145</v>
      </c>
      <c r="E90" s="253" t="s">
        <v>146</v>
      </c>
      <c r="F90" s="457" t="s">
        <v>147</v>
      </c>
      <c r="G90" s="253" t="s">
        <v>148</v>
      </c>
      <c r="H90" s="253" t="s">
        <v>479</v>
      </c>
      <c r="I90" s="253" t="s">
        <v>480</v>
      </c>
      <c r="J90" s="253" t="s">
        <v>481</v>
      </c>
      <c r="K90" s="457" t="s">
        <v>482</v>
      </c>
      <c r="L90" s="457" t="s">
        <v>956</v>
      </c>
      <c r="M90" s="253" t="s">
        <v>483</v>
      </c>
      <c r="O90" s="638">
        <f>ROW()</f>
        <v>90</v>
      </c>
    </row>
    <row r="91" spans="2:15" ht="14.1" customHeight="1">
      <c r="B91" s="1717">
        <v>1970</v>
      </c>
      <c r="C91" s="205">
        <v>62042</v>
      </c>
      <c r="D91" s="205">
        <v>77180</v>
      </c>
      <c r="E91" s="205">
        <v>85121</v>
      </c>
      <c r="F91" s="458">
        <f>SUM(C91:E91)</f>
        <v>224343</v>
      </c>
      <c r="G91" s="205">
        <v>100050</v>
      </c>
      <c r="H91" s="205">
        <v>72077</v>
      </c>
      <c r="I91" s="205">
        <v>73062</v>
      </c>
      <c r="J91" s="205">
        <v>126554</v>
      </c>
      <c r="K91" s="458">
        <f>SUM(G91:J91)</f>
        <v>371743</v>
      </c>
      <c r="L91" s="458">
        <f>F91+K91</f>
        <v>596086</v>
      </c>
      <c r="M91" s="444">
        <f t="shared" ref="M91:M126" si="8">F91/L91</f>
        <v>0.37636012253265466</v>
      </c>
      <c r="O91" s="638">
        <f>ROW()</f>
        <v>91</v>
      </c>
    </row>
    <row r="92" spans="2:15" ht="14.1" customHeight="1">
      <c r="B92" s="1717">
        <f t="shared" ref="B92:B126" si="9">B91+1</f>
        <v>1971</v>
      </c>
      <c r="C92" s="205">
        <v>64032</v>
      </c>
      <c r="D92" s="205">
        <v>81747</v>
      </c>
      <c r="E92" s="205">
        <v>90372</v>
      </c>
      <c r="F92" s="458">
        <f t="shared" ref="F92:F123" si="10">SUM(C92:E92)</f>
        <v>236151</v>
      </c>
      <c r="G92" s="205">
        <v>102535</v>
      </c>
      <c r="H92" s="205">
        <v>68681</v>
      </c>
      <c r="I92" s="205">
        <v>72299</v>
      </c>
      <c r="J92" s="205">
        <v>120555</v>
      </c>
      <c r="K92" s="458">
        <f t="shared" ref="K92:K123" si="11">SUM(G92:J92)</f>
        <v>364070</v>
      </c>
      <c r="L92" s="458">
        <f t="shared" ref="L92:L126" si="12">F92+K92</f>
        <v>600221</v>
      </c>
      <c r="M92" s="444">
        <f t="shared" si="8"/>
        <v>0.39344008290279747</v>
      </c>
      <c r="O92" s="638">
        <f>ROW()</f>
        <v>92</v>
      </c>
    </row>
    <row r="93" spans="2:15" ht="14.1" customHeight="1">
      <c r="B93" s="1717">
        <f t="shared" si="9"/>
        <v>1972</v>
      </c>
      <c r="C93" s="205">
        <v>52065</v>
      </c>
      <c r="D93" s="205">
        <v>74936</v>
      </c>
      <c r="E93" s="205">
        <v>80052</v>
      </c>
      <c r="F93" s="458">
        <f t="shared" si="10"/>
        <v>207053</v>
      </c>
      <c r="G93" s="205">
        <v>103815</v>
      </c>
      <c r="H93" s="205">
        <v>73803</v>
      </c>
      <c r="I93" s="205">
        <v>76219</v>
      </c>
      <c r="J93" s="205">
        <v>136455</v>
      </c>
      <c r="K93" s="458">
        <f t="shared" si="11"/>
        <v>390292</v>
      </c>
      <c r="L93" s="458">
        <f t="shared" si="12"/>
        <v>597345</v>
      </c>
      <c r="M93" s="444">
        <f t="shared" si="8"/>
        <v>0.34662213628640065</v>
      </c>
      <c r="O93" s="638">
        <f>ROW()</f>
        <v>93</v>
      </c>
    </row>
    <row r="94" spans="2:15" ht="14.1" customHeight="1">
      <c r="B94" s="1718">
        <f t="shared" si="9"/>
        <v>1973</v>
      </c>
      <c r="C94" s="484">
        <v>49916</v>
      </c>
      <c r="D94" s="484">
        <v>74214</v>
      </c>
      <c r="E94" s="484">
        <v>85592</v>
      </c>
      <c r="F94" s="485">
        <f t="shared" si="10"/>
        <v>209722</v>
      </c>
      <c r="G94" s="484">
        <v>102834</v>
      </c>
      <c r="H94" s="484">
        <v>73401</v>
      </c>
      <c r="I94" s="484">
        <v>79989</v>
      </c>
      <c r="J94" s="484">
        <v>138066</v>
      </c>
      <c r="K94" s="485">
        <f t="shared" si="11"/>
        <v>394290</v>
      </c>
      <c r="L94" s="485">
        <f t="shared" si="12"/>
        <v>604012</v>
      </c>
      <c r="M94" s="486">
        <f t="shared" si="8"/>
        <v>0.34721495599425178</v>
      </c>
      <c r="O94" s="638">
        <f>ROW()</f>
        <v>94</v>
      </c>
    </row>
    <row r="95" spans="2:15" ht="14.1" customHeight="1">
      <c r="B95" s="1718">
        <f t="shared" si="9"/>
        <v>1974</v>
      </c>
      <c r="C95" s="484">
        <v>46620</v>
      </c>
      <c r="D95" s="484">
        <v>75219</v>
      </c>
      <c r="E95" s="484">
        <v>82676</v>
      </c>
      <c r="F95" s="485">
        <f t="shared" si="10"/>
        <v>204515</v>
      </c>
      <c r="G95" s="484">
        <v>99959</v>
      </c>
      <c r="H95" s="484">
        <v>77198</v>
      </c>
      <c r="I95" s="484">
        <v>78914</v>
      </c>
      <c r="J95" s="484">
        <v>138560</v>
      </c>
      <c r="K95" s="485">
        <f t="shared" si="11"/>
        <v>394631</v>
      </c>
      <c r="L95" s="485">
        <f t="shared" si="12"/>
        <v>599146</v>
      </c>
      <c r="M95" s="486">
        <f t="shared" si="8"/>
        <v>0.34134417988269972</v>
      </c>
      <c r="O95" s="638">
        <f>ROW()</f>
        <v>95</v>
      </c>
    </row>
    <row r="96" spans="2:15" ht="14.1" customHeight="1">
      <c r="B96" s="1718">
        <f t="shared" si="9"/>
        <v>1975</v>
      </c>
      <c r="C96" s="484">
        <v>45636</v>
      </c>
      <c r="D96" s="484">
        <v>65315</v>
      </c>
      <c r="E96" s="484">
        <v>72566</v>
      </c>
      <c r="F96" s="485">
        <f t="shared" si="10"/>
        <v>183517</v>
      </c>
      <c r="G96" s="484">
        <v>103750</v>
      </c>
      <c r="H96" s="484">
        <v>74320</v>
      </c>
      <c r="I96" s="484">
        <v>82057</v>
      </c>
      <c r="J96" s="484">
        <v>144252</v>
      </c>
      <c r="K96" s="485">
        <f t="shared" si="11"/>
        <v>404379</v>
      </c>
      <c r="L96" s="485">
        <f t="shared" si="12"/>
        <v>587896</v>
      </c>
      <c r="M96" s="486">
        <f t="shared" si="8"/>
        <v>0.31215895328425436</v>
      </c>
      <c r="O96" s="638">
        <f>ROW()</f>
        <v>96</v>
      </c>
    </row>
    <row r="97" spans="2:15" ht="14.1" customHeight="1">
      <c r="B97" s="1717">
        <f t="shared" si="9"/>
        <v>1976</v>
      </c>
      <c r="C97" s="205">
        <v>52444</v>
      </c>
      <c r="D97" s="205">
        <v>65881</v>
      </c>
      <c r="E97" s="205">
        <v>68325</v>
      </c>
      <c r="F97" s="458">
        <f t="shared" si="10"/>
        <v>186650</v>
      </c>
      <c r="G97" s="205">
        <v>102590</v>
      </c>
      <c r="H97" s="205">
        <v>68057</v>
      </c>
      <c r="I97" s="205">
        <v>82471</v>
      </c>
      <c r="J97" s="205">
        <v>145130</v>
      </c>
      <c r="K97" s="458">
        <f t="shared" si="11"/>
        <v>398248</v>
      </c>
      <c r="L97" s="458">
        <f t="shared" si="12"/>
        <v>584898</v>
      </c>
      <c r="M97" s="444">
        <f t="shared" si="8"/>
        <v>0.31911546970582905</v>
      </c>
      <c r="O97" s="638">
        <f>ROW()</f>
        <v>97</v>
      </c>
    </row>
    <row r="98" spans="2:15" ht="14.1" customHeight="1">
      <c r="B98" s="1717">
        <f t="shared" si="9"/>
        <v>1977</v>
      </c>
      <c r="C98" s="205">
        <v>53500</v>
      </c>
      <c r="D98" s="205">
        <v>71150</v>
      </c>
      <c r="E98" s="205">
        <v>73276</v>
      </c>
      <c r="F98" s="458">
        <f t="shared" si="10"/>
        <v>197926</v>
      </c>
      <c r="G98" s="205">
        <v>104532</v>
      </c>
      <c r="H98" s="205">
        <v>64835</v>
      </c>
      <c r="I98" s="205">
        <v>82490</v>
      </c>
      <c r="J98" s="205">
        <v>146283</v>
      </c>
      <c r="K98" s="458">
        <f t="shared" si="11"/>
        <v>398140</v>
      </c>
      <c r="L98" s="458">
        <f t="shared" si="12"/>
        <v>596066</v>
      </c>
      <c r="M98" s="444">
        <f t="shared" si="8"/>
        <v>0.3320538329648059</v>
      </c>
      <c r="O98" s="638">
        <f>ROW()</f>
        <v>98</v>
      </c>
    </row>
    <row r="99" spans="2:15" ht="14.1" customHeight="1">
      <c r="B99" s="1717">
        <f t="shared" si="9"/>
        <v>1978</v>
      </c>
      <c r="C99" s="205">
        <v>58252</v>
      </c>
      <c r="D99" s="205">
        <v>72696</v>
      </c>
      <c r="E99" s="205">
        <v>76572</v>
      </c>
      <c r="F99" s="458">
        <f t="shared" si="10"/>
        <v>207520</v>
      </c>
      <c r="G99" s="205">
        <v>104848</v>
      </c>
      <c r="H99" s="205">
        <v>74257</v>
      </c>
      <c r="I99" s="205">
        <v>82626</v>
      </c>
      <c r="J99" s="205">
        <v>138415</v>
      </c>
      <c r="K99" s="458">
        <f t="shared" si="11"/>
        <v>400146</v>
      </c>
      <c r="L99" s="458">
        <f t="shared" si="12"/>
        <v>607666</v>
      </c>
      <c r="M99" s="444">
        <f t="shared" si="8"/>
        <v>0.34150339166581639</v>
      </c>
      <c r="O99" s="638">
        <f>ROW()</f>
        <v>99</v>
      </c>
    </row>
    <row r="100" spans="2:15" ht="14.1" customHeight="1">
      <c r="B100" s="1718">
        <f t="shared" si="9"/>
        <v>1979</v>
      </c>
      <c r="C100" s="484">
        <v>60445</v>
      </c>
      <c r="D100" s="484">
        <v>69827</v>
      </c>
      <c r="E100" s="484">
        <v>87885</v>
      </c>
      <c r="F100" s="485">
        <f t="shared" si="10"/>
        <v>218157</v>
      </c>
      <c r="G100" s="484">
        <v>91319</v>
      </c>
      <c r="H100" s="484">
        <v>75403</v>
      </c>
      <c r="I100" s="484">
        <v>81340</v>
      </c>
      <c r="J100" s="484">
        <v>133966</v>
      </c>
      <c r="K100" s="485">
        <f t="shared" si="11"/>
        <v>382028</v>
      </c>
      <c r="L100" s="485">
        <f t="shared" si="12"/>
        <v>600185</v>
      </c>
      <c r="M100" s="486">
        <f t="shared" si="8"/>
        <v>0.36348292609778654</v>
      </c>
      <c r="O100" s="638">
        <f>ROW()</f>
        <v>100</v>
      </c>
    </row>
    <row r="101" spans="2:15" ht="14.1" customHeight="1">
      <c r="B101" s="1718">
        <f t="shared" si="9"/>
        <v>1980</v>
      </c>
      <c r="C101" s="484">
        <v>62386</v>
      </c>
      <c r="D101" s="484">
        <v>73216</v>
      </c>
      <c r="E101" s="484">
        <v>88439</v>
      </c>
      <c r="F101" s="485">
        <f t="shared" si="10"/>
        <v>224041</v>
      </c>
      <c r="G101" s="484">
        <v>103954</v>
      </c>
      <c r="H101" s="484">
        <v>77914</v>
      </c>
      <c r="I101" s="484">
        <v>82663</v>
      </c>
      <c r="J101" s="484">
        <v>127929</v>
      </c>
      <c r="K101" s="485">
        <f t="shared" si="11"/>
        <v>392460</v>
      </c>
      <c r="L101" s="485">
        <f t="shared" si="12"/>
        <v>616501</v>
      </c>
      <c r="M101" s="486">
        <f t="shared" si="8"/>
        <v>0.36340735862553347</v>
      </c>
      <c r="O101" s="638">
        <f>ROW()</f>
        <v>101</v>
      </c>
    </row>
    <row r="102" spans="2:15" ht="14.1" customHeight="1">
      <c r="B102" s="1718">
        <f t="shared" si="9"/>
        <v>1981</v>
      </c>
      <c r="C102" s="484">
        <v>58657</v>
      </c>
      <c r="D102" s="484">
        <v>81211</v>
      </c>
      <c r="E102" s="484">
        <v>93361</v>
      </c>
      <c r="F102" s="485">
        <f t="shared" si="10"/>
        <v>233229</v>
      </c>
      <c r="G102" s="484">
        <v>102572</v>
      </c>
      <c r="H102" s="484">
        <v>79589</v>
      </c>
      <c r="I102" s="484">
        <v>85100</v>
      </c>
      <c r="J102" s="484">
        <v>127864</v>
      </c>
      <c r="K102" s="485">
        <f t="shared" si="11"/>
        <v>395125</v>
      </c>
      <c r="L102" s="485">
        <f t="shared" si="12"/>
        <v>628354</v>
      </c>
      <c r="M102" s="486">
        <f t="shared" si="8"/>
        <v>0.37117452900753395</v>
      </c>
      <c r="O102" s="638">
        <f>ROW()</f>
        <v>102</v>
      </c>
    </row>
    <row r="103" spans="2:15" ht="14.1" customHeight="1">
      <c r="B103" s="1717">
        <f t="shared" si="9"/>
        <v>1982</v>
      </c>
      <c r="C103" s="205">
        <v>56189</v>
      </c>
      <c r="D103" s="205">
        <v>78229</v>
      </c>
      <c r="E103" s="205">
        <v>88158</v>
      </c>
      <c r="F103" s="458">
        <f t="shared" si="10"/>
        <v>222576</v>
      </c>
      <c r="G103" s="205">
        <v>110991</v>
      </c>
      <c r="H103" s="205">
        <v>87760</v>
      </c>
      <c r="I103" s="205">
        <v>79369</v>
      </c>
      <c r="J103" s="205">
        <v>136864</v>
      </c>
      <c r="K103" s="458">
        <f t="shared" si="11"/>
        <v>414984</v>
      </c>
      <c r="L103" s="458">
        <f t="shared" si="12"/>
        <v>637560</v>
      </c>
      <c r="M103" s="444">
        <f t="shared" si="8"/>
        <v>0.34910596649727083</v>
      </c>
      <c r="O103" s="638">
        <f>ROW()</f>
        <v>103</v>
      </c>
    </row>
    <row r="104" spans="2:15" ht="14.1" customHeight="1">
      <c r="B104" s="1717">
        <f t="shared" si="9"/>
        <v>1983</v>
      </c>
      <c r="C104" s="205">
        <v>61130</v>
      </c>
      <c r="D104" s="205">
        <v>78134</v>
      </c>
      <c r="E104" s="205">
        <v>92967</v>
      </c>
      <c r="F104" s="458">
        <f t="shared" si="10"/>
        <v>232231</v>
      </c>
      <c r="G104" s="205">
        <v>115825</v>
      </c>
      <c r="H104" s="205">
        <v>85222</v>
      </c>
      <c r="I104" s="205">
        <v>86947</v>
      </c>
      <c r="J104" s="205">
        <v>125158</v>
      </c>
      <c r="K104" s="458">
        <f t="shared" si="11"/>
        <v>413152</v>
      </c>
      <c r="L104" s="458">
        <f t="shared" si="12"/>
        <v>645383</v>
      </c>
      <c r="M104" s="444">
        <f t="shared" si="8"/>
        <v>0.35983439291087616</v>
      </c>
      <c r="O104" s="638">
        <f>ROW()</f>
        <v>104</v>
      </c>
    </row>
    <row r="105" spans="2:15" ht="14.1" customHeight="1">
      <c r="B105" s="1717">
        <f t="shared" si="9"/>
        <v>1984</v>
      </c>
      <c r="C105" s="205">
        <v>58032</v>
      </c>
      <c r="D105" s="205">
        <v>74808</v>
      </c>
      <c r="E105" s="205">
        <v>95247</v>
      </c>
      <c r="F105" s="458">
        <f t="shared" si="10"/>
        <v>228087</v>
      </c>
      <c r="G105" s="205">
        <v>110432</v>
      </c>
      <c r="H105" s="205">
        <v>89104</v>
      </c>
      <c r="I105" s="205">
        <v>94898</v>
      </c>
      <c r="J105" s="205">
        <v>134107</v>
      </c>
      <c r="K105" s="458">
        <f t="shared" si="11"/>
        <v>428541</v>
      </c>
      <c r="L105" s="458">
        <f t="shared" si="12"/>
        <v>656628</v>
      </c>
      <c r="M105" s="444">
        <f t="shared" si="8"/>
        <v>0.34736106288492113</v>
      </c>
      <c r="O105" s="638">
        <f>ROW()</f>
        <v>105</v>
      </c>
    </row>
    <row r="106" spans="2:15" ht="14.1" customHeight="1">
      <c r="B106" s="1718">
        <f t="shared" si="9"/>
        <v>1985</v>
      </c>
      <c r="C106" s="484">
        <v>63469</v>
      </c>
      <c r="D106" s="484">
        <v>76065</v>
      </c>
      <c r="E106" s="484">
        <v>94644</v>
      </c>
      <c r="F106" s="485">
        <f t="shared" si="10"/>
        <v>234178</v>
      </c>
      <c r="G106" s="484">
        <v>116929</v>
      </c>
      <c r="H106" s="484">
        <v>100825</v>
      </c>
      <c r="I106" s="484">
        <v>107386</v>
      </c>
      <c r="J106" s="484">
        <v>150892</v>
      </c>
      <c r="K106" s="485">
        <f t="shared" si="11"/>
        <v>476032</v>
      </c>
      <c r="L106" s="485">
        <f t="shared" si="12"/>
        <v>710210</v>
      </c>
      <c r="M106" s="486">
        <f t="shared" si="8"/>
        <v>0.32973064304923894</v>
      </c>
      <c r="O106" s="638">
        <f>ROW()</f>
        <v>106</v>
      </c>
    </row>
    <row r="107" spans="2:15" ht="14.1" customHeight="1">
      <c r="B107" s="1718">
        <f t="shared" si="9"/>
        <v>1986</v>
      </c>
      <c r="C107" s="484">
        <v>60778</v>
      </c>
      <c r="D107" s="484">
        <v>71478</v>
      </c>
      <c r="E107" s="484">
        <v>93432</v>
      </c>
      <c r="F107" s="485">
        <f t="shared" si="10"/>
        <v>225688</v>
      </c>
      <c r="G107" s="484">
        <v>126555</v>
      </c>
      <c r="H107" s="484">
        <v>77784</v>
      </c>
      <c r="I107" s="484">
        <v>107181</v>
      </c>
      <c r="J107" s="484">
        <v>158191</v>
      </c>
      <c r="K107" s="485">
        <f t="shared" si="11"/>
        <v>469711</v>
      </c>
      <c r="L107" s="485">
        <f t="shared" si="12"/>
        <v>695399</v>
      </c>
      <c r="M107" s="486">
        <f t="shared" si="8"/>
        <v>0.32454461395544143</v>
      </c>
      <c r="O107" s="638">
        <f>ROW()</f>
        <v>107</v>
      </c>
    </row>
    <row r="108" spans="2:15" ht="14.1" customHeight="1">
      <c r="B108" s="1718">
        <f t="shared" si="9"/>
        <v>1987</v>
      </c>
      <c r="C108" s="484">
        <v>63256</v>
      </c>
      <c r="D108" s="484">
        <v>77813</v>
      </c>
      <c r="E108" s="484">
        <v>95795</v>
      </c>
      <c r="F108" s="485">
        <f t="shared" si="10"/>
        <v>236864</v>
      </c>
      <c r="G108" s="484">
        <v>123523</v>
      </c>
      <c r="H108" s="484">
        <v>77519</v>
      </c>
      <c r="I108" s="484">
        <v>107362</v>
      </c>
      <c r="J108" s="484">
        <v>151688</v>
      </c>
      <c r="K108" s="485">
        <f t="shared" si="11"/>
        <v>460092</v>
      </c>
      <c r="L108" s="485">
        <f t="shared" si="12"/>
        <v>696956</v>
      </c>
      <c r="M108" s="486">
        <f t="shared" si="8"/>
        <v>0.33985502671617718</v>
      </c>
      <c r="O108" s="638">
        <f>ROW()</f>
        <v>108</v>
      </c>
    </row>
    <row r="109" spans="2:15" ht="14.1" customHeight="1">
      <c r="B109" s="1717">
        <f t="shared" si="9"/>
        <v>1988</v>
      </c>
      <c r="C109" s="205">
        <v>62959</v>
      </c>
      <c r="D109" s="205">
        <v>76243</v>
      </c>
      <c r="E109" s="205">
        <v>99438</v>
      </c>
      <c r="F109" s="458">
        <f t="shared" si="10"/>
        <v>238640</v>
      </c>
      <c r="G109" s="205">
        <v>129153</v>
      </c>
      <c r="H109" s="205">
        <v>75221</v>
      </c>
      <c r="I109" s="205">
        <v>102643</v>
      </c>
      <c r="J109" s="205">
        <v>153841</v>
      </c>
      <c r="K109" s="458">
        <f t="shared" si="11"/>
        <v>460858</v>
      </c>
      <c r="L109" s="458">
        <f t="shared" si="12"/>
        <v>699498</v>
      </c>
      <c r="M109" s="444">
        <f t="shared" si="8"/>
        <v>0.34115894541514058</v>
      </c>
      <c r="O109" s="638">
        <f>ROW()</f>
        <v>109</v>
      </c>
    </row>
    <row r="110" spans="2:15" ht="14.1" customHeight="1">
      <c r="B110" s="1717">
        <f t="shared" si="9"/>
        <v>1989</v>
      </c>
      <c r="C110" s="205">
        <v>59254</v>
      </c>
      <c r="D110" s="205">
        <v>72828</v>
      </c>
      <c r="E110" s="205">
        <v>92720</v>
      </c>
      <c r="F110" s="458">
        <f t="shared" si="10"/>
        <v>224802</v>
      </c>
      <c r="G110" s="205">
        <v>131951</v>
      </c>
      <c r="H110" s="205">
        <v>68593</v>
      </c>
      <c r="I110" s="205">
        <v>107967</v>
      </c>
      <c r="J110" s="205">
        <v>152591</v>
      </c>
      <c r="K110" s="458">
        <f t="shared" si="11"/>
        <v>461102</v>
      </c>
      <c r="L110" s="458">
        <f t="shared" si="12"/>
        <v>685904</v>
      </c>
      <c r="M110" s="444">
        <f t="shared" si="8"/>
        <v>0.32774557372460283</v>
      </c>
      <c r="O110" s="638">
        <f>ROW()</f>
        <v>110</v>
      </c>
    </row>
    <row r="111" spans="2:15" ht="14.1" customHeight="1">
      <c r="B111" s="1717">
        <f t="shared" si="9"/>
        <v>1990</v>
      </c>
      <c r="C111" s="205">
        <v>60512</v>
      </c>
      <c r="D111" s="205">
        <v>71186</v>
      </c>
      <c r="E111" s="205">
        <v>99840</v>
      </c>
      <c r="F111" s="458">
        <f t="shared" si="10"/>
        <v>231538</v>
      </c>
      <c r="G111" s="205">
        <v>129626</v>
      </c>
      <c r="H111" s="205">
        <v>69550</v>
      </c>
      <c r="I111" s="205">
        <v>109474</v>
      </c>
      <c r="J111" s="205">
        <v>140063</v>
      </c>
      <c r="K111" s="458">
        <f t="shared" si="11"/>
        <v>448713</v>
      </c>
      <c r="L111" s="458">
        <f t="shared" si="12"/>
        <v>680251</v>
      </c>
      <c r="M111" s="444">
        <f t="shared" si="8"/>
        <v>0.34037142172521612</v>
      </c>
      <c r="O111" s="638">
        <f>ROW()</f>
        <v>111</v>
      </c>
    </row>
    <row r="112" spans="2:15" ht="14.1" customHeight="1">
      <c r="B112" s="1718">
        <f t="shared" si="9"/>
        <v>1991</v>
      </c>
      <c r="C112" s="484">
        <v>63883</v>
      </c>
      <c r="D112" s="484">
        <v>80616</v>
      </c>
      <c r="E112" s="484">
        <v>94487</v>
      </c>
      <c r="F112" s="485">
        <f t="shared" si="10"/>
        <v>238986</v>
      </c>
      <c r="G112" s="484">
        <v>128491</v>
      </c>
      <c r="H112" s="484">
        <v>72695</v>
      </c>
      <c r="I112" s="484">
        <v>115345</v>
      </c>
      <c r="J112" s="484">
        <v>131438</v>
      </c>
      <c r="K112" s="485">
        <f t="shared" si="11"/>
        <v>447969</v>
      </c>
      <c r="L112" s="485">
        <f t="shared" si="12"/>
        <v>686955</v>
      </c>
      <c r="M112" s="486">
        <f t="shared" si="8"/>
        <v>0.34789178330458326</v>
      </c>
      <c r="O112" s="638">
        <f>ROW()</f>
        <v>112</v>
      </c>
    </row>
    <row r="113" spans="2:15" ht="14.1" customHeight="1">
      <c r="B113" s="1718">
        <f t="shared" si="9"/>
        <v>1992</v>
      </c>
      <c r="C113" s="484">
        <v>62510</v>
      </c>
      <c r="D113" s="484">
        <v>81835</v>
      </c>
      <c r="E113" s="484">
        <v>97198</v>
      </c>
      <c r="F113" s="485">
        <f t="shared" si="10"/>
        <v>241543</v>
      </c>
      <c r="G113" s="484">
        <v>125643</v>
      </c>
      <c r="H113" s="484">
        <v>78117</v>
      </c>
      <c r="I113" s="484">
        <v>98307</v>
      </c>
      <c r="J113" s="484">
        <v>141078</v>
      </c>
      <c r="K113" s="485">
        <f t="shared" si="11"/>
        <v>443145</v>
      </c>
      <c r="L113" s="485">
        <f t="shared" si="12"/>
        <v>684688</v>
      </c>
      <c r="M113" s="486">
        <f t="shared" si="8"/>
        <v>0.35277819970555935</v>
      </c>
      <c r="O113" s="638">
        <f>ROW()</f>
        <v>113</v>
      </c>
    </row>
    <row r="114" spans="2:15" ht="14.1" customHeight="1">
      <c r="B114" s="1718">
        <f t="shared" si="9"/>
        <v>1993</v>
      </c>
      <c r="C114" s="484">
        <v>57561</v>
      </c>
      <c r="D114" s="484">
        <v>77288</v>
      </c>
      <c r="E114" s="484">
        <v>92660</v>
      </c>
      <c r="F114" s="485">
        <f t="shared" si="10"/>
        <v>227509</v>
      </c>
      <c r="G114" s="484">
        <v>134793</v>
      </c>
      <c r="H114" s="484">
        <v>74526</v>
      </c>
      <c r="I114" s="484">
        <v>86591</v>
      </c>
      <c r="J114" s="484">
        <v>135964</v>
      </c>
      <c r="K114" s="485">
        <f t="shared" si="11"/>
        <v>431874</v>
      </c>
      <c r="L114" s="485">
        <f t="shared" si="12"/>
        <v>659383</v>
      </c>
      <c r="M114" s="486">
        <f t="shared" si="8"/>
        <v>0.34503315978725568</v>
      </c>
      <c r="O114" s="638">
        <f>ROW()</f>
        <v>114</v>
      </c>
    </row>
    <row r="115" spans="2:15" ht="14.1" customHeight="1">
      <c r="B115" s="1717">
        <f t="shared" si="9"/>
        <v>1994</v>
      </c>
      <c r="C115" s="205">
        <v>57013</v>
      </c>
      <c r="D115" s="205">
        <v>68511</v>
      </c>
      <c r="E115" s="205">
        <v>79536</v>
      </c>
      <c r="F115" s="458">
        <f t="shared" si="10"/>
        <v>205060</v>
      </c>
      <c r="G115" s="205">
        <v>134837</v>
      </c>
      <c r="H115" s="205">
        <v>78418</v>
      </c>
      <c r="I115" s="205">
        <v>83525</v>
      </c>
      <c r="J115" s="205">
        <v>151483</v>
      </c>
      <c r="K115" s="458">
        <f t="shared" si="11"/>
        <v>448263</v>
      </c>
      <c r="L115" s="458">
        <f t="shared" si="12"/>
        <v>653323</v>
      </c>
      <c r="M115" s="444">
        <f t="shared" si="8"/>
        <v>0.31387231124573911</v>
      </c>
      <c r="O115" s="638">
        <f>ROW()</f>
        <v>115</v>
      </c>
    </row>
    <row r="116" spans="2:15" ht="14.1" customHeight="1">
      <c r="B116" s="1717">
        <f t="shared" si="9"/>
        <v>1995</v>
      </c>
      <c r="C116" s="205">
        <v>61097</v>
      </c>
      <c r="D116" s="205">
        <v>73882</v>
      </c>
      <c r="E116" s="205">
        <v>95696</v>
      </c>
      <c r="F116" s="458">
        <f t="shared" si="10"/>
        <v>230675</v>
      </c>
      <c r="G116" s="205">
        <v>131883</v>
      </c>
      <c r="H116" s="205">
        <v>75126</v>
      </c>
      <c r="I116" s="205">
        <v>100588</v>
      </c>
      <c r="J116" s="205">
        <v>157306</v>
      </c>
      <c r="K116" s="458">
        <f t="shared" si="11"/>
        <v>464903</v>
      </c>
      <c r="L116" s="458">
        <f t="shared" si="12"/>
        <v>695578</v>
      </c>
      <c r="M116" s="444">
        <f t="shared" si="8"/>
        <v>0.33163067262046814</v>
      </c>
      <c r="O116" s="638">
        <f>ROW()</f>
        <v>116</v>
      </c>
    </row>
    <row r="117" spans="2:15" ht="14.1" customHeight="1">
      <c r="B117" s="1717">
        <f t="shared" si="9"/>
        <v>1996</v>
      </c>
      <c r="C117" s="205">
        <v>57091</v>
      </c>
      <c r="D117" s="205">
        <v>72285</v>
      </c>
      <c r="E117" s="205">
        <v>92981</v>
      </c>
      <c r="F117" s="458">
        <f t="shared" si="10"/>
        <v>222357</v>
      </c>
      <c r="G117" s="205">
        <v>131872</v>
      </c>
      <c r="H117" s="205">
        <v>81075</v>
      </c>
      <c r="I117" s="205">
        <v>88570</v>
      </c>
      <c r="J117" s="205">
        <v>161965</v>
      </c>
      <c r="K117" s="458">
        <f t="shared" si="11"/>
        <v>463482</v>
      </c>
      <c r="L117" s="458">
        <f t="shared" si="12"/>
        <v>685839</v>
      </c>
      <c r="M117" s="444">
        <f t="shared" si="8"/>
        <v>0.32421165900451854</v>
      </c>
      <c r="O117" s="638">
        <f>ROW()</f>
        <v>117</v>
      </c>
    </row>
    <row r="118" spans="2:15" ht="14.1" customHeight="1">
      <c r="B118" s="1718">
        <f t="shared" si="9"/>
        <v>1997</v>
      </c>
      <c r="C118" s="484">
        <v>54690</v>
      </c>
      <c r="D118" s="484">
        <v>78023</v>
      </c>
      <c r="E118" s="484">
        <v>91313</v>
      </c>
      <c r="F118" s="485">
        <f t="shared" si="10"/>
        <v>224026</v>
      </c>
      <c r="G118" s="484">
        <v>147898</v>
      </c>
      <c r="H118" s="484">
        <v>83209</v>
      </c>
      <c r="I118" s="484">
        <v>96124</v>
      </c>
      <c r="J118" s="484">
        <v>184179</v>
      </c>
      <c r="K118" s="485">
        <f t="shared" si="11"/>
        <v>511410</v>
      </c>
      <c r="L118" s="485">
        <f t="shared" si="12"/>
        <v>735436</v>
      </c>
      <c r="M118" s="486">
        <f t="shared" si="8"/>
        <v>0.30461658118449464</v>
      </c>
      <c r="O118" s="638">
        <f>ROW()</f>
        <v>118</v>
      </c>
    </row>
    <row r="119" spans="2:15" ht="14.1" customHeight="1">
      <c r="B119" s="1718">
        <f t="shared" si="9"/>
        <v>1998</v>
      </c>
      <c r="C119" s="484">
        <v>61091</v>
      </c>
      <c r="D119" s="484">
        <v>79697</v>
      </c>
      <c r="E119" s="484">
        <v>93863</v>
      </c>
      <c r="F119" s="485">
        <f t="shared" si="10"/>
        <v>234651</v>
      </c>
      <c r="G119" s="484">
        <v>144131</v>
      </c>
      <c r="H119" s="484">
        <v>78172</v>
      </c>
      <c r="I119" s="484">
        <v>109268</v>
      </c>
      <c r="J119" s="484">
        <v>192119</v>
      </c>
      <c r="K119" s="485">
        <f t="shared" si="11"/>
        <v>523690</v>
      </c>
      <c r="L119" s="485">
        <f t="shared" si="12"/>
        <v>758341</v>
      </c>
      <c r="M119" s="486">
        <f t="shared" si="8"/>
        <v>0.30942676183933088</v>
      </c>
      <c r="O119" s="638">
        <f>ROW()</f>
        <v>119</v>
      </c>
    </row>
    <row r="120" spans="2:15" ht="14.1" customHeight="1">
      <c r="B120" s="1718">
        <f t="shared" si="9"/>
        <v>1999</v>
      </c>
      <c r="C120" s="484">
        <v>63307</v>
      </c>
      <c r="D120" s="484">
        <v>80941</v>
      </c>
      <c r="E120" s="484">
        <v>98553</v>
      </c>
      <c r="F120" s="485">
        <f t="shared" si="10"/>
        <v>242801</v>
      </c>
      <c r="G120" s="484">
        <v>127065</v>
      </c>
      <c r="H120" s="484">
        <v>92311</v>
      </c>
      <c r="I120" s="484">
        <v>107941</v>
      </c>
      <c r="J120" s="484">
        <v>189190</v>
      </c>
      <c r="K120" s="485">
        <f t="shared" si="11"/>
        <v>516507</v>
      </c>
      <c r="L120" s="485">
        <f t="shared" si="12"/>
        <v>759308</v>
      </c>
      <c r="M120" s="486">
        <f t="shared" si="8"/>
        <v>0.31976615549948112</v>
      </c>
      <c r="O120" s="638">
        <f>ROW()</f>
        <v>120</v>
      </c>
    </row>
    <row r="121" spans="2:15" ht="14.1" customHeight="1">
      <c r="B121" s="1717">
        <f t="shared" si="9"/>
        <v>2000</v>
      </c>
      <c r="C121" s="205">
        <v>63242</v>
      </c>
      <c r="D121" s="205">
        <v>80879</v>
      </c>
      <c r="E121" s="205">
        <v>103079</v>
      </c>
      <c r="F121" s="458">
        <f t="shared" si="10"/>
        <v>247200</v>
      </c>
      <c r="G121" s="205">
        <v>147767</v>
      </c>
      <c r="H121" s="205">
        <v>75684</v>
      </c>
      <c r="I121" s="205">
        <v>108376</v>
      </c>
      <c r="J121" s="205">
        <v>182940</v>
      </c>
      <c r="K121" s="458">
        <f t="shared" si="11"/>
        <v>514767</v>
      </c>
      <c r="L121" s="458">
        <f t="shared" si="12"/>
        <v>761967</v>
      </c>
      <c r="M121" s="444">
        <f t="shared" si="8"/>
        <v>0.32442349865545356</v>
      </c>
      <c r="O121" s="638">
        <f>ROW()</f>
        <v>121</v>
      </c>
    </row>
    <row r="122" spans="2:15" ht="14.1" customHeight="1">
      <c r="B122" s="1717">
        <f t="shared" si="9"/>
        <v>2001</v>
      </c>
      <c r="C122" s="205">
        <f>253/365*C121+(365-253)/365*13762</f>
        <v>48059.095890410965</v>
      </c>
      <c r="D122" s="205">
        <v>72864</v>
      </c>
      <c r="E122" s="205">
        <v>102224</v>
      </c>
      <c r="F122" s="458">
        <f t="shared" si="10"/>
        <v>223147.09589041097</v>
      </c>
      <c r="G122" s="205">
        <v>95586</v>
      </c>
      <c r="H122" s="205">
        <v>73064</v>
      </c>
      <c r="I122" s="205">
        <v>82202</v>
      </c>
      <c r="J122" s="205">
        <v>176469</v>
      </c>
      <c r="K122" s="458">
        <f t="shared" si="11"/>
        <v>427321</v>
      </c>
      <c r="L122" s="458">
        <f t="shared" si="12"/>
        <v>650468.09589041094</v>
      </c>
      <c r="M122" s="444">
        <f t="shared" si="8"/>
        <v>0.34305617339302397</v>
      </c>
      <c r="O122" s="638">
        <f>ROW()</f>
        <v>122</v>
      </c>
    </row>
    <row r="123" spans="2:15" ht="14.1" customHeight="1">
      <c r="B123" s="1718">
        <f t="shared" si="9"/>
        <v>2002</v>
      </c>
      <c r="C123" s="484">
        <v>56976</v>
      </c>
      <c r="D123" s="484">
        <v>82834</v>
      </c>
      <c r="E123" s="484">
        <v>94759</v>
      </c>
      <c r="F123" s="485">
        <f t="shared" si="10"/>
        <v>234569</v>
      </c>
      <c r="G123" s="484">
        <v>121145</v>
      </c>
      <c r="H123" s="484">
        <v>66152</v>
      </c>
      <c r="I123" s="484">
        <v>103364</v>
      </c>
      <c r="J123" s="484">
        <v>176419</v>
      </c>
      <c r="K123" s="485">
        <f t="shared" si="11"/>
        <v>467080</v>
      </c>
      <c r="L123" s="485">
        <f t="shared" si="12"/>
        <v>701649</v>
      </c>
      <c r="M123" s="486">
        <f t="shared" si="8"/>
        <v>0.33431103015895414</v>
      </c>
      <c r="O123" s="638">
        <f>ROW()</f>
        <v>123</v>
      </c>
    </row>
    <row r="124" spans="2:15" ht="14.1" customHeight="1">
      <c r="B124" s="1718">
        <f t="shared" si="9"/>
        <v>2003</v>
      </c>
      <c r="C124" s="484">
        <v>56271</v>
      </c>
      <c r="D124" s="484">
        <v>85377</v>
      </c>
      <c r="E124" s="484">
        <v>93177</v>
      </c>
      <c r="F124" s="485">
        <f>SUM(C124:E124)</f>
        <v>234825</v>
      </c>
      <c r="G124" s="484">
        <v>134444</v>
      </c>
      <c r="H124" s="484">
        <v>73767</v>
      </c>
      <c r="I124" s="484">
        <v>100243</v>
      </c>
      <c r="J124" s="484">
        <v>184964</v>
      </c>
      <c r="K124" s="485">
        <f>SUM(G124:J124)</f>
        <v>493418</v>
      </c>
      <c r="L124" s="485">
        <f t="shared" si="12"/>
        <v>728243</v>
      </c>
      <c r="M124" s="486">
        <f t="shared" si="8"/>
        <v>0.32245418081601884</v>
      </c>
      <c r="O124" s="638">
        <f>ROW()</f>
        <v>124</v>
      </c>
    </row>
    <row r="125" spans="2:15" ht="14.1" customHeight="1">
      <c r="B125" s="1718">
        <f t="shared" si="9"/>
        <v>2004</v>
      </c>
      <c r="C125" s="484">
        <v>54488</v>
      </c>
      <c r="D125" s="484">
        <v>86599</v>
      </c>
      <c r="E125" s="484">
        <v>97958</v>
      </c>
      <c r="F125" s="485">
        <f>SUM(C125:E125)</f>
        <v>239045</v>
      </c>
      <c r="G125" s="484">
        <v>137563</v>
      </c>
      <c r="H125" s="484">
        <v>79129</v>
      </c>
      <c r="I125" s="484">
        <v>110528</v>
      </c>
      <c r="J125" s="484">
        <v>180369</v>
      </c>
      <c r="K125" s="485">
        <f>SUM(G125:J125)</f>
        <v>507589</v>
      </c>
      <c r="L125" s="485">
        <f t="shared" si="12"/>
        <v>746634</v>
      </c>
      <c r="M125" s="486">
        <f t="shared" si="8"/>
        <v>0.32016356072721036</v>
      </c>
      <c r="O125" s="638">
        <f>ROW()</f>
        <v>125</v>
      </c>
    </row>
    <row r="126" spans="2:15" ht="14.1" customHeight="1">
      <c r="B126" s="1717">
        <f t="shared" si="9"/>
        <v>2005</v>
      </c>
      <c r="C126" s="205">
        <v>49043</v>
      </c>
      <c r="D126" s="205">
        <v>86063</v>
      </c>
      <c r="E126" s="205">
        <v>91898</v>
      </c>
      <c r="F126" s="458">
        <f>SUM(C126:E126)</f>
        <v>227004</v>
      </c>
      <c r="G126" s="205">
        <v>132210</v>
      </c>
      <c r="H126" s="205">
        <v>80363</v>
      </c>
      <c r="I126" s="205">
        <v>107030</v>
      </c>
      <c r="J126" s="205">
        <v>178610</v>
      </c>
      <c r="K126" s="458">
        <f>SUM(G126:J126)</f>
        <v>498213</v>
      </c>
      <c r="L126" s="458">
        <f t="shared" si="12"/>
        <v>725217</v>
      </c>
      <c r="M126" s="444">
        <f t="shared" si="8"/>
        <v>0.31301527680680402</v>
      </c>
      <c r="O126" s="638">
        <f>ROW()</f>
        <v>126</v>
      </c>
    </row>
    <row r="127" spans="2:15" ht="14.1" customHeight="1">
      <c r="B127" s="4149" t="s">
        <v>2108</v>
      </c>
      <c r="C127" s="3786"/>
      <c r="D127" s="3786"/>
      <c r="E127" s="3786"/>
      <c r="F127" s="3786"/>
      <c r="G127" s="3786"/>
      <c r="H127" s="3786"/>
      <c r="I127" s="3786"/>
      <c r="J127" s="3786"/>
      <c r="K127" s="3786"/>
      <c r="L127" s="3786"/>
      <c r="M127" s="3786"/>
      <c r="O127" s="638">
        <f>ROW()</f>
        <v>127</v>
      </c>
    </row>
    <row r="128" spans="2:15" ht="14.1" customHeight="1">
      <c r="B128" s="3786"/>
      <c r="C128" s="3786"/>
      <c r="D128" s="3786"/>
      <c r="E128" s="3786"/>
      <c r="F128" s="3786"/>
      <c r="G128" s="3786"/>
      <c r="H128" s="3786"/>
      <c r="I128" s="3786"/>
      <c r="J128" s="3786"/>
      <c r="K128" s="3786"/>
      <c r="L128" s="3786"/>
      <c r="M128" s="3786"/>
      <c r="O128" s="638">
        <f>ROW()</f>
        <v>128</v>
      </c>
    </row>
    <row r="129" spans="2:15" ht="14.1" customHeight="1">
      <c r="O129" s="638">
        <f>ROW()</f>
        <v>129</v>
      </c>
    </row>
    <row r="130" spans="2:15" ht="14.1" customHeight="1">
      <c r="B130" s="2634" t="s">
        <v>2109</v>
      </c>
      <c r="G130" s="2635">
        <v>64107</v>
      </c>
      <c r="H130" s="2635">
        <v>37298</v>
      </c>
      <c r="I130" s="2635">
        <v>54459</v>
      </c>
      <c r="J130" s="2635">
        <v>93791</v>
      </c>
      <c r="K130" s="458">
        <f>SUM(G130:J130)</f>
        <v>249655</v>
      </c>
      <c r="O130" s="638">
        <f>ROW()</f>
        <v>130</v>
      </c>
    </row>
    <row r="131" spans="2:15" ht="14.1" customHeight="1">
      <c r="B131" s="2636" t="s">
        <v>4584</v>
      </c>
      <c r="C131" s="2637"/>
      <c r="D131" s="2637"/>
      <c r="E131" s="2637"/>
      <c r="F131" s="2637"/>
      <c r="G131" s="2638">
        <v>67595</v>
      </c>
      <c r="H131" s="2638">
        <v>35643</v>
      </c>
      <c r="I131" s="2638">
        <v>58432</v>
      </c>
      <c r="J131" s="2638">
        <v>89515</v>
      </c>
      <c r="K131" s="2639">
        <f>SUM(G131:J131)</f>
        <v>251185</v>
      </c>
      <c r="O131" s="638">
        <f>ROW()</f>
        <v>131</v>
      </c>
    </row>
    <row r="132" spans="2:15" ht="14.1" customHeight="1">
      <c r="O132" s="638">
        <f>ROW()</f>
        <v>132</v>
      </c>
    </row>
  </sheetData>
  <customSheetViews>
    <customSheetView guid="{BD5E6263-A0AD-4076-921A-D4EBD62848EF}" showGridLines="0" showRuler="0" topLeftCell="A67">
      <selection activeCell="B92" sqref="B92:M93"/>
      <pageMargins left="0.75" right="0.75" top="1" bottom="1" header="0.5" footer="0.5"/>
      <pageSetup orientation="portrait" r:id="rId1"/>
      <headerFooter alignWithMargins="0"/>
    </customSheetView>
    <customSheetView guid="{1D5AE30A-CA7C-4B32-AEA4-9F37A560AAA8}" showGridLines="0" showRuler="0" topLeftCell="A67">
      <selection activeCell="B92" sqref="B92:M93"/>
      <pageMargins left="0.75" right="0.75" top="1" bottom="1" header="0.5" footer="0.5"/>
      <pageSetup orientation="portrait" r:id="rId2"/>
      <headerFooter alignWithMargins="0"/>
    </customSheetView>
  </customSheetViews>
  <mergeCells count="18">
    <mergeCell ref="E54:F54"/>
    <mergeCell ref="H28:H32"/>
    <mergeCell ref="I28:I32"/>
    <mergeCell ref="J28:J32"/>
    <mergeCell ref="K28:K32"/>
    <mergeCell ref="I8:K10"/>
    <mergeCell ref="B127:M128"/>
    <mergeCell ref="B56:L58"/>
    <mergeCell ref="E28:E32"/>
    <mergeCell ref="F28:F32"/>
    <mergeCell ref="G28:G32"/>
    <mergeCell ref="M31:M32"/>
    <mergeCell ref="K66:K69"/>
    <mergeCell ref="L66:L69"/>
    <mergeCell ref="B78:J79"/>
    <mergeCell ref="B66:J71"/>
    <mergeCell ref="E52:F52"/>
    <mergeCell ref="E53:F53"/>
  </mergeCells>
  <phoneticPr fontId="6" type="noConversion"/>
  <pageMargins left="0.75" right="0.75" top="1" bottom="1" header="0.5" footer="0.5"/>
  <pageSetup orientation="portrait" r:id="rId3"/>
  <headerFooter alignWithMargins="0"/>
</worksheet>
</file>

<file path=xl/worksheets/sheet50.xml><?xml version="1.0" encoding="utf-8"?>
<worksheet xmlns="http://schemas.openxmlformats.org/spreadsheetml/2006/main" xmlns:r="http://schemas.openxmlformats.org/officeDocument/2006/relationships">
  <sheetPr codeName="Sheet42"/>
  <dimension ref="B1:Q177"/>
  <sheetViews>
    <sheetView showGridLines="0" showRuler="0" zoomScaleNormal="100" workbookViewId="0"/>
  </sheetViews>
  <sheetFormatPr defaultColWidth="9.125" defaultRowHeight="15" customHeight="1"/>
  <cols>
    <col min="1" max="1" width="2.75" style="176" customWidth="1"/>
    <col min="2" max="2" width="29.375" style="176" customWidth="1"/>
    <col min="3" max="6" width="10.75" style="176" customWidth="1"/>
    <col min="7" max="7" width="11" style="176" customWidth="1"/>
    <col min="8" max="13" width="10.75" style="176" customWidth="1"/>
    <col min="14" max="14" width="9.125" style="176" customWidth="1"/>
    <col min="15" max="15" width="2.75" style="176" customWidth="1"/>
    <col min="16" max="16" width="9" customWidth="1"/>
    <col min="17" max="16384" width="9.125" style="176"/>
  </cols>
  <sheetData>
    <row r="1" spans="2:16" ht="15" customHeight="1">
      <c r="O1" s="2327">
        <f>ROW()</f>
        <v>1</v>
      </c>
    </row>
    <row r="2" spans="2:16" ht="15" customHeight="1">
      <c r="B2" s="1620" t="s">
        <v>2216</v>
      </c>
      <c r="K2" s="970">
        <f>'Title Page'!K1</f>
        <v>40914</v>
      </c>
      <c r="O2" s="2327">
        <f>ROW()</f>
        <v>2</v>
      </c>
    </row>
    <row r="3" spans="2:16" ht="15" customHeight="1">
      <c r="B3" s="178"/>
      <c r="C3" s="193"/>
      <c r="O3" s="2327">
        <f>ROW()</f>
        <v>3</v>
      </c>
    </row>
    <row r="4" spans="2:16" ht="15" customHeight="1">
      <c r="B4" s="4071" t="s">
        <v>6281</v>
      </c>
      <c r="C4" s="3659"/>
      <c r="D4" s="3659"/>
      <c r="E4" s="3659"/>
      <c r="F4" s="3659"/>
      <c r="G4" s="3659"/>
      <c r="H4" s="3659"/>
      <c r="I4" s="3659"/>
      <c r="J4" s="3659"/>
      <c r="K4" s="3659"/>
      <c r="O4" s="2327">
        <f>ROW()</f>
        <v>4</v>
      </c>
    </row>
    <row r="5" spans="2:16" ht="15" customHeight="1">
      <c r="B5" s="3659"/>
      <c r="C5" s="3659"/>
      <c r="D5" s="3659"/>
      <c r="E5" s="3659"/>
      <c r="F5" s="3659"/>
      <c r="G5" s="3659"/>
      <c r="H5" s="3659"/>
      <c r="I5" s="3659"/>
      <c r="J5" s="3659"/>
      <c r="K5" s="3659"/>
      <c r="O5" s="2327">
        <f>ROW()</f>
        <v>5</v>
      </c>
    </row>
    <row r="6" spans="2:16" ht="15" customHeight="1">
      <c r="B6" s="1584"/>
      <c r="C6" s="1584"/>
      <c r="D6" s="1584"/>
      <c r="E6" s="1584"/>
      <c r="F6" s="1584"/>
      <c r="G6" s="1584"/>
      <c r="H6" s="1584"/>
      <c r="I6" s="1584"/>
      <c r="J6" s="1584"/>
      <c r="K6" s="1584"/>
      <c r="O6" s="2327">
        <f>ROW()</f>
        <v>6</v>
      </c>
    </row>
    <row r="7" spans="2:16" ht="15" customHeight="1">
      <c r="B7" s="4605" t="s">
        <v>6282</v>
      </c>
      <c r="C7" s="4605"/>
      <c r="D7" s="4605"/>
      <c r="E7" s="4605"/>
      <c r="F7" s="4605"/>
      <c r="G7" s="4605"/>
      <c r="H7" s="4605"/>
      <c r="I7" s="4605"/>
      <c r="J7" s="4605"/>
      <c r="K7" s="4605"/>
      <c r="O7" s="2327">
        <f>ROW()</f>
        <v>7</v>
      </c>
    </row>
    <row r="8" spans="2:16" ht="15" customHeight="1">
      <c r="B8" s="4605"/>
      <c r="C8" s="4605"/>
      <c r="D8" s="4605"/>
      <c r="E8" s="4605"/>
      <c r="F8" s="4605"/>
      <c r="G8" s="4605"/>
      <c r="H8" s="4605"/>
      <c r="I8" s="4605"/>
      <c r="J8" s="4605"/>
      <c r="K8" s="4605"/>
      <c r="O8" s="2327">
        <f>ROW()</f>
        <v>8</v>
      </c>
    </row>
    <row r="9" spans="2:16" ht="15" customHeight="1">
      <c r="B9" s="4605"/>
      <c r="C9" s="4605"/>
      <c r="D9" s="4605"/>
      <c r="E9" s="4605"/>
      <c r="F9" s="4605"/>
      <c r="G9" s="4605"/>
      <c r="H9" s="4605"/>
      <c r="I9" s="4605"/>
      <c r="J9" s="4605"/>
      <c r="K9" s="4605"/>
      <c r="O9" s="2327">
        <f>ROW()</f>
        <v>9</v>
      </c>
    </row>
    <row r="10" spans="2:16" ht="15" customHeight="1">
      <c r="B10" s="4605"/>
      <c r="C10" s="4605"/>
      <c r="D10" s="4605"/>
      <c r="E10" s="4605"/>
      <c r="F10" s="4605"/>
      <c r="G10" s="4605"/>
      <c r="H10" s="4605"/>
      <c r="I10" s="4605"/>
      <c r="J10" s="4605"/>
      <c r="K10" s="4605"/>
      <c r="O10" s="2327">
        <f>ROW()</f>
        <v>10</v>
      </c>
    </row>
    <row r="11" spans="2:16" ht="15" customHeight="1">
      <c r="B11" s="3556"/>
      <c r="C11" s="3556"/>
      <c r="D11" s="3556"/>
      <c r="E11" s="3556"/>
      <c r="F11" s="3556"/>
      <c r="G11" s="3556"/>
      <c r="H11" s="3556"/>
      <c r="I11" s="3556"/>
      <c r="J11" s="3556"/>
      <c r="K11" s="3556"/>
      <c r="O11" s="2327">
        <f>ROW()</f>
        <v>11</v>
      </c>
      <c r="P11" s="3555"/>
    </row>
    <row r="12" spans="2:16" ht="15" customHeight="1">
      <c r="B12" s="3659" t="s">
        <v>4743</v>
      </c>
      <c r="C12" s="3659"/>
      <c r="D12" s="3659"/>
      <c r="E12" s="3659"/>
      <c r="F12" s="3659"/>
      <c r="G12" s="3659"/>
      <c r="H12" s="3659"/>
      <c r="I12" s="3659"/>
      <c r="J12" s="3659"/>
      <c r="K12" s="3659"/>
      <c r="L12" s="546"/>
      <c r="O12" s="2327">
        <f>ROW()</f>
        <v>12</v>
      </c>
    </row>
    <row r="13" spans="2:16" ht="15" customHeight="1">
      <c r="B13" s="3659"/>
      <c r="C13" s="3659"/>
      <c r="D13" s="3659"/>
      <c r="E13" s="3659"/>
      <c r="F13" s="3659"/>
      <c r="G13" s="3659"/>
      <c r="H13" s="3659"/>
      <c r="I13" s="3659"/>
      <c r="J13" s="3659"/>
      <c r="K13" s="3659"/>
      <c r="L13" s="546"/>
      <c r="O13" s="2327">
        <f>ROW()</f>
        <v>13</v>
      </c>
    </row>
    <row r="14" spans="2:16" ht="15" customHeight="1">
      <c r="B14" s="3659"/>
      <c r="C14" s="3659"/>
      <c r="D14" s="3659"/>
      <c r="E14" s="3659"/>
      <c r="F14" s="3659"/>
      <c r="G14" s="3659"/>
      <c r="H14" s="3659"/>
      <c r="I14" s="3659"/>
      <c r="J14" s="3659"/>
      <c r="K14" s="3659"/>
      <c r="L14" s="546"/>
      <c r="N14"/>
      <c r="O14" s="2327">
        <f>ROW()</f>
        <v>14</v>
      </c>
    </row>
    <row r="15" spans="2:16" ht="15" customHeight="1">
      <c r="B15" s="3659"/>
      <c r="C15" s="3659"/>
      <c r="D15" s="3659"/>
      <c r="E15" s="3659"/>
      <c r="F15" s="3659"/>
      <c r="G15" s="3659"/>
      <c r="H15" s="3659"/>
      <c r="I15" s="3659"/>
      <c r="J15" s="3659"/>
      <c r="K15" s="3659"/>
      <c r="L15" s="546"/>
      <c r="N15"/>
      <c r="O15" s="2327">
        <f>ROW()</f>
        <v>15</v>
      </c>
    </row>
    <row r="16" spans="2:16" ht="15" customHeight="1">
      <c r="B16" s="3659"/>
      <c r="C16" s="3659"/>
      <c r="D16" s="3659"/>
      <c r="E16" s="3659"/>
      <c r="F16" s="3659"/>
      <c r="G16" s="3659"/>
      <c r="H16" s="3659"/>
      <c r="I16" s="3659"/>
      <c r="J16" s="3659"/>
      <c r="K16" s="3659"/>
      <c r="L16" s="546"/>
      <c r="N16"/>
      <c r="O16" s="2327">
        <f>ROW()</f>
        <v>16</v>
      </c>
    </row>
    <row r="17" spans="2:16" ht="15" customHeight="1">
      <c r="B17" s="1584"/>
      <c r="C17" s="1584"/>
      <c r="D17" s="1584"/>
      <c r="E17" s="1584"/>
      <c r="F17" s="1584"/>
      <c r="G17" s="1584"/>
      <c r="H17" s="1584"/>
      <c r="I17" s="1584"/>
      <c r="J17" s="1584"/>
      <c r="K17" s="1584"/>
      <c r="N17"/>
      <c r="O17" s="2327">
        <f>ROW()</f>
        <v>17</v>
      </c>
    </row>
    <row r="18" spans="2:16" ht="15" customHeight="1">
      <c r="B18" s="4605" t="s">
        <v>6283</v>
      </c>
      <c r="C18" s="4605"/>
      <c r="D18" s="4605"/>
      <c r="E18" s="4605"/>
      <c r="F18" s="4605"/>
      <c r="G18" s="4605"/>
      <c r="H18" s="4605"/>
      <c r="I18" s="4605"/>
      <c r="J18" s="4605"/>
      <c r="K18" s="4605"/>
      <c r="N18"/>
      <c r="O18" s="2327">
        <f>ROW()</f>
        <v>18</v>
      </c>
    </row>
    <row r="19" spans="2:16" ht="15" customHeight="1">
      <c r="B19" s="4605"/>
      <c r="C19" s="4605"/>
      <c r="D19" s="4605"/>
      <c r="E19" s="4605"/>
      <c r="F19" s="4605"/>
      <c r="G19" s="4605"/>
      <c r="H19" s="4605"/>
      <c r="I19" s="4605"/>
      <c r="J19" s="4605"/>
      <c r="K19" s="4605"/>
      <c r="N19"/>
      <c r="O19" s="2327">
        <f>ROW()</f>
        <v>19</v>
      </c>
    </row>
    <row r="20" spans="2:16" ht="15" customHeight="1">
      <c r="B20" s="4605"/>
      <c r="C20" s="4605"/>
      <c r="D20" s="4605"/>
      <c r="E20" s="4605"/>
      <c r="F20" s="4605"/>
      <c r="G20" s="4605"/>
      <c r="H20" s="4605"/>
      <c r="I20" s="4605"/>
      <c r="J20" s="4605"/>
      <c r="K20" s="4605"/>
      <c r="N20"/>
      <c r="O20" s="2327">
        <f>ROW()</f>
        <v>20</v>
      </c>
    </row>
    <row r="21" spans="2:16" ht="15" customHeight="1">
      <c r="B21" s="4605"/>
      <c r="C21" s="4605"/>
      <c r="D21" s="4605"/>
      <c r="E21" s="4605"/>
      <c r="F21" s="4605"/>
      <c r="G21" s="4605"/>
      <c r="H21" s="4605"/>
      <c r="I21" s="4605"/>
      <c r="J21" s="4605"/>
      <c r="K21" s="4605"/>
      <c r="N21"/>
      <c r="O21" s="2327">
        <f>ROW()</f>
        <v>21</v>
      </c>
    </row>
    <row r="22" spans="2:16" ht="15" customHeight="1">
      <c r="B22" s="3556"/>
      <c r="C22" s="3556"/>
      <c r="D22" s="3556"/>
      <c r="E22" s="3556"/>
      <c r="F22" s="3556"/>
      <c r="G22" s="3556"/>
      <c r="H22" s="3556"/>
      <c r="I22" s="3556"/>
      <c r="J22" s="3556"/>
      <c r="K22" s="3556"/>
      <c r="N22" s="3555"/>
      <c r="O22" s="2327">
        <f>ROW()</f>
        <v>22</v>
      </c>
      <c r="P22" s="3555"/>
    </row>
    <row r="23" spans="2:16" ht="15" customHeight="1">
      <c r="B23" s="467" t="s">
        <v>685</v>
      </c>
      <c r="C23" s="177"/>
      <c r="D23" s="177"/>
      <c r="E23" s="177"/>
      <c r="F23" s="177"/>
      <c r="G23" s="177"/>
      <c r="H23" s="177"/>
      <c r="I23" s="177"/>
      <c r="J23" s="177"/>
      <c r="K23" s="177"/>
      <c r="O23" s="2327">
        <f>ROW()</f>
        <v>23</v>
      </c>
    </row>
    <row r="24" spans="2:16" ht="15" customHeight="1">
      <c r="B24" s="467"/>
      <c r="C24" s="177"/>
      <c r="D24" s="177"/>
      <c r="E24" s="177"/>
      <c r="F24" s="177"/>
      <c r="G24" s="463"/>
      <c r="H24" s="177"/>
      <c r="I24" s="177"/>
      <c r="J24" s="177"/>
      <c r="K24" s="177"/>
      <c r="O24" s="2327">
        <f>ROW()</f>
        <v>24</v>
      </c>
    </row>
    <row r="25" spans="2:16" s="180" customFormat="1" ht="15" customHeight="1">
      <c r="B25" s="323" t="s">
        <v>1545</v>
      </c>
      <c r="D25" s="177"/>
      <c r="E25" s="177"/>
      <c r="F25" s="463"/>
      <c r="H25" s="464">
        <v>47.97</v>
      </c>
      <c r="O25" s="2327">
        <f>ROW()</f>
        <v>25</v>
      </c>
    </row>
    <row r="26" spans="2:16" s="180" customFormat="1" ht="15" customHeight="1">
      <c r="B26" s="319" t="s">
        <v>585</v>
      </c>
      <c r="D26" s="177"/>
      <c r="E26" s="177"/>
      <c r="F26" s="463"/>
      <c r="H26"/>
      <c r="O26" s="2327">
        <f>ROW()</f>
        <v>26</v>
      </c>
    </row>
    <row r="27" spans="2:16" s="180" customFormat="1" ht="15" customHeight="1">
      <c r="B27" s="2670" t="s">
        <v>4738</v>
      </c>
      <c r="D27" s="177"/>
      <c r="E27" s="177"/>
      <c r="F27" s="463"/>
      <c r="H27" s="465">
        <f>218.1/195.3</f>
        <v>1.1167434715821811</v>
      </c>
      <c r="O27" s="2327">
        <f>ROW()</f>
        <v>27</v>
      </c>
    </row>
    <row r="28" spans="2:16" s="180" customFormat="1" ht="15" customHeight="1">
      <c r="B28" s="314" t="s">
        <v>4737</v>
      </c>
      <c r="C28" s="179"/>
      <c r="D28" s="177"/>
      <c r="E28" s="177"/>
      <c r="F28" s="177"/>
      <c r="H28" s="466"/>
      <c r="O28" s="2327">
        <f>ROW()</f>
        <v>28</v>
      </c>
    </row>
    <row r="29" spans="2:16" ht="15" customHeight="1">
      <c r="B29" s="316" t="s">
        <v>4739</v>
      </c>
      <c r="C29" s="177"/>
      <c r="D29" s="177"/>
      <c r="E29" s="177"/>
      <c r="F29" s="463"/>
      <c r="H29" s="464">
        <f>H25*H27</f>
        <v>53.570184331797229</v>
      </c>
      <c r="O29" s="2327">
        <f>ROW()</f>
        <v>29</v>
      </c>
    </row>
    <row r="30" spans="2:16" ht="15" customHeight="1">
      <c r="H30" s="463"/>
      <c r="O30" s="2327">
        <f>ROW()</f>
        <v>30</v>
      </c>
    </row>
    <row r="31" spans="2:16" ht="15" customHeight="1">
      <c r="B31" s="4605" t="s">
        <v>2030</v>
      </c>
      <c r="C31" s="4605"/>
      <c r="D31" s="4605"/>
      <c r="E31" s="4605"/>
      <c r="F31" s="4605"/>
      <c r="G31" s="4605"/>
      <c r="H31" s="4605"/>
      <c r="I31" s="4605"/>
      <c r="J31" s="4605"/>
      <c r="K31" s="4605"/>
      <c r="L31" s="1085"/>
      <c r="O31" s="2327">
        <f>ROW()</f>
        <v>31</v>
      </c>
    </row>
    <row r="32" spans="2:16" ht="15" customHeight="1">
      <c r="B32" s="4605"/>
      <c r="C32" s="4605"/>
      <c r="D32" s="4605"/>
      <c r="E32" s="4605"/>
      <c r="F32" s="4605"/>
      <c r="G32" s="4605"/>
      <c r="H32" s="4605"/>
      <c r="I32" s="4605"/>
      <c r="J32" s="4605"/>
      <c r="K32" s="4605"/>
      <c r="L32" s="1085"/>
      <c r="O32" s="2327">
        <f>ROW()</f>
        <v>32</v>
      </c>
    </row>
    <row r="33" spans="2:15" ht="15" customHeight="1">
      <c r="B33" s="4605"/>
      <c r="C33" s="4605"/>
      <c r="D33" s="4605"/>
      <c r="E33" s="4605"/>
      <c r="F33" s="4605"/>
      <c r="G33" s="4605"/>
      <c r="H33" s="4605"/>
      <c r="I33" s="4605"/>
      <c r="J33" s="4605"/>
      <c r="K33" s="4605"/>
      <c r="L33" s="1085"/>
      <c r="O33" s="2327">
        <f>ROW()</f>
        <v>33</v>
      </c>
    </row>
    <row r="34" spans="2:15" ht="15" customHeight="1">
      <c r="B34" s="4605"/>
      <c r="C34" s="4605"/>
      <c r="D34" s="4605"/>
      <c r="E34" s="4605"/>
      <c r="F34" s="4605"/>
      <c r="G34" s="4605"/>
      <c r="H34" s="4605"/>
      <c r="I34" s="4605"/>
      <c r="J34" s="4605"/>
      <c r="K34" s="4605"/>
      <c r="L34" s="1085"/>
      <c r="O34" s="2327">
        <f>ROW()</f>
        <v>34</v>
      </c>
    </row>
    <row r="35" spans="2:15" ht="15" customHeight="1">
      <c r="B35" s="280"/>
      <c r="C35" s="546"/>
      <c r="D35" s="546"/>
      <c r="E35" s="546"/>
      <c r="F35" s="546"/>
      <c r="G35" s="546"/>
      <c r="H35" s="546"/>
      <c r="I35" s="546"/>
      <c r="J35" s="546"/>
      <c r="K35" s="546"/>
      <c r="L35" s="546"/>
      <c r="O35" s="2327">
        <f>ROW()</f>
        <v>35</v>
      </c>
    </row>
    <row r="36" spans="2:15" ht="15" customHeight="1">
      <c r="B36" s="4071" t="s">
        <v>6280</v>
      </c>
      <c r="C36" s="4071"/>
      <c r="D36" s="4071"/>
      <c r="E36" s="4071"/>
      <c r="F36" s="4071"/>
      <c r="G36" s="4071"/>
      <c r="H36" s="4071"/>
      <c r="I36" s="4071"/>
      <c r="J36" s="4071"/>
      <c r="K36" s="4071"/>
      <c r="L36" s="3659"/>
      <c r="O36" s="2327">
        <f>ROW()</f>
        <v>36</v>
      </c>
    </row>
    <row r="37" spans="2:15" ht="15" customHeight="1">
      <c r="B37" s="4071"/>
      <c r="C37" s="4071"/>
      <c r="D37" s="4071"/>
      <c r="E37" s="4071"/>
      <c r="F37" s="4071"/>
      <c r="G37" s="4071"/>
      <c r="H37" s="4071"/>
      <c r="I37" s="4071"/>
      <c r="J37" s="4071"/>
      <c r="K37" s="4071"/>
      <c r="L37" s="3659"/>
      <c r="O37" s="2327">
        <f>ROW()</f>
        <v>37</v>
      </c>
    </row>
    <row r="38" spans="2:15" ht="15" customHeight="1">
      <c r="B38" s="4071"/>
      <c r="C38" s="4071"/>
      <c r="D38" s="4071"/>
      <c r="E38" s="4071"/>
      <c r="F38" s="4071"/>
      <c r="G38" s="4071"/>
      <c r="H38" s="4071"/>
      <c r="I38" s="4071"/>
      <c r="J38" s="4071"/>
      <c r="K38" s="4071"/>
      <c r="L38" s="3659"/>
      <c r="O38" s="2327">
        <f>ROW()</f>
        <v>38</v>
      </c>
    </row>
    <row r="39" spans="2:15" ht="15" customHeight="1">
      <c r="B39" s="4149" t="s">
        <v>2215</v>
      </c>
      <c r="C39" s="4149"/>
      <c r="D39" s="4149"/>
      <c r="E39" s="4149"/>
      <c r="F39" s="4149"/>
      <c r="G39" s="4149"/>
      <c r="H39" s="4149"/>
      <c r="I39" s="4149"/>
      <c r="J39" s="4149"/>
      <c r="K39" s="4149"/>
      <c r="L39" s="2325"/>
      <c r="O39" s="2327">
        <f>ROW()</f>
        <v>39</v>
      </c>
    </row>
    <row r="40" spans="2:15" ht="15" customHeight="1">
      <c r="B40" s="4149"/>
      <c r="C40" s="4149"/>
      <c r="D40" s="4149"/>
      <c r="E40" s="4149"/>
      <c r="F40" s="4149"/>
      <c r="G40" s="4149"/>
      <c r="H40" s="4149"/>
      <c r="I40" s="4149"/>
      <c r="J40" s="4149"/>
      <c r="K40" s="4149"/>
      <c r="L40" s="2325"/>
      <c r="O40" s="2327">
        <f>ROW()</f>
        <v>40</v>
      </c>
    </row>
    <row r="41" spans="2:15" ht="15" customHeight="1">
      <c r="B41" s="4149"/>
      <c r="C41" s="4149"/>
      <c r="D41" s="4149"/>
      <c r="E41" s="4149"/>
      <c r="F41" s="4149"/>
      <c r="G41" s="4149"/>
      <c r="H41" s="4149"/>
      <c r="I41" s="4149"/>
      <c r="J41" s="4149"/>
      <c r="K41" s="4149"/>
      <c r="L41" s="2325"/>
      <c r="O41" s="2327">
        <f>ROW()</f>
        <v>41</v>
      </c>
    </row>
    <row r="42" spans="2:15" ht="15" customHeight="1">
      <c r="B42" s="4149"/>
      <c r="C42" s="4149"/>
      <c r="D42" s="4149"/>
      <c r="E42" s="4149"/>
      <c r="F42" s="4149"/>
      <c r="G42" s="4149"/>
      <c r="H42" s="4149"/>
      <c r="I42" s="4149"/>
      <c r="J42" s="4149"/>
      <c r="K42" s="4149"/>
      <c r="L42" s="2325"/>
      <c r="O42" s="2327">
        <f>ROW()</f>
        <v>42</v>
      </c>
    </row>
    <row r="43" spans="2:15" ht="15" customHeight="1">
      <c r="B43" s="312" t="s">
        <v>6284</v>
      </c>
      <c r="O43" s="2327">
        <f>ROW()</f>
        <v>43</v>
      </c>
    </row>
    <row r="44" spans="2:15" ht="15" customHeight="1">
      <c r="O44" s="2327">
        <f>ROW()</f>
        <v>44</v>
      </c>
    </row>
    <row r="45" spans="2:15" ht="15" customHeight="1">
      <c r="B45" s="467" t="s">
        <v>586</v>
      </c>
      <c r="O45" s="2327">
        <f>ROW()</f>
        <v>45</v>
      </c>
    </row>
    <row r="46" spans="2:15" ht="15" customHeight="1">
      <c r="B46" s="323"/>
      <c r="O46" s="2327">
        <f>ROW()</f>
        <v>46</v>
      </c>
    </row>
    <row r="47" spans="2:15" ht="15" customHeight="1">
      <c r="B47" s="323" t="s">
        <v>1850</v>
      </c>
      <c r="O47" s="2327">
        <f>ROW()</f>
        <v>47</v>
      </c>
    </row>
    <row r="48" spans="2:15" ht="15" customHeight="1">
      <c r="B48" s="323"/>
      <c r="O48" s="2327">
        <f>ROW()</f>
        <v>48</v>
      </c>
    </row>
    <row r="49" spans="2:15" ht="15" customHeight="1">
      <c r="B49" s="323" t="s">
        <v>1875</v>
      </c>
      <c r="C49" s="180"/>
      <c r="D49" s="177"/>
      <c r="E49" s="177"/>
      <c r="F49" s="463"/>
      <c r="G49" s="180"/>
      <c r="H49" s="464">
        <v>20.62</v>
      </c>
      <c r="O49" s="2327">
        <f>ROW()</f>
        <v>49</v>
      </c>
    </row>
    <row r="50" spans="2:15" ht="15" customHeight="1">
      <c r="B50" s="319" t="s">
        <v>1876</v>
      </c>
      <c r="C50" s="180"/>
      <c r="D50" s="177"/>
      <c r="E50" s="177"/>
      <c r="F50" s="463"/>
      <c r="G50" s="180"/>
      <c r="H50"/>
      <c r="O50" s="2327">
        <f>ROW()</f>
        <v>50</v>
      </c>
    </row>
    <row r="51" spans="2:15" ht="15" customHeight="1">
      <c r="B51" s="323" t="s">
        <v>1877</v>
      </c>
      <c r="C51" s="180"/>
      <c r="D51" s="177"/>
      <c r="E51" s="177"/>
      <c r="F51" s="463"/>
      <c r="G51" s="180"/>
      <c r="H51" s="462">
        <v>26.09</v>
      </c>
      <c r="O51" s="2327">
        <f>ROW()</f>
        <v>51</v>
      </c>
    </row>
    <row r="52" spans="2:15" ht="15" customHeight="1">
      <c r="B52" s="319" t="s">
        <v>2273</v>
      </c>
      <c r="C52" s="179"/>
      <c r="D52" s="177"/>
      <c r="E52" s="177"/>
      <c r="F52" s="177"/>
      <c r="G52" s="180"/>
      <c r="H52" s="466"/>
      <c r="O52" s="2327">
        <f>ROW()</f>
        <v>52</v>
      </c>
    </row>
    <row r="53" spans="2:15" ht="15" customHeight="1">
      <c r="B53" s="323" t="s">
        <v>2274</v>
      </c>
      <c r="C53" s="177"/>
      <c r="D53" s="177"/>
      <c r="E53" s="177"/>
      <c r="F53" s="463"/>
      <c r="H53" s="465">
        <f>H51/H49</f>
        <v>1.2652764306498545</v>
      </c>
      <c r="O53" s="2327">
        <f>ROW()</f>
        <v>53</v>
      </c>
    </row>
    <row r="54" spans="2:15" ht="15" customHeight="1">
      <c r="B54" s="323" t="s">
        <v>2125</v>
      </c>
      <c r="C54" s="177"/>
      <c r="D54" s="177"/>
      <c r="E54" s="177"/>
      <c r="F54" s="463"/>
      <c r="H54" s="462">
        <f>(ROUNDDOWN(100*H53,-1))/100</f>
        <v>1.2</v>
      </c>
      <c r="O54" s="2327">
        <f>ROW()</f>
        <v>54</v>
      </c>
    </row>
    <row r="55" spans="2:15" ht="15" customHeight="1">
      <c r="B55" s="213" t="s">
        <v>4744</v>
      </c>
      <c r="C55" s="177"/>
      <c r="D55" s="177"/>
      <c r="E55" s="177"/>
      <c r="F55" s="463"/>
      <c r="G55" s="177"/>
      <c r="H55" s="1649">
        <f>H29*H54</f>
        <v>64.284221198156672</v>
      </c>
      <c r="O55" s="2327">
        <f>ROW()</f>
        <v>55</v>
      </c>
    </row>
    <row r="56" spans="2:15" ht="15" customHeight="1">
      <c r="B56" s="319" t="str">
        <f>CONCATENATE("Product of U.S. median value in Row ",O29, " and US-to-NYC adjustment factor in Row ",O54, ".")</f>
        <v>Product of U.S. median value in Row 29 and US-to-NYC adjustment factor in Row 54.</v>
      </c>
      <c r="C56" s="177"/>
      <c r="D56" s="177"/>
      <c r="E56" s="177"/>
      <c r="F56" s="463"/>
      <c r="G56" s="177"/>
      <c r="H56" s="2833"/>
      <c r="O56" s="2327">
        <f>ROW()</f>
        <v>56</v>
      </c>
    </row>
    <row r="57" spans="2:15" ht="15" customHeight="1">
      <c r="O57" s="2327">
        <f>ROW()</f>
        <v>57</v>
      </c>
    </row>
    <row r="58" spans="2:15" ht="15" customHeight="1">
      <c r="B58" s="1638" t="s">
        <v>2153</v>
      </c>
      <c r="C58" s="879"/>
      <c r="D58" s="879"/>
      <c r="E58" s="879"/>
      <c r="F58" s="879"/>
      <c r="G58" s="879"/>
      <c r="H58" s="879"/>
      <c r="I58" s="879"/>
      <c r="J58" s="879"/>
      <c r="K58" s="879"/>
      <c r="N58"/>
      <c r="O58" s="2327">
        <f>ROW()</f>
        <v>58</v>
      </c>
    </row>
    <row r="59" spans="2:15" ht="15" customHeight="1">
      <c r="E59" s="5210" t="s">
        <v>4547</v>
      </c>
      <c r="F59" s="5186" t="s">
        <v>1162</v>
      </c>
      <c r="G59" s="5187" t="s">
        <v>4549</v>
      </c>
      <c r="H59" s="5186" t="s">
        <v>1276</v>
      </c>
      <c r="I59" s="5186" t="s">
        <v>1277</v>
      </c>
      <c r="J59" s="5186" t="s">
        <v>4740</v>
      </c>
      <c r="K59" s="5186" t="s">
        <v>4741</v>
      </c>
      <c r="L59" s="5186" t="s">
        <v>4742</v>
      </c>
      <c r="O59" s="2327">
        <f>ROW()</f>
        <v>59</v>
      </c>
    </row>
    <row r="60" spans="2:15" ht="15" customHeight="1">
      <c r="B60" s="971"/>
      <c r="E60" s="5211"/>
      <c r="F60" s="3807"/>
      <c r="G60" s="3807"/>
      <c r="H60" s="3807"/>
      <c r="I60" s="3807"/>
      <c r="J60" s="3807"/>
      <c r="K60" s="3807"/>
      <c r="L60" s="3807"/>
      <c r="O60" s="2327">
        <f>ROW()</f>
        <v>60</v>
      </c>
    </row>
    <row r="61" spans="2:15" ht="15" customHeight="1">
      <c r="B61" s="971"/>
      <c r="E61" s="5211"/>
      <c r="F61" s="3807"/>
      <c r="G61" s="3807"/>
      <c r="H61" s="3807"/>
      <c r="I61" s="3807"/>
      <c r="J61" s="3807"/>
      <c r="K61" s="3807"/>
      <c r="L61" s="3807"/>
      <c r="O61" s="2327">
        <f>ROW()</f>
        <v>61</v>
      </c>
    </row>
    <row r="62" spans="2:15" ht="15" customHeight="1">
      <c r="B62" s="1631"/>
      <c r="E62" s="5211"/>
      <c r="F62" s="3807"/>
      <c r="G62" s="3807"/>
      <c r="H62" s="3807"/>
      <c r="I62" s="3807"/>
      <c r="J62" s="3807"/>
      <c r="K62" s="3807"/>
      <c r="L62" s="3807"/>
      <c r="O62" s="2327">
        <f>ROW()</f>
        <v>62</v>
      </c>
    </row>
    <row r="63" spans="2:15" ht="15" customHeight="1">
      <c r="B63" s="214" t="s">
        <v>1281</v>
      </c>
      <c r="E63" s="2543">
        <v>0.75</v>
      </c>
      <c r="F63" s="1632">
        <f>1/2</f>
        <v>0.5</v>
      </c>
      <c r="G63" s="1632">
        <f>3/4</f>
        <v>0.75</v>
      </c>
      <c r="I63" s="1632">
        <f>H.I.S.!$G$128-1</f>
        <v>0.14999999999999991</v>
      </c>
      <c r="J63" s="588">
        <f>F63*$H$55</f>
        <v>32.142110599078336</v>
      </c>
      <c r="K63" s="588">
        <f>G63*I63*J63</f>
        <v>3.6159874423963108</v>
      </c>
      <c r="L63" s="588">
        <f t="shared" ref="L63:L71" si="0">J63+K63</f>
        <v>35.758098041474646</v>
      </c>
      <c r="O63" s="2327">
        <f>ROW()</f>
        <v>63</v>
      </c>
    </row>
    <row r="64" spans="2:15" ht="15" customHeight="1">
      <c r="B64" s="214" t="s">
        <v>1282</v>
      </c>
      <c r="E64" s="2543">
        <f>0.5*E63</f>
        <v>0.375</v>
      </c>
      <c r="F64" s="1632">
        <f>0.5*F63</f>
        <v>0.25</v>
      </c>
      <c r="G64" s="1632">
        <f>2/3*G63</f>
        <v>0.5</v>
      </c>
      <c r="I64" s="1632">
        <f>H.I.S.!$H$128-1</f>
        <v>0.5</v>
      </c>
      <c r="J64" s="588">
        <f>F64*$H$55</f>
        <v>16.071055299539168</v>
      </c>
      <c r="K64" s="588">
        <f>G64*I64*J64</f>
        <v>4.017763824884792</v>
      </c>
      <c r="L64" s="588">
        <f t="shared" si="0"/>
        <v>20.08881912442396</v>
      </c>
      <c r="O64" s="2327">
        <f>ROW()</f>
        <v>64</v>
      </c>
    </row>
    <row r="65" spans="2:15" ht="15" customHeight="1">
      <c r="B65" s="214" t="s">
        <v>635</v>
      </c>
      <c r="E65" s="2543">
        <f>AVERAGE(E63:E64)</f>
        <v>0.5625</v>
      </c>
      <c r="F65" s="1632">
        <f>AVERAGE(F63:F64)</f>
        <v>0.375</v>
      </c>
      <c r="G65" s="1632">
        <f>AVERAGE(G63:G64)</f>
        <v>0.625</v>
      </c>
      <c r="I65" s="1632">
        <f>AVERAGE(I63:I64)</f>
        <v>0.32499999999999996</v>
      </c>
      <c r="J65" s="588">
        <f>F65*$H$55</f>
        <v>24.106582949308752</v>
      </c>
      <c r="K65" s="588">
        <f>G65*I65*J65</f>
        <v>4.8966496615783397</v>
      </c>
      <c r="L65" s="588">
        <f t="shared" si="0"/>
        <v>29.003232610887093</v>
      </c>
      <c r="O65" s="2327">
        <f>ROW()</f>
        <v>65</v>
      </c>
    </row>
    <row r="66" spans="2:15" ht="15" customHeight="1">
      <c r="B66" s="214" t="s">
        <v>1278</v>
      </c>
      <c r="E66" s="2544"/>
      <c r="G66" s="1632"/>
      <c r="H66" s="3557">
        <v>1.5</v>
      </c>
      <c r="I66" s="5212" t="s">
        <v>6279</v>
      </c>
      <c r="J66" s="588">
        <f>H66*J63</f>
        <v>48.213165898617504</v>
      </c>
      <c r="L66" s="588">
        <f t="shared" si="0"/>
        <v>48.213165898617504</v>
      </c>
      <c r="O66" s="2327">
        <f>ROW()</f>
        <v>66</v>
      </c>
    </row>
    <row r="67" spans="2:15" ht="15" customHeight="1">
      <c r="B67" s="214" t="s">
        <v>1279</v>
      </c>
      <c r="E67" s="2544"/>
      <c r="G67" s="5202" t="s">
        <v>4544</v>
      </c>
      <c r="H67" s="3558">
        <v>2.5</v>
      </c>
      <c r="I67" s="4758"/>
      <c r="J67" s="588">
        <f>H67*J63</f>
        <v>80.35527649769584</v>
      </c>
      <c r="L67" s="588">
        <f t="shared" si="0"/>
        <v>80.35527649769584</v>
      </c>
      <c r="O67" s="2327">
        <f>ROW()</f>
        <v>67</v>
      </c>
    </row>
    <row r="68" spans="2:15" ht="15" customHeight="1">
      <c r="B68" s="214" t="s">
        <v>1280</v>
      </c>
      <c r="E68" s="2544"/>
      <c r="G68" s="5203"/>
      <c r="H68" s="3558">
        <v>5</v>
      </c>
      <c r="I68" s="4759"/>
      <c r="J68" s="588">
        <f>H68*J63</f>
        <v>160.71055299539168</v>
      </c>
      <c r="L68" s="588">
        <f t="shared" si="0"/>
        <v>160.71055299539168</v>
      </c>
      <c r="O68" s="2327">
        <f>ROW()</f>
        <v>68</v>
      </c>
    </row>
    <row r="69" spans="2:15" ht="15" customHeight="1">
      <c r="B69" s="214" t="s">
        <v>967</v>
      </c>
      <c r="E69" s="2543">
        <v>0.5</v>
      </c>
      <c r="F69" s="1632">
        <f>1/2</f>
        <v>0.5</v>
      </c>
      <c r="G69" s="2540">
        <v>0.15</v>
      </c>
      <c r="H69" s="5192" t="str">
        <f>CONCATENATE("Bus passgr's time is thus valued at ",100*G69/E63, "% of a car commuter's.")</f>
        <v>Bus passgr's time is thus valued at 20% of a car commuter's.</v>
      </c>
      <c r="I69" s="1627">
        <v>20</v>
      </c>
      <c r="J69" s="588">
        <f>F69*$H$55</f>
        <v>32.142110599078336</v>
      </c>
      <c r="K69" s="588">
        <f>G69*I69*$H$55</f>
        <v>192.85266359447002</v>
      </c>
      <c r="L69" s="588">
        <f t="shared" si="0"/>
        <v>224.99477419354835</v>
      </c>
      <c r="O69" s="2327">
        <f>ROW()</f>
        <v>69</v>
      </c>
    </row>
    <row r="70" spans="2:15" ht="15" customHeight="1">
      <c r="B70" s="316" t="s">
        <v>4543</v>
      </c>
      <c r="E70" s="2543">
        <v>0.9</v>
      </c>
      <c r="F70" s="1632">
        <f>ROUND(2/3*1000000000000,-10)/1000000000000</f>
        <v>0.67</v>
      </c>
      <c r="G70" s="2541">
        <f>3/4</f>
        <v>0.75</v>
      </c>
      <c r="H70" s="5193"/>
      <c r="I70" s="1632">
        <f>Taxis!$L$77-1</f>
        <v>0.39999999999999991</v>
      </c>
      <c r="J70" s="588">
        <f>F70*$H$55</f>
        <v>43.070428202764973</v>
      </c>
      <c r="K70" s="588">
        <f>G70*I70*J70</f>
        <v>12.92112846082949</v>
      </c>
      <c r="L70" s="588">
        <f t="shared" si="0"/>
        <v>55.991556663594466</v>
      </c>
      <c r="O70" s="2327">
        <f>ROW()</f>
        <v>70</v>
      </c>
    </row>
    <row r="71" spans="2:15" ht="15" customHeight="1">
      <c r="B71" s="214" t="s">
        <v>2149</v>
      </c>
      <c r="E71" s="2545">
        <f>1/4</f>
        <v>0.25</v>
      </c>
      <c r="F71" s="1632">
        <v>0.2</v>
      </c>
      <c r="G71" s="5188" t="s">
        <v>4545</v>
      </c>
      <c r="H71" s="4361"/>
      <c r="I71" s="1632"/>
      <c r="J71" s="588">
        <f>F71*$H$55</f>
        <v>12.856844239631336</v>
      </c>
      <c r="K71" s="588">
        <v>0</v>
      </c>
      <c r="L71" s="588">
        <f t="shared" si="0"/>
        <v>12.856844239631336</v>
      </c>
      <c r="O71" s="2327">
        <f>ROW()</f>
        <v>71</v>
      </c>
    </row>
    <row r="72" spans="2:15" ht="15" customHeight="1">
      <c r="B72" s="214"/>
      <c r="G72" s="5189"/>
      <c r="H72" s="4362"/>
      <c r="J72" s="1632"/>
      <c r="K72" s="588"/>
      <c r="L72" s="588"/>
      <c r="M72" s="588"/>
      <c r="O72" s="2327">
        <f>ROW()</f>
        <v>72</v>
      </c>
    </row>
    <row r="73" spans="2:15" ht="15" customHeight="1">
      <c r="B73" s="319" t="s">
        <v>612</v>
      </c>
      <c r="J73" s="5201" t="s">
        <v>2150</v>
      </c>
      <c r="K73" s="4905"/>
      <c r="L73" s="1651"/>
      <c r="O73" s="2327">
        <f>ROW()</f>
        <v>73</v>
      </c>
    </row>
    <row r="74" spans="2:15" ht="15" customHeight="1">
      <c r="B74" s="4182" t="s">
        <v>6250</v>
      </c>
      <c r="C74" s="4181"/>
      <c r="D74" s="4181"/>
      <c r="E74" s="4181"/>
      <c r="F74" s="4181"/>
      <c r="G74" s="4181"/>
      <c r="H74" s="4181"/>
      <c r="I74" s="4181"/>
      <c r="J74" s="4159"/>
      <c r="K74" s="4160"/>
      <c r="L74" s="2420">
        <f>K69/I69</f>
        <v>9.6426331797235001</v>
      </c>
      <c r="O74" s="2327">
        <f>ROW()</f>
        <v>74</v>
      </c>
    </row>
    <row r="75" spans="2:15" ht="15" customHeight="1">
      <c r="B75" s="4181"/>
      <c r="C75" s="4181"/>
      <c r="D75" s="4181"/>
      <c r="E75" s="4181"/>
      <c r="F75" s="4181"/>
      <c r="G75" s="4181"/>
      <c r="H75" s="4181"/>
      <c r="I75" s="4181"/>
      <c r="J75" s="1644"/>
      <c r="O75" s="2327">
        <f>ROW()</f>
        <v>75</v>
      </c>
    </row>
    <row r="76" spans="2:15" ht="15" customHeight="1">
      <c r="B76" s="314" t="str">
        <f>CONCATENATE("Bizarre formula in Cell F",O70, " (multiplying by one trillion, rounding, and then dividing by one trillion) allows cell reference in 'Assumptions' worksheet, Row ",Assumptions!L747, " to be limited to two decimal places.")</f>
        <v>Bizarre formula in Cell F70 (multiplying by one trillion, rounding, and then dividing by one trillion) allows cell reference in 'Assumptions' worksheet, Row 747 to be limited to two decimal places.</v>
      </c>
      <c r="C76" s="2528"/>
      <c r="D76" s="2528"/>
      <c r="E76" s="2528"/>
      <c r="F76" s="2528"/>
      <c r="G76" s="2528"/>
      <c r="H76" s="2528"/>
      <c r="I76" s="2528"/>
      <c r="J76" s="1644"/>
      <c r="O76" s="2327">
        <f>ROW()</f>
        <v>76</v>
      </c>
    </row>
    <row r="77" spans="2:15" ht="15" customHeight="1">
      <c r="B77" s="1638"/>
      <c r="M77"/>
      <c r="O77" s="2327">
        <f>ROW()</f>
        <v>77</v>
      </c>
    </row>
    <row r="78" spans="2:15" ht="15" customHeight="1">
      <c r="B78" s="1638" t="s">
        <v>1063</v>
      </c>
      <c r="M78"/>
      <c r="O78" s="2327">
        <f>ROW()</f>
        <v>78</v>
      </c>
    </row>
    <row r="79" spans="2:15" ht="15" customHeight="1">
      <c r="B79" s="971"/>
      <c r="M79"/>
      <c r="O79" s="2327">
        <f>ROW()</f>
        <v>79</v>
      </c>
    </row>
    <row r="80" spans="2:15" ht="15" customHeight="1">
      <c r="C80" s="5186" t="s">
        <v>2888</v>
      </c>
      <c r="J80"/>
      <c r="L80" s="5190" t="s">
        <v>975</v>
      </c>
      <c r="M80" s="5181" t="s">
        <v>1527</v>
      </c>
      <c r="N80" s="5183" t="s">
        <v>3281</v>
      </c>
      <c r="O80" s="2327">
        <f>ROW()</f>
        <v>80</v>
      </c>
    </row>
    <row r="81" spans="2:15" ht="15" customHeight="1">
      <c r="B81" s="1631" t="s">
        <v>2887</v>
      </c>
      <c r="C81" s="3807"/>
      <c r="D81" s="4989" t="s">
        <v>2590</v>
      </c>
      <c r="E81" s="4977"/>
      <c r="G81" s="4989" t="s">
        <v>2591</v>
      </c>
      <c r="H81" s="4976"/>
      <c r="I81" s="4977"/>
      <c r="J81"/>
      <c r="L81" s="5191"/>
      <c r="M81" s="5182"/>
      <c r="N81" s="5184"/>
      <c r="O81" s="2327">
        <f>ROW()</f>
        <v>81</v>
      </c>
    </row>
    <row r="82" spans="2:15" ht="15" customHeight="1">
      <c r="B82" s="214" t="s">
        <v>2883</v>
      </c>
      <c r="C82" s="1132">
        <f ca="1">'Motor Vs'!W883</f>
        <v>630082.28776509035</v>
      </c>
      <c r="D82" s="5195">
        <f>D88-SUM(D85:D87)</f>
        <v>119753.80116959068</v>
      </c>
      <c r="E82" s="5196">
        <f>D82/$D$88</f>
        <v>0.94203671927831123</v>
      </c>
      <c r="G82" s="1626" t="s">
        <v>1164</v>
      </c>
      <c r="H82" s="1627">
        <f ca="1">C82</f>
        <v>630082.28776509035</v>
      </c>
      <c r="I82" s="1623">
        <f t="shared" ref="I82:I87" ca="1" si="1">H82/$H$88</f>
        <v>0.1973726163866022</v>
      </c>
      <c r="J82"/>
      <c r="K82" s="1634" t="s">
        <v>1164</v>
      </c>
      <c r="L82" s="2006">
        <f ca="1">I82</f>
        <v>0.1973726163866022</v>
      </c>
      <c r="M82" s="2005">
        <f t="shared" ref="M82:M90" si="2">L63</f>
        <v>35.758098041474646</v>
      </c>
      <c r="N82" s="5185"/>
      <c r="O82" s="2327">
        <f>ROW()</f>
        <v>82</v>
      </c>
    </row>
    <row r="83" spans="2:15" ht="15" customHeight="1">
      <c r="B83" s="214" t="s">
        <v>2884</v>
      </c>
      <c r="C83" s="1132">
        <f ca="1">'Motor Vs'!AF883</f>
        <v>465139.39438634383</v>
      </c>
      <c r="D83" s="5195"/>
      <c r="E83" s="5196"/>
      <c r="G83" s="1626" t="s">
        <v>1165</v>
      </c>
      <c r="H83" s="1627">
        <f ca="1">C83</f>
        <v>465139.39438634383</v>
      </c>
      <c r="I83" s="1623">
        <f t="shared" ca="1" si="1"/>
        <v>0.14570442787742621</v>
      </c>
      <c r="J83"/>
      <c r="K83" s="1634" t="s">
        <v>1165</v>
      </c>
      <c r="L83" s="2006">
        <f ca="1">I83</f>
        <v>0.14570442787742621</v>
      </c>
      <c r="M83" s="2005">
        <f t="shared" si="2"/>
        <v>20.08881912442396</v>
      </c>
      <c r="N83" s="5207" t="s">
        <v>3282</v>
      </c>
      <c r="O83" s="2327">
        <f>ROW()</f>
        <v>83</v>
      </c>
    </row>
    <row r="84" spans="2:15" ht="15" customHeight="1">
      <c r="B84" s="214" t="s">
        <v>2886</v>
      </c>
      <c r="C84" s="1132">
        <f ca="1">'Motor Vs'!AO883</f>
        <v>278796.56251718837</v>
      </c>
      <c r="D84" s="1622"/>
      <c r="E84" s="974"/>
      <c r="G84" s="1626" t="s">
        <v>1166</v>
      </c>
      <c r="H84" s="1627">
        <f ca="1">C84*E82</f>
        <v>262636.59909976274</v>
      </c>
      <c r="I84" s="1623">
        <f t="shared" ca="1" si="1"/>
        <v>8.2270639454200101E-2</v>
      </c>
      <c r="J84"/>
      <c r="K84" s="1634" t="s">
        <v>1064</v>
      </c>
      <c r="L84" s="2006">
        <f ca="1">I84</f>
        <v>8.2270639454200101E-2</v>
      </c>
      <c r="M84" s="2005">
        <f t="shared" si="2"/>
        <v>29.003232610887093</v>
      </c>
      <c r="N84" s="5208"/>
      <c r="O84" s="2327">
        <f>ROW()</f>
        <v>84</v>
      </c>
    </row>
    <row r="85" spans="2:15" ht="15" customHeight="1">
      <c r="B85" s="214" t="s">
        <v>2885</v>
      </c>
      <c r="C85" s="1132">
        <f ca="1">'Motor Vs'!AX883</f>
        <v>1478865.0532994834</v>
      </c>
      <c r="D85" s="1622">
        <v>0</v>
      </c>
      <c r="E85" s="1623">
        <f>D85/$D$88</f>
        <v>0</v>
      </c>
      <c r="G85" s="1626" t="s">
        <v>2067</v>
      </c>
      <c r="H85" s="1627">
        <f ca="1">C85</f>
        <v>1478865.0532994834</v>
      </c>
      <c r="I85" s="1623">
        <f t="shared" ca="1" si="1"/>
        <v>0.46325292826078224</v>
      </c>
      <c r="J85"/>
      <c r="K85" s="1621" t="s">
        <v>1167</v>
      </c>
      <c r="L85" s="2006">
        <f ca="1">J90*$I$86</f>
        <v>7.5559335079347076E-2</v>
      </c>
      <c r="M85" s="2005">
        <f t="shared" si="2"/>
        <v>48.213165898617504</v>
      </c>
      <c r="N85" s="5208"/>
      <c r="O85" s="2327">
        <f>ROW()</f>
        <v>85</v>
      </c>
    </row>
    <row r="86" spans="2:15" ht="15" customHeight="1">
      <c r="B86" s="214" t="s">
        <v>1509</v>
      </c>
      <c r="C86" s="1132">
        <f ca="1">'Motor Vs'!BG883</f>
        <v>268865.21861500171</v>
      </c>
      <c r="D86" s="1622">
        <f>'Motor Vs'!$M$30-'Motor Vs'!$M$76</f>
        <v>6800</v>
      </c>
      <c r="E86" s="1623">
        <f>D86/$D$88</f>
        <v>5.349182763744427E-2</v>
      </c>
      <c r="G86" s="1626" t="s">
        <v>2212</v>
      </c>
      <c r="H86" s="1627">
        <f ca="1">C86+E86*$C$84</f>
        <v>283778.5562830831</v>
      </c>
      <c r="I86" s="1633">
        <f t="shared" ca="1" si="1"/>
        <v>8.8893335387467146E-2</v>
      </c>
      <c r="J86"/>
      <c r="K86" s="1621" t="s">
        <v>1279</v>
      </c>
      <c r="L86" s="2006">
        <f ca="1">G90*$I$86</f>
        <v>8.8893335387467149E-3</v>
      </c>
      <c r="M86" s="2005">
        <f t="shared" si="2"/>
        <v>80.35527649769584</v>
      </c>
      <c r="N86" s="5208"/>
      <c r="O86" s="2327">
        <f>ROW()</f>
        <v>86</v>
      </c>
    </row>
    <row r="87" spans="2:15" ht="15" customHeight="1">
      <c r="B87" s="214" t="s">
        <v>810</v>
      </c>
      <c r="C87" s="1132">
        <f ca="1">'Motor Vs'!BP883</f>
        <v>70600.550376216939</v>
      </c>
      <c r="D87" s="1622">
        <f>'Motor Vs'!$N$30-'Motor Vs'!$N$76</f>
        <v>568.42105263157828</v>
      </c>
      <c r="E87" s="1623">
        <f>D87/$D$88</f>
        <v>4.4714530842445621E-3</v>
      </c>
      <c r="G87" s="1626" t="s">
        <v>967</v>
      </c>
      <c r="H87" s="1627">
        <f ca="1">C87+E87*$C$84</f>
        <v>71847.176125561207</v>
      </c>
      <c r="I87" s="1623">
        <f t="shared" ca="1" si="1"/>
        <v>2.2506052633521931E-2</v>
      </c>
      <c r="J87"/>
      <c r="K87" s="1634" t="s">
        <v>2211</v>
      </c>
      <c r="L87" s="2006">
        <f ca="1">E90*$I$86</f>
        <v>4.4446667693733575E-3</v>
      </c>
      <c r="M87" s="2005">
        <f t="shared" si="2"/>
        <v>160.71055299539168</v>
      </c>
      <c r="N87" s="5208"/>
      <c r="O87" s="2327">
        <f>ROW()</f>
        <v>87</v>
      </c>
    </row>
    <row r="88" spans="2:15" ht="15" customHeight="1">
      <c r="B88" s="214" t="s">
        <v>228</v>
      </c>
      <c r="C88" s="1132">
        <f ca="1">SUM(C82:C87)</f>
        <v>3192349.0669593243</v>
      </c>
      <c r="D88" s="1624">
        <f>'Motor Vs'!$K$76</f>
        <v>127122.22222222225</v>
      </c>
      <c r="E88" s="1625"/>
      <c r="G88" s="1628" t="s">
        <v>228</v>
      </c>
      <c r="H88" s="1629">
        <f ca="1">SUM(H82:H87)</f>
        <v>3192349.0669593252</v>
      </c>
      <c r="I88" s="1630">
        <f ca="1">SUM(I82:I87)</f>
        <v>0.99999999999999978</v>
      </c>
      <c r="J88"/>
      <c r="K88" s="1634" t="s">
        <v>967</v>
      </c>
      <c r="L88" s="2006">
        <f ca="1">I87</f>
        <v>2.2506052633521931E-2</v>
      </c>
      <c r="M88" s="2005">
        <f t="shared" si="2"/>
        <v>224.99477419354835</v>
      </c>
      <c r="N88" s="5208"/>
      <c r="O88" s="2327">
        <f>ROW()</f>
        <v>88</v>
      </c>
    </row>
    <row r="89" spans="2:15" ht="15" customHeight="1">
      <c r="C89" s="971"/>
      <c r="D89" s="971"/>
      <c r="E89" s="971"/>
      <c r="F89" s="971"/>
      <c r="G89" s="971"/>
      <c r="H89" s="971"/>
      <c r="I89" s="971"/>
      <c r="J89" s="971"/>
      <c r="K89" s="1634" t="s">
        <v>4255</v>
      </c>
      <c r="L89" s="2006">
        <f ca="1">I85*G91</f>
        <v>0.30111440336950845</v>
      </c>
      <c r="M89" s="2005">
        <f t="shared" si="2"/>
        <v>55.991556663594466</v>
      </c>
      <c r="N89" s="5208"/>
      <c r="O89" s="2327">
        <f>ROW()</f>
        <v>89</v>
      </c>
    </row>
    <row r="90" spans="2:15" ht="15" customHeight="1">
      <c r="B90" s="1639" t="s">
        <v>1163</v>
      </c>
      <c r="C90" s="1640"/>
      <c r="D90" s="1641" t="s">
        <v>166</v>
      </c>
      <c r="E90" s="1642">
        <v>0.05</v>
      </c>
      <c r="F90" s="1641" t="s">
        <v>167</v>
      </c>
      <c r="G90" s="1642">
        <v>0.1</v>
      </c>
      <c r="H90" s="1640"/>
      <c r="I90" s="1641" t="s">
        <v>168</v>
      </c>
      <c r="J90" s="1643">
        <f>1-E90-G90</f>
        <v>0.85</v>
      </c>
      <c r="K90" s="1634" t="s">
        <v>2000</v>
      </c>
      <c r="L90" s="2006">
        <f ca="1">I85*E91</f>
        <v>0.16213852489127378</v>
      </c>
      <c r="M90" s="2005">
        <f t="shared" si="2"/>
        <v>12.856844239631336</v>
      </c>
      <c r="N90" s="5209"/>
      <c r="O90" s="2327">
        <f>ROW()</f>
        <v>90</v>
      </c>
    </row>
    <row r="91" spans="2:15" ht="15" customHeight="1">
      <c r="B91" s="1639" t="s">
        <v>2001</v>
      </c>
      <c r="C91" s="1640"/>
      <c r="D91" s="1641" t="s">
        <v>2267</v>
      </c>
      <c r="E91" s="1642">
        <f>Taxis!$L$88</f>
        <v>0.35</v>
      </c>
      <c r="F91" s="1641" t="s">
        <v>2268</v>
      </c>
      <c r="G91" s="1642">
        <f>1-E91</f>
        <v>0.65</v>
      </c>
      <c r="H91" s="1650" t="s">
        <v>2269</v>
      </c>
      <c r="I91" s="1641"/>
      <c r="J91" s="1643"/>
      <c r="K91" s="1635" t="s">
        <v>228</v>
      </c>
      <c r="L91" s="2007">
        <f ca="1">SUM(L82:L90)</f>
        <v>0.99999999999999989</v>
      </c>
      <c r="M91" s="1656">
        <f ca="1">SUMPRODUCT(L82:L90,M82:M90)</f>
        <v>41.450576392516979</v>
      </c>
      <c r="N91" s="2004">
        <f ca="1">SUMPRODUCT(M82:M84,L82:L84)/SUM(L82:L84)</f>
        <v>29.0840040545358</v>
      </c>
      <c r="O91" s="2327">
        <f>ROW()</f>
        <v>91</v>
      </c>
    </row>
    <row r="92" spans="2:15" ht="15" customHeight="1">
      <c r="C92" s="971"/>
      <c r="D92" s="971"/>
      <c r="E92" s="971"/>
      <c r="F92" s="971"/>
      <c r="G92" s="971"/>
      <c r="H92" s="971"/>
      <c r="I92" s="971"/>
      <c r="J92" s="971"/>
      <c r="K92" s="1635"/>
      <c r="L92" s="1636"/>
      <c r="O92" s="2327">
        <f>ROW()</f>
        <v>92</v>
      </c>
    </row>
    <row r="93" spans="2:15" ht="15" customHeight="1">
      <c r="B93" s="1644" t="str">
        <f>CONCATENATE("Vehicle Miles Traveled are final (not baseline) figures and are from 'Motor Vs' worksheet, Row ",'Motor Vs'!O883, ".")</f>
        <v>Vehicle Miles Traveled are final (not baseline) figures and are from 'Motor Vs' worksheet, Row 883.</v>
      </c>
      <c r="C93" s="971"/>
      <c r="D93" s="971"/>
      <c r="E93" s="971"/>
      <c r="F93" s="971"/>
      <c r="G93" s="971"/>
      <c r="H93" s="971"/>
      <c r="I93" s="971"/>
      <c r="J93" s="971"/>
      <c r="K93" s="1635"/>
      <c r="L93" s="1636"/>
      <c r="M93"/>
      <c r="O93" s="2327">
        <f>ROW()</f>
        <v>93</v>
      </c>
    </row>
    <row r="94" spans="2:15" ht="15" customHeight="1">
      <c r="B94" s="1644" t="s">
        <v>1524</v>
      </c>
      <c r="C94" s="971"/>
      <c r="D94" s="971"/>
      <c r="E94" s="971"/>
      <c r="F94" s="971"/>
      <c r="G94" s="971"/>
      <c r="H94" s="971"/>
      <c r="I94" s="971"/>
      <c r="J94" s="971"/>
      <c r="K94" s="1635"/>
      <c r="L94" s="1636"/>
      <c r="M94"/>
      <c r="O94" s="2327">
        <f>ROW()</f>
        <v>94</v>
      </c>
    </row>
    <row r="95" spans="2:15" ht="15" customHeight="1">
      <c r="B95" s="1644"/>
      <c r="C95" s="971"/>
      <c r="D95" s="971"/>
      <c r="E95" s="971"/>
      <c r="F95" s="971"/>
      <c r="G95" s="971"/>
      <c r="H95" s="971"/>
      <c r="I95" s="971"/>
      <c r="J95" s="971"/>
      <c r="K95" s="1635"/>
      <c r="L95" s="1636"/>
      <c r="M95"/>
      <c r="O95" s="2327">
        <f>ROW()</f>
        <v>95</v>
      </c>
    </row>
    <row r="96" spans="2:15" ht="15" customHeight="1">
      <c r="B96" s="1638" t="s">
        <v>2154</v>
      </c>
      <c r="C96" s="879"/>
      <c r="D96" s="879"/>
      <c r="E96" s="879"/>
      <c r="F96" s="879"/>
      <c r="G96" s="879"/>
      <c r="H96" s="879"/>
      <c r="I96" s="879"/>
      <c r="J96" s="879"/>
      <c r="K96" s="879"/>
      <c r="N96"/>
      <c r="O96" s="2327">
        <f>ROW()</f>
        <v>96</v>
      </c>
    </row>
    <row r="97" spans="2:17" ht="15" customHeight="1">
      <c r="F97" s="5186" t="s">
        <v>1162</v>
      </c>
      <c r="G97" s="5186" t="s">
        <v>1161</v>
      </c>
      <c r="H97" s="5186" t="s">
        <v>1276</v>
      </c>
      <c r="I97" s="5186" t="s">
        <v>1277</v>
      </c>
      <c r="J97" s="5186" t="s">
        <v>4740</v>
      </c>
      <c r="K97" s="5186" t="s">
        <v>4741</v>
      </c>
      <c r="L97" s="5186" t="s">
        <v>4742</v>
      </c>
      <c r="O97" s="2327">
        <f>ROW()</f>
        <v>97</v>
      </c>
    </row>
    <row r="98" spans="2:17" ht="15" customHeight="1">
      <c r="B98" s="971"/>
      <c r="F98" s="3807"/>
      <c r="G98" s="3807"/>
      <c r="H98" s="3807"/>
      <c r="I98" s="3807"/>
      <c r="J98" s="3807"/>
      <c r="K98" s="3807"/>
      <c r="L98" s="3807"/>
      <c r="O98" s="2327">
        <f>ROW()</f>
        <v>98</v>
      </c>
    </row>
    <row r="99" spans="2:17" ht="15" customHeight="1">
      <c r="B99" s="971"/>
      <c r="C99" s="2538"/>
      <c r="D99" s="5199" t="s">
        <v>4546</v>
      </c>
      <c r="F99" s="3807"/>
      <c r="G99" s="3807"/>
      <c r="H99" s="3807"/>
      <c r="I99" s="3807"/>
      <c r="J99" s="3807"/>
      <c r="K99" s="3807"/>
      <c r="L99" s="3807"/>
      <c r="O99" s="2327">
        <f>ROW()</f>
        <v>99</v>
      </c>
    </row>
    <row r="100" spans="2:17" ht="15" customHeight="1">
      <c r="B100" s="1631"/>
      <c r="C100" s="2539" t="s">
        <v>1284</v>
      </c>
      <c r="D100" s="5200"/>
      <c r="F100" s="3807"/>
      <c r="G100" s="3807"/>
      <c r="H100" s="3807"/>
      <c r="I100" s="3807"/>
      <c r="J100" s="3807"/>
      <c r="K100" s="3807"/>
      <c r="L100" s="3807"/>
      <c r="O100" s="2327">
        <f>ROW()</f>
        <v>100</v>
      </c>
    </row>
    <row r="101" spans="2:17" ht="15" customHeight="1">
      <c r="B101" s="214" t="s">
        <v>1281</v>
      </c>
      <c r="C101" s="5197" t="s">
        <v>1525</v>
      </c>
      <c r="D101" s="5197" t="s">
        <v>1525</v>
      </c>
      <c r="F101" s="1632">
        <f>$C$105*F63</f>
        <v>0.33333333333333331</v>
      </c>
      <c r="G101" s="1632">
        <f>G63</f>
        <v>0.75</v>
      </c>
      <c r="I101" s="1632">
        <f>H.I.S.!$G$128-1</f>
        <v>0.14999999999999991</v>
      </c>
      <c r="J101" s="588">
        <f>F101*$H$55</f>
        <v>21.428073732718889</v>
      </c>
      <c r="K101" s="588">
        <f>G101*I101*J101</f>
        <v>2.4106582949308737</v>
      </c>
      <c r="L101" s="588">
        <f t="shared" ref="L101:L109" si="3">J101+K101</f>
        <v>23.838732027649762</v>
      </c>
      <c r="O101" s="2327">
        <f>ROW()</f>
        <v>101</v>
      </c>
      <c r="P101" s="5194" t="s">
        <v>1528</v>
      </c>
      <c r="Q101" s="3679"/>
    </row>
    <row r="102" spans="2:17" ht="15" customHeight="1">
      <c r="B102" s="214" t="s">
        <v>1282</v>
      </c>
      <c r="C102" s="5198"/>
      <c r="D102" s="5198"/>
      <c r="F102" s="1632">
        <f>0.5*F101</f>
        <v>0.16666666666666666</v>
      </c>
      <c r="G102" s="1632">
        <f>G64</f>
        <v>0.5</v>
      </c>
      <c r="I102" s="1632">
        <f>H.I.S.!$H$128-1</f>
        <v>0.5</v>
      </c>
      <c r="J102" s="588">
        <f>F102*$H$55</f>
        <v>10.714036866359445</v>
      </c>
      <c r="K102" s="588">
        <f>G102*I102*J102</f>
        <v>2.6785092165898612</v>
      </c>
      <c r="L102" s="588">
        <f t="shared" si="3"/>
        <v>13.392546082949305</v>
      </c>
      <c r="O102" s="2327">
        <f>ROW()</f>
        <v>102</v>
      </c>
      <c r="P102" s="3680"/>
      <c r="Q102" s="3682"/>
    </row>
    <row r="103" spans="2:17" ht="15" customHeight="1">
      <c r="B103" s="214" t="s">
        <v>635</v>
      </c>
      <c r="C103" s="5198"/>
      <c r="D103" s="5198"/>
      <c r="F103" s="1632">
        <f>AVERAGE(F101:F102)</f>
        <v>0.25</v>
      </c>
      <c r="G103" s="1632">
        <f>AVERAGE(G101:G102)</f>
        <v>0.625</v>
      </c>
      <c r="I103" s="1632">
        <f>AVERAGE(I101:I102)</f>
        <v>0.32499999999999996</v>
      </c>
      <c r="J103" s="588">
        <f>F103*$H$55</f>
        <v>16.071055299539168</v>
      </c>
      <c r="K103" s="588">
        <f>G103*I103*J103</f>
        <v>3.2644331077188928</v>
      </c>
      <c r="L103" s="588">
        <f t="shared" si="3"/>
        <v>19.335488407258062</v>
      </c>
      <c r="O103" s="2327">
        <f>ROW()</f>
        <v>103</v>
      </c>
      <c r="P103" s="3680"/>
      <c r="Q103" s="3682"/>
    </row>
    <row r="104" spans="2:17" ht="15" customHeight="1">
      <c r="B104" s="214" t="s">
        <v>1278</v>
      </c>
      <c r="C104" s="5198"/>
      <c r="D104" s="5198"/>
      <c r="G104" s="1632"/>
      <c r="H104" s="2537">
        <f>H66*$D$105/$C$105</f>
        <v>2.0250000000000004</v>
      </c>
      <c r="I104" s="1632"/>
      <c r="J104" s="588">
        <f>H104*J101</f>
        <v>43.391849308755759</v>
      </c>
      <c r="L104" s="588">
        <f t="shared" si="3"/>
        <v>43.391849308755759</v>
      </c>
      <c r="O104" s="2327">
        <f>ROW()</f>
        <v>104</v>
      </c>
      <c r="P104" s="3680"/>
      <c r="Q104" s="3682"/>
    </row>
    <row r="105" spans="2:17" ht="15" customHeight="1">
      <c r="B105" s="214" t="s">
        <v>1279</v>
      </c>
      <c r="C105" s="1645">
        <f>2/3</f>
        <v>0.66666666666666663</v>
      </c>
      <c r="D105" s="1645">
        <v>0.9</v>
      </c>
      <c r="G105" s="5202" t="s">
        <v>4544</v>
      </c>
      <c r="H105" s="2542">
        <f>H67*$D$105/$C$105</f>
        <v>3.375</v>
      </c>
      <c r="I105" s="1632"/>
      <c r="J105" s="588">
        <f>H105*J101</f>
        <v>72.319748847926249</v>
      </c>
      <c r="L105" s="588">
        <f t="shared" si="3"/>
        <v>72.319748847926249</v>
      </c>
      <c r="O105" s="2327">
        <f>ROW()</f>
        <v>105</v>
      </c>
      <c r="P105" s="3680"/>
      <c r="Q105" s="3682"/>
    </row>
    <row r="106" spans="2:17" ht="15" customHeight="1">
      <c r="B106" s="214" t="s">
        <v>1280</v>
      </c>
      <c r="C106" s="1646" t="s">
        <v>1526</v>
      </c>
      <c r="D106" s="1646" t="s">
        <v>1526</v>
      </c>
      <c r="G106" s="5203"/>
      <c r="H106" s="2542">
        <f>H68*$D$105/$C$105</f>
        <v>6.75</v>
      </c>
      <c r="I106" s="1632"/>
      <c r="J106" s="588">
        <f>H106*J101</f>
        <v>144.6394976958525</v>
      </c>
      <c r="L106" s="588">
        <f t="shared" si="3"/>
        <v>144.6394976958525</v>
      </c>
      <c r="O106" s="2327">
        <f>ROW()</f>
        <v>106</v>
      </c>
      <c r="P106" s="3683"/>
      <c r="Q106" s="3685"/>
    </row>
    <row r="107" spans="2:17" ht="15" customHeight="1">
      <c r="B107" s="214" t="s">
        <v>967</v>
      </c>
      <c r="F107" s="1632">
        <f>F69</f>
        <v>0.5</v>
      </c>
      <c r="G107" s="2540">
        <f>G69</f>
        <v>0.15</v>
      </c>
      <c r="H107" s="5204" t="str">
        <f>CONCATENATE("Values above prorate Rows ",O66, "-",O68, " values by ratio of Col. D to Col. C factors in Row ",O105, ".")</f>
        <v>Values above prorate Rows 66-68 values by ratio of Col. D to Col. C factors in Row 105.</v>
      </c>
      <c r="I107" s="1627">
        <v>20</v>
      </c>
      <c r="J107" s="588">
        <f>F107*$H$55</f>
        <v>32.142110599078336</v>
      </c>
      <c r="K107" s="588">
        <f>C105*G107*I107*$H$55</f>
        <v>128.56844239631332</v>
      </c>
      <c r="L107" s="588">
        <f t="shared" si="3"/>
        <v>160.71055299539165</v>
      </c>
      <c r="O107" s="2327">
        <f>ROW()</f>
        <v>107</v>
      </c>
    </row>
    <row r="108" spans="2:17" ht="15" customHeight="1">
      <c r="B108" s="214" t="s">
        <v>2148</v>
      </c>
      <c r="F108" s="1632">
        <f>F70</f>
        <v>0.67</v>
      </c>
      <c r="G108" s="2541">
        <f>3/4</f>
        <v>0.75</v>
      </c>
      <c r="H108" s="5205"/>
      <c r="I108" s="1632">
        <f>Taxis!$L$77-1</f>
        <v>0.39999999999999991</v>
      </c>
      <c r="J108" s="588">
        <f>F108*$H$55</f>
        <v>43.070428202764973</v>
      </c>
      <c r="K108" s="588">
        <f>G108*I108*J108</f>
        <v>12.92112846082949</v>
      </c>
      <c r="L108" s="588">
        <f t="shared" si="3"/>
        <v>55.991556663594466</v>
      </c>
      <c r="O108" s="2327">
        <f>ROW()</f>
        <v>108</v>
      </c>
    </row>
    <row r="109" spans="2:17" ht="15" customHeight="1">
      <c r="B109" s="214" t="s">
        <v>2149</v>
      </c>
      <c r="F109" s="1632">
        <f>F71</f>
        <v>0.2</v>
      </c>
      <c r="G109" s="5188" t="s">
        <v>4545</v>
      </c>
      <c r="H109" s="5205"/>
      <c r="I109" s="1632"/>
      <c r="J109" s="588">
        <f>F109*$H$55</f>
        <v>12.856844239631336</v>
      </c>
      <c r="K109" s="588">
        <v>0</v>
      </c>
      <c r="L109" s="588">
        <f t="shared" si="3"/>
        <v>12.856844239631336</v>
      </c>
      <c r="M109" s="588"/>
      <c r="O109" s="2327">
        <f>ROW()</f>
        <v>109</v>
      </c>
    </row>
    <row r="110" spans="2:17" ht="15" customHeight="1">
      <c r="G110" s="5189"/>
      <c r="H110" s="5205"/>
      <c r="O110" s="2327">
        <f>ROW()</f>
        <v>110</v>
      </c>
    </row>
    <row r="111" spans="2:17" ht="15" customHeight="1">
      <c r="B111" s="1644" t="s">
        <v>1529</v>
      </c>
      <c r="C111"/>
      <c r="D111"/>
      <c r="E111"/>
      <c r="F111"/>
      <c r="G111"/>
      <c r="H111" s="5205"/>
      <c r="I111"/>
      <c r="J111" s="5201" t="s">
        <v>2150</v>
      </c>
      <c r="K111" s="4905"/>
      <c r="L111" s="1651"/>
      <c r="O111" s="2327">
        <f>ROW()</f>
        <v>111</v>
      </c>
    </row>
    <row r="112" spans="2:17" ht="15" customHeight="1">
      <c r="B112"/>
      <c r="C112"/>
      <c r="D112"/>
      <c r="E112"/>
      <c r="F112"/>
      <c r="G112"/>
      <c r="H112" s="5206"/>
      <c r="I112"/>
      <c r="J112" s="4159"/>
      <c r="K112" s="4160"/>
      <c r="L112" s="1652">
        <f>K107/I107</f>
        <v>6.4284221198156661</v>
      </c>
      <c r="O112" s="2327">
        <f>ROW()</f>
        <v>112</v>
      </c>
    </row>
    <row r="113" spans="2:15" ht="15" customHeight="1">
      <c r="B113"/>
      <c r="C113"/>
      <c r="D113"/>
      <c r="E113"/>
      <c r="F113"/>
      <c r="G113"/>
      <c r="H113"/>
      <c r="I113"/>
      <c r="J113" s="1637"/>
      <c r="K113" s="1637"/>
      <c r="L113" s="1653"/>
      <c r="O113" s="2327">
        <f>ROW()</f>
        <v>113</v>
      </c>
    </row>
    <row r="114" spans="2:15" ht="15" customHeight="1">
      <c r="B114" s="1638" t="s">
        <v>1065</v>
      </c>
      <c r="M114"/>
      <c r="O114" s="2327">
        <f>ROW()</f>
        <v>114</v>
      </c>
    </row>
    <row r="115" spans="2:15" ht="15" customHeight="1">
      <c r="B115" s="971"/>
      <c r="M115"/>
      <c r="O115" s="2327">
        <f>ROW()</f>
        <v>115</v>
      </c>
    </row>
    <row r="116" spans="2:15" ht="15" customHeight="1">
      <c r="C116" s="5186" t="s">
        <v>2888</v>
      </c>
      <c r="J116"/>
      <c r="L116" s="5190" t="s">
        <v>2504</v>
      </c>
      <c r="M116" s="5181" t="s">
        <v>1527</v>
      </c>
      <c r="O116" s="2327">
        <f>ROW()</f>
        <v>116</v>
      </c>
    </row>
    <row r="117" spans="2:15" ht="15" customHeight="1">
      <c r="B117" s="1631" t="s">
        <v>2887</v>
      </c>
      <c r="C117" s="3807"/>
      <c r="D117" s="4989" t="s">
        <v>2590</v>
      </c>
      <c r="E117" s="4977"/>
      <c r="G117" s="4989" t="s">
        <v>2591</v>
      </c>
      <c r="H117" s="4976"/>
      <c r="I117" s="4977"/>
      <c r="J117"/>
      <c r="L117" s="5191"/>
      <c r="M117" s="5182"/>
      <c r="O117" s="2327">
        <f>ROW()</f>
        <v>117</v>
      </c>
    </row>
    <row r="118" spans="2:15" ht="15" customHeight="1">
      <c r="B118" s="214" t="s">
        <v>2883</v>
      </c>
      <c r="C118" s="1125">
        <f>'Motor Vs'!W167</f>
        <v>26027168.64380407</v>
      </c>
      <c r="D118" s="5195">
        <f>D124-SUM(D121:D123)</f>
        <v>77490.643274853821</v>
      </c>
      <c r="E118" s="5196">
        <f>D118/$D$88</f>
        <v>0.60957590199605305</v>
      </c>
      <c r="G118" s="1626" t="s">
        <v>1164</v>
      </c>
      <c r="H118" s="1654">
        <f>C118</f>
        <v>26027168.64380407</v>
      </c>
      <c r="I118" s="1623">
        <f t="shared" ref="I118:I123" si="4">H118/$H$124</f>
        <v>0.38151773243734199</v>
      </c>
      <c r="J118"/>
      <c r="K118" s="1634" t="s">
        <v>1164</v>
      </c>
      <c r="L118" s="2006">
        <f>I118</f>
        <v>0.38151773243734199</v>
      </c>
      <c r="M118" s="2005">
        <f t="shared" ref="M118:M126" si="5">L101</f>
        <v>23.838732027649762</v>
      </c>
      <c r="O118" s="2327">
        <f>ROW()</f>
        <v>118</v>
      </c>
    </row>
    <row r="119" spans="2:15" ht="15" customHeight="1">
      <c r="B119" s="214" t="s">
        <v>2884</v>
      </c>
      <c r="C119" s="1125">
        <f>'Motor Vs'!AF167</f>
        <v>18305936.123817082</v>
      </c>
      <c r="D119" s="5195"/>
      <c r="E119" s="5196"/>
      <c r="G119" s="1626" t="s">
        <v>1165</v>
      </c>
      <c r="H119" s="1654">
        <f>C119</f>
        <v>18305936.123817082</v>
      </c>
      <c r="I119" s="1623">
        <f t="shared" si="4"/>
        <v>0.26833649620832323</v>
      </c>
      <c r="J119"/>
      <c r="K119" s="1634" t="s">
        <v>1165</v>
      </c>
      <c r="L119" s="2006">
        <f>I119</f>
        <v>0.26833649620832323</v>
      </c>
      <c r="M119" s="2005">
        <f t="shared" si="5"/>
        <v>13.392546082949305</v>
      </c>
      <c r="O119" s="2327">
        <f>ROW()</f>
        <v>119</v>
      </c>
    </row>
    <row r="120" spans="2:15" ht="15" customHeight="1">
      <c r="B120" s="214" t="s">
        <v>2886</v>
      </c>
      <c r="C120" s="1125">
        <f>'Motor Vs'!AO167</f>
        <v>19031888.410342421</v>
      </c>
      <c r="D120" s="1622"/>
      <c r="E120" s="974"/>
      <c r="G120" s="1626" t="s">
        <v>1166</v>
      </c>
      <c r="H120" s="1654">
        <f>C120*E118</f>
        <v>11601380.54442271</v>
      </c>
      <c r="I120" s="1623">
        <f t="shared" si="4"/>
        <v>0.17005815957259404</v>
      </c>
      <c r="J120"/>
      <c r="K120" s="1634" t="s">
        <v>1064</v>
      </c>
      <c r="L120" s="2006">
        <f>I120</f>
        <v>0.17005815957259404</v>
      </c>
      <c r="M120" s="2005">
        <f t="shared" si="5"/>
        <v>19.335488407258062</v>
      </c>
      <c r="O120" s="2327">
        <f>ROW()</f>
        <v>120</v>
      </c>
    </row>
    <row r="121" spans="2:15" ht="15" customHeight="1">
      <c r="B121" s="214" t="s">
        <v>2885</v>
      </c>
      <c r="C121" s="1125">
        <f>'Motor Vs'!AX167</f>
        <v>858000</v>
      </c>
      <c r="D121" s="1622">
        <v>0</v>
      </c>
      <c r="E121" s="1623">
        <f>D121/$D$88</f>
        <v>0</v>
      </c>
      <c r="G121" s="1626" t="s">
        <v>2067</v>
      </c>
      <c r="H121" s="1654">
        <f>C121</f>
        <v>858000</v>
      </c>
      <c r="I121" s="1623">
        <f t="shared" si="4"/>
        <v>1.2576942921110449E-2</v>
      </c>
      <c r="J121"/>
      <c r="K121" s="1621" t="s">
        <v>1167</v>
      </c>
      <c r="L121" s="2006">
        <f>J126*$I$122</f>
        <v>0.10645097410117206</v>
      </c>
      <c r="M121" s="2005">
        <f t="shared" si="5"/>
        <v>43.391849308755759</v>
      </c>
      <c r="O121" s="2327">
        <f>ROW()</f>
        <v>121</v>
      </c>
    </row>
    <row r="122" spans="2:15" ht="15" customHeight="1">
      <c r="B122" s="214" t="s">
        <v>1509</v>
      </c>
      <c r="C122" s="1125">
        <f>'Motor Vs'!BG167</f>
        <v>2824591.0777695496</v>
      </c>
      <c r="D122" s="1622">
        <f>'Motor Vs'!$M$76</f>
        <v>38200</v>
      </c>
      <c r="E122" s="1623">
        <f>D122/$D$88</f>
        <v>0.30049820819858397</v>
      </c>
      <c r="G122" s="1626" t="s">
        <v>2212</v>
      </c>
      <c r="H122" s="1654">
        <f>C122+E122*$C$120</f>
        <v>8543639.4437128436</v>
      </c>
      <c r="I122" s="1623">
        <f t="shared" si="4"/>
        <v>0.12523644011902596</v>
      </c>
      <c r="J122"/>
      <c r="K122" s="1621" t="s">
        <v>1279</v>
      </c>
      <c r="L122" s="2006">
        <f>G126*$I$122</f>
        <v>1.2523644011902597E-2</v>
      </c>
      <c r="M122" s="2005">
        <f t="shared" si="5"/>
        <v>72.319748847926249</v>
      </c>
      <c r="O122" s="2327">
        <f>ROW()</f>
        <v>122</v>
      </c>
    </row>
    <row r="123" spans="2:15" ht="15" customHeight="1">
      <c r="B123" s="214" t="s">
        <v>810</v>
      </c>
      <c r="C123" s="1125">
        <f>'Motor Vs'!BP167</f>
        <v>1172491.5911440649</v>
      </c>
      <c r="D123" s="1622">
        <f>'Motor Vs'!$N$76</f>
        <v>11431.578947368422</v>
      </c>
      <c r="E123" s="1623">
        <f>D123/$D$88</f>
        <v>8.9925889805362966E-2</v>
      </c>
      <c r="G123" s="1626" t="s">
        <v>967</v>
      </c>
      <c r="H123" s="1654">
        <f>C123+E123*$C$120</f>
        <v>2883951.091120482</v>
      </c>
      <c r="I123" s="1623">
        <f t="shared" si="4"/>
        <v>4.2274228741604317E-2</v>
      </c>
      <c r="J123"/>
      <c r="K123" s="1634" t="s">
        <v>2211</v>
      </c>
      <c r="L123" s="2006">
        <f>E126*$I$122</f>
        <v>6.2618220059512987E-3</v>
      </c>
      <c r="M123" s="2005">
        <f t="shared" si="5"/>
        <v>144.6394976958525</v>
      </c>
      <c r="O123" s="2327">
        <f>ROW()</f>
        <v>123</v>
      </c>
    </row>
    <row r="124" spans="2:15" ht="15" customHeight="1">
      <c r="B124" s="214" t="s">
        <v>228</v>
      </c>
      <c r="C124" s="1125">
        <f>SUM(C118:C123)</f>
        <v>68220075.846877187</v>
      </c>
      <c r="D124" s="1624">
        <f>'Motor Vs'!$K$76</f>
        <v>127122.22222222225</v>
      </c>
      <c r="E124" s="1625"/>
      <c r="G124" s="1628" t="s">
        <v>228</v>
      </c>
      <c r="H124" s="1655">
        <f>SUM(H118:H123)</f>
        <v>68220075.846877187</v>
      </c>
      <c r="I124" s="1630">
        <f>SUM(I118:I123)</f>
        <v>1</v>
      </c>
      <c r="J124"/>
      <c r="K124" s="1634" t="s">
        <v>967</v>
      </c>
      <c r="L124" s="2006">
        <f>I123</f>
        <v>4.2274228741604317E-2</v>
      </c>
      <c r="M124" s="2005">
        <f t="shared" si="5"/>
        <v>160.71055299539165</v>
      </c>
      <c r="O124" s="2327">
        <f>ROW()</f>
        <v>124</v>
      </c>
    </row>
    <row r="125" spans="2:15" ht="15" customHeight="1">
      <c r="C125" s="971"/>
      <c r="D125" s="971"/>
      <c r="E125" s="971"/>
      <c r="F125" s="971"/>
      <c r="G125" s="971"/>
      <c r="H125" s="971"/>
      <c r="I125" s="971"/>
      <c r="J125" s="971"/>
      <c r="K125" s="1634" t="s">
        <v>4255</v>
      </c>
      <c r="L125" s="2006">
        <f>I121*G127</f>
        <v>8.175012898721792E-3</v>
      </c>
      <c r="M125" s="2005">
        <f t="shared" si="5"/>
        <v>55.991556663594466</v>
      </c>
      <c r="O125" s="2327">
        <f>ROW()</f>
        <v>125</v>
      </c>
    </row>
    <row r="126" spans="2:15" ht="15" customHeight="1">
      <c r="B126" s="1639" t="s">
        <v>1163</v>
      </c>
      <c r="C126" s="1640"/>
      <c r="D126" s="1641" t="s">
        <v>166</v>
      </c>
      <c r="E126" s="1642">
        <v>0.05</v>
      </c>
      <c r="F126" s="1641" t="s">
        <v>167</v>
      </c>
      <c r="G126" s="1642">
        <v>0.1</v>
      </c>
      <c r="H126" s="1640"/>
      <c r="I126" s="1641" t="s">
        <v>168</v>
      </c>
      <c r="J126" s="1643">
        <f>1-E126-G126</f>
        <v>0.85</v>
      </c>
      <c r="K126" s="1634" t="s">
        <v>2000</v>
      </c>
      <c r="L126" s="2006">
        <f>I121*E127</f>
        <v>4.401930022388657E-3</v>
      </c>
      <c r="M126" s="2005">
        <f t="shared" si="5"/>
        <v>12.856844239631336</v>
      </c>
      <c r="O126" s="2327">
        <f>ROW()</f>
        <v>126</v>
      </c>
    </row>
    <row r="127" spans="2:15" ht="15" customHeight="1">
      <c r="B127" s="1639" t="s">
        <v>2001</v>
      </c>
      <c r="C127" s="1640"/>
      <c r="D127" s="1641" t="s">
        <v>2267</v>
      </c>
      <c r="E127" s="1642">
        <f>Taxis!$L$88</f>
        <v>0.35</v>
      </c>
      <c r="F127" s="1641" t="s">
        <v>2268</v>
      </c>
      <c r="G127" s="1642">
        <f>1-E127</f>
        <v>0.65</v>
      </c>
      <c r="H127" s="1650" t="s">
        <v>2269</v>
      </c>
      <c r="I127" s="1641"/>
      <c r="J127" s="1643"/>
      <c r="K127" s="1635" t="s">
        <v>228</v>
      </c>
      <c r="L127" s="2007">
        <f>SUM(L118:L126)</f>
        <v>1.0000000000000002</v>
      </c>
      <c r="M127" s="1656">
        <f>SUMPRODUCT(L118:L126,M118:M126)</f>
        <v>29.715524962837527</v>
      </c>
      <c r="O127" s="2327">
        <f>ROW()</f>
        <v>127</v>
      </c>
    </row>
    <row r="128" spans="2:15" ht="15" customHeight="1">
      <c r="C128" s="971"/>
      <c r="D128" s="971"/>
      <c r="E128" s="971"/>
      <c r="F128" s="971"/>
      <c r="G128" s="971"/>
      <c r="H128" s="971"/>
      <c r="I128" s="971"/>
      <c r="J128" s="971"/>
      <c r="K128" s="1635"/>
      <c r="L128" s="1636"/>
      <c r="M128"/>
      <c r="O128" s="2327">
        <f>ROW()</f>
        <v>128</v>
      </c>
    </row>
    <row r="129" spans="2:16" ht="15" customHeight="1">
      <c r="B129" s="1644" t="str">
        <f>CONCATENATE("Baseline Vehicle Miles Traveled is from 'Motor Vs' worksheet, Row ",'Motor Vs'!O167, ".")</f>
        <v>Baseline Vehicle Miles Traveled is from 'Motor Vs' worksheet, Row 167.</v>
      </c>
      <c r="C129" s="971"/>
      <c r="D129" s="971"/>
      <c r="E129" s="971"/>
      <c r="F129" s="971"/>
      <c r="G129" s="971"/>
      <c r="H129" s="971"/>
      <c r="I129" s="971"/>
      <c r="J129" s="971"/>
      <c r="K129" s="1635"/>
      <c r="L129" s="1636"/>
      <c r="M129"/>
      <c r="O129" s="2327">
        <f>ROW()</f>
        <v>129</v>
      </c>
    </row>
    <row r="130" spans="2:16" ht="15" customHeight="1">
      <c r="B130" s="1644" t="s">
        <v>1524</v>
      </c>
      <c r="C130" s="971"/>
      <c r="D130" s="971"/>
      <c r="E130" s="971"/>
      <c r="F130" s="971"/>
      <c r="G130" s="971"/>
      <c r="H130" s="971"/>
      <c r="I130" s="971"/>
      <c r="J130" s="971"/>
      <c r="K130" s="1635"/>
      <c r="L130" s="1636"/>
      <c r="M130"/>
      <c r="O130" s="2327">
        <f>ROW()</f>
        <v>130</v>
      </c>
    </row>
    <row r="131" spans="2:16" ht="15" customHeight="1">
      <c r="B131" s="1644"/>
      <c r="C131" s="971"/>
      <c r="D131" s="971"/>
      <c r="E131" s="971"/>
      <c r="F131" s="971"/>
      <c r="G131" s="971"/>
      <c r="H131" s="971"/>
      <c r="I131" s="971"/>
      <c r="J131" s="971"/>
      <c r="K131" s="5187" t="s">
        <v>6293</v>
      </c>
      <c r="L131" s="1636"/>
      <c r="M131"/>
      <c r="O131" s="2327">
        <f>ROW()</f>
        <v>131</v>
      </c>
    </row>
    <row r="132" spans="2:16" ht="15" customHeight="1">
      <c r="B132" s="467" t="s">
        <v>6285</v>
      </c>
      <c r="C132" s="971"/>
      <c r="D132" s="971"/>
      <c r="E132" s="971"/>
      <c r="F132" s="971"/>
      <c r="G132" s="971"/>
      <c r="H132" s="971"/>
      <c r="I132" s="971"/>
      <c r="J132" s="971"/>
      <c r="K132" s="5187"/>
      <c r="L132" s="1636"/>
      <c r="M132" s="3555"/>
      <c r="O132" s="2327">
        <f>ROW()</f>
        <v>132</v>
      </c>
      <c r="P132" s="3555"/>
    </row>
    <row r="133" spans="2:16" ht="15" customHeight="1">
      <c r="B133" s="1644"/>
      <c r="C133" s="971"/>
      <c r="D133" s="971"/>
      <c r="E133" s="971"/>
      <c r="F133" s="971"/>
      <c r="G133" s="971"/>
      <c r="H133" s="971"/>
      <c r="I133" s="971"/>
      <c r="J133" s="971"/>
      <c r="K133" s="3807"/>
      <c r="L133" s="1636"/>
      <c r="M133" s="3555"/>
      <c r="O133" s="2327">
        <f>ROW()</f>
        <v>133</v>
      </c>
      <c r="P133" s="3555"/>
    </row>
    <row r="134" spans="2:16" ht="15" customHeight="1">
      <c r="C134" s="971"/>
      <c r="D134" s="971"/>
      <c r="E134" s="5187" t="s">
        <v>6288</v>
      </c>
      <c r="F134" s="5187" t="s">
        <v>6289</v>
      </c>
      <c r="G134" s="5187" t="s">
        <v>6291</v>
      </c>
      <c r="H134" s="5187" t="s">
        <v>6290</v>
      </c>
      <c r="I134" s="5187" t="s">
        <v>6292</v>
      </c>
      <c r="J134" s="5187" t="s">
        <v>5885</v>
      </c>
      <c r="K134" s="3807"/>
      <c r="L134" s="1636"/>
      <c r="M134" s="3555"/>
      <c r="O134" s="2327">
        <f>ROW()</f>
        <v>134</v>
      </c>
      <c r="P134" s="3555"/>
    </row>
    <row r="135" spans="2:16" ht="15" customHeight="1">
      <c r="C135" s="1644"/>
      <c r="D135" s="1644"/>
      <c r="E135" s="5187"/>
      <c r="F135" s="5187"/>
      <c r="G135" s="5187"/>
      <c r="H135" s="5187"/>
      <c r="I135" s="5187"/>
      <c r="J135" s="5187"/>
      <c r="K135" s="3807"/>
      <c r="L135" s="1636"/>
      <c r="M135" s="3555"/>
      <c r="O135" s="2327">
        <f>ROW()</f>
        <v>135</v>
      </c>
      <c r="P135" s="3555"/>
    </row>
    <row r="136" spans="2:16" ht="15" customHeight="1">
      <c r="B136" s="316" t="s">
        <v>6287</v>
      </c>
      <c r="C136" s="1644"/>
      <c r="D136" s="1644"/>
      <c r="E136" s="3559">
        <v>72200</v>
      </c>
      <c r="F136" s="3559">
        <v>84600</v>
      </c>
      <c r="G136" s="3559">
        <v>58300</v>
      </c>
      <c r="H136" s="3559">
        <v>46300</v>
      </c>
      <c r="I136" s="3559">
        <v>39600</v>
      </c>
      <c r="J136" s="3559">
        <v>96500</v>
      </c>
      <c r="K136" s="3559">
        <v>33700</v>
      </c>
      <c r="L136" s="1636"/>
      <c r="M136" s="3555"/>
      <c r="O136" s="2327">
        <f>ROW()</f>
        <v>136</v>
      </c>
      <c r="P136" s="3555"/>
    </row>
    <row r="137" spans="2:16" ht="15" customHeight="1">
      <c r="B137" s="1644"/>
      <c r="C137" s="971"/>
      <c r="D137" s="971"/>
      <c r="E137" s="3560" t="s">
        <v>6294</v>
      </c>
      <c r="F137" s="971"/>
      <c r="G137" s="971"/>
      <c r="H137" s="971"/>
      <c r="I137" s="971"/>
      <c r="J137" s="971"/>
      <c r="K137" s="1635"/>
      <c r="L137" s="1636"/>
      <c r="M137" s="3555"/>
      <c r="O137" s="2327">
        <f>ROW()</f>
        <v>137</v>
      </c>
      <c r="P137" s="3555"/>
    </row>
    <row r="138" spans="2:16" ht="15" customHeight="1">
      <c r="B138" s="1644"/>
      <c r="C138" s="971"/>
      <c r="D138" s="971"/>
      <c r="E138" s="5179" t="s">
        <v>3176</v>
      </c>
      <c r="F138" s="5179"/>
      <c r="G138" s="5179"/>
      <c r="H138" s="5179"/>
      <c r="I138" s="5179"/>
      <c r="J138" s="5179" t="s">
        <v>3177</v>
      </c>
      <c r="K138" s="5179"/>
      <c r="L138" s="5179"/>
      <c r="M138" s="5179"/>
      <c r="N138" s="5179"/>
      <c r="O138" s="2327">
        <f>ROW()</f>
        <v>138</v>
      </c>
      <c r="P138" s="3555"/>
    </row>
    <row r="139" spans="2:16" ht="15" customHeight="1">
      <c r="B139" s="316" t="s">
        <v>6298</v>
      </c>
      <c r="C139" s="971"/>
      <c r="D139" s="971"/>
      <c r="E139" s="3561" t="s">
        <v>6295</v>
      </c>
      <c r="F139" s="3561" t="s">
        <v>6296</v>
      </c>
      <c r="G139" s="3561" t="s">
        <v>6297</v>
      </c>
      <c r="H139" s="3561" t="s">
        <v>2374</v>
      </c>
      <c r="J139" s="1644"/>
      <c r="K139" s="1644"/>
      <c r="L139" s="1644"/>
      <c r="M139" s="3555"/>
      <c r="O139" s="2327">
        <f>ROW()</f>
        <v>139</v>
      </c>
      <c r="P139" s="3555"/>
    </row>
    <row r="140" spans="2:16" ht="15" customHeight="1">
      <c r="B140" s="1644"/>
      <c r="C140" s="971"/>
      <c r="D140" s="971"/>
      <c r="E140" s="3562">
        <f>J63</f>
        <v>32.142110599078336</v>
      </c>
      <c r="F140" s="3562">
        <f>J64</f>
        <v>16.071055299539168</v>
      </c>
      <c r="G140" s="3562">
        <f>J65</f>
        <v>24.106582949308752</v>
      </c>
      <c r="H140" s="3563">
        <f>SUMPRODUCT(E140:G140,'Motor Vs'!I76:K76)/SUM('Motor Vs'!I76:K76)</f>
        <v>25.19467583358578</v>
      </c>
      <c r="I140" s="1644"/>
      <c r="J140" s="3562">
        <f>'Cost-Benefit'!$M$103*E140</f>
        <v>19.285266359447</v>
      </c>
      <c r="K140" s="3562">
        <f>'Cost-Benefit'!$M$103*F140</f>
        <v>9.6426331797235001</v>
      </c>
      <c r="L140" s="3562">
        <f>'Cost-Benefit'!$M$103*G140</f>
        <v>14.46394976958525</v>
      </c>
      <c r="M140" s="3563">
        <f>SUMPRODUCT(J140:L140,'Motor Vs Weekends'!N76:P76)/SUM('Motor Vs Weekends'!N76:P76)</f>
        <v>19.158535879565921</v>
      </c>
      <c r="O140" s="2327">
        <f>ROW()</f>
        <v>140</v>
      </c>
      <c r="P140" s="3555"/>
    </row>
    <row r="141" spans="2:16" ht="15" customHeight="1">
      <c r="B141" s="1644"/>
      <c r="C141" s="971"/>
      <c r="D141" s="971"/>
      <c r="E141" s="5178" t="str">
        <f>CONCATENATE("Copied from Cells J",O63, ", J",O64, " and J",O65, ".")</f>
        <v>Copied from Cells J63, J64 and J65.</v>
      </c>
      <c r="F141" s="5178"/>
      <c r="G141" s="5178"/>
      <c r="I141"/>
      <c r="J141" s="5180" t="str">
        <f>CONCATENATE("Applies weekend/weekday ratio from 'Cost-Benefit' tab, Cell M ",'Cost-Benefit'!O103, " to cells in Weekday array here.")</f>
        <v>Applies weekend/weekday ratio from 'Cost-Benefit' tab, Cell M 103 to cells in Weekday array here.</v>
      </c>
      <c r="K141" s="5180"/>
      <c r="L141" s="5180"/>
      <c r="M141" s="3659"/>
      <c r="N141" s="3659"/>
      <c r="O141" s="2327">
        <f>ROW()</f>
        <v>141</v>
      </c>
      <c r="P141" s="3555"/>
    </row>
    <row r="142" spans="2:16" ht="15" customHeight="1">
      <c r="B142" s="1644"/>
      <c r="C142" s="971"/>
      <c r="D142" s="971"/>
      <c r="E142" s="3565"/>
      <c r="F142" s="3565"/>
      <c r="G142" s="3565"/>
      <c r="I142" s="3555"/>
      <c r="J142" s="3659"/>
      <c r="K142" s="3659"/>
      <c r="L142" s="3659"/>
      <c r="M142" s="3659"/>
      <c r="N142" s="3659"/>
      <c r="O142" s="2327">
        <f>ROW()</f>
        <v>142</v>
      </c>
      <c r="P142" s="3555"/>
    </row>
    <row r="143" spans="2:16" ht="15" customHeight="1">
      <c r="B143" s="1644"/>
      <c r="C143" s="971"/>
      <c r="D143" s="971"/>
      <c r="E143" s="3566" t="str">
        <f>CONCATENATE("Weighted Avgs apply respective # of weekday trips into cordon from Row ",'Motor Vs'!O76, " of 'Motor Vs' and 'Motor Vs Weekends tabs.")</f>
        <v>Weighted Avgs apply respective # of weekday trips into cordon from Row 76 of 'Motor Vs' and 'Motor Vs Weekends tabs.</v>
      </c>
      <c r="F143" s="3561"/>
      <c r="G143" s="3561"/>
      <c r="H143" s="3561"/>
      <c r="I143" s="3561"/>
      <c r="J143" s="3561"/>
      <c r="K143" s="3561"/>
      <c r="L143" s="3561"/>
      <c r="M143" s="3561"/>
      <c r="N143" s="3561"/>
      <c r="O143" s="2327">
        <f>ROW()</f>
        <v>143</v>
      </c>
      <c r="P143" s="3555"/>
    </row>
    <row r="144" spans="2:16" ht="15" customHeight="1">
      <c r="B144" s="1644"/>
      <c r="C144" s="971"/>
      <c r="D144" s="971"/>
      <c r="E144" s="5179" t="s">
        <v>3176</v>
      </c>
      <c r="F144" s="5179"/>
      <c r="G144" s="5179"/>
      <c r="H144" s="5179"/>
      <c r="I144" s="5179"/>
      <c r="J144" s="5179" t="s">
        <v>3177</v>
      </c>
      <c r="K144" s="5179"/>
      <c r="L144" s="5179"/>
      <c r="M144" s="5179"/>
      <c r="N144" s="5179"/>
      <c r="O144" s="2327">
        <f>ROW()</f>
        <v>144</v>
      </c>
      <c r="P144" s="3555"/>
    </row>
    <row r="145" spans="2:16" ht="15" customHeight="1">
      <c r="C145" s="971"/>
      <c r="D145" s="971"/>
      <c r="E145" s="3561"/>
      <c r="F145" s="971"/>
      <c r="G145" s="3561" t="s">
        <v>966</v>
      </c>
      <c r="H145" s="3561" t="s">
        <v>6300</v>
      </c>
      <c r="I145" s="3561" t="s">
        <v>967</v>
      </c>
      <c r="J145" s="3561"/>
      <c r="K145" s="971"/>
      <c r="L145" s="3561" t="s">
        <v>966</v>
      </c>
      <c r="M145" s="3561" t="s">
        <v>6300</v>
      </c>
      <c r="N145" s="3561" t="s">
        <v>967</v>
      </c>
      <c r="O145" s="2327">
        <f>ROW()</f>
        <v>145</v>
      </c>
      <c r="P145" s="3555"/>
    </row>
    <row r="146" spans="2:16" ht="15" customHeight="1">
      <c r="B146" s="316" t="s">
        <v>6299</v>
      </c>
      <c r="C146" s="971"/>
      <c r="D146" s="971"/>
      <c r="E146" s="971"/>
      <c r="F146" s="971"/>
      <c r="G146" s="3569">
        <f>$H$140*G136/$E$136</f>
        <v>20.344177300527022</v>
      </c>
      <c r="H146" s="3564">
        <f>$H$140*H136/$E$136</f>
        <v>16.156696552562625</v>
      </c>
      <c r="I146" s="3569">
        <f>$H$140*I136/$E$136</f>
        <v>13.818686468282506</v>
      </c>
      <c r="J146" s="971"/>
      <c r="K146" s="971"/>
      <c r="L146" s="3569">
        <f>$M$140*G136/$E$136</f>
        <v>15.470119692225669</v>
      </c>
      <c r="M146" s="3564">
        <f>$M$140*H136/$E$136</f>
        <v>12.285875501716097</v>
      </c>
      <c r="N146" s="3569">
        <f>$M$140*I136/$E$136</f>
        <v>10.508005828681585</v>
      </c>
      <c r="O146" s="2327">
        <f>ROW()</f>
        <v>146</v>
      </c>
      <c r="P146" s="3555"/>
    </row>
    <row r="147" spans="2:16" ht="15" customHeight="1">
      <c r="B147" s="1644"/>
      <c r="C147" s="971"/>
      <c r="D147" s="971"/>
      <c r="E147" s="3567" t="str">
        <f>CONCATENATE("Prorates Cell H",O140, " by ratios of respective values in Row ",O136, " to Cell E", O136, ".")</f>
        <v>Prorates Cell H140 by ratios of respective values in Row 136 to Cell E136.</v>
      </c>
      <c r="F147" s="971"/>
      <c r="G147" s="971"/>
      <c r="H147" s="971"/>
      <c r="I147" s="971"/>
      <c r="K147" s="971"/>
      <c r="L147" s="971"/>
      <c r="M147" s="971"/>
      <c r="N147" s="3568" t="str">
        <f>CONCATENATE("Prorates Cell N",O140, " by ratios of resp. #'s in Row ",O136, " to Cell E", O136, ".")</f>
        <v>Prorates Cell N140 by ratios of resp. #'s in Row 136 to Cell E136.</v>
      </c>
      <c r="O147" s="2327">
        <f>ROW()</f>
        <v>147</v>
      </c>
      <c r="P147" s="3555"/>
    </row>
    <row r="148" spans="2:16" ht="15" customHeight="1">
      <c r="B148" s="316" t="s">
        <v>6301</v>
      </c>
      <c r="C148" s="971"/>
      <c r="D148" s="971"/>
      <c r="E148" s="971"/>
      <c r="F148" s="971"/>
      <c r="G148" s="3569">
        <f>$C$105*G146</f>
        <v>13.562784867018014</v>
      </c>
      <c r="H148" s="3564">
        <f>$C$105*H146</f>
        <v>10.77113103504175</v>
      </c>
      <c r="I148" s="3569">
        <f>$C$105*I146</f>
        <v>9.2124576455216705</v>
      </c>
      <c r="J148" s="971"/>
      <c r="K148" s="971"/>
      <c r="L148" s="3569">
        <f>$C$105*L146</f>
        <v>10.313413128150446</v>
      </c>
      <c r="M148" s="3564">
        <f>$C$105*M146</f>
        <v>8.1905836678107313</v>
      </c>
      <c r="N148" s="3569">
        <f>$C$105*N146</f>
        <v>7.0053372191210563</v>
      </c>
      <c r="O148" s="2327">
        <f>ROW()</f>
        <v>148</v>
      </c>
      <c r="P148" s="3555"/>
    </row>
    <row r="149" spans="2:16" ht="15" customHeight="1">
      <c r="B149" s="1644"/>
      <c r="C149" s="971"/>
      <c r="D149" s="971"/>
      <c r="E149" s="3567" t="str">
        <f>CONCATENATE("Applies Cell C",O105, " to respective values in Row ",O146, ".")</f>
        <v>Applies Cell C105 to respective values in Row 146.</v>
      </c>
      <c r="F149" s="971"/>
      <c r="G149" s="971"/>
      <c r="H149" s="971"/>
      <c r="I149" s="971"/>
      <c r="K149" s="971"/>
      <c r="L149" s="971"/>
      <c r="M149" s="971"/>
      <c r="N149" s="3568" t="str">
        <f>CONCATENATE("Applies Cell C",O105, " to respective values in Row ",O146, ".")</f>
        <v>Applies Cell C105 to respective values in Row 146.</v>
      </c>
      <c r="O149" s="2327">
        <f>ROW()</f>
        <v>149</v>
      </c>
      <c r="P149" s="3555"/>
    </row>
    <row r="150" spans="2:16" ht="15" customHeight="1">
      <c r="B150" s="1644"/>
      <c r="C150" s="971"/>
      <c r="D150" s="971"/>
      <c r="E150" s="3560"/>
      <c r="F150" s="971"/>
      <c r="G150" s="971"/>
      <c r="H150" s="971"/>
      <c r="I150" s="971"/>
      <c r="J150" s="971"/>
      <c r="K150" s="1635"/>
      <c r="L150" s="1636"/>
      <c r="M150" s="3555"/>
      <c r="O150" s="2327">
        <f>ROW()</f>
        <v>150</v>
      </c>
      <c r="P150" s="3555"/>
    </row>
    <row r="151" spans="2:16" ht="15" customHeight="1">
      <c r="B151" s="1644"/>
      <c r="C151" s="971"/>
      <c r="D151" s="971"/>
      <c r="E151" s="3560"/>
      <c r="F151" s="971"/>
      <c r="G151" s="971"/>
      <c r="H151" s="971"/>
      <c r="I151" s="971"/>
      <c r="J151" s="971"/>
      <c r="K151" s="1635"/>
      <c r="L151" s="1636"/>
      <c r="M151" s="3555"/>
      <c r="O151" s="2327">
        <f>ROW()</f>
        <v>151</v>
      </c>
      <c r="P151" s="3555"/>
    </row>
    <row r="152" spans="2:16" ht="15" customHeight="1">
      <c r="B152" s="1644"/>
      <c r="C152" s="971"/>
      <c r="D152" s="971"/>
      <c r="E152" s="3560"/>
      <c r="F152" s="971"/>
      <c r="G152" s="971"/>
      <c r="H152" s="971"/>
      <c r="I152" s="971"/>
      <c r="J152" s="971"/>
      <c r="K152" s="1635"/>
      <c r="L152" s="1636"/>
      <c r="M152" s="3555"/>
      <c r="O152" s="2327">
        <f>ROW()</f>
        <v>152</v>
      </c>
      <c r="P152" s="3555"/>
    </row>
    <row r="153" spans="2:16" ht="15" customHeight="1">
      <c r="B153" s="1644"/>
      <c r="C153" s="971"/>
      <c r="D153" s="971"/>
      <c r="E153" s="3560"/>
      <c r="F153" s="971"/>
      <c r="G153" s="971"/>
      <c r="H153" s="971"/>
      <c r="I153" s="971"/>
      <c r="J153" s="971"/>
      <c r="K153" s="1635"/>
      <c r="L153" s="1636"/>
      <c r="M153" s="3555"/>
      <c r="O153" s="2327">
        <f>ROW()</f>
        <v>153</v>
      </c>
      <c r="P153" s="3555"/>
    </row>
    <row r="154" spans="2:16" ht="15" customHeight="1">
      <c r="B154" s="1644"/>
      <c r="C154" s="971"/>
      <c r="D154" s="971"/>
      <c r="E154" s="3560"/>
      <c r="F154" s="971"/>
      <c r="G154" s="971"/>
      <c r="H154" s="971"/>
      <c r="I154" s="971"/>
      <c r="J154" s="971"/>
      <c r="K154" s="1635"/>
      <c r="L154" s="1636"/>
      <c r="M154" s="3555"/>
      <c r="O154" s="2327">
        <f>ROW()</f>
        <v>154</v>
      </c>
      <c r="P154" s="3555"/>
    </row>
    <row r="155" spans="2:16" ht="15" customHeight="1">
      <c r="B155" s="1644"/>
      <c r="C155" s="971"/>
      <c r="D155" s="971"/>
      <c r="E155" s="971"/>
      <c r="F155" s="971"/>
      <c r="G155" s="971"/>
      <c r="H155" s="971"/>
      <c r="I155" s="971"/>
      <c r="J155" s="971"/>
      <c r="K155" s="1635"/>
      <c r="L155" s="1636"/>
      <c r="M155" s="3555"/>
      <c r="O155" s="2327">
        <f>ROW()</f>
        <v>155</v>
      </c>
      <c r="P155" s="3555"/>
    </row>
    <row r="156" spans="2:16" ht="15" customHeight="1">
      <c r="B156" s="1644"/>
      <c r="C156" s="971"/>
      <c r="D156" s="971"/>
      <c r="E156" s="971"/>
      <c r="F156" s="971"/>
      <c r="G156" s="971"/>
      <c r="H156" s="971"/>
      <c r="I156" s="971"/>
      <c r="J156" s="971"/>
      <c r="K156" s="1635"/>
      <c r="L156" s="1636"/>
      <c r="M156" s="3555"/>
      <c r="O156" s="2327">
        <f>ROW()</f>
        <v>156</v>
      </c>
      <c r="P156" s="3555"/>
    </row>
    <row r="157" spans="2:16" ht="15" customHeight="1">
      <c r="B157" s="1644"/>
      <c r="C157" s="971"/>
      <c r="D157" s="971"/>
      <c r="E157" s="971"/>
      <c r="F157" s="971"/>
      <c r="G157" s="971"/>
      <c r="H157" s="971"/>
      <c r="I157" s="971"/>
      <c r="J157" s="971"/>
      <c r="K157" s="1635"/>
      <c r="L157" s="1636"/>
      <c r="M157" s="3555"/>
      <c r="O157" s="2327">
        <f>ROW()</f>
        <v>157</v>
      </c>
      <c r="P157" s="3555"/>
    </row>
    <row r="158" spans="2:16" ht="15" customHeight="1">
      <c r="B158" s="467" t="s">
        <v>6286</v>
      </c>
      <c r="O158" s="2327">
        <f>ROW()</f>
        <v>158</v>
      </c>
    </row>
    <row r="159" spans="2:16" ht="15" customHeight="1">
      <c r="B159" s="3659" t="s">
        <v>2313</v>
      </c>
      <c r="C159" s="3659"/>
      <c r="D159" s="3659"/>
      <c r="E159" s="3659"/>
      <c r="F159" s="3659"/>
      <c r="G159" s="3659"/>
      <c r="H159" s="3659"/>
      <c r="I159" s="3659"/>
      <c r="J159" s="3659"/>
      <c r="K159" s="3659"/>
      <c r="O159" s="2327">
        <f>ROW()</f>
        <v>159</v>
      </c>
    </row>
    <row r="160" spans="2:16" ht="15" customHeight="1">
      <c r="B160" s="3659"/>
      <c r="C160" s="3659"/>
      <c r="D160" s="3659"/>
      <c r="E160" s="3659"/>
      <c r="F160" s="3659"/>
      <c r="G160" s="3659"/>
      <c r="H160" s="3659"/>
      <c r="I160" s="3659"/>
      <c r="J160" s="3659"/>
      <c r="K160" s="3659"/>
      <c r="O160" s="2327">
        <f>ROW()</f>
        <v>160</v>
      </c>
    </row>
    <row r="161" spans="2:15" ht="15" customHeight="1">
      <c r="B161" s="3659"/>
      <c r="C161" s="3659"/>
      <c r="D161" s="3659"/>
      <c r="E161" s="3659"/>
      <c r="F161" s="3659"/>
      <c r="G161" s="3659"/>
      <c r="H161" s="3659"/>
      <c r="I161" s="3659"/>
      <c r="J161" s="3659"/>
      <c r="K161" s="3659"/>
      <c r="O161" s="2327">
        <f>ROW()</f>
        <v>161</v>
      </c>
    </row>
    <row r="162" spans="2:15" ht="15" customHeight="1">
      <c r="B162" s="3659"/>
      <c r="C162" s="3659"/>
      <c r="D162" s="3659"/>
      <c r="E162" s="3659"/>
      <c r="F162" s="3659"/>
      <c r="G162" s="3659"/>
      <c r="H162" s="3659"/>
      <c r="I162" s="3659"/>
      <c r="J162" s="3659"/>
      <c r="K162" s="3659"/>
      <c r="O162" s="2327">
        <f>ROW()</f>
        <v>162</v>
      </c>
    </row>
    <row r="163" spans="2:15" ht="15" customHeight="1">
      <c r="B163" s="3754" t="s">
        <v>2831</v>
      </c>
      <c r="C163" s="3754"/>
      <c r="D163" s="3754"/>
      <c r="E163" s="3754"/>
      <c r="F163" s="3754"/>
      <c r="G163" s="3754"/>
      <c r="H163" s="3754"/>
      <c r="I163" s="3754"/>
      <c r="J163" s="3754"/>
      <c r="K163" s="3754"/>
      <c r="O163" s="2327">
        <f>ROW()</f>
        <v>163</v>
      </c>
    </row>
    <row r="164" spans="2:15" ht="15" customHeight="1">
      <c r="B164" s="3754"/>
      <c r="C164" s="3754"/>
      <c r="D164" s="3754"/>
      <c r="E164" s="3754"/>
      <c r="F164" s="3754"/>
      <c r="G164" s="3754"/>
      <c r="H164" s="3754"/>
      <c r="I164" s="3754"/>
      <c r="J164" s="3754"/>
      <c r="K164" s="3754"/>
      <c r="O164" s="2327">
        <f>ROW()</f>
        <v>164</v>
      </c>
    </row>
    <row r="165" spans="2:15" ht="15" customHeight="1">
      <c r="B165" s="3754"/>
      <c r="C165" s="3754"/>
      <c r="D165" s="3754"/>
      <c r="E165" s="3754"/>
      <c r="F165" s="3754"/>
      <c r="G165" s="3754"/>
      <c r="H165" s="3754"/>
      <c r="I165" s="3754"/>
      <c r="J165" s="3754"/>
      <c r="K165" s="3754"/>
      <c r="O165" s="2327">
        <f>ROW()</f>
        <v>165</v>
      </c>
    </row>
    <row r="166" spans="2:15" ht="15" customHeight="1">
      <c r="B166" s="4187"/>
      <c r="C166" s="4187"/>
      <c r="D166" s="4187"/>
      <c r="E166" s="4187"/>
      <c r="F166" s="4187"/>
      <c r="G166" s="4187"/>
      <c r="H166" s="4187"/>
      <c r="I166" s="4187"/>
      <c r="J166" s="4187"/>
      <c r="K166" s="4187"/>
      <c r="O166" s="2327">
        <f>ROW()</f>
        <v>166</v>
      </c>
    </row>
    <row r="167" spans="2:15" ht="15" customHeight="1">
      <c r="B167" s="3754" t="s">
        <v>2310</v>
      </c>
      <c r="C167" s="3754"/>
      <c r="D167" s="3754"/>
      <c r="E167" s="3754"/>
      <c r="F167" s="3754"/>
      <c r="G167" s="3754"/>
      <c r="H167" s="3754"/>
      <c r="I167" s="3754"/>
      <c r="J167" s="3754"/>
      <c r="K167" s="3754"/>
      <c r="O167" s="2327">
        <f>ROW()</f>
        <v>167</v>
      </c>
    </row>
    <row r="168" spans="2:15" ht="15" customHeight="1">
      <c r="B168" s="3754"/>
      <c r="C168" s="3754"/>
      <c r="D168" s="3754"/>
      <c r="E168" s="3754"/>
      <c r="F168" s="3754"/>
      <c r="G168" s="3754"/>
      <c r="H168" s="3754"/>
      <c r="I168" s="3754"/>
      <c r="J168" s="3754"/>
      <c r="K168" s="3754"/>
      <c r="O168" s="2327">
        <f>ROW()</f>
        <v>168</v>
      </c>
    </row>
    <row r="169" spans="2:15" ht="15" customHeight="1">
      <c r="B169" s="3754"/>
      <c r="C169" s="3754"/>
      <c r="D169" s="3754"/>
      <c r="E169" s="3754"/>
      <c r="F169" s="3754"/>
      <c r="G169" s="3754"/>
      <c r="H169" s="3754"/>
      <c r="I169" s="3754"/>
      <c r="J169" s="3754"/>
      <c r="K169" s="3754"/>
      <c r="O169" s="2327">
        <f>ROW()</f>
        <v>169</v>
      </c>
    </row>
    <row r="170" spans="2:15" ht="15" customHeight="1">
      <c r="B170" s="3659"/>
      <c r="C170" s="3659"/>
      <c r="D170" s="3659"/>
      <c r="E170" s="3659"/>
      <c r="F170" s="3659"/>
      <c r="G170" s="3659"/>
      <c r="H170" s="3659"/>
      <c r="I170" s="3659"/>
      <c r="J170" s="3659"/>
      <c r="K170" s="3659"/>
      <c r="O170" s="2327">
        <f>ROW()</f>
        <v>170</v>
      </c>
    </row>
    <row r="171" spans="2:15" ht="15" customHeight="1">
      <c r="B171" s="3659"/>
      <c r="C171" s="3659"/>
      <c r="D171" s="3659"/>
      <c r="E171" s="3659"/>
      <c r="F171" s="3659"/>
      <c r="G171" s="3659"/>
      <c r="H171" s="3659"/>
      <c r="I171" s="3659"/>
      <c r="J171" s="3659"/>
      <c r="K171" s="3659"/>
      <c r="O171" s="2327">
        <f>ROW()</f>
        <v>171</v>
      </c>
    </row>
    <row r="172" spans="2:15" ht="15" customHeight="1">
      <c r="B172" s="3659"/>
      <c r="C172" s="3659"/>
      <c r="D172" s="3659"/>
      <c r="E172" s="3659"/>
      <c r="F172" s="3659"/>
      <c r="G172" s="3659"/>
      <c r="H172" s="3659"/>
      <c r="I172" s="3659"/>
      <c r="J172" s="3659"/>
      <c r="K172" s="3659"/>
      <c r="O172" s="2327">
        <f>ROW()</f>
        <v>172</v>
      </c>
    </row>
    <row r="173" spans="2:15" ht="15" customHeight="1">
      <c r="B173" s="3659"/>
      <c r="C173" s="3659"/>
      <c r="D173" s="3659"/>
      <c r="E173" s="3659"/>
      <c r="F173" s="3659"/>
      <c r="G173" s="3659"/>
      <c r="H173" s="3659"/>
      <c r="I173" s="3659"/>
      <c r="J173" s="3659"/>
      <c r="K173" s="3659"/>
      <c r="O173" s="2327">
        <f>ROW()</f>
        <v>173</v>
      </c>
    </row>
    <row r="174" spans="2:15" ht="15" customHeight="1">
      <c r="B174" s="3754" t="s">
        <v>2843</v>
      </c>
      <c r="C174" s="3754"/>
      <c r="D174" s="3754"/>
      <c r="E174" s="3754"/>
      <c r="F174" s="3754"/>
      <c r="G174" s="3754"/>
      <c r="H174" s="3754"/>
      <c r="I174" s="3754"/>
      <c r="J174" s="3754"/>
      <c r="K174" s="3754"/>
      <c r="O174" s="2327">
        <f>ROW()</f>
        <v>174</v>
      </c>
    </row>
    <row r="175" spans="2:15" ht="15" customHeight="1">
      <c r="B175" s="3754"/>
      <c r="C175" s="3754"/>
      <c r="D175" s="3754"/>
      <c r="E175" s="3754"/>
      <c r="F175" s="3754"/>
      <c r="G175" s="3754"/>
      <c r="H175" s="3754"/>
      <c r="I175" s="3754"/>
      <c r="J175" s="3754"/>
      <c r="K175" s="3754"/>
      <c r="O175" s="2327">
        <f>ROW()</f>
        <v>175</v>
      </c>
    </row>
    <row r="176" spans="2:15" ht="15" customHeight="1">
      <c r="B176" s="3754"/>
      <c r="C176" s="3754"/>
      <c r="D176" s="3754"/>
      <c r="E176" s="3754"/>
      <c r="F176" s="3754"/>
      <c r="G176" s="3754"/>
      <c r="H176" s="3754"/>
      <c r="I176" s="3754"/>
      <c r="J176" s="3754"/>
      <c r="K176" s="3754"/>
      <c r="O176" s="2327">
        <f>ROW()</f>
        <v>176</v>
      </c>
    </row>
    <row r="177" spans="2:15" ht="15" customHeight="1">
      <c r="B177" s="4187"/>
      <c r="C177" s="4187"/>
      <c r="D177" s="4187"/>
      <c r="E177" s="4187"/>
      <c r="F177" s="4187"/>
      <c r="G177" s="4187"/>
      <c r="H177" s="4187"/>
      <c r="I177" s="4187"/>
      <c r="J177" s="4187"/>
      <c r="K177" s="4187"/>
      <c r="O177" s="2327">
        <f>ROW()</f>
        <v>177</v>
      </c>
    </row>
  </sheetData>
  <customSheetViews>
    <customSheetView guid="{BD5E6263-A0AD-4076-921A-D4EBD62848EF}" showGridLines="0" showRuler="0" topLeftCell="A13">
      <selection activeCell="A6" sqref="A6"/>
      <pageMargins left="0.75" right="0.75" top="1" bottom="1" header="0.5" footer="0.5"/>
      <pageSetup orientation="portrait" verticalDpi="1200" r:id="rId1"/>
      <headerFooter alignWithMargins="0"/>
    </customSheetView>
    <customSheetView guid="{1D5AE30A-CA7C-4B32-AEA4-9F37A560AAA8}" showGridLines="0" showRuler="0" topLeftCell="A13">
      <selection activeCell="A6" sqref="A6"/>
      <pageMargins left="0.75" right="0.75" top="1" bottom="1" header="0.5" footer="0.5"/>
      <pageSetup orientation="portrait" verticalDpi="1200" r:id="rId2"/>
      <headerFooter alignWithMargins="0"/>
    </customSheetView>
  </customSheetViews>
  <mergeCells count="70">
    <mergeCell ref="B174:K177"/>
    <mergeCell ref="B159:K162"/>
    <mergeCell ref="L116:L117"/>
    <mergeCell ref="B163:K166"/>
    <mergeCell ref="B167:K173"/>
    <mergeCell ref="D118:D119"/>
    <mergeCell ref="C116:C117"/>
    <mergeCell ref="E134:E135"/>
    <mergeCell ref="F134:F135"/>
    <mergeCell ref="G134:G135"/>
    <mergeCell ref="H134:H135"/>
    <mergeCell ref="I134:I135"/>
    <mergeCell ref="J134:J135"/>
    <mergeCell ref="E144:I144"/>
    <mergeCell ref="J144:N144"/>
    <mergeCell ref="K131:K135"/>
    <mergeCell ref="B4:K5"/>
    <mergeCell ref="B12:K16"/>
    <mergeCell ref="B7:K10"/>
    <mergeCell ref="B18:K21"/>
    <mergeCell ref="E118:E119"/>
    <mergeCell ref="G117:I117"/>
    <mergeCell ref="B36:K38"/>
    <mergeCell ref="G67:G68"/>
    <mergeCell ref="C101:C104"/>
    <mergeCell ref="C80:C81"/>
    <mergeCell ref="E59:E62"/>
    <mergeCell ref="J73:K74"/>
    <mergeCell ref="B74:I75"/>
    <mergeCell ref="D81:E81"/>
    <mergeCell ref="G81:I81"/>
    <mergeCell ref="I66:I68"/>
    <mergeCell ref="P101:Q106"/>
    <mergeCell ref="D117:E117"/>
    <mergeCell ref="D82:D83"/>
    <mergeCell ref="E82:E83"/>
    <mergeCell ref="D101:D104"/>
    <mergeCell ref="D99:D100"/>
    <mergeCell ref="J111:K112"/>
    <mergeCell ref="F97:F100"/>
    <mergeCell ref="G97:G100"/>
    <mergeCell ref="H97:H100"/>
    <mergeCell ref="I97:I100"/>
    <mergeCell ref="G105:G106"/>
    <mergeCell ref="G109:G110"/>
    <mergeCell ref="H107:H112"/>
    <mergeCell ref="N83:N90"/>
    <mergeCell ref="M116:M117"/>
    <mergeCell ref="L36:L38"/>
    <mergeCell ref="B31:K34"/>
    <mergeCell ref="L97:L100"/>
    <mergeCell ref="G59:G62"/>
    <mergeCell ref="J97:J100"/>
    <mergeCell ref="K97:K100"/>
    <mergeCell ref="L59:L62"/>
    <mergeCell ref="B39:K42"/>
    <mergeCell ref="J59:J62"/>
    <mergeCell ref="K59:K62"/>
    <mergeCell ref="F59:F62"/>
    <mergeCell ref="H59:H62"/>
    <mergeCell ref="I59:I62"/>
    <mergeCell ref="G71:G72"/>
    <mergeCell ref="L80:L81"/>
    <mergeCell ref="H69:H72"/>
    <mergeCell ref="E141:G141"/>
    <mergeCell ref="E138:I138"/>
    <mergeCell ref="J138:N138"/>
    <mergeCell ref="J141:N142"/>
    <mergeCell ref="M80:M81"/>
    <mergeCell ref="N80:N82"/>
  </mergeCells>
  <phoneticPr fontId="6" type="noConversion"/>
  <pageMargins left="0.75" right="0.75" top="1" bottom="1" header="0.5" footer="0.5"/>
  <pageSetup orientation="portrait" verticalDpi="1200" r:id="rId3"/>
  <headerFooter alignWithMargins="0"/>
</worksheet>
</file>

<file path=xl/worksheets/sheet51.xml><?xml version="1.0" encoding="utf-8"?>
<worksheet xmlns="http://schemas.openxmlformats.org/spreadsheetml/2006/main" xmlns:r="http://schemas.openxmlformats.org/officeDocument/2006/relationships">
  <sheetPr codeName="Sheet43"/>
  <dimension ref="B2:T128"/>
  <sheetViews>
    <sheetView showGridLines="0" showRuler="0" workbookViewId="0"/>
  </sheetViews>
  <sheetFormatPr defaultColWidth="12.125" defaultRowHeight="13.95" customHeight="1"/>
  <cols>
    <col min="1" max="1" width="2.75" style="9" customWidth="1"/>
    <col min="2" max="2" width="6.375" style="9" customWidth="1"/>
    <col min="3" max="5" width="8" style="9" customWidth="1"/>
    <col min="6" max="6" width="9.875" style="9" customWidth="1"/>
    <col min="7" max="10" width="6.625" style="9" customWidth="1"/>
    <col min="11" max="14" width="7.125" style="9" bestFit="1" customWidth="1"/>
    <col min="15" max="15" width="10.375" style="9" customWidth="1"/>
    <col min="16" max="16" width="8.625" style="9" customWidth="1"/>
    <col min="17" max="17" width="2.875" style="9" customWidth="1"/>
    <col min="18" max="18" width="10.625" style="9" customWidth="1"/>
    <col min="19" max="19" width="11" style="9" customWidth="1"/>
    <col min="20" max="20" width="11.75" style="9" customWidth="1"/>
    <col min="21" max="16384" width="12.125" style="9"/>
  </cols>
  <sheetData>
    <row r="2" spans="2:20" ht="13.95" customHeight="1">
      <c r="B2" s="115" t="s">
        <v>405</v>
      </c>
      <c r="O2" s="181">
        <f>'Title Page'!K1</f>
        <v>40914</v>
      </c>
    </row>
    <row r="4" spans="2:20" ht="13.95" customHeight="1">
      <c r="B4" s="9" t="s">
        <v>2825</v>
      </c>
    </row>
    <row r="5" spans="2:20" ht="13.95" customHeight="1">
      <c r="B5" s="24"/>
    </row>
    <row r="6" spans="2:20" ht="13.95" customHeight="1">
      <c r="B6" s="9" t="s">
        <v>717</v>
      </c>
    </row>
    <row r="7" spans="2:20" ht="13.95" customHeight="1">
      <c r="B7" s="6"/>
    </row>
    <row r="8" spans="2:20" ht="13.95" customHeight="1">
      <c r="B8" s="3778" t="s">
        <v>2489</v>
      </c>
      <c r="C8" s="3778"/>
      <c r="D8" s="3778"/>
      <c r="E8" s="3778"/>
      <c r="F8" s="3778"/>
      <c r="G8" s="3778"/>
      <c r="H8" s="3778"/>
      <c r="I8" s="3778"/>
      <c r="J8" s="3778"/>
      <c r="K8" s="3778"/>
      <c r="L8" s="3778"/>
      <c r="M8" s="3778"/>
      <c r="N8" s="3778"/>
      <c r="Q8" s="158"/>
    </row>
    <row r="9" spans="2:20" ht="13.95" customHeight="1">
      <c r="B9" s="3778"/>
      <c r="C9" s="3778"/>
      <c r="D9" s="3778"/>
      <c r="E9" s="3778"/>
      <c r="F9" s="3778"/>
      <c r="G9" s="3778"/>
      <c r="H9" s="3778"/>
      <c r="I9" s="3778"/>
      <c r="J9" s="3778"/>
      <c r="K9" s="3778"/>
      <c r="L9" s="3778"/>
      <c r="M9" s="3778"/>
      <c r="N9" s="3778"/>
      <c r="O9" s="461"/>
      <c r="P9" s="461"/>
      <c r="Q9" s="207"/>
      <c r="R9" s="262" t="s">
        <v>659</v>
      </c>
      <c r="S9" s="262" t="s">
        <v>659</v>
      </c>
      <c r="T9" s="262" t="s">
        <v>220</v>
      </c>
    </row>
    <row r="10" spans="2:20" ht="13.95" customHeight="1">
      <c r="B10" s="6"/>
      <c r="O10" s="263" t="s">
        <v>676</v>
      </c>
      <c r="P10" s="263" t="s">
        <v>721</v>
      </c>
      <c r="Q10" s="207"/>
      <c r="R10" s="263" t="s">
        <v>658</v>
      </c>
      <c r="S10" s="263" t="s">
        <v>661</v>
      </c>
      <c r="T10" s="263" t="s">
        <v>663</v>
      </c>
    </row>
    <row r="11" spans="2:20" s="19" customFormat="1" ht="13.95" customHeight="1">
      <c r="C11" s="5214" t="s">
        <v>1330</v>
      </c>
      <c r="D11" s="5214"/>
      <c r="E11" s="5214"/>
      <c r="F11" s="5214"/>
      <c r="G11" s="5213" t="s">
        <v>2682</v>
      </c>
      <c r="H11" s="5213"/>
      <c r="I11" s="5213"/>
      <c r="J11" s="5213"/>
      <c r="K11" s="5213" t="s">
        <v>2687</v>
      </c>
      <c r="L11" s="5213"/>
      <c r="M11" s="5213"/>
      <c r="N11" s="5213"/>
      <c r="O11" s="264" t="s">
        <v>675</v>
      </c>
      <c r="P11" s="264" t="s">
        <v>840</v>
      </c>
      <c r="Q11" s="207"/>
      <c r="R11" s="460" t="s">
        <v>660</v>
      </c>
      <c r="S11" s="460" t="s">
        <v>662</v>
      </c>
      <c r="T11" s="264" t="s">
        <v>2053</v>
      </c>
    </row>
    <row r="12" spans="2:20" ht="13.95" customHeight="1">
      <c r="C12" s="285" t="s">
        <v>144</v>
      </c>
      <c r="D12" s="285" t="s">
        <v>145</v>
      </c>
      <c r="E12" s="459" t="s">
        <v>2683</v>
      </c>
      <c r="F12" s="252" t="s">
        <v>2684</v>
      </c>
      <c r="G12" s="285" t="s">
        <v>144</v>
      </c>
      <c r="H12" s="285" t="s">
        <v>145</v>
      </c>
      <c r="I12" s="459" t="s">
        <v>2685</v>
      </c>
      <c r="J12" s="252" t="s">
        <v>2684</v>
      </c>
      <c r="K12" s="285" t="s">
        <v>144</v>
      </c>
      <c r="L12" s="285" t="s">
        <v>145</v>
      </c>
      <c r="M12" s="459" t="s">
        <v>2686</v>
      </c>
      <c r="N12" s="285" t="s">
        <v>2684</v>
      </c>
      <c r="O12" s="503"/>
      <c r="P12" s="243"/>
      <c r="Q12" s="158"/>
      <c r="R12" s="503"/>
      <c r="S12" s="158"/>
      <c r="T12" s="539"/>
    </row>
    <row r="13" spans="2:20" ht="13.95" customHeight="1">
      <c r="B13" s="194">
        <v>1948</v>
      </c>
      <c r="C13" s="519"/>
      <c r="D13" s="520">
        <v>26462</v>
      </c>
      <c r="E13" s="520">
        <v>26465</v>
      </c>
      <c r="F13" s="521">
        <f>SUM(C13:E13)</f>
        <v>52927</v>
      </c>
      <c r="G13" s="525"/>
      <c r="H13" s="526">
        <v>0.25</v>
      </c>
      <c r="I13" s="526">
        <v>0.25</v>
      </c>
      <c r="J13" s="527"/>
      <c r="K13" s="525"/>
      <c r="L13" s="504"/>
      <c r="M13" s="504"/>
      <c r="N13" s="531"/>
      <c r="O13" s="503"/>
      <c r="P13" s="536"/>
      <c r="R13" s="503"/>
      <c r="S13" s="158"/>
      <c r="T13" s="536"/>
    </row>
    <row r="14" spans="2:20" ht="13.95" customHeight="1">
      <c r="B14" s="194">
        <v>1949</v>
      </c>
      <c r="C14" s="519"/>
      <c r="D14" s="520">
        <v>30045</v>
      </c>
      <c r="E14" s="520">
        <v>32554</v>
      </c>
      <c r="F14" s="521">
        <f t="shared" ref="F14:F70" si="0">SUM(C14:E14)</f>
        <v>62599</v>
      </c>
      <c r="G14" s="528"/>
      <c r="H14" s="526">
        <v>0.25</v>
      </c>
      <c r="I14" s="526">
        <v>0.25</v>
      </c>
      <c r="J14" s="527"/>
      <c r="K14" s="525"/>
      <c r="L14" s="504"/>
      <c r="M14" s="504"/>
      <c r="N14" s="531"/>
      <c r="O14" s="503"/>
      <c r="P14" s="536"/>
      <c r="R14" s="503"/>
      <c r="S14" s="158"/>
      <c r="T14" s="536"/>
    </row>
    <row r="15" spans="2:20" ht="13.95" customHeight="1">
      <c r="B15" s="194">
        <f>B14+1</f>
        <v>1950</v>
      </c>
      <c r="C15" s="519">
        <v>37258</v>
      </c>
      <c r="D15" s="520">
        <v>34044</v>
      </c>
      <c r="E15" s="520">
        <v>36995</v>
      </c>
      <c r="F15" s="521">
        <f t="shared" si="0"/>
        <v>108297</v>
      </c>
      <c r="G15" s="528">
        <v>0.35</v>
      </c>
      <c r="H15" s="526">
        <v>0.25</v>
      </c>
      <c r="I15" s="526">
        <v>0.25</v>
      </c>
      <c r="J15" s="527">
        <f t="shared" ref="J15:J46" si="1">N15/F15</f>
        <v>0.28440353841749999</v>
      </c>
      <c r="K15" s="532">
        <f t="shared" ref="K15:K46" si="2">C15*G15</f>
        <v>13040.3</v>
      </c>
      <c r="L15" s="533">
        <f t="shared" ref="L15:L46" si="3">D15*H15</f>
        <v>8511</v>
      </c>
      <c r="M15" s="533">
        <f t="shared" ref="M15:M46" si="4">E15*I15</f>
        <v>9248.75</v>
      </c>
      <c r="N15" s="534">
        <f>SUM(K15:M15)</f>
        <v>30800.05</v>
      </c>
      <c r="O15" s="503"/>
      <c r="P15" s="536"/>
      <c r="R15" s="503"/>
      <c r="S15" s="158"/>
      <c r="T15" s="536"/>
    </row>
    <row r="16" spans="2:20" ht="13.95" customHeight="1">
      <c r="B16" s="194">
        <f t="shared" ref="B16:B71" si="5">B15+1</f>
        <v>1951</v>
      </c>
      <c r="C16" s="519">
        <v>41253</v>
      </c>
      <c r="D16" s="520">
        <v>36680</v>
      </c>
      <c r="E16" s="520">
        <v>44639</v>
      </c>
      <c r="F16" s="521">
        <f t="shared" si="0"/>
        <v>122572</v>
      </c>
      <c r="G16" s="528">
        <v>0.35</v>
      </c>
      <c r="H16" s="526">
        <v>0.25</v>
      </c>
      <c r="I16" s="526">
        <v>0.25</v>
      </c>
      <c r="J16" s="527">
        <f t="shared" si="1"/>
        <v>0.28365613680122703</v>
      </c>
      <c r="K16" s="532">
        <f t="shared" si="2"/>
        <v>14438.55</v>
      </c>
      <c r="L16" s="533">
        <f t="shared" si="3"/>
        <v>9170</v>
      </c>
      <c r="M16" s="533">
        <f t="shared" si="4"/>
        <v>11159.75</v>
      </c>
      <c r="N16" s="534">
        <f t="shared" ref="N16:N65" si="6">SUM(K16:M16)</f>
        <v>34768.300000000003</v>
      </c>
      <c r="O16" s="503"/>
      <c r="P16" s="536"/>
      <c r="R16" s="503"/>
      <c r="S16" s="158"/>
      <c r="T16" s="536"/>
    </row>
    <row r="17" spans="2:20" ht="13.95" customHeight="1">
      <c r="B17" s="194">
        <f t="shared" si="5"/>
        <v>1952</v>
      </c>
      <c r="C17" s="519">
        <v>45366</v>
      </c>
      <c r="D17" s="520">
        <v>38866</v>
      </c>
      <c r="E17" s="520">
        <v>48503</v>
      </c>
      <c r="F17" s="521">
        <f t="shared" si="0"/>
        <v>132735</v>
      </c>
      <c r="G17" s="528">
        <v>0.35</v>
      </c>
      <c r="H17" s="526">
        <v>0.25</v>
      </c>
      <c r="I17" s="526">
        <v>0.25</v>
      </c>
      <c r="J17" s="527">
        <f t="shared" si="1"/>
        <v>0.28417787320601195</v>
      </c>
      <c r="K17" s="532">
        <f t="shared" si="2"/>
        <v>15878.099999999999</v>
      </c>
      <c r="L17" s="533">
        <f t="shared" si="3"/>
        <v>9716.5</v>
      </c>
      <c r="M17" s="533">
        <f t="shared" si="4"/>
        <v>12125.75</v>
      </c>
      <c r="N17" s="534">
        <f t="shared" si="6"/>
        <v>37720.35</v>
      </c>
      <c r="O17" s="503"/>
      <c r="P17" s="536"/>
      <c r="R17" s="503"/>
      <c r="S17" s="158"/>
      <c r="T17" s="536"/>
    </row>
    <row r="18" spans="2:20" ht="13.95" customHeight="1">
      <c r="B18" s="194">
        <f t="shared" si="5"/>
        <v>1953</v>
      </c>
      <c r="C18" s="519">
        <v>47999</v>
      </c>
      <c r="D18" s="520">
        <v>38509</v>
      </c>
      <c r="E18" s="520">
        <v>48595</v>
      </c>
      <c r="F18" s="521">
        <f t="shared" si="0"/>
        <v>135103</v>
      </c>
      <c r="G18" s="528">
        <v>0.35</v>
      </c>
      <c r="H18" s="526">
        <v>0.25</v>
      </c>
      <c r="I18" s="526">
        <v>0.25</v>
      </c>
      <c r="J18" s="527">
        <f t="shared" si="1"/>
        <v>0.28552770848907866</v>
      </c>
      <c r="K18" s="532">
        <f t="shared" si="2"/>
        <v>16799.649999999998</v>
      </c>
      <c r="L18" s="533">
        <f t="shared" si="3"/>
        <v>9627.25</v>
      </c>
      <c r="M18" s="533">
        <f t="shared" si="4"/>
        <v>12148.75</v>
      </c>
      <c r="N18" s="534">
        <f t="shared" si="6"/>
        <v>38575.649999999994</v>
      </c>
      <c r="O18" s="503"/>
      <c r="P18" s="536"/>
      <c r="R18" s="503"/>
      <c r="S18" s="158"/>
      <c r="T18" s="536"/>
    </row>
    <row r="19" spans="2:20" ht="13.95" customHeight="1">
      <c r="B19" s="194">
        <f t="shared" si="5"/>
        <v>1954</v>
      </c>
      <c r="C19" s="519">
        <v>45120</v>
      </c>
      <c r="D19" s="520">
        <v>38185</v>
      </c>
      <c r="E19" s="520">
        <v>52286</v>
      </c>
      <c r="F19" s="521">
        <f t="shared" si="0"/>
        <v>135591</v>
      </c>
      <c r="G19" s="528">
        <v>0.35</v>
      </c>
      <c r="H19" s="526">
        <v>0.25</v>
      </c>
      <c r="I19" s="526">
        <v>0.25</v>
      </c>
      <c r="J19" s="527">
        <f t="shared" si="1"/>
        <v>0.2832765449034228</v>
      </c>
      <c r="K19" s="532">
        <f t="shared" si="2"/>
        <v>15791.999999999998</v>
      </c>
      <c r="L19" s="533">
        <f t="shared" si="3"/>
        <v>9546.25</v>
      </c>
      <c r="M19" s="533">
        <f t="shared" si="4"/>
        <v>13071.5</v>
      </c>
      <c r="N19" s="534">
        <f t="shared" si="6"/>
        <v>38409.75</v>
      </c>
      <c r="O19" s="503"/>
      <c r="P19" s="536"/>
      <c r="R19" s="503"/>
      <c r="S19" s="158"/>
      <c r="T19" s="536"/>
    </row>
    <row r="20" spans="2:20" ht="13.95" customHeight="1">
      <c r="B20" s="194">
        <f t="shared" si="5"/>
        <v>1955</v>
      </c>
      <c r="C20" s="519">
        <v>45843</v>
      </c>
      <c r="D20" s="520">
        <v>39839</v>
      </c>
      <c r="E20" s="520">
        <v>59913</v>
      </c>
      <c r="F20" s="521">
        <f t="shared" si="0"/>
        <v>145595</v>
      </c>
      <c r="G20" s="528">
        <v>0.35</v>
      </c>
      <c r="H20" s="526">
        <v>0.25</v>
      </c>
      <c r="I20" s="526">
        <v>0.25</v>
      </c>
      <c r="J20" s="527">
        <f t="shared" si="1"/>
        <v>0.28148665819567981</v>
      </c>
      <c r="K20" s="532">
        <f t="shared" si="2"/>
        <v>16045.05</v>
      </c>
      <c r="L20" s="533">
        <f t="shared" si="3"/>
        <v>9959.75</v>
      </c>
      <c r="M20" s="533">
        <f t="shared" si="4"/>
        <v>14978.25</v>
      </c>
      <c r="N20" s="534">
        <f t="shared" si="6"/>
        <v>40983.050000000003</v>
      </c>
      <c r="O20" s="503"/>
      <c r="P20" s="536"/>
      <c r="R20" s="503"/>
      <c r="S20" s="158"/>
      <c r="T20" s="536"/>
    </row>
    <row r="21" spans="2:20" ht="13.95" customHeight="1">
      <c r="B21" s="194">
        <f t="shared" si="5"/>
        <v>1956</v>
      </c>
      <c r="C21" s="519">
        <v>48054</v>
      </c>
      <c r="D21" s="520">
        <v>49544</v>
      </c>
      <c r="E21" s="520">
        <v>64460</v>
      </c>
      <c r="F21" s="521">
        <f t="shared" si="0"/>
        <v>162058</v>
      </c>
      <c r="G21" s="528">
        <v>0.35</v>
      </c>
      <c r="H21" s="526">
        <v>0.25</v>
      </c>
      <c r="I21" s="526">
        <v>0.25</v>
      </c>
      <c r="J21" s="527">
        <f t="shared" si="1"/>
        <v>0.27965234669069094</v>
      </c>
      <c r="K21" s="532">
        <f t="shared" si="2"/>
        <v>16818.899999999998</v>
      </c>
      <c r="L21" s="533">
        <f t="shared" si="3"/>
        <v>12386</v>
      </c>
      <c r="M21" s="533">
        <f t="shared" si="4"/>
        <v>16115</v>
      </c>
      <c r="N21" s="534">
        <f t="shared" si="6"/>
        <v>45319.899999999994</v>
      </c>
      <c r="O21" s="503"/>
      <c r="P21" s="536"/>
      <c r="R21" s="503"/>
      <c r="S21" s="158"/>
      <c r="T21" s="536"/>
    </row>
    <row r="22" spans="2:20" ht="13.95" customHeight="1">
      <c r="B22" s="194">
        <f t="shared" si="5"/>
        <v>1957</v>
      </c>
      <c r="C22" s="519">
        <v>54490</v>
      </c>
      <c r="D22" s="520">
        <v>54311</v>
      </c>
      <c r="E22" s="520">
        <v>64677</v>
      </c>
      <c r="F22" s="521">
        <f t="shared" si="0"/>
        <v>173478</v>
      </c>
      <c r="G22" s="528">
        <v>0.35</v>
      </c>
      <c r="H22" s="526">
        <v>0.25</v>
      </c>
      <c r="I22" s="526">
        <v>0.25</v>
      </c>
      <c r="J22" s="527">
        <f t="shared" si="1"/>
        <v>0.28141032292279139</v>
      </c>
      <c r="K22" s="532">
        <f t="shared" si="2"/>
        <v>19071.5</v>
      </c>
      <c r="L22" s="533">
        <f t="shared" si="3"/>
        <v>13577.75</v>
      </c>
      <c r="M22" s="533">
        <f t="shared" si="4"/>
        <v>16169.25</v>
      </c>
      <c r="N22" s="534">
        <f t="shared" si="6"/>
        <v>48818.5</v>
      </c>
      <c r="O22" s="503"/>
      <c r="P22" s="536"/>
      <c r="R22" s="503"/>
      <c r="S22" s="158"/>
      <c r="T22" s="536"/>
    </row>
    <row r="23" spans="2:20" ht="13.95" customHeight="1">
      <c r="B23" s="194">
        <f t="shared" si="5"/>
        <v>1958</v>
      </c>
      <c r="C23" s="519">
        <v>53789</v>
      </c>
      <c r="D23" s="520">
        <v>58321</v>
      </c>
      <c r="E23" s="520">
        <v>62982</v>
      </c>
      <c r="F23" s="521">
        <f t="shared" si="0"/>
        <v>175092</v>
      </c>
      <c r="G23" s="528">
        <v>0.35</v>
      </c>
      <c r="H23" s="526">
        <v>0.25</v>
      </c>
      <c r="I23" s="526">
        <v>0.25</v>
      </c>
      <c r="J23" s="527">
        <f t="shared" si="1"/>
        <v>0.28072042126424962</v>
      </c>
      <c r="K23" s="532">
        <f t="shared" si="2"/>
        <v>18826.149999999998</v>
      </c>
      <c r="L23" s="533">
        <f t="shared" si="3"/>
        <v>14580.25</v>
      </c>
      <c r="M23" s="533">
        <f t="shared" si="4"/>
        <v>15745.5</v>
      </c>
      <c r="N23" s="534">
        <f t="shared" si="6"/>
        <v>49151.899999999994</v>
      </c>
      <c r="O23" s="503"/>
      <c r="P23" s="536"/>
      <c r="R23" s="503"/>
      <c r="S23" s="158"/>
      <c r="T23" s="536"/>
    </row>
    <row r="24" spans="2:20" ht="13.95" customHeight="1">
      <c r="B24" s="194">
        <f t="shared" si="5"/>
        <v>1959</v>
      </c>
      <c r="C24" s="519">
        <v>49468</v>
      </c>
      <c r="D24" s="520">
        <v>61115</v>
      </c>
      <c r="E24" s="520">
        <v>64389</v>
      </c>
      <c r="F24" s="521">
        <f t="shared" si="0"/>
        <v>174972</v>
      </c>
      <c r="G24" s="528">
        <v>0.35</v>
      </c>
      <c r="H24" s="526">
        <v>0.25</v>
      </c>
      <c r="I24" s="526">
        <v>0.25</v>
      </c>
      <c r="J24" s="527">
        <f t="shared" si="1"/>
        <v>0.27827195208376199</v>
      </c>
      <c r="K24" s="532">
        <f t="shared" si="2"/>
        <v>17313.8</v>
      </c>
      <c r="L24" s="533">
        <f t="shared" si="3"/>
        <v>15278.75</v>
      </c>
      <c r="M24" s="533">
        <f t="shared" si="4"/>
        <v>16097.25</v>
      </c>
      <c r="N24" s="534">
        <f t="shared" si="6"/>
        <v>48689.8</v>
      </c>
      <c r="O24" s="503"/>
      <c r="P24" s="536"/>
      <c r="R24" s="503"/>
      <c r="S24" s="158"/>
      <c r="T24" s="536"/>
    </row>
    <row r="25" spans="2:20" ht="13.95" customHeight="1">
      <c r="B25" s="194">
        <f t="shared" si="5"/>
        <v>1960</v>
      </c>
      <c r="C25" s="519">
        <v>48970</v>
      </c>
      <c r="D25" s="520">
        <v>62008</v>
      </c>
      <c r="E25" s="520">
        <v>63115</v>
      </c>
      <c r="F25" s="521">
        <f t="shared" si="0"/>
        <v>174093</v>
      </c>
      <c r="G25" s="528">
        <v>0.35</v>
      </c>
      <c r="H25" s="526">
        <v>0.25</v>
      </c>
      <c r="I25" s="526">
        <v>0.25</v>
      </c>
      <c r="J25" s="527">
        <f t="shared" si="1"/>
        <v>0.27812864388573921</v>
      </c>
      <c r="K25" s="532">
        <f t="shared" si="2"/>
        <v>17139.5</v>
      </c>
      <c r="L25" s="533">
        <f t="shared" si="3"/>
        <v>15502</v>
      </c>
      <c r="M25" s="533">
        <f t="shared" si="4"/>
        <v>15778.75</v>
      </c>
      <c r="N25" s="534">
        <f t="shared" si="6"/>
        <v>48420.25</v>
      </c>
      <c r="O25" s="503"/>
      <c r="P25" s="536"/>
      <c r="R25" s="503"/>
      <c r="S25" s="158"/>
      <c r="T25" s="536"/>
    </row>
    <row r="26" spans="2:20" ht="13.95" customHeight="1">
      <c r="B26" s="194">
        <f t="shared" si="5"/>
        <v>1961</v>
      </c>
      <c r="C26" s="519">
        <v>48197</v>
      </c>
      <c r="D26" s="520">
        <v>62301</v>
      </c>
      <c r="E26" s="520">
        <v>59603</v>
      </c>
      <c r="F26" s="521">
        <f t="shared" si="0"/>
        <v>170101</v>
      </c>
      <c r="G26" s="528">
        <v>0.35</v>
      </c>
      <c r="H26" s="526">
        <v>0.25</v>
      </c>
      <c r="I26" s="526">
        <v>0.25</v>
      </c>
      <c r="J26" s="527">
        <f t="shared" si="1"/>
        <v>0.27833434253766876</v>
      </c>
      <c r="K26" s="532">
        <f t="shared" si="2"/>
        <v>16868.95</v>
      </c>
      <c r="L26" s="533">
        <f t="shared" si="3"/>
        <v>15575.25</v>
      </c>
      <c r="M26" s="533">
        <f t="shared" si="4"/>
        <v>14900.75</v>
      </c>
      <c r="N26" s="534">
        <f t="shared" si="6"/>
        <v>47344.95</v>
      </c>
      <c r="O26" s="503"/>
      <c r="P26" s="536"/>
      <c r="R26" s="503"/>
      <c r="S26" s="158"/>
      <c r="T26" s="536"/>
    </row>
    <row r="27" spans="2:20" ht="13.95" customHeight="1">
      <c r="B27" s="194">
        <f t="shared" si="5"/>
        <v>1962</v>
      </c>
      <c r="C27" s="519">
        <v>48173</v>
      </c>
      <c r="D27" s="520">
        <v>65038</v>
      </c>
      <c r="E27" s="520">
        <v>60251</v>
      </c>
      <c r="F27" s="521">
        <f t="shared" si="0"/>
        <v>173462</v>
      </c>
      <c r="G27" s="528">
        <v>0.35</v>
      </c>
      <c r="H27" s="526">
        <v>0.25</v>
      </c>
      <c r="I27" s="526">
        <v>0.25</v>
      </c>
      <c r="J27" s="527">
        <f t="shared" si="1"/>
        <v>0.27777150038625176</v>
      </c>
      <c r="K27" s="532">
        <f t="shared" si="2"/>
        <v>16860.55</v>
      </c>
      <c r="L27" s="533">
        <f t="shared" si="3"/>
        <v>16259.5</v>
      </c>
      <c r="M27" s="533">
        <f t="shared" si="4"/>
        <v>15062.75</v>
      </c>
      <c r="N27" s="534">
        <f t="shared" si="6"/>
        <v>48182.8</v>
      </c>
      <c r="O27" s="503"/>
      <c r="P27" s="536"/>
      <c r="R27" s="503"/>
      <c r="S27" s="158"/>
      <c r="T27" s="536"/>
    </row>
    <row r="28" spans="2:20" ht="13.95" customHeight="1">
      <c r="B28" s="194">
        <f t="shared" si="5"/>
        <v>1963</v>
      </c>
      <c r="C28" s="519">
        <v>48271</v>
      </c>
      <c r="D28" s="520">
        <v>63038</v>
      </c>
      <c r="E28" s="520">
        <v>60988</v>
      </c>
      <c r="F28" s="521">
        <f t="shared" si="0"/>
        <v>172297</v>
      </c>
      <c r="G28" s="528">
        <v>0.35</v>
      </c>
      <c r="H28" s="526">
        <v>0.25</v>
      </c>
      <c r="I28" s="526">
        <v>0.25</v>
      </c>
      <c r="J28" s="527">
        <f t="shared" si="1"/>
        <v>0.27801615814552777</v>
      </c>
      <c r="K28" s="532">
        <f t="shared" si="2"/>
        <v>16894.849999999999</v>
      </c>
      <c r="L28" s="533">
        <f t="shared" si="3"/>
        <v>15759.5</v>
      </c>
      <c r="M28" s="533">
        <f t="shared" si="4"/>
        <v>15247</v>
      </c>
      <c r="N28" s="534">
        <f t="shared" si="6"/>
        <v>47901.35</v>
      </c>
      <c r="O28" s="503"/>
      <c r="P28" s="536"/>
      <c r="R28" s="503"/>
      <c r="S28" s="158"/>
      <c r="T28" s="536"/>
    </row>
    <row r="29" spans="2:20" ht="13.95" customHeight="1">
      <c r="B29" s="194">
        <f t="shared" si="5"/>
        <v>1964</v>
      </c>
      <c r="C29" s="519">
        <v>51893</v>
      </c>
      <c r="D29" s="520">
        <v>67713</v>
      </c>
      <c r="E29" s="520">
        <v>66139</v>
      </c>
      <c r="F29" s="521">
        <f t="shared" si="0"/>
        <v>185745</v>
      </c>
      <c r="G29" s="528">
        <v>0.35</v>
      </c>
      <c r="H29" s="526">
        <v>0.25</v>
      </c>
      <c r="I29" s="526">
        <v>0.25</v>
      </c>
      <c r="J29" s="527">
        <f t="shared" si="1"/>
        <v>0.27793776413900778</v>
      </c>
      <c r="K29" s="532">
        <f t="shared" si="2"/>
        <v>18162.55</v>
      </c>
      <c r="L29" s="533">
        <f t="shared" si="3"/>
        <v>16928.25</v>
      </c>
      <c r="M29" s="533">
        <f t="shared" si="4"/>
        <v>16534.75</v>
      </c>
      <c r="N29" s="534">
        <f t="shared" si="6"/>
        <v>51625.55</v>
      </c>
      <c r="O29" s="503"/>
      <c r="P29" s="536"/>
      <c r="R29" s="503"/>
      <c r="S29" s="158"/>
      <c r="T29" s="536"/>
    </row>
    <row r="30" spans="2:20" ht="13.95" customHeight="1">
      <c r="B30" s="194">
        <f t="shared" si="5"/>
        <v>1965</v>
      </c>
      <c r="C30" s="519">
        <v>56455</v>
      </c>
      <c r="D30" s="520">
        <v>69386</v>
      </c>
      <c r="E30" s="520">
        <v>69755</v>
      </c>
      <c r="F30" s="521">
        <f t="shared" si="0"/>
        <v>195596</v>
      </c>
      <c r="G30" s="528">
        <v>0.35</v>
      </c>
      <c r="H30" s="526">
        <v>0.25</v>
      </c>
      <c r="I30" s="526">
        <v>0.25</v>
      </c>
      <c r="J30" s="527">
        <f t="shared" si="1"/>
        <v>0.27886306468434935</v>
      </c>
      <c r="K30" s="532">
        <f t="shared" si="2"/>
        <v>19759.25</v>
      </c>
      <c r="L30" s="533">
        <f t="shared" si="3"/>
        <v>17346.5</v>
      </c>
      <c r="M30" s="533">
        <f t="shared" si="4"/>
        <v>17438.75</v>
      </c>
      <c r="N30" s="534">
        <f t="shared" si="6"/>
        <v>54544.5</v>
      </c>
      <c r="O30" s="503"/>
      <c r="P30" s="536"/>
      <c r="R30" s="503"/>
      <c r="S30" s="158"/>
      <c r="T30" s="536"/>
    </row>
    <row r="31" spans="2:20" ht="13.95" customHeight="1">
      <c r="B31" s="194">
        <f t="shared" si="5"/>
        <v>1966</v>
      </c>
      <c r="C31" s="519">
        <v>57674</v>
      </c>
      <c r="D31" s="520">
        <v>69850</v>
      </c>
      <c r="E31" s="520">
        <v>71540</v>
      </c>
      <c r="F31" s="521">
        <f t="shared" si="0"/>
        <v>199064</v>
      </c>
      <c r="G31" s="528">
        <v>0.35</v>
      </c>
      <c r="H31" s="526">
        <v>0.25</v>
      </c>
      <c r="I31" s="526">
        <v>0.25</v>
      </c>
      <c r="J31" s="527">
        <f t="shared" si="1"/>
        <v>0.27897259172929306</v>
      </c>
      <c r="K31" s="532">
        <f t="shared" si="2"/>
        <v>20185.899999999998</v>
      </c>
      <c r="L31" s="533">
        <f t="shared" si="3"/>
        <v>17462.5</v>
      </c>
      <c r="M31" s="533">
        <f t="shared" si="4"/>
        <v>17885</v>
      </c>
      <c r="N31" s="534">
        <f t="shared" si="6"/>
        <v>55533.399999999994</v>
      </c>
      <c r="O31" s="503"/>
      <c r="P31" s="536"/>
      <c r="R31" s="503"/>
      <c r="S31" s="158"/>
      <c r="T31" s="536"/>
    </row>
    <row r="32" spans="2:20" ht="13.95" customHeight="1">
      <c r="B32" s="194">
        <f t="shared" si="5"/>
        <v>1967</v>
      </c>
      <c r="C32" s="519">
        <v>57611</v>
      </c>
      <c r="D32" s="520">
        <v>69416</v>
      </c>
      <c r="E32" s="520">
        <v>73602</v>
      </c>
      <c r="F32" s="521">
        <f t="shared" si="0"/>
        <v>200629</v>
      </c>
      <c r="G32" s="528">
        <v>0.35</v>
      </c>
      <c r="H32" s="526">
        <v>0.25</v>
      </c>
      <c r="I32" s="526">
        <v>0.25</v>
      </c>
      <c r="J32" s="527">
        <f t="shared" si="1"/>
        <v>0.27871519072516932</v>
      </c>
      <c r="K32" s="532">
        <f t="shared" si="2"/>
        <v>20163.849999999999</v>
      </c>
      <c r="L32" s="533">
        <f t="shared" si="3"/>
        <v>17354</v>
      </c>
      <c r="M32" s="533">
        <f t="shared" si="4"/>
        <v>18400.5</v>
      </c>
      <c r="N32" s="534">
        <f t="shared" si="6"/>
        <v>55918.35</v>
      </c>
      <c r="O32" s="503"/>
      <c r="P32" s="536"/>
      <c r="R32" s="503"/>
      <c r="S32" s="158"/>
      <c r="T32" s="536"/>
    </row>
    <row r="33" spans="2:20" ht="13.95" customHeight="1">
      <c r="B33" s="194">
        <f t="shared" si="5"/>
        <v>1968</v>
      </c>
      <c r="C33" s="519">
        <v>60652</v>
      </c>
      <c r="D33" s="520">
        <v>66432</v>
      </c>
      <c r="E33" s="520">
        <v>75932</v>
      </c>
      <c r="F33" s="521">
        <f t="shared" si="0"/>
        <v>203016</v>
      </c>
      <c r="G33" s="528">
        <v>0.35</v>
      </c>
      <c r="H33" s="526">
        <v>0.25</v>
      </c>
      <c r="I33" s="526">
        <v>0.25</v>
      </c>
      <c r="J33" s="527">
        <f t="shared" si="1"/>
        <v>0.27987547779485361</v>
      </c>
      <c r="K33" s="532">
        <f t="shared" si="2"/>
        <v>21228.199999999997</v>
      </c>
      <c r="L33" s="533">
        <f t="shared" si="3"/>
        <v>16608</v>
      </c>
      <c r="M33" s="533">
        <f t="shared" si="4"/>
        <v>18983</v>
      </c>
      <c r="N33" s="534">
        <f t="shared" si="6"/>
        <v>56819.199999999997</v>
      </c>
      <c r="O33" s="503"/>
      <c r="P33" s="536"/>
      <c r="R33" s="503"/>
      <c r="S33" s="158"/>
      <c r="T33" s="536"/>
    </row>
    <row r="34" spans="2:20" ht="13.95" customHeight="1">
      <c r="B34" s="194">
        <f t="shared" si="5"/>
        <v>1969</v>
      </c>
      <c r="C34" s="519">
        <v>62116</v>
      </c>
      <c r="D34" s="520">
        <v>68884</v>
      </c>
      <c r="E34" s="520">
        <v>78481</v>
      </c>
      <c r="F34" s="521">
        <f t="shared" si="0"/>
        <v>209481</v>
      </c>
      <c r="G34" s="528">
        <v>0.35</v>
      </c>
      <c r="H34" s="526">
        <v>0.25</v>
      </c>
      <c r="I34" s="526">
        <v>0.25</v>
      </c>
      <c r="J34" s="527">
        <f t="shared" si="1"/>
        <v>0.27965233123767785</v>
      </c>
      <c r="K34" s="532">
        <f t="shared" si="2"/>
        <v>21740.6</v>
      </c>
      <c r="L34" s="533">
        <f t="shared" si="3"/>
        <v>17221</v>
      </c>
      <c r="M34" s="533">
        <f t="shared" si="4"/>
        <v>19620.25</v>
      </c>
      <c r="N34" s="534">
        <f t="shared" si="6"/>
        <v>58581.85</v>
      </c>
      <c r="O34" s="503"/>
      <c r="P34" s="536"/>
      <c r="R34" s="503"/>
      <c r="S34" s="158"/>
      <c r="T34" s="536"/>
    </row>
    <row r="35" spans="2:20" ht="13.95" customHeight="1">
      <c r="B35" s="194">
        <f t="shared" si="5"/>
        <v>1970</v>
      </c>
      <c r="C35" s="519">
        <v>62042</v>
      </c>
      <c r="D35" s="520">
        <v>77180</v>
      </c>
      <c r="E35" s="520">
        <v>85121</v>
      </c>
      <c r="F35" s="521">
        <f t="shared" si="0"/>
        <v>224343</v>
      </c>
      <c r="G35" s="528">
        <v>0.35</v>
      </c>
      <c r="H35" s="526">
        <v>0.25</v>
      </c>
      <c r="I35" s="526">
        <v>0.25</v>
      </c>
      <c r="J35" s="527">
        <f t="shared" si="1"/>
        <v>0.27765497474848777</v>
      </c>
      <c r="K35" s="532">
        <f t="shared" si="2"/>
        <v>21714.699999999997</v>
      </c>
      <c r="L35" s="533">
        <f t="shared" si="3"/>
        <v>19295</v>
      </c>
      <c r="M35" s="533">
        <f t="shared" si="4"/>
        <v>21280.25</v>
      </c>
      <c r="N35" s="534">
        <f t="shared" si="6"/>
        <v>62289.95</v>
      </c>
      <c r="O35" s="537">
        <f>'River Crossings'!M91</f>
        <v>0.37636012253265466</v>
      </c>
      <c r="P35" s="538">
        <f t="shared" ref="P35:P70" si="7">J35*O35</f>
        <v>0.10449826031814199</v>
      </c>
      <c r="Q35" s="175"/>
      <c r="R35" s="501"/>
      <c r="S35" s="207"/>
      <c r="T35" s="502"/>
    </row>
    <row r="36" spans="2:20" ht="13.95" customHeight="1">
      <c r="B36" s="194">
        <f t="shared" si="5"/>
        <v>1971</v>
      </c>
      <c r="C36" s="519">
        <v>64032</v>
      </c>
      <c r="D36" s="520">
        <v>81747</v>
      </c>
      <c r="E36" s="520">
        <v>90372</v>
      </c>
      <c r="F36" s="521">
        <f t="shared" si="0"/>
        <v>236151</v>
      </c>
      <c r="G36" s="528">
        <v>0.35</v>
      </c>
      <c r="H36" s="526">
        <v>0.25</v>
      </c>
      <c r="I36" s="526">
        <v>0.25</v>
      </c>
      <c r="J36" s="527">
        <f t="shared" si="1"/>
        <v>0.27711485447870216</v>
      </c>
      <c r="K36" s="532">
        <f t="shared" si="2"/>
        <v>22411.199999999997</v>
      </c>
      <c r="L36" s="533">
        <f t="shared" si="3"/>
        <v>20436.75</v>
      </c>
      <c r="M36" s="533">
        <f t="shared" si="4"/>
        <v>22593</v>
      </c>
      <c r="N36" s="534">
        <f t="shared" si="6"/>
        <v>65440.95</v>
      </c>
      <c r="O36" s="537">
        <f>'River Crossings'!M92</f>
        <v>0.39344008290279747</v>
      </c>
      <c r="P36" s="538">
        <f t="shared" si="7"/>
        <v>0.10902809131969723</v>
      </c>
      <c r="Q36" s="175"/>
      <c r="R36" s="501"/>
      <c r="S36" s="207"/>
      <c r="T36" s="502"/>
    </row>
    <row r="37" spans="2:20" ht="13.95" customHeight="1">
      <c r="B37" s="194">
        <f t="shared" si="5"/>
        <v>1972</v>
      </c>
      <c r="C37" s="519">
        <v>52065</v>
      </c>
      <c r="D37" s="520">
        <v>74936</v>
      </c>
      <c r="E37" s="520">
        <v>80052</v>
      </c>
      <c r="F37" s="521">
        <f t="shared" si="0"/>
        <v>207053</v>
      </c>
      <c r="G37" s="528">
        <v>0.7</v>
      </c>
      <c r="H37" s="526">
        <v>0.5</v>
      </c>
      <c r="I37" s="526">
        <v>0.5</v>
      </c>
      <c r="J37" s="527">
        <f t="shared" si="1"/>
        <v>0.55029147126581113</v>
      </c>
      <c r="K37" s="532">
        <f t="shared" si="2"/>
        <v>36445.5</v>
      </c>
      <c r="L37" s="533">
        <f t="shared" si="3"/>
        <v>37468</v>
      </c>
      <c r="M37" s="533">
        <f t="shared" si="4"/>
        <v>40026</v>
      </c>
      <c r="N37" s="534">
        <f t="shared" si="6"/>
        <v>113939.5</v>
      </c>
      <c r="O37" s="537">
        <f>'River Crossings'!M93</f>
        <v>0.34662213628640065</v>
      </c>
      <c r="P37" s="538">
        <f t="shared" si="7"/>
        <v>0.19074320535034192</v>
      </c>
      <c r="Q37" s="175"/>
      <c r="R37" s="501"/>
      <c r="S37" s="207"/>
      <c r="T37" s="502"/>
    </row>
    <row r="38" spans="2:20" ht="13.95" customHeight="1">
      <c r="B38" s="194">
        <f t="shared" si="5"/>
        <v>1973</v>
      </c>
      <c r="C38" s="519">
        <v>49916</v>
      </c>
      <c r="D38" s="520">
        <v>74214</v>
      </c>
      <c r="E38" s="520">
        <v>85592</v>
      </c>
      <c r="F38" s="521">
        <f t="shared" si="0"/>
        <v>209722</v>
      </c>
      <c r="G38" s="528">
        <v>0.7</v>
      </c>
      <c r="H38" s="526">
        <v>0.5</v>
      </c>
      <c r="I38" s="526">
        <v>0.5</v>
      </c>
      <c r="J38" s="527">
        <f t="shared" si="1"/>
        <v>0.54760206368430586</v>
      </c>
      <c r="K38" s="532">
        <f t="shared" si="2"/>
        <v>34941.199999999997</v>
      </c>
      <c r="L38" s="533">
        <f t="shared" si="3"/>
        <v>37107</v>
      </c>
      <c r="M38" s="533">
        <f t="shared" si="4"/>
        <v>42796</v>
      </c>
      <c r="N38" s="534">
        <f t="shared" si="6"/>
        <v>114844.2</v>
      </c>
      <c r="O38" s="537">
        <f>'River Crossings'!M94</f>
        <v>0.34721495599425178</v>
      </c>
      <c r="P38" s="538">
        <f t="shared" si="7"/>
        <v>0.19013562644450771</v>
      </c>
      <c r="Q38" s="175"/>
      <c r="R38" s="501"/>
      <c r="S38" s="207"/>
      <c r="T38" s="502"/>
    </row>
    <row r="39" spans="2:20" ht="13.95" customHeight="1">
      <c r="B39" s="194">
        <f t="shared" si="5"/>
        <v>1974</v>
      </c>
      <c r="C39" s="519">
        <v>46620</v>
      </c>
      <c r="D39" s="520">
        <v>75219</v>
      </c>
      <c r="E39" s="520">
        <v>82676</v>
      </c>
      <c r="F39" s="521">
        <f t="shared" si="0"/>
        <v>204515</v>
      </c>
      <c r="G39" s="528">
        <v>0.7</v>
      </c>
      <c r="H39" s="526">
        <v>0.5</v>
      </c>
      <c r="I39" s="526">
        <v>0.5</v>
      </c>
      <c r="J39" s="527">
        <f t="shared" si="1"/>
        <v>0.54559078796176319</v>
      </c>
      <c r="K39" s="532">
        <f t="shared" si="2"/>
        <v>32633.999999999996</v>
      </c>
      <c r="L39" s="533">
        <f t="shared" si="3"/>
        <v>37609.5</v>
      </c>
      <c r="M39" s="533">
        <f t="shared" si="4"/>
        <v>41338</v>
      </c>
      <c r="N39" s="534">
        <f t="shared" si="6"/>
        <v>111581.5</v>
      </c>
      <c r="O39" s="537">
        <f>'River Crossings'!M95</f>
        <v>0.34134417988269972</v>
      </c>
      <c r="P39" s="538">
        <f t="shared" si="7"/>
        <v>0.18623424006836398</v>
      </c>
      <c r="Q39" s="175"/>
      <c r="R39" s="501"/>
      <c r="S39" s="207"/>
      <c r="T39" s="502"/>
    </row>
    <row r="40" spans="2:20" ht="13.95" customHeight="1">
      <c r="B40" s="194">
        <f t="shared" si="5"/>
        <v>1975</v>
      </c>
      <c r="C40" s="519">
        <v>45636</v>
      </c>
      <c r="D40" s="520">
        <v>65315</v>
      </c>
      <c r="E40" s="520">
        <v>72566</v>
      </c>
      <c r="F40" s="521">
        <f t="shared" si="0"/>
        <v>183517</v>
      </c>
      <c r="G40" s="528">
        <f>8/12*G39+4/12*G41</f>
        <v>0.71666666666666656</v>
      </c>
      <c r="H40" s="526">
        <f>8/12*H39+4/12*H41</f>
        <v>0.58333333333333326</v>
      </c>
      <c r="I40" s="526">
        <f>8/12*I39+4/12*I41</f>
        <v>0.58333333333333326</v>
      </c>
      <c r="J40" s="527">
        <f t="shared" si="1"/>
        <v>0.61648993462912605</v>
      </c>
      <c r="K40" s="532">
        <f t="shared" si="2"/>
        <v>32705.799999999996</v>
      </c>
      <c r="L40" s="533">
        <f t="shared" si="3"/>
        <v>38100.416666666664</v>
      </c>
      <c r="M40" s="533">
        <f t="shared" si="4"/>
        <v>42330.166666666664</v>
      </c>
      <c r="N40" s="534">
        <f t="shared" si="6"/>
        <v>113136.38333333333</v>
      </c>
      <c r="O40" s="537">
        <f>'River Crossings'!M96</f>
        <v>0.31215895328425436</v>
      </c>
      <c r="P40" s="538">
        <f t="shared" si="7"/>
        <v>0.19244285270410638</v>
      </c>
      <c r="Q40" s="175"/>
      <c r="R40" s="501"/>
      <c r="S40" s="540">
        <v>23582.306121000001</v>
      </c>
      <c r="T40" s="541">
        <f>'Toll Rates'!S40*100/'Trip Price'!P35</f>
        <v>43833.282752788109</v>
      </c>
    </row>
    <row r="41" spans="2:20" ht="13.95" customHeight="1">
      <c r="B41" s="194">
        <f t="shared" si="5"/>
        <v>1976</v>
      </c>
      <c r="C41" s="519">
        <v>52444</v>
      </c>
      <c r="D41" s="520">
        <v>65881</v>
      </c>
      <c r="E41" s="520">
        <v>68325</v>
      </c>
      <c r="F41" s="521">
        <f t="shared" si="0"/>
        <v>186650</v>
      </c>
      <c r="G41" s="528">
        <v>0.75</v>
      </c>
      <c r="H41" s="526">
        <v>0.75</v>
      </c>
      <c r="I41" s="526">
        <v>0.75</v>
      </c>
      <c r="J41" s="527">
        <f t="shared" si="1"/>
        <v>0.75</v>
      </c>
      <c r="K41" s="532">
        <f t="shared" si="2"/>
        <v>39333</v>
      </c>
      <c r="L41" s="533">
        <f t="shared" si="3"/>
        <v>49410.75</v>
      </c>
      <c r="M41" s="533">
        <f t="shared" si="4"/>
        <v>51243.75</v>
      </c>
      <c r="N41" s="534">
        <f t="shared" si="6"/>
        <v>139987.5</v>
      </c>
      <c r="O41" s="537">
        <f>'River Crossings'!M97</f>
        <v>0.31911546970582905</v>
      </c>
      <c r="P41" s="538">
        <f t="shared" si="7"/>
        <v>0.23933660227937179</v>
      </c>
      <c r="Q41" s="175"/>
      <c r="R41" s="501"/>
      <c r="S41" s="540">
        <v>24975.977209000001</v>
      </c>
      <c r="T41" s="541">
        <f>'Toll Rates'!S41*100/'Trip Price'!P36</f>
        <v>43894.511790861165</v>
      </c>
    </row>
    <row r="42" spans="2:20" ht="13.95" customHeight="1">
      <c r="B42" s="194">
        <f t="shared" si="5"/>
        <v>1977</v>
      </c>
      <c r="C42" s="519">
        <v>53500</v>
      </c>
      <c r="D42" s="520">
        <v>71150</v>
      </c>
      <c r="E42" s="520">
        <v>73276</v>
      </c>
      <c r="F42" s="521">
        <f t="shared" si="0"/>
        <v>197926</v>
      </c>
      <c r="G42" s="528">
        <v>0.75</v>
      </c>
      <c r="H42" s="526">
        <v>0.75</v>
      </c>
      <c r="I42" s="526">
        <v>0.75</v>
      </c>
      <c r="J42" s="527">
        <f t="shared" si="1"/>
        <v>0.75</v>
      </c>
      <c r="K42" s="532">
        <f t="shared" si="2"/>
        <v>40125</v>
      </c>
      <c r="L42" s="533">
        <f t="shared" si="3"/>
        <v>53362.5</v>
      </c>
      <c r="M42" s="533">
        <f t="shared" si="4"/>
        <v>54957</v>
      </c>
      <c r="N42" s="534">
        <f t="shared" si="6"/>
        <v>148444.5</v>
      </c>
      <c r="O42" s="537">
        <f>'River Crossings'!M98</f>
        <v>0.3320538329648059</v>
      </c>
      <c r="P42" s="538">
        <f t="shared" si="7"/>
        <v>0.24904037472360441</v>
      </c>
      <c r="Q42" s="175"/>
      <c r="R42" s="501"/>
      <c r="S42" s="540">
        <v>26641.513324</v>
      </c>
      <c r="T42" s="541">
        <f>'Toll Rates'!S42*100/'Trip Price'!P37</f>
        <v>43962.893273927388</v>
      </c>
    </row>
    <row r="43" spans="2:20" ht="13.95" customHeight="1">
      <c r="B43" s="194">
        <f t="shared" si="5"/>
        <v>1978</v>
      </c>
      <c r="C43" s="519">
        <v>58252</v>
      </c>
      <c r="D43" s="520">
        <v>72696</v>
      </c>
      <c r="E43" s="520">
        <v>76572</v>
      </c>
      <c r="F43" s="521">
        <f t="shared" si="0"/>
        <v>207520</v>
      </c>
      <c r="G43" s="528">
        <v>0.75</v>
      </c>
      <c r="H43" s="526">
        <v>0.75</v>
      </c>
      <c r="I43" s="526">
        <v>0.75</v>
      </c>
      <c r="J43" s="527">
        <f t="shared" si="1"/>
        <v>0.75</v>
      </c>
      <c r="K43" s="532">
        <f t="shared" si="2"/>
        <v>43689</v>
      </c>
      <c r="L43" s="533">
        <f t="shared" si="3"/>
        <v>54522</v>
      </c>
      <c r="M43" s="533">
        <f t="shared" si="4"/>
        <v>57429</v>
      </c>
      <c r="N43" s="534">
        <f t="shared" si="6"/>
        <v>155640</v>
      </c>
      <c r="O43" s="537">
        <f>'River Crossings'!M99</f>
        <v>0.34150339166581639</v>
      </c>
      <c r="P43" s="538">
        <f t="shared" si="7"/>
        <v>0.25612754374936231</v>
      </c>
      <c r="Q43" s="175"/>
      <c r="R43" s="542">
        <v>2177.9270000000001</v>
      </c>
      <c r="S43" s="540">
        <v>34986.109044999997</v>
      </c>
      <c r="T43" s="541">
        <f>'Toll Rates'!S43*100/'Trip Price'!P38</f>
        <v>53659.676449386498</v>
      </c>
    </row>
    <row r="44" spans="2:20" ht="13.95" customHeight="1">
      <c r="B44" s="194">
        <f t="shared" si="5"/>
        <v>1979</v>
      </c>
      <c r="C44" s="519">
        <v>60445</v>
      </c>
      <c r="D44" s="520">
        <v>69827</v>
      </c>
      <c r="E44" s="520">
        <v>87885</v>
      </c>
      <c r="F44" s="521">
        <f t="shared" si="0"/>
        <v>218157</v>
      </c>
      <c r="G44" s="528">
        <v>0.75</v>
      </c>
      <c r="H44" s="526">
        <v>0.75</v>
      </c>
      <c r="I44" s="526">
        <v>0.75</v>
      </c>
      <c r="J44" s="527">
        <f t="shared" si="1"/>
        <v>0.75</v>
      </c>
      <c r="K44" s="532">
        <f t="shared" si="2"/>
        <v>45333.75</v>
      </c>
      <c r="L44" s="533">
        <f t="shared" si="3"/>
        <v>52370.25</v>
      </c>
      <c r="M44" s="533">
        <f t="shared" si="4"/>
        <v>65913.75</v>
      </c>
      <c r="N44" s="534">
        <f t="shared" si="6"/>
        <v>163617.75</v>
      </c>
      <c r="O44" s="537">
        <f>'River Crossings'!M100</f>
        <v>0.36348292609778654</v>
      </c>
      <c r="P44" s="538">
        <f t="shared" si="7"/>
        <v>0.27261219457333991</v>
      </c>
      <c r="Q44" s="175"/>
      <c r="R44" s="542">
        <v>2181.1750000000002</v>
      </c>
      <c r="S44" s="540">
        <v>37345.270218999998</v>
      </c>
      <c r="T44" s="541">
        <f>'Toll Rates'!S44*100/'Trip Price'!P39</f>
        <v>51439.766141873282</v>
      </c>
    </row>
    <row r="45" spans="2:20" ht="13.95" customHeight="1">
      <c r="B45" s="194">
        <f t="shared" si="5"/>
        <v>1980</v>
      </c>
      <c r="C45" s="519">
        <v>62386</v>
      </c>
      <c r="D45" s="520">
        <v>73216</v>
      </c>
      <c r="E45" s="520">
        <v>88439</v>
      </c>
      <c r="F45" s="521">
        <f t="shared" si="0"/>
        <v>224041</v>
      </c>
      <c r="G45" s="528">
        <f>139/366*G44+227/366*G46</f>
        <v>0.9050546448087432</v>
      </c>
      <c r="H45" s="526">
        <f>139/366*H44+227/366*H46</f>
        <v>0.9050546448087432</v>
      </c>
      <c r="I45" s="526">
        <f>139/366*I44+227/366*I46</f>
        <v>0.9050546448087432</v>
      </c>
      <c r="J45" s="527">
        <f t="shared" si="1"/>
        <v>0.90505464480874309</v>
      </c>
      <c r="K45" s="532">
        <f t="shared" si="2"/>
        <v>56462.739071038253</v>
      </c>
      <c r="L45" s="533">
        <f t="shared" si="3"/>
        <v>66264.480874316941</v>
      </c>
      <c r="M45" s="533">
        <f t="shared" si="4"/>
        <v>80042.127732240435</v>
      </c>
      <c r="N45" s="534">
        <f t="shared" si="6"/>
        <v>202769.34767759562</v>
      </c>
      <c r="O45" s="537">
        <f>'River Crossings'!M101</f>
        <v>0.36340735862553347</v>
      </c>
      <c r="P45" s="538">
        <f t="shared" si="7"/>
        <v>0.32890351788171573</v>
      </c>
      <c r="Q45" s="175"/>
      <c r="R45" s="542">
        <v>2205.27</v>
      </c>
      <c r="S45" s="540">
        <v>41512.846052000001</v>
      </c>
      <c r="T45" s="541">
        <f>'Toll Rates'!S45*100/'Trip Price'!P40</f>
        <v>50379.667538834947</v>
      </c>
    </row>
    <row r="46" spans="2:20" ht="13.95" customHeight="1">
      <c r="B46" s="194">
        <f t="shared" si="5"/>
        <v>1981</v>
      </c>
      <c r="C46" s="519">
        <v>58657</v>
      </c>
      <c r="D46" s="520">
        <v>81211</v>
      </c>
      <c r="E46" s="520">
        <v>93361</v>
      </c>
      <c r="F46" s="521">
        <f t="shared" si="0"/>
        <v>233229</v>
      </c>
      <c r="G46" s="528">
        <v>1</v>
      </c>
      <c r="H46" s="526">
        <v>1</v>
      </c>
      <c r="I46" s="526">
        <v>1</v>
      </c>
      <c r="J46" s="527">
        <f t="shared" si="1"/>
        <v>1</v>
      </c>
      <c r="K46" s="532">
        <f t="shared" si="2"/>
        <v>58657</v>
      </c>
      <c r="L46" s="533">
        <f t="shared" si="3"/>
        <v>81211</v>
      </c>
      <c r="M46" s="533">
        <f t="shared" si="4"/>
        <v>93361</v>
      </c>
      <c r="N46" s="534">
        <f t="shared" si="6"/>
        <v>233229</v>
      </c>
      <c r="O46" s="537">
        <f>'River Crossings'!M102</f>
        <v>0.37117452900753395</v>
      </c>
      <c r="P46" s="538">
        <f t="shared" si="7"/>
        <v>0.37117452900753395</v>
      </c>
      <c r="Q46" s="175"/>
      <c r="R46" s="542">
        <v>2247.4839999999999</v>
      </c>
      <c r="S46" s="540">
        <v>46425.512564999997</v>
      </c>
      <c r="T46" s="541">
        <f>'Toll Rates'!S46*100/'Trip Price'!P41</f>
        <v>51073.171138613863</v>
      </c>
    </row>
    <row r="47" spans="2:20" ht="13.95" customHeight="1">
      <c r="B47" s="194">
        <f t="shared" si="5"/>
        <v>1982</v>
      </c>
      <c r="C47" s="519">
        <v>56189</v>
      </c>
      <c r="D47" s="520">
        <v>78229</v>
      </c>
      <c r="E47" s="520">
        <v>88158</v>
      </c>
      <c r="F47" s="521">
        <f t="shared" si="0"/>
        <v>222576</v>
      </c>
      <c r="G47" s="528">
        <f>108/365*G46+257/365*G48</f>
        <v>1.1760273972602739</v>
      </c>
      <c r="H47" s="526">
        <f>108/365*H46+257/365*H48</f>
        <v>1.3520547945205479</v>
      </c>
      <c r="I47" s="526">
        <f>108/365*I46+257/365*I48</f>
        <v>1.3520547945205479</v>
      </c>
      <c r="J47" s="527">
        <f t="shared" ref="J47:J70" si="8">N47/F47</f>
        <v>1.3076169241991407</v>
      </c>
      <c r="K47" s="532">
        <f t="shared" ref="K47:K70" si="9">C47*G47</f>
        <v>66079.803424657526</v>
      </c>
      <c r="L47" s="533">
        <f t="shared" ref="L47:L70" si="10">D47*H47</f>
        <v>105769.89452054794</v>
      </c>
      <c r="M47" s="533">
        <f t="shared" ref="M47:M70" si="11">E47*I47</f>
        <v>119194.44657534246</v>
      </c>
      <c r="N47" s="534">
        <f t="shared" si="6"/>
        <v>291044.14452054794</v>
      </c>
      <c r="O47" s="537">
        <f>'River Crossings'!M103</f>
        <v>0.34910596649727083</v>
      </c>
      <c r="P47" s="538">
        <f t="shared" si="7"/>
        <v>0.45649687013072954</v>
      </c>
      <c r="Q47" s="175"/>
      <c r="R47" s="542">
        <v>2237.0810000000001</v>
      </c>
      <c r="S47" s="540">
        <v>50786.903508000003</v>
      </c>
      <c r="T47" s="541">
        <f>'Toll Rates'!S47*100/'Trip Price'!P42</f>
        <v>52628.915552331608</v>
      </c>
    </row>
    <row r="48" spans="2:20" ht="13.95" customHeight="1">
      <c r="B48" s="194">
        <f t="shared" si="5"/>
        <v>1983</v>
      </c>
      <c r="C48" s="519">
        <v>61130</v>
      </c>
      <c r="D48" s="520">
        <v>78134</v>
      </c>
      <c r="E48" s="520">
        <v>92967</v>
      </c>
      <c r="F48" s="521">
        <f t="shared" si="0"/>
        <v>232231</v>
      </c>
      <c r="G48" s="528">
        <v>1.25</v>
      </c>
      <c r="H48" s="526">
        <v>1.5</v>
      </c>
      <c r="I48" s="526">
        <v>1.5</v>
      </c>
      <c r="J48" s="527">
        <f t="shared" si="8"/>
        <v>1.4341926788413262</v>
      </c>
      <c r="K48" s="532">
        <f t="shared" si="9"/>
        <v>76412.5</v>
      </c>
      <c r="L48" s="533">
        <f t="shared" si="10"/>
        <v>117201</v>
      </c>
      <c r="M48" s="533">
        <f t="shared" si="11"/>
        <v>139450.5</v>
      </c>
      <c r="N48" s="534">
        <f t="shared" si="6"/>
        <v>333064</v>
      </c>
      <c r="O48" s="537">
        <f>'River Crossings'!M104</f>
        <v>0.35983439291087616</v>
      </c>
      <c r="P48" s="538">
        <f t="shared" si="7"/>
        <v>0.51607185190809179</v>
      </c>
      <c r="Q48" s="175"/>
      <c r="R48" s="542">
        <v>2244.6320000000001</v>
      </c>
      <c r="S48" s="540">
        <v>54853.540813</v>
      </c>
      <c r="T48" s="541">
        <f>'Toll Rates'!S48*100/'Trip Price'!P43</f>
        <v>55073.836157630525</v>
      </c>
    </row>
    <row r="49" spans="2:20" ht="13.95" customHeight="1">
      <c r="B49" s="194">
        <f t="shared" si="5"/>
        <v>1984</v>
      </c>
      <c r="C49" s="519">
        <v>58032</v>
      </c>
      <c r="D49" s="520">
        <v>74808</v>
      </c>
      <c r="E49" s="520">
        <v>95247</v>
      </c>
      <c r="F49" s="521">
        <f t="shared" si="0"/>
        <v>228087</v>
      </c>
      <c r="G49" s="528">
        <v>1.5</v>
      </c>
      <c r="H49" s="526">
        <v>1.5</v>
      </c>
      <c r="I49" s="526">
        <v>1.5</v>
      </c>
      <c r="J49" s="527">
        <f t="shared" si="8"/>
        <v>1.5</v>
      </c>
      <c r="K49" s="532">
        <f t="shared" si="9"/>
        <v>87048</v>
      </c>
      <c r="L49" s="533">
        <f t="shared" si="10"/>
        <v>112212</v>
      </c>
      <c r="M49" s="533">
        <f t="shared" si="11"/>
        <v>142870.5</v>
      </c>
      <c r="N49" s="534">
        <f t="shared" si="6"/>
        <v>342130.5</v>
      </c>
      <c r="O49" s="537">
        <f>'River Crossings'!M105</f>
        <v>0.34736106288492113</v>
      </c>
      <c r="P49" s="538">
        <f t="shared" si="7"/>
        <v>0.52104159432738173</v>
      </c>
      <c r="Q49" s="175"/>
      <c r="R49" s="542">
        <v>2287.4810000000002</v>
      </c>
      <c r="S49" s="540">
        <v>59692.538915999998</v>
      </c>
      <c r="T49" s="541">
        <f>'Toll Rates'!S49*100/'Trip Price'!P44</f>
        <v>57451.914259865247</v>
      </c>
    </row>
    <row r="50" spans="2:20" ht="13.95" customHeight="1">
      <c r="B50" s="194">
        <f t="shared" si="5"/>
        <v>1985</v>
      </c>
      <c r="C50" s="519">
        <v>63469</v>
      </c>
      <c r="D50" s="520">
        <v>76065</v>
      </c>
      <c r="E50" s="520">
        <v>94644</v>
      </c>
      <c r="F50" s="521">
        <f t="shared" si="0"/>
        <v>234178</v>
      </c>
      <c r="G50" s="528">
        <v>1.5</v>
      </c>
      <c r="H50" s="526">
        <v>1.5</v>
      </c>
      <c r="I50" s="526">
        <v>1.5</v>
      </c>
      <c r="J50" s="527">
        <f t="shared" si="8"/>
        <v>1.5</v>
      </c>
      <c r="K50" s="532">
        <f t="shared" si="9"/>
        <v>95203.5</v>
      </c>
      <c r="L50" s="533">
        <f t="shared" si="10"/>
        <v>114097.5</v>
      </c>
      <c r="M50" s="533">
        <f t="shared" si="11"/>
        <v>141966</v>
      </c>
      <c r="N50" s="534">
        <f t="shared" si="6"/>
        <v>351267</v>
      </c>
      <c r="O50" s="537">
        <f>'River Crossings'!M106</f>
        <v>0.32973064304923894</v>
      </c>
      <c r="P50" s="538">
        <f t="shared" si="7"/>
        <v>0.4945959645738584</v>
      </c>
      <c r="Q50" s="175"/>
      <c r="R50" s="542">
        <v>2320.3330000000001</v>
      </c>
      <c r="S50" s="540">
        <v>64269.827154999999</v>
      </c>
      <c r="T50" s="541">
        <f>'Toll Rates'!S50*100/'Trip Price'!P45</f>
        <v>59730.32263475837</v>
      </c>
    </row>
    <row r="51" spans="2:20" ht="13.95" customHeight="1">
      <c r="B51" s="194">
        <f t="shared" si="5"/>
        <v>1986</v>
      </c>
      <c r="C51" s="519">
        <v>60778</v>
      </c>
      <c r="D51" s="520">
        <v>71478</v>
      </c>
      <c r="E51" s="520">
        <v>93432</v>
      </c>
      <c r="F51" s="521">
        <f t="shared" si="0"/>
        <v>225688</v>
      </c>
      <c r="G51" s="528">
        <v>1.75</v>
      </c>
      <c r="H51" s="526">
        <v>1.75</v>
      </c>
      <c r="I51" s="526">
        <v>1.75</v>
      </c>
      <c r="J51" s="527">
        <f t="shared" si="8"/>
        <v>1.75</v>
      </c>
      <c r="K51" s="532">
        <f t="shared" si="9"/>
        <v>106361.5</v>
      </c>
      <c r="L51" s="533">
        <f t="shared" si="10"/>
        <v>125086.5</v>
      </c>
      <c r="M51" s="533">
        <f t="shared" si="11"/>
        <v>163506</v>
      </c>
      <c r="N51" s="534">
        <f t="shared" si="6"/>
        <v>394954</v>
      </c>
      <c r="O51" s="537">
        <f>'River Crossings'!M107</f>
        <v>0.32454461395544143</v>
      </c>
      <c r="P51" s="538">
        <f t="shared" si="7"/>
        <v>0.56795307442202247</v>
      </c>
      <c r="Q51" s="175"/>
      <c r="R51" s="542">
        <v>2353.2460000000001</v>
      </c>
      <c r="S51" s="540">
        <v>70565.526895000003</v>
      </c>
      <c r="T51" s="541">
        <f>'Toll Rates'!S51*100/'Trip Price'!P46</f>
        <v>64384.604831204386</v>
      </c>
    </row>
    <row r="52" spans="2:20" ht="13.95" customHeight="1">
      <c r="B52" s="194">
        <f t="shared" si="5"/>
        <v>1987</v>
      </c>
      <c r="C52" s="519">
        <v>63256</v>
      </c>
      <c r="D52" s="520">
        <v>77813</v>
      </c>
      <c r="E52" s="520">
        <v>95795</v>
      </c>
      <c r="F52" s="521">
        <f t="shared" si="0"/>
        <v>236864</v>
      </c>
      <c r="G52" s="528">
        <f>36/365*G51+329/365*G53</f>
        <v>1.9753424657534246</v>
      </c>
      <c r="H52" s="526">
        <f>36/365*H51+329/365*H53</f>
        <v>1.9753424657534246</v>
      </c>
      <c r="I52" s="526">
        <f>36/365*I51+329/365*I53</f>
        <v>1.9753424657534246</v>
      </c>
      <c r="J52" s="527">
        <f t="shared" si="8"/>
        <v>1.9753424657534244</v>
      </c>
      <c r="K52" s="532">
        <f t="shared" si="9"/>
        <v>124952.26301369863</v>
      </c>
      <c r="L52" s="533">
        <f t="shared" si="10"/>
        <v>153707.32328767123</v>
      </c>
      <c r="M52" s="533">
        <f t="shared" si="11"/>
        <v>189227.9315068493</v>
      </c>
      <c r="N52" s="534">
        <f t="shared" si="6"/>
        <v>467887.51780821913</v>
      </c>
      <c r="O52" s="537">
        <f>'River Crossings'!M108</f>
        <v>0.33985502671617718</v>
      </c>
      <c r="P52" s="538">
        <f t="shared" si="7"/>
        <v>0.67133006647222937</v>
      </c>
      <c r="Q52" s="175"/>
      <c r="R52" s="542">
        <v>2390.7049999999999</v>
      </c>
      <c r="S52" s="540">
        <v>77553.320412000001</v>
      </c>
      <c r="T52" s="541">
        <f>'Toll Rates'!S52*100/'Trip Price'!P47</f>
        <v>68268.767968309869</v>
      </c>
    </row>
    <row r="53" spans="2:20" ht="13.95" customHeight="1">
      <c r="B53" s="194">
        <f t="shared" si="5"/>
        <v>1988</v>
      </c>
      <c r="C53" s="519">
        <v>62959</v>
      </c>
      <c r="D53" s="520">
        <v>76243</v>
      </c>
      <c r="E53" s="520">
        <v>99438</v>
      </c>
      <c r="F53" s="521">
        <f t="shared" si="0"/>
        <v>238640</v>
      </c>
      <c r="G53" s="528">
        <v>2</v>
      </c>
      <c r="H53" s="526">
        <v>2</v>
      </c>
      <c r="I53" s="526">
        <v>2</v>
      </c>
      <c r="J53" s="527">
        <f t="shared" si="8"/>
        <v>2</v>
      </c>
      <c r="K53" s="532">
        <f t="shared" si="9"/>
        <v>125918</v>
      </c>
      <c r="L53" s="533">
        <f t="shared" si="10"/>
        <v>152486</v>
      </c>
      <c r="M53" s="533">
        <f t="shared" si="11"/>
        <v>198876</v>
      </c>
      <c r="N53" s="534">
        <f t="shared" si="6"/>
        <v>477280</v>
      </c>
      <c r="O53" s="537">
        <f>'River Crossings'!M109</f>
        <v>0.34115894541514058</v>
      </c>
      <c r="P53" s="538">
        <f t="shared" si="7"/>
        <v>0.68231789083028116</v>
      </c>
      <c r="Q53" s="175"/>
      <c r="R53" s="542">
        <v>2385.5529999999999</v>
      </c>
      <c r="S53" s="540">
        <v>84897.006630000003</v>
      </c>
      <c r="T53" s="541">
        <f>'Toll Rates'!S53*100/'Trip Price'!P48</f>
        <v>71764.164522400679</v>
      </c>
    </row>
    <row r="54" spans="2:20" ht="13.95" customHeight="1">
      <c r="B54" s="194">
        <f t="shared" si="5"/>
        <v>1989</v>
      </c>
      <c r="C54" s="519">
        <v>59254</v>
      </c>
      <c r="D54" s="520">
        <v>72828</v>
      </c>
      <c r="E54" s="520">
        <v>92720</v>
      </c>
      <c r="F54" s="521">
        <f t="shared" si="0"/>
        <v>224802</v>
      </c>
      <c r="G54" s="528">
        <f>196/365*G53+169/365*G55</f>
        <v>2.2315068493150685</v>
      </c>
      <c r="H54" s="526">
        <f>196/365*H53+169/365*H55</f>
        <v>2.2315068493150685</v>
      </c>
      <c r="I54" s="526">
        <f>196/365*I53+169/365*I55</f>
        <v>2.2315068493150685</v>
      </c>
      <c r="J54" s="527">
        <f t="shared" si="8"/>
        <v>2.2315068493150685</v>
      </c>
      <c r="K54" s="532">
        <f t="shared" si="9"/>
        <v>132225.70684931506</v>
      </c>
      <c r="L54" s="533">
        <f t="shared" si="10"/>
        <v>162516.18082191781</v>
      </c>
      <c r="M54" s="533">
        <f t="shared" si="11"/>
        <v>206905.31506849316</v>
      </c>
      <c r="N54" s="534">
        <f t="shared" si="6"/>
        <v>501647.20273972605</v>
      </c>
      <c r="O54" s="537">
        <f>'River Crossings'!M110</f>
        <v>0.32774557372460283</v>
      </c>
      <c r="P54" s="538">
        <f t="shared" si="7"/>
        <v>0.73136649259914799</v>
      </c>
      <c r="Q54" s="175"/>
      <c r="R54" s="542">
        <v>2376.1280000000002</v>
      </c>
      <c r="S54" s="540">
        <v>87142.355878000002</v>
      </c>
      <c r="T54" s="541">
        <f>'Toll Rates'!S54*100/'Trip Price'!P49</f>
        <v>70276.09345</v>
      </c>
    </row>
    <row r="55" spans="2:20" ht="13.95" customHeight="1">
      <c r="B55" s="194">
        <f t="shared" si="5"/>
        <v>1990</v>
      </c>
      <c r="C55" s="519">
        <v>60512</v>
      </c>
      <c r="D55" s="520">
        <v>71186</v>
      </c>
      <c r="E55" s="520">
        <v>99840</v>
      </c>
      <c r="F55" s="521">
        <f t="shared" si="0"/>
        <v>231538</v>
      </c>
      <c r="G55" s="528">
        <v>2.5</v>
      </c>
      <c r="H55" s="526">
        <v>2.5</v>
      </c>
      <c r="I55" s="526">
        <v>2.5</v>
      </c>
      <c r="J55" s="527">
        <f t="shared" si="8"/>
        <v>2.5</v>
      </c>
      <c r="K55" s="532">
        <f t="shared" si="9"/>
        <v>151280</v>
      </c>
      <c r="L55" s="533">
        <f t="shared" si="10"/>
        <v>177965</v>
      </c>
      <c r="M55" s="533">
        <f t="shared" si="11"/>
        <v>249600</v>
      </c>
      <c r="N55" s="534">
        <f t="shared" si="6"/>
        <v>578845</v>
      </c>
      <c r="O55" s="537">
        <f>'River Crossings'!M111</f>
        <v>0.34037142172521612</v>
      </c>
      <c r="P55" s="538">
        <f t="shared" si="7"/>
        <v>0.85092855431304026</v>
      </c>
      <c r="Q55" s="175"/>
      <c r="R55" s="542">
        <v>2342.6950000000002</v>
      </c>
      <c r="S55" s="540">
        <v>91838.57372</v>
      </c>
      <c r="T55" s="541">
        <f>'Toll Rates'!S55*100/'Trip Price'!P50</f>
        <v>70266.697566947216</v>
      </c>
    </row>
    <row r="56" spans="2:20" ht="13.95" customHeight="1">
      <c r="B56" s="194">
        <f t="shared" si="5"/>
        <v>1991</v>
      </c>
      <c r="C56" s="519">
        <v>63883</v>
      </c>
      <c r="D56" s="520">
        <v>80616</v>
      </c>
      <c r="E56" s="520">
        <v>94487</v>
      </c>
      <c r="F56" s="521">
        <f t="shared" si="0"/>
        <v>238986</v>
      </c>
      <c r="G56" s="528">
        <v>2.5</v>
      </c>
      <c r="H56" s="526">
        <v>2.5</v>
      </c>
      <c r="I56" s="526">
        <v>2.5</v>
      </c>
      <c r="J56" s="527">
        <f t="shared" si="8"/>
        <v>2.5</v>
      </c>
      <c r="K56" s="532">
        <f t="shared" si="9"/>
        <v>159707.5</v>
      </c>
      <c r="L56" s="533">
        <f t="shared" si="10"/>
        <v>201540</v>
      </c>
      <c r="M56" s="533">
        <f t="shared" si="11"/>
        <v>236217.5</v>
      </c>
      <c r="N56" s="534">
        <f t="shared" si="6"/>
        <v>597465</v>
      </c>
      <c r="O56" s="537">
        <f>'River Crossings'!M112</f>
        <v>0.34789178330458326</v>
      </c>
      <c r="P56" s="538">
        <f t="shared" si="7"/>
        <v>0.86972945826145809</v>
      </c>
      <c r="Q56" s="175"/>
      <c r="R56" s="542">
        <v>2205.971</v>
      </c>
      <c r="S56" s="540">
        <v>90001.997247000007</v>
      </c>
      <c r="T56" s="541">
        <f>'Toll Rates'!S56*100/'Trip Price'!P51</f>
        <v>66080.761561674022</v>
      </c>
    </row>
    <row r="57" spans="2:20" ht="13.95" customHeight="1">
      <c r="B57" s="194">
        <f t="shared" si="5"/>
        <v>1992</v>
      </c>
      <c r="C57" s="519">
        <v>62510</v>
      </c>
      <c r="D57" s="520">
        <v>81835</v>
      </c>
      <c r="E57" s="520">
        <v>97198</v>
      </c>
      <c r="F57" s="521">
        <f t="shared" si="0"/>
        <v>241543</v>
      </c>
      <c r="G57" s="528">
        <v>2.5</v>
      </c>
      <c r="H57" s="526">
        <v>2.5</v>
      </c>
      <c r="I57" s="526">
        <v>2.5</v>
      </c>
      <c r="J57" s="527">
        <f t="shared" si="8"/>
        <v>2.5</v>
      </c>
      <c r="K57" s="532">
        <f t="shared" si="9"/>
        <v>156275</v>
      </c>
      <c r="L57" s="533">
        <f t="shared" si="10"/>
        <v>204587.5</v>
      </c>
      <c r="M57" s="533">
        <f t="shared" si="11"/>
        <v>242995</v>
      </c>
      <c r="N57" s="534">
        <f t="shared" si="6"/>
        <v>603857.5</v>
      </c>
      <c r="O57" s="537">
        <f>'River Crossings'!M113</f>
        <v>0.35277819970555935</v>
      </c>
      <c r="P57" s="538">
        <f t="shared" si="7"/>
        <v>0.88194549926389842</v>
      </c>
      <c r="Q57" s="175"/>
      <c r="R57" s="542">
        <v>2124.567</v>
      </c>
      <c r="S57" s="540">
        <v>98549.650397999998</v>
      </c>
      <c r="T57" s="541">
        <f>'Toll Rates'!S57*100/'Trip Price'!P52</f>
        <v>70242.088665716306</v>
      </c>
    </row>
    <row r="58" spans="2:20" ht="13.95" customHeight="1">
      <c r="B58" s="194">
        <f t="shared" si="5"/>
        <v>1993</v>
      </c>
      <c r="C58" s="519">
        <v>57561</v>
      </c>
      <c r="D58" s="520">
        <v>77288</v>
      </c>
      <c r="E58" s="520">
        <v>92660</v>
      </c>
      <c r="F58" s="521">
        <f t="shared" si="0"/>
        <v>227509</v>
      </c>
      <c r="G58" s="528">
        <f>30/365*G57+335/365*G59</f>
        <v>2.9589041095890409</v>
      </c>
      <c r="H58" s="526">
        <f>30/365*H57+335/365*H59</f>
        <v>2.9589041095890409</v>
      </c>
      <c r="I58" s="526">
        <f>30/365*I57+335/365*I59</f>
        <v>2.9589041095890409</v>
      </c>
      <c r="J58" s="527">
        <f t="shared" si="8"/>
        <v>2.9589041095890409</v>
      </c>
      <c r="K58" s="532">
        <f t="shared" si="9"/>
        <v>170317.47945205477</v>
      </c>
      <c r="L58" s="533">
        <f t="shared" si="10"/>
        <v>228687.78082191778</v>
      </c>
      <c r="M58" s="533">
        <f t="shared" si="11"/>
        <v>274172.05479452055</v>
      </c>
      <c r="N58" s="534">
        <f t="shared" si="6"/>
        <v>673177.31506849313</v>
      </c>
      <c r="O58" s="537">
        <f>'River Crossings'!M114</f>
        <v>0.34503315978725568</v>
      </c>
      <c r="P58" s="538">
        <f t="shared" si="7"/>
        <v>1.020920034439003</v>
      </c>
      <c r="Q58" s="175"/>
      <c r="R58" s="542">
        <v>2108.549</v>
      </c>
      <c r="S58" s="540">
        <v>99553.677039000002</v>
      </c>
      <c r="T58" s="541">
        <f>'Toll Rates'!S58*100/'Trip Price'!P53</f>
        <v>68895.278227681658</v>
      </c>
    </row>
    <row r="59" spans="2:20" ht="13.95" customHeight="1">
      <c r="B59" s="194">
        <f t="shared" si="5"/>
        <v>1994</v>
      </c>
      <c r="C59" s="519">
        <v>57013</v>
      </c>
      <c r="D59" s="520">
        <v>68511</v>
      </c>
      <c r="E59" s="520">
        <v>79536</v>
      </c>
      <c r="F59" s="521">
        <f t="shared" si="0"/>
        <v>205060</v>
      </c>
      <c r="G59" s="528">
        <v>3</v>
      </c>
      <c r="H59" s="526">
        <v>3</v>
      </c>
      <c r="I59" s="526">
        <v>3</v>
      </c>
      <c r="J59" s="527">
        <f t="shared" si="8"/>
        <v>3</v>
      </c>
      <c r="K59" s="532">
        <f t="shared" si="9"/>
        <v>171039</v>
      </c>
      <c r="L59" s="533">
        <f t="shared" si="10"/>
        <v>205533</v>
      </c>
      <c r="M59" s="533">
        <f t="shared" si="11"/>
        <v>238608</v>
      </c>
      <c r="N59" s="534">
        <f t="shared" si="6"/>
        <v>615180</v>
      </c>
      <c r="O59" s="537">
        <f>'River Crossings'!M115</f>
        <v>0.31387231124573911</v>
      </c>
      <c r="P59" s="538">
        <f t="shared" si="7"/>
        <v>0.94161693373721733</v>
      </c>
      <c r="Q59" s="175"/>
      <c r="R59" s="542">
        <v>2118.0630000000001</v>
      </c>
      <c r="S59" s="540">
        <v>100990.24954800001</v>
      </c>
      <c r="T59" s="541">
        <f>'Toll Rates'!S59*100/'Trip Price'!P54</f>
        <v>68144.567846153848</v>
      </c>
    </row>
    <row r="60" spans="2:20" ht="13.95" customHeight="1">
      <c r="B60" s="194">
        <f t="shared" si="5"/>
        <v>1995</v>
      </c>
      <c r="C60" s="519">
        <v>61097</v>
      </c>
      <c r="D60" s="520">
        <v>73882</v>
      </c>
      <c r="E60" s="520">
        <v>95696</v>
      </c>
      <c r="F60" s="521">
        <f t="shared" si="0"/>
        <v>230675</v>
      </c>
      <c r="G60" s="528">
        <v>3</v>
      </c>
      <c r="H60" s="526">
        <v>3</v>
      </c>
      <c r="I60" s="526">
        <v>3</v>
      </c>
      <c r="J60" s="527">
        <f t="shared" si="8"/>
        <v>3</v>
      </c>
      <c r="K60" s="532">
        <f t="shared" si="9"/>
        <v>183291</v>
      </c>
      <c r="L60" s="533">
        <f t="shared" si="10"/>
        <v>221646</v>
      </c>
      <c r="M60" s="533">
        <f t="shared" si="11"/>
        <v>287088</v>
      </c>
      <c r="N60" s="534">
        <f t="shared" si="6"/>
        <v>692025</v>
      </c>
      <c r="O60" s="537">
        <f>'River Crossings'!M116</f>
        <v>0.33163067262046814</v>
      </c>
      <c r="P60" s="538">
        <f t="shared" si="7"/>
        <v>0.99489201786140447</v>
      </c>
      <c r="Q60" s="175"/>
      <c r="R60" s="542">
        <v>2103.8919999999998</v>
      </c>
      <c r="S60" s="540">
        <v>108057.885559</v>
      </c>
      <c r="T60" s="541">
        <f>'Toll Rates'!S60*100/'Trip Price'!P55</f>
        <v>70904.124382545924</v>
      </c>
    </row>
    <row r="61" spans="2:20" ht="13.95" customHeight="1">
      <c r="B61" s="194">
        <f t="shared" si="5"/>
        <v>1996</v>
      </c>
      <c r="C61" s="519">
        <v>57091</v>
      </c>
      <c r="D61" s="520">
        <v>72285</v>
      </c>
      <c r="E61" s="520">
        <v>92981</v>
      </c>
      <c r="F61" s="521">
        <f t="shared" si="0"/>
        <v>222357</v>
      </c>
      <c r="G61" s="528">
        <f>2/12*G60+10/12*G62</f>
        <v>3.416666666666667</v>
      </c>
      <c r="H61" s="526">
        <f>2/12*H60+10/12*H62</f>
        <v>3.416666666666667</v>
      </c>
      <c r="I61" s="526">
        <f>2/12*I60+10/12*I62</f>
        <v>3.416666666666667</v>
      </c>
      <c r="J61" s="527">
        <f t="shared" si="8"/>
        <v>3.4166666666666674</v>
      </c>
      <c r="K61" s="532">
        <f t="shared" si="9"/>
        <v>195060.91666666669</v>
      </c>
      <c r="L61" s="533">
        <f t="shared" si="10"/>
        <v>246973.75000000003</v>
      </c>
      <c r="M61" s="533">
        <f t="shared" si="11"/>
        <v>317685.08333333337</v>
      </c>
      <c r="N61" s="534">
        <f t="shared" si="6"/>
        <v>759719.75000000012</v>
      </c>
      <c r="O61" s="537">
        <f>'River Crossings'!M117</f>
        <v>0.32421165900451854</v>
      </c>
      <c r="P61" s="538">
        <f t="shared" si="7"/>
        <v>1.1077231682654385</v>
      </c>
      <c r="Q61" s="175"/>
      <c r="R61" s="542">
        <v>2141.7579999999998</v>
      </c>
      <c r="S61" s="540">
        <v>118465.22971100001</v>
      </c>
      <c r="T61" s="541">
        <f>'Toll Rates'!S61*100/'Trip Price'!P56</f>
        <v>75503.651823454435</v>
      </c>
    </row>
    <row r="62" spans="2:20" ht="13.95" customHeight="1">
      <c r="B62" s="194">
        <f t="shared" si="5"/>
        <v>1997</v>
      </c>
      <c r="C62" s="519">
        <v>54690</v>
      </c>
      <c r="D62" s="520">
        <v>78023</v>
      </c>
      <c r="E62" s="520">
        <v>91313</v>
      </c>
      <c r="F62" s="521">
        <f t="shared" si="0"/>
        <v>224026</v>
      </c>
      <c r="G62" s="528">
        <v>3.5</v>
      </c>
      <c r="H62" s="526">
        <v>3.5</v>
      </c>
      <c r="I62" s="526">
        <v>3.5</v>
      </c>
      <c r="J62" s="527">
        <f t="shared" si="8"/>
        <v>3.5</v>
      </c>
      <c r="K62" s="532">
        <f t="shared" si="9"/>
        <v>191415</v>
      </c>
      <c r="L62" s="533">
        <f t="shared" si="10"/>
        <v>273080.5</v>
      </c>
      <c r="M62" s="533">
        <f t="shared" si="11"/>
        <v>319595.5</v>
      </c>
      <c r="N62" s="534">
        <f t="shared" si="6"/>
        <v>784091</v>
      </c>
      <c r="O62" s="537">
        <f>'River Crossings'!M118</f>
        <v>0.30461658118449464</v>
      </c>
      <c r="P62" s="538">
        <f t="shared" si="7"/>
        <v>1.0661580341457313</v>
      </c>
      <c r="Q62" s="175"/>
      <c r="R62" s="542">
        <v>2263.375</v>
      </c>
      <c r="S62" s="540">
        <v>129431.429</v>
      </c>
      <c r="T62" s="541">
        <f>'Toll Rates'!S62*100/'Trip Price'!P57</f>
        <v>80642.634890965739</v>
      </c>
    </row>
    <row r="63" spans="2:20" ht="13.95" customHeight="1">
      <c r="B63" s="194">
        <f t="shared" si="5"/>
        <v>1998</v>
      </c>
      <c r="C63" s="519">
        <v>61091</v>
      </c>
      <c r="D63" s="520">
        <v>79697</v>
      </c>
      <c r="E63" s="520">
        <v>93863</v>
      </c>
      <c r="F63" s="521">
        <f t="shared" si="0"/>
        <v>234651</v>
      </c>
      <c r="G63" s="528">
        <v>3.5</v>
      </c>
      <c r="H63" s="526">
        <v>3.5</v>
      </c>
      <c r="I63" s="526">
        <v>3.5</v>
      </c>
      <c r="J63" s="527">
        <f t="shared" si="8"/>
        <v>3.5</v>
      </c>
      <c r="K63" s="532">
        <f t="shared" si="9"/>
        <v>213818.5</v>
      </c>
      <c r="L63" s="533">
        <f t="shared" si="10"/>
        <v>278939.5</v>
      </c>
      <c r="M63" s="533">
        <f t="shared" si="11"/>
        <v>328520.5</v>
      </c>
      <c r="N63" s="534">
        <f t="shared" si="6"/>
        <v>821278.5</v>
      </c>
      <c r="O63" s="537">
        <f>'River Crossings'!M119</f>
        <v>0.30942676183933088</v>
      </c>
      <c r="P63" s="538">
        <f t="shared" si="7"/>
        <v>1.082993666437658</v>
      </c>
      <c r="Q63" s="175"/>
      <c r="R63" s="542">
        <v>2306.0329999999999</v>
      </c>
      <c r="S63" s="540">
        <v>142242.35</v>
      </c>
      <c r="T63" s="541">
        <f>'Toll Rates'!S63*100/'Trip Price'!P58</f>
        <v>87265.245398773011</v>
      </c>
    </row>
    <row r="64" spans="2:20" ht="13.95" customHeight="1">
      <c r="B64" s="194">
        <f t="shared" si="5"/>
        <v>1999</v>
      </c>
      <c r="C64" s="519">
        <v>63307</v>
      </c>
      <c r="D64" s="520">
        <v>80941</v>
      </c>
      <c r="E64" s="520">
        <v>98553</v>
      </c>
      <c r="F64" s="521">
        <f t="shared" si="0"/>
        <v>242801</v>
      </c>
      <c r="G64" s="528">
        <v>3.5</v>
      </c>
      <c r="H64" s="526">
        <v>3.5</v>
      </c>
      <c r="I64" s="526">
        <v>3.5</v>
      </c>
      <c r="J64" s="527">
        <f t="shared" si="8"/>
        <v>3.5</v>
      </c>
      <c r="K64" s="532">
        <f t="shared" si="9"/>
        <v>221574.5</v>
      </c>
      <c r="L64" s="533">
        <f t="shared" si="10"/>
        <v>283293.5</v>
      </c>
      <c r="M64" s="533">
        <f t="shared" si="11"/>
        <v>344935.5</v>
      </c>
      <c r="N64" s="534">
        <f t="shared" si="6"/>
        <v>849803.5</v>
      </c>
      <c r="O64" s="537">
        <f>'River Crossings'!M120</f>
        <v>0.31976615549948112</v>
      </c>
      <c r="P64" s="538">
        <f t="shared" si="7"/>
        <v>1.1191815442481838</v>
      </c>
      <c r="Q64" s="175"/>
      <c r="R64" s="542">
        <v>2382.1750000000002</v>
      </c>
      <c r="S64" s="540">
        <v>151722.886</v>
      </c>
      <c r="T64" s="541">
        <f>'Toll Rates'!S64*100/'Trip Price'!P59</f>
        <v>91070.159663865546</v>
      </c>
    </row>
    <row r="65" spans="2:20" ht="13.95" customHeight="1">
      <c r="B65" s="194">
        <f t="shared" si="5"/>
        <v>2000</v>
      </c>
      <c r="C65" s="519">
        <v>63242</v>
      </c>
      <c r="D65" s="520">
        <v>80879</v>
      </c>
      <c r="E65" s="520">
        <v>103079</v>
      </c>
      <c r="F65" s="521">
        <f t="shared" si="0"/>
        <v>247200</v>
      </c>
      <c r="G65" s="528">
        <v>3.5</v>
      </c>
      <c r="H65" s="526">
        <v>3.5</v>
      </c>
      <c r="I65" s="526">
        <v>3.5</v>
      </c>
      <c r="J65" s="527">
        <f t="shared" si="8"/>
        <v>3.5</v>
      </c>
      <c r="K65" s="532">
        <f t="shared" si="9"/>
        <v>221347</v>
      </c>
      <c r="L65" s="533">
        <f t="shared" si="10"/>
        <v>283076.5</v>
      </c>
      <c r="M65" s="533">
        <f t="shared" si="11"/>
        <v>360776.5</v>
      </c>
      <c r="N65" s="534">
        <f t="shared" si="6"/>
        <v>865200</v>
      </c>
      <c r="O65" s="537">
        <f>'River Crossings'!M121</f>
        <v>0.32442349865545356</v>
      </c>
      <c r="P65" s="538">
        <f t="shared" si="7"/>
        <v>1.1354822452940874</v>
      </c>
      <c r="Q65" s="175"/>
      <c r="R65" s="542">
        <v>2286.8910000000001</v>
      </c>
      <c r="S65" s="540">
        <v>172879.636</v>
      </c>
      <c r="T65" s="541">
        <f>'Toll Rates'!S65*100/'Trip Price'!P60</f>
        <v>100394.67828106854</v>
      </c>
    </row>
    <row r="66" spans="2:20" ht="13.95" customHeight="1">
      <c r="B66" s="194">
        <f t="shared" si="5"/>
        <v>2001</v>
      </c>
      <c r="C66" s="519">
        <f>253/365*C65+(365-253)/365*13762</f>
        <v>48059.095890410965</v>
      </c>
      <c r="D66" s="520">
        <v>72864</v>
      </c>
      <c r="E66" s="520">
        <v>102224</v>
      </c>
      <c r="F66" s="521">
        <f t="shared" si="0"/>
        <v>223147.09589041097</v>
      </c>
      <c r="G66" s="528">
        <v>3.5</v>
      </c>
      <c r="H66" s="526">
        <v>3.5</v>
      </c>
      <c r="I66" s="526">
        <v>3.5</v>
      </c>
      <c r="J66" s="527">
        <f t="shared" si="8"/>
        <v>3.5</v>
      </c>
      <c r="K66" s="532">
        <f t="shared" si="9"/>
        <v>168206.83561643839</v>
      </c>
      <c r="L66" s="533">
        <f t="shared" si="10"/>
        <v>255024</v>
      </c>
      <c r="M66" s="533">
        <f t="shared" si="11"/>
        <v>357784</v>
      </c>
      <c r="N66" s="534">
        <f>SUM(K66:M66)</f>
        <v>781014.83561643842</v>
      </c>
      <c r="O66" s="537">
        <f>'River Crossings'!M122</f>
        <v>0.34305617339302397</v>
      </c>
      <c r="P66" s="538">
        <f t="shared" si="7"/>
        <v>1.2006966068755838</v>
      </c>
      <c r="Q66" s="175"/>
      <c r="R66" s="542">
        <v>2342.3380000000002</v>
      </c>
      <c r="S66" s="540">
        <v>175402.04500000001</v>
      </c>
      <c r="T66" s="541">
        <f>'Toll Rates'!S66*100/'Trip Price'!P61</f>
        <v>99041.245059288543</v>
      </c>
    </row>
    <row r="67" spans="2:20" ht="13.95" customHeight="1">
      <c r="B67" s="194">
        <f t="shared" si="5"/>
        <v>2002</v>
      </c>
      <c r="C67" s="519">
        <v>56976</v>
      </c>
      <c r="D67" s="520">
        <v>82834</v>
      </c>
      <c r="E67" s="520">
        <v>94759</v>
      </c>
      <c r="F67" s="521">
        <f t="shared" si="0"/>
        <v>234569</v>
      </c>
      <c r="G67" s="528">
        <v>3.5</v>
      </c>
      <c r="H67" s="526">
        <v>3.5</v>
      </c>
      <c r="I67" s="526">
        <v>3.5</v>
      </c>
      <c r="J67" s="527">
        <f t="shared" si="8"/>
        <v>3.5</v>
      </c>
      <c r="K67" s="532">
        <f t="shared" si="9"/>
        <v>199416</v>
      </c>
      <c r="L67" s="533">
        <f t="shared" si="10"/>
        <v>289919</v>
      </c>
      <c r="M67" s="533">
        <f t="shared" si="11"/>
        <v>331656.5</v>
      </c>
      <c r="N67" s="534">
        <f>SUM(K67:M67)</f>
        <v>820991.5</v>
      </c>
      <c r="O67" s="537">
        <f>'River Crossings'!M123</f>
        <v>0.33431103015895414</v>
      </c>
      <c r="P67" s="538">
        <f t="shared" si="7"/>
        <v>1.1700886055563395</v>
      </c>
      <c r="Q67" s="175"/>
      <c r="R67" s="542">
        <v>2249.1860000000001</v>
      </c>
      <c r="S67" s="540">
        <v>162963.20199999999</v>
      </c>
      <c r="T67" s="541">
        <f>'Toll Rates'!S67*100/'Trip Price'!P62</f>
        <v>90585.437465258467</v>
      </c>
    </row>
    <row r="68" spans="2:20" ht="13.95" customHeight="1">
      <c r="B68" s="194">
        <f t="shared" si="5"/>
        <v>2003</v>
      </c>
      <c r="C68" s="519">
        <v>56271</v>
      </c>
      <c r="D68" s="520">
        <v>85377</v>
      </c>
      <c r="E68" s="520">
        <v>93177</v>
      </c>
      <c r="F68" s="521">
        <f t="shared" si="0"/>
        <v>234825</v>
      </c>
      <c r="G68" s="528">
        <f>G67*137/365+G69*(365-137)/365</f>
        <v>3.8123287671232875</v>
      </c>
      <c r="H68" s="526">
        <f>H67*137/365+H69*(365-137)/365</f>
        <v>3.8123287671232875</v>
      </c>
      <c r="I68" s="526">
        <f>I67*137/365+I69*(365-137)/365</f>
        <v>3.8123287671232875</v>
      </c>
      <c r="J68" s="527">
        <f t="shared" si="8"/>
        <v>3.8123287671232875</v>
      </c>
      <c r="K68" s="532">
        <f t="shared" si="9"/>
        <v>214523.55205479451</v>
      </c>
      <c r="L68" s="533">
        <f t="shared" si="10"/>
        <v>325485.19315068494</v>
      </c>
      <c r="M68" s="533">
        <f t="shared" si="11"/>
        <v>355221.35753424658</v>
      </c>
      <c r="N68" s="534">
        <f>SUM(K68:M68)</f>
        <v>895230.10273972596</v>
      </c>
      <c r="O68" s="537">
        <f>'River Crossings'!M124</f>
        <v>0.32245418081601884</v>
      </c>
      <c r="P68" s="538">
        <f t="shared" si="7"/>
        <v>1.2293013496040828</v>
      </c>
      <c r="Q68" s="175"/>
      <c r="R68" s="542">
        <v>2212.4569999999999</v>
      </c>
      <c r="S68" s="540">
        <v>162549.45199999999</v>
      </c>
      <c r="T68" s="541">
        <f>'Toll Rates'!S68*100/'Trip Price'!P63</f>
        <v>88342.093478260867</v>
      </c>
    </row>
    <row r="69" spans="2:20" ht="13.95" customHeight="1">
      <c r="B69" s="194">
        <f t="shared" si="5"/>
        <v>2004</v>
      </c>
      <c r="C69" s="519">
        <v>54488</v>
      </c>
      <c r="D69" s="520">
        <v>86599</v>
      </c>
      <c r="E69" s="520">
        <v>97958</v>
      </c>
      <c r="F69" s="521">
        <f t="shared" si="0"/>
        <v>239045</v>
      </c>
      <c r="G69" s="528">
        <v>4</v>
      </c>
      <c r="H69" s="526">
        <v>4</v>
      </c>
      <c r="I69" s="526">
        <v>4</v>
      </c>
      <c r="J69" s="527">
        <f t="shared" si="8"/>
        <v>4</v>
      </c>
      <c r="K69" s="532">
        <f t="shared" si="9"/>
        <v>217952</v>
      </c>
      <c r="L69" s="533">
        <f t="shared" si="10"/>
        <v>346396</v>
      </c>
      <c r="M69" s="533">
        <f t="shared" si="11"/>
        <v>391832</v>
      </c>
      <c r="N69" s="534">
        <f>SUM(K69:M69)</f>
        <v>956180</v>
      </c>
      <c r="O69" s="537">
        <f>'River Crossings'!M125</f>
        <v>0.32016356072721036</v>
      </c>
      <c r="P69" s="538">
        <f t="shared" si="7"/>
        <v>1.2806542429088414</v>
      </c>
      <c r="Q69" s="175"/>
      <c r="R69" s="542">
        <v>2213.9699999999998</v>
      </c>
      <c r="S69" s="540">
        <v>176835.31099999999</v>
      </c>
      <c r="T69" s="541">
        <f>'Toll Rates'!S69*100/'Trip Price'!P64</f>
        <v>93613.187400741124</v>
      </c>
    </row>
    <row r="70" spans="2:20" ht="13.95" customHeight="1">
      <c r="B70" s="194">
        <f t="shared" si="5"/>
        <v>2005</v>
      </c>
      <c r="C70" s="519">
        <v>49043</v>
      </c>
      <c r="D70" s="520">
        <v>86063</v>
      </c>
      <c r="E70" s="520">
        <v>91898</v>
      </c>
      <c r="F70" s="521">
        <f t="shared" si="0"/>
        <v>227004</v>
      </c>
      <c r="G70" s="528">
        <f>(31+28+12)/365*G69+(365-31-28-12)/365*G71</f>
        <v>4.4027397260273977</v>
      </c>
      <c r="H70" s="526">
        <f>(31+28+12)/365*H69+(365-31-28-12)/365*H71</f>
        <v>4.4027397260273977</v>
      </c>
      <c r="I70" s="526">
        <f>(31+28+12)/365*I69+(365-31-28-12)/365*I71</f>
        <v>4.4027397260273977</v>
      </c>
      <c r="J70" s="527">
        <f t="shared" si="8"/>
        <v>4.4027397260273977</v>
      </c>
      <c r="K70" s="532">
        <f t="shared" si="9"/>
        <v>215923.56438356166</v>
      </c>
      <c r="L70" s="533">
        <f t="shared" si="10"/>
        <v>378912.98904109595</v>
      </c>
      <c r="M70" s="533">
        <f t="shared" si="11"/>
        <v>404602.9753424658</v>
      </c>
      <c r="N70" s="534">
        <f>SUM(K70:M70)</f>
        <v>999439.52876712335</v>
      </c>
      <c r="O70" s="537">
        <f>'River Crossings'!M126</f>
        <v>0.31301527680680402</v>
      </c>
      <c r="P70" s="538">
        <f t="shared" si="7"/>
        <v>1.3781247940507784</v>
      </c>
      <c r="Q70" s="175"/>
      <c r="R70" s="542">
        <v>2248.8119999999999</v>
      </c>
      <c r="S70" s="540">
        <v>189341.06599999999</v>
      </c>
      <c r="T70" s="541">
        <f>'Toll Rates'!S70*100/'Trip Price'!P65</f>
        <v>96948.830517153081</v>
      </c>
    </row>
    <row r="71" spans="2:20" ht="13.95" customHeight="1">
      <c r="B71" s="194">
        <f t="shared" si="5"/>
        <v>2006</v>
      </c>
      <c r="C71" s="522"/>
      <c r="D71" s="523"/>
      <c r="E71" s="523"/>
      <c r="F71" s="524"/>
      <c r="G71" s="529">
        <v>4.5</v>
      </c>
      <c r="H71" s="530">
        <v>4.5</v>
      </c>
      <c r="I71" s="530">
        <v>4.5</v>
      </c>
      <c r="J71" s="524"/>
      <c r="K71" s="522"/>
      <c r="L71" s="523"/>
      <c r="M71" s="523"/>
      <c r="N71" s="524"/>
      <c r="O71" s="499"/>
      <c r="P71" s="535"/>
      <c r="Q71" s="175"/>
      <c r="R71" s="543">
        <v>2295.6610000000001</v>
      </c>
      <c r="S71" s="544">
        <v>210431.43100000001</v>
      </c>
      <c r="T71" s="545">
        <f>'Toll Rates'!S71*100/'Trip Price'!P66</f>
        <v>104380.67013888891</v>
      </c>
    </row>
    <row r="72" spans="2:20" ht="13.95" customHeight="1">
      <c r="C72" s="18"/>
      <c r="D72" s="18"/>
      <c r="E72" s="18"/>
      <c r="F72" s="18"/>
      <c r="G72" s="5215" t="s">
        <v>3426</v>
      </c>
      <c r="H72" s="5215"/>
      <c r="I72" s="5215"/>
      <c r="J72" s="5215"/>
      <c r="K72" s="5215" t="s">
        <v>3427</v>
      </c>
      <c r="L72" s="5215"/>
      <c r="M72" s="5215"/>
      <c r="N72" s="5215"/>
    </row>
    <row r="73" spans="2:20" ht="13.95" customHeight="1">
      <c r="C73" s="18"/>
      <c r="D73" s="18"/>
      <c r="E73" s="18"/>
      <c r="F73" s="18"/>
      <c r="G73" s="298" t="s">
        <v>3431</v>
      </c>
      <c r="H73" s="298" t="s">
        <v>3428</v>
      </c>
      <c r="I73" s="298" t="s">
        <v>3429</v>
      </c>
      <c r="J73" s="298" t="s">
        <v>3430</v>
      </c>
      <c r="K73" s="298" t="s">
        <v>3431</v>
      </c>
      <c r="L73" s="298" t="s">
        <v>3428</v>
      </c>
      <c r="M73" s="298" t="s">
        <v>3429</v>
      </c>
      <c r="N73" s="298" t="s">
        <v>3430</v>
      </c>
    </row>
    <row r="74" spans="2:20" ht="13.95" customHeight="1">
      <c r="C74" s="18"/>
      <c r="D74" s="18"/>
      <c r="E74" s="18"/>
      <c r="F74" s="18"/>
      <c r="G74" s="18"/>
      <c r="H74" s="18"/>
      <c r="I74" s="18"/>
      <c r="J74" s="18"/>
      <c r="K74" s="18"/>
      <c r="L74" s="18"/>
      <c r="M74" s="18"/>
      <c r="N74" s="18"/>
    </row>
    <row r="75" spans="2:20" ht="13.95" customHeight="1">
      <c r="B75" s="194">
        <f>B71+1</f>
        <v>2007</v>
      </c>
      <c r="C75" s="18"/>
      <c r="D75" s="18"/>
      <c r="E75" s="18"/>
      <c r="F75" s="18"/>
      <c r="G75" s="18"/>
      <c r="H75" s="18"/>
      <c r="I75" s="18"/>
      <c r="J75" s="18"/>
      <c r="K75" s="18"/>
      <c r="L75" s="18"/>
      <c r="M75" s="18"/>
      <c r="N75" s="18"/>
    </row>
    <row r="76" spans="2:20" ht="13.95" customHeight="1">
      <c r="B76" s="194">
        <f>B75+1</f>
        <v>2008</v>
      </c>
      <c r="C76" s="18"/>
      <c r="D76" s="18"/>
      <c r="E76" s="18"/>
      <c r="F76" s="18"/>
      <c r="G76" s="18"/>
      <c r="H76" s="18"/>
      <c r="I76" s="18"/>
      <c r="J76" s="18"/>
      <c r="K76" s="18"/>
      <c r="L76" s="18"/>
      <c r="M76" s="18"/>
      <c r="N76" s="18"/>
    </row>
    <row r="77" spans="2:20" ht="13.95" customHeight="1">
      <c r="B77" s="194">
        <f>B76+1</f>
        <v>2009</v>
      </c>
      <c r="C77" s="18"/>
      <c r="D77" s="18"/>
      <c r="E77" s="18"/>
      <c r="F77" s="18"/>
      <c r="H77" s="18"/>
      <c r="I77" s="18"/>
      <c r="J77" s="18"/>
      <c r="K77" s="18"/>
      <c r="L77" s="18"/>
      <c r="M77" s="18"/>
      <c r="N77" s="18"/>
    </row>
    <row r="78" spans="2:20" ht="13.95" customHeight="1">
      <c r="B78" s="194">
        <f>B77+1</f>
        <v>2010</v>
      </c>
      <c r="C78" s="18"/>
      <c r="D78" s="18"/>
      <c r="E78" s="18"/>
      <c r="F78" s="18"/>
      <c r="G78" s="2092">
        <v>4.57</v>
      </c>
      <c r="H78" s="2093">
        <v>1.71</v>
      </c>
      <c r="I78" s="2092">
        <v>2.09</v>
      </c>
      <c r="J78" s="2092">
        <v>9.14</v>
      </c>
      <c r="K78" s="2092">
        <v>5.5</v>
      </c>
      <c r="L78" s="2092">
        <v>2.75</v>
      </c>
      <c r="M78" s="2092">
        <v>3</v>
      </c>
      <c r="N78" s="2092">
        <v>11</v>
      </c>
    </row>
    <row r="79" spans="2:20" ht="13.95" customHeight="1">
      <c r="B79" s="194">
        <f>B78+1</f>
        <v>2011</v>
      </c>
      <c r="C79" s="18"/>
      <c r="D79" s="18"/>
      <c r="E79" s="18"/>
      <c r="F79" s="18"/>
      <c r="G79" s="2092">
        <v>4.8</v>
      </c>
      <c r="H79" s="2092">
        <v>1.8</v>
      </c>
      <c r="I79" s="2092">
        <v>2.2000000000000002</v>
      </c>
      <c r="J79" s="2092">
        <v>9.6</v>
      </c>
      <c r="K79" s="2092">
        <v>6.5</v>
      </c>
      <c r="L79" s="2092">
        <v>3.25</v>
      </c>
      <c r="M79" s="2092">
        <v>4</v>
      </c>
      <c r="N79" s="2092">
        <v>13</v>
      </c>
    </row>
    <row r="80" spans="2:20" ht="13.95" customHeight="1">
      <c r="B80" s="194"/>
      <c r="C80" s="18"/>
      <c r="D80" s="18"/>
      <c r="E80" s="18"/>
      <c r="F80" s="18"/>
      <c r="G80" s="2092"/>
      <c r="H80" s="2092"/>
      <c r="I80" s="2092"/>
      <c r="J80" s="2092"/>
      <c r="K80" s="2092"/>
      <c r="L80" s="2092"/>
      <c r="M80" s="2092"/>
      <c r="N80" s="2092"/>
    </row>
    <row r="81" spans="2:15" ht="13.95" customHeight="1">
      <c r="B81" s="3785" t="s">
        <v>6008</v>
      </c>
      <c r="C81" s="3786"/>
      <c r="D81" s="3786"/>
      <c r="E81" s="3786"/>
      <c r="F81" s="3786"/>
      <c r="G81" s="3786"/>
      <c r="H81" s="3786"/>
      <c r="I81" s="3786"/>
      <c r="J81" s="3786"/>
      <c r="K81" s="3786"/>
      <c r="L81" s="3786"/>
      <c r="M81" s="3786"/>
      <c r="N81" s="3786"/>
      <c r="O81" s="3786"/>
    </row>
    <row r="82" spans="2:15" ht="13.95" customHeight="1">
      <c r="B82" s="3786"/>
      <c r="C82" s="3786"/>
      <c r="D82" s="3786"/>
      <c r="E82" s="3786"/>
      <c r="F82" s="3786"/>
      <c r="G82" s="3786"/>
      <c r="H82" s="3786"/>
      <c r="I82" s="3786"/>
      <c r="J82" s="3786"/>
      <c r="K82" s="3786"/>
      <c r="L82" s="3786"/>
      <c r="M82" s="3786"/>
      <c r="N82" s="3786"/>
      <c r="O82" s="3786"/>
    </row>
    <row r="83" spans="2:15" ht="13.95" customHeight="1">
      <c r="B83" s="297"/>
      <c r="C83" s="297"/>
      <c r="D83" s="297"/>
      <c r="E83" s="297"/>
      <c r="F83" s="297"/>
      <c r="G83" s="297"/>
      <c r="H83" s="297"/>
      <c r="I83" s="297"/>
      <c r="J83" s="297"/>
      <c r="K83" s="297"/>
      <c r="L83" s="297"/>
      <c r="M83" s="297"/>
      <c r="N83" s="297"/>
      <c r="O83" s="297"/>
    </row>
    <row r="84" spans="2:15" ht="13.95" customHeight="1">
      <c r="B84" s="3785" t="s">
        <v>3432</v>
      </c>
      <c r="C84" s="3786"/>
      <c r="D84" s="3786"/>
      <c r="E84" s="3786"/>
      <c r="F84" s="3786"/>
      <c r="G84" s="3786"/>
      <c r="H84" s="3786"/>
      <c r="I84" s="3786"/>
      <c r="J84" s="3786"/>
      <c r="K84" s="3786"/>
      <c r="L84" s="3786"/>
      <c r="M84" s="3786"/>
      <c r="N84" s="3786"/>
      <c r="O84" s="3786"/>
    </row>
    <row r="85" spans="2:15" ht="13.95" customHeight="1">
      <c r="B85" s="3786"/>
      <c r="C85" s="3786"/>
      <c r="D85" s="3786"/>
      <c r="E85" s="3786"/>
      <c r="F85" s="3786"/>
      <c r="G85" s="3786"/>
      <c r="H85" s="3786"/>
      <c r="I85" s="3786"/>
      <c r="J85" s="3786"/>
      <c r="K85" s="3786"/>
      <c r="L85" s="3786"/>
      <c r="M85" s="3786"/>
      <c r="N85" s="3786"/>
      <c r="O85" s="3786"/>
    </row>
    <row r="86" spans="2:15" ht="13.95" customHeight="1">
      <c r="B86" s="18"/>
      <c r="C86" s="18"/>
      <c r="D86" s="18"/>
      <c r="E86" s="18"/>
      <c r="F86" s="18"/>
      <c r="G86" s="18"/>
      <c r="H86" s="18"/>
      <c r="I86" s="18"/>
      <c r="J86" s="18"/>
      <c r="K86" s="18"/>
      <c r="L86" s="18"/>
      <c r="M86" s="18"/>
      <c r="N86" s="18"/>
    </row>
    <row r="87" spans="2:15" ht="13.95" customHeight="1">
      <c r="B87" s="4149" t="s">
        <v>2014</v>
      </c>
      <c r="C87" s="3786"/>
      <c r="D87" s="3786"/>
      <c r="E87" s="3786"/>
      <c r="F87" s="3786"/>
      <c r="G87" s="3786"/>
      <c r="H87" s="3786"/>
      <c r="I87" s="3786"/>
      <c r="J87" s="3786"/>
      <c r="K87" s="3786"/>
      <c r="L87" s="3786"/>
      <c r="M87" s="3786"/>
      <c r="N87" s="3786"/>
      <c r="O87" s="3786"/>
    </row>
    <row r="88" spans="2:15" ht="13.95" customHeight="1">
      <c r="B88" s="3786"/>
      <c r="C88" s="3786"/>
      <c r="D88" s="3786"/>
      <c r="E88" s="3786"/>
      <c r="F88" s="3786"/>
      <c r="G88" s="3786"/>
      <c r="H88" s="3786"/>
      <c r="I88" s="3786"/>
      <c r="J88" s="3786"/>
      <c r="K88" s="3786"/>
      <c r="L88" s="3786"/>
      <c r="M88" s="3786"/>
      <c r="N88" s="3786"/>
      <c r="O88" s="3786"/>
    </row>
    <row r="89" spans="2:15" ht="13.95" customHeight="1">
      <c r="B89" s="3786"/>
      <c r="C89" s="3786"/>
      <c r="D89" s="3786"/>
      <c r="E89" s="3786"/>
      <c r="F89" s="3786"/>
      <c r="G89" s="3786"/>
      <c r="H89" s="3786"/>
      <c r="I89" s="3786"/>
      <c r="J89" s="3786"/>
      <c r="K89" s="3786"/>
      <c r="L89" s="3786"/>
      <c r="M89" s="3786"/>
      <c r="N89" s="3786"/>
      <c r="O89" s="3786"/>
    </row>
    <row r="90" spans="2:15" ht="13.95" customHeight="1">
      <c r="B90" s="3786"/>
      <c r="C90" s="3786"/>
      <c r="D90" s="3786"/>
      <c r="E90" s="3786"/>
      <c r="F90" s="3786"/>
      <c r="G90" s="3786"/>
      <c r="H90" s="3786"/>
      <c r="I90" s="3786"/>
      <c r="J90" s="3786"/>
      <c r="K90" s="3786"/>
      <c r="L90" s="3786"/>
      <c r="M90" s="3786"/>
      <c r="N90" s="3786"/>
      <c r="O90" s="3786"/>
    </row>
    <row r="91" spans="2:15" ht="13.95" customHeight="1">
      <c r="B91" s="3786"/>
      <c r="C91" s="3786"/>
      <c r="D91" s="3786"/>
      <c r="E91" s="3786"/>
      <c r="F91" s="3786"/>
      <c r="G91" s="3786"/>
      <c r="H91" s="3786"/>
      <c r="I91" s="3786"/>
      <c r="J91" s="3786"/>
      <c r="K91" s="3786"/>
      <c r="L91" s="3786"/>
      <c r="M91" s="3786"/>
      <c r="N91" s="3786"/>
      <c r="O91" s="3786"/>
    </row>
    <row r="92" spans="2:15" ht="13.95" customHeight="1">
      <c r="B92" s="18"/>
      <c r="C92" s="18"/>
      <c r="D92" s="18"/>
      <c r="E92" s="18"/>
      <c r="F92" s="18"/>
      <c r="G92" s="18"/>
      <c r="H92" s="18"/>
      <c r="I92" s="18"/>
      <c r="J92" s="18"/>
      <c r="K92" s="18"/>
      <c r="L92" s="18"/>
      <c r="M92" s="18"/>
      <c r="N92" s="18"/>
    </row>
    <row r="93" spans="2:15" ht="13.95" customHeight="1">
      <c r="B93" s="18"/>
      <c r="C93" s="18"/>
      <c r="D93" s="18"/>
      <c r="E93" s="18"/>
      <c r="F93" s="18"/>
      <c r="G93" s="18"/>
      <c r="H93" s="18"/>
      <c r="I93" s="18"/>
      <c r="J93" s="18"/>
      <c r="K93" s="18"/>
      <c r="L93" s="18"/>
      <c r="M93" s="18"/>
      <c r="N93" s="18"/>
    </row>
    <row r="94" spans="2:15" ht="13.95" customHeight="1">
      <c r="B94" s="18"/>
      <c r="C94" s="18"/>
      <c r="D94" s="18"/>
      <c r="E94" s="18"/>
      <c r="F94" s="18"/>
      <c r="G94" s="18"/>
      <c r="H94" s="18"/>
      <c r="I94" s="18"/>
      <c r="J94" s="18"/>
      <c r="K94" s="18"/>
      <c r="L94" s="18"/>
      <c r="M94" s="18"/>
      <c r="N94" s="18"/>
    </row>
    <row r="95" spans="2:15" ht="13.95" customHeight="1">
      <c r="B95" s="18"/>
      <c r="C95" s="18"/>
      <c r="D95" s="18"/>
      <c r="E95" s="18"/>
      <c r="F95" s="18"/>
      <c r="G95" s="18"/>
      <c r="H95" s="18"/>
      <c r="I95" s="18"/>
      <c r="J95" s="18"/>
      <c r="K95" s="18"/>
      <c r="L95" s="18"/>
      <c r="M95" s="18"/>
      <c r="N95" s="18"/>
    </row>
    <row r="96" spans="2:15" ht="13.95" customHeight="1">
      <c r="B96" s="18"/>
      <c r="C96" s="18"/>
      <c r="D96" s="18"/>
      <c r="E96" s="18"/>
      <c r="F96" s="18"/>
      <c r="G96" s="18"/>
      <c r="H96" s="18"/>
      <c r="I96" s="18"/>
      <c r="J96" s="18"/>
      <c r="K96" s="18"/>
      <c r="L96" s="18"/>
      <c r="M96" s="18"/>
      <c r="N96" s="18"/>
    </row>
    <row r="97" spans="2:14" ht="13.95" customHeight="1">
      <c r="B97" s="18"/>
      <c r="C97" s="18"/>
      <c r="D97" s="18"/>
      <c r="E97" s="18"/>
      <c r="F97" s="18"/>
      <c r="G97" s="18"/>
      <c r="H97" s="18"/>
      <c r="I97" s="18"/>
      <c r="J97" s="18"/>
      <c r="K97" s="18"/>
      <c r="L97" s="18"/>
      <c r="M97" s="18"/>
      <c r="N97" s="18"/>
    </row>
    <row r="98" spans="2:14" ht="13.95" customHeight="1">
      <c r="B98" s="18"/>
      <c r="C98" s="18"/>
      <c r="D98" s="18"/>
      <c r="E98" s="18"/>
      <c r="F98" s="18"/>
      <c r="G98" s="18"/>
      <c r="H98" s="18"/>
      <c r="I98" s="18"/>
      <c r="J98" s="18"/>
      <c r="K98" s="18"/>
      <c r="L98" s="18"/>
      <c r="M98" s="18"/>
      <c r="N98" s="18"/>
    </row>
    <row r="99" spans="2:14" ht="13.95" customHeight="1">
      <c r="B99" s="18"/>
      <c r="C99" s="18"/>
      <c r="D99" s="18"/>
      <c r="E99" s="18"/>
      <c r="F99" s="18"/>
      <c r="G99" s="18"/>
      <c r="H99" s="18"/>
      <c r="I99" s="18"/>
      <c r="J99" s="18"/>
      <c r="K99" s="18"/>
      <c r="L99" s="18"/>
      <c r="M99" s="18"/>
      <c r="N99" s="18"/>
    </row>
    <row r="100" spans="2:14" ht="13.95" customHeight="1">
      <c r="B100" s="18"/>
      <c r="C100" s="18"/>
      <c r="D100" s="18"/>
      <c r="E100" s="18"/>
      <c r="F100" s="18"/>
      <c r="G100" s="18"/>
      <c r="H100" s="18"/>
      <c r="I100" s="18"/>
      <c r="J100" s="18"/>
      <c r="K100" s="18"/>
      <c r="L100" s="18"/>
      <c r="M100" s="18"/>
      <c r="N100" s="18"/>
    </row>
    <row r="101" spans="2:14" ht="13.95" customHeight="1">
      <c r="B101" s="18"/>
      <c r="C101" s="18"/>
      <c r="D101" s="18"/>
      <c r="E101" s="18"/>
      <c r="F101" s="18"/>
      <c r="G101" s="18"/>
      <c r="H101" s="18"/>
      <c r="I101" s="18"/>
      <c r="J101" s="18"/>
      <c r="K101" s="18"/>
      <c r="L101" s="18"/>
      <c r="M101" s="18"/>
      <c r="N101" s="18"/>
    </row>
    <row r="102" spans="2:14" ht="13.95" customHeight="1">
      <c r="B102" s="18"/>
      <c r="C102" s="18"/>
      <c r="D102" s="18"/>
      <c r="E102" s="18"/>
      <c r="F102" s="18"/>
      <c r="G102" s="18"/>
      <c r="H102" s="18"/>
      <c r="I102" s="18"/>
      <c r="J102" s="18"/>
      <c r="K102" s="18"/>
      <c r="L102" s="18"/>
      <c r="M102" s="18"/>
      <c r="N102" s="18"/>
    </row>
    <row r="103" spans="2:14" ht="13.95" customHeight="1">
      <c r="B103" s="18"/>
      <c r="C103" s="18"/>
      <c r="D103" s="18"/>
      <c r="E103" s="18"/>
      <c r="F103" s="18"/>
      <c r="G103" s="18"/>
      <c r="H103" s="18"/>
      <c r="I103" s="18"/>
      <c r="J103" s="18"/>
      <c r="K103" s="18"/>
      <c r="L103" s="18"/>
      <c r="M103" s="18"/>
      <c r="N103" s="18"/>
    </row>
    <row r="104" spans="2:14" ht="13.95" customHeight="1">
      <c r="B104" s="18"/>
      <c r="C104" s="18"/>
      <c r="D104" s="18"/>
      <c r="E104" s="18"/>
      <c r="F104" s="18"/>
      <c r="G104" s="18"/>
      <c r="H104" s="18"/>
      <c r="I104" s="18"/>
      <c r="J104" s="18"/>
      <c r="K104" s="18"/>
      <c r="L104" s="18"/>
      <c r="M104" s="18"/>
      <c r="N104" s="18"/>
    </row>
    <row r="105" spans="2:14" ht="13.95" customHeight="1">
      <c r="B105" s="18"/>
      <c r="C105" s="18"/>
      <c r="D105" s="18"/>
      <c r="E105" s="18"/>
      <c r="F105" s="18"/>
      <c r="G105" s="18"/>
      <c r="H105" s="18"/>
      <c r="I105" s="18"/>
      <c r="J105" s="18"/>
      <c r="K105" s="18"/>
      <c r="L105" s="18"/>
      <c r="M105" s="18"/>
      <c r="N105" s="18"/>
    </row>
    <row r="106" spans="2:14" ht="13.95" customHeight="1">
      <c r="B106" s="18"/>
      <c r="C106" s="18"/>
      <c r="D106" s="18"/>
      <c r="E106" s="18"/>
      <c r="F106" s="18"/>
      <c r="G106" s="18"/>
      <c r="H106" s="18"/>
      <c r="I106" s="18"/>
      <c r="J106" s="18"/>
      <c r="K106" s="18"/>
      <c r="L106" s="18"/>
      <c r="M106" s="18"/>
      <c r="N106" s="18"/>
    </row>
    <row r="107" spans="2:14" ht="13.95" customHeight="1">
      <c r="B107" s="18"/>
      <c r="C107" s="18"/>
      <c r="D107" s="18"/>
      <c r="E107" s="18"/>
      <c r="F107" s="18"/>
      <c r="G107" s="18"/>
      <c r="H107" s="18"/>
      <c r="I107" s="18"/>
      <c r="J107" s="18"/>
      <c r="K107" s="18"/>
      <c r="L107" s="18"/>
      <c r="M107" s="18"/>
      <c r="N107" s="18"/>
    </row>
    <row r="108" spans="2:14" ht="13.95" customHeight="1">
      <c r="B108" s="18"/>
      <c r="C108" s="18"/>
      <c r="D108" s="18"/>
      <c r="E108" s="18"/>
      <c r="F108" s="18"/>
      <c r="G108" s="18"/>
      <c r="H108" s="18"/>
      <c r="I108" s="18"/>
      <c r="J108" s="18"/>
      <c r="K108" s="18"/>
      <c r="L108" s="18"/>
      <c r="M108" s="18"/>
      <c r="N108" s="18"/>
    </row>
    <row r="109" spans="2:14" ht="13.95" customHeight="1">
      <c r="B109" s="18"/>
      <c r="C109" s="18"/>
      <c r="D109" s="18"/>
      <c r="E109" s="18"/>
      <c r="F109" s="18"/>
      <c r="G109" s="18"/>
      <c r="H109" s="18"/>
      <c r="I109" s="18"/>
      <c r="J109" s="18"/>
      <c r="K109" s="18"/>
      <c r="L109" s="18"/>
      <c r="M109" s="18"/>
      <c r="N109" s="18"/>
    </row>
    <row r="110" spans="2:14" ht="13.95" customHeight="1">
      <c r="B110" s="18"/>
      <c r="C110" s="18"/>
      <c r="D110" s="18"/>
      <c r="E110" s="18"/>
      <c r="F110" s="18"/>
      <c r="G110" s="18"/>
      <c r="H110" s="18"/>
      <c r="I110" s="18"/>
      <c r="J110" s="18"/>
      <c r="K110" s="18"/>
      <c r="L110" s="18"/>
      <c r="M110" s="18"/>
      <c r="N110" s="18"/>
    </row>
    <row r="111" spans="2:14" ht="13.95" customHeight="1">
      <c r="B111" s="18"/>
      <c r="C111" s="18"/>
      <c r="D111" s="18"/>
      <c r="E111" s="18"/>
      <c r="F111" s="18"/>
      <c r="G111" s="18"/>
      <c r="H111" s="18"/>
      <c r="I111" s="18"/>
      <c r="J111" s="18"/>
      <c r="K111" s="18"/>
      <c r="L111" s="18"/>
      <c r="M111" s="18"/>
      <c r="N111" s="18"/>
    </row>
    <row r="112" spans="2:14" ht="13.95" customHeight="1">
      <c r="B112" s="18"/>
      <c r="C112" s="18"/>
      <c r="D112" s="18"/>
      <c r="E112" s="18"/>
      <c r="F112" s="18"/>
      <c r="G112" s="18"/>
      <c r="H112" s="18"/>
      <c r="I112" s="18"/>
      <c r="J112" s="18"/>
      <c r="K112" s="18"/>
      <c r="L112" s="18"/>
      <c r="M112" s="18"/>
      <c r="N112" s="18"/>
    </row>
    <row r="113" spans="2:14" ht="13.95" customHeight="1">
      <c r="B113" s="18"/>
      <c r="C113" s="18"/>
      <c r="D113" s="18"/>
      <c r="E113" s="18"/>
      <c r="F113" s="18"/>
      <c r="G113" s="18"/>
      <c r="H113" s="18"/>
      <c r="I113" s="18"/>
      <c r="J113" s="18"/>
      <c r="K113" s="18"/>
      <c r="L113" s="18"/>
      <c r="M113" s="18"/>
      <c r="N113" s="18"/>
    </row>
    <row r="114" spans="2:14" ht="13.95" customHeight="1">
      <c r="B114" s="18"/>
      <c r="C114" s="18"/>
      <c r="D114" s="18"/>
      <c r="E114" s="18"/>
      <c r="F114" s="18"/>
      <c r="G114" s="18"/>
      <c r="H114" s="18"/>
      <c r="I114" s="18"/>
      <c r="J114" s="18"/>
      <c r="K114" s="18"/>
      <c r="L114" s="18"/>
      <c r="M114" s="18"/>
      <c r="N114" s="18"/>
    </row>
    <row r="115" spans="2:14" ht="13.95" customHeight="1">
      <c r="B115" s="18"/>
      <c r="C115" s="18"/>
      <c r="D115" s="18"/>
      <c r="E115" s="18"/>
      <c r="F115" s="18"/>
      <c r="G115" s="18"/>
      <c r="H115" s="18"/>
      <c r="I115" s="18"/>
      <c r="J115" s="18"/>
      <c r="K115" s="18"/>
      <c r="L115" s="18"/>
      <c r="M115" s="18"/>
      <c r="N115" s="18"/>
    </row>
    <row r="116" spans="2:14" ht="13.95" customHeight="1">
      <c r="B116" s="18"/>
      <c r="C116" s="18"/>
      <c r="D116" s="18"/>
      <c r="E116" s="18"/>
      <c r="F116" s="18"/>
      <c r="G116" s="18"/>
      <c r="H116" s="18"/>
      <c r="I116" s="18"/>
      <c r="J116" s="18"/>
      <c r="K116" s="18"/>
      <c r="L116" s="18"/>
      <c r="M116" s="18"/>
      <c r="N116" s="18"/>
    </row>
    <row r="117" spans="2:14" ht="13.95" customHeight="1">
      <c r="B117" s="18"/>
      <c r="C117" s="18"/>
      <c r="D117" s="18"/>
      <c r="E117" s="18"/>
      <c r="F117" s="18"/>
      <c r="G117" s="18"/>
      <c r="H117" s="18"/>
      <c r="I117" s="18"/>
      <c r="J117" s="18"/>
      <c r="K117" s="18"/>
      <c r="L117" s="18"/>
      <c r="M117" s="18"/>
      <c r="N117" s="18"/>
    </row>
    <row r="118" spans="2:14" ht="13.95" customHeight="1">
      <c r="B118" s="18"/>
      <c r="C118" s="18"/>
      <c r="D118" s="18"/>
      <c r="E118" s="18"/>
      <c r="F118" s="18"/>
      <c r="G118" s="18"/>
      <c r="H118" s="18"/>
      <c r="I118" s="18"/>
      <c r="J118" s="18"/>
      <c r="K118" s="18"/>
      <c r="L118" s="18"/>
      <c r="M118" s="18"/>
      <c r="N118" s="18"/>
    </row>
    <row r="119" spans="2:14" ht="13.95" customHeight="1">
      <c r="B119" s="18"/>
      <c r="C119" s="18"/>
      <c r="D119" s="18"/>
      <c r="E119" s="18"/>
      <c r="F119" s="18"/>
      <c r="G119" s="18"/>
      <c r="H119" s="18"/>
      <c r="I119" s="18"/>
      <c r="J119" s="18"/>
      <c r="K119" s="18"/>
      <c r="L119" s="18"/>
      <c r="M119" s="18"/>
      <c r="N119" s="18"/>
    </row>
    <row r="120" spans="2:14" ht="13.95" customHeight="1">
      <c r="B120" s="18"/>
      <c r="C120" s="18"/>
      <c r="D120" s="18"/>
      <c r="E120" s="18"/>
      <c r="F120" s="18"/>
      <c r="G120" s="18"/>
      <c r="H120" s="18"/>
      <c r="I120" s="18"/>
      <c r="J120" s="18"/>
      <c r="K120" s="18"/>
      <c r="L120" s="18"/>
      <c r="M120" s="18"/>
      <c r="N120" s="18"/>
    </row>
    <row r="121" spans="2:14" ht="13.95" customHeight="1">
      <c r="B121" s="18"/>
      <c r="C121" s="18"/>
      <c r="D121" s="18"/>
      <c r="E121" s="18"/>
      <c r="F121" s="18"/>
      <c r="G121" s="18"/>
      <c r="H121" s="18"/>
      <c r="I121" s="18"/>
      <c r="J121" s="18"/>
      <c r="K121" s="18"/>
      <c r="L121" s="18"/>
      <c r="M121" s="18"/>
      <c r="N121" s="18"/>
    </row>
    <row r="122" spans="2:14" ht="13.95" customHeight="1">
      <c r="B122" s="18"/>
      <c r="C122" s="18"/>
      <c r="D122" s="18"/>
      <c r="E122" s="18"/>
      <c r="F122" s="18"/>
      <c r="G122" s="18"/>
      <c r="H122" s="18"/>
      <c r="I122" s="18"/>
      <c r="J122" s="18"/>
      <c r="K122" s="18"/>
      <c r="L122" s="18"/>
      <c r="M122" s="18"/>
      <c r="N122" s="18"/>
    </row>
    <row r="123" spans="2:14" ht="13.95" customHeight="1">
      <c r="B123" s="18"/>
      <c r="C123" s="18"/>
      <c r="D123" s="18"/>
      <c r="E123" s="18"/>
      <c r="F123" s="18"/>
      <c r="G123" s="18"/>
      <c r="H123" s="18"/>
      <c r="I123" s="18"/>
      <c r="J123" s="18"/>
      <c r="K123" s="18"/>
      <c r="L123" s="18"/>
      <c r="M123" s="18"/>
      <c r="N123" s="18"/>
    </row>
    <row r="124" spans="2:14" ht="13.95" customHeight="1">
      <c r="B124" s="18"/>
      <c r="C124" s="18"/>
      <c r="D124" s="18"/>
      <c r="E124" s="18"/>
      <c r="F124" s="18"/>
      <c r="G124" s="18"/>
      <c r="H124" s="18"/>
      <c r="I124" s="18"/>
      <c r="J124" s="18"/>
      <c r="K124" s="18"/>
      <c r="L124" s="18"/>
      <c r="M124" s="18"/>
      <c r="N124" s="18"/>
    </row>
    <row r="125" spans="2:14" ht="13.95" customHeight="1">
      <c r="B125" s="18"/>
      <c r="C125" s="18"/>
      <c r="D125" s="18"/>
      <c r="E125" s="18"/>
      <c r="F125" s="18"/>
      <c r="G125" s="18"/>
      <c r="H125" s="18"/>
      <c r="I125" s="18"/>
      <c r="J125" s="18"/>
      <c r="K125" s="18"/>
      <c r="L125" s="18"/>
      <c r="M125" s="18"/>
      <c r="N125" s="18"/>
    </row>
    <row r="126" spans="2:14" ht="13.95" customHeight="1">
      <c r="B126" s="18"/>
      <c r="C126" s="18"/>
      <c r="D126" s="18"/>
      <c r="E126" s="18"/>
      <c r="F126" s="18"/>
      <c r="G126" s="18"/>
      <c r="H126" s="18"/>
      <c r="I126" s="18"/>
      <c r="J126" s="18"/>
      <c r="K126" s="18"/>
      <c r="L126" s="18"/>
      <c r="M126" s="18"/>
      <c r="N126" s="18"/>
    </row>
    <row r="127" spans="2:14" ht="13.95" customHeight="1">
      <c r="B127" s="18"/>
      <c r="C127" s="18"/>
      <c r="D127" s="18"/>
      <c r="E127" s="18"/>
      <c r="F127" s="18"/>
      <c r="G127" s="18"/>
      <c r="H127" s="18"/>
      <c r="I127" s="18"/>
      <c r="J127" s="18"/>
      <c r="K127" s="18"/>
      <c r="L127" s="18"/>
      <c r="M127" s="18"/>
      <c r="N127" s="18"/>
    </row>
    <row r="128" spans="2:14" ht="13.95" customHeight="1">
      <c r="B128" s="18"/>
      <c r="C128" s="18"/>
      <c r="D128" s="18"/>
      <c r="E128" s="18"/>
      <c r="F128" s="18"/>
      <c r="G128" s="18"/>
      <c r="H128" s="18"/>
      <c r="I128" s="18"/>
      <c r="J128" s="18"/>
      <c r="K128" s="18"/>
      <c r="L128" s="18"/>
      <c r="M128" s="18"/>
      <c r="N128" s="18"/>
    </row>
  </sheetData>
  <customSheetViews>
    <customSheetView guid="{BD5E6263-A0AD-4076-921A-D4EBD62848EF}" showGridLines="0" showRuler="0">
      <selection activeCell="R24" sqref="R24"/>
      <pageMargins left="0.75" right="0.75" top="1" bottom="1" header="0.5" footer="0.5"/>
      <pageSetup orientation="portrait" r:id="rId1"/>
      <headerFooter alignWithMargins="0"/>
    </customSheetView>
    <customSheetView guid="{1D5AE30A-CA7C-4B32-AEA4-9F37A560AAA8}" showGridLines="0" showRuler="0">
      <selection activeCell="R24" sqref="R24"/>
      <pageMargins left="0.75" right="0.75" top="1" bottom="1" header="0.5" footer="0.5"/>
      <pageSetup orientation="portrait" r:id="rId2"/>
      <headerFooter alignWithMargins="0"/>
    </customSheetView>
  </customSheetViews>
  <mergeCells count="9">
    <mergeCell ref="B87:O91"/>
    <mergeCell ref="B8:N9"/>
    <mergeCell ref="G11:J11"/>
    <mergeCell ref="C11:F11"/>
    <mergeCell ref="K11:N11"/>
    <mergeCell ref="G72:J72"/>
    <mergeCell ref="K72:N72"/>
    <mergeCell ref="B84:O85"/>
    <mergeCell ref="B81:O82"/>
  </mergeCells>
  <phoneticPr fontId="6" type="noConversion"/>
  <pageMargins left="0.75" right="0.75" top="1" bottom="1" header="0.5" footer="0.5"/>
  <pageSetup orientation="portrait" r:id="rId3"/>
  <headerFooter alignWithMargins="0"/>
</worksheet>
</file>

<file path=xl/worksheets/sheet52.xml><?xml version="1.0" encoding="utf-8"?>
<worksheet xmlns="http://schemas.openxmlformats.org/spreadsheetml/2006/main" xmlns:r="http://schemas.openxmlformats.org/officeDocument/2006/relationships">
  <sheetPr codeName="Sheet44"/>
  <dimension ref="B2:K45"/>
  <sheetViews>
    <sheetView showGridLines="0" showRuler="0" workbookViewId="0"/>
  </sheetViews>
  <sheetFormatPr defaultRowHeight="15" customHeight="1"/>
  <cols>
    <col min="1" max="1" width="2.75" customWidth="1"/>
    <col min="2" max="10" width="10.125" customWidth="1"/>
  </cols>
  <sheetData>
    <row r="2" spans="2:11" ht="15" customHeight="1">
      <c r="B2" s="115" t="s">
        <v>610</v>
      </c>
      <c r="J2" s="181">
        <f>'Title Page'!K1</f>
        <v>40914</v>
      </c>
    </row>
    <row r="4" spans="2:11" ht="15" customHeight="1">
      <c r="B4" s="4605" t="s">
        <v>2955</v>
      </c>
      <c r="C4" s="3659"/>
      <c r="D4" s="3659"/>
      <c r="E4" s="3659"/>
      <c r="F4" s="3659"/>
      <c r="G4" s="3659"/>
      <c r="H4" s="3659"/>
      <c r="I4" s="3659"/>
      <c r="J4" s="3659"/>
    </row>
    <row r="5" spans="2:11" ht="15" customHeight="1">
      <c r="B5" s="3659"/>
      <c r="C5" s="3659"/>
      <c r="D5" s="3659"/>
      <c r="E5" s="3659"/>
      <c r="F5" s="3659"/>
      <c r="G5" s="3659"/>
      <c r="H5" s="3659"/>
      <c r="I5" s="3659"/>
      <c r="J5" s="3659"/>
    </row>
    <row r="6" spans="2:11" ht="15" customHeight="1">
      <c r="G6" s="54"/>
    </row>
    <row r="7" spans="2:11" ht="15" customHeight="1">
      <c r="B7" s="323" t="s">
        <v>414</v>
      </c>
      <c r="C7" s="9"/>
      <c r="D7" s="9"/>
      <c r="E7" s="9"/>
      <c r="F7" s="9"/>
      <c r="G7" s="53"/>
      <c r="H7" s="53"/>
      <c r="J7" s="255">
        <v>330</v>
      </c>
      <c r="K7" s="9"/>
    </row>
    <row r="8" spans="2:11" ht="15" customHeight="1">
      <c r="B8" s="323" t="s">
        <v>2357</v>
      </c>
      <c r="J8" s="210">
        <v>365</v>
      </c>
    </row>
    <row r="9" spans="2:11" ht="15" customHeight="1">
      <c r="B9" s="323" t="s">
        <v>3048</v>
      </c>
      <c r="J9" s="331">
        <f>12/44</f>
        <v>0.27272727272727271</v>
      </c>
    </row>
    <row r="10" spans="2:11" ht="15" customHeight="1">
      <c r="B10" s="214" t="s">
        <v>1572</v>
      </c>
      <c r="J10" s="221">
        <v>5280</v>
      </c>
    </row>
    <row r="11" spans="2:11" ht="15" customHeight="1">
      <c r="B11" s="214" t="s">
        <v>1573</v>
      </c>
      <c r="J11" s="221">
        <f>J10*J10/640</f>
        <v>43560</v>
      </c>
    </row>
    <row r="12" spans="2:11" ht="15" customHeight="1">
      <c r="B12" s="323" t="s">
        <v>2341</v>
      </c>
      <c r="C12" s="9"/>
      <c r="D12" s="9"/>
      <c r="E12" s="9"/>
      <c r="F12" s="9"/>
      <c r="G12" s="9"/>
      <c r="H12" s="9"/>
      <c r="J12" s="248">
        <v>19.63</v>
      </c>
    </row>
    <row r="13" spans="2:11" ht="15" customHeight="1">
      <c r="B13" s="319" t="s">
        <v>50</v>
      </c>
      <c r="C13" s="9"/>
      <c r="D13" s="9"/>
      <c r="E13" s="9"/>
      <c r="F13" s="9"/>
      <c r="G13" s="9"/>
      <c r="H13" s="9"/>
      <c r="J13" s="331"/>
    </row>
    <row r="14" spans="2:11" ht="15" customHeight="1">
      <c r="B14" s="323" t="s">
        <v>51</v>
      </c>
      <c r="C14" s="9"/>
      <c r="D14" s="9"/>
      <c r="E14" s="9"/>
      <c r="F14" s="9"/>
      <c r="G14" s="9"/>
      <c r="H14" s="9"/>
      <c r="J14" s="229">
        <v>453.6</v>
      </c>
    </row>
    <row r="15" spans="2:11" ht="15" customHeight="1">
      <c r="B15" s="323" t="s">
        <v>93</v>
      </c>
      <c r="C15" s="9"/>
      <c r="D15" s="9"/>
      <c r="E15" s="9"/>
      <c r="F15" s="9"/>
      <c r="G15" s="9"/>
      <c r="H15" s="9"/>
      <c r="J15" s="331">
        <f>1000000/(J14*2000)</f>
        <v>1.1022927689594357</v>
      </c>
    </row>
    <row r="16" spans="2:11" ht="15" customHeight="1">
      <c r="B16" s="323" t="s">
        <v>1682</v>
      </c>
      <c r="C16" s="9"/>
      <c r="D16" s="9"/>
      <c r="E16" s="9"/>
      <c r="F16" s="9"/>
      <c r="G16" s="9"/>
      <c r="H16" s="9"/>
      <c r="J16" s="331">
        <f>J12*J14/1000</f>
        <v>8.9041680000000003</v>
      </c>
    </row>
    <row r="17" spans="2:10" ht="15" customHeight="1">
      <c r="B17" s="323" t="s">
        <v>1683</v>
      </c>
      <c r="C17" s="9"/>
      <c r="D17" s="9"/>
      <c r="E17" s="9"/>
      <c r="F17" s="9"/>
      <c r="G17" s="9"/>
      <c r="H17" s="9"/>
      <c r="J17" s="255">
        <v>42</v>
      </c>
    </row>
    <row r="18" spans="2:10" ht="15" customHeight="1">
      <c r="B18" s="323" t="s">
        <v>3114</v>
      </c>
      <c r="C18" s="9"/>
      <c r="D18" s="9"/>
      <c r="E18" s="9"/>
      <c r="F18" s="9"/>
      <c r="G18" s="9"/>
      <c r="H18" s="9"/>
      <c r="J18" s="255">
        <v>640</v>
      </c>
    </row>
    <row r="19" spans="2:10" ht="15" customHeight="1">
      <c r="J19" s="331"/>
    </row>
    <row r="20" spans="2:10" ht="15" customHeight="1">
      <c r="B20" s="308" t="s">
        <v>2352</v>
      </c>
      <c r="J20" s="331"/>
    </row>
    <row r="21" spans="2:10" ht="15" customHeight="1">
      <c r="B21" s="323" t="s">
        <v>57</v>
      </c>
      <c r="C21" s="9"/>
      <c r="D21" s="9"/>
      <c r="E21" s="9"/>
      <c r="F21" s="9"/>
      <c r="G21" s="9"/>
      <c r="H21" s="9"/>
      <c r="J21" s="248">
        <v>365.25</v>
      </c>
    </row>
    <row r="22" spans="2:10" ht="15" customHeight="1">
      <c r="B22" s="323" t="s">
        <v>1825</v>
      </c>
      <c r="C22" s="9"/>
      <c r="D22" s="9"/>
      <c r="E22" s="9"/>
      <c r="F22" s="9"/>
      <c r="G22" s="9"/>
      <c r="H22" s="9"/>
      <c r="J22" s="229">
        <f>2/7*J21</f>
        <v>104.35714285714285</v>
      </c>
    </row>
    <row r="23" spans="2:10" ht="15" customHeight="1">
      <c r="B23" s="323" t="s">
        <v>1646</v>
      </c>
      <c r="C23" s="9"/>
      <c r="D23" s="9"/>
      <c r="E23" s="9"/>
      <c r="F23" s="9"/>
      <c r="G23" s="53"/>
      <c r="H23" s="53"/>
      <c r="J23" s="221">
        <v>10</v>
      </c>
    </row>
    <row r="24" spans="2:10" ht="15" customHeight="1">
      <c r="B24" s="323" t="s">
        <v>2956</v>
      </c>
      <c r="C24" s="9"/>
      <c r="D24" s="9"/>
      <c r="E24" s="9"/>
      <c r="F24" s="9"/>
      <c r="G24" s="53"/>
      <c r="H24" s="53"/>
      <c r="J24" s="229">
        <f>J21-J22-J23</f>
        <v>250.89285714285717</v>
      </c>
    </row>
    <row r="25" spans="2:10" ht="15" customHeight="1">
      <c r="B25" s="323" t="s">
        <v>1647</v>
      </c>
      <c r="C25" s="9"/>
      <c r="D25" s="9"/>
      <c r="E25" s="9"/>
      <c r="F25" s="9"/>
      <c r="G25" s="53"/>
      <c r="H25" s="53"/>
      <c r="J25" s="221">
        <f>ROUND(J24,-1)</f>
        <v>250</v>
      </c>
    </row>
    <row r="26" spans="2:10" s="3188" customFormat="1" ht="15" customHeight="1">
      <c r="B26" s="316" t="s">
        <v>5544</v>
      </c>
      <c r="C26" s="9"/>
      <c r="D26" s="9"/>
      <c r="E26" s="9"/>
      <c r="F26" s="9"/>
      <c r="G26" s="53"/>
      <c r="H26" s="53"/>
      <c r="J26" s="1965">
        <f>weekday_per_yr/12</f>
        <v>20.833333333333332</v>
      </c>
    </row>
    <row r="27" spans="2:10" ht="15" customHeight="1">
      <c r="B27" s="323" t="s">
        <v>464</v>
      </c>
      <c r="C27" s="9"/>
      <c r="D27" s="9"/>
      <c r="E27" s="9"/>
      <c r="F27" s="9"/>
      <c r="G27" s="53"/>
      <c r="H27" s="53"/>
      <c r="J27" s="221">
        <f>ROUND(J21-J25,0)</f>
        <v>115</v>
      </c>
    </row>
    <row r="28" spans="2:10" ht="15" customHeight="1">
      <c r="B28" s="1406" t="s">
        <v>4470</v>
      </c>
      <c r="C28" s="9"/>
      <c r="D28" s="9"/>
      <c r="E28" s="9"/>
      <c r="F28" s="9"/>
      <c r="G28" s="53"/>
      <c r="H28" s="53"/>
      <c r="J28" s="221">
        <v>52</v>
      </c>
    </row>
    <row r="29" spans="2:10" ht="15" customHeight="1">
      <c r="B29" s="1406" t="s">
        <v>4471</v>
      </c>
      <c r="C29" s="9"/>
      <c r="D29" s="9"/>
      <c r="E29" s="9"/>
      <c r="F29" s="9"/>
      <c r="G29" s="53"/>
      <c r="H29" s="53"/>
      <c r="J29" s="221">
        <f>wkend_per_yr-J28</f>
        <v>63</v>
      </c>
    </row>
    <row r="30" spans="2:10" s="3188" customFormat="1" ht="15" customHeight="1">
      <c r="B30" s="316" t="s">
        <v>5545</v>
      </c>
      <c r="C30" s="9"/>
      <c r="D30" s="9"/>
      <c r="E30" s="9"/>
      <c r="F30" s="9"/>
      <c r="G30" s="53"/>
      <c r="H30" s="53"/>
      <c r="J30" s="1965">
        <f>wkend_per_yr/12</f>
        <v>9.5833333333333339</v>
      </c>
    </row>
    <row r="31" spans="2:10" ht="15" customHeight="1">
      <c r="B31" s="323" t="s">
        <v>1752</v>
      </c>
      <c r="C31" s="9"/>
      <c r="D31" s="9"/>
      <c r="E31" s="9"/>
      <c r="F31" s="9"/>
      <c r="G31" s="53"/>
      <c r="H31" s="53"/>
      <c r="J31" s="221">
        <v>24</v>
      </c>
    </row>
    <row r="33" spans="2:10" ht="15" customHeight="1">
      <c r="B33" s="467" t="s">
        <v>2944</v>
      </c>
    </row>
    <row r="34" spans="2:10" ht="15" customHeight="1">
      <c r="B34" s="308"/>
    </row>
    <row r="35" spans="2:10" ht="15" customHeight="1">
      <c r="B35" s="280" t="s">
        <v>3056</v>
      </c>
    </row>
    <row r="37" spans="2:10" ht="15" customHeight="1">
      <c r="B37" s="1815" t="s">
        <v>2946</v>
      </c>
      <c r="H37" s="2" t="s">
        <v>2947</v>
      </c>
      <c r="J37" s="1816" t="s">
        <v>2948</v>
      </c>
    </row>
    <row r="38" spans="2:10" ht="15" customHeight="1">
      <c r="B38" s="323" t="s">
        <v>2945</v>
      </c>
      <c r="H38" s="9" t="s">
        <v>1642</v>
      </c>
      <c r="J38" s="10">
        <f>'Motor Vs'!H27</f>
        <v>795000</v>
      </c>
    </row>
    <row r="39" spans="2:10" ht="15" customHeight="1">
      <c r="B39" s="323" t="s">
        <v>2949</v>
      </c>
      <c r="H39" s="9" t="s">
        <v>2343</v>
      </c>
      <c r="J39" s="10">
        <f>Taxis!L97</f>
        <v>471200</v>
      </c>
    </row>
    <row r="40" spans="2:10" ht="15" customHeight="1">
      <c r="B40" s="323" t="s">
        <v>2950</v>
      </c>
      <c r="E40" s="1990" t="s">
        <v>4372</v>
      </c>
      <c r="H40" s="9" t="s">
        <v>2367</v>
      </c>
      <c r="J40" s="10">
        <f>Subways!J47</f>
        <v>5086833</v>
      </c>
    </row>
    <row r="41" spans="2:10" ht="15" customHeight="1">
      <c r="B41" s="323" t="s">
        <v>2951</v>
      </c>
      <c r="H41" s="9" t="s">
        <v>810</v>
      </c>
      <c r="J41" s="10">
        <f>Buses!J172</f>
        <v>2377320</v>
      </c>
    </row>
    <row r="42" spans="2:10" ht="15" customHeight="1">
      <c r="B42" s="323" t="s">
        <v>2953</v>
      </c>
      <c r="H42" s="9" t="s">
        <v>2738</v>
      </c>
      <c r="J42" s="870">
        <f>Revenues!G19</f>
        <v>2435.466986997415</v>
      </c>
    </row>
    <row r="43" spans="2:10" ht="15" customHeight="1">
      <c r="B43" s="323" t="s">
        <v>2954</v>
      </c>
      <c r="H43" s="9" t="s">
        <v>2738</v>
      </c>
      <c r="J43" s="870">
        <f>Revenues!J19</f>
        <v>851.9</v>
      </c>
    </row>
    <row r="44" spans="2:10" ht="15" customHeight="1">
      <c r="B44" s="323" t="s">
        <v>2952</v>
      </c>
      <c r="H44" s="9" t="s">
        <v>1766</v>
      </c>
      <c r="J44" s="10">
        <f>Travel!G118</f>
        <v>3483000</v>
      </c>
    </row>
    <row r="45" spans="2:10" ht="15" customHeight="1">
      <c r="B45" s="323" t="s">
        <v>2957</v>
      </c>
      <c r="H45" s="9" t="s">
        <v>2738</v>
      </c>
      <c r="J45" s="870">
        <f>Revenues!I208</f>
        <v>536.12275</v>
      </c>
    </row>
  </sheetData>
  <customSheetViews>
    <customSheetView guid="{BD5E6263-A0AD-4076-921A-D4EBD62848EF}" showGridLines="0" showRuler="0">
      <selection activeCell="F41" sqref="F41"/>
      <pageMargins left="0.75" right="0.75" top="1" bottom="1" header="0.5" footer="0.5"/>
      <pageSetup orientation="portrait" r:id="rId1"/>
      <headerFooter alignWithMargins="0"/>
    </customSheetView>
    <customSheetView guid="{1D5AE30A-CA7C-4B32-AEA4-9F37A560AAA8}" showGridLines="0" showRuler="0">
      <selection activeCell="I20" sqref="I20"/>
      <pageMargins left="0.75" right="0.75" top="1" bottom="1" header="0.5" footer="0.5"/>
      <pageSetup orientation="portrait" r:id="rId2"/>
      <headerFooter alignWithMargins="0"/>
    </customSheetView>
  </customSheetViews>
  <mergeCells count="1">
    <mergeCell ref="B4:J5"/>
  </mergeCells>
  <phoneticPr fontId="6" type="noConversion"/>
  <pageMargins left="0.75" right="0.75" top="1" bottom="1" header="0.5" footer="0.5"/>
  <pageSetup orientation="portrait" r:id="rId3"/>
  <headerFooter alignWithMargins="0"/>
</worksheet>
</file>

<file path=xl/worksheets/sheet53.xml><?xml version="1.0" encoding="utf-8"?>
<worksheet xmlns="http://schemas.openxmlformats.org/spreadsheetml/2006/main" xmlns:r="http://schemas.openxmlformats.org/officeDocument/2006/relationships">
  <sheetPr codeName="Sheet55"/>
  <dimension ref="B2:J90"/>
  <sheetViews>
    <sheetView showGridLines="0" showRuler="0" workbookViewId="0"/>
  </sheetViews>
  <sheetFormatPr defaultRowHeight="14.1" customHeight="1"/>
  <cols>
    <col min="1" max="1" width="2.75" customWidth="1"/>
    <col min="2" max="2" width="18.75" customWidth="1"/>
    <col min="3" max="3" width="12.125" customWidth="1"/>
    <col min="4" max="4" width="12.375" customWidth="1"/>
    <col min="5" max="5" width="11.875" customWidth="1"/>
    <col min="6" max="6" width="11" customWidth="1"/>
    <col min="7" max="7" width="14" customWidth="1"/>
    <col min="8" max="9" width="10" bestFit="1" customWidth="1"/>
  </cols>
  <sheetData>
    <row r="2" spans="2:9" ht="14.1" customHeight="1">
      <c r="B2" s="115" t="s">
        <v>362</v>
      </c>
      <c r="G2" s="181">
        <f>'Title Page'!K1</f>
        <v>40914</v>
      </c>
    </row>
    <row r="4" spans="2:9" ht="14.1" customHeight="1">
      <c r="B4" s="3659" t="s">
        <v>1100</v>
      </c>
      <c r="C4" s="3659"/>
      <c r="D4" s="3659"/>
      <c r="E4" s="3659"/>
      <c r="F4" s="3659"/>
      <c r="G4" s="3659"/>
      <c r="H4" s="3659"/>
      <c r="I4" s="3659"/>
    </row>
    <row r="5" spans="2:9" ht="14.1" customHeight="1">
      <c r="B5" s="3659"/>
      <c r="C5" s="3659"/>
      <c r="D5" s="3659"/>
      <c r="E5" s="3659"/>
      <c r="F5" s="3659"/>
      <c r="G5" s="3659"/>
      <c r="H5" s="3659"/>
      <c r="I5" s="3659"/>
    </row>
    <row r="6" spans="2:9" ht="14.1" customHeight="1">
      <c r="B6" s="281"/>
      <c r="C6" s="281"/>
      <c r="D6" s="281"/>
      <c r="E6" s="281"/>
      <c r="F6" s="281"/>
      <c r="G6" s="281"/>
      <c r="H6" s="281"/>
      <c r="I6" s="281"/>
    </row>
    <row r="7" spans="2:9" ht="14.1" customHeight="1">
      <c r="B7" s="3659" t="s">
        <v>2707</v>
      </c>
      <c r="C7" s="3659"/>
      <c r="D7" s="3659"/>
      <c r="E7" s="3659"/>
      <c r="F7" s="3659"/>
      <c r="G7" s="3659"/>
      <c r="H7" s="3659"/>
      <c r="I7" s="3659"/>
    </row>
    <row r="8" spans="2:9" ht="14.1" customHeight="1">
      <c r="B8" s="3659"/>
      <c r="C8" s="3659"/>
      <c r="D8" s="3659"/>
      <c r="E8" s="3659"/>
      <c r="F8" s="3659"/>
      <c r="G8" s="3659"/>
      <c r="H8" s="3659"/>
      <c r="I8" s="3659"/>
    </row>
    <row r="9" spans="2:9" ht="14.1" customHeight="1">
      <c r="B9" s="3659"/>
      <c r="C9" s="3659"/>
      <c r="D9" s="3659"/>
      <c r="E9" s="3659"/>
      <c r="F9" s="3659"/>
      <c r="G9" s="3659"/>
      <c r="H9" s="3659"/>
      <c r="I9" s="3659"/>
    </row>
    <row r="11" spans="2:9" ht="14.1" customHeight="1">
      <c r="B11" s="3659" t="s">
        <v>2665</v>
      </c>
      <c r="C11" s="3659"/>
      <c r="D11" s="3659"/>
      <c r="E11" s="3659"/>
      <c r="F11" s="3659"/>
      <c r="G11" s="3659"/>
      <c r="H11" s="3659"/>
      <c r="I11" s="3659"/>
    </row>
    <row r="12" spans="2:9" ht="14.1" customHeight="1">
      <c r="B12" s="3659"/>
      <c r="C12" s="3659"/>
      <c r="D12" s="3659"/>
      <c r="E12" s="3659"/>
      <c r="F12" s="3659"/>
      <c r="G12" s="3659"/>
      <c r="H12" s="3659"/>
      <c r="I12" s="3659"/>
    </row>
    <row r="13" spans="2:9" ht="14.1" customHeight="1">
      <c r="B13" s="3659"/>
      <c r="C13" s="3659"/>
      <c r="D13" s="3659"/>
      <c r="E13" s="3659"/>
      <c r="F13" s="3659"/>
      <c r="G13" s="3659"/>
      <c r="H13" s="3659"/>
      <c r="I13" s="3659"/>
    </row>
    <row r="14" spans="2:9" ht="14.1" customHeight="1">
      <c r="B14" s="281"/>
      <c r="C14" s="281"/>
      <c r="D14" s="281"/>
      <c r="E14" s="281"/>
      <c r="F14" s="281"/>
      <c r="G14" s="281"/>
      <c r="H14" s="281"/>
      <c r="I14" s="281"/>
    </row>
    <row r="15" spans="2:9" s="6" customFormat="1" ht="14.1" customHeight="1">
      <c r="B15" s="5100" t="s">
        <v>850</v>
      </c>
      <c r="C15" s="5100"/>
      <c r="D15" s="5100"/>
      <c r="E15" s="5100"/>
      <c r="F15" s="5100"/>
      <c r="G15" s="5100"/>
      <c r="H15" s="5100"/>
      <c r="I15" s="5100"/>
    </row>
    <row r="16" spans="2:9" s="6" customFormat="1" ht="14.1" customHeight="1">
      <c r="B16" s="5100"/>
      <c r="C16" s="5100"/>
      <c r="D16" s="5100"/>
      <c r="E16" s="5100"/>
      <c r="F16" s="5100"/>
      <c r="G16" s="5100"/>
      <c r="H16" s="5100"/>
      <c r="I16" s="5100"/>
    </row>
    <row r="18" spans="2:9" ht="14.1" customHeight="1">
      <c r="B18" s="3659" t="s">
        <v>1654</v>
      </c>
      <c r="C18" s="3659"/>
      <c r="D18" s="3659"/>
      <c r="E18" s="3659"/>
      <c r="F18" s="3659"/>
      <c r="G18" s="3659"/>
      <c r="H18" s="3659"/>
      <c r="I18" s="3659"/>
    </row>
    <row r="19" spans="2:9" ht="14.1" customHeight="1">
      <c r="B19" s="3659"/>
      <c r="C19" s="3659"/>
      <c r="D19" s="3659"/>
      <c r="E19" s="3659"/>
      <c r="F19" s="3659"/>
      <c r="G19" s="3659"/>
      <c r="H19" s="3659"/>
      <c r="I19" s="3659"/>
    </row>
    <row r="20" spans="2:9" ht="14.1" customHeight="1">
      <c r="B20" s="45"/>
      <c r="C20" s="45"/>
      <c r="D20" s="45"/>
      <c r="E20" s="45"/>
      <c r="F20" s="45"/>
    </row>
    <row r="21" spans="2:9" ht="14.1" customHeight="1">
      <c r="B21" s="547" t="s">
        <v>2708</v>
      </c>
      <c r="C21" s="45"/>
      <c r="D21" s="45"/>
      <c r="E21" s="45"/>
      <c r="F21" s="45"/>
    </row>
    <row r="22" spans="2:9" ht="14.1" customHeight="1">
      <c r="B22" s="45"/>
      <c r="C22" s="45"/>
      <c r="D22" s="45"/>
      <c r="E22" s="45"/>
      <c r="F22" s="45"/>
      <c r="G22" s="45"/>
      <c r="H22" s="45"/>
      <c r="I22" s="45"/>
    </row>
    <row r="23" spans="2:9" ht="14.1" customHeight="1">
      <c r="C23" s="262" t="s">
        <v>137</v>
      </c>
      <c r="D23" s="262" t="s">
        <v>220</v>
      </c>
      <c r="E23" s="262" t="s">
        <v>222</v>
      </c>
      <c r="F23" s="5216" t="s">
        <v>138</v>
      </c>
      <c r="G23" s="5217"/>
      <c r="H23" s="5218"/>
      <c r="I23" s="8"/>
    </row>
    <row r="24" spans="2:9" ht="14.1" customHeight="1">
      <c r="B24" s="481"/>
      <c r="C24" s="264" t="s">
        <v>2141</v>
      </c>
      <c r="D24" s="264" t="s">
        <v>221</v>
      </c>
      <c r="E24" s="264" t="s">
        <v>223</v>
      </c>
      <c r="F24" s="252" t="s">
        <v>2141</v>
      </c>
      <c r="G24" s="252" t="s">
        <v>2142</v>
      </c>
      <c r="H24" s="252" t="s">
        <v>723</v>
      </c>
      <c r="I24" s="8"/>
    </row>
    <row r="25" spans="2:9" ht="14.1" customHeight="1">
      <c r="B25" s="548">
        <v>1978</v>
      </c>
      <c r="C25" s="342">
        <f>'River Crossings'!L99</f>
        <v>607666</v>
      </c>
      <c r="D25" s="342">
        <f>'Toll Rates'!R43</f>
        <v>2177.9270000000001</v>
      </c>
      <c r="E25" s="277">
        <f>'Trip Price'!Q38</f>
        <v>15.522524081990527</v>
      </c>
      <c r="F25" s="34"/>
      <c r="G25" s="34"/>
      <c r="H25" s="34"/>
    </row>
    <row r="26" spans="2:9" ht="14.1" customHeight="1">
      <c r="B26" s="214" t="s">
        <v>1614</v>
      </c>
      <c r="C26" s="342">
        <f>AVERAGE('River Crossings'!L100:L101)</f>
        <v>608343</v>
      </c>
      <c r="D26" s="342">
        <f>AVERAGE('Toll Rates'!R44:R45)</f>
        <v>2193.2224999999999</v>
      </c>
      <c r="E26" s="277">
        <f>AVERAGE('Trip Price'!Q39:Q40)</f>
        <v>15.739122343515085</v>
      </c>
      <c r="F26" s="240">
        <f>C26/C25-1</f>
        <v>1.1140988635203186E-3</v>
      </c>
      <c r="G26" s="240">
        <f t="shared" ref="G26:G37" si="0">D26/D25-1</f>
        <v>7.0229626612827722E-3</v>
      </c>
      <c r="H26" s="240">
        <f t="shared" ref="H26:H37" si="1">E26/E25-1</f>
        <v>1.3953804186772611E-2</v>
      </c>
    </row>
    <row r="27" spans="2:9" ht="14.1" customHeight="1">
      <c r="B27" s="214" t="s">
        <v>1615</v>
      </c>
      <c r="C27" s="342">
        <f>AVERAGE('River Crossings'!L102:L103)</f>
        <v>632957</v>
      </c>
      <c r="D27" s="342">
        <f>AVERAGE('Toll Rates'!R46:R47)</f>
        <v>2242.2825000000003</v>
      </c>
      <c r="E27" s="277">
        <f>AVERAGE('Trip Price'!Q41:Q42)</f>
        <v>14.970567690816337</v>
      </c>
      <c r="F27" s="240">
        <f t="shared" ref="F27:F37" si="2">C27/C26-1</f>
        <v>4.046072692543512E-2</v>
      </c>
      <c r="G27" s="240">
        <f t="shared" si="0"/>
        <v>2.2368911498947597E-2</v>
      </c>
      <c r="H27" s="240">
        <f t="shared" si="1"/>
        <v>-4.8830845578591742E-2</v>
      </c>
    </row>
    <row r="28" spans="2:9" ht="14.1" customHeight="1">
      <c r="B28" s="214" t="s">
        <v>1891</v>
      </c>
      <c r="C28" s="342">
        <f>AVERAGE('River Crossings'!L104:L105)</f>
        <v>651005.5</v>
      </c>
      <c r="D28" s="342">
        <f>AVERAGE('Toll Rates'!R48:R49)</f>
        <v>2266.0565000000001</v>
      </c>
      <c r="E28" s="277">
        <f>AVERAGE('Trip Price'!Q43:Q44)</f>
        <v>14.455637082978349</v>
      </c>
      <c r="F28" s="240">
        <f t="shared" si="2"/>
        <v>2.851457523970824E-2</v>
      </c>
      <c r="G28" s="240">
        <f t="shared" si="0"/>
        <v>1.060258910284495E-2</v>
      </c>
      <c r="H28" s="240">
        <f t="shared" si="1"/>
        <v>-3.439619782447334E-2</v>
      </c>
    </row>
    <row r="29" spans="2:9" ht="14.1" customHeight="1">
      <c r="B29" s="214" t="s">
        <v>1892</v>
      </c>
      <c r="C29" s="342">
        <f>AVERAGE('River Crossings'!L106:L107)</f>
        <v>702804.5</v>
      </c>
      <c r="D29" s="342">
        <f>AVERAGE('Toll Rates'!R50:R51)</f>
        <v>2336.7894999999999</v>
      </c>
      <c r="E29" s="277">
        <f>AVERAGE('Trip Price'!Q45:Q46)</f>
        <v>13.838290790022917</v>
      </c>
      <c r="F29" s="240">
        <f t="shared" si="2"/>
        <v>7.9567684143989625E-2</v>
      </c>
      <c r="G29" s="240">
        <f t="shared" si="0"/>
        <v>3.1214137864611802E-2</v>
      </c>
      <c r="H29" s="240">
        <f t="shared" si="1"/>
        <v>-4.270626672568878E-2</v>
      </c>
    </row>
    <row r="30" spans="2:9" ht="14.1" customHeight="1">
      <c r="B30" s="214" t="s">
        <v>1893</v>
      </c>
      <c r="C30" s="342">
        <f>AVERAGE('River Crossings'!L108:L109)</f>
        <v>698227</v>
      </c>
      <c r="D30" s="342">
        <f>AVERAGE('Toll Rates'!R52:R53)</f>
        <v>2388.1289999999999</v>
      </c>
      <c r="E30" s="277">
        <f>AVERAGE('Trip Price'!Q47:Q48)</f>
        <v>13.664593874945904</v>
      </c>
      <c r="F30" s="240">
        <f t="shared" si="2"/>
        <v>-6.5131910794538062E-3</v>
      </c>
      <c r="G30" s="240">
        <f t="shared" si="0"/>
        <v>2.1970100430526607E-2</v>
      </c>
      <c r="H30" s="240">
        <f t="shared" si="1"/>
        <v>-1.2551905268694319E-2</v>
      </c>
    </row>
    <row r="31" spans="2:9" ht="14.1" customHeight="1">
      <c r="B31" s="214" t="s">
        <v>1894</v>
      </c>
      <c r="C31" s="342">
        <f>AVERAGE('River Crossings'!L110:L111)</f>
        <v>683077.5</v>
      </c>
      <c r="D31" s="342">
        <f>AVERAGE('Toll Rates'!R54:R55)</f>
        <v>2359.4115000000002</v>
      </c>
      <c r="E31" s="277">
        <f>AVERAGE('Trip Price'!Q49:Q50)</f>
        <v>13.660850633995056</v>
      </c>
      <c r="F31" s="240">
        <f t="shared" si="2"/>
        <v>-2.1697098508078327E-2</v>
      </c>
      <c r="G31" s="240">
        <f t="shared" si="0"/>
        <v>-1.2025104171508261E-2</v>
      </c>
      <c r="H31" s="240">
        <f t="shared" si="1"/>
        <v>-2.7393722675594923E-4</v>
      </c>
    </row>
    <row r="32" spans="2:9" ht="14.1" customHeight="1">
      <c r="B32" s="214" t="s">
        <v>394</v>
      </c>
      <c r="C32" s="342">
        <f>AVERAGE('River Crossings'!L112:L113)</f>
        <v>685821.5</v>
      </c>
      <c r="D32" s="342">
        <f>AVERAGE('Toll Rates'!R56:R57)</f>
        <v>2165.2690000000002</v>
      </c>
      <c r="E32" s="277">
        <f>AVERAGE('Trip Price'!Q51:Q52)</f>
        <v>13.336315970685369</v>
      </c>
      <c r="F32" s="240">
        <f t="shared" si="2"/>
        <v>4.0171137242845933E-3</v>
      </c>
      <c r="G32" s="240">
        <f t="shared" si="0"/>
        <v>-8.2284289959593693E-2</v>
      </c>
      <c r="H32" s="240">
        <f t="shared" si="1"/>
        <v>-2.3756548695590074E-2</v>
      </c>
    </row>
    <row r="33" spans="2:10" ht="14.1" customHeight="1">
      <c r="B33" s="214" t="s">
        <v>395</v>
      </c>
      <c r="C33" s="342">
        <f>AVERAGE('River Crossings'!L114:L115)</f>
        <v>656353</v>
      </c>
      <c r="D33" s="342">
        <f>AVERAGE('Toll Rates'!R58:R59)</f>
        <v>2113.306</v>
      </c>
      <c r="E33" s="277">
        <f>AVERAGE('Trip Price'!Q53:Q54)</f>
        <v>13.413190076532658</v>
      </c>
      <c r="F33" s="240">
        <f t="shared" si="2"/>
        <v>-4.2968177579734701E-2</v>
      </c>
      <c r="G33" s="240">
        <f t="shared" si="0"/>
        <v>-2.3998403893465525E-2</v>
      </c>
      <c r="H33" s="240">
        <f t="shared" si="1"/>
        <v>5.7642684843599579E-3</v>
      </c>
    </row>
    <row r="34" spans="2:10" ht="14.1" customHeight="1">
      <c r="B34" s="214" t="s">
        <v>396</v>
      </c>
      <c r="C34" s="342">
        <f>AVERAGE('River Crossings'!L116:L117)</f>
        <v>690708.5</v>
      </c>
      <c r="D34" s="342">
        <f>AVERAGE('Toll Rates'!R60:R61)</f>
        <v>2122.8249999999998</v>
      </c>
      <c r="E34" s="277">
        <f>AVERAGE('Trip Price'!Q55:Q56)</f>
        <v>13.461771436417241</v>
      </c>
      <c r="F34" s="240">
        <f t="shared" si="2"/>
        <v>5.23430227331938E-2</v>
      </c>
      <c r="G34" s="240">
        <f t="shared" si="0"/>
        <v>4.5043169328056187E-3</v>
      </c>
      <c r="H34" s="240">
        <f t="shared" si="1"/>
        <v>3.6219094493843418E-3</v>
      </c>
    </row>
    <row r="35" spans="2:10" ht="14.1" customHeight="1">
      <c r="B35" s="214" t="s">
        <v>402</v>
      </c>
      <c r="C35" s="342">
        <f>AVERAGE('River Crossings'!L118:L119)</f>
        <v>746888.5</v>
      </c>
      <c r="D35" s="342">
        <f>AVERAGE('Toll Rates'!R62:R63)</f>
        <v>2284.7039999999997</v>
      </c>
      <c r="E35" s="277">
        <f>AVERAGE('Trip Price'!Q57:Q58)</f>
        <v>13.324346264710723</v>
      </c>
      <c r="F35" s="240">
        <f t="shared" si="2"/>
        <v>8.1336772314225092E-2</v>
      </c>
      <c r="G35" s="240">
        <f t="shared" si="0"/>
        <v>7.6256403613109924E-2</v>
      </c>
      <c r="H35" s="240">
        <f t="shared" si="1"/>
        <v>-1.0208550364683155E-2</v>
      </c>
    </row>
    <row r="36" spans="2:10" ht="14.1" customHeight="1">
      <c r="B36" s="214" t="s">
        <v>403</v>
      </c>
      <c r="C36" s="342">
        <f>AVERAGE('River Crossings'!L120:L121)</f>
        <v>760637.5</v>
      </c>
      <c r="D36" s="342">
        <f>AVERAGE('Toll Rates'!R64:R65)</f>
        <v>2334.5330000000004</v>
      </c>
      <c r="E36" s="277">
        <f>AVERAGE('Trip Price'!Q59:Q60)</f>
        <v>13.612538737628373</v>
      </c>
      <c r="F36" s="240">
        <f t="shared" si="2"/>
        <v>1.8408370191802303E-2</v>
      </c>
      <c r="G36" s="240">
        <f t="shared" si="0"/>
        <v>2.180982744373039E-2</v>
      </c>
      <c r="H36" s="240">
        <f t="shared" si="1"/>
        <v>2.1629014076354647E-2</v>
      </c>
    </row>
    <row r="37" spans="2:10" ht="14.1" customHeight="1">
      <c r="B37" s="214" t="s">
        <v>404</v>
      </c>
      <c r="C37" s="342">
        <f>AVERAGE('River Crossings'!L122:L126)</f>
        <v>710442.21917808219</v>
      </c>
      <c r="D37" s="342">
        <f>AVERAGE('Toll Rates'!R66:R70)</f>
        <v>2253.3525999999997</v>
      </c>
      <c r="E37" s="277">
        <f>AVERAGE('Trip Price'!Q61:Q65)</f>
        <v>14.651163862568362</v>
      </c>
      <c r="F37" s="240">
        <f t="shared" si="2"/>
        <v>-6.5991067784480495E-2</v>
      </c>
      <c r="G37" s="240">
        <f t="shared" si="0"/>
        <v>-3.4773721339557251E-2</v>
      </c>
      <c r="H37" s="240">
        <f t="shared" si="1"/>
        <v>7.6299149259276389E-2</v>
      </c>
    </row>
    <row r="39" spans="2:10" ht="14.1" customHeight="1">
      <c r="B39" s="281" t="s">
        <v>324</v>
      </c>
    </row>
    <row r="40" spans="2:10" ht="14.1" customHeight="1" thickBot="1"/>
    <row r="41" spans="2:10" ht="14.1" customHeight="1">
      <c r="B41" s="16" t="s">
        <v>125</v>
      </c>
      <c r="C41" s="16"/>
    </row>
    <row r="42" spans="2:10" ht="14.1" customHeight="1" thickBot="1">
      <c r="B42" s="549" t="s">
        <v>126</v>
      </c>
      <c r="C42" s="468">
        <v>0.83013150598005037</v>
      </c>
      <c r="D42" s="27"/>
      <c r="E42" t="s">
        <v>127</v>
      </c>
    </row>
    <row r="43" spans="2:10" ht="14.1" customHeight="1">
      <c r="B43" s="549" t="s">
        <v>218</v>
      </c>
      <c r="C43" s="468">
        <v>0.68911831722070638</v>
      </c>
      <c r="D43" s="27"/>
      <c r="E43" s="15"/>
      <c r="F43" s="30" t="s">
        <v>440</v>
      </c>
      <c r="G43" s="30" t="s">
        <v>441</v>
      </c>
      <c r="H43" s="30" t="s">
        <v>442</v>
      </c>
      <c r="I43" s="30" t="s">
        <v>443</v>
      </c>
      <c r="J43" s="30" t="s">
        <v>203</v>
      </c>
    </row>
    <row r="44" spans="2:10" ht="14.1" customHeight="1">
      <c r="B44" s="549" t="s">
        <v>142</v>
      </c>
      <c r="C44" s="468">
        <v>0.62003349882530778</v>
      </c>
      <c r="D44" s="27"/>
      <c r="E44" s="482" t="s">
        <v>128</v>
      </c>
      <c r="F44" s="274">
        <v>2</v>
      </c>
      <c r="G44" s="274">
        <v>1.5738442060245477E-2</v>
      </c>
      <c r="H44" s="274">
        <v>7.8692210301227385E-3</v>
      </c>
      <c r="I44" s="274">
        <v>9.9749602478017803</v>
      </c>
      <c r="J44" s="274">
        <v>5.2080854756563592E-3</v>
      </c>
    </row>
    <row r="45" spans="2:10" ht="14.1" customHeight="1">
      <c r="B45" s="549" t="s">
        <v>139</v>
      </c>
      <c r="C45" s="469">
        <v>2.8087318895901849E-2</v>
      </c>
      <c r="D45" s="11"/>
      <c r="E45" s="482" t="s">
        <v>227</v>
      </c>
      <c r="F45" s="274">
        <v>9</v>
      </c>
      <c r="G45" s="274">
        <v>7.1000773448407642E-3</v>
      </c>
      <c r="H45" s="274">
        <v>7.8889748276008494E-4</v>
      </c>
      <c r="I45" s="274"/>
      <c r="J45" s="274"/>
    </row>
    <row r="46" spans="2:10" ht="14.1" customHeight="1" thickBot="1">
      <c r="B46" s="550" t="s">
        <v>143</v>
      </c>
      <c r="C46" s="274">
        <v>12</v>
      </c>
      <c r="E46" s="483" t="s">
        <v>228</v>
      </c>
      <c r="F46" s="274">
        <v>11</v>
      </c>
      <c r="G46" s="274">
        <v>2.283851940508624E-2</v>
      </c>
      <c r="H46" s="274"/>
      <c r="I46" s="274"/>
      <c r="J46" s="274"/>
    </row>
    <row r="48" spans="2:10" ht="14.1" customHeight="1" thickBot="1"/>
    <row r="49" spans="2:9" ht="14.1" customHeight="1">
      <c r="B49" s="15"/>
      <c r="C49" s="15"/>
      <c r="D49" s="30" t="s">
        <v>444</v>
      </c>
      <c r="E49" s="30" t="s">
        <v>139</v>
      </c>
      <c r="F49" s="30" t="s">
        <v>219</v>
      </c>
      <c r="G49" s="30" t="s">
        <v>445</v>
      </c>
      <c r="H49" s="30" t="s">
        <v>446</v>
      </c>
      <c r="I49" s="30" t="s">
        <v>447</v>
      </c>
    </row>
    <row r="50" spans="2:9" ht="14.1" customHeight="1">
      <c r="B50" s="549" t="s">
        <v>229</v>
      </c>
      <c r="C50" s="13"/>
      <c r="D50" s="472">
        <v>8.8858961474911468E-3</v>
      </c>
      <c r="E50" s="472">
        <v>8.1942398214637086E-3</v>
      </c>
      <c r="F50" s="473">
        <v>1.0844076254902544</v>
      </c>
      <c r="G50" s="473">
        <v>0.30637712510627646</v>
      </c>
      <c r="H50" s="472">
        <v>-9.6507762858487316E-3</v>
      </c>
      <c r="I50" s="472">
        <v>2.7422568580831023E-2</v>
      </c>
    </row>
    <row r="51" spans="2:9" ht="14.1" customHeight="1">
      <c r="B51" s="549" t="s">
        <v>140</v>
      </c>
      <c r="C51" s="13"/>
      <c r="D51" s="472">
        <v>0.60748998948599264</v>
      </c>
      <c r="E51" s="472">
        <v>0.22373929094555264</v>
      </c>
      <c r="F51" s="473">
        <v>2.7151690117487073</v>
      </c>
      <c r="G51" s="473">
        <v>2.3795262750305968E-2</v>
      </c>
      <c r="H51" s="472">
        <v>0.10135616412956017</v>
      </c>
      <c r="I51" s="472">
        <v>1.1136238148424251</v>
      </c>
    </row>
    <row r="52" spans="2:9" ht="14.1" customHeight="1" thickBot="1">
      <c r="B52" s="550" t="s">
        <v>141</v>
      </c>
      <c r="C52" s="14"/>
      <c r="D52" s="474">
        <v>-0.70043886130596233</v>
      </c>
      <c r="E52" s="472">
        <v>0.26047513937274774</v>
      </c>
      <c r="F52" s="473">
        <v>-2.6890814340005527</v>
      </c>
      <c r="G52" s="473">
        <v>2.483385474531255E-2</v>
      </c>
      <c r="H52" s="472">
        <v>-1.2896750126490049</v>
      </c>
      <c r="I52" s="472">
        <v>-0.1112027099629197</v>
      </c>
    </row>
    <row r="53" spans="2:9" ht="14.1" customHeight="1">
      <c r="D53" s="28"/>
      <c r="E53" s="28"/>
      <c r="F53" s="36"/>
      <c r="G53" s="36"/>
      <c r="H53" s="28"/>
      <c r="I53" s="28"/>
    </row>
    <row r="54" spans="2:9" ht="14.1" customHeight="1">
      <c r="B54" t="s">
        <v>448</v>
      </c>
      <c r="D54" s="28"/>
      <c r="E54" s="28"/>
      <c r="F54" s="36"/>
      <c r="G54" s="36"/>
      <c r="H54" s="28"/>
      <c r="I54" s="28"/>
    </row>
    <row r="55" spans="2:9" ht="14.1" customHeight="1" thickBot="1">
      <c r="D55" s="38"/>
      <c r="E55" s="29"/>
      <c r="F55" s="37"/>
      <c r="G55" s="37"/>
      <c r="H55" s="29"/>
      <c r="I55" s="29"/>
    </row>
    <row r="56" spans="2:9" ht="14.1" customHeight="1">
      <c r="B56" s="30" t="s">
        <v>2165</v>
      </c>
      <c r="C56" s="30" t="s">
        <v>2166</v>
      </c>
      <c r="D56" s="30" t="s">
        <v>2167</v>
      </c>
    </row>
    <row r="57" spans="2:9" ht="14.1" customHeight="1">
      <c r="B57" s="551" t="str">
        <f t="shared" ref="B57:B68" si="3">B26</f>
        <v>1979-80</v>
      </c>
      <c r="C57" s="470">
        <v>3.3784889452849604E-3</v>
      </c>
      <c r="D57" s="470">
        <v>-2.2643900817646417E-3</v>
      </c>
      <c r="E57" s="28"/>
      <c r="F57" s="28"/>
    </row>
    <row r="58" spans="2:9" ht="14.1" customHeight="1">
      <c r="B58" s="551" t="str">
        <f t="shared" si="3"/>
        <v>1981-82</v>
      </c>
      <c r="C58" s="470">
        <v>5.6677807832476002E-2</v>
      </c>
      <c r="D58" s="470">
        <v>-1.6217080907040882E-2</v>
      </c>
      <c r="E58" s="28"/>
      <c r="F58" s="28"/>
    </row>
    <row r="59" spans="2:9" ht="14.1" customHeight="1">
      <c r="B59" s="551" t="str">
        <f t="shared" si="3"/>
        <v>1983-84</v>
      </c>
      <c r="C59" s="470">
        <v>3.9419296527531449E-2</v>
      </c>
      <c r="D59" s="470">
        <v>-1.0904721287823209E-2</v>
      </c>
      <c r="E59" s="28"/>
      <c r="F59" s="28"/>
    </row>
    <row r="60" spans="2:9" ht="14.1" customHeight="1">
      <c r="B60" s="551" t="str">
        <f t="shared" si="3"/>
        <v>1985-86</v>
      </c>
      <c r="C60" s="470">
        <v>5.7761301266648656E-2</v>
      </c>
      <c r="D60" s="470">
        <v>2.180638287734097E-2</v>
      </c>
      <c r="E60" s="28"/>
      <c r="F60" s="28"/>
    </row>
    <row r="61" spans="2:9" ht="14.1" customHeight="1">
      <c r="B61" s="551" t="str">
        <f t="shared" si="3"/>
        <v>1987-88</v>
      </c>
      <c r="C61" s="470">
        <v>3.1024354460662516E-2</v>
      </c>
      <c r="D61" s="470">
        <v>-3.7537545540116318E-2</v>
      </c>
      <c r="E61" s="28"/>
      <c r="F61" s="28"/>
    </row>
    <row r="62" spans="2:9" ht="14.1" customHeight="1">
      <c r="B62" s="551" t="str">
        <f t="shared" si="3"/>
        <v>1989-90</v>
      </c>
      <c r="C62" s="470">
        <v>1.7726420199518772E-3</v>
      </c>
      <c r="D62" s="470">
        <v>-2.3469740528030206E-2</v>
      </c>
      <c r="E62" s="28"/>
      <c r="F62" s="28"/>
    </row>
    <row r="63" spans="2:9" ht="14.1" customHeight="1">
      <c r="B63" s="551" t="str">
        <f t="shared" si="3"/>
        <v>1991-92</v>
      </c>
      <c r="C63" s="470">
        <v>-2.4460976378026036E-2</v>
      </c>
      <c r="D63" s="470">
        <v>2.847809010231063E-2</v>
      </c>
      <c r="E63" s="28"/>
      <c r="F63" s="28"/>
    </row>
    <row r="64" spans="2:9" ht="14.1" customHeight="1">
      <c r="B64" s="551" t="str">
        <f t="shared" si="3"/>
        <v>1993-94</v>
      </c>
      <c r="C64" s="470">
        <v>-9.7304116348777645E-3</v>
      </c>
      <c r="D64" s="470">
        <v>-3.3237765944856938E-2</v>
      </c>
      <c r="E64" s="28"/>
      <c r="F64" s="28"/>
    </row>
    <row r="65" spans="2:6" ht="14.1" customHeight="1">
      <c r="B65" s="551" t="str">
        <f t="shared" si="3"/>
        <v>1995-96</v>
      </c>
      <c r="C65" s="470">
        <v>9.0852974631627382E-3</v>
      </c>
      <c r="D65" s="470">
        <v>4.3257725270031064E-2</v>
      </c>
      <c r="E65" s="28"/>
      <c r="F65" s="28"/>
    </row>
    <row r="66" spans="2:6" ht="14.1" customHeight="1">
      <c r="B66" s="551" t="str">
        <f t="shared" si="3"/>
        <v>1997-98</v>
      </c>
      <c r="C66" s="470">
        <v>6.2361363369682142E-2</v>
      </c>
      <c r="D66" s="470">
        <v>1.897540894454295E-2</v>
      </c>
      <c r="E66" s="28"/>
      <c r="F66" s="28"/>
    </row>
    <row r="67" spans="2:6" ht="14.1" customHeight="1">
      <c r="B67" s="551" t="str">
        <f t="shared" si="3"/>
        <v>1999-2000</v>
      </c>
      <c r="C67" s="470">
        <v>6.9853460011617529E-3</v>
      </c>
      <c r="D67" s="470">
        <v>1.1423024190640551E-2</v>
      </c>
      <c r="E67" s="28"/>
      <c r="F67" s="28"/>
    </row>
    <row r="68" spans="2:6" ht="14.1" customHeight="1" thickBot="1">
      <c r="B68" s="552" t="str">
        <f t="shared" si="3"/>
        <v>2001-2005</v>
      </c>
      <c r="C68" s="471">
        <v>-6.5681680689246541E-2</v>
      </c>
      <c r="D68" s="471">
        <v>-3.0938709523395391E-4</v>
      </c>
      <c r="E68" s="29"/>
      <c r="F68" s="29"/>
    </row>
    <row r="71" spans="2:6" s="7" customFormat="1" ht="14.1" customHeight="1">
      <c r="B71" s="215" t="s">
        <v>5510</v>
      </c>
    </row>
    <row r="72" spans="2:6" s="7" customFormat="1" ht="14.1" customHeight="1">
      <c r="B72" s="215" t="s">
        <v>183</v>
      </c>
    </row>
    <row r="73" spans="2:6" s="7" customFormat="1" ht="14.1" customHeight="1" thickBot="1"/>
    <row r="74" spans="2:6" s="7" customFormat="1" ht="14.1" customHeight="1">
      <c r="B74" s="40" t="s">
        <v>125</v>
      </c>
      <c r="C74" s="40"/>
    </row>
    <row r="75" spans="2:6" s="7" customFormat="1" ht="14.1" customHeight="1">
      <c r="B75" s="553" t="s">
        <v>126</v>
      </c>
      <c r="C75" s="475">
        <v>0.8</v>
      </c>
    </row>
    <row r="76" spans="2:6" s="7" customFormat="1" ht="14.1" customHeight="1">
      <c r="B76" s="553" t="s">
        <v>218</v>
      </c>
      <c r="C76" s="475">
        <v>0.64</v>
      </c>
    </row>
    <row r="77" spans="2:6" s="7" customFormat="1" ht="14.1" customHeight="1">
      <c r="B77" s="553" t="s">
        <v>184</v>
      </c>
      <c r="C77" s="475">
        <v>0.56999999999999995</v>
      </c>
    </row>
    <row r="78" spans="2:6" s="7" customFormat="1" ht="14.1" customHeight="1">
      <c r="B78" s="553" t="s">
        <v>185</v>
      </c>
      <c r="C78" s="476">
        <v>0.03</v>
      </c>
    </row>
    <row r="79" spans="2:6" s="7" customFormat="1" ht="14.1" customHeight="1" thickBot="1">
      <c r="B79" s="554" t="s">
        <v>186</v>
      </c>
      <c r="C79" s="477">
        <v>12</v>
      </c>
    </row>
    <row r="80" spans="2:6" s="7" customFormat="1" ht="14.1" customHeight="1"/>
    <row r="81" spans="2:8" s="7" customFormat="1" ht="14.1" customHeight="1" thickBot="1">
      <c r="B81" s="298" t="s">
        <v>127</v>
      </c>
    </row>
    <row r="82" spans="2:8" s="7" customFormat="1" ht="14.1" customHeight="1">
      <c r="B82" s="41"/>
      <c r="C82" s="42" t="s">
        <v>440</v>
      </c>
      <c r="D82" s="42" t="s">
        <v>441</v>
      </c>
      <c r="E82" s="42" t="s">
        <v>442</v>
      </c>
      <c r="F82" s="42" t="s">
        <v>443</v>
      </c>
      <c r="G82" s="42" t="s">
        <v>187</v>
      </c>
    </row>
    <row r="83" spans="2:8" s="7" customFormat="1" ht="14.1" customHeight="1">
      <c r="B83" s="553" t="s">
        <v>128</v>
      </c>
      <c r="C83" s="477">
        <v>2</v>
      </c>
      <c r="D83" s="477">
        <v>1.7828697000000001E-2</v>
      </c>
      <c r="E83" s="477">
        <v>8.9143480000000008E-3</v>
      </c>
      <c r="F83" s="477">
        <v>8.1483585699999992</v>
      </c>
      <c r="G83" s="477">
        <v>9.5565809999999998E-3</v>
      </c>
    </row>
    <row r="84" spans="2:8" s="7" customFormat="1" ht="14.1" customHeight="1">
      <c r="B84" s="553" t="s">
        <v>227</v>
      </c>
      <c r="C84" s="477">
        <v>9</v>
      </c>
      <c r="D84" s="477">
        <v>9.8460490000000008E-3</v>
      </c>
      <c r="E84" s="477">
        <v>1.0940050000000001E-3</v>
      </c>
      <c r="F84" s="477"/>
      <c r="G84" s="477"/>
    </row>
    <row r="85" spans="2:8" s="7" customFormat="1" ht="14.1" customHeight="1" thickBot="1">
      <c r="B85" s="554" t="s">
        <v>228</v>
      </c>
      <c r="C85" s="477">
        <v>11</v>
      </c>
      <c r="D85" s="477">
        <v>2.7674746E-2</v>
      </c>
      <c r="E85" s="477"/>
      <c r="F85" s="477"/>
      <c r="G85" s="477"/>
    </row>
    <row r="86" spans="2:8" s="7" customFormat="1" ht="14.1" customHeight="1" thickBot="1"/>
    <row r="87" spans="2:8" ht="14.1" customHeight="1">
      <c r="B87" s="41"/>
      <c r="C87" s="41" t="s">
        <v>444</v>
      </c>
      <c r="D87" s="42" t="s">
        <v>185</v>
      </c>
      <c r="E87" s="42" t="s">
        <v>219</v>
      </c>
      <c r="F87" s="42" t="s">
        <v>445</v>
      </c>
      <c r="G87" s="42" t="s">
        <v>446</v>
      </c>
      <c r="H87" s="42" t="s">
        <v>447</v>
      </c>
    </row>
    <row r="88" spans="2:8" ht="14.1" customHeight="1">
      <c r="B88" s="553" t="s">
        <v>229</v>
      </c>
      <c r="C88" s="478">
        <v>6.0000000000000001E-3</v>
      </c>
      <c r="D88" s="478">
        <v>0.01</v>
      </c>
      <c r="E88" s="479">
        <v>0.66300000000000003</v>
      </c>
      <c r="F88" s="479">
        <v>0.52400000000000002</v>
      </c>
      <c r="G88" s="478">
        <v>-1.6E-2</v>
      </c>
      <c r="H88" s="478">
        <v>2.8000000000000001E-2</v>
      </c>
    </row>
    <row r="89" spans="2:8" ht="14.1" customHeight="1">
      <c r="B89" s="553" t="s">
        <v>1179</v>
      </c>
      <c r="C89" s="478">
        <v>0.64900000000000002</v>
      </c>
      <c r="D89" s="478">
        <v>0.26400000000000001</v>
      </c>
      <c r="E89" s="479">
        <v>2.4609999999999999</v>
      </c>
      <c r="F89" s="479">
        <v>3.5999999999999997E-2</v>
      </c>
      <c r="G89" s="478">
        <v>5.1999999999999998E-2</v>
      </c>
      <c r="H89" s="478">
        <v>1.246</v>
      </c>
    </row>
    <row r="90" spans="2:8" ht="14.1" customHeight="1" thickBot="1">
      <c r="B90" s="554" t="s">
        <v>1180</v>
      </c>
      <c r="C90" s="480">
        <v>-0.69899999999999995</v>
      </c>
      <c r="D90" s="478">
        <v>0.28999999999999998</v>
      </c>
      <c r="E90" s="479">
        <v>-2.411</v>
      </c>
      <c r="F90" s="479">
        <v>3.9E-2</v>
      </c>
      <c r="G90" s="478">
        <v>-1.3560000000000001</v>
      </c>
      <c r="H90" s="478">
        <v>-4.2999999999999997E-2</v>
      </c>
    </row>
  </sheetData>
  <customSheetViews>
    <customSheetView guid="{BD5E6263-A0AD-4076-921A-D4EBD62848EF}" showGridLines="0" showRuler="0">
      <selection activeCell="K35" sqref="K35"/>
      <pageMargins left="0.75" right="0.75" top="1" bottom="1" header="0.5" footer="0.5"/>
      <pageSetup orientation="portrait" verticalDpi="1200" r:id="rId1"/>
      <headerFooter alignWithMargins="0"/>
    </customSheetView>
    <customSheetView guid="{1D5AE30A-CA7C-4B32-AEA4-9F37A560AAA8}" showGridLines="0" showRuler="0">
      <selection activeCell="K35" sqref="K35"/>
      <pageMargins left="0.75" right="0.75" top="1" bottom="1" header="0.5" footer="0.5"/>
      <pageSetup orientation="portrait" verticalDpi="1200" r:id="rId2"/>
      <headerFooter alignWithMargins="0"/>
    </customSheetView>
  </customSheetViews>
  <mergeCells count="6">
    <mergeCell ref="F23:H23"/>
    <mergeCell ref="B4:I5"/>
    <mergeCell ref="B15:I16"/>
    <mergeCell ref="B7:I9"/>
    <mergeCell ref="B18:I19"/>
    <mergeCell ref="B11:I13"/>
  </mergeCells>
  <phoneticPr fontId="6" type="noConversion"/>
  <pageMargins left="0.75" right="0.75" top="1" bottom="1" header="0.5" footer="0.5"/>
  <pageSetup orientation="portrait" verticalDpi="1200" r:id="rId3"/>
  <headerFooter alignWithMargins="0"/>
</worksheet>
</file>

<file path=xl/worksheets/sheet54.xml><?xml version="1.0" encoding="utf-8"?>
<worksheet xmlns="http://schemas.openxmlformats.org/spreadsheetml/2006/main" xmlns:r="http://schemas.openxmlformats.org/officeDocument/2006/relationships">
  <sheetPr codeName="Sheet37"/>
  <dimension ref="A1:BZ261"/>
  <sheetViews>
    <sheetView workbookViewId="0"/>
  </sheetViews>
  <sheetFormatPr defaultRowHeight="11.4"/>
  <cols>
    <col min="1" max="1" width="2.75" customWidth="1"/>
    <col min="2" max="4" width="11.125" customWidth="1"/>
    <col min="5" max="5" width="12" customWidth="1"/>
    <col min="6" max="6" width="11.125" customWidth="1"/>
    <col min="7" max="15" width="11.625" customWidth="1"/>
    <col min="16" max="16" width="1.75" customWidth="1"/>
    <col min="17" max="24" width="12.75" customWidth="1"/>
    <col min="25" max="25" width="1.75" customWidth="1"/>
    <col min="26" max="33" width="12.75" customWidth="1"/>
    <col min="34" max="34" width="1.75" customWidth="1"/>
    <col min="35" max="42" width="12.75" customWidth="1"/>
    <col min="43" max="43" width="1.75" customWidth="1"/>
    <col min="44" max="51" width="12.75" customWidth="1"/>
    <col min="52" max="52" width="1.75" customWidth="1"/>
    <col min="53" max="60" width="12.75" customWidth="1"/>
    <col min="61" max="61" width="1.75" customWidth="1"/>
    <col min="62" max="69" width="12.75" customWidth="1"/>
    <col min="70" max="70" width="1.625" customWidth="1"/>
    <col min="71" max="78" width="12.875" customWidth="1"/>
  </cols>
  <sheetData>
    <row r="1" spans="2:16">
      <c r="B1" s="1199"/>
      <c r="P1" s="136">
        <f>ROW()</f>
        <v>1</v>
      </c>
    </row>
    <row r="2" spans="2:16" ht="14.1" customHeight="1">
      <c r="B2" s="115" t="s">
        <v>2249</v>
      </c>
      <c r="K2" s="181">
        <f>'Title Page'!K1</f>
        <v>40914</v>
      </c>
      <c r="P2" s="136">
        <f>ROW()</f>
        <v>2</v>
      </c>
    </row>
    <row r="3" spans="2:16" ht="14.1" customHeight="1">
      <c r="B3" s="115"/>
      <c r="I3" s="181"/>
      <c r="P3" s="136">
        <f>ROW()</f>
        <v>3</v>
      </c>
    </row>
    <row r="4" spans="2:16" ht="14.1" customHeight="1">
      <c r="B4" s="115"/>
      <c r="I4" s="181"/>
      <c r="P4" s="136">
        <f>ROW()</f>
        <v>4</v>
      </c>
    </row>
    <row r="5" spans="2:16" ht="14.1" customHeight="1">
      <c r="B5" s="5007" t="s">
        <v>1688</v>
      </c>
      <c r="C5" s="4956"/>
      <c r="D5" s="4956"/>
      <c r="E5" s="4956"/>
      <c r="F5" s="4956"/>
      <c r="G5" s="4956"/>
      <c r="H5" s="4956"/>
      <c r="I5" s="4956"/>
      <c r="J5" s="4956"/>
      <c r="K5" s="4956"/>
      <c r="P5" s="136">
        <f>ROW()</f>
        <v>5</v>
      </c>
    </row>
    <row r="6" spans="2:16" ht="14.1" customHeight="1">
      <c r="B6" s="4956"/>
      <c r="C6" s="4956"/>
      <c r="D6" s="4956"/>
      <c r="E6" s="4956"/>
      <c r="F6" s="4956"/>
      <c r="G6" s="4956"/>
      <c r="H6" s="4956"/>
      <c r="I6" s="4956"/>
      <c r="J6" s="4956"/>
      <c r="K6" s="4956"/>
      <c r="P6" s="136">
        <f>ROW()</f>
        <v>6</v>
      </c>
    </row>
    <row r="7" spans="2:16" ht="14.1" customHeight="1">
      <c r="B7" s="4956"/>
      <c r="C7" s="4956"/>
      <c r="D7" s="4956"/>
      <c r="E7" s="4956"/>
      <c r="F7" s="4956"/>
      <c r="G7" s="4956"/>
      <c r="H7" s="4956"/>
      <c r="I7" s="4956"/>
      <c r="J7" s="4956"/>
      <c r="K7" s="4956"/>
      <c r="P7" s="136">
        <f>ROW()</f>
        <v>7</v>
      </c>
    </row>
    <row r="8" spans="2:16" ht="14.1" customHeight="1">
      <c r="B8" s="4956"/>
      <c r="C8" s="4956"/>
      <c r="D8" s="4956"/>
      <c r="E8" s="4956"/>
      <c r="F8" s="4956"/>
      <c r="G8" s="4956"/>
      <c r="H8" s="4956"/>
      <c r="I8" s="4956"/>
      <c r="J8" s="4956"/>
      <c r="K8" s="4956"/>
      <c r="P8" s="136">
        <f>ROW()</f>
        <v>8</v>
      </c>
    </row>
    <row r="9" spans="2:16" ht="14.1" customHeight="1">
      <c r="B9" s="4956"/>
      <c r="C9" s="4956"/>
      <c r="D9" s="4956"/>
      <c r="E9" s="4956"/>
      <c r="F9" s="4956"/>
      <c r="G9" s="4956"/>
      <c r="H9" s="4956"/>
      <c r="I9" s="4956"/>
      <c r="J9" s="4956"/>
      <c r="K9" s="4956"/>
      <c r="P9" s="136">
        <f>ROW()</f>
        <v>9</v>
      </c>
    </row>
    <row r="10" spans="2:16" ht="14.1" customHeight="1">
      <c r="I10" s="181"/>
      <c r="P10" s="136">
        <f>ROW()</f>
        <v>10</v>
      </c>
    </row>
    <row r="11" spans="2:16" ht="14.1" customHeight="1">
      <c r="B11" s="115"/>
      <c r="I11" s="181"/>
      <c r="P11" s="136">
        <f>ROW()</f>
        <v>11</v>
      </c>
    </row>
    <row r="12" spans="2:16" ht="15" customHeight="1">
      <c r="B12" s="4291" t="s">
        <v>2168</v>
      </c>
      <c r="C12" s="3681"/>
      <c r="D12" s="3681"/>
      <c r="E12" s="3681"/>
      <c r="F12" s="3681"/>
      <c r="G12" s="3681"/>
      <c r="H12" s="3681"/>
      <c r="I12" s="3681"/>
      <c r="J12" s="3681"/>
      <c r="K12" s="3681"/>
      <c r="P12" s="136">
        <f>ROW()</f>
        <v>12</v>
      </c>
    </row>
    <row r="13" spans="2:16" ht="15" customHeight="1">
      <c r="B13" s="3681"/>
      <c r="C13" s="3681"/>
      <c r="D13" s="3681"/>
      <c r="E13" s="3681"/>
      <c r="F13" s="3681"/>
      <c r="G13" s="3681"/>
      <c r="H13" s="3681"/>
      <c r="I13" s="3681"/>
      <c r="J13" s="3681"/>
      <c r="K13" s="3681"/>
      <c r="P13" s="136">
        <f>ROW()</f>
        <v>13</v>
      </c>
    </row>
    <row r="14" spans="2:16" ht="15" customHeight="1">
      <c r="B14" s="3681"/>
      <c r="C14" s="3681"/>
      <c r="D14" s="3681"/>
      <c r="E14" s="3681"/>
      <c r="F14" s="3681"/>
      <c r="G14" s="3681"/>
      <c r="H14" s="3681"/>
      <c r="I14" s="3681"/>
      <c r="J14" s="3681"/>
      <c r="K14" s="3681"/>
      <c r="P14" s="136">
        <f>ROW()</f>
        <v>14</v>
      </c>
    </row>
    <row r="15" spans="2:16" ht="15" customHeight="1">
      <c r="B15" s="3681"/>
      <c r="C15" s="3681"/>
      <c r="D15" s="3681"/>
      <c r="E15" s="3681"/>
      <c r="F15" s="3681"/>
      <c r="G15" s="3681"/>
      <c r="H15" s="3681"/>
      <c r="I15" s="3681"/>
      <c r="J15" s="3681"/>
      <c r="K15" s="3681"/>
      <c r="P15" s="136">
        <f>ROW()</f>
        <v>15</v>
      </c>
    </row>
    <row r="16" spans="2:16" ht="15" customHeight="1">
      <c r="B16" s="3681"/>
      <c r="C16" s="3681"/>
      <c r="D16" s="3681"/>
      <c r="E16" s="3681"/>
      <c r="F16" s="3681"/>
      <c r="G16" s="3681"/>
      <c r="H16" s="3681"/>
      <c r="I16" s="3681"/>
      <c r="J16" s="3681"/>
      <c r="K16" s="3681"/>
      <c r="P16" s="136">
        <f>ROW()</f>
        <v>16</v>
      </c>
    </row>
    <row r="17" spans="2:69" ht="14.1" customHeight="1">
      <c r="B17" s="1407"/>
      <c r="C17" s="1407"/>
      <c r="D17" s="1407"/>
      <c r="E17" s="1407"/>
      <c r="F17" s="1407"/>
      <c r="G17" s="1407"/>
      <c r="H17" s="1407"/>
      <c r="I17" s="1407"/>
      <c r="J17" s="1407"/>
      <c r="K17" s="1407"/>
      <c r="P17" s="136">
        <f>ROW()</f>
        <v>17</v>
      </c>
    </row>
    <row r="18" spans="2:69" ht="14.1" customHeight="1">
      <c r="B18" s="90"/>
      <c r="C18" s="90"/>
      <c r="D18" s="90"/>
      <c r="E18" s="90"/>
      <c r="F18" s="90"/>
      <c r="G18" s="90"/>
      <c r="H18" s="90"/>
      <c r="I18" s="90"/>
      <c r="J18" s="90"/>
      <c r="K18" s="90"/>
      <c r="P18" s="136">
        <f>ROW()</f>
        <v>18</v>
      </c>
    </row>
    <row r="19" spans="2:69" ht="14.1" customHeight="1">
      <c r="B19" s="24" t="s">
        <v>1246</v>
      </c>
      <c r="C19" s="90"/>
      <c r="D19" s="90"/>
      <c r="E19" s="90"/>
      <c r="F19" s="90"/>
      <c r="G19" s="90"/>
      <c r="H19" s="90"/>
      <c r="I19" s="90"/>
      <c r="J19" s="90"/>
      <c r="K19" s="90"/>
      <c r="P19" s="136">
        <f>ROW()</f>
        <v>19</v>
      </c>
    </row>
    <row r="20" spans="2:69">
      <c r="M20" s="281"/>
      <c r="N20" s="281"/>
      <c r="O20" s="281"/>
      <c r="P20" s="136">
        <f>ROW()</f>
        <v>20</v>
      </c>
      <c r="Q20" s="902"/>
      <c r="R20" s="113"/>
      <c r="S20" s="113"/>
      <c r="T20" s="113"/>
      <c r="U20" s="113"/>
      <c r="V20" s="113"/>
    </row>
    <row r="21" spans="2:69" ht="13.2">
      <c r="B21" s="24" t="s">
        <v>1243</v>
      </c>
      <c r="C21" s="217"/>
      <c r="D21" s="217"/>
      <c r="E21" s="217"/>
      <c r="F21" s="217"/>
      <c r="P21" s="136">
        <f>ROW()</f>
        <v>21</v>
      </c>
      <c r="Q21" s="902"/>
      <c r="Z21" s="43"/>
      <c r="AI21" s="43"/>
      <c r="AR21" s="43"/>
      <c r="BA21" s="43"/>
      <c r="BJ21" s="43"/>
    </row>
    <row r="22" spans="2:69">
      <c r="L22" s="23"/>
      <c r="P22" s="136">
        <f>ROW()</f>
        <v>22</v>
      </c>
      <c r="Q22" s="902"/>
    </row>
    <row r="23" spans="2:69" ht="12">
      <c r="B23" s="6" t="s">
        <v>1234</v>
      </c>
      <c r="H23" s="20" t="s">
        <v>367</v>
      </c>
      <c r="I23" s="20" t="s">
        <v>368</v>
      </c>
      <c r="J23" s="20" t="s">
        <v>2473</v>
      </c>
      <c r="K23" s="20" t="s">
        <v>1241</v>
      </c>
      <c r="L23" s="20" t="s">
        <v>2212</v>
      </c>
      <c r="M23" s="20" t="s">
        <v>967</v>
      </c>
      <c r="N23" s="20" t="s">
        <v>2249</v>
      </c>
      <c r="O23" s="20" t="s">
        <v>228</v>
      </c>
      <c r="P23" s="136">
        <f>ROW()</f>
        <v>23</v>
      </c>
      <c r="Q23" s="902"/>
      <c r="Z23" s="608"/>
      <c r="AI23" s="608"/>
      <c r="AR23" s="608"/>
      <c r="BA23" s="608"/>
      <c r="BJ23" s="608"/>
    </row>
    <row r="24" spans="2:69" ht="12" customHeight="1">
      <c r="B24" s="3785" t="s">
        <v>754</v>
      </c>
      <c r="C24" s="3785"/>
      <c r="D24" s="3785"/>
      <c r="E24" s="3785"/>
      <c r="F24" s="3785"/>
      <c r="G24" s="3785"/>
      <c r="H24" s="3785"/>
      <c r="I24" s="3785"/>
      <c r="J24" s="3785"/>
      <c r="K24" s="3785"/>
      <c r="L24" s="214"/>
      <c r="M24" s="214"/>
      <c r="N24" s="214"/>
      <c r="O24" s="45"/>
      <c r="P24" s="136">
        <f>ROW()</f>
        <v>24</v>
      </c>
      <c r="Q24" s="903"/>
      <c r="Z24" s="628"/>
      <c r="AI24" s="628"/>
      <c r="AR24" s="628"/>
      <c r="BA24" s="628"/>
      <c r="BJ24" s="628"/>
    </row>
    <row r="25" spans="2:69" ht="12" customHeight="1">
      <c r="B25" s="3785"/>
      <c r="C25" s="3785"/>
      <c r="D25" s="3785"/>
      <c r="E25" s="3785"/>
      <c r="F25" s="3785"/>
      <c r="G25" s="3785"/>
      <c r="H25" s="3785"/>
      <c r="I25" s="3785"/>
      <c r="J25" s="3785"/>
      <c r="K25" s="3785"/>
      <c r="L25" s="214"/>
      <c r="M25" s="214"/>
      <c r="N25" s="2369" t="str">
        <f>CONCATENATE("From Row ",P250,)</f>
        <v>From Row 250</v>
      </c>
      <c r="P25" s="136">
        <f>ROW()</f>
        <v>25</v>
      </c>
      <c r="Q25" s="903"/>
      <c r="Z25" s="628"/>
      <c r="AI25" s="628"/>
      <c r="AR25" s="628"/>
      <c r="BA25" s="628"/>
      <c r="BJ25" s="628"/>
    </row>
    <row r="26" spans="2:69" ht="12">
      <c r="B26" s="1056" t="str">
        <f>'Motor Vs'!B27</f>
        <v>Daily motor vehicle trips into cordon</v>
      </c>
      <c r="C26" s="281"/>
      <c r="D26" s="281"/>
      <c r="E26" s="281"/>
      <c r="F26" s="281"/>
      <c r="G26" s="281"/>
      <c r="H26" s="5221">
        <f>'Motor Vs'!I27-K26</f>
        <v>673000</v>
      </c>
      <c r="I26" s="5222"/>
      <c r="J26" s="1591">
        <v>0</v>
      </c>
      <c r="K26" s="10">
        <f>'Motor Vs'!L30</f>
        <v>65000</v>
      </c>
      <c r="L26" s="10">
        <f>'Motor Vs'!M27</f>
        <v>45000</v>
      </c>
      <c r="M26" s="10">
        <f>'Motor Vs'!N27</f>
        <v>12000</v>
      </c>
      <c r="N26" s="1595">
        <f>G250</f>
        <v>75</v>
      </c>
      <c r="O26" s="186">
        <f>SUM(H26:N26)</f>
        <v>795075</v>
      </c>
      <c r="P26" s="136">
        <f>ROW()</f>
        <v>26</v>
      </c>
      <c r="Q26" s="902"/>
      <c r="Z26" s="628"/>
      <c r="AI26" s="628"/>
      <c r="AR26" s="628"/>
      <c r="BA26" s="628"/>
      <c r="BJ26" s="628"/>
    </row>
    <row r="27" spans="2:69" ht="12">
      <c r="B27" s="280" t="s">
        <v>2557</v>
      </c>
      <c r="H27" s="4287">
        <f>'Motor Vs'!I32</f>
        <v>0.34</v>
      </c>
      <c r="I27" s="4287"/>
      <c r="J27" s="446" t="str">
        <f>'Motor Vs'!K32</f>
        <v>N.A.</v>
      </c>
      <c r="K27" s="446">
        <f>'Motor Vs'!L32</f>
        <v>0</v>
      </c>
      <c r="L27" s="446">
        <f>'Motor Vs'!M32</f>
        <v>0.34</v>
      </c>
      <c r="M27" s="446">
        <f>'Motor Vs'!N32</f>
        <v>0.1</v>
      </c>
      <c r="N27" s="446">
        <v>0</v>
      </c>
      <c r="O27" s="631"/>
      <c r="P27" s="136">
        <f>ROW()</f>
        <v>27</v>
      </c>
      <c r="Q27" s="4147">
        <f>'Motor Vs'!P34:W34</f>
        <v>0</v>
      </c>
      <c r="R27" s="4147"/>
      <c r="S27" s="4147"/>
      <c r="T27" s="4147"/>
      <c r="U27" s="4147"/>
      <c r="V27" s="4147"/>
      <c r="W27" s="4147"/>
      <c r="X27" s="4147"/>
      <c r="Z27" s="4147">
        <f>'Motor Vs'!Y34:AF34</f>
        <v>0</v>
      </c>
      <c r="AA27" s="4147"/>
      <c r="AB27" s="4147"/>
      <c r="AC27" s="4147"/>
      <c r="AD27" s="4147"/>
      <c r="AE27" s="4147"/>
      <c r="AF27" s="4147"/>
      <c r="AG27" s="4147"/>
      <c r="AI27" s="4147">
        <f>'Motor Vs'!AH34:AO34</f>
        <v>0</v>
      </c>
      <c r="AJ27" s="4147"/>
      <c r="AK27" s="4147"/>
      <c r="AL27" s="4147"/>
      <c r="AM27" s="4147"/>
      <c r="AN27" s="4147"/>
      <c r="AO27" s="4147"/>
      <c r="AP27" s="4147"/>
      <c r="AR27" s="4147">
        <f>'Motor Vs'!AQ34:AX34</f>
        <v>0</v>
      </c>
      <c r="AS27" s="4147"/>
      <c r="AT27" s="4147"/>
      <c r="AU27" s="4147"/>
      <c r="AV27" s="4147"/>
      <c r="AW27" s="4147"/>
      <c r="AX27" s="4147"/>
      <c r="AY27" s="4147"/>
      <c r="BA27" s="4147">
        <f>'Motor Vs'!AZ34:BG34</f>
        <v>0</v>
      </c>
      <c r="BB27" s="4147"/>
      <c r="BC27" s="4147"/>
      <c r="BD27" s="4147"/>
      <c r="BE27" s="4147"/>
      <c r="BF27" s="4147"/>
      <c r="BG27" s="4147"/>
      <c r="BH27" s="4147"/>
      <c r="BJ27" s="4147">
        <f>'Motor Vs'!BI34:BP34</f>
        <v>0</v>
      </c>
      <c r="BK27" s="4147"/>
      <c r="BL27" s="4147"/>
      <c r="BM27" s="4147"/>
      <c r="BN27" s="4147"/>
      <c r="BO27" s="4147"/>
      <c r="BP27" s="4147"/>
      <c r="BQ27" s="4147"/>
    </row>
    <row r="28" spans="2:69" ht="13.2">
      <c r="B28" s="281" t="s">
        <v>1832</v>
      </c>
      <c r="H28" s="4963">
        <f>H26*(1-H27)</f>
        <v>444179.99999999994</v>
      </c>
      <c r="I28" s="4963"/>
      <c r="J28" s="632">
        <f>O26-(H28+SUM(K28:N28))</f>
        <v>245320</v>
      </c>
      <c r="K28" s="10">
        <f>K26*(1-K27)</f>
        <v>65000</v>
      </c>
      <c r="L28" s="10">
        <f>L26*(1-L27)</f>
        <v>29699.999999999996</v>
      </c>
      <c r="M28" s="10">
        <f>M26*(1-M27)</f>
        <v>10800</v>
      </c>
      <c r="N28" s="10">
        <f>N26*(1-N27)</f>
        <v>75</v>
      </c>
      <c r="O28" s="10">
        <f>SUM(H28:N28)</f>
        <v>795075</v>
      </c>
      <c r="P28" s="136">
        <f>ROW()</f>
        <v>28</v>
      </c>
      <c r="Q28" s="4954" t="str">
        <f>CONCATENATE("Data will appear in this 'column block' after Row ",$P$51,)</f>
        <v>Data will appear in this 'column block' after Row 51</v>
      </c>
      <c r="R28" s="4954"/>
      <c r="S28" s="4954"/>
      <c r="T28" s="4954"/>
      <c r="U28" s="4954"/>
      <c r="V28" s="4954"/>
      <c r="W28" s="4954"/>
      <c r="X28" s="4954"/>
      <c r="Z28" s="4954" t="str">
        <f>CONCATENATE("Data will appear in this 'column block' after Row ",$P$51,)</f>
        <v>Data will appear in this 'column block' after Row 51</v>
      </c>
      <c r="AA28" s="4954"/>
      <c r="AB28" s="4954"/>
      <c r="AC28" s="4954"/>
      <c r="AD28" s="4954"/>
      <c r="AE28" s="4954"/>
      <c r="AF28" s="4954"/>
      <c r="AG28" s="4954"/>
      <c r="AI28" s="4954" t="str">
        <f>CONCATENATE("Data will appear in this 'column block' after Row ",$P$51,)</f>
        <v>Data will appear in this 'column block' after Row 51</v>
      </c>
      <c r="AJ28" s="4954"/>
      <c r="AK28" s="4954"/>
      <c r="AL28" s="4954"/>
      <c r="AM28" s="4954"/>
      <c r="AN28" s="4954"/>
      <c r="AO28" s="4954"/>
      <c r="AP28" s="4954"/>
      <c r="AR28" s="4954" t="str">
        <f>CONCATENATE("Data will appear in this 'column block' after Row ",$P$51,)</f>
        <v>Data will appear in this 'column block' after Row 51</v>
      </c>
      <c r="AS28" s="4954"/>
      <c r="AT28" s="4954"/>
      <c r="AU28" s="4954"/>
      <c r="AV28" s="4954"/>
      <c r="AW28" s="4954"/>
      <c r="AX28" s="4954"/>
      <c r="AY28" s="4954"/>
      <c r="BA28" s="4954" t="str">
        <f>CONCATENATE("Data will appear in this 'column block' after Row ",$P$51,)</f>
        <v>Data will appear in this 'column block' after Row 51</v>
      </c>
      <c r="BB28" s="4954"/>
      <c r="BC28" s="4954"/>
      <c r="BD28" s="4954"/>
      <c r="BE28" s="4954"/>
      <c r="BF28" s="4954"/>
      <c r="BG28" s="4954"/>
      <c r="BH28" s="4954"/>
      <c r="BJ28" s="4954" t="str">
        <f>CONCATENATE("Data will appear in this 'column block' after Row ",$P$51,)</f>
        <v>Data will appear in this 'column block' after Row 51</v>
      </c>
      <c r="BK28" s="4954"/>
      <c r="BL28" s="4954"/>
      <c r="BM28" s="4954"/>
      <c r="BN28" s="4954"/>
      <c r="BO28" s="4954"/>
      <c r="BP28" s="4954"/>
      <c r="BQ28" s="4954"/>
    </row>
    <row r="29" spans="2:69">
      <c r="B29" s="281" t="s">
        <v>2848</v>
      </c>
      <c r="H29" s="209">
        <f>H.I.S.!G131</f>
        <v>0.58708201873587496</v>
      </c>
      <c r="I29" s="209">
        <f>1-H29</f>
        <v>0.41291798126412504</v>
      </c>
      <c r="M29" s="23"/>
      <c r="N29" s="23"/>
      <c r="P29" s="136">
        <f>ROW()</f>
        <v>29</v>
      </c>
    </row>
    <row r="30" spans="2:69" s="86" customFormat="1">
      <c r="B30" s="275" t="s">
        <v>2363</v>
      </c>
      <c r="G30" s="816"/>
      <c r="H30" s="1077">
        <f>'Motor Vs'!I76</f>
        <v>260770.0910821009</v>
      </c>
      <c r="I30" s="1077">
        <f>'Motor Vs'!J76</f>
        <v>183409.90891789904</v>
      </c>
      <c r="J30" s="1077">
        <f>'Motor Vs'!K76</f>
        <v>127122.22222222225</v>
      </c>
      <c r="K30" s="1077">
        <f>'Motor Vs'!L76</f>
        <v>65000</v>
      </c>
      <c r="L30" s="1077">
        <f>'Motor Vs'!M76</f>
        <v>38200</v>
      </c>
      <c r="M30" s="1077">
        <f>'Motor Vs'!N76</f>
        <v>11431.578947368422</v>
      </c>
      <c r="N30" s="1077">
        <v>0</v>
      </c>
      <c r="O30" s="10">
        <f>SUM(H30:N30)</f>
        <v>685933.80116959068</v>
      </c>
      <c r="P30" s="136">
        <f>ROW()</f>
        <v>30</v>
      </c>
    </row>
    <row r="31" spans="2:69" s="86" customFormat="1" ht="12">
      <c r="B31" s="1049" t="s">
        <v>1118</v>
      </c>
      <c r="C31" s="1050"/>
      <c r="D31" s="1050"/>
      <c r="E31" s="1050"/>
      <c r="F31" s="1050"/>
      <c r="G31" s="1075">
        <f>'User Inputs'!J151</f>
        <v>0</v>
      </c>
      <c r="H31" s="1076">
        <f>H28*H29*(1-$G$31)</f>
        <v>260770.0910821009</v>
      </c>
      <c r="I31" s="1076">
        <f>H28*I29*(1-$G$31)</f>
        <v>183409.90891789904</v>
      </c>
      <c r="J31" s="1076">
        <f>J28*(1-$G$31)</f>
        <v>245320</v>
      </c>
      <c r="K31" s="1076">
        <f>K28*(1-$G$31)</f>
        <v>65000</v>
      </c>
      <c r="L31" s="1076">
        <f>L28*(1-G31)</f>
        <v>29699.999999999996</v>
      </c>
      <c r="M31" s="1076">
        <f>M28*(1-G31)</f>
        <v>10800</v>
      </c>
      <c r="N31" s="1076">
        <f>N28*(1-G31)</f>
        <v>75</v>
      </c>
      <c r="O31" s="1051">
        <f>SUM(H31:N31)</f>
        <v>795075</v>
      </c>
      <c r="P31" s="136">
        <f>ROW()</f>
        <v>31</v>
      </c>
    </row>
    <row r="32" spans="2:69" ht="12" customHeight="1">
      <c r="B32" s="215"/>
      <c r="G32" s="49" t="s">
        <v>1880</v>
      </c>
      <c r="H32" s="10">
        <f t="shared" ref="H32:N32" si="0">H31-H30</f>
        <v>0</v>
      </c>
      <c r="I32" s="10">
        <f t="shared" si="0"/>
        <v>0</v>
      </c>
      <c r="J32" s="10">
        <f t="shared" si="0"/>
        <v>118197.77777777775</v>
      </c>
      <c r="K32" s="10">
        <f t="shared" si="0"/>
        <v>0</v>
      </c>
      <c r="L32" s="10">
        <f t="shared" si="0"/>
        <v>-8500.0000000000036</v>
      </c>
      <c r="M32" s="10">
        <f t="shared" si="0"/>
        <v>-631.57894736842172</v>
      </c>
      <c r="N32" s="10">
        <f t="shared" si="0"/>
        <v>75</v>
      </c>
      <c r="O32" s="1078">
        <f>SUM(H32:N32)</f>
        <v>109141.19883040932</v>
      </c>
      <c r="P32" s="136">
        <f>ROW()</f>
        <v>32</v>
      </c>
    </row>
    <row r="33" spans="2:69" ht="12">
      <c r="B33" s="172" t="s">
        <v>1518</v>
      </c>
      <c r="H33" s="113"/>
      <c r="N33" s="1594" t="str">
        <f>CONCATENATE("Rows ",P235, "-",P237,)</f>
        <v>Rows 235-237</v>
      </c>
      <c r="P33" s="136">
        <f>ROW()</f>
        <v>33</v>
      </c>
    </row>
    <row r="34" spans="2:69">
      <c r="B34" s="281" t="s">
        <v>2097</v>
      </c>
      <c r="H34" s="1079">
        <f>'Motor Vs'!I85</f>
        <v>1.25</v>
      </c>
      <c r="I34" s="117">
        <f>'Motor Vs'!J85</f>
        <v>1.25</v>
      </c>
      <c r="J34" s="21">
        <f>'Motor Vs'!K85</f>
        <v>1.6</v>
      </c>
      <c r="K34" s="21">
        <f>'Motor Vs'!L85</f>
        <v>2</v>
      </c>
      <c r="L34" s="21">
        <f>'Motor Vs'!M85</f>
        <v>3</v>
      </c>
      <c r="M34" s="21">
        <f>'Motor Vs'!N85</f>
        <v>2</v>
      </c>
      <c r="N34" s="1596">
        <f>H236+H237/2</f>
        <v>3.2</v>
      </c>
      <c r="P34" s="136">
        <f>ROW()</f>
        <v>34</v>
      </c>
    </row>
    <row r="35" spans="2:69">
      <c r="B35" s="281" t="s">
        <v>2098</v>
      </c>
      <c r="H35" s="1079">
        <f>'Motor Vs'!I79</f>
        <v>16.900058730389546</v>
      </c>
      <c r="I35" s="21">
        <f>'Motor Vs'!J79</f>
        <v>16.900058730389546</v>
      </c>
      <c r="J35" s="21">
        <f>'Motor Vs'!K79</f>
        <v>25.350088095584319</v>
      </c>
      <c r="K35" s="21">
        <f>'Motor Vs'!L79</f>
        <v>6</v>
      </c>
      <c r="L35" s="21">
        <f>'Motor Vs'!M79</f>
        <v>12.520200577749323</v>
      </c>
      <c r="M35" s="21">
        <f>'Motor Vs'!N79</f>
        <v>17.36691118150528</v>
      </c>
      <c r="N35" s="1597">
        <f>H235</f>
        <v>4.9666666666666659</v>
      </c>
      <c r="P35" s="136">
        <f>ROW()</f>
        <v>35</v>
      </c>
    </row>
    <row r="36" spans="2:69" ht="13.2">
      <c r="B36" s="215" t="str">
        <f>CONCATENATE("Both rows are taken from 'Motor Vs' worksheet, except that miles for FD are from this worksheet, Rows ",P235, " and ",P236, ", with circulating miles divided by two to produce one-way values.")</f>
        <v>Both rows are taken from 'Motor Vs' worksheet, except that miles for FD are from this worksheet, Rows 235 and 236, with circulating miles divided by two to produce one-way values.</v>
      </c>
      <c r="P36" s="136">
        <f>ROW()</f>
        <v>36</v>
      </c>
      <c r="Q36" s="4363"/>
      <c r="R36" s="4363"/>
      <c r="S36" s="4363"/>
      <c r="T36" s="4363"/>
      <c r="U36" s="4363"/>
      <c r="V36" s="4363"/>
      <c r="W36" s="4363"/>
      <c r="X36" s="4363"/>
      <c r="Z36" s="4363"/>
      <c r="AA36" s="4363"/>
      <c r="AB36" s="4363"/>
      <c r="AC36" s="4363"/>
      <c r="AD36" s="4363"/>
      <c r="AE36" s="4363"/>
      <c r="AF36" s="4363"/>
      <c r="AG36" s="4363"/>
      <c r="AI36" s="4363"/>
      <c r="AJ36" s="4363"/>
      <c r="AK36" s="4363"/>
      <c r="AL36" s="4363"/>
      <c r="AM36" s="4363"/>
      <c r="AN36" s="4363"/>
      <c r="AO36" s="4363"/>
      <c r="AP36" s="4363"/>
      <c r="AR36" s="4363"/>
      <c r="AS36" s="4363"/>
      <c r="AT36" s="4363"/>
      <c r="AU36" s="4363"/>
      <c r="AV36" s="4363"/>
      <c r="AW36" s="4363"/>
      <c r="AX36" s="4363"/>
      <c r="AY36" s="4363"/>
      <c r="BA36" s="4363"/>
      <c r="BB36" s="4363"/>
      <c r="BC36" s="4363"/>
      <c r="BD36" s="4363"/>
      <c r="BE36" s="4363"/>
      <c r="BF36" s="4363"/>
      <c r="BG36" s="4363"/>
      <c r="BH36" s="4363"/>
      <c r="BJ36" s="4363"/>
      <c r="BK36" s="4363"/>
      <c r="BL36" s="4363"/>
      <c r="BM36" s="4363"/>
      <c r="BN36" s="4363"/>
      <c r="BO36" s="4363"/>
      <c r="BP36" s="4363"/>
      <c r="BQ36" s="4363"/>
    </row>
    <row r="37" spans="2:69" ht="13.2">
      <c r="B37" s="215"/>
      <c r="P37" s="136">
        <f>ROW()</f>
        <v>37</v>
      </c>
      <c r="Q37" s="1048"/>
      <c r="R37" s="1048"/>
      <c r="S37" s="1048"/>
      <c r="T37" s="1048"/>
      <c r="U37" s="1048"/>
      <c r="V37" s="1048"/>
      <c r="W37" s="1048"/>
      <c r="X37" s="1048"/>
      <c r="Z37" s="1048"/>
      <c r="AA37" s="1048"/>
      <c r="AB37" s="1048"/>
      <c r="AC37" s="1048"/>
      <c r="AD37" s="1048"/>
      <c r="AE37" s="1048"/>
      <c r="AF37" s="1048"/>
      <c r="AG37" s="1048"/>
      <c r="AI37" s="1048"/>
      <c r="AJ37" s="1048"/>
      <c r="AK37" s="1048"/>
      <c r="AL37" s="1048"/>
      <c r="AM37" s="1048"/>
      <c r="AN37" s="1048"/>
      <c r="AO37" s="1048"/>
      <c r="AP37" s="1048"/>
      <c r="AR37" s="1048"/>
      <c r="AS37" s="1048"/>
      <c r="AT37" s="1048"/>
      <c r="AU37" s="1048"/>
      <c r="AV37" s="1048"/>
      <c r="AW37" s="1048"/>
      <c r="AX37" s="1048"/>
      <c r="AY37" s="1048"/>
      <c r="BA37" s="1048"/>
      <c r="BB37" s="1048"/>
      <c r="BC37" s="1048"/>
      <c r="BD37" s="1048"/>
      <c r="BE37" s="1048"/>
      <c r="BF37" s="1048"/>
      <c r="BG37" s="1048"/>
      <c r="BH37" s="1048"/>
      <c r="BJ37" s="1048"/>
      <c r="BK37" s="1048"/>
      <c r="BL37" s="1048"/>
      <c r="BM37" s="1048"/>
      <c r="BN37" s="1048"/>
      <c r="BO37" s="1048"/>
      <c r="BP37" s="1048"/>
      <c r="BQ37" s="1048"/>
    </row>
    <row r="38" spans="2:69" ht="12">
      <c r="B38" s="6" t="s">
        <v>1235</v>
      </c>
      <c r="H38" s="20" t="s">
        <v>367</v>
      </c>
      <c r="I38" s="20" t="s">
        <v>368</v>
      </c>
      <c r="J38" s="20" t="s">
        <v>2473</v>
      </c>
      <c r="K38" s="20" t="s">
        <v>1241</v>
      </c>
      <c r="L38" s="20" t="s">
        <v>2212</v>
      </c>
      <c r="M38" s="20" t="s">
        <v>967</v>
      </c>
      <c r="N38" s="20"/>
      <c r="O38" s="20" t="s">
        <v>228</v>
      </c>
      <c r="P38" s="136">
        <f>ROW()</f>
        <v>38</v>
      </c>
    </row>
    <row r="39" spans="2:69" ht="12">
      <c r="B39" s="1052" t="s">
        <v>1879</v>
      </c>
      <c r="C39" s="1053"/>
      <c r="D39" s="1053"/>
      <c r="E39" s="1053"/>
      <c r="F39" s="1053"/>
      <c r="G39" s="1053"/>
      <c r="H39" s="1121">
        <f>2*H31*H34</f>
        <v>651925.22770525224</v>
      </c>
      <c r="I39" s="1121">
        <f>2*I31*I34</f>
        <v>458524.77229474758</v>
      </c>
      <c r="J39" s="1121">
        <f>2*J31*J34</f>
        <v>785024</v>
      </c>
      <c r="K39" s="1121">
        <f>(1+Taxis!L130)*K31*K34</f>
        <v>227500</v>
      </c>
      <c r="L39" s="1121">
        <f>2*L31*L34</f>
        <v>178199.99999999997</v>
      </c>
      <c r="M39" s="1121">
        <f>2*M31*M34</f>
        <v>43200</v>
      </c>
      <c r="N39" s="1121"/>
      <c r="O39" s="1054">
        <f>SUM(H39:M39)</f>
        <v>2344374</v>
      </c>
      <c r="P39" s="136">
        <f>ROW()</f>
        <v>39</v>
      </c>
    </row>
    <row r="40" spans="2:69" ht="12">
      <c r="B40" s="215" t="s">
        <v>1173</v>
      </c>
      <c r="H40" s="575"/>
      <c r="I40" s="575"/>
      <c r="J40" s="575"/>
      <c r="K40" s="575"/>
      <c r="L40" s="575"/>
      <c r="O40" s="607"/>
      <c r="P40" s="136">
        <f>ROW()</f>
        <v>40</v>
      </c>
    </row>
    <row r="41" spans="2:69" ht="12" customHeight="1">
      <c r="B41" s="312" t="s">
        <v>1267</v>
      </c>
      <c r="H41" s="927">
        <f t="shared" ref="H41:M41" si="1">H39/$O$39</f>
        <v>0.2780807276079893</v>
      </c>
      <c r="I41" s="927">
        <f t="shared" si="1"/>
        <v>0.19558516358513939</v>
      </c>
      <c r="J41" s="927">
        <f t="shared" si="1"/>
        <v>0.33485442169210206</v>
      </c>
      <c r="K41" s="927">
        <f t="shared" si="1"/>
        <v>9.7040830515950097E-2</v>
      </c>
      <c r="L41" s="927">
        <f t="shared" si="1"/>
        <v>7.6011762628317825E-2</v>
      </c>
      <c r="M41" s="927">
        <f t="shared" si="1"/>
        <v>1.8427093970501292E-2</v>
      </c>
      <c r="N41" s="927"/>
      <c r="O41" s="53">
        <f>SUM(H41:M41)</f>
        <v>0.99999999999999989</v>
      </c>
      <c r="P41" s="136">
        <f>ROW()</f>
        <v>41</v>
      </c>
    </row>
    <row r="42" spans="2:69" ht="12">
      <c r="H42" s="927"/>
      <c r="I42" s="927"/>
      <c r="J42" s="927"/>
      <c r="K42" s="927"/>
      <c r="L42" s="927"/>
      <c r="M42" s="927"/>
      <c r="N42" s="927"/>
      <c r="O42" s="607"/>
      <c r="P42" s="136">
        <f>ROW()</f>
        <v>42</v>
      </c>
    </row>
    <row r="43" spans="2:69" ht="12">
      <c r="B43" s="172" t="s">
        <v>1236</v>
      </c>
      <c r="H43" s="575"/>
      <c r="I43" s="575"/>
      <c r="J43" s="575"/>
      <c r="K43" s="575"/>
      <c r="O43" s="607"/>
      <c r="P43" s="136">
        <f>ROW()</f>
        <v>43</v>
      </c>
    </row>
    <row r="44" spans="2:69" ht="12">
      <c r="B44" s="281" t="s">
        <v>518</v>
      </c>
      <c r="H44" s="23">
        <f>'Motor Vs'!I96</f>
        <v>0.14285714285714285</v>
      </c>
      <c r="I44" s="23">
        <f>'Motor Vs'!J96</f>
        <v>0.14285714285714285</v>
      </c>
      <c r="J44" s="23">
        <f>'Motor Vs'!K96</f>
        <v>0</v>
      </c>
      <c r="K44" s="605" t="str">
        <f>'Motor Vs'!L96</f>
        <v>N.A.</v>
      </c>
      <c r="L44" s="23">
        <f>'Motor Vs'!M96</f>
        <v>0.2</v>
      </c>
      <c r="M44" s="23">
        <f>'Motor Vs'!N96</f>
        <v>0.5</v>
      </c>
      <c r="N44" s="23"/>
      <c r="O44" s="6"/>
      <c r="P44" s="136">
        <f>ROW()</f>
        <v>44</v>
      </c>
    </row>
    <row r="45" spans="2:69" ht="13.2">
      <c r="B45" s="215" t="s">
        <v>2096</v>
      </c>
      <c r="H45" s="23"/>
      <c r="I45" s="23"/>
      <c r="J45" s="23"/>
      <c r="K45" s="598"/>
      <c r="L45" s="23"/>
      <c r="M45" s="23"/>
      <c r="N45" s="23"/>
      <c r="O45" s="6"/>
      <c r="P45" s="136">
        <f>ROW()</f>
        <v>45</v>
      </c>
      <c r="Q45" s="4954"/>
      <c r="R45" s="4954"/>
      <c r="S45" s="4954"/>
      <c r="T45" s="4954"/>
      <c r="U45" s="4954"/>
      <c r="V45" s="4954"/>
      <c r="W45" s="4954"/>
      <c r="X45" s="4954"/>
    </row>
    <row r="46" spans="2:69" ht="12">
      <c r="B46" s="1052" t="s">
        <v>1453</v>
      </c>
      <c r="C46" s="1053"/>
      <c r="D46" s="1053"/>
      <c r="E46" s="1053"/>
      <c r="F46" s="1053"/>
      <c r="G46" s="1053"/>
      <c r="H46" s="1121">
        <f>H$44*H39</f>
        <v>93132.175386464602</v>
      </c>
      <c r="I46" s="1121">
        <f>I$44*I39</f>
        <v>65503.538899249652</v>
      </c>
      <c r="J46" s="1121">
        <f>J$44*J39</f>
        <v>0</v>
      </c>
      <c r="K46" s="1121">
        <f>Taxis!I368</f>
        <v>1187061.5384615383</v>
      </c>
      <c r="L46" s="1121">
        <f>L$44*L39</f>
        <v>35639.999999999993</v>
      </c>
      <c r="M46" s="1121">
        <f>M$44*M39</f>
        <v>21600</v>
      </c>
      <c r="N46" s="1121"/>
      <c r="O46" s="1054">
        <f>SUM(H46:M46)</f>
        <v>1402937.2527472526</v>
      </c>
      <c r="P46" s="136">
        <f>ROW()</f>
        <v>46</v>
      </c>
    </row>
    <row r="47" spans="2:69" ht="12">
      <c r="B47" s="215" t="str">
        <f>CONCATENATE("Products of percentages in row ",P44, " and miles in row ",P39, ", except taxi figure is from Taxis worksheet.")</f>
        <v>Products of percentages in row 44 and miles in row 39, except taxi figure is from Taxis worksheet.</v>
      </c>
      <c r="H47" s="575"/>
      <c r="I47" s="575"/>
      <c r="J47" s="575"/>
      <c r="K47" s="575"/>
      <c r="L47" s="575"/>
      <c r="M47" s="575"/>
      <c r="N47" s="575"/>
      <c r="O47" s="607"/>
      <c r="P47" s="136">
        <f>ROW()</f>
        <v>47</v>
      </c>
    </row>
    <row r="48" spans="2:69" ht="12">
      <c r="B48" s="281"/>
      <c r="H48" s="575"/>
      <c r="I48" s="575"/>
      <c r="K48" s="575"/>
      <c r="L48" s="575"/>
      <c r="O48" s="607"/>
      <c r="P48" s="136">
        <f>ROW()</f>
        <v>48</v>
      </c>
    </row>
    <row r="49" spans="2:78" ht="13.2">
      <c r="B49" s="24" t="s">
        <v>1244</v>
      </c>
      <c r="H49" s="575"/>
      <c r="P49" s="136">
        <f>ROW()</f>
        <v>49</v>
      </c>
    </row>
    <row r="50" spans="2:78" ht="11.7" customHeight="1">
      <c r="F50" s="4957" t="s">
        <v>1174</v>
      </c>
      <c r="G50" s="4147" t="s">
        <v>459</v>
      </c>
      <c r="H50" s="4147"/>
      <c r="I50" s="4147"/>
      <c r="J50" s="4147"/>
      <c r="K50" s="4147"/>
      <c r="L50" s="4147"/>
      <c r="M50" s="4147"/>
      <c r="N50" s="4147"/>
      <c r="O50" s="4147"/>
      <c r="P50" s="136">
        <f>ROW()</f>
        <v>50</v>
      </c>
    </row>
    <row r="51" spans="2:78">
      <c r="F51" s="4958"/>
      <c r="G51" s="880" t="str">
        <f>'Motor Vs'!G115</f>
        <v>Graveyard</v>
      </c>
      <c r="H51" s="880" t="str">
        <f>'Motor Vs'!H115</f>
        <v>A.M. Pre-pk</v>
      </c>
      <c r="I51" s="880" t="str">
        <f>'Motor Vs'!I115</f>
        <v>A.M. Peak</v>
      </c>
      <c r="J51" s="880" t="str">
        <f>'Motor Vs'!J115</f>
        <v>A.M. Post-pk</v>
      </c>
      <c r="K51" s="880" t="str">
        <f>'Motor Vs'!K115</f>
        <v>Midday Pk</v>
      </c>
      <c r="L51" s="880" t="str">
        <f>'Motor Vs'!L115</f>
        <v>P.M. Peak</v>
      </c>
      <c r="M51" s="880" t="str">
        <f>'Motor Vs'!M115</f>
        <v>P.M. Post-pk</v>
      </c>
      <c r="N51" s="880"/>
      <c r="O51" s="880" t="str">
        <f>'Motor Vs'!N115</f>
        <v>Totals</v>
      </c>
      <c r="P51" s="136">
        <f>ROW()</f>
        <v>51</v>
      </c>
      <c r="Q51" s="880" t="str">
        <f t="shared" ref="Q51:W51" si="2">G51</f>
        <v>Graveyard</v>
      </c>
      <c r="R51" s="880" t="str">
        <f t="shared" si="2"/>
        <v>A.M. Pre-pk</v>
      </c>
      <c r="S51" s="880" t="str">
        <f t="shared" si="2"/>
        <v>A.M. Peak</v>
      </c>
      <c r="T51" s="880" t="str">
        <f t="shared" si="2"/>
        <v>A.M. Post-pk</v>
      </c>
      <c r="U51" s="880" t="str">
        <f t="shared" si="2"/>
        <v>Midday Pk</v>
      </c>
      <c r="V51" s="880" t="str">
        <f t="shared" si="2"/>
        <v>P.M. Peak</v>
      </c>
      <c r="W51" s="880" t="str">
        <f t="shared" si="2"/>
        <v>P.M. Post-pk</v>
      </c>
      <c r="X51" s="880" t="str">
        <f>O51</f>
        <v>Totals</v>
      </c>
      <c r="Z51" s="880" t="str">
        <f t="shared" ref="Z51:AG51" si="3">Q51</f>
        <v>Graveyard</v>
      </c>
      <c r="AA51" s="880" t="str">
        <f t="shared" si="3"/>
        <v>A.M. Pre-pk</v>
      </c>
      <c r="AB51" s="880" t="str">
        <f t="shared" si="3"/>
        <v>A.M. Peak</v>
      </c>
      <c r="AC51" s="880" t="str">
        <f t="shared" si="3"/>
        <v>A.M. Post-pk</v>
      </c>
      <c r="AD51" s="880" t="str">
        <f t="shared" si="3"/>
        <v>Midday Pk</v>
      </c>
      <c r="AE51" s="880" t="str">
        <f t="shared" si="3"/>
        <v>P.M. Peak</v>
      </c>
      <c r="AF51" s="880" t="str">
        <f t="shared" si="3"/>
        <v>P.M. Post-pk</v>
      </c>
      <c r="AG51" s="880" t="str">
        <f t="shared" si="3"/>
        <v>Totals</v>
      </c>
      <c r="AI51" s="880" t="str">
        <f t="shared" ref="AI51:AP51" si="4">Z51</f>
        <v>Graveyard</v>
      </c>
      <c r="AJ51" s="880" t="str">
        <f t="shared" si="4"/>
        <v>A.M. Pre-pk</v>
      </c>
      <c r="AK51" s="880" t="str">
        <f t="shared" si="4"/>
        <v>A.M. Peak</v>
      </c>
      <c r="AL51" s="880" t="str">
        <f t="shared" si="4"/>
        <v>A.M. Post-pk</v>
      </c>
      <c r="AM51" s="880" t="str">
        <f t="shared" si="4"/>
        <v>Midday Pk</v>
      </c>
      <c r="AN51" s="880" t="str">
        <f t="shared" si="4"/>
        <v>P.M. Peak</v>
      </c>
      <c r="AO51" s="880" t="str">
        <f t="shared" si="4"/>
        <v>P.M. Post-pk</v>
      </c>
      <c r="AP51" s="880" t="str">
        <f t="shared" si="4"/>
        <v>Totals</v>
      </c>
      <c r="AR51" s="880" t="str">
        <f t="shared" ref="AR51:AY51" si="5">AI51</f>
        <v>Graveyard</v>
      </c>
      <c r="AS51" s="880" t="str">
        <f t="shared" si="5"/>
        <v>A.M. Pre-pk</v>
      </c>
      <c r="AT51" s="880" t="str">
        <f t="shared" si="5"/>
        <v>A.M. Peak</v>
      </c>
      <c r="AU51" s="880" t="str">
        <f t="shared" si="5"/>
        <v>A.M. Post-pk</v>
      </c>
      <c r="AV51" s="880" t="str">
        <f t="shared" si="5"/>
        <v>Midday Pk</v>
      </c>
      <c r="AW51" s="880" t="str">
        <f t="shared" si="5"/>
        <v>P.M. Peak</v>
      </c>
      <c r="AX51" s="880" t="str">
        <f t="shared" si="5"/>
        <v>P.M. Post-pk</v>
      </c>
      <c r="AY51" s="880" t="str">
        <f t="shared" si="5"/>
        <v>Totals</v>
      </c>
      <c r="BA51" s="880" t="str">
        <f t="shared" ref="BA51:BH51" si="6">AR51</f>
        <v>Graveyard</v>
      </c>
      <c r="BB51" s="880" t="str">
        <f t="shared" si="6"/>
        <v>A.M. Pre-pk</v>
      </c>
      <c r="BC51" s="880" t="str">
        <f t="shared" si="6"/>
        <v>A.M. Peak</v>
      </c>
      <c r="BD51" s="880" t="str">
        <f t="shared" si="6"/>
        <v>A.M. Post-pk</v>
      </c>
      <c r="BE51" s="880" t="str">
        <f t="shared" si="6"/>
        <v>Midday Pk</v>
      </c>
      <c r="BF51" s="880" t="str">
        <f t="shared" si="6"/>
        <v>P.M. Peak</v>
      </c>
      <c r="BG51" s="880" t="str">
        <f t="shared" si="6"/>
        <v>P.M. Post-pk</v>
      </c>
      <c r="BH51" s="880" t="str">
        <f t="shared" si="6"/>
        <v>Totals</v>
      </c>
      <c r="BJ51" s="880" t="str">
        <f t="shared" ref="BJ51:BQ51" si="7">BA51</f>
        <v>Graveyard</v>
      </c>
      <c r="BK51" s="880" t="str">
        <f t="shared" si="7"/>
        <v>A.M. Pre-pk</v>
      </c>
      <c r="BL51" s="880" t="str">
        <f t="shared" si="7"/>
        <v>A.M. Peak</v>
      </c>
      <c r="BM51" s="880" t="str">
        <f t="shared" si="7"/>
        <v>A.M. Post-pk</v>
      </c>
      <c r="BN51" s="880" t="str">
        <f t="shared" si="7"/>
        <v>Midday Pk</v>
      </c>
      <c r="BO51" s="880" t="str">
        <f t="shared" si="7"/>
        <v>P.M. Peak</v>
      </c>
      <c r="BP51" s="880" t="str">
        <f t="shared" si="7"/>
        <v>P.M. Post-pk</v>
      </c>
      <c r="BQ51" s="880" t="str">
        <f t="shared" si="7"/>
        <v>Totals</v>
      </c>
      <c r="BS51" s="880" t="str">
        <f t="shared" ref="BS51:BZ53" si="8">BJ51</f>
        <v>Graveyard</v>
      </c>
      <c r="BT51" s="880" t="str">
        <f t="shared" si="8"/>
        <v>A.M. Pre-pk</v>
      </c>
      <c r="BU51" s="880" t="str">
        <f t="shared" si="8"/>
        <v>A.M. Peak</v>
      </c>
      <c r="BV51" s="880" t="str">
        <f t="shared" si="8"/>
        <v>A.M. Post-pk</v>
      </c>
      <c r="BW51" s="880" t="str">
        <f t="shared" si="8"/>
        <v>Midday Pk</v>
      </c>
      <c r="BX51" s="880" t="str">
        <f t="shared" si="8"/>
        <v>P.M. Peak</v>
      </c>
      <c r="BY51" s="880" t="str">
        <f t="shared" si="8"/>
        <v>P.M. Post-pk</v>
      </c>
      <c r="BZ51" s="880" t="str">
        <f t="shared" si="8"/>
        <v>Totals</v>
      </c>
    </row>
    <row r="52" spans="2:78" s="7" customFormat="1">
      <c r="B52"/>
      <c r="C52"/>
      <c r="D52"/>
      <c r="E52"/>
      <c r="F52" s="4958"/>
      <c r="G52" s="298" t="str">
        <f>'Motor Vs'!G116</f>
        <v>11 pm - 5 am</v>
      </c>
      <c r="H52" s="298" t="str">
        <f>'Motor Vs'!H116</f>
        <v>5 am - 6 am</v>
      </c>
      <c r="I52" s="298" t="str">
        <f>'Motor Vs'!I116</f>
        <v>6 am - 9 am</v>
      </c>
      <c r="J52" s="298" t="str">
        <f>'Motor Vs'!J116</f>
        <v>9 am - 10 am</v>
      </c>
      <c r="K52" s="298" t="str">
        <f>'Motor Vs'!K116</f>
        <v>10 am - 2 pm</v>
      </c>
      <c r="L52" s="298" t="str">
        <f>'Motor Vs'!L116</f>
        <v xml:space="preserve">2 pm - 8 pm </v>
      </c>
      <c r="M52" s="298" t="str">
        <f>'Motor Vs'!M116</f>
        <v>8 pm - 11 pm</v>
      </c>
      <c r="N52" s="298"/>
      <c r="O52" s="298"/>
      <c r="P52" s="136">
        <f>ROW()</f>
        <v>52</v>
      </c>
      <c r="Q52" s="298" t="str">
        <f t="shared" ref="Q52:W53" si="9">G52</f>
        <v>11 pm - 5 am</v>
      </c>
      <c r="R52" s="298" t="str">
        <f t="shared" si="9"/>
        <v>5 am - 6 am</v>
      </c>
      <c r="S52" s="298" t="str">
        <f t="shared" si="9"/>
        <v>6 am - 9 am</v>
      </c>
      <c r="T52" s="298" t="str">
        <f t="shared" si="9"/>
        <v>9 am - 10 am</v>
      </c>
      <c r="U52" s="298" t="str">
        <f t="shared" si="9"/>
        <v>10 am - 2 pm</v>
      </c>
      <c r="V52" s="298" t="str">
        <f t="shared" si="9"/>
        <v xml:space="preserve">2 pm - 8 pm </v>
      </c>
      <c r="W52" s="298" t="str">
        <f t="shared" si="9"/>
        <v>8 pm - 11 pm</v>
      </c>
      <c r="X52" s="298"/>
      <c r="Z52" s="298" t="str">
        <f t="shared" ref="Z52:AF53" si="10">Q52</f>
        <v>11 pm - 5 am</v>
      </c>
      <c r="AA52" s="298" t="str">
        <f t="shared" si="10"/>
        <v>5 am - 6 am</v>
      </c>
      <c r="AB52" s="298" t="str">
        <f t="shared" si="10"/>
        <v>6 am - 9 am</v>
      </c>
      <c r="AC52" s="298" t="str">
        <f t="shared" si="10"/>
        <v>9 am - 10 am</v>
      </c>
      <c r="AD52" s="298" t="str">
        <f t="shared" si="10"/>
        <v>10 am - 2 pm</v>
      </c>
      <c r="AE52" s="298" t="str">
        <f t="shared" si="10"/>
        <v xml:space="preserve">2 pm - 8 pm </v>
      </c>
      <c r="AF52" s="298" t="str">
        <f t="shared" si="10"/>
        <v>8 pm - 11 pm</v>
      </c>
      <c r="AG52" s="298"/>
      <c r="AI52" s="298" t="str">
        <f t="shared" ref="AI52:AO53" si="11">Z52</f>
        <v>11 pm - 5 am</v>
      </c>
      <c r="AJ52" s="298" t="str">
        <f t="shared" si="11"/>
        <v>5 am - 6 am</v>
      </c>
      <c r="AK52" s="298" t="str">
        <f t="shared" si="11"/>
        <v>6 am - 9 am</v>
      </c>
      <c r="AL52" s="298" t="str">
        <f t="shared" si="11"/>
        <v>9 am - 10 am</v>
      </c>
      <c r="AM52" s="298" t="str">
        <f t="shared" si="11"/>
        <v>10 am - 2 pm</v>
      </c>
      <c r="AN52" s="298" t="str">
        <f t="shared" si="11"/>
        <v xml:space="preserve">2 pm - 8 pm </v>
      </c>
      <c r="AO52" s="298" t="str">
        <f t="shared" si="11"/>
        <v>8 pm - 11 pm</v>
      </c>
      <c r="AP52" s="298"/>
      <c r="AR52" s="298" t="str">
        <f t="shared" ref="AR52:AX53" si="12">AI52</f>
        <v>11 pm - 5 am</v>
      </c>
      <c r="AS52" s="298" t="str">
        <f t="shared" si="12"/>
        <v>5 am - 6 am</v>
      </c>
      <c r="AT52" s="298" t="str">
        <f t="shared" si="12"/>
        <v>6 am - 9 am</v>
      </c>
      <c r="AU52" s="298" t="str">
        <f t="shared" si="12"/>
        <v>9 am - 10 am</v>
      </c>
      <c r="AV52" s="298" t="str">
        <f t="shared" si="12"/>
        <v>10 am - 2 pm</v>
      </c>
      <c r="AW52" s="298" t="str">
        <f t="shared" si="12"/>
        <v xml:space="preserve">2 pm - 8 pm </v>
      </c>
      <c r="AX52" s="298" t="str">
        <f t="shared" si="12"/>
        <v>8 pm - 11 pm</v>
      </c>
      <c r="AY52" s="298"/>
      <c r="BA52" s="298" t="str">
        <f t="shared" ref="BA52:BG53" si="13">AR52</f>
        <v>11 pm - 5 am</v>
      </c>
      <c r="BB52" s="298" t="str">
        <f t="shared" si="13"/>
        <v>5 am - 6 am</v>
      </c>
      <c r="BC52" s="298" t="str">
        <f t="shared" si="13"/>
        <v>6 am - 9 am</v>
      </c>
      <c r="BD52" s="298" t="str">
        <f t="shared" si="13"/>
        <v>9 am - 10 am</v>
      </c>
      <c r="BE52" s="298" t="str">
        <f t="shared" si="13"/>
        <v>10 am - 2 pm</v>
      </c>
      <c r="BF52" s="298" t="str">
        <f t="shared" si="13"/>
        <v xml:space="preserve">2 pm - 8 pm </v>
      </c>
      <c r="BG52" s="298" t="str">
        <f t="shared" si="13"/>
        <v>8 pm - 11 pm</v>
      </c>
      <c r="BH52" s="298"/>
      <c r="BJ52" s="298" t="str">
        <f t="shared" ref="BJ52:BP53" si="14">BA52</f>
        <v>11 pm - 5 am</v>
      </c>
      <c r="BK52" s="298" t="str">
        <f t="shared" si="14"/>
        <v>5 am - 6 am</v>
      </c>
      <c r="BL52" s="298" t="str">
        <f t="shared" si="14"/>
        <v>6 am - 9 am</v>
      </c>
      <c r="BM52" s="298" t="str">
        <f t="shared" si="14"/>
        <v>9 am - 10 am</v>
      </c>
      <c r="BN52" s="298" t="str">
        <f t="shared" si="14"/>
        <v>10 am - 2 pm</v>
      </c>
      <c r="BO52" s="298" t="str">
        <f t="shared" si="14"/>
        <v xml:space="preserve">2 pm - 8 pm </v>
      </c>
      <c r="BP52" s="298" t="str">
        <f t="shared" si="14"/>
        <v>8 pm - 11 pm</v>
      </c>
      <c r="BQ52" s="298"/>
      <c r="BS52" s="298" t="str">
        <f t="shared" si="8"/>
        <v>11 pm - 5 am</v>
      </c>
      <c r="BT52" s="298" t="str">
        <f t="shared" si="8"/>
        <v>5 am - 6 am</v>
      </c>
      <c r="BU52" s="298" t="str">
        <f t="shared" si="8"/>
        <v>6 am - 9 am</v>
      </c>
      <c r="BV52" s="298" t="str">
        <f t="shared" si="8"/>
        <v>9 am - 10 am</v>
      </c>
      <c r="BW52" s="298" t="str">
        <f t="shared" si="8"/>
        <v>10 am - 2 pm</v>
      </c>
      <c r="BX52" s="298" t="str">
        <f t="shared" si="8"/>
        <v xml:space="preserve">2 pm - 8 pm </v>
      </c>
      <c r="BY52" s="298" t="str">
        <f t="shared" si="8"/>
        <v>8 pm - 11 pm</v>
      </c>
      <c r="BZ52" s="298"/>
    </row>
    <row r="53" spans="2:78" ht="12">
      <c r="B53" s="6" t="s">
        <v>2677</v>
      </c>
      <c r="D53" s="282" t="s">
        <v>1567</v>
      </c>
      <c r="F53" s="4959"/>
      <c r="G53" s="1210">
        <f>'Motor Vs'!G118</f>
        <v>6</v>
      </c>
      <c r="H53" s="1210">
        <f>'Motor Vs'!H118</f>
        <v>1</v>
      </c>
      <c r="I53" s="1210">
        <f>'Motor Vs'!I118</f>
        <v>3</v>
      </c>
      <c r="J53" s="1210">
        <f>'Motor Vs'!J118</f>
        <v>1</v>
      </c>
      <c r="K53" s="1210">
        <f>'Motor Vs'!K118</f>
        <v>4</v>
      </c>
      <c r="L53" s="1210">
        <f>'Motor Vs'!L118</f>
        <v>6</v>
      </c>
      <c r="M53" s="1210">
        <f>'Motor Vs'!M118</f>
        <v>3</v>
      </c>
      <c r="N53" s="1210"/>
      <c r="O53" s="1210">
        <f>SUM(G53:M53)</f>
        <v>24</v>
      </c>
      <c r="P53" s="136">
        <f>ROW()</f>
        <v>53</v>
      </c>
      <c r="Q53" s="1081">
        <f t="shared" si="9"/>
        <v>6</v>
      </c>
      <c r="R53" s="1081">
        <f t="shared" si="9"/>
        <v>1</v>
      </c>
      <c r="S53" s="1081">
        <f t="shared" si="9"/>
        <v>3</v>
      </c>
      <c r="T53" s="1081">
        <f t="shared" si="9"/>
        <v>1</v>
      </c>
      <c r="U53" s="1081">
        <f t="shared" si="9"/>
        <v>4</v>
      </c>
      <c r="V53" s="1081">
        <f t="shared" si="9"/>
        <v>6</v>
      </c>
      <c r="W53" s="1081">
        <f t="shared" si="9"/>
        <v>3</v>
      </c>
      <c r="X53" s="1081">
        <f>O53</f>
        <v>24</v>
      </c>
      <c r="Z53" s="1081">
        <f t="shared" si="10"/>
        <v>6</v>
      </c>
      <c r="AA53" s="1081">
        <f t="shared" si="10"/>
        <v>1</v>
      </c>
      <c r="AB53" s="1081">
        <f t="shared" si="10"/>
        <v>3</v>
      </c>
      <c r="AC53" s="1081">
        <f t="shared" si="10"/>
        <v>1</v>
      </c>
      <c r="AD53" s="1081">
        <f t="shared" si="10"/>
        <v>4</v>
      </c>
      <c r="AE53" s="1081">
        <f t="shared" si="10"/>
        <v>6</v>
      </c>
      <c r="AF53" s="1081">
        <f t="shared" si="10"/>
        <v>3</v>
      </c>
      <c r="AG53" s="1081">
        <f>X53</f>
        <v>24</v>
      </c>
      <c r="AI53" s="1081">
        <f t="shared" si="11"/>
        <v>6</v>
      </c>
      <c r="AJ53" s="1081">
        <f t="shared" si="11"/>
        <v>1</v>
      </c>
      <c r="AK53" s="1081">
        <f t="shared" si="11"/>
        <v>3</v>
      </c>
      <c r="AL53" s="1081">
        <f t="shared" si="11"/>
        <v>1</v>
      </c>
      <c r="AM53" s="1081">
        <f t="shared" si="11"/>
        <v>4</v>
      </c>
      <c r="AN53" s="1081">
        <f t="shared" si="11"/>
        <v>6</v>
      </c>
      <c r="AO53" s="1081">
        <f t="shared" si="11"/>
        <v>3</v>
      </c>
      <c r="AP53" s="1081">
        <f>AG53</f>
        <v>24</v>
      </c>
      <c r="AR53" s="1081">
        <f t="shared" si="12"/>
        <v>6</v>
      </c>
      <c r="AS53" s="1081">
        <f t="shared" si="12"/>
        <v>1</v>
      </c>
      <c r="AT53" s="1081">
        <f t="shared" si="12"/>
        <v>3</v>
      </c>
      <c r="AU53" s="1081">
        <f t="shared" si="12"/>
        <v>1</v>
      </c>
      <c r="AV53" s="1081">
        <f t="shared" si="12"/>
        <v>4</v>
      </c>
      <c r="AW53" s="1081">
        <f t="shared" si="12"/>
        <v>6</v>
      </c>
      <c r="AX53" s="1081">
        <f t="shared" si="12"/>
        <v>3</v>
      </c>
      <c r="AY53" s="1081">
        <f>AP53</f>
        <v>24</v>
      </c>
      <c r="BA53" s="1081">
        <f t="shared" si="13"/>
        <v>6</v>
      </c>
      <c r="BB53" s="1081">
        <f t="shared" si="13"/>
        <v>1</v>
      </c>
      <c r="BC53" s="1081">
        <f t="shared" si="13"/>
        <v>3</v>
      </c>
      <c r="BD53" s="1081">
        <f t="shared" si="13"/>
        <v>1</v>
      </c>
      <c r="BE53" s="1081">
        <f t="shared" si="13"/>
        <v>4</v>
      </c>
      <c r="BF53" s="1081">
        <f t="shared" si="13"/>
        <v>6</v>
      </c>
      <c r="BG53" s="1081">
        <f t="shared" si="13"/>
        <v>3</v>
      </c>
      <c r="BH53" s="1081">
        <f>AY53</f>
        <v>24</v>
      </c>
      <c r="BJ53" s="1081">
        <f t="shared" si="14"/>
        <v>6</v>
      </c>
      <c r="BK53" s="1081">
        <f t="shared" si="14"/>
        <v>1</v>
      </c>
      <c r="BL53" s="1081">
        <f t="shared" si="14"/>
        <v>3</v>
      </c>
      <c r="BM53" s="1081">
        <f t="shared" si="14"/>
        <v>1</v>
      </c>
      <c r="BN53" s="1081">
        <f t="shared" si="14"/>
        <v>4</v>
      </c>
      <c r="BO53" s="1081">
        <f t="shared" si="14"/>
        <v>6</v>
      </c>
      <c r="BP53" s="1081">
        <f t="shared" si="14"/>
        <v>3</v>
      </c>
      <c r="BQ53" s="1081">
        <f>BH53</f>
        <v>24</v>
      </c>
      <c r="BS53" s="1081">
        <f t="shared" si="8"/>
        <v>6</v>
      </c>
      <c r="BT53" s="1081">
        <f t="shared" si="8"/>
        <v>1</v>
      </c>
      <c r="BU53" s="1081">
        <f t="shared" si="8"/>
        <v>3</v>
      </c>
      <c r="BV53" s="1081">
        <f t="shared" si="8"/>
        <v>1</v>
      </c>
      <c r="BW53" s="1081">
        <f t="shared" si="8"/>
        <v>4</v>
      </c>
      <c r="BX53" s="1081">
        <f t="shared" si="8"/>
        <v>6</v>
      </c>
      <c r="BY53" s="1081">
        <f t="shared" si="8"/>
        <v>3</v>
      </c>
      <c r="BZ53" s="1081">
        <f>BQ53</f>
        <v>24</v>
      </c>
    </row>
    <row r="54" spans="2:78">
      <c r="B54" s="281" t="s">
        <v>1566</v>
      </c>
      <c r="F54" s="1097" t="s">
        <v>1472</v>
      </c>
      <c r="G54" s="1278">
        <f t="shared" ref="G54:M54" si="15">IF($F$54 = G51, 1, 0)</f>
        <v>1</v>
      </c>
      <c r="H54" s="34">
        <f t="shared" si="15"/>
        <v>0</v>
      </c>
      <c r="I54" s="34">
        <f t="shared" si="15"/>
        <v>0</v>
      </c>
      <c r="J54" s="34">
        <f t="shared" si="15"/>
        <v>0</v>
      </c>
      <c r="K54" s="34">
        <f t="shared" si="15"/>
        <v>0</v>
      </c>
      <c r="L54" s="34">
        <f t="shared" si="15"/>
        <v>0</v>
      </c>
      <c r="M54" s="34">
        <f t="shared" si="15"/>
        <v>0</v>
      </c>
      <c r="N54" s="34"/>
      <c r="P54" s="136">
        <f>ROW()</f>
        <v>54</v>
      </c>
    </row>
    <row r="55" spans="2:78" ht="12">
      <c r="B55" s="282"/>
      <c r="C55" s="1197"/>
      <c r="D55" s="1197"/>
      <c r="E55" s="1198" t="s">
        <v>2099</v>
      </c>
      <c r="F55" s="1197">
        <v>0</v>
      </c>
      <c r="G55" s="34">
        <f t="shared" ref="G55:M55" si="16">1-G54+(1-$F55)*G54</f>
        <v>1</v>
      </c>
      <c r="H55" s="34">
        <f t="shared" si="16"/>
        <v>1</v>
      </c>
      <c r="I55" s="34">
        <f t="shared" si="16"/>
        <v>1</v>
      </c>
      <c r="J55" s="34">
        <f t="shared" si="16"/>
        <v>1</v>
      </c>
      <c r="K55" s="34">
        <f t="shared" si="16"/>
        <v>1</v>
      </c>
      <c r="L55" s="34">
        <f t="shared" si="16"/>
        <v>1</v>
      </c>
      <c r="M55" s="34">
        <f t="shared" si="16"/>
        <v>1</v>
      </c>
      <c r="N55" s="34"/>
      <c r="P55" s="136">
        <f>ROW()</f>
        <v>55</v>
      </c>
      <c r="Q55" s="4147" t="s">
        <v>1599</v>
      </c>
      <c r="R55" s="4147"/>
      <c r="S55" s="4147"/>
      <c r="T55" s="4147"/>
      <c r="U55" s="4147"/>
      <c r="V55" s="4147"/>
      <c r="W55" s="4147"/>
      <c r="X55" s="4147"/>
      <c r="Z55" s="4147" t="s">
        <v>1600</v>
      </c>
      <c r="AA55" s="4147"/>
      <c r="AB55" s="4147"/>
      <c r="AC55" s="4147"/>
      <c r="AD55" s="4147"/>
      <c r="AE55" s="4147"/>
      <c r="AF55" s="4147"/>
      <c r="AG55" s="4147"/>
      <c r="AI55" s="4147" t="s">
        <v>1408</v>
      </c>
      <c r="AJ55" s="4147"/>
      <c r="AK55" s="4147"/>
      <c r="AL55" s="4147"/>
      <c r="AM55" s="4147"/>
      <c r="AN55" s="4147"/>
      <c r="AO55" s="4147"/>
      <c r="AP55" s="4147"/>
      <c r="AR55" s="4147" t="s">
        <v>372</v>
      </c>
      <c r="AS55" s="4147"/>
      <c r="AT55" s="4147"/>
      <c r="AU55" s="4147"/>
      <c r="AV55" s="4147"/>
      <c r="AW55" s="4147"/>
      <c r="AX55" s="4147"/>
      <c r="AY55" s="4147"/>
      <c r="BA55" s="4147" t="s">
        <v>372</v>
      </c>
      <c r="BB55" s="4147"/>
      <c r="BC55" s="4147"/>
      <c r="BD55" s="4147"/>
      <c r="BE55" s="4147"/>
      <c r="BF55" s="4147"/>
      <c r="BG55" s="4147"/>
      <c r="BH55" s="4147"/>
      <c r="BJ55" s="4147" t="s">
        <v>372</v>
      </c>
      <c r="BK55" s="4147"/>
      <c r="BL55" s="4147"/>
      <c r="BM55" s="4147"/>
      <c r="BN55" s="4147"/>
      <c r="BO55" s="4147"/>
      <c r="BP55" s="4147"/>
      <c r="BQ55" s="4147"/>
    </row>
    <row r="56" spans="2:78" ht="12">
      <c r="B56" s="1199"/>
      <c r="G56" s="34"/>
      <c r="H56" s="34"/>
      <c r="I56" s="34"/>
      <c r="J56" s="34"/>
      <c r="K56" s="34"/>
      <c r="L56" s="34"/>
      <c r="M56" s="34"/>
      <c r="N56" s="34"/>
      <c r="P56" s="136">
        <f>ROW()</f>
        <v>56</v>
      </c>
      <c r="Q56" s="6"/>
      <c r="Z56" s="6"/>
      <c r="AI56" s="6"/>
      <c r="AR56" s="6"/>
      <c r="BA56" s="6"/>
    </row>
    <row r="57" spans="2:78" ht="12">
      <c r="B57" s="172" t="s">
        <v>1181</v>
      </c>
      <c r="P57" s="136">
        <f>ROW()</f>
        <v>57</v>
      </c>
      <c r="AA57">
        <f t="shared" ref="AA57:AF57" si="17">H54*$I32</f>
        <v>0</v>
      </c>
      <c r="AB57">
        <f t="shared" si="17"/>
        <v>0</v>
      </c>
      <c r="AC57">
        <f t="shared" si="17"/>
        <v>0</v>
      </c>
      <c r="AD57">
        <f t="shared" si="17"/>
        <v>0</v>
      </c>
      <c r="AE57">
        <f t="shared" si="17"/>
        <v>0</v>
      </c>
      <c r="AF57">
        <f t="shared" si="17"/>
        <v>0</v>
      </c>
    </row>
    <row r="58" spans="2:78" ht="12">
      <c r="B58" s="281" t="s">
        <v>664</v>
      </c>
      <c r="G58" s="1133">
        <f>Q58+Z58+AI58+AR58+BA58+BJ58+BS58</f>
        <v>177218.59835016087</v>
      </c>
      <c r="H58" s="1133">
        <f t="shared" ref="H58:M58" si="18">R58+AA58+AJ58+AS58+BB58+BK58+BT58</f>
        <v>23740.658808564047</v>
      </c>
      <c r="I58" s="1133">
        <f t="shared" si="18"/>
        <v>136924.55897294724</v>
      </c>
      <c r="J58" s="1133">
        <f t="shared" si="18"/>
        <v>40512.379551278544</v>
      </c>
      <c r="K58" s="1133">
        <f t="shared" si="18"/>
        <v>130765.40160253692</v>
      </c>
      <c r="L58" s="1133">
        <f t="shared" si="18"/>
        <v>212152.11722629282</v>
      </c>
      <c r="M58" s="1133">
        <f t="shared" si="18"/>
        <v>73761.28548821951</v>
      </c>
      <c r="N58" s="1133"/>
      <c r="O58" s="186">
        <f>SUM(G58:M58)</f>
        <v>795074.99999999988</v>
      </c>
      <c r="P58" s="136">
        <f>ROW()</f>
        <v>58</v>
      </c>
      <c r="Q58" s="10">
        <f>$H$30*('Weekday Hours'!T54+SUM('Weekday Hours'!T31:T35))+G54*H32</f>
        <v>9068.1174994694829</v>
      </c>
      <c r="R58" s="10">
        <f>$H$30*'Weekday Hours'!T36+H54*H32</f>
        <v>13701.42345159903</v>
      </c>
      <c r="S58" s="10">
        <f>$H$30*SUM('Weekday Hours'!T37:T39)+I54*H32</f>
        <v>84305.82877863734</v>
      </c>
      <c r="T58" s="10">
        <f>$H$30*'Weekday Hours'!T40+J54*H32</f>
        <v>20257.946865114682</v>
      </c>
      <c r="U58" s="10">
        <f>$H$30*SUM('Weekday Hours'!T41:T44)+K54*H32</f>
        <v>55279.929341131465</v>
      </c>
      <c r="V58" s="10">
        <f>$H$30*SUM('Weekday Hours'!T45:T50)+L54*H32</f>
        <v>61152.001026197337</v>
      </c>
      <c r="W58" s="10">
        <f>$H$30*SUM('Weekday Hours'!T51:T53)+M54*H32</f>
        <v>17004.844119951587</v>
      </c>
      <c r="X58" s="10">
        <f>SUM(Q58:W58)</f>
        <v>260770.09108210093</v>
      </c>
      <c r="Z58" s="10">
        <f>I30*('Weekday Hours'!U54+SUM('Weekday Hours'!U31:U35))+G54*$I32</f>
        <v>18566.423617388937</v>
      </c>
      <c r="AA58" s="10">
        <f>I30*'Weekday Hours'!U36+H54*$I32</f>
        <v>1864.4728120161126</v>
      </c>
      <c r="AB58" s="10">
        <f>I30*SUM('Weekday Hours'!U37:U39)+I54*$I32</f>
        <v>15779.78576675158</v>
      </c>
      <c r="AC58" s="10">
        <f>I30*'Weekday Hours'!U40+J54*$I32</f>
        <v>9359.5731989194483</v>
      </c>
      <c r="AD58" s="10">
        <f>I30*SUM('Weekday Hours'!U41:U44)+K54*$I32</f>
        <v>35355.069843840189</v>
      </c>
      <c r="AE58" s="10">
        <f>I30*SUM('Weekday Hours'!U45:U50)+L54*$I32</f>
        <v>78029.14507383731</v>
      </c>
      <c r="AF58" s="10">
        <f>I30*SUM('Weekday Hours'!U51:U53)+M54*$I32</f>
        <v>24455.438605145464</v>
      </c>
      <c r="AG58" s="10">
        <f>SUM(Z58:AF58)</f>
        <v>183409.90891789904</v>
      </c>
      <c r="AI58" s="10">
        <f>J30*('Weekday Hours'!V54+SUM('Weekday Hours'!V31:V35))+G54*J32</f>
        <v>140392.59623558569</v>
      </c>
      <c r="AJ58" s="10">
        <f>J30*'Weekday Hours'!V36+H54*J32</f>
        <v>4471.3522387946341</v>
      </c>
      <c r="AK58" s="10">
        <f>J30*SUM('Weekday Hours'!V37:V39)+I54*J32</f>
        <v>15475.807670001774</v>
      </c>
      <c r="AL58" s="10">
        <f>J30*'Weekday Hours'!V40+J54*J32</f>
        <v>4576.8615967768628</v>
      </c>
      <c r="AM58" s="10">
        <f>J30*SUM('Weekday Hours'!V41:V44)+K54*J32</f>
        <v>19680.187644978312</v>
      </c>
      <c r="AN58" s="10">
        <f>J30*SUM('Weekday Hours'!V45:V50)+L54*J32</f>
        <v>39912.953228717008</v>
      </c>
      <c r="AO58" s="10">
        <f>J30*SUM('Weekday Hours'!V51:V53)+M54*J32</f>
        <v>20810.241385145731</v>
      </c>
      <c r="AP58" s="10">
        <f>SUM(AI58:AO58)</f>
        <v>245320.00000000003</v>
      </c>
      <c r="AR58" s="1133">
        <f>K30*('Weekday Hours'!D54+SUM('Weekday Hours'!D31:D35))</f>
        <v>5662.9854488302353</v>
      </c>
      <c r="AS58" s="1133">
        <f>K30*'Weekday Hours'!D36</f>
        <v>2281.7219895737198</v>
      </c>
      <c r="AT58" s="10">
        <f>K30*SUM('Weekday Hours'!D37:D39)</f>
        <v>13162.122172902134</v>
      </c>
      <c r="AU58" s="1133">
        <f>K30*'Weekday Hours'!D40</f>
        <v>3892.6053353591542</v>
      </c>
      <c r="AV58" s="1133">
        <f>K30*SUM('Weekday Hours'!D41:D44)</f>
        <v>12553.4498598877</v>
      </c>
      <c r="AW58" s="1133">
        <f>K30*SUM('Weekday Hours'!D45:D50)</f>
        <v>20367.499178579874</v>
      </c>
      <c r="AX58" s="1133">
        <f>K30*SUM('Weekday Hours'!D51:D53)</f>
        <v>7079.6160148671806</v>
      </c>
      <c r="AY58" s="10">
        <f>SUM(AR58:AX58)</f>
        <v>65000</v>
      </c>
      <c r="BA58" s="10">
        <f>$L$31*('Weekday Hours'!D54+SUM('Weekday Hours'!D31:D35))</f>
        <v>2587.5487358501227</v>
      </c>
      <c r="BB58" s="10">
        <f>$L$31*'Weekday Hours'!D36</f>
        <v>1042.5714321590688</v>
      </c>
      <c r="BC58" s="10">
        <f>$L$31*SUM('Weekday Hours'!D37:D39)</f>
        <v>6014.0773620798982</v>
      </c>
      <c r="BD58" s="10">
        <f>$L$31*'Weekday Hours'!D40</f>
        <v>1778.6212070794902</v>
      </c>
      <c r="BE58" s="10">
        <f>$L$31*SUM('Weekday Hours'!D41:D44)</f>
        <v>5735.9609359794567</v>
      </c>
      <c r="BF58" s="10">
        <f>$L$31*SUM('Weekday Hours'!D45:D50)</f>
        <v>9306.3803939049558</v>
      </c>
      <c r="BG58" s="10">
        <f>$L$31*SUM('Weekday Hours'!D51:D53)</f>
        <v>3234.8399329470039</v>
      </c>
      <c r="BH58" s="10">
        <f>SUM(BA58:BG58)</f>
        <v>29700</v>
      </c>
      <c r="BJ58" s="10">
        <f>$M$31*('Weekday Hours'!D54+SUM('Weekday Hours'!D31:D35))</f>
        <v>940.92681303640836</v>
      </c>
      <c r="BK58" s="10">
        <f>$M$31*'Weekday Hours'!D36</f>
        <v>379.1168844214796</v>
      </c>
      <c r="BL58" s="10">
        <f>$M$31*SUM('Weekday Hours'!D37:D39)</f>
        <v>2186.9372225745087</v>
      </c>
      <c r="BM58" s="10">
        <f>$M$31*'Weekday Hours'!D40</f>
        <v>646.77134802890566</v>
      </c>
      <c r="BN58" s="10">
        <f>$M$31*SUM('Weekday Hours'!D41:D44)</f>
        <v>2085.8039767198024</v>
      </c>
      <c r="BO58" s="10">
        <f>$M$31*SUM('Weekday Hours'!D45:D50)</f>
        <v>3384.1383250563481</v>
      </c>
      <c r="BP58" s="10">
        <f>$M$31*SUM('Weekday Hours'!D51:D53)</f>
        <v>1176.3054301625471</v>
      </c>
      <c r="BQ58" s="10">
        <f>SUM(BJ58:BP58)</f>
        <v>10800</v>
      </c>
      <c r="BS58">
        <v>0</v>
      </c>
      <c r="BT58">
        <v>0</v>
      </c>
      <c r="BU58">
        <v>0</v>
      </c>
      <c r="BV58">
        <v>0</v>
      </c>
      <c r="BW58" s="10">
        <f>N26</f>
        <v>75</v>
      </c>
      <c r="BX58">
        <v>0</v>
      </c>
      <c r="BY58">
        <v>0</v>
      </c>
      <c r="BZ58">
        <f>SUM(BS58:BY58)</f>
        <v>75</v>
      </c>
    </row>
    <row r="59" spans="2:78">
      <c r="B59" s="309" t="s">
        <v>1557</v>
      </c>
      <c r="P59" s="136">
        <f>ROW()</f>
        <v>59</v>
      </c>
      <c r="Q59" s="282" t="s">
        <v>100</v>
      </c>
      <c r="Z59" s="282" t="s">
        <v>101</v>
      </c>
      <c r="AI59" s="282" t="s">
        <v>1601</v>
      </c>
      <c r="BA59" s="616"/>
      <c r="BJ59" s="282"/>
    </row>
    <row r="60" spans="2:78" ht="12">
      <c r="B60" s="1052" t="s">
        <v>979</v>
      </c>
      <c r="C60" s="1053"/>
      <c r="D60" s="1053"/>
      <c r="E60" s="1053"/>
      <c r="F60" s="1053"/>
      <c r="G60" s="1178">
        <f>Q60+Z60+AI60+AR60+BA60+BJ60+BS60</f>
        <v>280141.80110429379</v>
      </c>
      <c r="H60" s="1178">
        <f t="shared" ref="H60:M60" si="19">R60+AA60+AJ60+AS60+BB60+BK60+BT60</f>
        <v>35060.925956057952</v>
      </c>
      <c r="I60" s="1178">
        <f t="shared" si="19"/>
        <v>198608.66133093197</v>
      </c>
      <c r="J60" s="1178">
        <f t="shared" si="19"/>
        <v>58759.495622900235</v>
      </c>
      <c r="K60" s="1178">
        <f t="shared" si="19"/>
        <v>191508.43969433324</v>
      </c>
      <c r="L60" s="1178">
        <f t="shared" si="19"/>
        <v>313259.57397997787</v>
      </c>
      <c r="M60" s="1178">
        <f t="shared" si="19"/>
        <v>111338.10231150493</v>
      </c>
      <c r="N60" s="1178"/>
      <c r="O60" s="1054">
        <f>SUM(G60:M60)</f>
        <v>1188677</v>
      </c>
      <c r="P60" s="136">
        <f>ROW()</f>
        <v>60</v>
      </c>
      <c r="Q60" s="10">
        <f t="shared" ref="Q60:W60" si="20">Q58*$H$34</f>
        <v>11335.146874336853</v>
      </c>
      <c r="R60" s="10">
        <f t="shared" si="20"/>
        <v>17126.779314498788</v>
      </c>
      <c r="S60" s="10">
        <f t="shared" si="20"/>
        <v>105382.28597329668</v>
      </c>
      <c r="T60" s="10">
        <f t="shared" si="20"/>
        <v>25322.43358139335</v>
      </c>
      <c r="U60" s="10">
        <f t="shared" si="20"/>
        <v>69099.911676414325</v>
      </c>
      <c r="V60" s="10">
        <f t="shared" si="20"/>
        <v>76440.001282746671</v>
      </c>
      <c r="W60" s="10">
        <f t="shared" si="20"/>
        <v>21256.055149939486</v>
      </c>
      <c r="X60" s="10">
        <f>SUM(Q60:W60)</f>
        <v>325962.61385262618</v>
      </c>
      <c r="Z60" s="10">
        <f t="shared" ref="Z60:AF60" si="21">Z58*$I$34</f>
        <v>23208.029521736171</v>
      </c>
      <c r="AA60" s="10">
        <f t="shared" si="21"/>
        <v>2330.5910150201407</v>
      </c>
      <c r="AB60" s="10">
        <f t="shared" si="21"/>
        <v>19724.732208439476</v>
      </c>
      <c r="AC60" s="10">
        <f t="shared" si="21"/>
        <v>11699.46649864931</v>
      </c>
      <c r="AD60" s="10">
        <f t="shared" si="21"/>
        <v>44193.83730480024</v>
      </c>
      <c r="AE60" s="10">
        <f t="shared" si="21"/>
        <v>97536.431342296637</v>
      </c>
      <c r="AF60" s="10">
        <f t="shared" si="21"/>
        <v>30569.29825643183</v>
      </c>
      <c r="AG60" s="10">
        <f>SUM(Z60:AF60)</f>
        <v>229262.38614737382</v>
      </c>
      <c r="AI60" s="10">
        <f t="shared" ref="AI60:AO60" si="22">AI58*$J$34</f>
        <v>224628.15397693712</v>
      </c>
      <c r="AJ60" s="10">
        <f t="shared" si="22"/>
        <v>7154.1635820714146</v>
      </c>
      <c r="AK60" s="10">
        <f t="shared" si="22"/>
        <v>24761.29227200284</v>
      </c>
      <c r="AL60" s="10">
        <f t="shared" si="22"/>
        <v>7322.9785548429809</v>
      </c>
      <c r="AM60" s="10">
        <f t="shared" si="22"/>
        <v>31488.300231965302</v>
      </c>
      <c r="AN60" s="10">
        <f t="shared" si="22"/>
        <v>63860.725165947217</v>
      </c>
      <c r="AO60" s="10">
        <f t="shared" si="22"/>
        <v>33296.386216233172</v>
      </c>
      <c r="AP60" s="10">
        <f>SUM(AI60:AO60)</f>
        <v>392512.00000000012</v>
      </c>
      <c r="AR60" s="10">
        <f t="shared" ref="AR60:AX60" si="23">AR58*$K$34</f>
        <v>11325.970897660471</v>
      </c>
      <c r="AS60" s="10">
        <f t="shared" si="23"/>
        <v>4563.4439791474397</v>
      </c>
      <c r="AT60" s="10">
        <f t="shared" si="23"/>
        <v>26324.244345804269</v>
      </c>
      <c r="AU60" s="10">
        <f t="shared" si="23"/>
        <v>7785.2106707183084</v>
      </c>
      <c r="AV60" s="10">
        <f t="shared" si="23"/>
        <v>25106.8997197754</v>
      </c>
      <c r="AW60" s="10">
        <f t="shared" si="23"/>
        <v>40734.998357159748</v>
      </c>
      <c r="AX60" s="10">
        <f t="shared" si="23"/>
        <v>14159.232029734361</v>
      </c>
      <c r="AY60" s="10">
        <f>SUM(AR60:AX60)</f>
        <v>130000</v>
      </c>
      <c r="BA60" s="10">
        <f t="shared" ref="BA60:BG60" si="24">BA58*$L$34</f>
        <v>7762.6462075503678</v>
      </c>
      <c r="BB60" s="10">
        <f t="shared" si="24"/>
        <v>3127.7142964772065</v>
      </c>
      <c r="BC60" s="10">
        <f t="shared" si="24"/>
        <v>18042.232086239695</v>
      </c>
      <c r="BD60" s="10">
        <f t="shared" si="24"/>
        <v>5335.8636212384708</v>
      </c>
      <c r="BE60" s="10">
        <f t="shared" si="24"/>
        <v>17207.882807938371</v>
      </c>
      <c r="BF60" s="10">
        <f t="shared" si="24"/>
        <v>27919.141181714869</v>
      </c>
      <c r="BG60" s="10">
        <f t="shared" si="24"/>
        <v>9704.5197988410109</v>
      </c>
      <c r="BH60" s="10">
        <f>SUM(BA60:BG60)</f>
        <v>89100</v>
      </c>
      <c r="BJ60" s="10">
        <f t="shared" ref="BJ60:BP60" si="25">BJ58*$M$34</f>
        <v>1881.8536260728167</v>
      </c>
      <c r="BK60" s="10">
        <f t="shared" si="25"/>
        <v>758.23376884295919</v>
      </c>
      <c r="BL60" s="10">
        <f t="shared" si="25"/>
        <v>4373.8744451490174</v>
      </c>
      <c r="BM60" s="10">
        <f t="shared" si="25"/>
        <v>1293.5426960578113</v>
      </c>
      <c r="BN60" s="10">
        <f t="shared" si="25"/>
        <v>4171.6079534396049</v>
      </c>
      <c r="BO60" s="10">
        <f t="shared" si="25"/>
        <v>6768.2766501126962</v>
      </c>
      <c r="BP60" s="10">
        <f t="shared" si="25"/>
        <v>2352.6108603250941</v>
      </c>
      <c r="BQ60" s="10">
        <f>SUM(BJ60:BP60)</f>
        <v>21600</v>
      </c>
      <c r="BS60">
        <f>BS58*$N34</f>
        <v>0</v>
      </c>
      <c r="BT60">
        <f t="shared" ref="BT60:BY60" si="26">BT58*$N34</f>
        <v>0</v>
      </c>
      <c r="BU60">
        <f t="shared" si="26"/>
        <v>0</v>
      </c>
      <c r="BV60">
        <f t="shared" si="26"/>
        <v>0</v>
      </c>
      <c r="BW60">
        <f t="shared" si="26"/>
        <v>240</v>
      </c>
      <c r="BX60">
        <f t="shared" si="26"/>
        <v>0</v>
      </c>
      <c r="BY60">
        <f t="shared" si="26"/>
        <v>0</v>
      </c>
      <c r="BZ60">
        <f>SUM(BS60:BY60)</f>
        <v>240</v>
      </c>
    </row>
    <row r="61" spans="2:78">
      <c r="B61" s="309" t="str">
        <f>CONCATENATE("Daily cordon entries in Row ",P58," times Cordon VMT per entry in Row ",P$34,".")</f>
        <v>Daily cordon entries in Row 58 times Cordon VMT per entry in Row 34.</v>
      </c>
      <c r="O61" s="138"/>
      <c r="P61" s="136">
        <f>ROW()</f>
        <v>61</v>
      </c>
      <c r="Q61" s="10"/>
      <c r="R61" s="10"/>
      <c r="S61" s="10"/>
      <c r="T61" s="10"/>
      <c r="U61" s="10"/>
      <c r="V61" s="10"/>
      <c r="W61" s="10"/>
      <c r="X61" s="10"/>
      <c r="Z61" s="10"/>
      <c r="AA61" s="10"/>
      <c r="AB61" s="10"/>
      <c r="AC61" s="10"/>
      <c r="AD61" s="10"/>
      <c r="AE61" s="10"/>
      <c r="AF61" s="10"/>
      <c r="AG61" s="10"/>
      <c r="AI61" s="10"/>
      <c r="AJ61" s="10"/>
      <c r="AK61" s="10"/>
      <c r="AL61" s="10"/>
      <c r="AM61" s="10"/>
      <c r="AN61" s="10"/>
      <c r="AO61" s="10"/>
      <c r="AP61" s="10"/>
      <c r="AR61" s="282"/>
      <c r="AS61" s="10"/>
      <c r="AT61" s="10"/>
      <c r="AU61" s="10"/>
      <c r="AV61" s="10"/>
      <c r="AW61" s="10"/>
      <c r="AX61" s="10"/>
      <c r="AY61" s="10"/>
      <c r="BA61" s="10"/>
      <c r="BB61" s="10"/>
      <c r="BC61" s="10"/>
      <c r="BD61" s="10"/>
      <c r="BE61" s="10"/>
      <c r="BF61" s="10"/>
      <c r="BG61" s="10"/>
      <c r="BH61" s="10"/>
      <c r="BJ61" s="10"/>
      <c r="BK61" s="10"/>
      <c r="BL61" s="10"/>
      <c r="BM61" s="10"/>
      <c r="BN61" s="10"/>
      <c r="BO61" s="10"/>
      <c r="BP61" s="10"/>
      <c r="BQ61" s="10"/>
    </row>
    <row r="62" spans="2:78">
      <c r="B62" s="281"/>
      <c r="G62" s="1179"/>
      <c r="H62" s="1179"/>
      <c r="I62" s="1179"/>
      <c r="J62" s="1179"/>
      <c r="K62" s="1179"/>
      <c r="L62" s="1179"/>
      <c r="M62" s="1179"/>
      <c r="N62" s="1179"/>
      <c r="O62" s="679"/>
      <c r="P62" s="136">
        <f>ROW()</f>
        <v>62</v>
      </c>
      <c r="Q62" s="10"/>
      <c r="R62" s="10"/>
      <c r="S62" s="10"/>
      <c r="T62" s="10"/>
      <c r="U62" s="10"/>
      <c r="V62" s="10"/>
      <c r="W62" s="10"/>
      <c r="X62" s="10"/>
      <c r="Z62" s="10"/>
      <c r="AA62" s="10"/>
      <c r="AB62" s="10"/>
      <c r="AC62" s="10"/>
      <c r="AD62" s="10"/>
      <c r="AE62" s="10"/>
      <c r="AF62" s="10"/>
      <c r="AG62" s="10"/>
      <c r="AI62" s="10"/>
      <c r="AJ62" s="10"/>
      <c r="AK62" s="10"/>
      <c r="AL62" s="10"/>
      <c r="AM62" s="10"/>
      <c r="AN62" s="10"/>
      <c r="AO62" s="10"/>
      <c r="AP62" s="10"/>
      <c r="AR62" s="282"/>
      <c r="AS62" s="10"/>
      <c r="AT62" s="10"/>
      <c r="AU62" s="10"/>
      <c r="AV62" s="10"/>
      <c r="AW62" s="10"/>
      <c r="AX62" s="10"/>
      <c r="AY62" s="10"/>
      <c r="BA62" s="10"/>
      <c r="BB62" s="10"/>
      <c r="BC62" s="10"/>
      <c r="BD62" s="10"/>
      <c r="BE62" s="10"/>
      <c r="BF62" s="10"/>
      <c r="BG62" s="10"/>
      <c r="BH62" s="10"/>
      <c r="BJ62" s="10"/>
      <c r="BK62" s="10"/>
      <c r="BL62" s="10"/>
      <c r="BM62" s="10"/>
      <c r="BN62" s="10"/>
      <c r="BO62" s="10"/>
      <c r="BP62" s="10"/>
      <c r="BQ62" s="10"/>
    </row>
    <row r="63" spans="2:78" ht="12">
      <c r="B63" s="172" t="s">
        <v>907</v>
      </c>
      <c r="G63" s="138"/>
      <c r="H63" s="138"/>
      <c r="I63" s="138"/>
      <c r="J63" s="138"/>
      <c r="K63" s="138"/>
      <c r="L63" s="138"/>
      <c r="M63" s="138"/>
      <c r="N63" s="138"/>
      <c r="O63" s="138"/>
      <c r="P63" s="136">
        <f>ROW()</f>
        <v>63</v>
      </c>
      <c r="Q63" s="10"/>
      <c r="R63" s="10"/>
      <c r="S63" s="10"/>
      <c r="T63" s="10"/>
      <c r="U63" s="10"/>
      <c r="V63" s="10"/>
      <c r="W63" s="10"/>
      <c r="X63" s="10"/>
      <c r="Z63" s="10"/>
      <c r="AA63" s="10"/>
      <c r="AB63" s="10"/>
      <c r="AC63" s="10"/>
      <c r="AD63" s="10"/>
      <c r="AE63" s="10"/>
      <c r="AF63" s="10"/>
      <c r="AG63" s="10"/>
      <c r="AI63" s="10"/>
      <c r="AJ63" s="10"/>
      <c r="AK63" s="10"/>
      <c r="AL63" s="10"/>
      <c r="AM63" s="10"/>
      <c r="AN63" s="10"/>
      <c r="AO63" s="10"/>
      <c r="AP63" s="10"/>
      <c r="AR63" s="10"/>
      <c r="AS63" s="10"/>
      <c r="AT63" s="10"/>
      <c r="AU63" s="10"/>
      <c r="AV63" s="10"/>
      <c r="AW63" s="10"/>
      <c r="AX63" s="10"/>
      <c r="AY63" s="10"/>
      <c r="BA63" s="10"/>
      <c r="BB63" s="10"/>
      <c r="BC63" s="10"/>
      <c r="BD63" s="10"/>
      <c r="BE63" s="10"/>
      <c r="BF63" s="10"/>
      <c r="BG63" s="10"/>
      <c r="BH63" s="10"/>
      <c r="BJ63" s="10"/>
      <c r="BK63" s="10"/>
      <c r="BL63" s="10"/>
      <c r="BM63" s="10"/>
      <c r="BN63" s="10"/>
      <c r="BO63" s="10"/>
      <c r="BP63" s="10"/>
      <c r="BQ63" s="10"/>
    </row>
    <row r="64" spans="2:78" ht="12">
      <c r="B64" s="281" t="s">
        <v>2515</v>
      </c>
      <c r="G64" s="1133">
        <f>Q64+Z64+AI64+AR64+BA64+BJ64+BS64</f>
        <v>95949.325542329039</v>
      </c>
      <c r="H64" s="1133">
        <f t="shared" ref="H64:M64" si="27">R64+AA64+AJ64+AS64+BB64+BK64+BT64</f>
        <v>18637.086819896926</v>
      </c>
      <c r="I64" s="1133">
        <f t="shared" si="27"/>
        <v>107418.18866467894</v>
      </c>
      <c r="J64" s="1133">
        <f t="shared" si="27"/>
        <v>33960.17545946368</v>
      </c>
      <c r="K64" s="1133">
        <f t="shared" si="27"/>
        <v>137188.58800605527</v>
      </c>
      <c r="L64" s="1133">
        <f t="shared" si="27"/>
        <v>289062.12089519104</v>
      </c>
      <c r="M64" s="1133">
        <f t="shared" si="27"/>
        <v>112859.51461238507</v>
      </c>
      <c r="N64" s="138"/>
      <c r="O64" s="186">
        <f>SUM(G64:M64)</f>
        <v>795075</v>
      </c>
      <c r="P64" s="136">
        <f>ROW()</f>
        <v>64</v>
      </c>
      <c r="Q64" s="10">
        <f>(H30+G55*H32)*('Weekday Hours'!L54+SUM('Weekday Hours'!L31:L35))</f>
        <v>32252.023465275648</v>
      </c>
      <c r="R64" s="10">
        <f>(H30+H55*H32)*'Weekday Hours'!L36</f>
        <v>5842.452022581333</v>
      </c>
      <c r="S64" s="10">
        <f>(H30+I55*H32)*SUM('Weekday Hours'!L37:L39)</f>
        <v>33670.086361782465</v>
      </c>
      <c r="T64" s="10">
        <f>(H30+J55*H32)*'Weekday Hours'!L40</f>
        <v>10740.716438192047</v>
      </c>
      <c r="U64" s="10">
        <f>(H30+K55*H32)*SUM('Weekday Hours'!L41:L44)</f>
        <v>44522.077159460743</v>
      </c>
      <c r="V64" s="10">
        <f>(H30+L55*H32)*SUM('Weekday Hours'!L45:L50)</f>
        <v>95982.905449741578</v>
      </c>
      <c r="W64" s="10">
        <f>(H30+M55*H32)*SUM('Weekday Hours'!L51:L53)</f>
        <v>37759.830185067105</v>
      </c>
      <c r="X64" s="10">
        <f>SUM(Q64:W64)</f>
        <v>260770.09108210093</v>
      </c>
      <c r="Z64" s="10">
        <f>(I30+G55*I32)*('Weekday Hours'!L54+SUM('Weekday Hours'!L31:L35))</f>
        <v>22684.122483669962</v>
      </c>
      <c r="AA64" s="10">
        <f>(I30+H55*I32)*'Weekday Hours'!L36</f>
        <v>4109.2273614364231</v>
      </c>
      <c r="AB64" s="10">
        <f>(I30+I55*I32)*SUM('Weekday Hours'!L37:L39)</f>
        <v>23681.502150981123</v>
      </c>
      <c r="AC64" s="10">
        <f>(I30+J55*I32)*'Weekday Hours'!L40</f>
        <v>7554.3702710199377</v>
      </c>
      <c r="AD64" s="10">
        <f>(I30+K55*I32)*SUM('Weekday Hours'!L41:L44)</f>
        <v>31314.136075833365</v>
      </c>
      <c r="AE64" s="10">
        <f>(I30+L55*I32)*SUM('Weekday Hours'!L45:L50)</f>
        <v>67508.569994209582</v>
      </c>
      <c r="AF64" s="10">
        <f>(I30+M55*I32)*SUM('Weekday Hours'!L51:L53)</f>
        <v>26557.980580748648</v>
      </c>
      <c r="AG64" s="10">
        <f>SUM(Z64:AF64)</f>
        <v>183409.90891789904</v>
      </c>
      <c r="AI64" s="10">
        <f>($J30+G55*$J32)*('Weekday Hours'!L54+SUM('Weekday Hours'!L31:L35))</f>
        <v>30341.157468133049</v>
      </c>
      <c r="AJ64" s="10">
        <f>($J30+H55*$J32)*'Weekday Hours'!L36</f>
        <v>5496.2987673628622</v>
      </c>
      <c r="AK64" s="10">
        <f>($J30+I55*$J32)*SUM('Weekday Hours'!L37:L39)</f>
        <v>31675.203057209161</v>
      </c>
      <c r="AL64" s="10">
        <f>($J30+J55*$J32)*'Weekday Hours'!L40</f>
        <v>10104.351099788115</v>
      </c>
      <c r="AM64" s="10">
        <f>($J30+K55*$J32)*SUM('Weekday Hours'!L41:L44)</f>
        <v>41884.235739750446</v>
      </c>
      <c r="AN64" s="10">
        <f>($J30+L55*$J32)*SUM('Weekday Hours'!L45:L50)</f>
        <v>90296.115889752138</v>
      </c>
      <c r="AO64" s="10">
        <f>($J30+M55*$J32)*SUM('Weekday Hours'!L51:L53)</f>
        <v>35522.637978004241</v>
      </c>
      <c r="AP64" s="10">
        <f>SUM(AI64:AO64)</f>
        <v>245320</v>
      </c>
      <c r="AR64" s="10">
        <f t="shared" ref="AR64:AX64" si="28">AR58</f>
        <v>5662.9854488302353</v>
      </c>
      <c r="AS64" s="10">
        <f t="shared" si="28"/>
        <v>2281.7219895737198</v>
      </c>
      <c r="AT64" s="10">
        <f t="shared" si="28"/>
        <v>13162.122172902134</v>
      </c>
      <c r="AU64" s="10">
        <f t="shared" si="28"/>
        <v>3892.6053353591542</v>
      </c>
      <c r="AV64" s="10">
        <f t="shared" si="28"/>
        <v>12553.4498598877</v>
      </c>
      <c r="AW64" s="10">
        <f t="shared" si="28"/>
        <v>20367.499178579874</v>
      </c>
      <c r="AX64" s="10">
        <f t="shared" si="28"/>
        <v>7079.6160148671806</v>
      </c>
      <c r="AY64" s="10">
        <f>SUM(AR64:AX64)</f>
        <v>65000</v>
      </c>
      <c r="BA64" s="10">
        <f>$L$31*('Weekday Hours'!L54+SUM('Weekday Hours'!L31:L35))</f>
        <v>3673.2935627081015</v>
      </c>
      <c r="BB64" s="10">
        <f>$L$31*'Weekday Hours'!L36</f>
        <v>665.41689789123188</v>
      </c>
      <c r="BC64" s="10">
        <f>$L$31*SUM('Weekday Hours'!L37:L39)</f>
        <v>3834.8016093229739</v>
      </c>
      <c r="BD64" s="10">
        <f>$L$31*'Weekday Hours'!L40</f>
        <v>1223.2970310765813</v>
      </c>
      <c r="BE64" s="10">
        <f>$L$31*SUM('Weekday Hours'!L41:L44)</f>
        <v>5070.7720588235288</v>
      </c>
      <c r="BF64" s="10">
        <f>$L$31*SUM('Weekday Hours'!L45:L50)</f>
        <v>10931.822280799111</v>
      </c>
      <c r="BG64" s="10">
        <f>$L$31*SUM('Weekday Hours'!L51:L53)</f>
        <v>4300.5965593784676</v>
      </c>
      <c r="BH64" s="10">
        <f>SUM(BA64:BG64)</f>
        <v>29699.999999999996</v>
      </c>
      <c r="BJ64" s="10">
        <f>$M$31*('Weekday Hours'!L54+SUM('Weekday Hours'!L31:L35))</f>
        <v>1335.743113712037</v>
      </c>
      <c r="BK64" s="10">
        <f>$M$31*'Weekday Hours'!L36</f>
        <v>241.96978105135705</v>
      </c>
      <c r="BL64" s="10">
        <f>$M$31*SUM('Weekday Hours'!L37:L39)</f>
        <v>1394.4733124810816</v>
      </c>
      <c r="BM64" s="10">
        <f>$M$31*'Weekday Hours'!L40</f>
        <v>444.83528402784788</v>
      </c>
      <c r="BN64" s="10">
        <f>$M$31*SUM('Weekday Hours'!L41:L44)</f>
        <v>1843.9171122994653</v>
      </c>
      <c r="BO64" s="10">
        <f>$M$31*SUM('Weekday Hours'!L45:L50)</f>
        <v>3975.2081021087683</v>
      </c>
      <c r="BP64" s="10">
        <f>$M$31*SUM('Weekday Hours'!L51:L53)</f>
        <v>1563.853294319443</v>
      </c>
      <c r="BQ64" s="10">
        <f>SUM(BJ64:BP64)</f>
        <v>10800</v>
      </c>
      <c r="BS64">
        <v>0</v>
      </c>
      <c r="BT64">
        <v>0</v>
      </c>
      <c r="BU64">
        <v>0</v>
      </c>
      <c r="BV64">
        <v>0</v>
      </c>
      <c r="BW64">
        <v>0</v>
      </c>
      <c r="BX64">
        <v>0</v>
      </c>
      <c r="BY64" s="10">
        <f>N26</f>
        <v>75</v>
      </c>
      <c r="BZ64">
        <f>SUM(BS64:BY64)</f>
        <v>75</v>
      </c>
    </row>
    <row r="65" spans="2:78">
      <c r="B65" s="309" t="s">
        <v>1557</v>
      </c>
      <c r="O65" s="138"/>
      <c r="P65" s="136">
        <f>ROW()</f>
        <v>65</v>
      </c>
      <c r="Q65" s="282" t="s">
        <v>1062</v>
      </c>
      <c r="R65" s="10"/>
      <c r="S65" s="10"/>
      <c r="T65" s="10"/>
      <c r="U65" s="10"/>
      <c r="V65" s="10"/>
      <c r="W65" s="10"/>
      <c r="X65" s="10"/>
      <c r="Z65" s="282" t="s">
        <v>779</v>
      </c>
      <c r="AA65" s="10"/>
      <c r="AB65" s="10"/>
      <c r="AC65" s="10"/>
      <c r="AD65" s="10"/>
      <c r="AE65" s="10"/>
      <c r="AF65" s="10"/>
      <c r="AG65" s="10"/>
      <c r="AI65" s="282" t="str">
        <f>CONCATENATE("Figures in preceding row are made equal to corresponding figues in row ",P58,", since thru-trips leave cordon shortly after entering.")</f>
        <v>Figures in preceding row are made equal to corresponding figues in row 58, since thru-trips leave cordon shortly after entering.</v>
      </c>
      <c r="AJ65" s="10"/>
      <c r="AK65" s="10"/>
      <c r="AL65" s="10"/>
      <c r="AM65" s="10"/>
      <c r="AN65" s="10"/>
      <c r="AO65" s="10"/>
      <c r="AP65" s="10"/>
      <c r="AR65" s="282" t="s">
        <v>2299</v>
      </c>
      <c r="AS65" s="10"/>
      <c r="AT65" s="10"/>
      <c r="AU65" s="10"/>
      <c r="AV65" s="10"/>
      <c r="AW65" s="10"/>
      <c r="AX65" s="10"/>
      <c r="AY65" s="10"/>
      <c r="BA65" s="616"/>
      <c r="BB65" s="10"/>
      <c r="BC65" s="10"/>
      <c r="BD65" s="10"/>
      <c r="BE65" s="10"/>
      <c r="BF65" s="10"/>
      <c r="BG65" s="10"/>
      <c r="BH65" s="10"/>
      <c r="BJ65" s="616"/>
      <c r="BK65" s="10"/>
      <c r="BL65" s="10"/>
      <c r="BM65" s="10"/>
      <c r="BN65" s="10"/>
      <c r="BO65" s="10"/>
      <c r="BP65" s="10"/>
      <c r="BQ65" s="10"/>
    </row>
    <row r="66" spans="2:78" ht="12">
      <c r="B66" s="1052" t="s">
        <v>2484</v>
      </c>
      <c r="C66" s="1053"/>
      <c r="D66" s="1053"/>
      <c r="E66" s="1053"/>
      <c r="F66" s="1053"/>
      <c r="G66" s="1178">
        <f>Q66+Z66+AI66+AR66+BA66+BJ66+BS66</f>
        <v>142233.37219840375</v>
      </c>
      <c r="H66" s="1178">
        <f t="shared" ref="H66:M66" si="29">R66+AA66+AJ66+AS66+BB66+BK66+BT66</f>
        <v>28277.311492726625</v>
      </c>
      <c r="I66" s="1178">
        <f t="shared" si="29"/>
        <v>162987.40633122451</v>
      </c>
      <c r="J66" s="1178">
        <f t="shared" si="29"/>
        <v>51380.592478179715</v>
      </c>
      <c r="K66" s="1178">
        <f t="shared" si="29"/>
        <v>205817.09384856324</v>
      </c>
      <c r="L66" s="1178">
        <f t="shared" si="29"/>
        <v>430319.01113231701</v>
      </c>
      <c r="M66" s="1178">
        <f t="shared" si="29"/>
        <v>167662.21251858512</v>
      </c>
      <c r="N66" s="1178"/>
      <c r="O66" s="1054">
        <f>SUM(G66:M66)</f>
        <v>1188677</v>
      </c>
      <c r="P66" s="136">
        <f>ROW()</f>
        <v>66</v>
      </c>
      <c r="Q66" s="10">
        <f t="shared" ref="Q66:W66" si="30">Q64*$H$34</f>
        <v>40315.02933159456</v>
      </c>
      <c r="R66" s="10">
        <f t="shared" si="30"/>
        <v>7303.0650282266661</v>
      </c>
      <c r="S66" s="10">
        <f t="shared" si="30"/>
        <v>42087.607952228078</v>
      </c>
      <c r="T66" s="10">
        <f t="shared" si="30"/>
        <v>13425.895547740058</v>
      </c>
      <c r="U66" s="10">
        <f t="shared" si="30"/>
        <v>55652.596449325931</v>
      </c>
      <c r="V66" s="10">
        <f t="shared" si="30"/>
        <v>119978.63181217697</v>
      </c>
      <c r="W66" s="10">
        <f t="shared" si="30"/>
        <v>47199.787731333883</v>
      </c>
      <c r="X66" s="10">
        <f>SUM(Q66:W66)</f>
        <v>325962.61385262612</v>
      </c>
      <c r="Z66" s="10">
        <f t="shared" ref="Z66:AF66" si="31">Z64*$I$34</f>
        <v>28355.153104587451</v>
      </c>
      <c r="AA66" s="10">
        <f t="shared" si="31"/>
        <v>5136.534201795529</v>
      </c>
      <c r="AB66" s="10">
        <f t="shared" si="31"/>
        <v>29601.877688726403</v>
      </c>
      <c r="AC66" s="10">
        <f t="shared" si="31"/>
        <v>9442.9628387749217</v>
      </c>
      <c r="AD66" s="10">
        <f t="shared" si="31"/>
        <v>39142.670094791705</v>
      </c>
      <c r="AE66" s="10">
        <f t="shared" si="31"/>
        <v>84385.712492761973</v>
      </c>
      <c r="AF66" s="10">
        <f t="shared" si="31"/>
        <v>33197.475725935808</v>
      </c>
      <c r="AG66" s="10">
        <f>SUM(Z66:AF66)</f>
        <v>229262.38614737379</v>
      </c>
      <c r="AI66" s="10">
        <f t="shared" ref="AI66:AO66" si="32">AI64*$J$34</f>
        <v>48545.851949012882</v>
      </c>
      <c r="AJ66" s="10">
        <f t="shared" si="32"/>
        <v>8794.0780277805807</v>
      </c>
      <c r="AK66" s="10">
        <f t="shared" si="32"/>
        <v>50680.324891534663</v>
      </c>
      <c r="AL66" s="10">
        <f t="shared" si="32"/>
        <v>16166.961759660984</v>
      </c>
      <c r="AM66" s="10">
        <f t="shared" si="32"/>
        <v>67014.777183600716</v>
      </c>
      <c r="AN66" s="10">
        <f t="shared" si="32"/>
        <v>144473.78542360343</v>
      </c>
      <c r="AO66" s="10">
        <f t="shared" si="32"/>
        <v>56836.220764806785</v>
      </c>
      <c r="AP66" s="10">
        <f>SUM(AI66:AO66)</f>
        <v>392512.00000000006</v>
      </c>
      <c r="AR66" s="10">
        <f t="shared" ref="AR66:AX66" si="33">AR64*$K$34</f>
        <v>11325.970897660471</v>
      </c>
      <c r="AS66" s="10">
        <f t="shared" si="33"/>
        <v>4563.4439791474397</v>
      </c>
      <c r="AT66" s="10">
        <f t="shared" si="33"/>
        <v>26324.244345804269</v>
      </c>
      <c r="AU66" s="10">
        <f t="shared" si="33"/>
        <v>7785.2106707183084</v>
      </c>
      <c r="AV66" s="10">
        <f t="shared" si="33"/>
        <v>25106.8997197754</v>
      </c>
      <c r="AW66" s="10">
        <f t="shared" si="33"/>
        <v>40734.998357159748</v>
      </c>
      <c r="AX66" s="10">
        <f t="shared" si="33"/>
        <v>14159.232029734361</v>
      </c>
      <c r="AY66" s="10">
        <f>SUM(AR66:AX66)</f>
        <v>130000</v>
      </c>
      <c r="BA66" s="10">
        <f t="shared" ref="BA66:BG66" si="34">BA64*$L$34</f>
        <v>11019.880688124304</v>
      </c>
      <c r="BB66" s="10">
        <f t="shared" si="34"/>
        <v>1996.2506936736957</v>
      </c>
      <c r="BC66" s="10">
        <f t="shared" si="34"/>
        <v>11504.404827968921</v>
      </c>
      <c r="BD66" s="10">
        <f t="shared" si="34"/>
        <v>3669.891093229744</v>
      </c>
      <c r="BE66" s="10">
        <f t="shared" si="34"/>
        <v>15212.316176470587</v>
      </c>
      <c r="BF66" s="10">
        <f t="shared" si="34"/>
        <v>32795.466842397334</v>
      </c>
      <c r="BG66" s="10">
        <f t="shared" si="34"/>
        <v>12901.789678135403</v>
      </c>
      <c r="BH66" s="10">
        <f>SUM(BA66:BG66)</f>
        <v>89099.999999999985</v>
      </c>
      <c r="BJ66" s="10">
        <f t="shared" ref="BJ66:BP66" si="35">BJ64*$M$34</f>
        <v>2671.4862274240741</v>
      </c>
      <c r="BK66" s="10">
        <f t="shared" si="35"/>
        <v>483.93956210271409</v>
      </c>
      <c r="BL66" s="10">
        <f t="shared" si="35"/>
        <v>2788.9466249621632</v>
      </c>
      <c r="BM66" s="10">
        <f t="shared" si="35"/>
        <v>889.67056805569575</v>
      </c>
      <c r="BN66" s="10">
        <f t="shared" si="35"/>
        <v>3687.8342245989306</v>
      </c>
      <c r="BO66" s="10">
        <f t="shared" si="35"/>
        <v>7950.4162042175367</v>
      </c>
      <c r="BP66" s="10">
        <f t="shared" si="35"/>
        <v>3127.7065886388859</v>
      </c>
      <c r="BQ66" s="10">
        <f>SUM(BJ66:BP66)</f>
        <v>21600</v>
      </c>
      <c r="BS66">
        <f>BS64*$N34</f>
        <v>0</v>
      </c>
      <c r="BT66">
        <f t="shared" ref="BT66:BY66" si="36">BT64*$N34</f>
        <v>0</v>
      </c>
      <c r="BU66">
        <f t="shared" si="36"/>
        <v>0</v>
      </c>
      <c r="BV66">
        <f t="shared" si="36"/>
        <v>0</v>
      </c>
      <c r="BW66">
        <f t="shared" si="36"/>
        <v>0</v>
      </c>
      <c r="BX66">
        <f t="shared" si="36"/>
        <v>0</v>
      </c>
      <c r="BY66">
        <f t="shared" si="36"/>
        <v>240</v>
      </c>
      <c r="BZ66">
        <f>SUM(BS66:BY66)</f>
        <v>240</v>
      </c>
    </row>
    <row r="67" spans="2:78">
      <c r="B67" s="309" t="str">
        <f>CONCATENATE("Daily cordon return trips in Row ",P64," times Cordon VMT per entry [which is same as per return] in Row ",P$34,".")</f>
        <v>Daily cordon return trips in Row 64 times Cordon VMT per entry [which is same as per return] in Row 34.</v>
      </c>
      <c r="P67" s="136">
        <f>ROW()</f>
        <v>67</v>
      </c>
      <c r="Q67" s="10"/>
      <c r="R67" s="10"/>
      <c r="S67" s="10"/>
      <c r="T67" s="10"/>
      <c r="U67" s="10"/>
      <c r="V67" s="10"/>
      <c r="W67" s="10"/>
      <c r="Z67" s="10"/>
      <c r="AA67" s="10"/>
      <c r="AB67" s="10"/>
      <c r="AC67" s="10"/>
      <c r="AD67" s="10"/>
      <c r="AE67" s="10"/>
      <c r="AF67" s="10"/>
      <c r="AI67" s="10"/>
      <c r="AJ67" s="10"/>
      <c r="AK67" s="10"/>
      <c r="AL67" s="10"/>
      <c r="AM67" s="10"/>
      <c r="AN67" s="10"/>
      <c r="AO67" s="10"/>
      <c r="AR67" s="282" t="s">
        <v>118</v>
      </c>
      <c r="AS67" s="929"/>
      <c r="AT67" s="929"/>
      <c r="AU67" s="929"/>
      <c r="AV67" s="929"/>
      <c r="AW67" s="929"/>
      <c r="AX67" s="929"/>
      <c r="BA67" s="10"/>
      <c r="BB67" s="10"/>
      <c r="BC67" s="10"/>
      <c r="BD67" s="10"/>
      <c r="BE67" s="10"/>
      <c r="BF67" s="10"/>
      <c r="BG67" s="10"/>
      <c r="BJ67" s="10"/>
      <c r="BK67" s="10"/>
      <c r="BL67" s="10"/>
      <c r="BM67" s="10"/>
      <c r="BN67" s="10"/>
      <c r="BO67" s="10"/>
      <c r="BP67" s="10"/>
    </row>
    <row r="68" spans="2:78">
      <c r="B68" s="281"/>
      <c r="P68" s="136">
        <f>ROW()</f>
        <v>68</v>
      </c>
      <c r="Q68" s="10"/>
      <c r="R68" s="10"/>
      <c r="S68" s="10"/>
      <c r="T68" s="10"/>
      <c r="U68" s="10"/>
      <c r="V68" s="10"/>
      <c r="W68" s="10"/>
      <c r="Z68" s="10"/>
      <c r="AA68" s="10"/>
      <c r="AB68" s="10"/>
      <c r="AC68" s="10"/>
      <c r="AD68" s="10"/>
      <c r="AE68" s="10"/>
      <c r="AF68" s="10"/>
      <c r="AI68" s="10"/>
      <c r="AJ68" s="10"/>
      <c r="AK68" s="10"/>
      <c r="AL68" s="10"/>
      <c r="AM68" s="10"/>
      <c r="AN68" s="10"/>
      <c r="AO68" s="10"/>
      <c r="AR68" s="282"/>
      <c r="AS68" s="929"/>
      <c r="AT68" s="929"/>
      <c r="AU68" s="929"/>
      <c r="AV68" s="929"/>
      <c r="AW68" s="929"/>
      <c r="AX68" s="929"/>
      <c r="BA68" s="10"/>
      <c r="BB68" s="10"/>
      <c r="BC68" s="10"/>
      <c r="BD68" s="10"/>
      <c r="BE68" s="10"/>
      <c r="BF68" s="10"/>
      <c r="BG68" s="10"/>
      <c r="BJ68" s="10"/>
      <c r="BK68" s="10"/>
      <c r="BL68" s="10"/>
      <c r="BM68" s="10"/>
      <c r="BN68" s="10"/>
      <c r="BO68" s="10"/>
      <c r="BP68" s="10"/>
    </row>
    <row r="69" spans="2:78" ht="12">
      <c r="B69" s="172" t="s">
        <v>269</v>
      </c>
      <c r="P69" s="136">
        <f>ROW()</f>
        <v>69</v>
      </c>
      <c r="Q69" s="10"/>
      <c r="R69" s="10"/>
      <c r="S69" s="10"/>
      <c r="T69" s="10"/>
      <c r="U69" s="10"/>
      <c r="V69" s="10"/>
      <c r="W69" s="10"/>
      <c r="Z69" s="10"/>
      <c r="AA69" s="10"/>
      <c r="AB69" s="10"/>
      <c r="AC69" s="10"/>
      <c r="AD69" s="10"/>
      <c r="AE69" s="10"/>
      <c r="AF69" s="10"/>
      <c r="AI69" s="10"/>
      <c r="AJ69" s="10"/>
      <c r="AK69" s="10"/>
      <c r="AL69" s="10"/>
      <c r="AM69" s="10"/>
      <c r="AN69" s="10"/>
      <c r="AO69" s="10"/>
      <c r="AR69" s="929"/>
      <c r="AS69" s="929"/>
      <c r="AT69" s="929"/>
      <c r="AU69" s="929"/>
      <c r="AV69" s="929"/>
      <c r="AW69" s="929"/>
      <c r="AX69" s="929"/>
      <c r="BA69" s="10"/>
      <c r="BB69" s="10"/>
      <c r="BC69" s="10"/>
      <c r="BD69" s="10"/>
      <c r="BE69" s="10"/>
      <c r="BF69" s="10"/>
      <c r="BG69" s="10"/>
      <c r="BJ69" s="10"/>
      <c r="BK69" s="10"/>
      <c r="BL69" s="10"/>
      <c r="BM69" s="10"/>
      <c r="BN69" s="10"/>
      <c r="BO69" s="10"/>
      <c r="BP69" s="10"/>
    </row>
    <row r="70" spans="2:78">
      <c r="B70" s="281" t="s">
        <v>1202</v>
      </c>
      <c r="G70" s="22">
        <f>AVERAGE('Weekday Hours'!D54+SUM('Weekday Hours'!D31:D35),('Weekday Hours'!L54+SUM('Weekday Hours'!L31:L35)))</f>
        <v>0.10540138549761321</v>
      </c>
      <c r="H70" s="22">
        <f>AVERAGE('Weekday Hours'!D36,'Weekday Hours'!L36)</f>
        <v>2.8754012290409102E-2</v>
      </c>
      <c r="I70" s="22">
        <f>AVERAGE(SUM('Weekday Hours'!D37:D39),SUM('Weekday Hours'!L37:L39))</f>
        <v>0.16580604328961066</v>
      </c>
      <c r="J70" s="22">
        <f>AVERAGE('Weekday Hours'!D40,'Weekday Hours'!L40)</f>
        <v>5.0537344076701546E-2</v>
      </c>
      <c r="K70" s="22">
        <f>AVERAGE(SUM('Weekday Hours'!D41:D44),SUM('Weekday Hours'!L41:L44))</f>
        <v>0.18193153189904018</v>
      </c>
      <c r="L70" s="22">
        <f>AVERAGE(SUM('Weekday Hours'!D45:D50),SUM('Weekday Hours'!L45:L50))</f>
        <v>0.34071048273912574</v>
      </c>
      <c r="M70" s="22">
        <f>AVERAGE(SUM('Weekday Hours'!D51:D53),SUM('Weekday Hours'!L51:L53))</f>
        <v>0.12685920020749952</v>
      </c>
      <c r="N70" s="22"/>
      <c r="O70" s="927">
        <f>SUM(G70:M70)</f>
        <v>1</v>
      </c>
      <c r="P70" s="136">
        <f>ROW()</f>
        <v>70</v>
      </c>
      <c r="Q70" s="930">
        <f>'Motor Vs'!P141</f>
        <v>0.10540138549761321</v>
      </c>
      <c r="R70" s="930">
        <f>'Motor Vs'!Q141</f>
        <v>2.8754012290409102E-2</v>
      </c>
      <c r="S70" s="930">
        <f>'Motor Vs'!R141</f>
        <v>0.16580604328961066</v>
      </c>
      <c r="T70" s="930">
        <f>'Motor Vs'!S141</f>
        <v>5.0537344076701546E-2</v>
      </c>
      <c r="U70" s="930">
        <f>'Motor Vs'!T141</f>
        <v>0.18193153189904018</v>
      </c>
      <c r="V70" s="930">
        <f>'Motor Vs'!U141</f>
        <v>0.34071048273912574</v>
      </c>
      <c r="W70" s="930">
        <f>'Motor Vs'!V141</f>
        <v>0.12685920020749952</v>
      </c>
      <c r="X70" s="930">
        <f>SUM(Q70:W70)</f>
        <v>1</v>
      </c>
      <c r="Z70" s="930">
        <f>'Motor Vs'!Y141</f>
        <v>0.10540138549761321</v>
      </c>
      <c r="AA70" s="930">
        <f>'Motor Vs'!Z141</f>
        <v>2.8754012290409102E-2</v>
      </c>
      <c r="AB70" s="930">
        <f>'Motor Vs'!AA141</f>
        <v>0.16580604328961066</v>
      </c>
      <c r="AC70" s="930">
        <f>'Motor Vs'!AB141</f>
        <v>5.0537344076701546E-2</v>
      </c>
      <c r="AD70" s="930">
        <f>'Motor Vs'!AC141</f>
        <v>0.18193153189904018</v>
      </c>
      <c r="AE70" s="930">
        <f>'Motor Vs'!AD141</f>
        <v>0.34071048273912574</v>
      </c>
      <c r="AF70" s="930">
        <f>'Motor Vs'!AE141</f>
        <v>0.12685920020749952</v>
      </c>
      <c r="AG70" s="930">
        <f>SUM(Z70:AF70)</f>
        <v>1</v>
      </c>
      <c r="AI70" s="930">
        <f>'Motor Vs'!AH141</f>
        <v>0.10540138549761321</v>
      </c>
      <c r="AJ70" s="930">
        <f>'Motor Vs'!AI141</f>
        <v>2.8754012290409102E-2</v>
      </c>
      <c r="AK70" s="930">
        <f>'Motor Vs'!AJ141</f>
        <v>0.16580604328961066</v>
      </c>
      <c r="AL70" s="930">
        <f>'Motor Vs'!AK141</f>
        <v>5.0537344076701546E-2</v>
      </c>
      <c r="AM70" s="930">
        <f>'Motor Vs'!AL141</f>
        <v>0.18193153189904018</v>
      </c>
      <c r="AN70" s="930">
        <f>'Motor Vs'!AM141</f>
        <v>0.34071048273912574</v>
      </c>
      <c r="AO70" s="930">
        <f>'Motor Vs'!AN141</f>
        <v>0.12685920020749952</v>
      </c>
      <c r="AP70" s="930">
        <f>SUM(AI70:AO70)</f>
        <v>1</v>
      </c>
      <c r="AR70" s="930">
        <f>'Motor Vs'!AQ141</f>
        <v>0.17706524707400711</v>
      </c>
      <c r="AS70" s="930">
        <f>'Motor Vs'!AR141</f>
        <v>1.9163809244673296E-2</v>
      </c>
      <c r="AT70" s="930">
        <f>'Motor Vs'!AS141</f>
        <v>0.12853643148176547</v>
      </c>
      <c r="AU70" s="930">
        <f>'Motor Vs'!AT141</f>
        <v>4.806967876441904E-2</v>
      </c>
      <c r="AV70" s="930">
        <f>'Motor Vs'!AU141</f>
        <v>0.17585202592539378</v>
      </c>
      <c r="AW70" s="930">
        <f>'Motor Vs'!AV141</f>
        <v>0.29641489818485756</v>
      </c>
      <c r="AX70" s="930">
        <f>'Motor Vs'!AW141</f>
        <v>0.15489790932488368</v>
      </c>
      <c r="AY70" s="930">
        <f>SUM(AR70:AX70)</f>
        <v>1</v>
      </c>
      <c r="BA70" s="930">
        <f>'Motor Vs'!AZ141</f>
        <v>0.10540138549761321</v>
      </c>
      <c r="BB70" s="930">
        <f>'Motor Vs'!BA141</f>
        <v>2.8754012290409102E-2</v>
      </c>
      <c r="BC70" s="930">
        <f>'Motor Vs'!BB141</f>
        <v>0.16580604328961066</v>
      </c>
      <c r="BD70" s="930">
        <f>'Motor Vs'!BC141</f>
        <v>5.0537344076701546E-2</v>
      </c>
      <c r="BE70" s="930">
        <f>'Motor Vs'!BD141</f>
        <v>0.18193153189904018</v>
      </c>
      <c r="BF70" s="930">
        <f>'Motor Vs'!BE141</f>
        <v>0.34071048273912574</v>
      </c>
      <c r="BG70" s="930">
        <f>'Motor Vs'!BF141</f>
        <v>0.12685920020749952</v>
      </c>
      <c r="BH70" s="930">
        <f>SUM(BA70:BG70)</f>
        <v>1</v>
      </c>
      <c r="BJ70" s="930">
        <f>'Motor Vs'!BI141</f>
        <v>0.10540138549761321</v>
      </c>
      <c r="BK70" s="930">
        <f>'Motor Vs'!BJ141</f>
        <v>2.8754012290409102E-2</v>
      </c>
      <c r="BL70" s="930">
        <f>'Motor Vs'!BK141</f>
        <v>0.16580604328961066</v>
      </c>
      <c r="BM70" s="930">
        <f>'Motor Vs'!BL141</f>
        <v>5.0537344076701546E-2</v>
      </c>
      <c r="BN70" s="930">
        <f>'Motor Vs'!BM141</f>
        <v>0.18193153189904018</v>
      </c>
      <c r="BO70" s="930">
        <f>'Motor Vs'!BN141</f>
        <v>0.34071048273912574</v>
      </c>
      <c r="BP70" s="930">
        <f>'Motor Vs'!BO141</f>
        <v>0.12685920020749952</v>
      </c>
      <c r="BQ70" s="930">
        <f>SUM(BJ70:BP70)</f>
        <v>1</v>
      </c>
      <c r="BS70">
        <v>0</v>
      </c>
      <c r="BT70">
        <v>0</v>
      </c>
      <c r="BU70">
        <v>0</v>
      </c>
      <c r="BV70">
        <v>0</v>
      </c>
      <c r="BW70">
        <v>0</v>
      </c>
      <c r="BX70">
        <v>0</v>
      </c>
      <c r="BY70">
        <v>0</v>
      </c>
      <c r="BZ70">
        <f>SUM(BS70:BY70)</f>
        <v>0</v>
      </c>
    </row>
    <row r="71" spans="2:78">
      <c r="B71" s="309" t="s">
        <v>2899</v>
      </c>
      <c r="P71" s="136">
        <f>ROW()</f>
        <v>71</v>
      </c>
      <c r="Q71" s="282" t="str">
        <f>CONCATENATE("Same as for this column block in 'Motor Vs' tab, Row ",'Motor Vs'!O141, ".")</f>
        <v>Same as for this column block in 'Motor Vs' tab, Row 141.</v>
      </c>
      <c r="Z71" s="282" t="str">
        <f>CONCATENATE("Same as for this column block in 'Motor Vs' tab, Row ",'Motor Vs'!O141, ".")</f>
        <v>Same as for this column block in 'Motor Vs' tab, Row 141.</v>
      </c>
      <c r="AI71" s="282" t="str">
        <f>CONCATENATE("Same as for this column block in 'Motor Vs' tab, Row ",'Motor Vs'!O141, ".")</f>
        <v>Same as for this column block in 'Motor Vs' tab, Row 141.</v>
      </c>
      <c r="AR71" s="282" t="str">
        <f>CONCATENATE("Same as for this column block in 'Motor Vs' tab, Row ",'Motor Vs'!O141, ".")</f>
        <v>Same as for this column block in 'Motor Vs' tab, Row 141.</v>
      </c>
      <c r="BA71" s="282" t="str">
        <f>CONCATENATE("Same as for this column block in 'Motor Vs' tab, Row ",'Motor Vs'!O141, ".")</f>
        <v>Same as for this column block in 'Motor Vs' tab, Row 141.</v>
      </c>
      <c r="BJ71" s="282" t="str">
        <f>CONCATENATE("Same as for this column block in 'Motor Vs' tab, Row ",'Motor Vs'!O141, ".")</f>
        <v>Same as for this column block in 'Motor Vs' tab, Row 141.</v>
      </c>
    </row>
    <row r="72" spans="2:78" ht="12">
      <c r="B72" s="1052" t="s">
        <v>1834</v>
      </c>
      <c r="C72" s="1053"/>
      <c r="D72" s="1053"/>
      <c r="E72" s="1053"/>
      <c r="F72" s="1053"/>
      <c r="G72" s="1178">
        <f t="shared" ref="G72:M72" si="37">Q72+Z72+AI72+AR72+BA72+BJ72</f>
        <v>232940.94398074446</v>
      </c>
      <c r="H72" s="1178">
        <f t="shared" si="37"/>
        <v>28955.913826537606</v>
      </c>
      <c r="I72" s="1178">
        <f t="shared" si="37"/>
        <v>188374.15213113339</v>
      </c>
      <c r="J72" s="1178">
        <f t="shared" si="37"/>
        <v>67971.452078104048</v>
      </c>
      <c r="K72" s="1178">
        <f t="shared" si="37"/>
        <v>248021.77583637577</v>
      </c>
      <c r="L72" s="1178">
        <f t="shared" si="37"/>
        <v>425413.84388817649</v>
      </c>
      <c r="M72" s="1178">
        <f t="shared" si="37"/>
        <v>211259.1710061807</v>
      </c>
      <c r="N72" s="1178"/>
      <c r="O72" s="1054">
        <f>SUM(G72:M72)</f>
        <v>1402937.2527472526</v>
      </c>
      <c r="P72" s="136">
        <f>ROW()</f>
        <v>72</v>
      </c>
      <c r="Q72" s="10">
        <f t="shared" ref="Q72:W72" si="38">Q70*$H$46</f>
        <v>9816.2603201400798</v>
      </c>
      <c r="R72" s="10">
        <f t="shared" si="38"/>
        <v>2677.9237156949393</v>
      </c>
      <c r="S72" s="10">
        <f t="shared" si="38"/>
        <v>15441.877503783762</v>
      </c>
      <c r="T72" s="10">
        <f t="shared" si="38"/>
        <v>4706.6527921174766</v>
      </c>
      <c r="U72" s="10">
        <f t="shared" si="38"/>
        <v>16943.679337149591</v>
      </c>
      <c r="V72" s="10">
        <f t="shared" si="38"/>
        <v>31731.108434467278</v>
      </c>
      <c r="W72" s="10">
        <f t="shared" si="38"/>
        <v>11814.673283111471</v>
      </c>
      <c r="X72" s="10">
        <f>SUM(Q72:W72)</f>
        <v>93132.175386464602</v>
      </c>
      <c r="Y72" s="10"/>
      <c r="Z72" s="10">
        <f t="shared" ref="Z72:AF72" si="39">Z70*$I$46</f>
        <v>6904.1637549777151</v>
      </c>
      <c r="AA72" s="10">
        <f t="shared" si="39"/>
        <v>1883.4895625743152</v>
      </c>
      <c r="AB72" s="10">
        <f t="shared" si="39"/>
        <v>10860.882606351683</v>
      </c>
      <c r="AC72" s="10">
        <f t="shared" si="39"/>
        <v>3310.3748835929837</v>
      </c>
      <c r="AD72" s="10">
        <f t="shared" si="39"/>
        <v>11917.159176748857</v>
      </c>
      <c r="AE72" s="10">
        <f t="shared" si="39"/>
        <v>22317.742359484451</v>
      </c>
      <c r="AF72" s="10">
        <f t="shared" si="39"/>
        <v>8309.7265555196445</v>
      </c>
      <c r="AG72" s="10">
        <f>SUM(Z72:AF72)</f>
        <v>65503.538899249645</v>
      </c>
      <c r="AH72" s="10"/>
      <c r="AI72" s="10">
        <f t="shared" ref="AI72:AO72" si="40">AI70*$J$46</f>
        <v>0</v>
      </c>
      <c r="AJ72" s="10">
        <f t="shared" si="40"/>
        <v>0</v>
      </c>
      <c r="AK72" s="10">
        <f t="shared" si="40"/>
        <v>0</v>
      </c>
      <c r="AL72" s="10">
        <f t="shared" si="40"/>
        <v>0</v>
      </c>
      <c r="AM72" s="10">
        <f t="shared" si="40"/>
        <v>0</v>
      </c>
      <c r="AN72" s="10">
        <f t="shared" si="40"/>
        <v>0</v>
      </c>
      <c r="AO72" s="10">
        <f t="shared" si="40"/>
        <v>0</v>
      </c>
      <c r="AP72" s="10">
        <f>SUM(AI72:AO72)</f>
        <v>0</v>
      </c>
      <c r="AQ72" s="10"/>
      <c r="AR72" s="10">
        <f t="shared" ref="AR72:AX72" si="41">AR70*$K$46</f>
        <v>210187.34459974329</v>
      </c>
      <c r="AS72" s="10">
        <f t="shared" si="41"/>
        <v>22748.620884765332</v>
      </c>
      <c r="AT72" s="10">
        <f t="shared" si="41"/>
        <v>152580.65410310062</v>
      </c>
      <c r="AU72" s="10">
        <f t="shared" si="41"/>
        <v>57061.666827443201</v>
      </c>
      <c r="AV72" s="10">
        <f t="shared" si="41"/>
        <v>208747.17643657626</v>
      </c>
      <c r="AW72" s="10">
        <f t="shared" si="41"/>
        <v>351862.72506223724</v>
      </c>
      <c r="AX72" s="10">
        <f t="shared" si="41"/>
        <v>183873.35054767228</v>
      </c>
      <c r="AY72" s="10">
        <f>SUM(AR72:AX72)</f>
        <v>1187061.5384615383</v>
      </c>
      <c r="AZ72" s="10"/>
      <c r="BA72" s="10">
        <f t="shared" ref="BA72:BG72" si="42">BA70*$L$46</f>
        <v>3756.5053791349342</v>
      </c>
      <c r="BB72" s="10">
        <f t="shared" si="42"/>
        <v>1024.7929980301801</v>
      </c>
      <c r="BC72" s="10">
        <f t="shared" si="42"/>
        <v>5909.3273828417223</v>
      </c>
      <c r="BD72" s="10">
        <f t="shared" si="42"/>
        <v>1801.1509428936427</v>
      </c>
      <c r="BE72" s="10">
        <f t="shared" si="42"/>
        <v>6484.0397968817906</v>
      </c>
      <c r="BF72" s="10">
        <f t="shared" si="42"/>
        <v>12142.921604822439</v>
      </c>
      <c r="BG72" s="10">
        <f t="shared" si="42"/>
        <v>4521.2618953952824</v>
      </c>
      <c r="BH72" s="10">
        <f>SUM(BA72:BG72)</f>
        <v>35639.999999999993</v>
      </c>
      <c r="BI72" s="10"/>
      <c r="BJ72" s="10">
        <f t="shared" ref="BJ72:BP72" si="43">BJ70*$M$46</f>
        <v>2276.6699267484455</v>
      </c>
      <c r="BK72" s="10">
        <f t="shared" si="43"/>
        <v>621.08666547283656</v>
      </c>
      <c r="BL72" s="10">
        <f t="shared" si="43"/>
        <v>3581.4105350555901</v>
      </c>
      <c r="BM72" s="10">
        <f t="shared" si="43"/>
        <v>1091.6066320567534</v>
      </c>
      <c r="BN72" s="10">
        <f t="shared" si="43"/>
        <v>3929.7210890192678</v>
      </c>
      <c r="BO72" s="10">
        <f t="shared" si="43"/>
        <v>7359.3464271651164</v>
      </c>
      <c r="BP72" s="10">
        <f t="shared" si="43"/>
        <v>2740.1587244819898</v>
      </c>
      <c r="BQ72" s="10">
        <f>SUM(BJ72:BP72)</f>
        <v>21600</v>
      </c>
      <c r="BS72">
        <v>0</v>
      </c>
      <c r="BT72">
        <v>0</v>
      </c>
      <c r="BU72">
        <v>0</v>
      </c>
      <c r="BV72">
        <v>0</v>
      </c>
      <c r="BW72">
        <v>0</v>
      </c>
      <c r="BX72">
        <v>0</v>
      </c>
      <c r="BY72">
        <v>0</v>
      </c>
      <c r="BZ72">
        <f>SUM(BS72:BY72)</f>
        <v>0</v>
      </c>
    </row>
    <row r="73" spans="2:78">
      <c r="B73" s="309" t="s">
        <v>2805</v>
      </c>
      <c r="P73" s="136">
        <f>ROW()</f>
        <v>73</v>
      </c>
      <c r="Q73" s="10" t="str">
        <f>CONCATENATE("Each entry is product of %'s in row ",$P70," times est'd VMT of m.v. trips within cordon (trips that don't cross cordon) shown in row ",$P46, ".")</f>
        <v>Each entry is product of %'s in row 70 times est'd VMT of m.v. trips within cordon (trips that don't cross cordon) shown in row 46.</v>
      </c>
      <c r="R73" s="10"/>
      <c r="S73" s="10"/>
      <c r="T73" s="10"/>
      <c r="U73" s="10"/>
      <c r="V73" s="10"/>
      <c r="W73" s="10"/>
      <c r="X73" s="10"/>
      <c r="Y73" s="10"/>
      <c r="Z73" s="10" t="str">
        <f>CONCATENATE("Each entry is product of %'s in row ",$P70," times est'd VMT of m.v. trips within cordon (trips that don't cross cordon) shown in row ",$P46, ".")</f>
        <v>Each entry is product of %'s in row 70 times est'd VMT of m.v. trips within cordon (trips that don't cross cordon) shown in row 46.</v>
      </c>
      <c r="AA73" s="10"/>
      <c r="AB73" s="10"/>
      <c r="AC73" s="10"/>
      <c r="AD73" s="10"/>
      <c r="AE73" s="10"/>
      <c r="AF73" s="10"/>
      <c r="AG73" s="10"/>
      <c r="AH73" s="10"/>
      <c r="AI73" s="10" t="s">
        <v>2441</v>
      </c>
      <c r="AJ73" s="10"/>
      <c r="AK73" s="10"/>
      <c r="AL73" s="10"/>
      <c r="AM73" s="10"/>
      <c r="AN73" s="10"/>
      <c r="AO73" s="10"/>
      <c r="AP73" s="10"/>
      <c r="AQ73" s="10"/>
      <c r="AR73" s="10" t="str">
        <f>CONCATENATE("Each entry is product of %'s in row ",$P70," times est'd VMT of m.v. trips within cordon (trips that don't cross cordon) shown in row ",$P46, ".")</f>
        <v>Each entry is product of %'s in row 70 times est'd VMT of m.v. trips within cordon (trips that don't cross cordon) shown in row 46.</v>
      </c>
      <c r="AS73" s="10"/>
      <c r="AT73" s="10"/>
      <c r="AU73" s="10"/>
      <c r="AV73" s="10"/>
      <c r="AW73" s="10"/>
      <c r="AX73" s="10"/>
      <c r="AY73" s="10"/>
      <c r="AZ73" s="10"/>
      <c r="BA73" s="10" t="str">
        <f>CONCATENATE("Each entry is product of %'s in row ",$P70," times est'd VMT of m.v. trips within cordon (trips that don't cross cordon) shown in row ",$P46, ".")</f>
        <v>Each entry is product of %'s in row 70 times est'd VMT of m.v. trips within cordon (trips that don't cross cordon) shown in row 46.</v>
      </c>
      <c r="BB73" s="10"/>
      <c r="BC73" s="10"/>
      <c r="BD73" s="10"/>
      <c r="BE73" s="10"/>
      <c r="BF73" s="10"/>
      <c r="BG73" s="10"/>
      <c r="BH73" s="10"/>
      <c r="BI73" s="10"/>
      <c r="BJ73" s="10" t="str">
        <f>CONCATENATE("Each entry is product of %'s in row ",$P70," times est'd VMT of m.v. trips within cordon (trips that don't cross cordon) shown in row ",$P46, ".")</f>
        <v>Each entry is product of %'s in row 70 times est'd VMT of m.v. trips within cordon (trips that don't cross cordon) shown in row 46.</v>
      </c>
      <c r="BK73" s="10"/>
      <c r="BL73" s="10"/>
      <c r="BM73" s="10"/>
      <c r="BN73" s="10"/>
      <c r="BO73" s="10"/>
      <c r="BP73" s="10"/>
      <c r="BQ73" s="10"/>
    </row>
    <row r="74" spans="2:78">
      <c r="P74" s="136">
        <f>ROW()</f>
        <v>74</v>
      </c>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row>
    <row r="75" spans="2:78" ht="12">
      <c r="B75" s="172" t="s">
        <v>908</v>
      </c>
      <c r="P75" s="136">
        <f>ROW()</f>
        <v>75</v>
      </c>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row>
    <row r="76" spans="2:78" ht="12">
      <c r="B76" s="1049" t="s">
        <v>2901</v>
      </c>
      <c r="C76" s="1050"/>
      <c r="D76" s="1050"/>
      <c r="E76" s="1050"/>
      <c r="F76" s="1050"/>
      <c r="G76" s="1180">
        <f t="shared" ref="G76:M76" si="44">G60+G66+G72</f>
        <v>655316.11728344206</v>
      </c>
      <c r="H76" s="1180">
        <f t="shared" si="44"/>
        <v>92294.15127532219</v>
      </c>
      <c r="I76" s="1180">
        <f t="shared" si="44"/>
        <v>549970.2197932899</v>
      </c>
      <c r="J76" s="1180">
        <f t="shared" si="44"/>
        <v>178111.540179184</v>
      </c>
      <c r="K76" s="1180">
        <f t="shared" si="44"/>
        <v>645347.30937927228</v>
      </c>
      <c r="L76" s="1180">
        <f t="shared" si="44"/>
        <v>1168992.4290004713</v>
      </c>
      <c r="M76" s="1180">
        <f t="shared" si="44"/>
        <v>490259.48583627073</v>
      </c>
      <c r="N76" s="1180"/>
      <c r="O76" s="1051">
        <f>SUM(G76:M76)</f>
        <v>3780291.2527472526</v>
      </c>
      <c r="P76" s="136">
        <f>ROW()</f>
        <v>76</v>
      </c>
      <c r="Q76" s="10">
        <f t="shared" ref="Q76:W76" si="45">Q60+Q66+Q72</f>
        <v>61466.436526071491</v>
      </c>
      <c r="R76" s="10">
        <f t="shared" si="45"/>
        <v>27107.768058420392</v>
      </c>
      <c r="S76" s="10">
        <f t="shared" si="45"/>
        <v>162911.77142930852</v>
      </c>
      <c r="T76" s="10">
        <f t="shared" si="45"/>
        <v>43454.981921250888</v>
      </c>
      <c r="U76" s="10">
        <f t="shared" si="45"/>
        <v>141696.18746288985</v>
      </c>
      <c r="V76" s="10">
        <f t="shared" si="45"/>
        <v>228149.74152939091</v>
      </c>
      <c r="W76" s="10">
        <f t="shared" si="45"/>
        <v>80270.516164384841</v>
      </c>
      <c r="X76" s="10">
        <f>SUM(Q76:W76)</f>
        <v>745057.40309171681</v>
      </c>
      <c r="Y76" s="10"/>
      <c r="Z76" s="10">
        <f t="shared" ref="Z76:AF76" si="46">Z60+Z66+Z72</f>
        <v>58467.346381301337</v>
      </c>
      <c r="AA76" s="10">
        <f t="shared" si="46"/>
        <v>9350.6147793899854</v>
      </c>
      <c r="AB76" s="10">
        <f t="shared" si="46"/>
        <v>60187.492503517562</v>
      </c>
      <c r="AC76" s="10">
        <f t="shared" si="46"/>
        <v>24452.804221017217</v>
      </c>
      <c r="AD76" s="10">
        <f t="shared" si="46"/>
        <v>95253.666576340795</v>
      </c>
      <c r="AE76" s="10">
        <f t="shared" si="46"/>
        <v>204239.88619454307</v>
      </c>
      <c r="AF76" s="10">
        <f t="shared" si="46"/>
        <v>72076.500537887288</v>
      </c>
      <c r="AG76" s="10">
        <f>SUM(Z76:AF76)</f>
        <v>524028.31119399722</v>
      </c>
      <c r="AH76" s="10"/>
      <c r="AI76" s="10">
        <f t="shared" ref="AI76:AO76" si="47">AI60+AI66+AI72</f>
        <v>273174.00592595001</v>
      </c>
      <c r="AJ76" s="10">
        <f t="shared" si="47"/>
        <v>15948.241609851995</v>
      </c>
      <c r="AK76" s="10">
        <f t="shared" si="47"/>
        <v>75441.617163537507</v>
      </c>
      <c r="AL76" s="10">
        <f t="shared" si="47"/>
        <v>23489.940314503965</v>
      </c>
      <c r="AM76" s="10">
        <f t="shared" si="47"/>
        <v>98503.077415566018</v>
      </c>
      <c r="AN76" s="10">
        <f t="shared" si="47"/>
        <v>208334.51058955066</v>
      </c>
      <c r="AO76" s="10">
        <f t="shared" si="47"/>
        <v>90132.606981039949</v>
      </c>
      <c r="AP76" s="10">
        <f>SUM(AI76:AO76)</f>
        <v>785024.00000000012</v>
      </c>
      <c r="AQ76" s="10"/>
      <c r="AR76" s="10">
        <f t="shared" ref="AR76:AX76" si="48">AR60+AR66+AR72</f>
        <v>232839.28639506423</v>
      </c>
      <c r="AS76" s="10">
        <f t="shared" si="48"/>
        <v>31875.508843060212</v>
      </c>
      <c r="AT76" s="10">
        <f t="shared" si="48"/>
        <v>205229.14279470916</v>
      </c>
      <c r="AU76" s="10">
        <f t="shared" si="48"/>
        <v>72632.088168879825</v>
      </c>
      <c r="AV76" s="10">
        <f t="shared" si="48"/>
        <v>258960.97587612708</v>
      </c>
      <c r="AW76" s="10">
        <f t="shared" si="48"/>
        <v>433332.72177655675</v>
      </c>
      <c r="AX76" s="10">
        <f t="shared" si="48"/>
        <v>212191.81460714102</v>
      </c>
      <c r="AY76" s="10">
        <f>SUM(AR76:AX76)</f>
        <v>1447061.5384615383</v>
      </c>
      <c r="AZ76" s="10"/>
      <c r="BA76" s="10">
        <f t="shared" ref="BA76:BG76" si="49">BA60+BA66+BA72</f>
        <v>22539.032274809608</v>
      </c>
      <c r="BB76" s="10">
        <f t="shared" si="49"/>
        <v>6148.7579881810816</v>
      </c>
      <c r="BC76" s="10">
        <f t="shared" si="49"/>
        <v>35455.964297050341</v>
      </c>
      <c r="BD76" s="10">
        <f t="shared" si="49"/>
        <v>10806.905657361856</v>
      </c>
      <c r="BE76" s="10">
        <f t="shared" si="49"/>
        <v>38904.238781290747</v>
      </c>
      <c r="BF76" s="10">
        <f t="shared" si="49"/>
        <v>72857.529628934644</v>
      </c>
      <c r="BG76" s="10">
        <f t="shared" si="49"/>
        <v>27127.571372371698</v>
      </c>
      <c r="BH76" s="10">
        <f>SUM(BA76:BG76)</f>
        <v>213839.99999999994</v>
      </c>
      <c r="BI76" s="10"/>
      <c r="BJ76" s="10">
        <f t="shared" ref="BJ76:BP76" si="50">BJ60+BJ66+BJ72</f>
        <v>6830.0097802453365</v>
      </c>
      <c r="BK76" s="10">
        <f t="shared" si="50"/>
        <v>1863.2599964185099</v>
      </c>
      <c r="BL76" s="10">
        <f t="shared" si="50"/>
        <v>10744.231605166769</v>
      </c>
      <c r="BM76" s="10">
        <f t="shared" si="50"/>
        <v>3274.8198961702606</v>
      </c>
      <c r="BN76" s="10">
        <f t="shared" si="50"/>
        <v>11789.163267057804</v>
      </c>
      <c r="BO76" s="10">
        <f t="shared" si="50"/>
        <v>22078.039281495348</v>
      </c>
      <c r="BP76" s="10">
        <f t="shared" si="50"/>
        <v>8220.4761734459698</v>
      </c>
      <c r="BQ76" s="10">
        <f>SUM(BJ76:BP76)</f>
        <v>64800.000000000007</v>
      </c>
      <c r="BS76">
        <f t="shared" ref="BS76:BY76" si="51">BS60+BS66+BS72</f>
        <v>0</v>
      </c>
      <c r="BT76">
        <f t="shared" si="51"/>
        <v>0</v>
      </c>
      <c r="BU76">
        <f t="shared" si="51"/>
        <v>0</v>
      </c>
      <c r="BV76">
        <f t="shared" si="51"/>
        <v>0</v>
      </c>
      <c r="BW76">
        <f t="shared" si="51"/>
        <v>240</v>
      </c>
      <c r="BX76">
        <f t="shared" si="51"/>
        <v>0</v>
      </c>
      <c r="BY76">
        <f t="shared" si="51"/>
        <v>240</v>
      </c>
      <c r="BZ76">
        <f>SUM(BS76:BY76)</f>
        <v>480</v>
      </c>
    </row>
    <row r="77" spans="2:78" ht="12">
      <c r="B77" s="309" t="str">
        <f>CONCATENATE("Each entry is sum of respective VMT's in Rows ",P60, ", ",P66, " and ",103, ".")</f>
        <v>Each entry is sum of respective VMT's in Rows 60, 66 and 103.</v>
      </c>
      <c r="G77" s="1133"/>
      <c r="H77" s="1133"/>
      <c r="I77" s="1133"/>
      <c r="J77" s="1133"/>
      <c r="K77" s="1133"/>
      <c r="L77" s="1133"/>
      <c r="M77" s="1133"/>
      <c r="N77" s="1133"/>
      <c r="O77" s="186"/>
      <c r="P77" s="136">
        <f>ROW()</f>
        <v>77</v>
      </c>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row>
    <row r="78" spans="2:78">
      <c r="B78" s="281" t="s">
        <v>2900</v>
      </c>
      <c r="G78" s="1133">
        <f t="shared" ref="G78:M78" si="52">G76/G53</f>
        <v>109219.35288057367</v>
      </c>
      <c r="H78" s="1133">
        <f t="shared" si="52"/>
        <v>92294.15127532219</v>
      </c>
      <c r="I78" s="1133">
        <f t="shared" si="52"/>
        <v>183323.4065977633</v>
      </c>
      <c r="J78" s="1133">
        <f t="shared" si="52"/>
        <v>178111.540179184</v>
      </c>
      <c r="K78" s="1133">
        <f t="shared" si="52"/>
        <v>161336.82734481807</v>
      </c>
      <c r="L78" s="1133">
        <f t="shared" si="52"/>
        <v>194832.07150007854</v>
      </c>
      <c r="M78" s="1133">
        <f t="shared" si="52"/>
        <v>163419.82861209023</v>
      </c>
      <c r="N78" s="1133"/>
      <c r="P78" s="136">
        <f>ROW()</f>
        <v>78</v>
      </c>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224" t="s">
        <v>109</v>
      </c>
      <c r="AY78" s="927">
        <f>AY76/$O76</f>
        <v>0.38279101839307084</v>
      </c>
      <c r="AZ78" s="10"/>
      <c r="BA78" s="10"/>
      <c r="BB78" s="10"/>
      <c r="BC78" s="10"/>
      <c r="BD78" s="10"/>
      <c r="BE78" s="10"/>
      <c r="BF78" s="10"/>
      <c r="BG78" s="10"/>
      <c r="BH78" s="10"/>
      <c r="BI78" s="10"/>
      <c r="BJ78" s="10"/>
      <c r="BK78" s="10"/>
      <c r="BL78" s="10"/>
      <c r="BM78" s="10"/>
      <c r="BN78" s="10"/>
      <c r="BO78" s="10"/>
      <c r="BP78" s="10"/>
      <c r="BQ78" s="10"/>
    </row>
    <row r="79" spans="2:78">
      <c r="B79" s="309" t="str">
        <f>CONCATENATE("Period VMT in Row ",P76, " divided by hours in period in Row ",P53, ".")</f>
        <v>Period VMT in Row 76 divided by hours in period in Row 53.</v>
      </c>
      <c r="P79" s="136">
        <f>ROW()</f>
        <v>79</v>
      </c>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row>
    <row r="80" spans="2:78">
      <c r="I80" s="509"/>
      <c r="P80" s="136">
        <f>ROW()</f>
        <v>80</v>
      </c>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row>
    <row r="81" spans="2:78" ht="12">
      <c r="B81" s="172" t="s">
        <v>2619</v>
      </c>
      <c r="P81" s="136">
        <f>ROW()</f>
        <v>81</v>
      </c>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row>
    <row r="82" spans="2:78">
      <c r="B82" s="280" t="s">
        <v>2620</v>
      </c>
      <c r="P82" s="136">
        <f>ROW()</f>
        <v>82</v>
      </c>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row>
    <row r="83" spans="2:78">
      <c r="B83" s="214" t="s">
        <v>831</v>
      </c>
      <c r="G83" s="1133">
        <f>Q83+Z83+AI83+AR83+BA83+BJ83+BS83</f>
        <v>4108705.5846629953</v>
      </c>
      <c r="H83" s="1133">
        <f t="shared" ref="H83:M85" si="53">R83+AA83+AJ83+AS83+BB83+BK83+BT83</f>
        <v>409741.35884994129</v>
      </c>
      <c r="I83" s="1133">
        <f t="shared" si="53"/>
        <v>2276016.3840738013</v>
      </c>
      <c r="J83" s="1133">
        <f t="shared" si="53"/>
        <v>673418.42004284705</v>
      </c>
      <c r="K83" s="1133">
        <f t="shared" si="53"/>
        <v>2214363.8527823067</v>
      </c>
      <c r="L83" s="1133">
        <f t="shared" si="53"/>
        <v>3661461.1977296104</v>
      </c>
      <c r="M83" s="1133">
        <f t="shared" si="53"/>
        <v>1331629.9982510821</v>
      </c>
      <c r="N83" s="1133"/>
      <c r="O83" s="10">
        <f>SUM(G83:M83)</f>
        <v>14675336.796392584</v>
      </c>
      <c r="P83" s="136">
        <f>ROW()</f>
        <v>83</v>
      </c>
      <c r="Q83" s="10">
        <f t="shared" ref="Q83:W83" si="54">Q58*$H$35</f>
        <v>153251.71831510746</v>
      </c>
      <c r="R83" s="10">
        <f t="shared" si="54"/>
        <v>231554.86102196024</v>
      </c>
      <c r="S83" s="10">
        <f t="shared" si="54"/>
        <v>1424773.4576731361</v>
      </c>
      <c r="T83" s="10">
        <f t="shared" si="54"/>
        <v>342360.49177754892</v>
      </c>
      <c r="U83" s="10">
        <f t="shared" si="54"/>
        <v>934234.05247690598</v>
      </c>
      <c r="V83" s="10">
        <f t="shared" si="54"/>
        <v>1033472.4088235768</v>
      </c>
      <c r="W83" s="10">
        <f t="shared" si="54"/>
        <v>287382.86432830116</v>
      </c>
      <c r="X83" s="10">
        <f>SUM(Q83:W83)</f>
        <v>4407029.8544165371</v>
      </c>
      <c r="Y83" s="10"/>
      <c r="Z83" s="10">
        <f t="shared" ref="Z83:AF83" si="55">Z58*$I$35</f>
        <v>313773.64954716456</v>
      </c>
      <c r="AA83" s="10">
        <f t="shared" si="55"/>
        <v>31509.700024286849</v>
      </c>
      <c r="AB83" s="10">
        <f t="shared" si="55"/>
        <v>266679.30621106672</v>
      </c>
      <c r="AC83" s="10">
        <f t="shared" si="55"/>
        <v>158177.33675311864</v>
      </c>
      <c r="AD83" s="10">
        <f t="shared" si="55"/>
        <v>597502.75677792355</v>
      </c>
      <c r="AE83" s="10">
        <f t="shared" si="55"/>
        <v>1318697.1344299365</v>
      </c>
      <c r="AF83" s="10">
        <f t="shared" si="55"/>
        <v>413298.34870439413</v>
      </c>
      <c r="AG83" s="10">
        <f>SUM(Z83:AF83)</f>
        <v>3099638.2324478906</v>
      </c>
      <c r="AH83" s="10"/>
      <c r="AI83" s="10">
        <f t="shared" ref="AI83:AO83" si="56">AI58*$J$35</f>
        <v>3558964.6825398966</v>
      </c>
      <c r="AJ83" s="10">
        <f t="shared" si="56"/>
        <v>113349.17315983215</v>
      </c>
      <c r="AK83" s="10">
        <f t="shared" si="56"/>
        <v>392313.08778486447</v>
      </c>
      <c r="AL83" s="10">
        <f t="shared" si="56"/>
        <v>116023.84467959018</v>
      </c>
      <c r="AM83" s="10">
        <f t="shared" si="56"/>
        <v>498894.49053783028</v>
      </c>
      <c r="AN83" s="10">
        <f t="shared" si="56"/>
        <v>1011796.8805029127</v>
      </c>
      <c r="AO83" s="10">
        <f t="shared" si="56"/>
        <v>527541.45240381896</v>
      </c>
      <c r="AP83" s="10">
        <f>SUM(AI83:AO83)</f>
        <v>6218883.6116087455</v>
      </c>
      <c r="AQ83" s="10"/>
      <c r="AR83" s="10">
        <f t="shared" ref="AR83:AX83" si="57">AR58*$K$35</f>
        <v>33977.912692981408</v>
      </c>
      <c r="AS83" s="10">
        <f t="shared" si="57"/>
        <v>13690.331937442319</v>
      </c>
      <c r="AT83" s="10">
        <f t="shared" si="57"/>
        <v>78972.733037412807</v>
      </c>
      <c r="AU83" s="10">
        <f t="shared" si="57"/>
        <v>23355.632012154925</v>
      </c>
      <c r="AV83" s="10">
        <f t="shared" si="57"/>
        <v>75320.699159326206</v>
      </c>
      <c r="AW83" s="10">
        <f t="shared" si="57"/>
        <v>122204.99507147924</v>
      </c>
      <c r="AX83" s="10">
        <f t="shared" si="57"/>
        <v>42477.696089203084</v>
      </c>
      <c r="AY83" s="10">
        <f>SUM(AR83:AX83)</f>
        <v>389999.99999999994</v>
      </c>
      <c r="AZ83" s="10"/>
      <c r="BA83" s="10">
        <f t="shared" ref="BA83:BG83" si="58">BA58*$L$35</f>
        <v>32396.629177545237</v>
      </c>
      <c r="BB83" s="10">
        <f t="shared" si="58"/>
        <v>13053.203447262911</v>
      </c>
      <c r="BC83" s="10">
        <f t="shared" si="58"/>
        <v>75297.45486334186</v>
      </c>
      <c r="BD83" s="10">
        <f t="shared" si="58"/>
        <v>22268.69426447383</v>
      </c>
      <c r="BE83" s="10">
        <f t="shared" si="58"/>
        <v>71815.381424597537</v>
      </c>
      <c r="BF83" s="10">
        <f t="shared" si="58"/>
        <v>116517.7491845238</v>
      </c>
      <c r="BG83" s="10">
        <f t="shared" si="58"/>
        <v>40500.844797409663</v>
      </c>
      <c r="BH83" s="10">
        <f>SUM(BA83:BG83)</f>
        <v>371849.95715915487</v>
      </c>
      <c r="BI83" s="10"/>
      <c r="BJ83" s="10">
        <f t="shared" ref="BJ83:BP83" si="59">BJ58*$M$35</f>
        <v>16340.992390300129</v>
      </c>
      <c r="BK83" s="10">
        <f t="shared" si="59"/>
        <v>6584.089259156839</v>
      </c>
      <c r="BL83" s="10">
        <f t="shared" si="59"/>
        <v>37980.344503979337</v>
      </c>
      <c r="BM83" s="10">
        <f t="shared" si="59"/>
        <v>11232.420555960445</v>
      </c>
      <c r="BN83" s="10">
        <f t="shared" si="59"/>
        <v>36223.972405723318</v>
      </c>
      <c r="BO83" s="10">
        <f t="shared" si="59"/>
        <v>58772.029717181642</v>
      </c>
      <c r="BP83" s="10">
        <f t="shared" si="59"/>
        <v>20428.791927955317</v>
      </c>
      <c r="BQ83" s="10">
        <f>SUM(BJ83:BP83)</f>
        <v>187562.64076025703</v>
      </c>
      <c r="BS83">
        <f>BS58*$N35</f>
        <v>0</v>
      </c>
      <c r="BT83">
        <f t="shared" ref="BT83:BY83" si="60">BT58*$N35</f>
        <v>0</v>
      </c>
      <c r="BU83">
        <f t="shared" si="60"/>
        <v>0</v>
      </c>
      <c r="BV83">
        <f t="shared" si="60"/>
        <v>0</v>
      </c>
      <c r="BW83">
        <f t="shared" si="60"/>
        <v>372.49999999999994</v>
      </c>
      <c r="BX83">
        <f t="shared" si="60"/>
        <v>0</v>
      </c>
      <c r="BY83">
        <f t="shared" si="60"/>
        <v>0</v>
      </c>
      <c r="BZ83">
        <f>SUM(BS83:BY83)</f>
        <v>372.49999999999994</v>
      </c>
    </row>
    <row r="84" spans="2:78">
      <c r="B84" s="214" t="s">
        <v>1098</v>
      </c>
      <c r="G84" s="1133">
        <f>Q84+Z84+AI84+AR84+BA84+BJ84+BS84</f>
        <v>1800741.1245937878</v>
      </c>
      <c r="H84" s="1133">
        <f t="shared" si="53"/>
        <v>333739.37667119846</v>
      </c>
      <c r="I84" s="1133">
        <f t="shared" si="53"/>
        <v>1923417.3146174636</v>
      </c>
      <c r="J84" s="1133">
        <f t="shared" si="53"/>
        <v>611731.20146710495</v>
      </c>
      <c r="K84" s="1133">
        <f t="shared" si="53"/>
        <v>2514236.4505209168</v>
      </c>
      <c r="L84" s="1133">
        <f t="shared" si="53"/>
        <v>5380140.7181598395</v>
      </c>
      <c r="M84" s="1133">
        <f t="shared" si="53"/>
        <v>2111330.6103622741</v>
      </c>
      <c r="N84" s="1133"/>
      <c r="O84" s="10">
        <f>SUM(G84:M84)</f>
        <v>14675336.796392586</v>
      </c>
      <c r="P84" s="136">
        <f>ROW()</f>
        <v>84</v>
      </c>
      <c r="Q84" s="10">
        <f t="shared" ref="Q84:W84" si="61">Q64*$H$35</f>
        <v>545061.09073706018</v>
      </c>
      <c r="R84" s="10">
        <f t="shared" si="61"/>
        <v>98737.782311107716</v>
      </c>
      <c r="S84" s="10">
        <f t="shared" si="61"/>
        <v>569026.43697141169</v>
      </c>
      <c r="T84" s="10">
        <f t="shared" si="61"/>
        <v>181518.73861190601</v>
      </c>
      <c r="U84" s="10">
        <f t="shared" si="61"/>
        <v>752425.71879382152</v>
      </c>
      <c r="V84" s="10">
        <f t="shared" si="61"/>
        <v>1622116.7392140594</v>
      </c>
      <c r="W84" s="10">
        <f t="shared" si="61"/>
        <v>638143.34777717001</v>
      </c>
      <c r="X84" s="10">
        <f>SUM(Q84:W84)</f>
        <v>4407029.8544165362</v>
      </c>
      <c r="Y84" s="10"/>
      <c r="Z84" s="10">
        <f t="shared" ref="Z84:AF84" si="62">Z64*$I$35</f>
        <v>383363.00222137233</v>
      </c>
      <c r="AA84" s="10">
        <f t="shared" si="62"/>
        <v>69446.183744799215</v>
      </c>
      <c r="AB84" s="10">
        <f t="shared" si="62"/>
        <v>400218.77717542736</v>
      </c>
      <c r="AC84" s="10">
        <f t="shared" si="62"/>
        <v>127669.30125134574</v>
      </c>
      <c r="AD84" s="10">
        <f t="shared" si="62"/>
        <v>529210.73877299391</v>
      </c>
      <c r="AE84" s="10">
        <f t="shared" si="62"/>
        <v>1140898.7977067553</v>
      </c>
      <c r="AF84" s="10">
        <f t="shared" si="62"/>
        <v>448831.4315751972</v>
      </c>
      <c r="AG84" s="10">
        <f>SUM(Z84:AF84)</f>
        <v>3099638.232447891</v>
      </c>
      <c r="AH84" s="10"/>
      <c r="AI84" s="10">
        <f t="shared" ref="AI84:AO84" si="63">AI64*$J$35</f>
        <v>769151.01473916881</v>
      </c>
      <c r="AJ84" s="10">
        <f t="shared" si="63"/>
        <v>139331.65795230007</v>
      </c>
      <c r="AK84" s="10">
        <f t="shared" si="63"/>
        <v>802969.18794577394</v>
      </c>
      <c r="AL84" s="10">
        <f t="shared" si="63"/>
        <v>256146.190528343</v>
      </c>
      <c r="AM84" s="10">
        <f t="shared" si="63"/>
        <v>1061769.0658188951</v>
      </c>
      <c r="AN84" s="10">
        <f t="shared" si="63"/>
        <v>2289014.4924943079</v>
      </c>
      <c r="AO84" s="10">
        <f t="shared" si="63"/>
        <v>900502.00212995673</v>
      </c>
      <c r="AP84" s="10">
        <f>SUM(AI84:AO84)</f>
        <v>6218883.6116087455</v>
      </c>
      <c r="AQ84" s="10"/>
      <c r="AR84" s="10">
        <f t="shared" ref="AR84:AX84" si="64">AR64*$K$35</f>
        <v>33977.912692981408</v>
      </c>
      <c r="AS84" s="10">
        <f t="shared" si="64"/>
        <v>13690.331937442319</v>
      </c>
      <c r="AT84" s="10">
        <f t="shared" si="64"/>
        <v>78972.733037412807</v>
      </c>
      <c r="AU84" s="10">
        <f t="shared" si="64"/>
        <v>23355.632012154925</v>
      </c>
      <c r="AV84" s="10">
        <f t="shared" si="64"/>
        <v>75320.699159326206</v>
      </c>
      <c r="AW84" s="10">
        <f t="shared" si="64"/>
        <v>122204.99507147924</v>
      </c>
      <c r="AX84" s="10">
        <f t="shared" si="64"/>
        <v>42477.696089203084</v>
      </c>
      <c r="AY84" s="10">
        <f>SUM(AR84:AX84)</f>
        <v>389999.99999999994</v>
      </c>
      <c r="AZ84" s="10"/>
      <c r="BA84" s="10">
        <f t="shared" ref="BA84:BG84" si="65">BA64*$L$35</f>
        <v>45990.372186060842</v>
      </c>
      <c r="BB84" s="10">
        <f t="shared" si="65"/>
        <v>8331.1530294219629</v>
      </c>
      <c r="BC84" s="10">
        <f t="shared" si="65"/>
        <v>48012.485324599533</v>
      </c>
      <c r="BD84" s="10">
        <f t="shared" si="65"/>
        <v>15315.924195244044</v>
      </c>
      <c r="BE84" s="10">
        <f t="shared" si="65"/>
        <v>63487.083260517473</v>
      </c>
      <c r="BF84" s="10">
        <f t="shared" si="65"/>
        <v>136868.60763591397</v>
      </c>
      <c r="BG84" s="10">
        <f t="shared" si="65"/>
        <v>53844.331527397044</v>
      </c>
      <c r="BH84" s="10">
        <f>SUM(BA84:BG84)</f>
        <v>371849.95715915487</v>
      </c>
      <c r="BI84" s="10"/>
      <c r="BJ84" s="10">
        <f t="shared" ref="BJ84:BP84" si="66">BJ64*$M$35</f>
        <v>23197.732017144255</v>
      </c>
      <c r="BK84" s="10">
        <f t="shared" si="66"/>
        <v>4202.2676961271973</v>
      </c>
      <c r="BL84" s="10">
        <f t="shared" si="66"/>
        <v>24217.694162838401</v>
      </c>
      <c r="BM84" s="10">
        <f t="shared" si="66"/>
        <v>7725.4148681113084</v>
      </c>
      <c r="BN84" s="10">
        <f t="shared" si="66"/>
        <v>32023.144715362512</v>
      </c>
      <c r="BO84" s="10">
        <f t="shared" si="66"/>
        <v>69037.086037323155</v>
      </c>
      <c r="BP84" s="10">
        <f t="shared" si="66"/>
        <v>27159.3012633502</v>
      </c>
      <c r="BQ84" s="10">
        <f>SUM(BJ84:BP84)</f>
        <v>187562.64076025705</v>
      </c>
      <c r="BS84">
        <f>BS64*$N35</f>
        <v>0</v>
      </c>
      <c r="BT84">
        <f t="shared" ref="BT84:BY84" si="67">BT64*$N35</f>
        <v>0</v>
      </c>
      <c r="BU84">
        <f t="shared" si="67"/>
        <v>0</v>
      </c>
      <c r="BV84">
        <f t="shared" si="67"/>
        <v>0</v>
      </c>
      <c r="BW84">
        <f t="shared" si="67"/>
        <v>0</v>
      </c>
      <c r="BX84">
        <f t="shared" si="67"/>
        <v>0</v>
      </c>
      <c r="BY84">
        <f t="shared" si="67"/>
        <v>372.49999999999994</v>
      </c>
      <c r="BZ84">
        <f>SUM(BS84:BY84)</f>
        <v>372.49999999999994</v>
      </c>
    </row>
    <row r="85" spans="2:78" ht="12">
      <c r="B85" s="1055" t="s">
        <v>1119</v>
      </c>
      <c r="C85" s="1053"/>
      <c r="D85" s="1053"/>
      <c r="E85" s="1053"/>
      <c r="F85" s="1053"/>
      <c r="G85" s="1178">
        <f>Q85+Z85+AI85+AR85+BA85+BJ85+BS85</f>
        <v>5909446.7092567841</v>
      </c>
      <c r="H85" s="1178">
        <f t="shared" si="53"/>
        <v>743480.73552113969</v>
      </c>
      <c r="I85" s="1178">
        <f t="shared" si="53"/>
        <v>4199433.6986912647</v>
      </c>
      <c r="J85" s="1178">
        <f t="shared" si="53"/>
        <v>1285149.6215099518</v>
      </c>
      <c r="K85" s="1178">
        <f t="shared" si="53"/>
        <v>4728600.3033032231</v>
      </c>
      <c r="L85" s="1178">
        <f t="shared" si="53"/>
        <v>9041601.9158894513</v>
      </c>
      <c r="M85" s="1178">
        <f t="shared" si="53"/>
        <v>3442960.6086133565</v>
      </c>
      <c r="N85" s="1178"/>
      <c r="O85" s="1054">
        <f>SUM(G85:M85)</f>
        <v>29350673.592785172</v>
      </c>
      <c r="P85" s="136">
        <f>ROW()</f>
        <v>85</v>
      </c>
      <c r="Q85" s="10">
        <f t="shared" ref="Q85:W85" si="68">Q83+Q84</f>
        <v>698312.80905216769</v>
      </c>
      <c r="R85" s="10">
        <f t="shared" si="68"/>
        <v>330292.64333306794</v>
      </c>
      <c r="S85" s="10">
        <f t="shared" si="68"/>
        <v>1993799.8946445477</v>
      </c>
      <c r="T85" s="10">
        <f t="shared" si="68"/>
        <v>523879.23038945493</v>
      </c>
      <c r="U85" s="10">
        <f t="shared" si="68"/>
        <v>1686659.7712707275</v>
      </c>
      <c r="V85" s="10">
        <f t="shared" si="68"/>
        <v>2655589.1480376362</v>
      </c>
      <c r="W85" s="10">
        <f t="shared" si="68"/>
        <v>925526.21210547118</v>
      </c>
      <c r="X85" s="10">
        <f>SUM(Q85:W85)</f>
        <v>8814059.7088330742</v>
      </c>
      <c r="Y85" s="10"/>
      <c r="Z85" s="10">
        <f t="shared" ref="Z85:AF85" si="69">Z83+Z84</f>
        <v>697136.65176853689</v>
      </c>
      <c r="AA85" s="10">
        <f t="shared" si="69"/>
        <v>100955.88376908607</v>
      </c>
      <c r="AB85" s="10">
        <f t="shared" si="69"/>
        <v>666898.08338649408</v>
      </c>
      <c r="AC85" s="10">
        <f t="shared" si="69"/>
        <v>285846.63800446439</v>
      </c>
      <c r="AD85" s="10">
        <f t="shared" si="69"/>
        <v>1126713.4955509175</v>
      </c>
      <c r="AE85" s="10">
        <f t="shared" si="69"/>
        <v>2459595.9321366921</v>
      </c>
      <c r="AF85" s="10">
        <f t="shared" si="69"/>
        <v>862129.78027959133</v>
      </c>
      <c r="AG85" s="10">
        <f>SUM(Z85:AF85)</f>
        <v>6199276.464895783</v>
      </c>
      <c r="AH85" s="10"/>
      <c r="AI85" s="10">
        <f t="shared" ref="AI85:AO85" si="70">AI83+AI84</f>
        <v>4328115.6972790658</v>
      </c>
      <c r="AJ85" s="10">
        <f t="shared" si="70"/>
        <v>252680.83111213223</v>
      </c>
      <c r="AK85" s="10">
        <f t="shared" si="70"/>
        <v>1195282.2757306383</v>
      </c>
      <c r="AL85" s="10">
        <f t="shared" si="70"/>
        <v>372170.03520793316</v>
      </c>
      <c r="AM85" s="10">
        <f t="shared" si="70"/>
        <v>1560663.5563567253</v>
      </c>
      <c r="AN85" s="10">
        <f t="shared" si="70"/>
        <v>3300811.3729972206</v>
      </c>
      <c r="AO85" s="10">
        <f t="shared" si="70"/>
        <v>1428043.4545337758</v>
      </c>
      <c r="AP85" s="10">
        <f>SUM(AI85:AO85)</f>
        <v>12437767.223217493</v>
      </c>
      <c r="AQ85" s="10"/>
      <c r="AR85" s="10">
        <f t="shared" ref="AR85:AX85" si="71">AR83+AR84</f>
        <v>67955.825385962817</v>
      </c>
      <c r="AS85" s="10">
        <f t="shared" si="71"/>
        <v>27380.663874884638</v>
      </c>
      <c r="AT85" s="10">
        <f t="shared" si="71"/>
        <v>157945.46607482561</v>
      </c>
      <c r="AU85" s="10">
        <f t="shared" si="71"/>
        <v>46711.26402430985</v>
      </c>
      <c r="AV85" s="10">
        <f t="shared" si="71"/>
        <v>150641.39831865241</v>
      </c>
      <c r="AW85" s="10">
        <f t="shared" si="71"/>
        <v>244409.99014295847</v>
      </c>
      <c r="AX85" s="10">
        <f t="shared" si="71"/>
        <v>84955.392178406168</v>
      </c>
      <c r="AY85" s="10">
        <f>SUM(AR85:AX85)</f>
        <v>779999.99999999988</v>
      </c>
      <c r="AZ85" s="10"/>
      <c r="BA85" s="10">
        <f t="shared" ref="BA85:BG85" si="72">BA83+BA84</f>
        <v>78387.001363606076</v>
      </c>
      <c r="BB85" s="10">
        <f t="shared" si="72"/>
        <v>21384.356476684872</v>
      </c>
      <c r="BC85" s="10">
        <f t="shared" si="72"/>
        <v>123309.94018794139</v>
      </c>
      <c r="BD85" s="10">
        <f t="shared" si="72"/>
        <v>37584.618459717873</v>
      </c>
      <c r="BE85" s="10">
        <f t="shared" si="72"/>
        <v>135302.464685115</v>
      </c>
      <c r="BF85" s="10">
        <f t="shared" si="72"/>
        <v>253386.35682043777</v>
      </c>
      <c r="BG85" s="10">
        <f t="shared" si="72"/>
        <v>94345.1763248067</v>
      </c>
      <c r="BH85" s="10">
        <f>SUM(BA85:BG85)</f>
        <v>743699.91431830963</v>
      </c>
      <c r="BI85" s="10"/>
      <c r="BJ85" s="10">
        <f t="shared" ref="BJ85:BP85" si="73">BJ83+BJ84</f>
        <v>39538.724407444388</v>
      </c>
      <c r="BK85" s="10">
        <f t="shared" si="73"/>
        <v>10786.356955284036</v>
      </c>
      <c r="BL85" s="10">
        <f t="shared" si="73"/>
        <v>62198.038666817738</v>
      </c>
      <c r="BM85" s="10">
        <f t="shared" si="73"/>
        <v>18957.835424071753</v>
      </c>
      <c r="BN85" s="10">
        <f t="shared" si="73"/>
        <v>68247.11712108583</v>
      </c>
      <c r="BO85" s="10">
        <f t="shared" si="73"/>
        <v>127809.1157545048</v>
      </c>
      <c r="BP85" s="10">
        <f t="shared" si="73"/>
        <v>47588.093191305517</v>
      </c>
      <c r="BQ85" s="10">
        <f>SUM(BJ85:BP85)</f>
        <v>375125.28152051405</v>
      </c>
      <c r="BS85">
        <f>BS83+BS84</f>
        <v>0</v>
      </c>
      <c r="BT85">
        <f t="shared" ref="BT85:BY85" si="74">BT83+BT84</f>
        <v>0</v>
      </c>
      <c r="BU85">
        <f t="shared" si="74"/>
        <v>0</v>
      </c>
      <c r="BV85">
        <f t="shared" si="74"/>
        <v>0</v>
      </c>
      <c r="BW85">
        <f t="shared" si="74"/>
        <v>372.49999999999994</v>
      </c>
      <c r="BX85">
        <f t="shared" si="74"/>
        <v>0</v>
      </c>
      <c r="BY85">
        <f t="shared" si="74"/>
        <v>372.49999999999994</v>
      </c>
      <c r="BZ85">
        <f>SUM(BS85:BY85)</f>
        <v>744.99999999999989</v>
      </c>
    </row>
    <row r="86" spans="2:78">
      <c r="G86" s="1133"/>
      <c r="H86" s="1133"/>
      <c r="I86" s="1133"/>
      <c r="J86" s="1133"/>
      <c r="K86" s="1133"/>
      <c r="L86" s="1133"/>
      <c r="M86" s="1133"/>
      <c r="N86" s="1133"/>
      <c r="P86" s="136">
        <f>ROW()</f>
        <v>86</v>
      </c>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row>
    <row r="87" spans="2:78" ht="12">
      <c r="B87" s="1052" t="s">
        <v>123</v>
      </c>
      <c r="C87" s="1053"/>
      <c r="D87" s="1053"/>
      <c r="E87" s="1053"/>
      <c r="F87" s="1053"/>
      <c r="G87" s="1178">
        <f>'Motor Vs'!G166</f>
        <v>4887770.3619101448</v>
      </c>
      <c r="H87" s="1178">
        <f>'Motor Vs'!H166</f>
        <v>1283302.4472092623</v>
      </c>
      <c r="I87" s="1178">
        <f>'Motor Vs'!I166</f>
        <v>7228958.5413245726</v>
      </c>
      <c r="J87" s="1178">
        <f>'Motor Vs'!J166</f>
        <v>2205390.6529658451</v>
      </c>
      <c r="K87" s="1178">
        <f>'Motor Vs'!K166</f>
        <v>8039062.0109516988</v>
      </c>
      <c r="L87" s="1178">
        <f>'Motor Vs'!L166</f>
        <v>15207012.392620942</v>
      </c>
      <c r="M87" s="1178">
        <f>'Motor Vs'!M166</f>
        <v>5776518.4450596282</v>
      </c>
      <c r="N87" s="1178"/>
      <c r="O87" s="1054">
        <f>SUM(G87:M87)</f>
        <v>44628014.852042094</v>
      </c>
      <c r="P87" s="136">
        <f>ROW()</f>
        <v>87</v>
      </c>
      <c r="Q87" s="10">
        <f>'Motor Vs'!P166</f>
        <v>1363745.5213577119</v>
      </c>
      <c r="R87" s="10">
        <f>'Motor Vs'!Q166</f>
        <v>645033.4395186808</v>
      </c>
      <c r="S87" s="10">
        <f>'Motor Vs'!R166</f>
        <v>3893721.6123753693</v>
      </c>
      <c r="T87" s="10">
        <f>'Motor Vs'!S166</f>
        <v>1023091.5786088234</v>
      </c>
      <c r="U87" s="10">
        <f>'Motor Vs'!T166</f>
        <v>3293903.0751086255</v>
      </c>
      <c r="V87" s="10">
        <f>'Motor Vs'!U166</f>
        <v>5186139.7360275537</v>
      </c>
      <c r="W87" s="10">
        <f>'Motor Vs'!V166</f>
        <v>1807473.9719742306</v>
      </c>
      <c r="X87" s="10">
        <f>SUM(Q87:W87)</f>
        <v>17213108.934970994</v>
      </c>
      <c r="Y87" s="10"/>
      <c r="Z87" s="10">
        <f>'Motor Vs'!Y166</f>
        <v>1361448.586220376</v>
      </c>
      <c r="AA87" s="10">
        <f>'Motor Vs'!Z166</f>
        <v>197158.2542380596</v>
      </c>
      <c r="AB87" s="10">
        <f>'Motor Vs'!AA166</f>
        <v>1302395.2340997804</v>
      </c>
      <c r="AC87" s="10">
        <f>'Motor Vs'!AB166</f>
        <v>558234.17144941085</v>
      </c>
      <c r="AD87" s="10">
        <f>'Motor Vs'!AC166</f>
        <v>2200375.6246379656</v>
      </c>
      <c r="AE87" s="10">
        <f>'Motor Vs'!AD166</f>
        <v>4803381.6554988604</v>
      </c>
      <c r="AF87" s="10">
        <f>'Motor Vs'!AE166</f>
        <v>1683666.1327768483</v>
      </c>
      <c r="AG87" s="10">
        <f>SUM(Z87:AF87)</f>
        <v>12106659.658921301</v>
      </c>
      <c r="AH87" s="10"/>
      <c r="AI87" s="10">
        <f>'Motor Vs'!AH166</f>
        <v>1877154.5427074649</v>
      </c>
      <c r="AJ87" s="10">
        <f>'Motor Vs'!AI166</f>
        <v>362362.11943972204</v>
      </c>
      <c r="AK87" s="10">
        <f>'Motor Vs'!AJ166</f>
        <v>1578742.7008882058</v>
      </c>
      <c r="AL87" s="10">
        <f>'Motor Vs'!AK166</f>
        <v>485799.47423011786</v>
      </c>
      <c r="AM87" s="10">
        <f>'Motor Vs'!AL166</f>
        <v>2048787.3671811344</v>
      </c>
      <c r="AN87" s="10">
        <f>'Motor Vs'!AM166</f>
        <v>4292389.7071852162</v>
      </c>
      <c r="AO87" s="10">
        <f>'Motor Vs'!AN166</f>
        <v>1941533.4342309968</v>
      </c>
      <c r="AP87" s="10">
        <f>SUM(AI87:AO87)</f>
        <v>12586769.345862856</v>
      </c>
      <c r="AQ87" s="10"/>
      <c r="AR87" s="10">
        <f>'Motor Vs'!AQ166</f>
        <v>6795.5825385962817</v>
      </c>
      <c r="AS87" s="10">
        <f>'Motor Vs'!AR166</f>
        <v>2738.066387488464</v>
      </c>
      <c r="AT87" s="10">
        <f>'Motor Vs'!AS166</f>
        <v>15794.546607482562</v>
      </c>
      <c r="AU87" s="10">
        <f>'Motor Vs'!AT166</f>
        <v>4671.1264024309849</v>
      </c>
      <c r="AV87" s="10">
        <f>'Motor Vs'!AU166</f>
        <v>15064.139831865243</v>
      </c>
      <c r="AW87" s="10">
        <f>'Motor Vs'!AV166</f>
        <v>24440.999014295849</v>
      </c>
      <c r="AX87" s="10">
        <f>'Motor Vs'!AW166</f>
        <v>8495.5392178406164</v>
      </c>
      <c r="AY87" s="10">
        <f>SUM(AR87:AX87)</f>
        <v>78000</v>
      </c>
      <c r="AZ87" s="10"/>
      <c r="BA87" s="10">
        <f>'Motor Vs'!AZ166</f>
        <v>196894.82140825348</v>
      </c>
      <c r="BB87" s="10">
        <f>'Motor Vs'!BA166</f>
        <v>53713.868066933806</v>
      </c>
      <c r="BC87" s="10">
        <f>'Motor Vs'!BB166</f>
        <v>309733.60670535307</v>
      </c>
      <c r="BD87" s="10">
        <f>'Motor Vs'!BC166</f>
        <v>94406.172076883522</v>
      </c>
      <c r="BE87" s="10">
        <f>'Motor Vs'!BD166</f>
        <v>339856.78947837604</v>
      </c>
      <c r="BF87" s="10">
        <f>'Motor Vs'!BE166</f>
        <v>636463.45191884693</v>
      </c>
      <c r="BG87" s="10">
        <f>'Motor Vs'!BF166</f>
        <v>236979.04397485469</v>
      </c>
      <c r="BH87" s="10">
        <f>SUM(BA87:BG87)</f>
        <v>1868047.7536295017</v>
      </c>
      <c r="BI87" s="10"/>
      <c r="BJ87" s="10">
        <f>'Motor Vs'!BI166</f>
        <v>81731.307677742574</v>
      </c>
      <c r="BK87" s="10">
        <f>'Motor Vs'!BJ166</f>
        <v>22296.699558377582</v>
      </c>
      <c r="BL87" s="10">
        <f>'Motor Vs'!BK166</f>
        <v>128570.84064838167</v>
      </c>
      <c r="BM87" s="10">
        <f>'Motor Vs'!BL166</f>
        <v>39188.130198178187</v>
      </c>
      <c r="BN87" s="10">
        <f>'Motor Vs'!BM166</f>
        <v>141075.01471373174</v>
      </c>
      <c r="BO87" s="10">
        <f>'Motor Vs'!BN166</f>
        <v>264196.84297617013</v>
      </c>
      <c r="BP87" s="10">
        <f>'Motor Vs'!BO166</f>
        <v>98370.322884856942</v>
      </c>
      <c r="BQ87" s="10">
        <f>SUM(BJ87:BP87)</f>
        <v>775429.15865743882</v>
      </c>
    </row>
    <row r="88" spans="2:78">
      <c r="B88" s="280"/>
      <c r="G88" s="1133"/>
      <c r="H88" s="1133"/>
      <c r="I88" s="1133"/>
      <c r="J88" s="1133"/>
      <c r="K88" s="1133"/>
      <c r="L88" s="1133"/>
      <c r="M88" s="1133"/>
      <c r="N88" s="1133"/>
      <c r="O88" s="138"/>
      <c r="P88" s="136">
        <f>ROW()</f>
        <v>88</v>
      </c>
      <c r="X88" s="138"/>
      <c r="AG88" s="138"/>
      <c r="AP88" s="138"/>
      <c r="AY88" s="138"/>
      <c r="BH88" s="138"/>
      <c r="BQ88" s="138"/>
    </row>
    <row r="89" spans="2:78" ht="12">
      <c r="B89" s="1049" t="s">
        <v>1954</v>
      </c>
      <c r="C89" s="1050"/>
      <c r="D89" s="1050"/>
      <c r="E89" s="1050"/>
      <c r="F89" s="1050"/>
      <c r="G89" s="1180">
        <f t="shared" ref="G89:L89" si="75">G85+G87</f>
        <v>10797217.071166929</v>
      </c>
      <c r="H89" s="1180">
        <f t="shared" si="75"/>
        <v>2026783.1827304019</v>
      </c>
      <c r="I89" s="1180">
        <f t="shared" si="75"/>
        <v>11428392.240015838</v>
      </c>
      <c r="J89" s="1180">
        <f t="shared" si="75"/>
        <v>3490540.2744757971</v>
      </c>
      <c r="K89" s="1180">
        <f t="shared" si="75"/>
        <v>12767662.314254921</v>
      </c>
      <c r="L89" s="1180">
        <f t="shared" si="75"/>
        <v>24248614.308510393</v>
      </c>
      <c r="M89" s="1180">
        <f>M85+M87</f>
        <v>9219479.0536729842</v>
      </c>
      <c r="N89" s="1180"/>
      <c r="O89" s="1051">
        <f>SUM(G89:M89)</f>
        <v>73978688.444827259</v>
      </c>
      <c r="P89" s="136">
        <f>ROW()</f>
        <v>89</v>
      </c>
    </row>
    <row r="90" spans="2:78" ht="12">
      <c r="B90" s="281" t="s">
        <v>2900</v>
      </c>
      <c r="G90" s="1133">
        <f t="shared" ref="G90:M90" si="76">G89/G53</f>
        <v>1799536.1785278216</v>
      </c>
      <c r="H90" s="1133">
        <f t="shared" si="76"/>
        <v>2026783.1827304019</v>
      </c>
      <c r="I90" s="1133">
        <f t="shared" si="76"/>
        <v>3809464.0800052793</v>
      </c>
      <c r="J90" s="1133">
        <f t="shared" si="76"/>
        <v>3490540.2744757971</v>
      </c>
      <c r="K90" s="1133">
        <f t="shared" si="76"/>
        <v>3191915.5785637302</v>
      </c>
      <c r="L90" s="1133">
        <f t="shared" si="76"/>
        <v>4041435.7180850655</v>
      </c>
      <c r="M90" s="1133">
        <f t="shared" si="76"/>
        <v>3073159.6845576614</v>
      </c>
      <c r="N90" s="1133"/>
      <c r="O90" s="186"/>
      <c r="P90" s="136">
        <f>ROW()</f>
        <v>90</v>
      </c>
    </row>
    <row r="91" spans="2:78" ht="12">
      <c r="B91" s="281"/>
      <c r="G91" s="930"/>
      <c r="H91" s="930"/>
      <c r="I91" s="930"/>
      <c r="J91" s="930"/>
      <c r="K91" s="930"/>
      <c r="L91" s="930"/>
      <c r="M91" s="930"/>
      <c r="N91" s="930"/>
      <c r="O91" s="186"/>
      <c r="P91" s="136">
        <f>ROW()</f>
        <v>91</v>
      </c>
    </row>
    <row r="92" spans="2:78" ht="12">
      <c r="B92" s="6" t="s">
        <v>1934</v>
      </c>
      <c r="O92" s="880"/>
      <c r="P92" s="136">
        <f>ROW()</f>
        <v>92</v>
      </c>
    </row>
    <row r="93" spans="2:78" ht="12" customHeight="1">
      <c r="B93" s="1049" t="s">
        <v>1935</v>
      </c>
      <c r="C93" s="1050"/>
      <c r="D93" s="1050"/>
      <c r="E93" s="1050"/>
      <c r="F93" s="1050"/>
      <c r="G93" s="1083">
        <f t="shared" ref="G93:M93" si="77">24.2/(1+0.1*(G78/V_sub_k)^4.08)</f>
        <v>20.047253481090394</v>
      </c>
      <c r="H93" s="1083">
        <f t="shared" si="77"/>
        <v>21.916028454867291</v>
      </c>
      <c r="I93" s="1083">
        <f t="shared" si="77"/>
        <v>8.9175518710003505</v>
      </c>
      <c r="J93" s="1083">
        <f t="shared" si="77"/>
        <v>9.5898644280053844</v>
      </c>
      <c r="K93" s="1083">
        <f t="shared" si="77"/>
        <v>11.994535084059809</v>
      </c>
      <c r="L93" s="1083">
        <f t="shared" si="77"/>
        <v>7.5695635782736312</v>
      </c>
      <c r="M93" s="1083">
        <f t="shared" si="77"/>
        <v>11.678051044056247</v>
      </c>
      <c r="N93" s="1086"/>
      <c r="P93" s="136">
        <f>ROW()</f>
        <v>93</v>
      </c>
    </row>
    <row r="94" spans="2:78" ht="12" customHeight="1">
      <c r="B94" s="309" t="str">
        <f>CONCATENATE("Reciprocal of Cordon Speeds (needed to calc avgs in Rows ",P96, " &amp; ",P97,")")</f>
        <v>Reciprocal of Cordon Speeds (needed to calc avgs in Rows 96 &amp; 97)</v>
      </c>
      <c r="D94" s="86"/>
      <c r="E94" s="86"/>
      <c r="F94" s="86"/>
      <c r="G94" s="117">
        <f t="shared" ref="G94:M94" si="78">1/G93</f>
        <v>4.9882144750813456E-2</v>
      </c>
      <c r="H94" s="117">
        <f t="shared" si="78"/>
        <v>4.5628705130555343E-2</v>
      </c>
      <c r="I94" s="117">
        <f t="shared" si="78"/>
        <v>0.11213840014230524</v>
      </c>
      <c r="J94" s="117">
        <f t="shared" si="78"/>
        <v>0.10427676089765035</v>
      </c>
      <c r="K94" s="117">
        <f t="shared" si="78"/>
        <v>8.337130142951138E-2</v>
      </c>
      <c r="L94" s="117">
        <f t="shared" si="78"/>
        <v>0.13210801252402812</v>
      </c>
      <c r="M94" s="117">
        <f t="shared" si="78"/>
        <v>8.5630726927586762E-2</v>
      </c>
      <c r="N94" s="117"/>
      <c r="P94" s="136">
        <f>ROW()</f>
        <v>94</v>
      </c>
    </row>
    <row r="95" spans="2:78">
      <c r="B95" s="309" t="str">
        <f>CONCATENATE("Are calculated using speed-vol. relationship in Speed-Volume Cordon wksheet, operating on Vk value derived there and shown in Motor Vs wksheet in Row ",'Motor Vs'!O181, ", and on hourly VMT figs in Row ",P78, ".")</f>
        <v>Are calculated using speed-vol. relationship in Speed-Volume Cordon wksheet, operating on Vk value derived there and shown in Motor Vs wksheet in Row 181, and on hourly VMT figs in Row 78.</v>
      </c>
      <c r="G95" s="282"/>
      <c r="P95" s="136">
        <f>ROW()</f>
        <v>95</v>
      </c>
    </row>
    <row r="96" spans="2:78">
      <c r="H96" s="171" t="s">
        <v>1533</v>
      </c>
      <c r="I96" s="113"/>
      <c r="J96" s="113"/>
      <c r="K96" s="1084">
        <f>(I76+J76+K76+L76*(4/6))/(I76*I94+J76*J94+K76*K94+L76*(4/6)*L94)</f>
        <v>9.0831868790341748</v>
      </c>
      <c r="P96" s="136">
        <f>ROW()</f>
        <v>96</v>
      </c>
    </row>
    <row r="97" spans="1:16">
      <c r="H97" s="171" t="s">
        <v>1534</v>
      </c>
      <c r="I97" s="113"/>
      <c r="J97" s="113"/>
      <c r="K97" s="955">
        <f>$O$76/SUMPRODUCT(G94:M94,G76:M76)</f>
        <v>10.290328967139803</v>
      </c>
      <c r="P97" s="136">
        <f>ROW()</f>
        <v>97</v>
      </c>
    </row>
    <row r="98" spans="1:16">
      <c r="B98" s="280" t="s">
        <v>113</v>
      </c>
      <c r="C98" s="297"/>
      <c r="D98" s="297"/>
      <c r="E98" s="297"/>
      <c r="F98" s="297"/>
      <c r="G98" s="21"/>
      <c r="H98" s="21"/>
      <c r="I98" s="615"/>
      <c r="J98" s="21"/>
      <c r="K98" s="21"/>
      <c r="L98" s="21"/>
      <c r="M98" s="21"/>
      <c r="N98" s="21"/>
      <c r="P98" s="136">
        <f>ROW()</f>
        <v>98</v>
      </c>
    </row>
    <row r="99" spans="1:16" ht="11.7" customHeight="1">
      <c r="A99" s="281"/>
      <c r="B99" s="4187" t="s">
        <v>984</v>
      </c>
      <c r="C99" s="4187"/>
      <c r="D99" s="4187"/>
      <c r="E99" s="4187"/>
      <c r="F99" s="4187"/>
      <c r="G99" s="4187"/>
      <c r="H99" s="4187"/>
      <c r="I99" s="4187"/>
      <c r="J99" s="4187"/>
      <c r="K99" s="4187"/>
      <c r="L99" s="4187"/>
      <c r="M99" s="21"/>
      <c r="N99" s="21"/>
      <c r="P99" s="136">
        <f>ROW()</f>
        <v>99</v>
      </c>
    </row>
    <row r="100" spans="1:16">
      <c r="A100" s="281"/>
      <c r="B100" s="4187"/>
      <c r="C100" s="4187"/>
      <c r="D100" s="4187"/>
      <c r="E100" s="4187"/>
      <c r="F100" s="4187"/>
      <c r="G100" s="4187"/>
      <c r="H100" s="4187"/>
      <c r="I100" s="4187"/>
      <c r="J100" s="4187"/>
      <c r="K100" s="4187"/>
      <c r="L100" s="4187"/>
      <c r="M100" s="21"/>
      <c r="N100" s="21"/>
      <c r="P100" s="136">
        <f>ROW()</f>
        <v>100</v>
      </c>
    </row>
    <row r="101" spans="1:16">
      <c r="A101" s="281"/>
      <c r="B101" s="4187"/>
      <c r="C101" s="4187"/>
      <c r="D101" s="4187"/>
      <c r="E101" s="4187"/>
      <c r="F101" s="4187"/>
      <c r="G101" s="4187"/>
      <c r="H101" s="4187"/>
      <c r="I101" s="4187"/>
      <c r="J101" s="4187"/>
      <c r="K101" s="4187"/>
      <c r="L101" s="4187"/>
      <c r="M101" s="21"/>
      <c r="N101" s="21"/>
      <c r="P101" s="136">
        <f>ROW()</f>
        <v>101</v>
      </c>
    </row>
    <row r="102" spans="1:16">
      <c r="A102" s="281"/>
      <c r="B102" s="1085" t="s">
        <v>562</v>
      </c>
      <c r="C102" s="886"/>
      <c r="D102" s="886"/>
      <c r="E102" s="886"/>
      <c r="F102" s="886"/>
      <c r="G102" s="1086">
        <f t="shared" ref="G102:M102" si="79">Alpha*EXP(Beta*G90/SVConstant)</f>
        <v>48.46786739869075</v>
      </c>
      <c r="H102" s="1086">
        <f t="shared" si="79"/>
        <v>42.764042563679901</v>
      </c>
      <c r="I102" s="1086">
        <f t="shared" si="79"/>
        <v>16.014848387612947</v>
      </c>
      <c r="J102" s="1086">
        <f t="shared" si="79"/>
        <v>19.091243225933212</v>
      </c>
      <c r="K102" s="1086">
        <f t="shared" si="79"/>
        <v>22.505489529350609</v>
      </c>
      <c r="L102" s="1086">
        <f t="shared" si="79"/>
        <v>14.093445284785151</v>
      </c>
      <c r="M102" s="1086">
        <f t="shared" si="79"/>
        <v>24.027252382404939</v>
      </c>
      <c r="N102" s="1086"/>
      <c r="P102" s="136">
        <f>ROW()</f>
        <v>102</v>
      </c>
    </row>
    <row r="103" spans="1:16" ht="12">
      <c r="A103" s="281"/>
      <c r="B103" s="1087" t="s">
        <v>563</v>
      </c>
      <c r="C103" s="1088"/>
      <c r="D103" s="1088"/>
      <c r="E103" s="1088"/>
      <c r="F103" s="1088"/>
      <c r="G103" s="1083">
        <f>MIN(G102,'Speed-Vol., non-Cordon'!$X$32)</f>
        <v>48.46786739869075</v>
      </c>
      <c r="H103" s="1083">
        <f>MIN(H102,'Speed-Vol., non-Cordon'!$X$32)</f>
        <v>42.764042563679901</v>
      </c>
      <c r="I103" s="1083">
        <f>MIN(I102,'Speed-Vol., non-Cordon'!$X$32)</f>
        <v>16.014848387612947</v>
      </c>
      <c r="J103" s="1083">
        <f>MIN(J102,'Speed-Vol., non-Cordon'!$X$32)</f>
        <v>19.091243225933212</v>
      </c>
      <c r="K103" s="1083">
        <f>MIN(K102,'Speed-Vol., non-Cordon'!$X$32)</f>
        <v>22.505489529350609</v>
      </c>
      <c r="L103" s="1083">
        <f>MIN(L102,'Speed-Vol., non-Cordon'!$X$32)</f>
        <v>14.093445284785151</v>
      </c>
      <c r="M103" s="1181">
        <f>MIN(M102,'Speed-Vol., non-Cordon'!$X$32)</f>
        <v>24.027252382404939</v>
      </c>
      <c r="N103" s="1086"/>
      <c r="O103" s="163"/>
      <c r="P103" s="136">
        <f>ROW()</f>
        <v>103</v>
      </c>
    </row>
    <row r="104" spans="1:16" ht="12" customHeight="1">
      <c r="B104" s="309" t="str">
        <f>CONCATENATE("Reciprocal of Cordon Speeds (needed to calc avgs in Rows ",P105, " &amp; ",P106,")")</f>
        <v>Reciprocal of Cordon Speeds (needed to calc avgs in Rows 105 &amp; 106)</v>
      </c>
      <c r="D104" s="86"/>
      <c r="E104" s="86"/>
      <c r="F104" s="86"/>
      <c r="G104" s="117">
        <f t="shared" ref="G104:M104" si="80">1/G103</f>
        <v>2.0632226125695242E-2</v>
      </c>
      <c r="H104" s="117">
        <f t="shared" si="80"/>
        <v>2.3384131622049081E-2</v>
      </c>
      <c r="I104" s="117">
        <f t="shared" si="80"/>
        <v>6.2442052262790884E-2</v>
      </c>
      <c r="J104" s="117">
        <f t="shared" si="80"/>
        <v>5.2380035609290096E-2</v>
      </c>
      <c r="K104" s="117">
        <f t="shared" si="80"/>
        <v>4.4433603574623282E-2</v>
      </c>
      <c r="L104" s="117">
        <f t="shared" si="80"/>
        <v>7.0954970895553068E-2</v>
      </c>
      <c r="M104" s="117">
        <f t="shared" si="80"/>
        <v>4.1619407166684441E-2</v>
      </c>
      <c r="N104" s="117"/>
      <c r="P104" s="136">
        <f>ROW()</f>
        <v>104</v>
      </c>
    </row>
    <row r="105" spans="1:16">
      <c r="F105" s="113"/>
      <c r="H105" s="171" t="s">
        <v>1533</v>
      </c>
      <c r="I105" s="113"/>
      <c r="J105" s="113"/>
      <c r="K105" s="1084">
        <f>(I$78*I53+J$78*J53+K$78*K53+L$78*4)/(I78*I53*I104+J78*J53*J104+K78*K53*K104+L78*4*L104)</f>
        <v>16.865445026870535</v>
      </c>
      <c r="L105" s="113"/>
      <c r="P105" s="136">
        <f>ROW()</f>
        <v>105</v>
      </c>
    </row>
    <row r="106" spans="1:16">
      <c r="F106" s="113"/>
      <c r="H106" s="171" t="s">
        <v>1534</v>
      </c>
      <c r="I106" s="113"/>
      <c r="J106" s="113"/>
      <c r="K106" s="955">
        <f>O76/SUMPRODUCT(G104:M104,G76:M76)</f>
        <v>19.753333964539561</v>
      </c>
      <c r="P106" s="136">
        <f>ROW()</f>
        <v>106</v>
      </c>
    </row>
    <row r="107" spans="1:16" ht="13.2">
      <c r="B107" s="24" t="s">
        <v>1588</v>
      </c>
      <c r="C107" s="297"/>
      <c r="D107" s="297"/>
      <c r="E107" s="297"/>
      <c r="F107" s="297"/>
      <c r="K107" s="123"/>
      <c r="P107" s="136">
        <f>ROW()</f>
        <v>107</v>
      </c>
    </row>
    <row r="108" spans="1:16" ht="12">
      <c r="B108" s="6"/>
      <c r="C108" s="297"/>
      <c r="D108" s="297"/>
      <c r="E108" s="297"/>
      <c r="F108" s="297"/>
      <c r="G108" s="282"/>
      <c r="H108" s="282"/>
      <c r="I108" s="282"/>
      <c r="J108" s="282"/>
      <c r="K108" s="282"/>
      <c r="L108" s="282"/>
      <c r="M108" s="282"/>
      <c r="N108" s="282"/>
      <c r="O108" s="186"/>
      <c r="P108" s="136">
        <f>ROW()</f>
        <v>108</v>
      </c>
    </row>
    <row r="109" spans="1:16" ht="12">
      <c r="B109" s="172" t="s">
        <v>782</v>
      </c>
      <c r="C109" s="297"/>
      <c r="D109" s="297"/>
      <c r="E109" s="297"/>
      <c r="F109" s="297"/>
      <c r="G109" s="1123">
        <f>'Motor Vs'!G147/G93</f>
        <v>22288.751662457744</v>
      </c>
      <c r="H109" s="1123">
        <f>'Motor Vs'!H147/H93</f>
        <v>4051.1408592003345</v>
      </c>
      <c r="I109" s="1123">
        <f>'Motor Vs'!I147/I93</f>
        <v>59404.923663650647</v>
      </c>
      <c r="J109" s="1123">
        <f>'Motor Vs'!J147/J93</f>
        <v>17900.171640197725</v>
      </c>
      <c r="K109" s="1123">
        <f>'Motor Vs'!K147/K93</f>
        <v>51553.960552713317</v>
      </c>
      <c r="L109" s="1123">
        <f>'Motor Vs'!L147/L93</f>
        <v>146817.21882851556</v>
      </c>
      <c r="M109" s="1123">
        <f>'Motor Vs'!M147/M93</f>
        <v>40018.65506237017</v>
      </c>
      <c r="N109" s="1123"/>
      <c r="O109" s="1182">
        <f>SUM(G109:M109)</f>
        <v>342034.82226910553</v>
      </c>
      <c r="P109" s="136">
        <f>ROW()</f>
        <v>109</v>
      </c>
    </row>
    <row r="110" spans="1:16" ht="12">
      <c r="B110" s="4101" t="str">
        <f>CONCATENATE("Calculated as quotient of Row ",'Motor Vs'!O147, " VMT figures in Motor Vs worksheet by Row ",P93, " speeds. Numerator uses Motor Vs VMT figures to ensure that delays are calculated on 'baseline' vehicle volumes only and do not [spuriously] reflect delays experienced by the hypothesized additional vehicles.")</f>
        <v>Calculated as quotient of Row 147 VMT figures in Motor Vs worksheet by Row 93 speeds. Numerator uses Motor Vs VMT figures to ensure that delays are calculated on 'baseline' vehicle volumes only and do not [spuriously] reflect delays experienced by the hypothesized additional vehicles.</v>
      </c>
      <c r="C110" s="3659"/>
      <c r="D110" s="3659"/>
      <c r="E110" s="3659"/>
      <c r="F110" s="3659"/>
      <c r="G110" s="3659"/>
      <c r="H110" s="3659"/>
      <c r="I110" s="3659"/>
      <c r="J110" s="3659"/>
      <c r="K110" s="3659"/>
      <c r="L110" s="3659"/>
      <c r="M110" s="282"/>
      <c r="N110" s="282"/>
      <c r="O110" s="186"/>
      <c r="P110" s="136">
        <f>ROW()</f>
        <v>110</v>
      </c>
    </row>
    <row r="111" spans="1:16">
      <c r="B111" s="3659"/>
      <c r="C111" s="3659"/>
      <c r="D111" s="3659"/>
      <c r="E111" s="3659"/>
      <c r="F111" s="3659"/>
      <c r="G111" s="3659"/>
      <c r="H111" s="3659"/>
      <c r="I111" s="3659"/>
      <c r="J111" s="3659"/>
      <c r="K111" s="3659"/>
      <c r="L111" s="3659"/>
      <c r="P111" s="136">
        <f>ROW()</f>
        <v>111</v>
      </c>
    </row>
    <row r="112" spans="1:16">
      <c r="B112" s="281" t="s">
        <v>783</v>
      </c>
      <c r="C112" s="568"/>
      <c r="D112" s="568"/>
      <c r="E112" s="568"/>
      <c r="G112" s="1123">
        <f>'Motor Vs'!G190</f>
        <v>21206.887016138899</v>
      </c>
      <c r="H112" s="1123">
        <f>'Motor Vs'!H190</f>
        <v>4395.5549338387082</v>
      </c>
      <c r="I112" s="1123">
        <f>'Motor Vs'!I190</f>
        <v>57677.375921739913</v>
      </c>
      <c r="J112" s="1123">
        <f>'Motor Vs'!J190</f>
        <v>17525.869639600944</v>
      </c>
      <c r="K112" s="1123">
        <f>'Motor Vs'!K190</f>
        <v>51145.557893814155</v>
      </c>
      <c r="L112" s="1123">
        <f>'Motor Vs'!L190</f>
        <v>135843.65352278142</v>
      </c>
      <c r="M112" s="1123">
        <f>'Motor Vs'!M190</f>
        <v>39195.727759532099</v>
      </c>
      <c r="N112" s="1123"/>
      <c r="O112" s="1182">
        <f>SUM(G112:M112)</f>
        <v>326990.62668744614</v>
      </c>
      <c r="P112" s="136">
        <f>ROW()</f>
        <v>112</v>
      </c>
    </row>
    <row r="113" spans="2:78" ht="12">
      <c r="B113" s="215" t="str">
        <f>CONCATENATE("Taken from corresponding entry in Motor Vs, Row ",'Motor Vs'!O190)</f>
        <v>Taken from corresponding entry in Motor Vs, Row 190</v>
      </c>
      <c r="C113" s="568"/>
      <c r="D113" s="568"/>
      <c r="E113" s="568"/>
      <c r="O113" s="186"/>
      <c r="P113" s="136">
        <f>ROW()</f>
        <v>113</v>
      </c>
    </row>
    <row r="114" spans="2:78" ht="12">
      <c r="B114" s="281" t="str">
        <f>CONCATENATE("Preliminary difference in number of hours in traffic within cordon, as result of FreshDirect trucks (difference between rows ",P109, " and ",P112,")")</f>
        <v>Preliminary difference in number of hours in traffic within cordon, as result of FreshDirect trucks (difference between rows 109 and 112)</v>
      </c>
      <c r="C114" s="568"/>
      <c r="D114" s="568"/>
      <c r="E114" s="568"/>
      <c r="O114" s="186">
        <f>O109-O112</f>
        <v>15044.195581659384</v>
      </c>
      <c r="P114" s="136">
        <f>ROW()</f>
        <v>114</v>
      </c>
    </row>
    <row r="115" spans="2:78" ht="12">
      <c r="B115" s="1049" t="str">
        <f>CONCATENATE("Adj. difference in hours in traffic w/i cordon, as result of FreshDirect trucks (multiplies truck delay factor from 'Delay Costs' worksheet, Row ",'Delay Costs'!K$83, ", times Row ",P114, " figure)")</f>
        <v>Adj. difference in hours in traffic w/i cordon, as result of FreshDirect trucks (multiplies truck delay factor from 'Delay Costs' worksheet, Row 83, times Row 114 figure)</v>
      </c>
      <c r="C115" s="1089"/>
      <c r="D115" s="1089"/>
      <c r="E115" s="1089"/>
      <c r="F115" s="1089"/>
      <c r="G115" s="1090"/>
      <c r="H115" s="1050"/>
      <c r="I115" s="1050"/>
      <c r="J115" s="1050"/>
      <c r="K115" s="1050"/>
      <c r="L115" s="1050"/>
      <c r="M115" s="1050"/>
      <c r="N115" s="1050"/>
      <c r="O115" s="1051">
        <f>O114*'Delay Costs'!$E$83</f>
        <v>33950.319318164518</v>
      </c>
      <c r="P115" s="136">
        <f>ROW()</f>
        <v>115</v>
      </c>
    </row>
    <row r="116" spans="2:78" ht="12">
      <c r="B116" s="281"/>
      <c r="C116" s="568"/>
      <c r="D116" s="568"/>
      <c r="E116" s="568"/>
      <c r="F116" s="568"/>
      <c r="G116" s="282"/>
      <c r="O116" s="186"/>
      <c r="P116" s="136">
        <f>ROW()</f>
        <v>116</v>
      </c>
    </row>
    <row r="117" spans="2:78" ht="12">
      <c r="B117" s="172" t="s">
        <v>1120</v>
      </c>
      <c r="C117" s="568"/>
      <c r="D117" s="568"/>
      <c r="E117" s="568"/>
      <c r="F117" s="568"/>
      <c r="G117" s="1123">
        <f>'Motor Vs'!G167/G103</f>
        <v>153814.3613916749</v>
      </c>
      <c r="H117" s="1123">
        <f>'Motor Vs'!H167/H103</f>
        <v>45982.617111762047</v>
      </c>
      <c r="I117" s="1123">
        <f>'Motor Vs'!I167/I103</f>
        <v>691885.48882237845</v>
      </c>
      <c r="J117" s="1123">
        <f>'Motor Vs'!J167/J103</f>
        <v>176991.69557882863</v>
      </c>
      <c r="K117" s="1123">
        <f>'Motor Vs'!K167/K103</f>
        <v>546463.66117203131</v>
      </c>
      <c r="L117" s="1123">
        <f>'Motor Vs'!L167/L103</f>
        <v>1647981.3543406788</v>
      </c>
      <c r="M117" s="1123">
        <f>'Motor Vs'!M167/M103</f>
        <v>366875.87379985902</v>
      </c>
      <c r="N117" s="1123"/>
      <c r="O117" s="1182">
        <f>SUM(G117:M117)</f>
        <v>3629995.052217213</v>
      </c>
      <c r="P117" s="136">
        <f>ROW()</f>
        <v>117</v>
      </c>
    </row>
    <row r="118" spans="2:78" ht="12">
      <c r="B118" s="4101" t="str">
        <f>CONCATENATE("Calculated as quotient of Row ",'Motor Vs'!O167, " VMT figures in Motor Vs worksheet by Row ",P103, " speeds in this worksheet. Numerator uses Motor Vs VMT figures to ensure that delays are calculated on 'baseline' vehicle volumes only and do not [spuriously] reflect delays experienced by the hypothesized additional vehicles.")</f>
        <v>Calculated as quotient of Row 167 VMT figures in Motor Vs worksheet by Row 103 speeds in this worksheet. Numerator uses Motor Vs VMT figures to ensure that delays are calculated on 'baseline' vehicle volumes only and do not [spuriously] reflect delays experienced by the hypothesized additional vehicles.</v>
      </c>
      <c r="C118" s="3659"/>
      <c r="D118" s="3659"/>
      <c r="E118" s="3659"/>
      <c r="F118" s="3659"/>
      <c r="G118" s="3659"/>
      <c r="H118" s="3659"/>
      <c r="I118" s="3659"/>
      <c r="J118" s="3659"/>
      <c r="K118" s="3659"/>
      <c r="L118" s="3659"/>
      <c r="O118" s="186"/>
      <c r="P118" s="136">
        <f>ROW()</f>
        <v>118</v>
      </c>
    </row>
    <row r="119" spans="2:78" ht="12">
      <c r="B119" s="3659"/>
      <c r="C119" s="3659"/>
      <c r="D119" s="3659"/>
      <c r="E119" s="3659"/>
      <c r="F119" s="3659"/>
      <c r="G119" s="3659"/>
      <c r="H119" s="3659"/>
      <c r="I119" s="3659"/>
      <c r="J119" s="3659"/>
      <c r="K119" s="3659"/>
      <c r="L119" s="3659"/>
      <c r="O119" s="186"/>
      <c r="P119" s="136">
        <f>ROW()</f>
        <v>119</v>
      </c>
    </row>
    <row r="120" spans="2:78">
      <c r="B120" s="281" t="s">
        <v>250</v>
      </c>
      <c r="C120" s="568"/>
      <c r="D120" s="568"/>
      <c r="E120" s="568"/>
      <c r="F120" s="568"/>
      <c r="G120" s="1123">
        <f>'Motor Vs'!G966</f>
        <v>135546.4376717454</v>
      </c>
      <c r="H120" s="1123">
        <f>'Motor Vs'!H966</f>
        <v>44478.071936646833</v>
      </c>
      <c r="I120" s="1123">
        <f>'Motor Vs'!I966</f>
        <v>649055.60608664656</v>
      </c>
      <c r="J120" s="1123">
        <f>'Motor Vs'!J966</f>
        <v>166441.54913603849</v>
      </c>
      <c r="K120" s="1123">
        <f>'Motor Vs'!K966</f>
        <v>512262.07355467405</v>
      </c>
      <c r="L120" s="1123">
        <f>'Motor Vs'!L966</f>
        <v>1500238.297585078</v>
      </c>
      <c r="M120" s="1123">
        <f>'Motor Vs'!M966</f>
        <v>340611.83640879602</v>
      </c>
      <c r="N120" s="1123"/>
      <c r="O120" s="1123">
        <f>SUM(G120:M120)</f>
        <v>3348633.8723796252</v>
      </c>
      <c r="P120" s="136">
        <f>ROW()</f>
        <v>120</v>
      </c>
    </row>
    <row r="121" spans="2:78" ht="12">
      <c r="B121" s="215" t="str">
        <f>CONCATENATE("Taken from corresponding entry in Motor Vs, Row ",'Motor Vs'!O966)</f>
        <v>Taken from corresponding entry in Motor Vs, Row 966</v>
      </c>
      <c r="C121" s="568"/>
      <c r="D121" s="568"/>
      <c r="E121" s="568"/>
      <c r="F121" s="568"/>
      <c r="G121" s="282"/>
      <c r="O121" s="186"/>
      <c r="P121" s="136">
        <f>ROW()</f>
        <v>121</v>
      </c>
    </row>
    <row r="122" spans="2:78" ht="12">
      <c r="B122" s="281" t="str">
        <f>CONCATENATE("Preliminary difference in number of hours in traffic outside cordon, as result of FreshDirect trucks (difference between rows ",P117, " and ",P120,")")</f>
        <v>Preliminary difference in number of hours in traffic outside cordon, as result of FreshDirect trucks (difference between rows 117 and 120)</v>
      </c>
      <c r="C122" s="568"/>
      <c r="D122" s="568"/>
      <c r="E122" s="568"/>
      <c r="O122" s="186">
        <f>O117-O120</f>
        <v>281361.17983758776</v>
      </c>
      <c r="P122" s="136">
        <f>ROW()</f>
        <v>122</v>
      </c>
    </row>
    <row r="123" spans="2:78" ht="12">
      <c r="B123" s="1049" t="str">
        <f>CONCATENATE("Adj. difference in hours in traffic outside cordon, as result of FreshDirect trucks (multiplies truck delay factor from 'Delay Costs' worksheet, Row ",'Delay Costs'!K$83, ", times Row ",P122, " figure)")</f>
        <v>Adj. difference in hours in traffic outside cordon, as result of FreshDirect trucks (multiplies truck delay factor from 'Delay Costs' worksheet, Row 83, times Row 122 figure)</v>
      </c>
      <c r="C123" s="1089"/>
      <c r="D123" s="1089"/>
      <c r="E123" s="1089"/>
      <c r="F123" s="1089"/>
      <c r="G123" s="1090"/>
      <c r="H123" s="1050"/>
      <c r="I123" s="1050"/>
      <c r="J123" s="1050"/>
      <c r="K123" s="1050"/>
      <c r="L123" s="1050"/>
      <c r="M123" s="1050"/>
      <c r="N123" s="1050"/>
      <c r="O123" s="1051">
        <f>O122*'Delay Costs'!$E$83</f>
        <v>634949.32961832662</v>
      </c>
      <c r="P123" s="136">
        <f>ROW()</f>
        <v>123</v>
      </c>
    </row>
    <row r="124" spans="2:78">
      <c r="B124" s="281"/>
      <c r="C124" s="568"/>
      <c r="D124" s="568"/>
      <c r="E124" s="568"/>
      <c r="P124" s="136">
        <f>ROW()</f>
        <v>124</v>
      </c>
    </row>
    <row r="125" spans="2:78" ht="12">
      <c r="B125" s="172" t="s">
        <v>1116</v>
      </c>
      <c r="C125" s="568"/>
      <c r="D125" s="568"/>
      <c r="E125" s="568"/>
      <c r="P125" s="136">
        <f>ROW()</f>
        <v>125</v>
      </c>
    </row>
    <row r="126" spans="2:78" s="24" customFormat="1" ht="13.2">
      <c r="B126" s="1091" t="s">
        <v>1245</v>
      </c>
      <c r="C126" s="1092"/>
      <c r="D126" s="1092"/>
      <c r="E126" s="1092"/>
      <c r="F126" s="1092"/>
      <c r="G126" s="1093"/>
      <c r="H126" s="1094"/>
      <c r="I126" s="1094"/>
      <c r="J126" s="1094"/>
      <c r="K126" s="1094"/>
      <c r="L126" s="1094"/>
      <c r="M126" s="5226">
        <f>(O115+O123)</f>
        <v>668899.64893649111</v>
      </c>
      <c r="N126" s="5226"/>
      <c r="O126" s="5227"/>
      <c r="P126" s="136">
        <f>ROW()</f>
        <v>126</v>
      </c>
      <c r="Q126"/>
      <c r="R126"/>
      <c r="S126"/>
      <c r="T126"/>
      <c r="U126"/>
      <c r="V126"/>
      <c r="W126"/>
      <c r="X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row>
    <row r="127" spans="2:78" s="1006" customFormat="1" ht="13.2">
      <c r="B127" s="1202"/>
      <c r="C127" s="1203"/>
      <c r="D127" s="1203"/>
      <c r="E127" s="1203"/>
      <c r="F127" s="1203"/>
      <c r="G127" s="1204"/>
      <c r="H127" s="1205"/>
      <c r="I127" s="1205"/>
      <c r="J127" s="1205"/>
      <c r="K127" s="1205"/>
      <c r="L127" s="1205"/>
      <c r="M127" s="1206"/>
      <c r="N127" s="1206"/>
      <c r="O127" s="1206"/>
      <c r="P127" s="136">
        <f>ROW()</f>
        <v>127</v>
      </c>
      <c r="Q127" s="86"/>
      <c r="R127" s="86"/>
      <c r="S127" s="86"/>
      <c r="T127" s="86"/>
      <c r="U127" s="86"/>
      <c r="V127" s="86"/>
      <c r="W127" s="86"/>
      <c r="X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row>
    <row r="128" spans="2:78">
      <c r="B128" s="1379"/>
      <c r="C128" s="1379"/>
      <c r="D128" s="1379"/>
      <c r="E128" s="1379"/>
      <c r="F128" s="1379"/>
      <c r="G128" s="1379"/>
      <c r="H128" s="1379"/>
      <c r="I128" s="1379"/>
      <c r="J128" s="1379"/>
      <c r="K128" s="1379"/>
      <c r="P128" s="136">
        <f>ROW()</f>
        <v>128</v>
      </c>
    </row>
    <row r="129" spans="2:16" ht="13.2">
      <c r="B129" s="24" t="s">
        <v>687</v>
      </c>
      <c r="E129" s="1379"/>
      <c r="F129" s="1379"/>
      <c r="G129" s="1379"/>
      <c r="H129" s="1379"/>
      <c r="I129" s="1380"/>
      <c r="J129" s="1379"/>
      <c r="K129" s="1379"/>
      <c r="L129" s="1379"/>
      <c r="P129" s="136">
        <f>ROW()</f>
        <v>129</v>
      </c>
    </row>
    <row r="130" spans="2:16" ht="13.2">
      <c r="B130" s="24"/>
      <c r="E130" s="1379"/>
      <c r="F130" s="1379"/>
      <c r="G130" s="1379"/>
      <c r="H130" s="1379"/>
      <c r="I130" s="1380"/>
      <c r="J130" s="1379"/>
      <c r="K130" s="1379"/>
      <c r="L130" s="1379"/>
      <c r="P130" s="136">
        <f>ROW()</f>
        <v>130</v>
      </c>
    </row>
    <row r="131" spans="2:16" ht="12">
      <c r="B131" s="1378" t="s">
        <v>1633</v>
      </c>
      <c r="E131" s="1379"/>
      <c r="F131" s="1379"/>
      <c r="G131" s="1379"/>
      <c r="H131" s="1379"/>
      <c r="I131" s="265"/>
      <c r="J131" s="265"/>
      <c r="K131" s="7"/>
      <c r="L131" s="7"/>
      <c r="M131" s="7"/>
      <c r="P131" s="136">
        <f>ROW()</f>
        <v>131</v>
      </c>
    </row>
    <row r="132" spans="2:16">
      <c r="B132" s="5220" t="s">
        <v>1945</v>
      </c>
      <c r="C132" s="3659"/>
      <c r="D132" s="3659"/>
      <c r="E132" s="3659"/>
      <c r="F132" s="3659"/>
      <c r="G132" s="3659"/>
      <c r="H132" s="3659"/>
      <c r="I132" s="3659"/>
      <c r="J132" s="265"/>
      <c r="K132" s="7"/>
      <c r="L132" s="7"/>
      <c r="M132" s="7"/>
      <c r="P132" s="136">
        <f>ROW()</f>
        <v>132</v>
      </c>
    </row>
    <row r="133" spans="2:16">
      <c r="B133" s="3659"/>
      <c r="C133" s="3659"/>
      <c r="D133" s="3659"/>
      <c r="E133" s="3659"/>
      <c r="F133" s="3659"/>
      <c r="G133" s="3659"/>
      <c r="H133" s="3659"/>
      <c r="I133" s="3659"/>
      <c r="J133" s="1584"/>
      <c r="K133" s="1379"/>
      <c r="L133" s="1379"/>
      <c r="P133" s="136">
        <f>ROW()</f>
        <v>133</v>
      </c>
    </row>
    <row r="134" spans="2:16">
      <c r="B134" s="3659"/>
      <c r="C134" s="3659"/>
      <c r="D134" s="3659"/>
      <c r="E134" s="3659"/>
      <c r="F134" s="3659"/>
      <c r="G134" s="3659"/>
      <c r="H134" s="3659"/>
      <c r="I134" s="3659"/>
      <c r="J134" s="1584"/>
      <c r="K134" s="1379"/>
      <c r="L134" s="1379"/>
      <c r="P134" s="136">
        <f>ROW()</f>
        <v>134</v>
      </c>
    </row>
    <row r="135" spans="2:16">
      <c r="B135" s="3659"/>
      <c r="C135" s="3659"/>
      <c r="D135" s="3659"/>
      <c r="E135" s="3659"/>
      <c r="F135" s="3659"/>
      <c r="G135" s="3659"/>
      <c r="H135" s="3659"/>
      <c r="I135" s="3659"/>
      <c r="J135" s="1584"/>
      <c r="K135" s="1379"/>
      <c r="L135" s="1379"/>
      <c r="P135" s="136">
        <f>ROW()</f>
        <v>135</v>
      </c>
    </row>
    <row r="136" spans="2:16">
      <c r="B136" s="1381" t="s">
        <v>1634</v>
      </c>
      <c r="G136" s="1395">
        <f>0.5*(Cordon!J160)/20</f>
        <v>3.5070785070785072E-2</v>
      </c>
      <c r="P136" s="136">
        <f>ROW()</f>
        <v>136</v>
      </c>
    </row>
    <row r="137" spans="2:16">
      <c r="B137" s="215" t="s">
        <v>1983</v>
      </c>
      <c r="G137" s="1395"/>
      <c r="P137" s="136">
        <f>ROW()</f>
        <v>137</v>
      </c>
    </row>
    <row r="138" spans="2:16">
      <c r="B138" s="1381" t="s">
        <v>2437</v>
      </c>
      <c r="G138" s="1386">
        <f>G136*G250</f>
        <v>2.6303088803088803</v>
      </c>
      <c r="P138" s="136">
        <f>ROW()</f>
        <v>138</v>
      </c>
    </row>
    <row r="139" spans="2:16">
      <c r="B139" s="215" t="str">
        <f>CONCATENATE("Product of acres per truck in Row ",P136, " and fleet size in Row ",P250, ".")</f>
        <v>Product of acres per truck in Row 136 and fleet size in Row 250.</v>
      </c>
      <c r="G139" s="1386"/>
      <c r="P139" s="136">
        <f>ROW()</f>
        <v>139</v>
      </c>
    </row>
    <row r="140" spans="2:16">
      <c r="B140" s="1599" t="s">
        <v>2991</v>
      </c>
      <c r="G140" s="1391">
        <f>Cordon!F189</f>
        <v>1270</v>
      </c>
      <c r="H140" s="1379"/>
      <c r="I140" s="265"/>
      <c r="J140" s="265"/>
      <c r="K140" s="1379"/>
      <c r="L140" s="1379"/>
      <c r="P140" s="136">
        <f>ROW()</f>
        <v>140</v>
      </c>
    </row>
    <row r="141" spans="2:16">
      <c r="B141" s="215" t="s">
        <v>1947</v>
      </c>
      <c r="F141" s="1386"/>
      <c r="G141" s="1379"/>
      <c r="P141" s="136">
        <f>ROW()</f>
        <v>141</v>
      </c>
    </row>
    <row r="142" spans="2:16" ht="12">
      <c r="B142" s="1381" t="s">
        <v>1948</v>
      </c>
      <c r="F142" s="1386"/>
      <c r="G142" s="1614">
        <f>G138/G140</f>
        <v>2.0711093545739217E-3</v>
      </c>
      <c r="H142" s="734"/>
      <c r="K142" s="159"/>
      <c r="L142" s="159"/>
      <c r="P142" s="136">
        <f>ROW()</f>
        <v>142</v>
      </c>
    </row>
    <row r="143" spans="2:16">
      <c r="B143" s="215" t="str">
        <f>CONCATENATE("Ratio of Row ",P138, " to Row ",P140, ".")</f>
        <v>Ratio of Row 138 to Row 140.</v>
      </c>
      <c r="F143" s="1386"/>
      <c r="G143" s="1379"/>
      <c r="K143" s="194"/>
      <c r="L143" s="194"/>
      <c r="P143" s="136">
        <f>ROW()</f>
        <v>143</v>
      </c>
    </row>
    <row r="144" spans="2:16">
      <c r="B144" s="1381"/>
      <c r="F144" s="1386"/>
      <c r="G144" s="1598"/>
      <c r="H144" s="1379"/>
      <c r="I144" s="265"/>
      <c r="J144" s="265"/>
      <c r="K144" s="1379"/>
      <c r="L144" s="1379"/>
      <c r="P144" s="136">
        <f>ROW()</f>
        <v>144</v>
      </c>
    </row>
    <row r="145" spans="2:16" ht="12">
      <c r="B145" s="1378" t="s">
        <v>2392</v>
      </c>
      <c r="P145" s="136">
        <f>ROW()</f>
        <v>145</v>
      </c>
    </row>
    <row r="146" spans="2:16" ht="12">
      <c r="B146" s="1378"/>
      <c r="G146" s="159" t="str">
        <f t="shared" ref="G146:M147" si="81">G51</f>
        <v>Graveyard</v>
      </c>
      <c r="H146" s="159" t="str">
        <f t="shared" si="81"/>
        <v>A.M. Pre-pk</v>
      </c>
      <c r="I146" s="159" t="str">
        <f t="shared" si="81"/>
        <v>A.M. Peak</v>
      </c>
      <c r="J146" s="159" t="str">
        <f t="shared" si="81"/>
        <v>A.M. Post-pk</v>
      </c>
      <c r="K146" s="159" t="str">
        <f t="shared" si="81"/>
        <v>Midday Pk</v>
      </c>
      <c r="L146" s="159" t="str">
        <f t="shared" si="81"/>
        <v>P.M. Peak</v>
      </c>
      <c r="M146" s="159" t="str">
        <f t="shared" si="81"/>
        <v>P.M. Post-pk</v>
      </c>
      <c r="N146" s="159" t="s">
        <v>228</v>
      </c>
      <c r="P146" s="136">
        <f>ROW()</f>
        <v>146</v>
      </c>
    </row>
    <row r="147" spans="2:16" ht="12">
      <c r="B147" s="1378"/>
      <c r="G147" s="194" t="str">
        <f t="shared" si="81"/>
        <v>11 pm - 5 am</v>
      </c>
      <c r="H147" s="194" t="str">
        <f t="shared" si="81"/>
        <v>5 am - 6 am</v>
      </c>
      <c r="I147" s="194" t="str">
        <f t="shared" si="81"/>
        <v>6 am - 9 am</v>
      </c>
      <c r="J147" s="194" t="str">
        <f t="shared" si="81"/>
        <v>9 am - 10 am</v>
      </c>
      <c r="K147" s="194" t="str">
        <f t="shared" si="81"/>
        <v>10 am - 2 pm</v>
      </c>
      <c r="L147" s="194" t="str">
        <f t="shared" si="81"/>
        <v xml:space="preserve">2 pm - 8 pm </v>
      </c>
      <c r="M147" s="194" t="str">
        <f t="shared" si="81"/>
        <v>8 pm - 11 pm</v>
      </c>
      <c r="P147" s="136">
        <f>ROW()</f>
        <v>147</v>
      </c>
    </row>
    <row r="148" spans="2:16">
      <c r="B148" s="1381" t="s">
        <v>1986</v>
      </c>
      <c r="G148" s="1386">
        <f>'Motor Vs'!G184</f>
        <v>21.069959679339988</v>
      </c>
      <c r="H148" s="1386">
        <f>'Motor Vs'!H184</f>
        <v>20.198796211465559</v>
      </c>
      <c r="I148" s="1386">
        <f>'Motor Vs'!I184</f>
        <v>9.18464960823135</v>
      </c>
      <c r="J148" s="1386">
        <f>'Motor Vs'!J184</f>
        <v>9.7946762584405249</v>
      </c>
      <c r="K148" s="1386">
        <f>'Motor Vs'!K184</f>
        <v>12.090312708203816</v>
      </c>
      <c r="L148" s="1386">
        <f>'Motor Vs'!L184</f>
        <v>8.1810393307876197</v>
      </c>
      <c r="M148" s="1386">
        <f>'Motor Vs'!M184</f>
        <v>11.923235598532427</v>
      </c>
      <c r="P148" s="136">
        <f>ROW()</f>
        <v>148</v>
      </c>
    </row>
    <row r="149" spans="2:16">
      <c r="B149" s="215" t="str">
        <f>CONCATENATE("Baseline values in Motor Vs worksheet, Row ",'Motor Vs'!O184,)</f>
        <v>Baseline values in Motor Vs worksheet, Row 184</v>
      </c>
      <c r="G149" s="1386"/>
      <c r="H149" s="1386"/>
      <c r="I149" s="1386"/>
      <c r="J149" s="1386"/>
      <c r="K149" s="1386"/>
      <c r="L149" s="1386"/>
      <c r="M149" s="1386"/>
      <c r="P149" s="136">
        <f>ROW()</f>
        <v>149</v>
      </c>
    </row>
    <row r="150" spans="2:16">
      <c r="B150" s="1381" t="s">
        <v>1950</v>
      </c>
      <c r="G150" s="1386">
        <v>0</v>
      </c>
      <c r="H150" s="1386">
        <v>0</v>
      </c>
      <c r="I150" s="1386">
        <v>0</v>
      </c>
      <c r="J150" s="1386">
        <v>0</v>
      </c>
      <c r="K150" s="1386">
        <v>0</v>
      </c>
      <c r="L150" s="1386">
        <v>1</v>
      </c>
      <c r="M150" s="1386">
        <f>2/3</f>
        <v>0.66666666666666663</v>
      </c>
      <c r="P150" s="136">
        <f>ROW()</f>
        <v>150</v>
      </c>
    </row>
    <row r="151" spans="2:16">
      <c r="B151" s="215" t="s">
        <v>1951</v>
      </c>
      <c r="G151" s="1386"/>
      <c r="H151" s="1386"/>
      <c r="I151" s="1386"/>
      <c r="J151" s="1386"/>
      <c r="K151" s="1386"/>
      <c r="L151" s="1386"/>
      <c r="M151" s="1386"/>
      <c r="P151" s="136">
        <f>ROW()</f>
        <v>151</v>
      </c>
    </row>
    <row r="152" spans="2:16">
      <c r="B152" s="1381" t="s">
        <v>1952</v>
      </c>
      <c r="G152" s="1396">
        <f>G150*6</f>
        <v>0</v>
      </c>
      <c r="H152" s="1396">
        <f>H150*1</f>
        <v>0</v>
      </c>
      <c r="I152" s="1396">
        <f>I150*3</f>
        <v>0</v>
      </c>
      <c r="J152" s="1396">
        <f>J150*1</f>
        <v>0</v>
      </c>
      <c r="K152" s="1396">
        <f>K150*4</f>
        <v>0</v>
      </c>
      <c r="L152" s="1396">
        <f>L150*6</f>
        <v>6</v>
      </c>
      <c r="M152" s="1396">
        <f>M150*3</f>
        <v>2</v>
      </c>
      <c r="P152" s="136">
        <f>ROW()</f>
        <v>152</v>
      </c>
    </row>
    <row r="153" spans="2:16">
      <c r="B153" s="1381" t="s">
        <v>1953</v>
      </c>
      <c r="G153" s="1396">
        <f t="shared" ref="G153:M153" si="82">G152/($L$152+$M$152)*2*$N$34</f>
        <v>0</v>
      </c>
      <c r="H153" s="1396">
        <f t="shared" si="82"/>
        <v>0</v>
      </c>
      <c r="I153" s="1396">
        <f t="shared" si="82"/>
        <v>0</v>
      </c>
      <c r="J153" s="1396">
        <f t="shared" si="82"/>
        <v>0</v>
      </c>
      <c r="K153" s="1396">
        <f t="shared" si="82"/>
        <v>0</v>
      </c>
      <c r="L153" s="1396">
        <f t="shared" si="82"/>
        <v>4.8000000000000007</v>
      </c>
      <c r="M153" s="1396">
        <f t="shared" si="82"/>
        <v>1.6</v>
      </c>
      <c r="P153" s="136">
        <f>ROW()</f>
        <v>153</v>
      </c>
    </row>
    <row r="154" spans="2:16">
      <c r="B154" s="215" t="str">
        <f>CONCATENATE("Apportions cordon miles in Row ",P34, " per hours shown in Row ",P152, ".")</f>
        <v>Apportions cordon miles in Row 34 per hours shown in Row 152.</v>
      </c>
      <c r="G154" s="1386"/>
      <c r="H154" s="1386"/>
      <c r="I154" s="1386"/>
      <c r="J154" s="1386"/>
      <c r="K154" s="1386"/>
      <c r="L154" s="1386"/>
      <c r="M154" s="1386"/>
      <c r="P154" s="136">
        <f>ROW()</f>
        <v>154</v>
      </c>
    </row>
    <row r="155" spans="2:16">
      <c r="B155" s="1381" t="s">
        <v>1866</v>
      </c>
      <c r="G155" s="1386">
        <f t="shared" ref="G155:M155" si="83">G153/G148</f>
        <v>0</v>
      </c>
      <c r="H155" s="1386">
        <f t="shared" si="83"/>
        <v>0</v>
      </c>
      <c r="I155" s="1386">
        <f t="shared" si="83"/>
        <v>0</v>
      </c>
      <c r="J155" s="1386">
        <f t="shared" si="83"/>
        <v>0</v>
      </c>
      <c r="K155" s="1386">
        <f t="shared" si="83"/>
        <v>0</v>
      </c>
      <c r="L155" s="1386">
        <f t="shared" si="83"/>
        <v>0.5867225184868885</v>
      </c>
      <c r="M155" s="1386">
        <f t="shared" si="83"/>
        <v>0.1341917625276931</v>
      </c>
      <c r="P155" s="136">
        <f>ROW()</f>
        <v>155</v>
      </c>
    </row>
    <row r="156" spans="2:16">
      <c r="B156" s="215" t="str">
        <f>CONCATENATE("Ratio of Row ",P153, " to Row ",P148, ".")</f>
        <v>Ratio of Row 153 to Row 148.</v>
      </c>
      <c r="G156" s="1386"/>
      <c r="H156" s="1386"/>
      <c r="I156" s="1386"/>
      <c r="J156" s="1386"/>
      <c r="K156" s="1386"/>
      <c r="L156" s="1386"/>
      <c r="M156" s="1386"/>
      <c r="P156" s="136">
        <f>ROW()</f>
        <v>156</v>
      </c>
    </row>
    <row r="157" spans="2:16">
      <c r="B157" s="1381" t="s">
        <v>1867</v>
      </c>
      <c r="G157" s="1396">
        <f t="shared" ref="G157:M157" si="84">G152-G155</f>
        <v>0</v>
      </c>
      <c r="H157" s="1396">
        <f t="shared" si="84"/>
        <v>0</v>
      </c>
      <c r="I157" s="1396">
        <f t="shared" si="84"/>
        <v>0</v>
      </c>
      <c r="J157" s="1396">
        <f t="shared" si="84"/>
        <v>0</v>
      </c>
      <c r="K157" s="1396">
        <f t="shared" si="84"/>
        <v>0</v>
      </c>
      <c r="L157" s="1396">
        <f t="shared" si="84"/>
        <v>5.4132774815131111</v>
      </c>
      <c r="M157" s="1396">
        <f t="shared" si="84"/>
        <v>1.8658082374723068</v>
      </c>
      <c r="P157" s="136">
        <f>ROW()</f>
        <v>157</v>
      </c>
    </row>
    <row r="158" spans="2:16">
      <c r="B158" s="215" t="str">
        <f>CONCATENATE("Difference between Rows ",P152, " and ",P155, ".")</f>
        <v>Difference between Rows 152 and 155.</v>
      </c>
      <c r="G158" s="1386"/>
      <c r="H158" s="1386"/>
      <c r="I158" s="1386"/>
      <c r="J158" s="1386"/>
      <c r="K158" s="1386"/>
      <c r="L158" s="1396"/>
      <c r="M158" s="1396"/>
      <c r="P158" s="136">
        <f>ROW()</f>
        <v>158</v>
      </c>
    </row>
    <row r="159" spans="2:16">
      <c r="B159" s="1381" t="s">
        <v>1868</v>
      </c>
      <c r="G159" s="1382">
        <f t="shared" ref="G159:L159" si="85">G157/6</f>
        <v>0</v>
      </c>
      <c r="H159" s="1382">
        <f t="shared" si="85"/>
        <v>0</v>
      </c>
      <c r="I159" s="1382">
        <f t="shared" si="85"/>
        <v>0</v>
      </c>
      <c r="J159" s="1382">
        <f t="shared" si="85"/>
        <v>0</v>
      </c>
      <c r="K159" s="1382">
        <f t="shared" si="85"/>
        <v>0</v>
      </c>
      <c r="L159" s="1382">
        <f t="shared" si="85"/>
        <v>0.90221291358551847</v>
      </c>
      <c r="M159" s="1382">
        <f>M157/3</f>
        <v>0.62193607915743565</v>
      </c>
      <c r="P159" s="136">
        <f>ROW()</f>
        <v>159</v>
      </c>
    </row>
    <row r="160" spans="2:16">
      <c r="B160" s="215" t="str">
        <f>CONCATENATE("Ratio of Row ",P157, " to actual hours in period.")</f>
        <v>Ratio of Row 157 to actual hours in period.</v>
      </c>
      <c r="G160" s="1386"/>
      <c r="H160" s="1386"/>
      <c r="I160" s="1386"/>
      <c r="J160" s="1386"/>
      <c r="K160" s="1386"/>
      <c r="L160" s="1396"/>
      <c r="M160" s="1396"/>
      <c r="P160" s="136">
        <f>ROW()</f>
        <v>160</v>
      </c>
    </row>
    <row r="161" spans="2:16">
      <c r="B161" s="5223" t="s">
        <v>1869</v>
      </c>
      <c r="C161" s="4187"/>
      <c r="D161" s="4187"/>
      <c r="E161" s="4187"/>
      <c r="F161" s="4187"/>
      <c r="P161" s="136">
        <f>ROW()</f>
        <v>161</v>
      </c>
    </row>
    <row r="162" spans="2:16">
      <c r="B162" s="4187"/>
      <c r="C162" s="4187"/>
      <c r="D162" s="4187"/>
      <c r="E162" s="4187"/>
      <c r="F162" s="4187"/>
      <c r="G162" s="1598">
        <f t="shared" ref="G162:M162" si="86">G159*$G$142</f>
        <v>0</v>
      </c>
      <c r="H162" s="1598">
        <f t="shared" si="86"/>
        <v>0</v>
      </c>
      <c r="I162" s="1598">
        <f t="shared" si="86"/>
        <v>0</v>
      </c>
      <c r="J162" s="1598">
        <f t="shared" si="86"/>
        <v>0</v>
      </c>
      <c r="K162" s="1598">
        <f t="shared" si="86"/>
        <v>0</v>
      </c>
      <c r="L162" s="1598">
        <f t="shared" si="86"/>
        <v>1.8685816051443604E-3</v>
      </c>
      <c r="M162" s="1598">
        <f t="shared" si="86"/>
        <v>1.288097631489992E-3</v>
      </c>
      <c r="P162" s="136">
        <f>ROW()</f>
        <v>162</v>
      </c>
    </row>
    <row r="163" spans="2:16">
      <c r="B163" s="215" t="str">
        <f>CONCATENATE("Product of Rows ",P159, " and ",P142, ".")</f>
        <v>Product of Rows 159 and 142.</v>
      </c>
      <c r="G163" s="1386"/>
      <c r="H163" s="1386"/>
      <c r="I163" s="1386"/>
      <c r="J163" s="1386"/>
      <c r="K163" s="1386"/>
      <c r="L163" s="1396"/>
      <c r="M163" s="1396"/>
      <c r="P163" s="136">
        <f>ROW()</f>
        <v>163</v>
      </c>
    </row>
    <row r="164" spans="2:16">
      <c r="B164" s="1599" t="s">
        <v>1949</v>
      </c>
      <c r="G164" s="1600">
        <f t="shared" ref="G164:M164" si="87">1/(1-G162)</f>
        <v>1</v>
      </c>
      <c r="H164" s="1600">
        <f t="shared" si="87"/>
        <v>1</v>
      </c>
      <c r="I164" s="1600">
        <f t="shared" si="87"/>
        <v>1</v>
      </c>
      <c r="J164" s="1600">
        <f t="shared" si="87"/>
        <v>1</v>
      </c>
      <c r="K164" s="1600">
        <f t="shared" si="87"/>
        <v>1</v>
      </c>
      <c r="L164" s="1600">
        <f t="shared" si="87"/>
        <v>1.0018720797389078</v>
      </c>
      <c r="M164" s="1600">
        <f t="shared" si="87"/>
        <v>1.0012897589669605</v>
      </c>
      <c r="P164" s="136">
        <f>ROW()</f>
        <v>164</v>
      </c>
    </row>
    <row r="165" spans="2:16">
      <c r="B165" s="215" t="str">
        <f>CONCATENATE("Complement of percents in Row ",P161, ".")</f>
        <v>Complement of percents in Row 161.</v>
      </c>
      <c r="G165" s="1386"/>
      <c r="H165" s="1386"/>
      <c r="I165" s="1386"/>
      <c r="J165" s="1386"/>
      <c r="K165" s="1386"/>
      <c r="L165" s="1396"/>
      <c r="M165" s="1396"/>
      <c r="P165" s="136">
        <f>ROW()</f>
        <v>165</v>
      </c>
    </row>
    <row r="166" spans="2:16">
      <c r="B166" s="1381" t="s">
        <v>1946</v>
      </c>
      <c r="G166" s="1386">
        <f t="shared" ref="G166:M166" si="88">24.2/(1+0.1*((G78*G164)/V_sub_k)^4.08)</f>
        <v>20.047253481090394</v>
      </c>
      <c r="H166" s="1386">
        <f t="shared" si="88"/>
        <v>21.916028454867291</v>
      </c>
      <c r="I166" s="1386">
        <f t="shared" si="88"/>
        <v>8.9175518710003505</v>
      </c>
      <c r="J166" s="1386">
        <f t="shared" si="88"/>
        <v>9.5898644280053844</v>
      </c>
      <c r="K166" s="1386">
        <f t="shared" si="88"/>
        <v>11.994535084059809</v>
      </c>
      <c r="L166" s="1386">
        <f t="shared" si="88"/>
        <v>7.5299252487808248</v>
      </c>
      <c r="M166" s="1386">
        <f t="shared" si="88"/>
        <v>11.646276822922831</v>
      </c>
      <c r="P166" s="136">
        <f>ROW()</f>
        <v>166</v>
      </c>
    </row>
    <row r="167" spans="2:16">
      <c r="B167" s="3785" t="str">
        <f>CONCATENATE("Calculated for P.M. Peak and P.M. Post-Peak by applying baseline traffic volumes in Row ",P78, " by factor incrs in Row ",P164, " and inputting product into 'VsubK' algorithm detailed in 'Speed-Vol., Cordon' worksheet. Speeds for other periods are same as in Row ",P148, ".")</f>
        <v>Calculated for P.M. Peak and P.M. Post-Peak by applying baseline traffic volumes in Row 78 by factor incrs in Row 164 and inputting product into 'VsubK' algorithm detailed in 'Speed-Vol., Cordon' worksheet. Speeds for other periods are same as in Row 148.</v>
      </c>
      <c r="C167" s="3786"/>
      <c r="D167" s="3786"/>
      <c r="E167" s="3786"/>
      <c r="F167" s="3786"/>
      <c r="G167" s="3786"/>
      <c r="H167" s="3786"/>
      <c r="I167" s="3786"/>
      <c r="J167" s="3786"/>
      <c r="K167" s="1615"/>
      <c r="L167" s="1615"/>
      <c r="P167" s="136">
        <f>ROW()</f>
        <v>167</v>
      </c>
    </row>
    <row r="168" spans="2:16">
      <c r="B168" s="3786"/>
      <c r="C168" s="3786"/>
      <c r="D168" s="3786"/>
      <c r="E168" s="3786"/>
      <c r="F168" s="3786"/>
      <c r="G168" s="3786"/>
      <c r="H168" s="3786"/>
      <c r="I168" s="3786"/>
      <c r="J168" s="3786"/>
      <c r="K168" s="1386"/>
      <c r="L168" s="1386"/>
      <c r="P168" s="136">
        <f>ROW()</f>
        <v>168</v>
      </c>
    </row>
    <row r="169" spans="2:16" ht="12">
      <c r="B169" s="1381" t="s">
        <v>1103</v>
      </c>
      <c r="G169" s="1391">
        <f>'Motor Vs'!G147/FreshDirect!G166</f>
        <v>22288.751662457744</v>
      </c>
      <c r="H169" s="1391">
        <f>'Motor Vs'!H147/FreshDirect!H166</f>
        <v>4051.1408592003345</v>
      </c>
      <c r="I169" s="1391">
        <f>'Motor Vs'!I147/FreshDirect!I166</f>
        <v>59404.923663650647</v>
      </c>
      <c r="J169" s="1391">
        <f>'Motor Vs'!J147/FreshDirect!J166</f>
        <v>17900.171640197725</v>
      </c>
      <c r="K169" s="1391">
        <f>'Motor Vs'!K147/FreshDirect!K166</f>
        <v>51553.960552713317</v>
      </c>
      <c r="L169" s="1391">
        <f>'Motor Vs'!L147/FreshDirect!L166</f>
        <v>147590.08032486102</v>
      </c>
      <c r="M169" s="1391">
        <f>'Motor Vs'!M147/FreshDirect!M166</f>
        <v>40127.836873411354</v>
      </c>
      <c r="N169" s="1392">
        <f>SUM(G169:M169)</f>
        <v>342916.86557649216</v>
      </c>
      <c r="P169" s="136">
        <f>ROW()</f>
        <v>169</v>
      </c>
    </row>
    <row r="170" spans="2:16" ht="12">
      <c r="B170" s="1381" t="str">
        <f>CONCATENATE("Baseline hours in traffic (from 'Motor Vs' worksheet, Row ",'Motor Vs'!O190, ").")</f>
        <v>Baseline hours in traffic (from 'Motor Vs' worksheet, Row 190).</v>
      </c>
      <c r="G170" s="1391"/>
      <c r="H170" s="1391"/>
      <c r="I170" s="1391"/>
      <c r="J170" s="1391"/>
      <c r="K170" s="1391"/>
      <c r="N170" s="1392">
        <f>'Motor Vs'!N190</f>
        <v>326990.62668744614</v>
      </c>
      <c r="P170" s="136">
        <f>ROW()</f>
        <v>170</v>
      </c>
    </row>
    <row r="171" spans="2:16" ht="12">
      <c r="B171" s="1381" t="s">
        <v>2360</v>
      </c>
      <c r="C171" s="1379"/>
      <c r="D171" s="1379"/>
      <c r="F171" s="1379"/>
      <c r="G171" s="1379"/>
      <c r="H171" s="1385"/>
      <c r="N171" s="1393">
        <f>N169-N170</f>
        <v>15926.238889046013</v>
      </c>
      <c r="P171" s="136">
        <f>ROW()</f>
        <v>171</v>
      </c>
    </row>
    <row r="172" spans="2:16" ht="12">
      <c r="B172" s="281" t="s">
        <v>2889</v>
      </c>
      <c r="N172" s="1601">
        <f>N171*1</f>
        <v>15926.238889046013</v>
      </c>
      <c r="P172" s="136">
        <f>ROW()</f>
        <v>172</v>
      </c>
    </row>
    <row r="173" spans="2:16" ht="13.2">
      <c r="B173" s="1091" t="s">
        <v>2655</v>
      </c>
      <c r="C173" s="1092"/>
      <c r="D173" s="1092"/>
      <c r="E173" s="1092"/>
      <c r="F173" s="1092"/>
      <c r="G173" s="1093"/>
      <c r="H173" s="1094"/>
      <c r="I173" s="1094"/>
      <c r="J173" s="1094"/>
      <c r="K173" s="1094"/>
      <c r="L173" s="1094"/>
      <c r="M173" s="5226">
        <f>N172</f>
        <v>15926.238889046013</v>
      </c>
      <c r="N173" s="5226"/>
      <c r="O173" s="5227"/>
      <c r="P173" s="136">
        <f>ROW()</f>
        <v>173</v>
      </c>
    </row>
    <row r="174" spans="2:16" ht="12">
      <c r="I174" s="1380"/>
      <c r="J174" s="1379"/>
      <c r="K174" s="1379"/>
      <c r="L174" s="1379"/>
      <c r="P174" s="136">
        <f>ROW()</f>
        <v>174</v>
      </c>
    </row>
    <row r="175" spans="2:16" ht="12">
      <c r="I175" s="1380"/>
      <c r="J175" s="1379"/>
      <c r="K175" s="1379"/>
      <c r="L175" s="1379"/>
      <c r="P175" s="136">
        <f>ROW()</f>
        <v>175</v>
      </c>
    </row>
    <row r="176" spans="2:16" ht="13.2">
      <c r="B176" s="24" t="s">
        <v>688</v>
      </c>
      <c r="E176" s="1379"/>
      <c r="F176" s="1379"/>
      <c r="G176" s="1379"/>
      <c r="I176" s="1380"/>
      <c r="J176" s="1379"/>
      <c r="K176" s="1379"/>
      <c r="L176" s="1379"/>
      <c r="P176" s="136">
        <f>ROW()</f>
        <v>176</v>
      </c>
    </row>
    <row r="177" spans="2:16" ht="13.2">
      <c r="B177" s="24"/>
      <c r="E177" s="1379"/>
      <c r="F177" s="1379"/>
      <c r="G177" s="1379"/>
      <c r="I177" s="1380"/>
      <c r="J177" s="1379"/>
      <c r="K177" s="1379"/>
      <c r="L177" s="1379"/>
      <c r="P177" s="136">
        <f>ROW()</f>
        <v>177</v>
      </c>
    </row>
    <row r="178" spans="2:16" ht="12">
      <c r="B178" s="6" t="s">
        <v>692</v>
      </c>
      <c r="F178" s="4948" t="s">
        <v>1984</v>
      </c>
      <c r="G178" s="4948" t="s">
        <v>1985</v>
      </c>
      <c r="H178" s="4948" t="s">
        <v>870</v>
      </c>
      <c r="I178" s="1380"/>
      <c r="J178" s="1379"/>
      <c r="K178" s="1379"/>
      <c r="L178" s="1379"/>
      <c r="P178" s="136">
        <f>ROW()</f>
        <v>178</v>
      </c>
    </row>
    <row r="179" spans="2:16" ht="12.75" customHeight="1">
      <c r="B179" s="24"/>
      <c r="F179" s="4948"/>
      <c r="G179" s="4948"/>
      <c r="H179" s="4948"/>
      <c r="I179" s="1380"/>
      <c r="J179" s="1379"/>
      <c r="K179" s="1379"/>
      <c r="L179" s="1379"/>
      <c r="P179" s="136">
        <f>ROW()</f>
        <v>179</v>
      </c>
    </row>
    <row r="180" spans="2:16" ht="13.35" customHeight="1">
      <c r="B180" s="1390" t="s">
        <v>2393</v>
      </c>
      <c r="F180" s="3813"/>
      <c r="G180" s="3813"/>
      <c r="H180" s="3813"/>
      <c r="I180" s="1380"/>
      <c r="J180" s="1379"/>
      <c r="K180" s="1379"/>
      <c r="L180" s="1379"/>
      <c r="P180" s="136">
        <f>ROW()</f>
        <v>180</v>
      </c>
    </row>
    <row r="181" spans="2:16" ht="12">
      <c r="B181" s="1381" t="s">
        <v>971</v>
      </c>
      <c r="E181" s="1379"/>
      <c r="F181" s="1602">
        <f>FreshDirect!O115</f>
        <v>33950.319318164518</v>
      </c>
      <c r="G181" s="25">
        <f ca="1">'Cost-Benefit'!$I$205</f>
        <v>41.450576392516979</v>
      </c>
      <c r="H181" s="1603">
        <f ca="1">G181*F181</f>
        <v>1407260.3044479233</v>
      </c>
      <c r="I181" s="1380"/>
      <c r="J181" s="1379"/>
      <c r="K181" s="1379"/>
      <c r="L181" s="1379"/>
      <c r="P181" s="136">
        <f>ROW()</f>
        <v>181</v>
      </c>
    </row>
    <row r="182" spans="2:16" ht="12" customHeight="1">
      <c r="B182" s="1381" t="s">
        <v>972</v>
      </c>
      <c r="F182" s="1602">
        <f>FreshDirect!O123</f>
        <v>634949.32961832662</v>
      </c>
      <c r="G182" s="25">
        <f>'Cost-Benefit'!$I$219</f>
        <v>29.715524962837527</v>
      </c>
      <c r="H182" s="1603">
        <f>G182*F182</f>
        <v>18867852.65441034</v>
      </c>
      <c r="I182" s="1380"/>
      <c r="J182" s="1379"/>
      <c r="K182" s="1379"/>
      <c r="L182" s="1379"/>
      <c r="P182" s="136">
        <f>ROW()</f>
        <v>182</v>
      </c>
    </row>
    <row r="183" spans="2:16" ht="12">
      <c r="B183" s="1381" t="s">
        <v>686</v>
      </c>
      <c r="F183" s="1616">
        <f>N172</f>
        <v>15926.238889046013</v>
      </c>
      <c r="G183" s="25">
        <f ca="1">'Cost-Benefit'!$I$205</f>
        <v>41.450576392516979</v>
      </c>
      <c r="H183" s="1603">
        <f ca="1">G183*F183</f>
        <v>660151.78171587654</v>
      </c>
      <c r="I183" s="1380"/>
      <c r="J183" s="1379"/>
      <c r="K183" s="1379"/>
      <c r="L183" s="1379"/>
      <c r="P183" s="136">
        <f>ROW()</f>
        <v>183</v>
      </c>
    </row>
    <row r="184" spans="2:16" ht="12">
      <c r="B184" s="3785" t="s">
        <v>689</v>
      </c>
      <c r="C184" s="3786"/>
      <c r="D184" s="3786"/>
      <c r="E184" s="3786"/>
      <c r="F184" s="3786"/>
      <c r="G184" s="3786"/>
      <c r="I184" s="1380"/>
      <c r="J184" s="1379"/>
      <c r="K184" s="1379"/>
      <c r="L184" s="1379"/>
      <c r="P184" s="136">
        <f>ROW()</f>
        <v>184</v>
      </c>
    </row>
    <row r="185" spans="2:16" ht="12">
      <c r="B185" s="3786"/>
      <c r="C185" s="3786"/>
      <c r="D185" s="3786"/>
      <c r="E185" s="3786"/>
      <c r="F185" s="3786"/>
      <c r="G185" s="3786"/>
      <c r="H185" s="1379"/>
      <c r="I185" s="1380"/>
      <c r="J185" s="1379"/>
      <c r="K185" s="1379"/>
      <c r="L185" s="1379"/>
      <c r="P185" s="136">
        <f>ROW()</f>
        <v>185</v>
      </c>
    </row>
    <row r="186" spans="2:16" ht="12">
      <c r="B186" s="1384" t="s">
        <v>690</v>
      </c>
      <c r="F186" s="1401">
        <f>SUM(F181:F183)</f>
        <v>684825.88782553712</v>
      </c>
      <c r="G186" s="1379"/>
      <c r="H186" s="1604">
        <f ca="1">SUM(H181:H183)</f>
        <v>20935264.74057414</v>
      </c>
      <c r="I186" s="1380"/>
      <c r="J186" s="1379"/>
      <c r="K186" s="1379"/>
      <c r="L186" s="1379"/>
      <c r="P186" s="136">
        <f>ROW()</f>
        <v>186</v>
      </c>
    </row>
    <row r="187" spans="2:16" ht="12">
      <c r="B187" s="1384" t="s">
        <v>691</v>
      </c>
      <c r="C187" s="113"/>
      <c r="D187" s="113"/>
      <c r="E187" s="113"/>
      <c r="F187" s="1402">
        <f>F186/$G$250</f>
        <v>9131.0118376738283</v>
      </c>
      <c r="G187" s="1379"/>
      <c r="H187" s="1603">
        <f ca="1">H186/$G$250</f>
        <v>279136.8632076552</v>
      </c>
      <c r="I187" s="1380"/>
      <c r="J187" s="1379"/>
      <c r="K187" s="1379"/>
      <c r="L187" s="1379"/>
      <c r="P187" s="136">
        <f>ROW()</f>
        <v>187</v>
      </c>
    </row>
    <row r="188" spans="2:16" ht="12">
      <c r="B188" s="1404" t="s">
        <v>871</v>
      </c>
      <c r="C188" s="1295"/>
      <c r="D188" s="1295"/>
      <c r="E188" s="1295"/>
      <c r="F188" s="1605">
        <f>60*F187/$E$231</f>
        <v>11739.872362723494</v>
      </c>
      <c r="G188" s="1387"/>
      <c r="H188" s="1606">
        <f ca="1">H187/$E$231</f>
        <v>5981.5042115926117</v>
      </c>
      <c r="I188" s="1380"/>
      <c r="J188" s="1379"/>
      <c r="K188" s="1379"/>
      <c r="L188" s="1379"/>
      <c r="P188" s="136">
        <f>ROW()</f>
        <v>188</v>
      </c>
    </row>
    <row r="189" spans="2:16" ht="12">
      <c r="B189" s="1404"/>
      <c r="C189" s="902"/>
      <c r="D189" s="902"/>
      <c r="E189" s="902"/>
      <c r="F189" s="902"/>
      <c r="G189" s="1379"/>
      <c r="H189" s="1379"/>
      <c r="I189" s="1380"/>
      <c r="J189" s="1379"/>
      <c r="K189" s="1379"/>
      <c r="L189" s="1379"/>
      <c r="P189" s="136">
        <f>ROW()</f>
        <v>189</v>
      </c>
    </row>
    <row r="190" spans="2:16" ht="12">
      <c r="B190" s="6" t="s">
        <v>693</v>
      </c>
      <c r="C190" s="902"/>
      <c r="D190" s="902"/>
      <c r="E190" s="902"/>
      <c r="F190" s="1403"/>
      <c r="G190" s="1379"/>
      <c r="H190" s="1379"/>
      <c r="I190" s="1380"/>
      <c r="J190" s="1379"/>
      <c r="K190" s="1379"/>
      <c r="L190" s="1379"/>
      <c r="P190" s="136">
        <f>ROW()</f>
        <v>190</v>
      </c>
    </row>
    <row r="191" spans="2:16" ht="12">
      <c r="I191" s="1380"/>
      <c r="J191" s="1379"/>
      <c r="K191" s="1379"/>
      <c r="L191" s="1379"/>
      <c r="P191" s="136">
        <f>ROW()</f>
        <v>191</v>
      </c>
    </row>
    <row r="192" spans="2:16" ht="12">
      <c r="B192" s="5101" t="s">
        <v>694</v>
      </c>
      <c r="C192" s="3659"/>
      <c r="D192" s="3659"/>
      <c r="E192" s="3659"/>
      <c r="F192" s="3659"/>
      <c r="G192" s="3659"/>
      <c r="H192" s="3659"/>
      <c r="I192" s="1380"/>
      <c r="J192" s="1379"/>
      <c r="K192" s="1379"/>
      <c r="L192" s="1379"/>
      <c r="P192" s="136">
        <f>ROW()</f>
        <v>192</v>
      </c>
    </row>
    <row r="193" spans="2:16" ht="12">
      <c r="B193" s="3659"/>
      <c r="C193" s="3659"/>
      <c r="D193" s="3659"/>
      <c r="E193" s="3659"/>
      <c r="F193" s="3659"/>
      <c r="G193" s="3659"/>
      <c r="H193" s="3659"/>
      <c r="I193" s="1380"/>
      <c r="J193" s="1379"/>
      <c r="K193" s="1379"/>
      <c r="L193" s="1379"/>
      <c r="P193" s="136">
        <f>ROW()</f>
        <v>193</v>
      </c>
    </row>
    <row r="194" spans="2:16" ht="12">
      <c r="B194" s="3659"/>
      <c r="C194" s="3659"/>
      <c r="D194" s="3659"/>
      <c r="E194" s="3659"/>
      <c r="F194" s="3659"/>
      <c r="G194" s="3659"/>
      <c r="H194" s="3659"/>
      <c r="I194" s="1380"/>
      <c r="J194" s="1379"/>
      <c r="K194" s="1379"/>
      <c r="L194" s="1379"/>
      <c r="P194" s="136">
        <f>ROW()</f>
        <v>194</v>
      </c>
    </row>
    <row r="195" spans="2:16" ht="13.2">
      <c r="B195" s="24"/>
      <c r="E195" s="1379"/>
      <c r="F195" s="1379"/>
      <c r="G195" s="1379"/>
      <c r="H195" s="1379"/>
      <c r="I195" s="1380"/>
      <c r="J195" s="1379"/>
      <c r="K195" s="1612" t="s">
        <v>1960</v>
      </c>
      <c r="L195" s="1612"/>
      <c r="P195" s="136">
        <f>ROW()</f>
        <v>195</v>
      </c>
    </row>
    <row r="196" spans="2:16" ht="12">
      <c r="B196" t="s">
        <v>695</v>
      </c>
      <c r="E196" s="1379"/>
      <c r="F196" s="1379"/>
      <c r="G196" s="1379"/>
      <c r="H196" s="1386">
        <v>0.61784521306922147</v>
      </c>
      <c r="I196" s="1380"/>
      <c r="J196" s="1379"/>
      <c r="K196" s="1613">
        <f>'Delays Weekends'!$N$124/Delays!$N$124</f>
        <v>0.97185364803316487</v>
      </c>
      <c r="L196" s="1613">
        <f>'Delays Weekends'!$N$131/Delays!$N$131</f>
        <v>0.7696775314476626</v>
      </c>
      <c r="P196" s="136">
        <f>ROW()</f>
        <v>196</v>
      </c>
    </row>
    <row r="197" spans="2:16" ht="12">
      <c r="B197" s="5224" t="str">
        <f>CONCATENATE("Ratio of respective Row ",Delays!$O$124, " figures from 'Delays Weekends' and 'Delays Weekends' worksheeet, when former is set to Midday Peak and latter to Shoulder 1.")</f>
        <v>Ratio of respective Row 124 figures from 'Delays Weekends' and 'Delays Weekends' worksheeet, when former is set to Midday Peak and latter to Shoulder 1.</v>
      </c>
      <c r="C197" s="5225"/>
      <c r="D197" s="5225"/>
      <c r="E197" s="5225"/>
      <c r="F197" s="5225"/>
      <c r="G197" s="5225"/>
      <c r="H197" s="1386"/>
      <c r="I197" s="1380"/>
      <c r="J197" s="1379"/>
      <c r="K197" s="1379"/>
      <c r="L197" s="1379"/>
      <c r="P197" s="136">
        <f>ROW()</f>
        <v>197</v>
      </c>
    </row>
    <row r="198" spans="2:16" ht="12">
      <c r="B198" s="5225"/>
      <c r="C198" s="5225"/>
      <c r="D198" s="5225"/>
      <c r="E198" s="5225"/>
      <c r="F198" s="5225"/>
      <c r="G198" s="5225"/>
      <c r="H198" s="1386"/>
      <c r="I198" s="1380"/>
      <c r="J198" s="1379"/>
      <c r="K198" s="1379"/>
      <c r="L198" s="1379"/>
      <c r="P198" s="136">
        <f>ROW()</f>
        <v>198</v>
      </c>
    </row>
    <row r="199" spans="2:16" ht="12">
      <c r="B199" t="s">
        <v>696</v>
      </c>
      <c r="E199" s="1379"/>
      <c r="F199" s="1379"/>
      <c r="G199" s="1379"/>
      <c r="H199" s="1386">
        <v>0.95908779626519025</v>
      </c>
      <c r="I199" s="1380"/>
      <c r="J199" s="1379"/>
      <c r="K199" s="1379"/>
      <c r="L199" s="1379"/>
      <c r="P199" s="136">
        <f>ROW()</f>
        <v>199</v>
      </c>
    </row>
    <row r="200" spans="2:16" ht="12">
      <c r="B200" s="282" t="str">
        <f>CONCATENATE("Same note as in Row ",P196, ", except that Row ",Delays!$O$131, " figures are used.")</f>
        <v>Same note as in Row 196, except that Row 131 figures are used.</v>
      </c>
      <c r="E200" s="1379"/>
      <c r="F200" s="1379"/>
      <c r="G200" s="1379"/>
      <c r="H200" s="1379"/>
      <c r="I200" s="1380"/>
      <c r="J200" s="1379"/>
      <c r="K200" s="1379"/>
      <c r="L200" s="1379"/>
      <c r="P200" s="136">
        <f>ROW()</f>
        <v>200</v>
      </c>
    </row>
    <row r="201" spans="2:16" ht="13.2">
      <c r="B201" s="24"/>
      <c r="E201" s="1379"/>
      <c r="F201" s="1379"/>
      <c r="G201" s="1379"/>
      <c r="H201" s="1379"/>
      <c r="I201" s="1380"/>
      <c r="J201" s="1379"/>
      <c r="K201" s="1379"/>
      <c r="L201" s="1379"/>
      <c r="P201" s="136">
        <f>ROW()</f>
        <v>201</v>
      </c>
    </row>
    <row r="202" spans="2:16" ht="12">
      <c r="B202" s="6" t="s">
        <v>697</v>
      </c>
      <c r="F202" s="4948" t="s">
        <v>2890</v>
      </c>
      <c r="G202" s="4948" t="s">
        <v>1985</v>
      </c>
      <c r="H202" s="4948" t="s">
        <v>2891</v>
      </c>
      <c r="I202" s="1380"/>
      <c r="J202" s="1379"/>
      <c r="K202" s="1379"/>
      <c r="L202" s="1379"/>
      <c r="P202" s="136">
        <f>ROW()</f>
        <v>202</v>
      </c>
    </row>
    <row r="203" spans="2:16" ht="13.35" customHeight="1">
      <c r="B203" s="24"/>
      <c r="F203" s="4948"/>
      <c r="G203" s="4948"/>
      <c r="H203" s="4948"/>
      <c r="I203" s="1380"/>
      <c r="J203" s="1379"/>
      <c r="K203" s="1379"/>
      <c r="L203" s="1379"/>
      <c r="P203" s="136">
        <f>ROW()</f>
        <v>203</v>
      </c>
    </row>
    <row r="204" spans="2:16" ht="13.35" customHeight="1">
      <c r="B204" s="1390" t="s">
        <v>2393</v>
      </c>
      <c r="F204" s="3813"/>
      <c r="G204" s="3813"/>
      <c r="H204" s="3813"/>
      <c r="I204" s="1380"/>
      <c r="J204" s="1379"/>
      <c r="K204" s="1379"/>
      <c r="L204" s="1379"/>
      <c r="P204" s="136">
        <f>ROW()</f>
        <v>204</v>
      </c>
    </row>
    <row r="205" spans="2:16" ht="13.35" customHeight="1">
      <c r="B205" s="1381" t="s">
        <v>971</v>
      </c>
      <c r="E205" s="1379"/>
      <c r="F205" s="1602">
        <f>F181*$H$196</f>
        <v>20976.042272899464</v>
      </c>
      <c r="G205" s="25">
        <f ca="1">'Cost-Benefit'!$J$205</f>
        <v>24.870345835510186</v>
      </c>
      <c r="H205" s="1603">
        <f ca="1">G205*F205</f>
        <v>521681.42558729078</v>
      </c>
      <c r="I205" s="1380"/>
      <c r="J205" s="1379"/>
      <c r="K205" s="1379"/>
      <c r="L205" s="1379"/>
      <c r="P205" s="136">
        <f>ROW()</f>
        <v>205</v>
      </c>
    </row>
    <row r="206" spans="2:16" ht="13.35" customHeight="1">
      <c r="B206" s="1381" t="s">
        <v>972</v>
      </c>
      <c r="F206" s="1602">
        <f>F182*$H$199</f>
        <v>608972.15328370081</v>
      </c>
      <c r="G206" s="25">
        <f>'Cost-Benefit'!$J$219</f>
        <v>17.829314977702516</v>
      </c>
      <c r="H206" s="1603">
        <f>G206*F206</f>
        <v>10857556.333544839</v>
      </c>
      <c r="I206" s="1380"/>
      <c r="J206" s="1379"/>
      <c r="K206" s="1379"/>
      <c r="L206" s="1379"/>
      <c r="P206" s="136">
        <f>ROW()</f>
        <v>206</v>
      </c>
    </row>
    <row r="207" spans="2:16" ht="13.35" customHeight="1">
      <c r="B207" s="1381" t="s">
        <v>686</v>
      </c>
      <c r="F207" s="1602">
        <f>F183*$H$196</f>
        <v>9839.9504597939558</v>
      </c>
      <c r="G207" s="25">
        <f ca="1">'Cost-Benefit'!$J$205</f>
        <v>24.870345835510186</v>
      </c>
      <c r="H207" s="1603">
        <f ca="1">G207*F207</f>
        <v>244722.97093936315</v>
      </c>
      <c r="I207" s="1380"/>
      <c r="J207" s="1379"/>
      <c r="K207" s="1379"/>
      <c r="L207" s="1379"/>
      <c r="P207" s="136">
        <f>ROW()</f>
        <v>207</v>
      </c>
    </row>
    <row r="208" spans="2:16" ht="13.35" customHeight="1">
      <c r="B208" s="3785" t="str">
        <f>CONCATENATE("Delay hours are calculated by multiplying results in Rows ",P181,"-",P183," by respective weekend/weekday ratios in Rows ",P196," and ",P199,".")</f>
        <v>Delay hours are calculated by multiplying results in Rows 181-183 by respective weekend/weekday ratios in Rows 196 and 199.</v>
      </c>
      <c r="C208" s="3786"/>
      <c r="D208" s="3786"/>
      <c r="E208" s="3786"/>
      <c r="F208" s="3786"/>
      <c r="G208" s="3786"/>
      <c r="I208" s="1380"/>
      <c r="J208" s="1379"/>
      <c r="K208" s="1379"/>
      <c r="L208" s="1379"/>
      <c r="P208" s="136">
        <f>ROW()</f>
        <v>208</v>
      </c>
    </row>
    <row r="209" spans="2:16" ht="13.35" customHeight="1">
      <c r="B209" s="3786"/>
      <c r="C209" s="3786"/>
      <c r="D209" s="3786"/>
      <c r="E209" s="3786"/>
      <c r="F209" s="3786"/>
      <c r="G209" s="3786"/>
      <c r="H209" s="1379"/>
      <c r="I209" s="1380"/>
      <c r="J209" s="1379"/>
      <c r="K209" s="1379"/>
      <c r="L209" s="1379"/>
      <c r="P209" s="136">
        <f>ROW()</f>
        <v>209</v>
      </c>
    </row>
    <row r="210" spans="2:16" ht="13.35" customHeight="1">
      <c r="B210" s="1384" t="s">
        <v>690</v>
      </c>
      <c r="F210" s="1401">
        <f>SUM(F205:F207)</f>
        <v>639788.14601639414</v>
      </c>
      <c r="G210" s="1379"/>
      <c r="H210" s="1604">
        <f ca="1">SUM(H205:H207)</f>
        <v>11623960.730071492</v>
      </c>
      <c r="I210" s="1380"/>
      <c r="J210" s="1379"/>
      <c r="K210" s="1379"/>
      <c r="L210" s="1379"/>
      <c r="P210" s="136">
        <f>ROW()</f>
        <v>210</v>
      </c>
    </row>
    <row r="211" spans="2:16" ht="13.35" customHeight="1">
      <c r="B211" s="1384" t="s">
        <v>691</v>
      </c>
      <c r="C211" s="113"/>
      <c r="D211" s="113"/>
      <c r="E211" s="113"/>
      <c r="F211" s="1402">
        <f>F210/$G$250</f>
        <v>8530.5086135519214</v>
      </c>
      <c r="G211" s="1379"/>
      <c r="H211" s="1603">
        <f ca="1">H210/$G$250</f>
        <v>154986.14306761991</v>
      </c>
      <c r="I211" s="1380"/>
      <c r="J211" s="1379"/>
      <c r="K211" s="1379"/>
      <c r="L211" s="1379"/>
      <c r="P211" s="136">
        <f>ROW()</f>
        <v>211</v>
      </c>
    </row>
    <row r="212" spans="2:16" ht="12">
      <c r="B212" s="1404" t="s">
        <v>871</v>
      </c>
      <c r="C212" s="1295"/>
      <c r="D212" s="1295"/>
      <c r="E212" s="1295"/>
      <c r="F212" s="1605">
        <f>60*F211/$E$231</f>
        <v>10967.796788852471</v>
      </c>
      <c r="G212" s="1387"/>
      <c r="H212" s="1606">
        <f ca="1">H211/$E$231</f>
        <v>3321.1316371632838</v>
      </c>
      <c r="I212" s="1380"/>
      <c r="J212" s="1379"/>
      <c r="K212" s="1379"/>
      <c r="L212" s="1379"/>
      <c r="P212" s="136">
        <f>ROW()</f>
        <v>212</v>
      </c>
    </row>
    <row r="213" spans="2:16" ht="13.2">
      <c r="B213" s="24"/>
      <c r="E213" s="1379"/>
      <c r="F213" s="1379"/>
      <c r="G213" s="1379"/>
      <c r="H213" s="1379"/>
      <c r="I213" s="1380"/>
      <c r="J213" s="1379"/>
      <c r="K213" s="1379"/>
      <c r="L213" s="1379"/>
      <c r="P213" s="136">
        <f>ROW()</f>
        <v>213</v>
      </c>
    </row>
    <row r="214" spans="2:16" ht="12">
      <c r="B214" s="6" t="s">
        <v>698</v>
      </c>
      <c r="E214" s="1379"/>
      <c r="I214" s="1380"/>
      <c r="J214" s="1379"/>
      <c r="K214" s="1379"/>
      <c r="L214" s="1379"/>
      <c r="P214" s="136">
        <f>ROW()</f>
        <v>214</v>
      </c>
    </row>
    <row r="215" spans="2:16" ht="12">
      <c r="B215" s="6"/>
      <c r="E215" s="1379"/>
      <c r="F215" s="1607" t="s">
        <v>781</v>
      </c>
      <c r="G215" s="1607" t="s">
        <v>1975</v>
      </c>
      <c r="H215" s="1607" t="s">
        <v>869</v>
      </c>
      <c r="I215" s="1380"/>
      <c r="J215" s="1379"/>
      <c r="K215" s="1379"/>
      <c r="L215" s="1379"/>
      <c r="P215" s="136">
        <f>ROW()</f>
        <v>215</v>
      </c>
    </row>
    <row r="216" spans="2:16" ht="12">
      <c r="B216" s="1608" t="s">
        <v>702</v>
      </c>
      <c r="E216" s="1379"/>
      <c r="F216" s="1607"/>
      <c r="G216" s="1607"/>
      <c r="H216" s="1607"/>
      <c r="I216" s="1380"/>
      <c r="J216" s="1379"/>
      <c r="K216" s="1379"/>
      <c r="L216" s="1379"/>
      <c r="P216" s="136">
        <f>ROW()</f>
        <v>216</v>
      </c>
    </row>
    <row r="217" spans="2:16" ht="12">
      <c r="B217" s="1405" t="s">
        <v>699</v>
      </c>
      <c r="E217" s="1379"/>
      <c r="F217" s="1396">
        <f>F188</f>
        <v>11739.872362723494</v>
      </c>
      <c r="G217" s="1396">
        <f>F212</f>
        <v>10967.796788852471</v>
      </c>
      <c r="H217" s="1396">
        <f>(F$218*F217+G$218*G217)/H$218</f>
        <v>11496.615675065501</v>
      </c>
      <c r="I217" s="1380"/>
      <c r="J217" s="1379"/>
      <c r="K217" s="1379"/>
      <c r="L217" s="1379"/>
      <c r="P217" s="136">
        <f>ROW()</f>
        <v>217</v>
      </c>
    </row>
    <row r="218" spans="2:16" ht="12">
      <c r="B218" s="1405" t="s">
        <v>700</v>
      </c>
      <c r="E218" s="1379"/>
      <c r="F218" s="1379">
        <f>wkday_per_yr</f>
        <v>250</v>
      </c>
      <c r="G218" s="1379">
        <f>wkend_per_yr</f>
        <v>115</v>
      </c>
      <c r="H218" s="1379">
        <f>F218+G218</f>
        <v>365</v>
      </c>
      <c r="I218" s="1380"/>
      <c r="J218" s="1379"/>
      <c r="K218" s="1379"/>
      <c r="L218" s="1379"/>
      <c r="P218" s="136">
        <f>ROW()</f>
        <v>218</v>
      </c>
    </row>
    <row r="219" spans="2:16" ht="12">
      <c r="B219" s="1404" t="s">
        <v>701</v>
      </c>
      <c r="C219" s="6"/>
      <c r="D219" s="6"/>
      <c r="E219" s="1387"/>
      <c r="F219" s="1606">
        <f ca="1">H188</f>
        <v>5981.5042115926117</v>
      </c>
      <c r="G219" s="1606">
        <f ca="1">H212</f>
        <v>3321.1316371632838</v>
      </c>
      <c r="H219" s="1606">
        <f ca="1">(F$218*F219+G$218*G219)/H$218</f>
        <v>5143.304633347755</v>
      </c>
      <c r="I219" s="1380"/>
      <c r="J219" s="1379"/>
      <c r="K219" s="1379"/>
      <c r="L219" s="1379"/>
      <c r="P219" s="136">
        <f>ROW()</f>
        <v>219</v>
      </c>
    </row>
    <row r="220" spans="2:16" ht="12">
      <c r="B220" s="1608" t="s">
        <v>865</v>
      </c>
      <c r="E220" s="1379"/>
      <c r="F220" s="1379"/>
      <c r="G220" s="1379"/>
      <c r="H220" s="1379"/>
      <c r="I220" s="1380"/>
      <c r="J220" s="1379"/>
      <c r="K220" s="1379"/>
      <c r="L220" s="1379"/>
      <c r="P220" s="136">
        <f>ROW()</f>
        <v>220</v>
      </c>
    </row>
    <row r="221" spans="2:16" ht="12">
      <c r="B221" s="1405" t="s">
        <v>866</v>
      </c>
      <c r="E221" s="1379"/>
      <c r="F221" s="1399">
        <f>F217*$E$229*$E$232/60</f>
        <v>684825.88782553712</v>
      </c>
      <c r="G221" s="1399">
        <f>G217*$E$229*$E$232/60</f>
        <v>639788.14601639414</v>
      </c>
      <c r="H221" s="1399">
        <f>(F$218*F221+G$218*G221)/H$218</f>
        <v>670635.91437882092</v>
      </c>
      <c r="I221" s="1380"/>
      <c r="J221" s="1379"/>
      <c r="K221" s="1379"/>
      <c r="L221" s="1379"/>
      <c r="P221" s="136">
        <f>ROW()</f>
        <v>221</v>
      </c>
    </row>
    <row r="222" spans="2:16">
      <c r="B222" s="1405" t="s">
        <v>867</v>
      </c>
      <c r="E222" s="1379"/>
      <c r="F222" s="1603">
        <f ca="1">F219*$E$229*$E$232</f>
        <v>20935264.74057414</v>
      </c>
      <c r="G222" s="1603">
        <f ca="1">G219*$E$229*$E$232</f>
        <v>11623960.730071492</v>
      </c>
      <c r="H222" s="1603">
        <f ca="1">(F$218*F222+G$218*G222)/H$218</f>
        <v>18001566.216717139</v>
      </c>
      <c r="I222" s="1603"/>
      <c r="J222" s="1379"/>
      <c r="K222" s="1379"/>
      <c r="L222" s="1379"/>
      <c r="P222" s="136">
        <f>ROW()</f>
        <v>222</v>
      </c>
    </row>
    <row r="223" spans="2:16" ht="12">
      <c r="B223" s="1404" t="s">
        <v>868</v>
      </c>
      <c r="E223" s="1379"/>
      <c r="F223" s="1609">
        <f ca="1">F222*F218/1000000</f>
        <v>5233.8161851435343</v>
      </c>
      <c r="G223" s="1609">
        <f ca="1">G222*G218/1000000</f>
        <v>1336.7554839582217</v>
      </c>
      <c r="H223" s="1609">
        <f ca="1">F223+G223</f>
        <v>6570.571669101756</v>
      </c>
      <c r="I223" s="1603"/>
      <c r="J223" s="1379"/>
      <c r="K223" s="1379"/>
      <c r="L223" s="1379"/>
      <c r="P223" s="136">
        <f>ROW()</f>
        <v>223</v>
      </c>
    </row>
    <row r="224" spans="2:16" ht="13.2">
      <c r="B224" s="24"/>
      <c r="E224" s="1379"/>
      <c r="F224" s="1379"/>
      <c r="G224" s="1379"/>
      <c r="H224" s="1379"/>
      <c r="I224" s="1380"/>
      <c r="J224" s="1379"/>
      <c r="K224" s="1379"/>
      <c r="L224" s="1379"/>
      <c r="P224" s="136">
        <f>ROW()</f>
        <v>224</v>
      </c>
    </row>
    <row r="225" spans="2:16" ht="12" customHeight="1">
      <c r="B225" s="24"/>
      <c r="E225" s="1379"/>
      <c r="F225" s="1379"/>
      <c r="G225" s="1379"/>
      <c r="H225" s="1379"/>
      <c r="I225" s="1380"/>
      <c r="J225" s="1379"/>
      <c r="K225" s="1379"/>
      <c r="L225" s="1379"/>
      <c r="P225" s="136">
        <f>ROW()</f>
        <v>225</v>
      </c>
    </row>
    <row r="226" spans="2:16" ht="13.2">
      <c r="B226" s="24" t="s">
        <v>551</v>
      </c>
      <c r="E226" s="1379"/>
      <c r="F226" s="1379"/>
      <c r="G226" s="1379"/>
      <c r="H226" s="1379"/>
      <c r="I226" s="1380"/>
      <c r="J226" s="1379"/>
      <c r="K226" s="1379"/>
      <c r="L226" s="1379"/>
      <c r="P226" s="136">
        <f>ROW()</f>
        <v>226</v>
      </c>
    </row>
    <row r="227" spans="2:16">
      <c r="B227" s="1379"/>
      <c r="E227" s="1379"/>
      <c r="F227" s="1379"/>
      <c r="G227" s="1379"/>
      <c r="H227" s="1379"/>
      <c r="I227" s="1379"/>
      <c r="J227" s="1379"/>
      <c r="K227" s="1379"/>
      <c r="L227" s="1379"/>
      <c r="P227" s="136">
        <f>ROW()</f>
        <v>227</v>
      </c>
    </row>
    <row r="228" spans="2:16" ht="12">
      <c r="B228" s="1378" t="s">
        <v>1024</v>
      </c>
      <c r="E228" s="1379"/>
      <c r="F228" s="1379"/>
      <c r="G228" s="1378" t="s">
        <v>536</v>
      </c>
      <c r="H228" s="1379"/>
      <c r="J228" s="1379"/>
      <c r="K228" s="1379"/>
      <c r="L228" s="1379"/>
      <c r="P228" s="136">
        <f>ROW()</f>
        <v>228</v>
      </c>
    </row>
    <row r="229" spans="2:16">
      <c r="B229" s="1381" t="s">
        <v>1003</v>
      </c>
      <c r="E229" s="1399">
        <v>7000</v>
      </c>
      <c r="F229" s="1379"/>
      <c r="G229" s="1400" t="s">
        <v>1025</v>
      </c>
      <c r="H229" s="1379"/>
      <c r="J229" s="1379"/>
      <c r="K229" s="1379"/>
      <c r="L229" s="1379"/>
      <c r="P229" s="136">
        <f>ROW()</f>
        <v>229</v>
      </c>
    </row>
    <row r="230" spans="2:16">
      <c r="B230" s="1381" t="s">
        <v>1004</v>
      </c>
      <c r="E230" s="1379">
        <v>150</v>
      </c>
      <c r="F230" s="1379"/>
      <c r="G230" s="1400" t="s">
        <v>897</v>
      </c>
      <c r="H230" s="1379"/>
      <c r="J230" s="1379"/>
      <c r="K230" s="1379"/>
      <c r="L230" s="1379"/>
      <c r="P230" s="136">
        <f>ROW()</f>
        <v>230</v>
      </c>
    </row>
    <row r="231" spans="2:16">
      <c r="B231" s="1381" t="s">
        <v>1026</v>
      </c>
      <c r="E231" s="1396">
        <f>E229/E230</f>
        <v>46.666666666666664</v>
      </c>
      <c r="F231" s="1379"/>
      <c r="G231" s="1400" t="s">
        <v>1589</v>
      </c>
      <c r="H231" s="1379"/>
      <c r="I231" s="1379"/>
      <c r="J231" s="1379"/>
      <c r="K231" s="1379"/>
      <c r="L231" s="1379"/>
      <c r="P231" s="136">
        <f>ROW()</f>
        <v>231</v>
      </c>
    </row>
    <row r="232" spans="2:16">
      <c r="B232" s="1381" t="s">
        <v>552</v>
      </c>
      <c r="E232" s="1382">
        <v>0.5</v>
      </c>
      <c r="F232" s="1379"/>
      <c r="G232" s="1400" t="s">
        <v>553</v>
      </c>
      <c r="H232" s="1379"/>
      <c r="I232" s="1379"/>
      <c r="J232" s="1379"/>
      <c r="K232" s="1379"/>
      <c r="L232" s="1379"/>
      <c r="P232" s="136">
        <f>ROW()</f>
        <v>232</v>
      </c>
    </row>
    <row r="233" spans="2:16">
      <c r="B233" s="1379"/>
      <c r="E233" s="1379"/>
      <c r="F233" s="1379"/>
      <c r="G233" s="1379"/>
      <c r="H233" s="1379"/>
      <c r="I233" s="1379"/>
      <c r="J233" s="1379"/>
      <c r="K233" s="1379"/>
      <c r="L233" s="1379"/>
      <c r="P233" s="136">
        <f>ROW()</f>
        <v>233</v>
      </c>
    </row>
    <row r="234" spans="2:16" ht="12">
      <c r="B234" s="1378" t="s">
        <v>756</v>
      </c>
      <c r="E234" s="1398" t="s">
        <v>145</v>
      </c>
      <c r="F234" s="1398" t="s">
        <v>757</v>
      </c>
      <c r="G234" s="1398" t="s">
        <v>220</v>
      </c>
      <c r="H234" s="1398" t="s">
        <v>755</v>
      </c>
      <c r="I234" s="1379"/>
      <c r="J234" s="1379"/>
      <c r="K234" s="1379"/>
      <c r="L234" s="1379"/>
      <c r="P234" s="136">
        <f>ROW()</f>
        <v>234</v>
      </c>
    </row>
    <row r="235" spans="2:16" ht="11.7" customHeight="1">
      <c r="B235" s="1381" t="s">
        <v>1592</v>
      </c>
      <c r="E235" s="1396">
        <v>2</v>
      </c>
      <c r="F235" s="1379">
        <v>4.8</v>
      </c>
      <c r="G235" s="1379">
        <v>8.1</v>
      </c>
      <c r="H235" s="1396">
        <f>AVERAGE(E235:G235)</f>
        <v>4.9666666666666659</v>
      </c>
      <c r="I235" s="265" t="s">
        <v>758</v>
      </c>
      <c r="P235" s="136">
        <f>ROW()</f>
        <v>235</v>
      </c>
    </row>
    <row r="236" spans="2:16" ht="11.7" customHeight="1">
      <c r="B236" s="1381" t="s">
        <v>1590</v>
      </c>
      <c r="E236" s="1379">
        <v>2.1</v>
      </c>
      <c r="F236" s="1379">
        <v>1.8</v>
      </c>
      <c r="G236" s="1379">
        <v>1.2</v>
      </c>
      <c r="H236" s="1396">
        <f>AVERAGE(E236:G236)</f>
        <v>1.7000000000000002</v>
      </c>
      <c r="I236" s="265" t="s">
        <v>1591</v>
      </c>
      <c r="P236" s="136">
        <f>ROW()</f>
        <v>236</v>
      </c>
    </row>
    <row r="237" spans="2:16">
      <c r="B237" s="1381" t="s">
        <v>2528</v>
      </c>
      <c r="E237" s="1379">
        <v>3.5</v>
      </c>
      <c r="F237" s="1396">
        <v>3</v>
      </c>
      <c r="G237" s="1379">
        <v>2.5</v>
      </c>
      <c r="H237" s="1396">
        <f>AVERAGE(E237:G237)</f>
        <v>3</v>
      </c>
      <c r="I237" s="265" t="s">
        <v>2527</v>
      </c>
      <c r="P237" s="136">
        <f>ROW()</f>
        <v>237</v>
      </c>
    </row>
    <row r="238" spans="2:16" ht="12">
      <c r="B238" s="1381" t="s">
        <v>1593</v>
      </c>
      <c r="E238" s="1387">
        <f>E237+2*(E236+E235)</f>
        <v>11.7</v>
      </c>
      <c r="F238" s="1387">
        <f>F237+2*(F236+F235)</f>
        <v>16.2</v>
      </c>
      <c r="G238" s="1387">
        <f>G237+2*(G236+G235)</f>
        <v>21.099999999999998</v>
      </c>
      <c r="H238" s="1397">
        <f>AVERAGE(E238:G238)</f>
        <v>16.333333333333332</v>
      </c>
      <c r="P238" s="136">
        <f>ROW()</f>
        <v>238</v>
      </c>
    </row>
    <row r="239" spans="2:16">
      <c r="B239" s="3785" t="s">
        <v>1831</v>
      </c>
      <c r="C239" s="3786"/>
      <c r="D239" s="3786"/>
      <c r="E239" s="3786"/>
      <c r="F239" s="3786"/>
      <c r="G239" s="3786"/>
      <c r="H239" s="3786"/>
      <c r="P239" s="136">
        <f>ROW()</f>
        <v>239</v>
      </c>
    </row>
    <row r="240" spans="2:16">
      <c r="B240" s="3786"/>
      <c r="C240" s="3786"/>
      <c r="D240" s="3786"/>
      <c r="E240" s="3786"/>
      <c r="F240" s="3786"/>
      <c r="G240" s="3786"/>
      <c r="H240" s="3786"/>
      <c r="P240" s="136">
        <f>ROW()</f>
        <v>240</v>
      </c>
    </row>
    <row r="241" spans="2:16">
      <c r="B241" s="3786"/>
      <c r="C241" s="3786"/>
      <c r="D241" s="3786"/>
      <c r="E241" s="3786"/>
      <c r="F241" s="3786"/>
      <c r="G241" s="3786"/>
      <c r="H241" s="3786"/>
      <c r="P241" s="136">
        <f>ROW()</f>
        <v>241</v>
      </c>
    </row>
    <row r="242" spans="2:16">
      <c r="B242" s="3786"/>
      <c r="C242" s="3786"/>
      <c r="D242" s="3786"/>
      <c r="E242" s="3786"/>
      <c r="F242" s="3786"/>
      <c r="G242" s="3786"/>
      <c r="H242" s="3786"/>
      <c r="P242" s="136">
        <f>ROW()</f>
        <v>242</v>
      </c>
    </row>
    <row r="243" spans="2:16">
      <c r="B243" s="3786"/>
      <c r="C243" s="3786"/>
      <c r="D243" s="3786"/>
      <c r="E243" s="3786"/>
      <c r="F243" s="3786"/>
      <c r="G243" s="3786"/>
      <c r="H243" s="3786"/>
      <c r="P243" s="136">
        <f>ROW()</f>
        <v>243</v>
      </c>
    </row>
    <row r="244" spans="2:16">
      <c r="B244" s="1388"/>
      <c r="C244" s="1388"/>
      <c r="D244" s="1388"/>
      <c r="E244" s="1388"/>
      <c r="F244" s="1388"/>
      <c r="G244" s="1388"/>
      <c r="H244" s="1388"/>
      <c r="P244" s="136">
        <f>ROW()</f>
        <v>244</v>
      </c>
    </row>
    <row r="245" spans="2:16" ht="12">
      <c r="B245" s="1378" t="s">
        <v>1028</v>
      </c>
      <c r="F245" s="1398" t="s">
        <v>1029</v>
      </c>
      <c r="G245" s="1398" t="s">
        <v>1030</v>
      </c>
      <c r="H245" s="1379"/>
      <c r="J245" s="1379"/>
      <c r="K245" s="1394"/>
      <c r="L245" s="1394"/>
      <c r="P245" s="136">
        <f>ROW()</f>
        <v>245</v>
      </c>
    </row>
    <row r="246" spans="2:16" ht="12" customHeight="1">
      <c r="B246" s="1381" t="s">
        <v>2015</v>
      </c>
      <c r="F246" s="1383" t="s">
        <v>1031</v>
      </c>
      <c r="G246" s="1383" t="s">
        <v>1032</v>
      </c>
      <c r="H246" s="1379"/>
      <c r="I246" s="3754" t="s">
        <v>1630</v>
      </c>
      <c r="J246" s="3659"/>
      <c r="K246" s="3659"/>
      <c r="L246" s="3659"/>
      <c r="M246" s="3659"/>
      <c r="N246" s="3659"/>
      <c r="P246" s="136">
        <f>ROW()</f>
        <v>246</v>
      </c>
    </row>
    <row r="247" spans="2:16">
      <c r="B247" s="1381" t="s">
        <v>1678</v>
      </c>
      <c r="F247" s="1383" t="s">
        <v>1033</v>
      </c>
      <c r="G247" s="1383" t="s">
        <v>1034</v>
      </c>
      <c r="H247" s="1379"/>
      <c r="I247" s="3659"/>
      <c r="J247" s="3659"/>
      <c r="K247" s="3659"/>
      <c r="L247" s="3659"/>
      <c r="M247" s="3659"/>
      <c r="N247" s="3659"/>
      <c r="P247" s="136">
        <f>ROW()</f>
        <v>247</v>
      </c>
    </row>
    <row r="248" spans="2:16">
      <c r="B248" s="1379"/>
      <c r="F248" s="1379"/>
      <c r="G248" s="1379"/>
      <c r="H248" s="1379"/>
      <c r="I248" s="265"/>
      <c r="J248" s="265"/>
      <c r="K248" s="1379"/>
      <c r="L248" s="1379"/>
      <c r="P248" s="136">
        <f>ROW()</f>
        <v>248</v>
      </c>
    </row>
    <row r="249" spans="2:16">
      <c r="B249" s="1381" t="s">
        <v>1035</v>
      </c>
      <c r="G249" s="1399">
        <v>5040</v>
      </c>
      <c r="H249" s="1379"/>
      <c r="I249" s="265" t="s">
        <v>1027</v>
      </c>
      <c r="J249" s="265"/>
      <c r="K249" s="1379"/>
      <c r="L249" s="1379"/>
      <c r="P249" s="136">
        <f>ROW()</f>
        <v>249</v>
      </c>
    </row>
    <row r="250" spans="2:16">
      <c r="B250" s="1381" t="s">
        <v>1036</v>
      </c>
      <c r="G250" s="1379">
        <f>E230*E232</f>
        <v>75</v>
      </c>
      <c r="H250" s="1379"/>
      <c r="I250" s="265" t="s">
        <v>1631</v>
      </c>
      <c r="J250" s="265"/>
      <c r="K250" s="1379"/>
      <c r="L250" s="1379"/>
      <c r="P250" s="136">
        <f>ROW()</f>
        <v>250</v>
      </c>
    </row>
    <row r="251" spans="2:16">
      <c r="B251" s="1381" t="s">
        <v>996</v>
      </c>
      <c r="G251" s="1379">
        <f>G249/G250</f>
        <v>67.2</v>
      </c>
      <c r="H251" s="1379"/>
      <c r="I251" s="265"/>
      <c r="J251" s="265"/>
      <c r="K251" s="7"/>
      <c r="L251" s="7"/>
      <c r="M251" s="7"/>
      <c r="P251" s="136">
        <f>ROW()</f>
        <v>251</v>
      </c>
    </row>
    <row r="252" spans="2:16">
      <c r="P252" s="136">
        <f>ROW()</f>
        <v>252</v>
      </c>
    </row>
    <row r="253" spans="2:16">
      <c r="B253" s="1381" t="s">
        <v>997</v>
      </c>
      <c r="F253" s="1383" t="s">
        <v>998</v>
      </c>
      <c r="G253" s="1379"/>
      <c r="H253" s="1379"/>
      <c r="I253" s="265" t="s">
        <v>1629</v>
      </c>
      <c r="J253" s="1379"/>
      <c r="K253" s="1379"/>
      <c r="L253" s="1379"/>
      <c r="P253" s="136">
        <f>ROW()</f>
        <v>253</v>
      </c>
    </row>
    <row r="254" spans="2:16">
      <c r="B254" s="1381" t="s">
        <v>999</v>
      </c>
      <c r="F254" s="1383" t="s">
        <v>1000</v>
      </c>
      <c r="G254" s="1379"/>
      <c r="H254" s="1379"/>
      <c r="I254" s="265" t="s">
        <v>1632</v>
      </c>
      <c r="J254" s="1379"/>
      <c r="K254" s="1379"/>
      <c r="L254" s="1379"/>
      <c r="P254" s="136">
        <f>ROW()</f>
        <v>254</v>
      </c>
    </row>
    <row r="255" spans="2:16">
      <c r="B255" s="1381" t="s">
        <v>1001</v>
      </c>
      <c r="F255" s="1391">
        <v>35000</v>
      </c>
      <c r="G255" s="1379"/>
      <c r="H255" s="1379"/>
      <c r="I255" s="265" t="s">
        <v>1632</v>
      </c>
      <c r="J255" s="1379"/>
      <c r="K255" s="1379"/>
      <c r="L255" s="1379"/>
      <c r="P255" s="136">
        <f>ROW()</f>
        <v>255</v>
      </c>
    </row>
    <row r="256" spans="2:16">
      <c r="B256" s="1381" t="s">
        <v>1102</v>
      </c>
      <c r="F256" s="1382">
        <v>0.6</v>
      </c>
      <c r="G256" s="1379"/>
      <c r="H256" s="1379"/>
      <c r="I256" s="265" t="s">
        <v>1632</v>
      </c>
      <c r="J256" s="1379"/>
      <c r="K256" s="1379"/>
      <c r="L256" s="1379"/>
      <c r="P256" s="136">
        <f>ROW()</f>
        <v>256</v>
      </c>
    </row>
    <row r="257" spans="2:16">
      <c r="B257" s="1381" t="s">
        <v>1002</v>
      </c>
      <c r="F257" s="1657">
        <v>160</v>
      </c>
      <c r="G257" s="1379"/>
      <c r="H257" s="1379"/>
      <c r="I257" s="3754" t="s">
        <v>2391</v>
      </c>
      <c r="J257" s="3659"/>
      <c r="K257" s="3659"/>
      <c r="L257" s="3659"/>
      <c r="M257" s="3659"/>
      <c r="N257" s="3659"/>
      <c r="P257" s="136">
        <f>ROW()</f>
        <v>257</v>
      </c>
    </row>
    <row r="258" spans="2:16">
      <c r="B258" s="1379"/>
      <c r="E258" s="1379"/>
      <c r="F258" s="1379"/>
      <c r="G258" s="1379"/>
      <c r="H258" s="1379"/>
      <c r="I258" s="3659"/>
      <c r="J258" s="3659"/>
      <c r="K258" s="3659"/>
      <c r="L258" s="3659"/>
      <c r="M258" s="3659"/>
      <c r="N258" s="3659"/>
      <c r="P258" s="136">
        <f>ROW()</f>
        <v>258</v>
      </c>
    </row>
    <row r="259" spans="2:16">
      <c r="P259" s="136">
        <f>ROW()</f>
        <v>259</v>
      </c>
    </row>
    <row r="260" spans="2:16">
      <c r="B260" s="5219" t="s">
        <v>613</v>
      </c>
      <c r="C260" s="3659"/>
      <c r="D260" s="3659"/>
      <c r="E260" s="3659"/>
      <c r="F260" s="3659"/>
      <c r="G260" s="3659"/>
      <c r="H260" s="3659"/>
      <c r="I260" s="3659"/>
      <c r="J260" s="3659"/>
      <c r="K260" s="3659"/>
      <c r="P260" s="136">
        <f>ROW()</f>
        <v>260</v>
      </c>
    </row>
    <row r="261" spans="2:16">
      <c r="B261" s="3659"/>
      <c r="C261" s="3659"/>
      <c r="D261" s="3659"/>
      <c r="E261" s="3659"/>
      <c r="F261" s="3659"/>
      <c r="G261" s="3659"/>
      <c r="H261" s="3659"/>
      <c r="I261" s="3659"/>
      <c r="J261" s="3659"/>
      <c r="K261" s="3659"/>
      <c r="P261" s="136">
        <f>ROW()</f>
        <v>261</v>
      </c>
    </row>
  </sheetData>
  <mergeCells count="55">
    <mergeCell ref="Z55:AG55"/>
    <mergeCell ref="AI55:AP55"/>
    <mergeCell ref="AR55:AY55"/>
    <mergeCell ref="Q45:X45"/>
    <mergeCell ref="AI27:AP27"/>
    <mergeCell ref="Q27:X27"/>
    <mergeCell ref="AI28:AP28"/>
    <mergeCell ref="Z28:AG28"/>
    <mergeCell ref="Q28:X28"/>
    <mergeCell ref="Z27:AG27"/>
    <mergeCell ref="M173:O173"/>
    <mergeCell ref="BJ27:BQ27"/>
    <mergeCell ref="BJ28:BQ28"/>
    <mergeCell ref="AR27:AY27"/>
    <mergeCell ref="AR28:AY28"/>
    <mergeCell ref="BA27:BH27"/>
    <mergeCell ref="BA28:BH28"/>
    <mergeCell ref="BJ36:BQ36"/>
    <mergeCell ref="Q36:X36"/>
    <mergeCell ref="Z36:AG36"/>
    <mergeCell ref="AI36:AP36"/>
    <mergeCell ref="BA36:BH36"/>
    <mergeCell ref="AR36:AY36"/>
    <mergeCell ref="BA55:BH55"/>
    <mergeCell ref="BJ55:BQ55"/>
    <mergeCell ref="Q55:X55"/>
    <mergeCell ref="M126:O126"/>
    <mergeCell ref="B118:L119"/>
    <mergeCell ref="B99:L101"/>
    <mergeCell ref="B110:L111"/>
    <mergeCell ref="G50:O50"/>
    <mergeCell ref="H27:I27"/>
    <mergeCell ref="H28:I28"/>
    <mergeCell ref="H202:H204"/>
    <mergeCell ref="B161:F162"/>
    <mergeCell ref="F202:F204"/>
    <mergeCell ref="F50:F53"/>
    <mergeCell ref="G202:G204"/>
    <mergeCell ref="B197:G198"/>
    <mergeCell ref="B5:K9"/>
    <mergeCell ref="B260:K261"/>
    <mergeCell ref="H178:H180"/>
    <mergeCell ref="F178:F180"/>
    <mergeCell ref="G178:G180"/>
    <mergeCell ref="I246:N247"/>
    <mergeCell ref="I257:N258"/>
    <mergeCell ref="B184:G185"/>
    <mergeCell ref="B192:H194"/>
    <mergeCell ref="B239:H243"/>
    <mergeCell ref="B208:G209"/>
    <mergeCell ref="B12:K16"/>
    <mergeCell ref="B24:K25"/>
    <mergeCell ref="B167:J168"/>
    <mergeCell ref="B132:I135"/>
    <mergeCell ref="H26:I26"/>
  </mergeCells>
  <phoneticPr fontId="6" type="noConversion"/>
  <conditionalFormatting sqref="G54:N54">
    <cfRule type="cellIs" dxfId="1" priority="1" stopIfTrue="1" operator="equal">
      <formula>1</formula>
    </cfRule>
    <cfRule type="cellIs" dxfId="0" priority="2" stopIfTrue="1" operator="equal">
      <formula>0</formula>
    </cfRule>
  </conditionalFormatting>
  <dataValidations disablePrompts="1" count="1">
    <dataValidation type="list" showErrorMessage="1" sqref="F54">
      <formula1>Times</formula1>
    </dataValidation>
  </dataValidations>
  <pageMargins left="0.75" right="0.75" top="1" bottom="1" header="0.5" footer="0.5"/>
  <pageSetup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sheetPr codeName="Sheet45"/>
  <dimension ref="A2:K62"/>
  <sheetViews>
    <sheetView showRuler="0" workbookViewId="0"/>
  </sheetViews>
  <sheetFormatPr defaultRowHeight="14.1" customHeight="1"/>
  <cols>
    <col min="1" max="1" width="1.625" customWidth="1"/>
  </cols>
  <sheetData>
    <row r="2" spans="1:11" ht="14.1" customHeight="1">
      <c r="B2" s="115" t="s">
        <v>2051</v>
      </c>
      <c r="D2" s="781"/>
      <c r="J2" s="192">
        <f>'Title Page'!K1</f>
        <v>40914</v>
      </c>
    </row>
    <row r="8" spans="1:11" ht="14.1" customHeight="1">
      <c r="A8" s="113"/>
      <c r="B8" s="113"/>
      <c r="C8" s="113"/>
      <c r="D8" s="113"/>
      <c r="E8" s="113"/>
      <c r="F8" s="113"/>
      <c r="G8" s="113"/>
      <c r="H8" s="113"/>
      <c r="I8" s="113"/>
      <c r="J8" s="113"/>
      <c r="K8" s="113"/>
    </row>
    <row r="9" spans="1:11" ht="14.1" customHeight="1">
      <c r="A9" s="113"/>
      <c r="B9" s="5228" t="s">
        <v>6251</v>
      </c>
      <c r="C9" s="3796"/>
      <c r="D9" s="3796"/>
      <c r="E9" s="3796"/>
      <c r="F9" s="3796"/>
      <c r="G9" s="3796"/>
      <c r="H9" s="3796"/>
      <c r="I9" s="3796"/>
      <c r="J9" s="3796"/>
      <c r="K9" s="113"/>
    </row>
    <row r="10" spans="1:11" ht="14.1" customHeight="1">
      <c r="A10" s="113"/>
      <c r="B10" s="3796"/>
      <c r="C10" s="3796"/>
      <c r="D10" s="3796"/>
      <c r="E10" s="3796"/>
      <c r="F10" s="3796"/>
      <c r="G10" s="3796"/>
      <c r="H10" s="3796"/>
      <c r="I10" s="3796"/>
      <c r="J10" s="3796"/>
      <c r="K10" s="113"/>
    </row>
    <row r="11" spans="1:11" ht="14.1" customHeight="1">
      <c r="A11" s="113"/>
      <c r="B11" s="3796"/>
      <c r="C11" s="3796"/>
      <c r="D11" s="3796"/>
      <c r="E11" s="3796"/>
      <c r="F11" s="3796"/>
      <c r="G11" s="3796"/>
      <c r="H11" s="3796"/>
      <c r="I11" s="3796"/>
      <c r="J11" s="3796"/>
      <c r="K11" s="113"/>
    </row>
    <row r="12" spans="1:11" ht="14.1" customHeight="1">
      <c r="A12" s="113"/>
      <c r="B12" s="3796"/>
      <c r="C12" s="3796"/>
      <c r="D12" s="3796"/>
      <c r="E12" s="3796"/>
      <c r="F12" s="3796"/>
      <c r="G12" s="3796"/>
      <c r="H12" s="3796"/>
      <c r="I12" s="3796"/>
      <c r="J12" s="3796"/>
      <c r="K12" s="113"/>
    </row>
    <row r="13" spans="1:11" ht="14.1" customHeight="1">
      <c r="A13" s="113"/>
      <c r="B13" s="3796"/>
      <c r="C13" s="3796"/>
      <c r="D13" s="3796"/>
      <c r="E13" s="3796"/>
      <c r="F13" s="3796"/>
      <c r="G13" s="3796"/>
      <c r="H13" s="3796"/>
      <c r="I13" s="3796"/>
      <c r="J13" s="3796"/>
      <c r="K13" s="113"/>
    </row>
    <row r="14" spans="1:11" ht="14.1" customHeight="1">
      <c r="A14" s="113"/>
      <c r="B14" s="3796"/>
      <c r="C14" s="3796"/>
      <c r="D14" s="3796"/>
      <c r="E14" s="3796"/>
      <c r="F14" s="3796"/>
      <c r="G14" s="3796"/>
      <c r="H14" s="3796"/>
      <c r="I14" s="3796"/>
      <c r="J14" s="3796"/>
      <c r="K14" s="113"/>
    </row>
    <row r="15" spans="1:11" ht="14.1" customHeight="1">
      <c r="A15" s="113"/>
      <c r="B15" s="196"/>
      <c r="C15" s="196"/>
      <c r="D15" s="196"/>
      <c r="E15" s="196"/>
      <c r="F15" s="196"/>
      <c r="G15" s="196"/>
      <c r="H15" s="196"/>
      <c r="I15" s="196"/>
      <c r="J15" s="196"/>
      <c r="K15" s="113"/>
    </row>
    <row r="16" spans="1:11" ht="14.1" customHeight="1">
      <c r="A16" s="113"/>
      <c r="B16" s="5228" t="s">
        <v>5040</v>
      </c>
      <c r="C16" s="3796"/>
      <c r="D16" s="3796"/>
      <c r="E16" s="3796"/>
      <c r="F16" s="3796"/>
      <c r="G16" s="3796"/>
      <c r="H16" s="3796"/>
      <c r="I16" s="3796"/>
      <c r="J16" s="3796"/>
      <c r="K16" s="113"/>
    </row>
    <row r="17" spans="1:11" ht="14.1" customHeight="1">
      <c r="A17" s="113"/>
      <c r="B17" s="3796"/>
      <c r="C17" s="3796"/>
      <c r="D17" s="3796"/>
      <c r="E17" s="3796"/>
      <c r="F17" s="3796"/>
      <c r="G17" s="3796"/>
      <c r="H17" s="3796"/>
      <c r="I17" s="3796"/>
      <c r="J17" s="3796"/>
      <c r="K17" s="113"/>
    </row>
    <row r="18" spans="1:11" ht="14.1" customHeight="1">
      <c r="A18" s="113"/>
      <c r="B18" s="3796"/>
      <c r="C18" s="3796"/>
      <c r="D18" s="3796"/>
      <c r="E18" s="3796"/>
      <c r="F18" s="3796"/>
      <c r="G18" s="3796"/>
      <c r="H18" s="3796"/>
      <c r="I18" s="3796"/>
      <c r="J18" s="3796"/>
      <c r="K18" s="113"/>
    </row>
    <row r="19" spans="1:11" ht="14.1" customHeight="1">
      <c r="A19" s="113"/>
      <c r="B19" s="3796"/>
      <c r="C19" s="3796"/>
      <c r="D19" s="3796"/>
      <c r="E19" s="3796"/>
      <c r="F19" s="3796"/>
      <c r="G19" s="3796"/>
      <c r="H19" s="3796"/>
      <c r="I19" s="3796"/>
      <c r="J19" s="3796"/>
      <c r="K19" s="113"/>
    </row>
    <row r="20" spans="1:11" ht="14.1" customHeight="1">
      <c r="A20" s="113"/>
      <c r="B20" s="3796"/>
      <c r="C20" s="3796"/>
      <c r="D20" s="3796"/>
      <c r="E20" s="3796"/>
      <c r="F20" s="3796"/>
      <c r="G20" s="3796"/>
      <c r="H20" s="3796"/>
      <c r="I20" s="3796"/>
      <c r="J20" s="3796"/>
      <c r="K20" s="113"/>
    </row>
    <row r="21" spans="1:11" ht="14.1" customHeight="1">
      <c r="A21" s="113"/>
      <c r="B21" s="3796"/>
      <c r="C21" s="3796"/>
      <c r="D21" s="3796"/>
      <c r="E21" s="3796"/>
      <c r="F21" s="3796"/>
      <c r="G21" s="3796"/>
      <c r="H21" s="3796"/>
      <c r="I21" s="3796"/>
      <c r="J21" s="3796"/>
      <c r="K21" s="113"/>
    </row>
    <row r="22" spans="1:11" ht="14.1" customHeight="1">
      <c r="A22" s="113"/>
      <c r="B22" s="113"/>
      <c r="C22" s="113"/>
      <c r="D22" s="113"/>
      <c r="E22" s="113"/>
      <c r="F22" s="113"/>
      <c r="G22" s="113"/>
      <c r="H22" s="113"/>
      <c r="I22" s="113"/>
      <c r="J22" s="113"/>
      <c r="K22" s="113"/>
    </row>
    <row r="23" spans="1:11" ht="14.1" customHeight="1">
      <c r="A23" s="113"/>
      <c r="B23" s="3796" t="s">
        <v>1723</v>
      </c>
      <c r="C23" s="3796"/>
      <c r="D23" s="3796"/>
      <c r="E23" s="3796"/>
      <c r="F23" s="3796"/>
      <c r="G23" s="3796"/>
      <c r="H23" s="3796"/>
      <c r="I23" s="3796"/>
      <c r="J23" s="3796"/>
      <c r="K23" s="113"/>
    </row>
    <row r="24" spans="1:11" ht="14.1" customHeight="1">
      <c r="A24" s="113"/>
      <c r="B24" s="3796"/>
      <c r="C24" s="3796"/>
      <c r="D24" s="3796"/>
      <c r="E24" s="3796"/>
      <c r="F24" s="3796"/>
      <c r="G24" s="3796"/>
      <c r="H24" s="3796"/>
      <c r="I24" s="3796"/>
      <c r="J24" s="3796"/>
      <c r="K24" s="113"/>
    </row>
    <row r="25" spans="1:11" ht="14.1" customHeight="1">
      <c r="A25" s="113"/>
      <c r="B25" s="3796"/>
      <c r="C25" s="3796"/>
      <c r="D25" s="3796"/>
      <c r="E25" s="3796"/>
      <c r="F25" s="3796"/>
      <c r="G25" s="3796"/>
      <c r="H25" s="3796"/>
      <c r="I25" s="3796"/>
      <c r="J25" s="3796"/>
      <c r="K25" s="113"/>
    </row>
    <row r="26" spans="1:11" ht="14.1" customHeight="1">
      <c r="A26" s="113"/>
      <c r="B26" s="3796"/>
      <c r="C26" s="3796"/>
      <c r="D26" s="3796"/>
      <c r="E26" s="3796"/>
      <c r="F26" s="3796"/>
      <c r="G26" s="3796"/>
      <c r="H26" s="3796"/>
      <c r="I26" s="3796"/>
      <c r="J26" s="3796"/>
      <c r="K26" s="113"/>
    </row>
    <row r="27" spans="1:11" ht="14.1" customHeight="1">
      <c r="A27" s="113"/>
      <c r="B27" s="113"/>
      <c r="C27" s="113"/>
      <c r="D27" s="113"/>
      <c r="E27" s="113"/>
      <c r="F27" s="113"/>
      <c r="G27" s="113"/>
      <c r="H27" s="113"/>
      <c r="I27" s="113"/>
      <c r="J27" s="113"/>
      <c r="K27" s="113"/>
    </row>
    <row r="28" spans="1:11" ht="14.1" customHeight="1">
      <c r="A28" s="113"/>
      <c r="B28" s="5231" t="s">
        <v>5041</v>
      </c>
      <c r="C28" s="3796"/>
      <c r="D28" s="3796"/>
      <c r="E28" s="3796"/>
      <c r="F28" s="3796"/>
      <c r="G28" s="3796"/>
      <c r="H28" s="3796"/>
      <c r="I28" s="3796"/>
      <c r="J28" s="3796"/>
      <c r="K28" s="113"/>
    </row>
    <row r="29" spans="1:11" ht="14.1" customHeight="1">
      <c r="A29" s="113"/>
      <c r="B29" s="3796"/>
      <c r="C29" s="3796"/>
      <c r="D29" s="3796"/>
      <c r="E29" s="3796"/>
      <c r="F29" s="3796"/>
      <c r="G29" s="3796"/>
      <c r="H29" s="3796"/>
      <c r="I29" s="3796"/>
      <c r="J29" s="3796"/>
      <c r="K29" s="113"/>
    </row>
    <row r="30" spans="1:11" ht="14.1" customHeight="1">
      <c r="A30" s="113"/>
      <c r="B30" s="3796"/>
      <c r="C30" s="3796"/>
      <c r="D30" s="3796"/>
      <c r="E30" s="3796"/>
      <c r="F30" s="3796"/>
      <c r="G30" s="3796"/>
      <c r="H30" s="3796"/>
      <c r="I30" s="3796"/>
      <c r="J30" s="3796"/>
      <c r="K30" s="113"/>
    </row>
    <row r="31" spans="1:11" ht="14.1" customHeight="1">
      <c r="A31" s="113"/>
      <c r="B31" s="3796"/>
      <c r="C31" s="3796"/>
      <c r="D31" s="3796"/>
      <c r="E31" s="3796"/>
      <c r="F31" s="3796"/>
      <c r="G31" s="3796"/>
      <c r="H31" s="3796"/>
      <c r="I31" s="3796"/>
      <c r="J31" s="3796"/>
      <c r="K31" s="113"/>
    </row>
    <row r="32" spans="1:11" ht="14.1" customHeight="1">
      <c r="A32" s="113"/>
      <c r="B32" s="3796"/>
      <c r="C32" s="3796"/>
      <c r="D32" s="3796"/>
      <c r="E32" s="3796"/>
      <c r="F32" s="3796"/>
      <c r="G32" s="3796"/>
      <c r="H32" s="3796"/>
      <c r="I32" s="3796"/>
      <c r="J32" s="3796"/>
      <c r="K32" s="113"/>
    </row>
    <row r="33" spans="1:11" ht="14.1" customHeight="1">
      <c r="A33" s="113"/>
      <c r="B33" s="3796"/>
      <c r="C33" s="3796"/>
      <c r="D33" s="3796"/>
      <c r="E33" s="3796"/>
      <c r="F33" s="3796"/>
      <c r="G33" s="3796"/>
      <c r="H33" s="3796"/>
      <c r="I33" s="3796"/>
      <c r="J33" s="3796"/>
      <c r="K33" s="113"/>
    </row>
    <row r="34" spans="1:11" ht="14.1" customHeight="1">
      <c r="A34" s="113"/>
      <c r="B34" s="113"/>
      <c r="C34" s="113"/>
      <c r="D34" s="113"/>
      <c r="E34" s="113"/>
      <c r="F34" s="113"/>
      <c r="G34" s="113"/>
      <c r="H34" s="113"/>
      <c r="I34" s="113"/>
      <c r="J34" s="113"/>
      <c r="K34" s="113"/>
    </row>
    <row r="35" spans="1:11" ht="14.1" customHeight="1">
      <c r="A35" s="113"/>
      <c r="B35" s="5229" t="s">
        <v>2714</v>
      </c>
      <c r="C35" s="3810"/>
      <c r="D35" s="3810"/>
      <c r="E35" s="3810"/>
      <c r="F35" s="3810"/>
      <c r="G35" s="3810"/>
      <c r="H35" s="3810"/>
      <c r="I35" s="3810"/>
      <c r="J35" s="3810"/>
      <c r="K35" s="49"/>
    </row>
    <row r="36" spans="1:11" ht="14.1" customHeight="1">
      <c r="A36" s="113"/>
      <c r="B36" s="3810"/>
      <c r="C36" s="3810"/>
      <c r="D36" s="3810"/>
      <c r="E36" s="3810"/>
      <c r="F36" s="3810"/>
      <c r="G36" s="3810"/>
      <c r="H36" s="3810"/>
      <c r="I36" s="3810"/>
      <c r="J36" s="3810"/>
      <c r="K36" s="49"/>
    </row>
    <row r="37" spans="1:11" ht="14.1" customHeight="1">
      <c r="A37" s="113"/>
      <c r="B37" s="3810"/>
      <c r="C37" s="3810"/>
      <c r="D37" s="3810"/>
      <c r="E37" s="3810"/>
      <c r="F37" s="3810"/>
      <c r="G37" s="3810"/>
      <c r="H37" s="3810"/>
      <c r="I37" s="3810"/>
      <c r="J37" s="3810"/>
      <c r="K37" s="49"/>
    </row>
    <row r="38" spans="1:11" ht="14.1" customHeight="1">
      <c r="A38" s="113"/>
      <c r="B38" s="3810"/>
      <c r="C38" s="3810"/>
      <c r="D38" s="3810"/>
      <c r="E38" s="3810"/>
      <c r="F38" s="3810"/>
      <c r="G38" s="3810"/>
      <c r="H38" s="3810"/>
      <c r="I38" s="3810"/>
      <c r="J38" s="3810"/>
      <c r="K38" s="740"/>
    </row>
    <row r="39" spans="1:11" ht="14.1" customHeight="1">
      <c r="A39" s="113"/>
      <c r="B39" s="740"/>
      <c r="C39" s="740"/>
      <c r="D39" s="740"/>
      <c r="E39" s="740"/>
      <c r="F39" s="740"/>
      <c r="G39" s="740"/>
      <c r="H39" s="740"/>
      <c r="I39" s="740"/>
      <c r="J39" s="740"/>
      <c r="K39" s="740"/>
    </row>
    <row r="40" spans="1:11" ht="14.1" customHeight="1">
      <c r="A40" s="113"/>
      <c r="B40" s="5230" t="s">
        <v>410</v>
      </c>
      <c r="C40" s="5230"/>
      <c r="D40" s="5230"/>
      <c r="E40" s="5230"/>
      <c r="F40" s="5230"/>
      <c r="G40" s="5230"/>
      <c r="H40" s="5230"/>
      <c r="I40" s="5230"/>
      <c r="J40" s="5230"/>
      <c r="K40" s="49"/>
    </row>
    <row r="41" spans="1:11" ht="14.1" customHeight="1">
      <c r="A41" s="113"/>
      <c r="B41" s="5230"/>
      <c r="C41" s="5230"/>
      <c r="D41" s="5230"/>
      <c r="E41" s="5230"/>
      <c r="F41" s="5230"/>
      <c r="G41" s="5230"/>
      <c r="H41" s="5230"/>
      <c r="I41" s="5230"/>
      <c r="J41" s="5230"/>
      <c r="K41" s="49"/>
    </row>
    <row r="42" spans="1:11" ht="14.1" customHeight="1">
      <c r="A42" s="113"/>
      <c r="B42" s="113"/>
      <c r="C42" s="113"/>
      <c r="D42" s="113"/>
      <c r="E42" s="113"/>
      <c r="F42" s="113"/>
      <c r="G42" s="113"/>
      <c r="H42" s="113"/>
      <c r="I42" s="113"/>
      <c r="J42" s="113"/>
      <c r="K42" s="113"/>
    </row>
    <row r="43" spans="1:11" ht="14.1" customHeight="1">
      <c r="A43" s="113"/>
      <c r="B43" s="113"/>
      <c r="C43" s="113"/>
      <c r="D43" s="113"/>
      <c r="E43" s="113"/>
      <c r="F43" s="113"/>
      <c r="G43" s="113"/>
      <c r="H43" s="113"/>
      <c r="I43" s="113"/>
      <c r="J43" s="113"/>
      <c r="K43" s="113"/>
    </row>
    <row r="44" spans="1:11" ht="14.1" customHeight="1">
      <c r="A44" s="113"/>
      <c r="B44" s="113"/>
      <c r="C44" s="113"/>
      <c r="D44" s="113"/>
      <c r="E44" s="113"/>
      <c r="F44" s="113"/>
      <c r="G44" s="113"/>
      <c r="H44" s="113"/>
      <c r="I44" s="113"/>
      <c r="J44" s="113"/>
      <c r="K44" s="113"/>
    </row>
    <row r="45" spans="1:11" ht="14.1" customHeight="1">
      <c r="A45" s="113"/>
      <c r="B45" s="113"/>
      <c r="C45" s="113"/>
      <c r="D45" s="113"/>
      <c r="E45" s="113"/>
      <c r="F45" s="113"/>
      <c r="G45" s="113"/>
      <c r="H45" s="113"/>
      <c r="I45" s="113"/>
      <c r="J45" s="113"/>
      <c r="K45" s="113"/>
    </row>
    <row r="46" spans="1:11" ht="14.1" customHeight="1">
      <c r="A46" s="113"/>
      <c r="B46" s="113"/>
      <c r="C46" s="113"/>
      <c r="D46" s="113"/>
      <c r="E46" s="113"/>
      <c r="F46" s="113"/>
      <c r="G46" s="113"/>
      <c r="H46" s="113"/>
      <c r="I46" s="113"/>
      <c r="J46" s="113"/>
      <c r="K46" s="113"/>
    </row>
    <row r="47" spans="1:11" ht="14.1" customHeight="1">
      <c r="A47" s="113"/>
      <c r="B47" s="113"/>
      <c r="C47" s="113"/>
      <c r="D47" s="113"/>
      <c r="E47" s="113"/>
      <c r="F47" s="113"/>
      <c r="G47" s="113"/>
      <c r="H47" s="113"/>
      <c r="I47" s="113"/>
      <c r="J47" s="113"/>
      <c r="K47" s="113"/>
    </row>
    <row r="48" spans="1:11" ht="14.1" customHeight="1">
      <c r="A48" s="113"/>
      <c r="B48" s="113"/>
      <c r="C48" s="113"/>
      <c r="D48" s="113"/>
      <c r="E48" s="113"/>
      <c r="F48" s="113"/>
      <c r="G48" s="113"/>
      <c r="H48" s="113"/>
      <c r="I48" s="113"/>
      <c r="J48" s="113"/>
      <c r="K48" s="113"/>
    </row>
    <row r="49" spans="1:11" ht="14.1" customHeight="1">
      <c r="A49" s="113"/>
      <c r="B49" s="113"/>
      <c r="C49" s="113"/>
      <c r="D49" s="113"/>
      <c r="E49" s="113"/>
      <c r="F49" s="113"/>
      <c r="G49" s="113"/>
      <c r="H49" s="113"/>
      <c r="I49" s="113"/>
      <c r="J49" s="113"/>
      <c r="K49" s="113"/>
    </row>
    <row r="50" spans="1:11" ht="14.1" customHeight="1">
      <c r="A50" s="113"/>
      <c r="B50" s="113"/>
      <c r="C50" s="113"/>
      <c r="D50" s="113"/>
      <c r="E50" s="113"/>
      <c r="F50" s="113"/>
      <c r="G50" s="113"/>
      <c r="H50" s="113"/>
      <c r="I50" s="113"/>
      <c r="J50" s="113"/>
      <c r="K50" s="113"/>
    </row>
    <row r="51" spans="1:11" ht="14.1" customHeight="1">
      <c r="A51" s="113"/>
      <c r="B51" s="113"/>
      <c r="C51" s="113"/>
      <c r="D51" s="113"/>
      <c r="E51" s="113"/>
      <c r="F51" s="113"/>
      <c r="G51" s="113"/>
      <c r="H51" s="113"/>
      <c r="I51" s="113"/>
      <c r="J51" s="113"/>
      <c r="K51" s="113"/>
    </row>
    <row r="52" spans="1:11" ht="14.1" customHeight="1">
      <c r="A52" s="113"/>
      <c r="B52" s="113"/>
      <c r="C52" s="113"/>
      <c r="D52" s="113"/>
      <c r="E52" s="113"/>
      <c r="F52" s="113"/>
      <c r="G52" s="113"/>
      <c r="H52" s="113"/>
      <c r="I52" s="113"/>
      <c r="J52" s="113"/>
      <c r="K52" s="113"/>
    </row>
    <row r="53" spans="1:11" ht="14.1" customHeight="1">
      <c r="A53" s="113"/>
      <c r="B53" s="113"/>
      <c r="C53" s="113"/>
      <c r="D53" s="113"/>
      <c r="E53" s="113"/>
      <c r="F53" s="113"/>
      <c r="G53" s="113"/>
      <c r="H53" s="113"/>
      <c r="I53" s="113"/>
      <c r="J53" s="113"/>
      <c r="K53" s="113"/>
    </row>
    <row r="54" spans="1:11" ht="14.1" customHeight="1">
      <c r="A54" s="113"/>
      <c r="B54" s="113"/>
      <c r="C54" s="113"/>
      <c r="D54" s="113"/>
      <c r="E54" s="113"/>
      <c r="F54" s="113"/>
      <c r="G54" s="113"/>
      <c r="H54" s="113"/>
      <c r="I54" s="113"/>
      <c r="J54" s="113"/>
      <c r="K54" s="113"/>
    </row>
    <row r="55" spans="1:11" ht="14.1" customHeight="1">
      <c r="A55" s="113"/>
      <c r="B55" s="113"/>
      <c r="C55" s="113"/>
      <c r="D55" s="113"/>
      <c r="E55" s="113"/>
      <c r="F55" s="113"/>
      <c r="G55" s="113"/>
      <c r="H55" s="113"/>
      <c r="I55" s="113"/>
      <c r="J55" s="113"/>
      <c r="K55" s="113"/>
    </row>
    <row r="56" spans="1:11" ht="14.1" customHeight="1">
      <c r="A56" s="113"/>
      <c r="B56" s="113"/>
      <c r="C56" s="113"/>
      <c r="D56" s="113"/>
      <c r="E56" s="113"/>
      <c r="F56" s="113"/>
      <c r="G56" s="113"/>
      <c r="H56" s="113"/>
      <c r="I56" s="113"/>
      <c r="J56" s="113"/>
      <c r="K56" s="113"/>
    </row>
    <row r="57" spans="1:11" ht="14.1" customHeight="1">
      <c r="A57" s="113"/>
      <c r="B57" s="113"/>
      <c r="C57" s="113"/>
      <c r="D57" s="113"/>
      <c r="E57" s="113"/>
      <c r="F57" s="113"/>
      <c r="G57" s="113"/>
      <c r="H57" s="113"/>
      <c r="I57" s="113"/>
      <c r="J57" s="113"/>
      <c r="K57" s="113"/>
    </row>
    <row r="58" spans="1:11" ht="14.1" customHeight="1">
      <c r="A58" s="113"/>
      <c r="B58" s="113"/>
      <c r="C58" s="113"/>
      <c r="D58" s="113"/>
      <c r="E58" s="113"/>
      <c r="F58" s="113"/>
      <c r="G58" s="113"/>
      <c r="H58" s="113"/>
      <c r="I58" s="113"/>
      <c r="J58" s="113"/>
      <c r="K58" s="113"/>
    </row>
    <row r="59" spans="1:11" ht="14.1" customHeight="1">
      <c r="A59" s="113"/>
      <c r="B59" s="113"/>
      <c r="C59" s="113"/>
      <c r="D59" s="113"/>
      <c r="E59" s="113"/>
      <c r="F59" s="113"/>
      <c r="G59" s="113"/>
      <c r="H59" s="113"/>
      <c r="I59" s="113"/>
      <c r="J59" s="113"/>
      <c r="K59" s="113"/>
    </row>
    <row r="60" spans="1:11" ht="14.1" customHeight="1">
      <c r="A60" s="113"/>
      <c r="B60" s="113"/>
      <c r="C60" s="113"/>
      <c r="D60" s="113"/>
      <c r="E60" s="113"/>
      <c r="F60" s="113"/>
      <c r="G60" s="113"/>
      <c r="H60" s="113"/>
      <c r="I60" s="113"/>
      <c r="J60" s="113"/>
      <c r="K60" s="113"/>
    </row>
    <row r="61" spans="1:11" ht="14.1" customHeight="1">
      <c r="A61" s="113"/>
      <c r="B61" s="113"/>
      <c r="C61" s="113"/>
      <c r="D61" s="113"/>
      <c r="E61" s="113"/>
      <c r="F61" s="113"/>
      <c r="G61" s="113"/>
      <c r="H61" s="113"/>
      <c r="I61" s="113"/>
      <c r="J61" s="113"/>
      <c r="K61" s="113"/>
    </row>
    <row r="62" spans="1:11" ht="14.1" customHeight="1">
      <c r="A62" s="113"/>
      <c r="B62" s="113"/>
      <c r="C62" s="113"/>
      <c r="D62" s="113"/>
      <c r="E62" s="113"/>
      <c r="F62" s="113"/>
      <c r="G62" s="113"/>
      <c r="H62" s="113"/>
      <c r="I62" s="113"/>
      <c r="J62" s="113"/>
      <c r="K62" s="113"/>
    </row>
  </sheetData>
  <customSheetViews>
    <customSheetView guid="{BD5E6263-A0AD-4076-921A-D4EBD62848EF}" showRuler="0" topLeftCell="A16">
      <selection activeCell="B44" sqref="B44"/>
      <pageMargins left="0.75" right="0.75" top="1" bottom="1" header="0.5" footer="0.5"/>
      <pageSetup orientation="portrait" r:id="rId1"/>
      <headerFooter alignWithMargins="0"/>
    </customSheetView>
    <customSheetView guid="{1D5AE30A-CA7C-4B32-AEA4-9F37A560AAA8}" showRuler="0" topLeftCell="A16">
      <selection activeCell="B44" sqref="B44"/>
      <pageMargins left="0.75" right="0.75" top="1" bottom="1" header="0.5" footer="0.5"/>
      <pageSetup orientation="portrait" r:id="rId2"/>
      <headerFooter alignWithMargins="0"/>
    </customSheetView>
  </customSheetViews>
  <mergeCells count="6">
    <mergeCell ref="B16:J21"/>
    <mergeCell ref="B9:J14"/>
    <mergeCell ref="B35:J38"/>
    <mergeCell ref="B40:J41"/>
    <mergeCell ref="B23:J26"/>
    <mergeCell ref="B28:J33"/>
  </mergeCells>
  <phoneticPr fontId="6" type="noConversion"/>
  <pageMargins left="0.75" right="0.75" top="1" bottom="1" header="0.5" footer="0.5"/>
  <pageSetup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76</vt:i4>
      </vt:variant>
    </vt:vector>
  </HeadingPairs>
  <TitlesOfParts>
    <vt:vector size="131" baseType="lpstr">
      <vt:lpstr>Title Page</vt:lpstr>
      <vt:lpstr>Index</vt:lpstr>
      <vt:lpstr>Traffic Plans</vt:lpstr>
      <vt:lpstr>Flowchart</vt:lpstr>
      <vt:lpstr>Assumptions</vt:lpstr>
      <vt:lpstr>Results</vt:lpstr>
      <vt:lpstr>User Inputs</vt:lpstr>
      <vt:lpstr>Changes</vt:lpstr>
      <vt:lpstr>Revenues</vt:lpstr>
      <vt:lpstr>Cost-Benefit</vt:lpstr>
      <vt:lpstr>Travel</vt:lpstr>
      <vt:lpstr>Motor Vs</vt:lpstr>
      <vt:lpstr>Motor Vs Weekends</vt:lpstr>
      <vt:lpstr>Distances</vt:lpstr>
      <vt:lpstr>Approaches</vt:lpstr>
      <vt:lpstr>Breakeven</vt:lpstr>
      <vt:lpstr>Incidence</vt:lpstr>
      <vt:lpstr>Trucks</vt:lpstr>
      <vt:lpstr>Taxis</vt:lpstr>
      <vt:lpstr>Transit</vt:lpstr>
      <vt:lpstr>Subways</vt:lpstr>
      <vt:lpstr>Sub v. Bus</vt:lpstr>
      <vt:lpstr>Park-and-Ride</vt:lpstr>
      <vt:lpstr>Time Switching</vt:lpstr>
      <vt:lpstr>Buses</vt:lpstr>
      <vt:lpstr>Bus Routes</vt:lpstr>
      <vt:lpstr>Bus Boarding</vt:lpstr>
      <vt:lpstr>Weekday Hours</vt:lpstr>
      <vt:lpstr>Weekend Hours</vt:lpstr>
      <vt:lpstr>Weekends</vt:lpstr>
      <vt:lpstr>Delays</vt:lpstr>
      <vt:lpstr>Delays Weekends</vt:lpstr>
      <vt:lpstr>Delay Costs</vt:lpstr>
      <vt:lpstr>Speed-Vol., Cordon</vt:lpstr>
      <vt:lpstr>Speed-Vol., non-Cordon</vt:lpstr>
      <vt:lpstr>VMT</vt:lpstr>
      <vt:lpstr>Elasticities</vt:lpstr>
      <vt:lpstr>Gini</vt:lpstr>
      <vt:lpstr>Cordon</vt:lpstr>
      <vt:lpstr>Emissions</vt:lpstr>
      <vt:lpstr>EMFAC</vt:lpstr>
      <vt:lpstr>Speed-CO2</vt:lpstr>
      <vt:lpstr>Fare Collection</vt:lpstr>
      <vt:lpstr>Pop &amp; Employ</vt:lpstr>
      <vt:lpstr>Parking</vt:lpstr>
      <vt:lpstr>Hub-Bound</vt:lpstr>
      <vt:lpstr>Trip Price</vt:lpstr>
      <vt:lpstr>H.I.S.</vt:lpstr>
      <vt:lpstr>River Crossings</vt:lpstr>
      <vt:lpstr>Value of Time</vt:lpstr>
      <vt:lpstr>Toll Rates</vt:lpstr>
      <vt:lpstr>Constants</vt:lpstr>
      <vt:lpstr>Regressions</vt:lpstr>
      <vt:lpstr>FreshDirect</vt:lpstr>
      <vt:lpstr>BTA 1.0</vt:lpstr>
      <vt:lpstr>'Speed-Vol., Cordon'!_ftnref1</vt:lpstr>
      <vt:lpstr>'Park-and-Ride'!_GoBack</vt:lpstr>
      <vt:lpstr>Alpha</vt:lpstr>
      <vt:lpstr>Delays!AverageDelay</vt:lpstr>
      <vt:lpstr>'Delays Weekends'!AverageDelay</vt:lpstr>
      <vt:lpstr>FreshDirect!AverageDelay</vt:lpstr>
      <vt:lpstr>barthB0</vt:lpstr>
      <vt:lpstr>barthB1</vt:lpstr>
      <vt:lpstr>barthB2</vt:lpstr>
      <vt:lpstr>barthB3</vt:lpstr>
      <vt:lpstr>barthB4</vt:lpstr>
      <vt:lpstr>Beta</vt:lpstr>
      <vt:lpstr>Delays!CarsAdded</vt:lpstr>
      <vt:lpstr>'Delays Weekends'!CarsAdded</vt:lpstr>
      <vt:lpstr>FreshDirect!CarsAdded</vt:lpstr>
      <vt:lpstr>CBDDelayRatio</vt:lpstr>
      <vt:lpstr>Delays!DelayReductionArray</vt:lpstr>
      <vt:lpstr>'Delays Weekends'!DelayReductionArray</vt:lpstr>
      <vt:lpstr>FreshDirect!DelayReductionArray</vt:lpstr>
      <vt:lpstr>ElastSenseArray</vt:lpstr>
      <vt:lpstr>KSC</vt:lpstr>
      <vt:lpstr>KSE</vt:lpstr>
      <vt:lpstr>ldv_co_1</vt:lpstr>
      <vt:lpstr>ldv_co_2</vt:lpstr>
      <vt:lpstr>ldv_co0</vt:lpstr>
      <vt:lpstr>ldv_nox_0</vt:lpstr>
      <vt:lpstr>ldv_nox_1</vt:lpstr>
      <vt:lpstr>ldv_nox_2</vt:lpstr>
      <vt:lpstr>ldv_pm_0</vt:lpstr>
      <vt:lpstr>ldv_pm_1</vt:lpstr>
      <vt:lpstr>ldv_pm_2</vt:lpstr>
      <vt:lpstr>ldv_tog_0</vt:lpstr>
      <vt:lpstr>ldv_tog_1</vt:lpstr>
      <vt:lpstr>ldv_tog_2</vt:lpstr>
      <vt:lpstr>LeftArray</vt:lpstr>
      <vt:lpstr>MaxSpeed</vt:lpstr>
      <vt:lpstr>NonCBDDelayRatio</vt:lpstr>
      <vt:lpstr>Delays!OutboundOn</vt:lpstr>
      <vt:lpstr>'Delays Weekends'!OutboundOn</vt:lpstr>
      <vt:lpstr>FreshDirect!OutboundOn</vt:lpstr>
      <vt:lpstr>Delays!OutboundResults</vt:lpstr>
      <vt:lpstr>'Delays Weekends'!OutboundResults</vt:lpstr>
      <vt:lpstr>PA_Offpeak_Toll_EZPass</vt:lpstr>
      <vt:lpstr>PA_Peak_Toll_EZPass</vt:lpstr>
      <vt:lpstr>'Fare Collection'!Print_Area</vt:lpstr>
      <vt:lpstr>Incidence!Print_Area</vt:lpstr>
      <vt:lpstr>'Motor Vs'!Print_Area</vt:lpstr>
      <vt:lpstr>'Motor Vs Weekends'!Print_Area</vt:lpstr>
      <vt:lpstr>Parking!Print_Area</vt:lpstr>
      <vt:lpstr>Taxis!Print_Area</vt:lpstr>
      <vt:lpstr>Travel!Print_Area</vt:lpstr>
      <vt:lpstr>'Weekday Hours'!Print_Area</vt:lpstr>
      <vt:lpstr>'Weekend Hours'!Print_Area</vt:lpstr>
      <vt:lpstr>RatioScriptArea</vt:lpstr>
      <vt:lpstr>RightArray</vt:lpstr>
      <vt:lpstr>SVConstant</vt:lpstr>
      <vt:lpstr>Delays!TimePeriodSelector</vt:lpstr>
      <vt:lpstr>'Delays Weekends'!TimePeriodSelector</vt:lpstr>
      <vt:lpstr>FreshDirect!TimePeriodSelector</vt:lpstr>
      <vt:lpstr>Delays!TimeResult</vt:lpstr>
      <vt:lpstr>'Delays Weekends'!TimeResult</vt:lpstr>
      <vt:lpstr>FreshDirect!TimeResult</vt:lpstr>
      <vt:lpstr>Delays!TimeResults</vt:lpstr>
      <vt:lpstr>'Delays Weekends'!TimeResults</vt:lpstr>
      <vt:lpstr>Delays!Times</vt:lpstr>
      <vt:lpstr>'Delays Weekends'!Times</vt:lpstr>
      <vt:lpstr>FreshDirect!Times</vt:lpstr>
      <vt:lpstr>Delays!TotalResults</vt:lpstr>
      <vt:lpstr>'Delays Weekends'!TotalResults</vt:lpstr>
      <vt:lpstr>TrafficReductions</vt:lpstr>
      <vt:lpstr>V_sub_k</vt:lpstr>
      <vt:lpstr>weekday_per_mo</vt:lpstr>
      <vt:lpstr>weekday_per_yr</vt:lpstr>
      <vt:lpstr>wkday_per_yr</vt:lpstr>
      <vt:lpstr>wkend_per_mo</vt:lpstr>
      <vt:lpstr>wkend_per_yr</vt:lpstr>
    </vt:vector>
  </TitlesOfParts>
  <Company>KEA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Komanoff</dc:creator>
  <cp:lastModifiedBy>Komanoff</cp:lastModifiedBy>
  <cp:lastPrinted>2011-07-28T14:47:52Z</cp:lastPrinted>
  <dcterms:created xsi:type="dcterms:W3CDTF">2007-07-03T18:23:34Z</dcterms:created>
  <dcterms:modified xsi:type="dcterms:W3CDTF">2012-01-06T17:18:11Z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1050627473</vt:i4>
  </property>
  <property fmtid="{D5CDD505-2E9C-101B-9397-08002B2CF9AE}" pid="3" name="_NewReviewCycle">
    <vt:lpwstr/>
  </property>
  <property fmtid="{D5CDD505-2E9C-101B-9397-08002B2CF9AE}" pid="4" name="_EmailSubject">
    <vt:lpwstr>Comments on the BTA Excel workbook</vt:lpwstr>
  </property>
  <property fmtid="{D5CDD505-2E9C-101B-9397-08002B2CF9AE}" pid="5" name="_AuthorEmail">
    <vt:lpwstr>brodie.hefner@hud.gov</vt:lpwstr>
  </property>
  <property fmtid="{D5CDD505-2E9C-101B-9397-08002B2CF9AE}" pid="6" name="_AuthorEmailDisplayName">
    <vt:lpwstr>Hefner, Brodie</vt:lpwstr>
  </property>
  <property fmtid="{D5CDD505-2E9C-101B-9397-08002B2CF9AE}" pid="7" name="_ReviewingToolsShownOnce">
    <vt:lpwstr/>
  </property>
</Properties>
</file>